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troduction - PLEASE READ" sheetId="1" r:id="rId2"/>
    <sheet name="Engagement Detail" sheetId="2" r:id="rId3"/>
    <sheet name="Engagement Themes" sheetId="3" r:id="rId4"/>
    <sheet name="Engagement Themes %" sheetId="4" r:id="rId5"/>
    <sheet name="Engagement Companies" sheetId="5" r:id="rId6"/>
    <sheet name="Engagement Status" sheetId="6" r:id="rId7"/>
    <sheet name="Report Parameters" sheetId="7" r:id="rId8"/>
  </sheets>
  <calcPr fullCalcOnLoad="1"/>
</workbook>
</file>

<file path=xl/sharedStrings.xml><?xml version="1.0" encoding="utf-8"?>
<sst xmlns="http://schemas.openxmlformats.org/spreadsheetml/2006/main" count="8371" uniqueCount="8371">
  <si>
    <t>Welcome to the EOSi Data Centre report</t>
  </si>
  <si>
    <t>Please read all of the information on this page before conducting any data analysis in order to fully understand the scope of the data herein.</t>
  </si>
  <si>
    <t>CONFIDENTIALITY DISCLAIMER</t>
  </si>
  <si>
    <t xml:space="preserve">Confidential data in this report is clearly marked in columns that are coloured red, and where the headings include the text 'confidential'.  This information is strictly for EOS clients' eyes only and can not be shared to external organisations or persons.   All other data in this report is classified as 'public' and can be published by clients publicly.</t>
  </si>
  <si>
    <t>DATA DISCLAIMER</t>
  </si>
  <si>
    <t>The engagement data contained in this report is for the date range selected. However, the data is based on the most recent available holdings at the time the report was generated, it does not reflect your historical holdings for the date range.</t>
  </si>
  <si>
    <t>Please be aware there may be small differences between data shown in this Data Centre extract and the data provided by EOS in your standard reporting.</t>
  </si>
  <si>
    <t>Date report created:</t>
  </si>
  <si>
    <t>24/01/2026</t>
  </si>
  <si>
    <t>Guidance and supplementary information</t>
  </si>
  <si>
    <t>Milestones</t>
  </si>
  <si>
    <t>M1</t>
  </si>
  <si>
    <t>Milestone 1 - Raising Concerns</t>
  </si>
  <si>
    <t>Our concern is raised with the company at the appropriate level</t>
  </si>
  <si>
    <t>M2</t>
  </si>
  <si>
    <t>Milestone 2 - Acknowledging Concerns</t>
  </si>
  <si>
    <t>The company acknowledges the issue as a serious investor concern, worthy of a response</t>
  </si>
  <si>
    <t>M3</t>
  </si>
  <si>
    <t>Milestone 3 - Planning</t>
  </si>
  <si>
    <t>The company develops a credible strategy to achieve the objective, or stretching targets are set to address the concern</t>
  </si>
  <si>
    <t>M4</t>
  </si>
  <si>
    <t>Milestone 4 - Implementing</t>
  </si>
  <si>
    <t>The company implements a strategy or measures to address the concern</t>
  </si>
  <si>
    <t>Corporate Objective</t>
  </si>
  <si>
    <t>We set clear and specific objectives within our company engagements to ensure we achieve positive outcomes. An objective is a specific, measurable change defined at the company – an outcome we are seeking to achieve. Each objective is tracked using milestones. Objectives are considered ‘live’ as soon as we have raised our concerns with the company i.e. Milestone 1 has been completed. Objectives are regularly reviewed until they are completed – when the company has demonstrably implemented the change requested – or discontinued. Objectives may be discontinued if the objective is no longer relevant, or because the engagement is no longer feasible or material. We may engage with a company on multiple objectives at any one time, covering a variety of material ESG issues. An example of an objective could be: “Development of a strategy consistent with the goals of the Paris Agreement, including setting science-based emissions reduction targets for operating emissions (Scopes 1 and 2 emissions).” Each objective relates to a single theme and sub-theme.</t>
  </si>
  <si>
    <t>Corporate Issue</t>
  </si>
  <si>
    <t>How does an objective differ from an issue, another term we use within our engagement? An issue is a topic we have raised with a company in engagement, but where we do not precisely define the outcome that we are seeking to achieve. This can be more appropriate if the issue is of lower materiality and so we do not anticipate engaging with the frequency required to pursue an objective. Or perhaps we are still in the process of identifying what type of change we may want to see at a company and so are not yet able to set a precise objective. Issues are frequently used for companies outside our continuous engagement programme, for example those where we typically engage only around the annual shareholder meeting and our voting recommendation.</t>
  </si>
  <si>
    <t>Company Issuer Code</t>
  </si>
  <si>
    <t xml:space="preserve">The company issuer code is Bloomberg proprietary issuer code data and is available via Bloomberg.  These identifiers will allow users to easily reconcile any specific portfolio constituents with the engagement data in this report.</t>
  </si>
  <si>
    <t>CONFIDENTIAL - Company Issuer Code</t>
  </si>
  <si>
    <t>Company Name</t>
  </si>
  <si>
    <t>CONFIDENTIAL - Link to Company Page in Portal</t>
  </si>
  <si>
    <t>Engagement Type</t>
  </si>
  <si>
    <t>Engagement Name</t>
  </si>
  <si>
    <t>CONFIDENTIAL - Link to Engagement Page in Portal</t>
  </si>
  <si>
    <t>CONFIDENTIAL - Engagement Description</t>
  </si>
  <si>
    <t>Company in Core Engagement Programme</t>
  </si>
  <si>
    <t>CONFIDENTIAL - Engagement Tier (1-3)</t>
  </si>
  <si>
    <t>MetaTheme</t>
  </si>
  <si>
    <t>Theme</t>
  </si>
  <si>
    <t>Sub-theme</t>
  </si>
  <si>
    <t>Region</t>
  </si>
  <si>
    <t>Country</t>
  </si>
  <si>
    <t>Sector</t>
  </si>
  <si>
    <t>Engagement Special Category</t>
  </si>
  <si>
    <t>Engaged in Period</t>
  </si>
  <si>
    <t>Objective With Progress During Period</t>
  </si>
  <si>
    <t>CONFIDENTIAL - Number Actions During Period</t>
  </si>
  <si>
    <t>Engagement Start Date</t>
  </si>
  <si>
    <t>M1 - Raising Concerns: Status</t>
  </si>
  <si>
    <t>CONFIDENTIAL - M1 Completed/Discontinued Date</t>
  </si>
  <si>
    <t>M2 - Acknowledging Concerns: Status</t>
  </si>
  <si>
    <t>CONFIDENTIAL - M2 Completed/Discontinued Date</t>
  </si>
  <si>
    <t>M3 - Planning: Status</t>
  </si>
  <si>
    <t>CONFIDENTIAL - M3 Completed/Discontinued Date</t>
  </si>
  <si>
    <t>M4 Implementing: Status</t>
  </si>
  <si>
    <t>CONFIDENTIAL - M4 Completed/Discontinued Date</t>
  </si>
  <si>
    <t>Milestones Completed</t>
  </si>
  <si>
    <t>Corporate Objective Stage at Report Period End</t>
  </si>
  <si>
    <t>Progress During Period</t>
  </si>
  <si>
    <t>Milestones Completed During Period</t>
  </si>
  <si>
    <t>Number of Escalations</t>
  </si>
  <si>
    <t>Escalation Detail</t>
  </si>
  <si>
    <t>Momentum</t>
  </si>
  <si>
    <t>Closure Rationale</t>
  </si>
  <si>
    <t>Last Action Date</t>
  </si>
  <si>
    <t>CONFIDENTIAL - Outcome Statement</t>
  </si>
  <si>
    <t>Outcome Status</t>
  </si>
  <si>
    <t>CONFIDENTIAL - Outcome Status Rationale</t>
  </si>
  <si>
    <t>Outcome Next Steps</t>
  </si>
  <si>
    <t>Outcome Last Updated</t>
  </si>
  <si>
    <t>SDG 01: No poverty</t>
  </si>
  <si>
    <t>SDG 02: Zero hunger</t>
  </si>
  <si>
    <t>SDG 03: Good health and well-being</t>
  </si>
  <si>
    <t>SDG 04: Quality education</t>
  </si>
  <si>
    <t>SDG 05: Gender equality</t>
  </si>
  <si>
    <t>SDG 06: Clean water and sanitation</t>
  </si>
  <si>
    <t>SDG 07: Affordable and clean energy</t>
  </si>
  <si>
    <t>SDG 08: Decent work and economic growth</t>
  </si>
  <si>
    <t>SDG 09: Industry, innovation and infrastructure</t>
  </si>
  <si>
    <t>SDG 10: Reduced inequalities</t>
  </si>
  <si>
    <t>SDG 11: Sustainable cities and communities</t>
  </si>
  <si>
    <t>SDG 12: Responsible consumption and production</t>
  </si>
  <si>
    <t>SDG 13: Climate action</t>
  </si>
  <si>
    <t>SDG 14: Life below water</t>
  </si>
  <si>
    <t>SDG 15: Life on land</t>
  </si>
  <si>
    <t>SDG 16: Peace, justice and strong institutions</t>
  </si>
  <si>
    <t>SDG 17: Partnerships for the goals</t>
  </si>
  <si>
    <t>PAI M1. GHG emissions</t>
  </si>
  <si>
    <t>PAI M2. Carbon footprint</t>
  </si>
  <si>
    <t xml:space="preserve">PAI M3. GHG intensity </t>
  </si>
  <si>
    <t>PAI M5. Share of non-renewable energy</t>
  </si>
  <si>
    <t>PAI M6. Energy consumption intensity</t>
  </si>
  <si>
    <t>PAI M7. Negative effects on biodiversity</t>
  </si>
  <si>
    <t>PAI M8. Emissions to water</t>
  </si>
  <si>
    <t>PAI M9. Hazardous waste ratio</t>
  </si>
  <si>
    <t>PAI M10. Violations of UNGCP &amp; OECD</t>
  </si>
  <si>
    <t>PAI M13. Board gender diversity</t>
  </si>
  <si>
    <t>PAI M14. Exposure to controversial weapons</t>
  </si>
  <si>
    <t>PAI VE1. Emissions of inorganic pollutants</t>
  </si>
  <si>
    <t>PAI VE2. Emissions of air pollutants</t>
  </si>
  <si>
    <t>PAI VE3. Ozone depletion</t>
  </si>
  <si>
    <t>PAI VE4. No carbon reduction initiatives</t>
  </si>
  <si>
    <t>PAI VE5. Energy consumption by non-renewables</t>
  </si>
  <si>
    <t>PAI VE6. Water usage and recycling</t>
  </si>
  <si>
    <t>PAI VE7. Lack water management policy</t>
  </si>
  <si>
    <t>PAI VE8. Water stress</t>
  </si>
  <si>
    <t>PAI VE10. Land &amp; soil degradation, deforestation</t>
  </si>
  <si>
    <t>PAI VE11. Lack sustainable agriculture</t>
  </si>
  <si>
    <t>PAI VE12. Lack sustainable oceans practice</t>
  </si>
  <si>
    <t>PAI VE13. Non-recycled waste ratio</t>
  </si>
  <si>
    <t>PAI VE14. Natural species, protected areas</t>
  </si>
  <si>
    <t>PAI VE15. Deforestation</t>
  </si>
  <si>
    <t>PAI VS1. No workplace accident policies</t>
  </si>
  <si>
    <t>PAI VS2. Rate of accidents</t>
  </si>
  <si>
    <t>PAI VS3. Number of days lost to injuries, accidents, fatalities or illness</t>
  </si>
  <si>
    <t>PAI VS5. Lack employee grievance mechanism</t>
  </si>
  <si>
    <t>PAI VS7. Incidents of discrimination</t>
  </si>
  <si>
    <t>PAI VS8. Excessive CEO pay ratio</t>
  </si>
  <si>
    <t>PAI VS9. Lack human rights policy</t>
  </si>
  <si>
    <t>PAI VS10. Lack due diligence</t>
  </si>
  <si>
    <t>PAI VS11. Lack human trafficking controls</t>
  </si>
  <si>
    <t>PAI VS14. Number of severe human rights issues &amp; incidents</t>
  </si>
  <si>
    <t>PAI VS15. Lack controls around bribery &amp; corruption</t>
  </si>
  <si>
    <t>PAI VS16. Lack action to address bribery &amp; corruption</t>
  </si>
  <si>
    <t>PAI VS17. Number of convictions &amp; cost of fines re bribery &amp; corruption</t>
  </si>
  <si>
    <t>Engagement ID</t>
  </si>
  <si>
    <t>Warner Bros Discovery Inc</t>
  </si>
  <si>
    <t>Purpose</t>
  </si>
  <si>
    <t>Board statement of purpose.</t>
  </si>
  <si>
    <t>No</t>
  </si>
  <si>
    <t>2</t>
  </si>
  <si>
    <t>Strategy, Risk &amp; Communication</t>
  </si>
  <si>
    <t>Purpose, Strategy &amp; Policies</t>
  </si>
  <si>
    <t>Business Purpose</t>
  </si>
  <si>
    <t>North America</t>
  </si>
  <si>
    <t>United States of America</t>
  </si>
  <si>
    <t>Software &amp; Communication Services</t>
  </si>
  <si>
    <t>N/A</t>
  </si>
  <si>
    <t>2020 Q4</t>
  </si>
  <si>
    <t/>
  </si>
  <si>
    <t>Yes</t>
  </si>
  <si>
    <t>a5da700000057CKAAY</t>
  </si>
  <si>
    <t>Executive compensation</t>
  </si>
  <si>
    <t>Top quartile compensation misaligned with performance without sufficient disclosure of how such above market compensation aligns with shareholder value.</t>
  </si>
  <si>
    <t>Governance</t>
  </si>
  <si>
    <t>Executive Remuneration</t>
  </si>
  <si>
    <t>Pay Design &amp; Disclosure</t>
  </si>
  <si>
    <t>2020 Q2</t>
  </si>
  <si>
    <t>02/12/25</t>
  </si>
  <si>
    <t>a5da7000000577HAAQ</t>
  </si>
  <si>
    <t>Coronavirus response</t>
  </si>
  <si>
    <t>Employee wellbeing during coronavirus.</t>
  </si>
  <si>
    <t>Social</t>
  </si>
  <si>
    <t>Human Capital</t>
  </si>
  <si>
    <t>Worker Health, Safety and Wellbeing</t>
  </si>
  <si>
    <t>2020 Q3</t>
  </si>
  <si>
    <t>a5da7000000573LAAQ</t>
  </si>
  <si>
    <t>Racism/George Floyd/Black Lives Matter response</t>
  </si>
  <si>
    <t>Company's response to George Floyd protests.</t>
  </si>
  <si>
    <t>Long-term Sustainable Strategy</t>
  </si>
  <si>
    <t>a5da7000000573MAAQ</t>
  </si>
  <si>
    <t>Lack of director independence and other governance issues</t>
  </si>
  <si>
    <t>Board composition is reflective of deep-seated governance concerns.</t>
  </si>
  <si>
    <t>Board Effectiveness</t>
  </si>
  <si>
    <t>Board Composition &amp; Structure</t>
  </si>
  <si>
    <t>2019 Q2</t>
  </si>
  <si>
    <t>a5da7000000581rAAA</t>
  </si>
  <si>
    <t>ESG report</t>
  </si>
  <si>
    <t>Need ESG disclosure.</t>
  </si>
  <si>
    <t>Corporate Reporting</t>
  </si>
  <si>
    <t>Sustainability Transparency</t>
  </si>
  <si>
    <t>a5da700000057CJAAY</t>
  </si>
  <si>
    <t>Honeywell International Inc</t>
  </si>
  <si>
    <t>Sustainability Strategy &amp; Targets</t>
  </si>
  <si>
    <t>The company has delivered on previous carbon, waste and health and safety commitments and is setting next-generation targets for its sustainability strategy. These should include new carbon and efficiency targets, renewables goals, and stronger indicators of how the company is contributing to sustainable development through its products and services.</t>
  </si>
  <si>
    <t>Industrials</t>
  </si>
  <si>
    <t>05/11/25</t>
  </si>
  <si>
    <t>a5da700000057oeAAA</t>
  </si>
  <si>
    <t>Improve overall governance policies &amp; disclosures</t>
  </si>
  <si>
    <t>Enhance policies and disclosures around independent leadership, compensation, lobbying expenditures</t>
  </si>
  <si>
    <t>2014 Q2</t>
  </si>
  <si>
    <t>a5da700000057ocAAA</t>
  </si>
  <si>
    <t>Best Practice in Lobbying &amp; Political Contributions Disclosure</t>
  </si>
  <si>
    <t>The company has been subject to several shareholder resolutions on lobbying and political expenditures and could increase its voluntary disclosures in this arena.</t>
  </si>
  <si>
    <t xml:space="preserve">Wider Societal Impacts </t>
  </si>
  <si>
    <t>Conduct &amp; Ethics</t>
  </si>
  <si>
    <t>a5da700000057gcAAA</t>
  </si>
  <si>
    <t>American Electric Power Co Inc</t>
  </si>
  <si>
    <t>Lobbying &amp; Political Expenditure Disclosures</t>
  </si>
  <si>
    <t>The company has demonstrated good practices in its lobbying and political disclosures, but this remains an elevated risk given the attention on utilities and their role in climate-related policies in the US at a state and federal level.</t>
  </si>
  <si>
    <t>1</t>
  </si>
  <si>
    <t>Utilities</t>
  </si>
  <si>
    <t>2019 Q4</t>
  </si>
  <si>
    <t>a5da700000056qSAAQ</t>
  </si>
  <si>
    <t>Climate change risk to coal operations</t>
  </si>
  <si>
    <t>The risk that changes in climate change related policy impacts long term shareholder value</t>
  </si>
  <si>
    <t>Environmental</t>
  </si>
  <si>
    <t>Climate Change</t>
  </si>
  <si>
    <t>Climate Governance &amp; Transparency</t>
  </si>
  <si>
    <t>2015 Q4</t>
  </si>
  <si>
    <t>a5da700000057KKAAY</t>
  </si>
  <si>
    <t>The company is to make changes to its executive compensation to better align performance with the long-term interests of shareholders.</t>
  </si>
  <si>
    <t>a5da700000057BGAAY</t>
  </si>
  <si>
    <t>Coal Ash Remediation</t>
  </si>
  <si>
    <t>Coal is a large power generation source for the company. We want the company to effectively and equitably manage its coal ash.</t>
  </si>
  <si>
    <t>2021 Q1</t>
  </si>
  <si>
    <t>a5da700000057AhAAI</t>
  </si>
  <si>
    <t>Just Transition</t>
  </si>
  <si>
    <t>AEP recognises the impact on multiple stakeholders of the transition from coal, including creating trust in communities built around coal jobs who are also customers that may be impacted by rate changes. We will push the company to disclose a strategy to support the transition of the workforce away from the coal-fired power towards supporting green jobs.</t>
  </si>
  <si>
    <t>a5da700000057AAAAY</t>
  </si>
  <si>
    <t>Succession Risks &amp; Remuneration</t>
  </si>
  <si>
    <t>The company has provided one-time restricted shares to two executives for retention purposes, and has a high CEO to NEO pay ratio. Both issues could indicate ongoing risks in succession planning and retention, and we require greater engagement to clarify and understand how the company is approaching such risks.</t>
  </si>
  <si>
    <t>a5da700000057TeAAI</t>
  </si>
  <si>
    <t>Set Science-based Target</t>
  </si>
  <si>
    <t>Company to set a science-based target which is authenticated by a third-party.</t>
  </si>
  <si>
    <t>GHG Emissions Reduction</t>
  </si>
  <si>
    <t>a5da700000056qRAAQ</t>
  </si>
  <si>
    <t>Validation of sufficiency of climate strategy</t>
  </si>
  <si>
    <t xml:space="preserve">The company secures validation of the sufficiency of its strategy in the event of global scenarios consistent with the Paris Goals, or provides a compelling reason why this is not appropriate.
In our view, such external validation will help give valuable insights on the resilience of the strategy under certain global lower carbon scenarios and increase investor confidence, in the interests of the company and long-term shareholder value.</t>
  </si>
  <si>
    <t>Climate Opportunities</t>
  </si>
  <si>
    <t>Complete</t>
  </si>
  <si>
    <t>2023 Q3</t>
  </si>
  <si>
    <t>Underway</t>
  </si>
  <si>
    <t>Pending</t>
  </si>
  <si>
    <t>Stalled</t>
  </si>
  <si>
    <t>19/11/25</t>
  </si>
  <si>
    <t>a5da700000055ldAAA</t>
  </si>
  <si>
    <t>Climate strategy</t>
  </si>
  <si>
    <t xml:space="preserve">The company develops and discloses a credible strategy including its capital allocation plan strategy that facilitates the implementation of its strategy and stated targets to take advantage of climate-related opportunities and the benefits of reduced risks, addressing a range of global scenarios, including if the company considers feasible, and appropriate and consistent with long-term financial value, those consistent with the Paris Goals.
In our view, further development of the company's capital allocation plan will demonstrate that it is adequately resourced to strategy and related targets will help better identify and prepare for opportunities and risks related to the energy transition, including under global lower carbon scenarios, in the interests of the company and long-term shareholder value.</t>
  </si>
  <si>
    <t>2021 Q4</t>
  </si>
  <si>
    <t>2022 Q2</t>
  </si>
  <si>
    <t>Stalling</t>
  </si>
  <si>
    <t>18/12/25</t>
  </si>
  <si>
    <t>a5da700000055u5AAA</t>
  </si>
  <si>
    <t>American Express Co</t>
  </si>
  <si>
    <t>Executive pay</t>
  </si>
  <si>
    <t>We voted against the say on pay resolution at the 2017 AGM.</t>
  </si>
  <si>
    <t>Financial Services</t>
  </si>
  <si>
    <t>2017 Q2</t>
  </si>
  <si>
    <t>a5da700000057d3AAA</t>
  </si>
  <si>
    <t>Risk management and strategy</t>
  </si>
  <si>
    <t>Ensure that company managed the risks arising from its strategy appropriately</t>
  </si>
  <si>
    <t>Human &amp; Labour Rights</t>
  </si>
  <si>
    <t>Supply Chain Rights</t>
  </si>
  <si>
    <t>2012 Q4</t>
  </si>
  <si>
    <t>a5da700000056VxAAI</t>
  </si>
  <si>
    <t>Stakeholder perspective and governance</t>
  </si>
  <si>
    <t>Taking account of most important stakeholders to provide sustained long-term value</t>
  </si>
  <si>
    <t>2018 Q1</t>
  </si>
  <si>
    <t>a5da700000056VzAAI</t>
  </si>
  <si>
    <t>Climate change opportunity</t>
  </si>
  <si>
    <t>We suggested to the bank that it consider how it can find marketing and business opportunities in climate change.</t>
  </si>
  <si>
    <t>28/10/25</t>
  </si>
  <si>
    <t>a5da700000057RaAAI</t>
  </si>
  <si>
    <t>Mis-selling</t>
  </si>
  <si>
    <t>The company is undergoing a review of operations to ensure that it is not mis-selling in the way that Wells Fargo did.</t>
  </si>
  <si>
    <t>a5da700000056TtAAI</t>
  </si>
  <si>
    <t>AI leadership</t>
  </si>
  <si>
    <t>AI ethical principles, governance, footprint, disclosure.</t>
  </si>
  <si>
    <t>Risk Management</t>
  </si>
  <si>
    <t>Enterprise Risk Practices</t>
  </si>
  <si>
    <t>a5da700000056wJAAQ</t>
  </si>
  <si>
    <t>Human capital management -- COVID-19</t>
  </si>
  <si>
    <t>Human capital management in response to COVID-19.</t>
  </si>
  <si>
    <t>a5da700000056xGAAQ</t>
  </si>
  <si>
    <t>Diversity &amp; Inclusion Strategy</t>
  </si>
  <si>
    <t>Company to improve its diversity and inclusion disclosure and strategy.</t>
  </si>
  <si>
    <t>Talent Management</t>
  </si>
  <si>
    <t>a5da700000057crAAA</t>
  </si>
  <si>
    <t>AstraZeneca PLC</t>
  </si>
  <si>
    <t>Remuneration practices</t>
  </si>
  <si>
    <t>United Kingdom</t>
  </si>
  <si>
    <t>United Kingdom of Great Britain and Northern Ireland</t>
  </si>
  <si>
    <t>Pharma &amp; Healthcare</t>
  </si>
  <si>
    <t>a5da700000057fpAAA</t>
  </si>
  <si>
    <t>Succession planning</t>
  </si>
  <si>
    <t>Succession &amp; Stability</t>
  </si>
  <si>
    <t>2012 Q2</t>
  </si>
  <si>
    <t>a5da700000057flAAA</t>
  </si>
  <si>
    <t>Director over boarding</t>
  </si>
  <si>
    <t>One of its directors holds an executive role at a private company, as well as two non-executive directorships</t>
  </si>
  <si>
    <t>a5da700000057fyAAA</t>
  </si>
  <si>
    <t>Response to Coronavirus</t>
  </si>
  <si>
    <t>As well as presenting potential operational and financial challenges for the company, which it appears to be managing well, the company has made a strategic move to partner with the University of Oxford in the development of a potential vaccine. Although in the short term this will not be a significant profit driver, due to sensible decisions on access and providing at cost during the pandemic, it could in time for a valuable product. Further, it boosts the company's reputation and perception of the pharmaceutical sector and its social value.</t>
  </si>
  <si>
    <t>a5da700000057HhAAI</t>
  </si>
  <si>
    <t>Director serving as remuneration committee chair and SID</t>
  </si>
  <si>
    <t>The newly appointed senior independent director (Q1 2019) continues to serve as chair of the remuneration committee. Due to various factors, succession planning is a key priority for the board, at the same time as the company is developing its new remuneration policy. This puts heavy time requirements on the director, who also also holds a CEO role at another company. Further, we have had concerns about his leadership of remuneration, and have recommended voting against remuneration proposals for a number of years and, in 2018, his re-election as committee chair. This calls into question whether a new committee chair should be appointed.</t>
  </si>
  <si>
    <t>2019 Q1</t>
  </si>
  <si>
    <t>a5da700000056dfAAA</t>
  </si>
  <si>
    <t>Access to medicines</t>
  </si>
  <si>
    <t>.</t>
  </si>
  <si>
    <t>Access &amp; Affordability</t>
  </si>
  <si>
    <t>2011 Q2</t>
  </si>
  <si>
    <t>a5da700000056dWAAQ</t>
  </si>
  <si>
    <t>Board structure</t>
  </si>
  <si>
    <t>2012 Q1</t>
  </si>
  <si>
    <t>a5da700000056H0AAI</t>
  </si>
  <si>
    <t>Corporate culture</t>
  </si>
  <si>
    <t>2013 Q2</t>
  </si>
  <si>
    <t>17/10/25</t>
  </si>
  <si>
    <t>a5da700000056GzAAI</t>
  </si>
  <si>
    <t>Risk controls framework</t>
  </si>
  <si>
    <t>2013 Q4</t>
  </si>
  <si>
    <t>a5da700000056BiAAI</t>
  </si>
  <si>
    <t>Discuss long-term strategic challenges faced by the pharmaceutical industry</t>
  </si>
  <si>
    <t>Terms of Employment</t>
  </si>
  <si>
    <t>2010 Q3</t>
  </si>
  <si>
    <t>a5da7000000568zAAA</t>
  </si>
  <si>
    <t>Audit quality</t>
  </si>
  <si>
    <t>Audit &amp; Accounting</t>
  </si>
  <si>
    <t>a5da700000056BjAAI</t>
  </si>
  <si>
    <t xml:space="preserve">sustainability, innovation &amp;  conduct</t>
  </si>
  <si>
    <t>To gain insights into how the company is embedding sustainability in its core strategy and values</t>
  </si>
  <si>
    <t>2017 Q3</t>
  </si>
  <si>
    <t>a5da700000056TyAAI</t>
  </si>
  <si>
    <t>Ashtead Group PLC</t>
  </si>
  <si>
    <t>Remuneration policy</t>
  </si>
  <si>
    <t>Remuneration policy that avoids escalation of salaries</t>
  </si>
  <si>
    <t>Other</t>
  </si>
  <si>
    <t>2016 Q3</t>
  </si>
  <si>
    <t>a5da700000057o0AAA</t>
  </si>
  <si>
    <t>Gender diversity</t>
  </si>
  <si>
    <t>There is low gender diversity at leadership level, though board level diversity is currently within our expectations. The company needs to invest in female talent development initiatives throughout its operations.</t>
  </si>
  <si>
    <t>a5da700000057nyAAA</t>
  </si>
  <si>
    <t>Ethnic Diversity</t>
  </si>
  <si>
    <t>Board is not in line with the Parker Review.</t>
  </si>
  <si>
    <t>2021 Q3</t>
  </si>
  <si>
    <t>a5da700000057VoAAI</t>
  </si>
  <si>
    <t>Associated British Foods PLC</t>
  </si>
  <si>
    <t>Science-based Target Setting</t>
  </si>
  <si>
    <t>ABF should work towards setting science-based targets in order to ensure its efforts are aligned with what science tells us is required to meet the Paris Agreement.</t>
  </si>
  <si>
    <t>Consumer Goods</t>
  </si>
  <si>
    <t>2018 Q3</t>
  </si>
  <si>
    <t>a5da700000057oRAAQ</t>
  </si>
  <si>
    <t>Water risks</t>
  </si>
  <si>
    <t>To ensure the company is managing and disclosing water risks in agricultural supply chains.</t>
  </si>
  <si>
    <t>Natural Resource Stewardship</t>
  </si>
  <si>
    <t>Water &amp; Oceans</t>
  </si>
  <si>
    <t>09/10/25</t>
  </si>
  <si>
    <t>a5da700000057oJAAQ</t>
  </si>
  <si>
    <t>Remuneration</t>
  </si>
  <si>
    <t>To ensure the company makes remuneration-related decisions which are in line with our voting guidelines</t>
  </si>
  <si>
    <t>2017 Q4</t>
  </si>
  <si>
    <t>27/11/25</t>
  </si>
  <si>
    <t>a5da700000057uuAAA</t>
  </si>
  <si>
    <t>Circular Economy</t>
  </si>
  <si>
    <t>Challenge the company how Primark's business model is compatible with circular economy principles. Follow up on recycling efforts.</t>
  </si>
  <si>
    <t>Circular Economy &amp; Zero Pollution</t>
  </si>
  <si>
    <t>Circular Economy &amp; Waste Reduction</t>
  </si>
  <si>
    <t>a5da700000057usAAA</t>
  </si>
  <si>
    <t>Discuss the company’s response to the coronavirus pandemic considering long-term business success and considerate management of stakeholders.</t>
  </si>
  <si>
    <t>a5da700000057WeAAI</t>
  </si>
  <si>
    <t>Supply chain human rights</t>
  </si>
  <si>
    <t>We engage with the company on human rights in its supply chain.</t>
  </si>
  <si>
    <t>2021 Q2</t>
  </si>
  <si>
    <t>a5da700000057WiAAI</t>
  </si>
  <si>
    <t>Primark Recycling Infrastructure</t>
  </si>
  <si>
    <t>Fast fashion has severe environmental impacts in terms of resource consumption and waste. As a step towards shifting to a more circular business model, our objective is for the company to provide collection points at all store locations to encourage customers to recycle garments. This will be followed by an objective focusing on how the company treats the collected items.</t>
  </si>
  <si>
    <t>2019 Q3</t>
  </si>
  <si>
    <t>2023 Q4</t>
  </si>
  <si>
    <t>2025 Q4</t>
  </si>
  <si>
    <t>Objective Complete</t>
  </si>
  <si>
    <t>M4 -&gt; Complete</t>
  </si>
  <si>
    <t>Completed - Partially</t>
  </si>
  <si>
    <t>The expansion of the company’s recycling infrastructure helps reduce the risk of stranded assets from future regulations, improves operating cash flow through efficiency gains, and avoids potential penalties.</t>
  </si>
  <si>
    <t>Amber</t>
  </si>
  <si>
    <t>a5da700000055gTAAQ</t>
  </si>
  <si>
    <t>BHP Group Ltd</t>
  </si>
  <si>
    <t>ACSI engagement activity on Climate Change - Strategy and targets</t>
  </si>
  <si>
    <t>ACSI engagement activity.</t>
  </si>
  <si>
    <t>Australia &amp; New Zealand</t>
  </si>
  <si>
    <t>Australia</t>
  </si>
  <si>
    <t>Mining &amp; Materials</t>
  </si>
  <si>
    <t>a5da700000057RoAAI</t>
  </si>
  <si>
    <t>Banco Santander SA</t>
  </si>
  <si>
    <t>Internal controls</t>
  </si>
  <si>
    <t>Raised issue of rogue traders and the company's position regardings its internal controls.</t>
  </si>
  <si>
    <t>Europe</t>
  </si>
  <si>
    <t>Spain</t>
  </si>
  <si>
    <t>2011 Q3</t>
  </si>
  <si>
    <t>a5da700000056c7AAA</t>
  </si>
  <si>
    <t>diversity and human capital</t>
  </si>
  <si>
    <t>Restructuring story, financial sector, wide geographic footprint</t>
  </si>
  <si>
    <t>2016 Q4</t>
  </si>
  <si>
    <t>a5da700000056c9AAA</t>
  </si>
  <si>
    <t>Board independence</t>
  </si>
  <si>
    <t>2014 Q1</t>
  </si>
  <si>
    <t>a5da700000056WHAAY</t>
  </si>
  <si>
    <t>Responsible lending</t>
  </si>
  <si>
    <t>2015 Q3</t>
  </si>
  <si>
    <t>a5da700000056d3AAA</t>
  </si>
  <si>
    <t>Group alignment on responsible business</t>
  </si>
  <si>
    <t>The company needs to align culture, purpose and responsible business practice of subsidiaries in line with the corporate centre to reduce reputational risk. Indicators include: adoption of responsible banking approach, reduction of coal lending in Poland and no evidence of discriminatory practices in the US. The evidence that is sought includes: adoption of central responsible banking policies by the subsidiary groups and clear oversight via internal audit by the central board of directors.</t>
  </si>
  <si>
    <t>2020 Q1</t>
  </si>
  <si>
    <t>a5da700000055dzAAA</t>
  </si>
  <si>
    <t>Remuneration structure</t>
  </si>
  <si>
    <t>a5da700000057YGAAY</t>
  </si>
  <si>
    <t>Annual meeting good practice</t>
  </si>
  <si>
    <t>The company operates its general shareholder meetings in line with our principles of annual meeting good practice.</t>
  </si>
  <si>
    <t>Investor Protection &amp; Rights</t>
  </si>
  <si>
    <t>Basic Shareholder Rights</t>
  </si>
  <si>
    <t>a5da7000000578OAAQ</t>
  </si>
  <si>
    <t>Financial inclusion</t>
  </si>
  <si>
    <t>Initiatives to include the underserved and vulnerable members of society, in a safe but positive impact way.</t>
  </si>
  <si>
    <t>a5da700000057TUAAY</t>
  </si>
  <si>
    <t>CRH PLC</t>
  </si>
  <si>
    <t>Corporate lobbying</t>
  </si>
  <si>
    <t>The company improves its disclosure around its membership and involvement in trade associations engaged in climate issues.</t>
  </si>
  <si>
    <t>Ireland</t>
  </si>
  <si>
    <t>a5da7000000576pAAA</t>
  </si>
  <si>
    <t>Audit assumptions in line with Paris Goals</t>
  </si>
  <si>
    <t>Audit assumptions should take account of material climate risks.</t>
  </si>
  <si>
    <t>06/11/25</t>
  </si>
  <si>
    <t>a5da700000057WDAAY</t>
  </si>
  <si>
    <t>A remuneration policy that does not provide excessive increases in CEO pay</t>
  </si>
  <si>
    <t>2016 Q2</t>
  </si>
  <si>
    <t>a5da700000057brAAA</t>
  </si>
  <si>
    <t>Living Wage</t>
  </si>
  <si>
    <t>Company to confirm that it is meeting the Living Wage Foundation expectations.</t>
  </si>
  <si>
    <t>a5da700000057BjAAI</t>
  </si>
  <si>
    <t>There is poor disclosure of gender diversity at leadership levels and, specifically, on the executive committee, though board level diversity is currently within our expectations. The company needs to invest in female talent development initiatives throughout its operations.</t>
  </si>
  <si>
    <t>a5da700000057bhAAA</t>
  </si>
  <si>
    <t>Caterpillar Inc</t>
  </si>
  <si>
    <t>Company to clearly express how it will enact business purpose.</t>
  </si>
  <si>
    <t>Transportation</t>
  </si>
  <si>
    <t>a5da7000000575rAAA</t>
  </si>
  <si>
    <t>Circular economy</t>
  </si>
  <si>
    <t>Company is moving towards circular economy practices which appears a CEO priority.</t>
  </si>
  <si>
    <t>a5da700000056dXAAQ</t>
  </si>
  <si>
    <t>E&amp;S Governance</t>
  </si>
  <si>
    <t>It is unclear what oversight and involvement the board has on environmental and social issues. There are some references in the proxy statement, though limited, and there is no dedicated committee.</t>
  </si>
  <si>
    <t>a5da700000057rAAAQ</t>
  </si>
  <si>
    <t>Human rights policy</t>
  </si>
  <si>
    <t>Support for human rights related shareholder proposal</t>
  </si>
  <si>
    <t>2015 Q2</t>
  </si>
  <si>
    <t>04/12/25</t>
  </si>
  <si>
    <t>a5da700000057XEAAY</t>
  </si>
  <si>
    <t>Lead independent director</t>
  </si>
  <si>
    <t>Support for independent chair shareholder proposal</t>
  </si>
  <si>
    <t>a5da700000057nQAAQ</t>
  </si>
  <si>
    <t>Auditor tenure</t>
  </si>
  <si>
    <t>Our objective is for the company to rotate its incumbent financial auditor, PwC. Ideally the company will adopt a policy of rotating the auditor regularly so that tenure does not exceed 20 years as an absolute maximum.</t>
  </si>
  <si>
    <t>a5da700000055rWAAQ</t>
  </si>
  <si>
    <t>Water management strategy</t>
  </si>
  <si>
    <t>The company has a goal to implement water management strategies at 100% of its facilities located in water high-risk areas by 2030. Our objective is for the company to develop water management strategies for these facilities including suitably ambitious water use reduction targets for the sub-set of properties identified and for progress to be disclosed.</t>
  </si>
  <si>
    <t>2024 Q2</t>
  </si>
  <si>
    <t>a5da700000055rSAAQ</t>
  </si>
  <si>
    <t xml:space="preserve">The company develops and discloses a credible strategy including its capital allocation strategy to take advantage of climate-related opportunities and the benefits of reduced risks, addressing a range of global scenarios.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</si>
  <si>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2025 Q3</t>
  </si>
  <si>
    <t>a5da700000055obAAA</t>
  </si>
  <si>
    <t>Overcommitted Lead Independent Director</t>
  </si>
  <si>
    <t>We are concerned with the time commitments of the lead independent director (LID) as he is also the CEO of Boeing. The company has a combined CEO and chair position and needs a strong LID to balance this. The company has assured us that the LID is 100% fulfilling his many duties on the board which in addition to the LID role also include being the chair of the nom and governance committee. We continue to be concerned regarding his commitments and his role with respect to chair/CEO succession. The company either winds back the LID additional commitments so he can effectively balance the combined chair and CEO role, or the company separates the chair and CEO position appointing an independent chair who is not overcommitted.</t>
  </si>
  <si>
    <t>a5da700000057O7AAI</t>
  </si>
  <si>
    <t>Controversy linked to UNGC Principle 2: Complicit in human rights abuses</t>
  </si>
  <si>
    <t>The company has robust policies, controls and checks in place with regard to limiting the risk of involvement of its products in human rights abuses in occupied territories, in particular the West Bank.</t>
  </si>
  <si>
    <t>High Geographic Risks</t>
  </si>
  <si>
    <t>2017 Q1</t>
  </si>
  <si>
    <t>a5da7000000577VAAQ</t>
  </si>
  <si>
    <t>Human capital management</t>
  </si>
  <si>
    <t>Little public reporting on human capital management performance metrics, eg no reporting on retention, engagement, recruitment or training.</t>
  </si>
  <si>
    <t>a5da700000057kFAAQ</t>
  </si>
  <si>
    <t>Climate Strategyand Targets</t>
  </si>
  <si>
    <t>The company should set a climate strategy that includes meaningful carbon reduction targets.</t>
  </si>
  <si>
    <t>a5da700000057g4AAA</t>
  </si>
  <si>
    <t>Lobbying policy</t>
  </si>
  <si>
    <t>Support for lobbying proposal at 2016 AGM</t>
  </si>
  <si>
    <t>a5da700000057SXAAY</t>
  </si>
  <si>
    <t>Combined chair/CEO</t>
  </si>
  <si>
    <t>Company took the decision in December 2018 to combine the roles of CEO and chair.</t>
  </si>
  <si>
    <t>a5da700000057l0AAA</t>
  </si>
  <si>
    <t>Vote against say on pay resolution</t>
  </si>
  <si>
    <t>a5da700000057r9AAA</t>
  </si>
  <si>
    <t>Auditor rotation</t>
  </si>
  <si>
    <t>The company puts out to tender and rotates its financial auditor and thereafter on a regular basis.</t>
  </si>
  <si>
    <t>a5da700000057NxAAI</t>
  </si>
  <si>
    <t>JPMorgan Chase &amp; Co</t>
  </si>
  <si>
    <t xml:space="preserve">The company develops and discloses a credible strategy to take advantage of climate-related opportunities and the benefits of reduced risks, addressing a range of global scenarios, including if the company considers feasible and appropriate and consistent with long-term financial value, those consistent with the Paris Goals.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</si>
  <si>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2023 Q2</t>
  </si>
  <si>
    <t>Progressing Slowly</t>
  </si>
  <si>
    <t>a5da700000055t0AAA</t>
  </si>
  <si>
    <t>Enhancing risk reporting</t>
  </si>
  <si>
    <t>Engagement to improve transparency around risk management, and disclosures of key assets and sensitivities</t>
  </si>
  <si>
    <t>2011 Q4</t>
  </si>
  <si>
    <t>a5da700000056CjAAI</t>
  </si>
  <si>
    <t>Create independent chair role</t>
  </si>
  <si>
    <t>We supported a non-binding shareholder proposal for the company to create an independent chair, with discretion to phase this in at the next CEO transition. This a governance best practice that we support globally.</t>
  </si>
  <si>
    <t>2018 Q2</t>
  </si>
  <si>
    <t>a5da700000056cqAAA</t>
  </si>
  <si>
    <t>Prospects for developping market business - access to finance</t>
  </si>
  <si>
    <t>a5da7000000561FAAQ</t>
  </si>
  <si>
    <t>Improve leadership structure</t>
  </si>
  <si>
    <t>a5da700000056EHAAY</t>
  </si>
  <si>
    <t>Director share pledging</t>
  </si>
  <si>
    <t>One director has pledged over $1 billion of his company equity as collateral for loans. This can create misaligned incentives and risks compromising the director's duty of loyalty to the company. While this amount may not be material to the company, it is material to the director and thus may have a significant impact on the director's value creation time horizon, especially if the collateral becomes burdened or called, impacting the director's fiduciary duties.</t>
  </si>
  <si>
    <t>a5da700000056YAAAY</t>
  </si>
  <si>
    <t>This is to ensure that the bank integrates climate change into its strategy and meets the goals of the Paris Agreement.</t>
  </si>
  <si>
    <t>a5da700000057S6AAI</t>
  </si>
  <si>
    <t>Excessive CEO remuneration</t>
  </si>
  <si>
    <t>The excessive overall quantum of compensation places the CEO in the top quartile of company-selected peers. The company does not disclose the value creation benefit of this above market compensation to shareholders.</t>
  </si>
  <si>
    <t>Responsible Pay Outcomes</t>
  </si>
  <si>
    <t>a5da700000057oCAAQ</t>
  </si>
  <si>
    <t>Refresh board and strengthen risk oversight</t>
  </si>
  <si>
    <t>Encourage refreshment of the board and the appointment of directors with risk oversight and management experience</t>
  </si>
  <si>
    <t>a5da700000056coAAA</t>
  </si>
  <si>
    <t>Defensive shareholder proposals</t>
  </si>
  <si>
    <t>The company submitted a proposal designed to supercede an existing shareholder proposal due to proposal similarity. The securities regulator approved the exclusion of the shareholder proposal based on this similarity. We oppose such measures as they are designed to reduce shareholder proposals through company counter proposals that, while similar, are materially tilted in opposition to the goal of the shareholder proposal.</t>
  </si>
  <si>
    <t>Minority Protections</t>
  </si>
  <si>
    <t>a5da700000056bRAAQ</t>
  </si>
  <si>
    <t>Enhance the company's shareholder engagement programme</t>
  </si>
  <si>
    <t>a5da700000056bdAAA</t>
  </si>
  <si>
    <t>Impact of forthcoming regulation on strategy</t>
  </si>
  <si>
    <t>Discussion on impact of forthcoming regulation on business</t>
  </si>
  <si>
    <t>a5da700000056FiAAI</t>
  </si>
  <si>
    <t>Racial inequities impact on interest rates</t>
  </si>
  <si>
    <t>Risk that Fed delays interest hikes longer than anticipated to increase employment in lower income and diverse communities.</t>
  </si>
  <si>
    <t>a5da7000000577rAAA</t>
  </si>
  <si>
    <t>Corporate governance conduct and regulatory fines</t>
  </si>
  <si>
    <t xml:space="preserve">In November 2020, Sustainalytics downgraded the Corporate Governance event indicator to Category 2 from Category 1 due to increased regulatory and business risks as a result of the company's disclosure that it faces a potential fine. According to the regulatory filing, the fine concerns  "historical deficiencies" in internal controls in the bank's role as an adviser to customers. The bank is in talks with an unnamed US regulator and added that there was no assurance that the current talks would lead to a resolution.</t>
  </si>
  <si>
    <t>a5da7000000576KAAQ</t>
  </si>
  <si>
    <t>Disclosure of the parent and subsidiary board member identities</t>
  </si>
  <si>
    <t xml:space="preserve">The company discloses the identities of the parent bank holding company’s board members but does not disclose the identities of the subsidiary bank's board members in a clear fashion. The bank is the largest subsidiary, providing most of the enterprise's revenue and profit.   From discussions with the company and indirect indications made in disclosures, we suspect that both boards are made up of the same directors.  Under regulations issued by the Federal Reserve Bank and the Office of the Comptroller of the Currency, the company's primary regulators, it is clear that the fiduciary duty objects ("duty to whom?") of the subsidiary bank are significantly different to those of the parent holding company. While different directors on each board would be able to fulfil these diverging duties, it is difficult for us to see how the same group of directors can do so.  The first step is to disclose the identities of the directors on both boards.</t>
  </si>
  <si>
    <t>a5da700000057U2AAI</t>
  </si>
  <si>
    <t>Share Buyback Programme</t>
  </si>
  <si>
    <t>Share buyback programme in light of negative free cash flow.</t>
  </si>
  <si>
    <t>a5da700000057UCAAY</t>
  </si>
  <si>
    <t>Shareholder proposals</t>
  </si>
  <si>
    <t>Voting in favour of shareholder proposals on governance matters</t>
  </si>
  <si>
    <t>a5da700000057oDAAQ</t>
  </si>
  <si>
    <t>Alleged (racially) discriminatory employee and customer practices</t>
  </si>
  <si>
    <t>Probe CCR sustainalytics incidents, what has been done to address them, likelihood of future occurrence.</t>
  </si>
  <si>
    <t>a5da7000000572jAAA</t>
  </si>
  <si>
    <t>Political spends</t>
  </si>
  <si>
    <t>Reputation risk of corporate influence on politics.</t>
  </si>
  <si>
    <t>a5da700000057HiAAI</t>
  </si>
  <si>
    <t>AI ethics and governance</t>
  </si>
  <si>
    <t>Ethical use and oversight of AI and mitigation of risk.</t>
  </si>
  <si>
    <t>Digital Rights &amp; AI</t>
  </si>
  <si>
    <t>a5da7000000573QAAQ</t>
  </si>
  <si>
    <t>Chevron Corp</t>
  </si>
  <si>
    <t>Lobbying disclosure</t>
  </si>
  <si>
    <t>Vote for shareholder proposal (AGM 2017)</t>
  </si>
  <si>
    <t>Oil &amp; Gas</t>
  </si>
  <si>
    <t>a5da7000000581oAAA</t>
  </si>
  <si>
    <t>Vote against say on pay proposal (2017 AGM)</t>
  </si>
  <si>
    <t>a5da700000056RzAAI</t>
  </si>
  <si>
    <t>Tax policy and practice</t>
  </si>
  <si>
    <t>The company should have a global tax policy thatensures that its practice is not overly aggressive, threatening its social licence.</t>
  </si>
  <si>
    <t>Responsible Tax Practices</t>
  </si>
  <si>
    <t>a5da700000056T7AAI</t>
  </si>
  <si>
    <t>Independent chair</t>
  </si>
  <si>
    <t>Independent chair proposal (AGM 2017)</t>
  </si>
  <si>
    <t>a5da700000056S0AAI</t>
  </si>
  <si>
    <t>Risk management and disaster preparedness post Gulf of Mexico oil spill</t>
  </si>
  <si>
    <t>a5da700000056L0AAI</t>
  </si>
  <si>
    <t>Oil Sands</t>
  </si>
  <si>
    <t>Ensure the company has a robust strategy for responsible oil sands development.</t>
  </si>
  <si>
    <t>2008 Q4</t>
  </si>
  <si>
    <t>a5da700000056LsAAI</t>
  </si>
  <si>
    <t>Requisitioning shareholder meetings</t>
  </si>
  <si>
    <t>Vote recommendation to reduce threshold for convening shareholder meetings (2017)</t>
  </si>
  <si>
    <t>a5da700000056S1AAI</t>
  </si>
  <si>
    <t>Use of options as part of executive compensation</t>
  </si>
  <si>
    <t>We have concerns in relation to the company’s pay arrangements which we believe are too short term in nature, and which will exacerbate climate and other long-term risks. In particular, most of the long-term incentive is payable in options. A third of those issued each year are capable of vesting on the first anniversary of grant, with a further third on the second and third anniversary of grant. We see options as creating a culture that is over-focused on short-term share price movements and stock trading rather than a stock ownership mentality among management and staff. We would like to see the abolition of option grants but as an interim step, no options should be capable of vesting within three years of grant.</t>
  </si>
  <si>
    <t>a5da700000055fOAAQ</t>
  </si>
  <si>
    <t>Our objective is for the company to increase the CEO's long-term share ownership obligations.</t>
  </si>
  <si>
    <t>a5da700000055aEAAQ</t>
  </si>
  <si>
    <t>Director with environmental experience</t>
  </si>
  <si>
    <t>Vote recommendation for shareholder proposal (2017)</t>
  </si>
  <si>
    <t>a5da700000057r3AAA</t>
  </si>
  <si>
    <t>Security &amp; Human Rights</t>
  </si>
  <si>
    <t>Indigenous &amp; Community Rights</t>
  </si>
  <si>
    <t>a5da7000000581lAAA</t>
  </si>
  <si>
    <t>Deere &amp; Co</t>
  </si>
  <si>
    <t>Biodiversity</t>
  </si>
  <si>
    <t>Our objective is for the company to articulate a strategy or approach to biodiversity, including how it plans to help customers minimise their negative impact on biodiversity.</t>
  </si>
  <si>
    <t>Biodiversity &amp; Nature</t>
  </si>
  <si>
    <t>Completed</t>
  </si>
  <si>
    <t>03/12/25</t>
  </si>
  <si>
    <t>Through its precision agriculture technologies and the support it offers via its operations centre, Deere is helping mitigate negative impacts on biodiversity and soil health, while supporting yield improvements and cost savings for customers – dynamics that we expect should support Deere’s long-term sales and profit.</t>
  </si>
  <si>
    <t>Green</t>
  </si>
  <si>
    <t>a5da700000055lcAAA</t>
  </si>
  <si>
    <t>The company has had the same external audit firm since 1910 and it is not clear if there is a rotation plan in place. Maintaining independent external assurance is a fundamental pillar of good stewardship and the fiduciary duty of a board of directors. Independence, and potentially audit quality, is at risk when the same assurance provider is maintained for too long – whether the audit partner or audit firm.</t>
  </si>
  <si>
    <t>2022 Q1</t>
  </si>
  <si>
    <t>23/12/25</t>
  </si>
  <si>
    <t>a5da700000057q3AAA</t>
  </si>
  <si>
    <t>The company should align its supplier code of conduct with the UNGPs on business and human rights.</t>
  </si>
  <si>
    <t>15/12/25</t>
  </si>
  <si>
    <t>a5da700000057AiAAI</t>
  </si>
  <si>
    <t>Proxy access and governance practices</t>
  </si>
  <si>
    <t>Encourage the adoption of a robust proxy access policy and responsiveness to shareholder votes</t>
  </si>
  <si>
    <t>2016 Q1</t>
  </si>
  <si>
    <t>a5da700000057VSAAY</t>
  </si>
  <si>
    <t>The company should eliminate the use of short-vesting options in the LTIP.</t>
  </si>
  <si>
    <t>a5da700000057qKAAQ</t>
  </si>
  <si>
    <t>Talent management strategy focused on senior management and the workforce</t>
  </si>
  <si>
    <t xml:space="preserve">The company develops a strategy to improve cognitive diversity by ensuring a merit-based approach for recruitment and retention of candidates from broad pools of talent in order to achieve a wide range of skills and experience among the composition of its senior management and workforce. 
In our view, such actions can help reduce costs of hiring and improve staff productivity, in the interests of the company and long-term shareholder value.</t>
  </si>
  <si>
    <t>2022 Q3</t>
  </si>
  <si>
    <t>Progressing</t>
  </si>
  <si>
    <t>a5da700000055q8AAA</t>
  </si>
  <si>
    <t>Our objective is for the company to demonstrate a responsibility towards human rights with its customers and use of products through actions such as expanding the current human rights policy, exiting regions with violations, proper customer due diligence and audit, etc.</t>
  </si>
  <si>
    <t>a5da700000055mQAAQ</t>
  </si>
  <si>
    <t>Talent management strategy focused on the workforce</t>
  </si>
  <si>
    <t>a5da700000057A8AAI</t>
  </si>
  <si>
    <t>Coca-Cola Co/The</t>
  </si>
  <si>
    <t>Water stress and strategy</t>
  </si>
  <si>
    <t>Improve water management practices</t>
  </si>
  <si>
    <t>a5da700000057YIAAY</t>
  </si>
  <si>
    <t>Human Rights in supply chain</t>
  </si>
  <si>
    <t>The company has a supply chain involving bottling partners and agriculture. We want the company to disclose more information on its audit programme, findings, and scope.</t>
  </si>
  <si>
    <t>a5da7000000578RAAQ</t>
  </si>
  <si>
    <t>Say on pay</t>
  </si>
  <si>
    <t>a5da700000057cDAAQ</t>
  </si>
  <si>
    <t>Coca-Cola is participating in the Enacting Purpose Initiative and is interested in business purpose.</t>
  </si>
  <si>
    <t>a5da700000057hlAAA</t>
  </si>
  <si>
    <t>TCFD Disclosure</t>
  </si>
  <si>
    <t>Improving disclosure to align with the TCFD recommendations.</t>
  </si>
  <si>
    <t>a5da700000057MmAAI</t>
  </si>
  <si>
    <t>Myanmar</t>
  </si>
  <si>
    <t>The company has operations in Myanmar and there was a coup in the country in early 2021.</t>
  </si>
  <si>
    <t>a5da7000000578QAAQ</t>
  </si>
  <si>
    <t>Xinjiang human rights engagement</t>
  </si>
  <si>
    <t>Given the human rights abuses in the region, we want the company to conduct a human rights impact assessment.</t>
  </si>
  <si>
    <t>a5da7000000578PAAQ</t>
  </si>
  <si>
    <t>Sugar risk</t>
  </si>
  <si>
    <t>Risks associated with rapid change in consumer preferences, increased tax and regulation and the company's reputation as a result of its core product containing so much sugar</t>
  </si>
  <si>
    <t>Safe Products &amp; Services</t>
  </si>
  <si>
    <t>a5da700000057qzAAA</t>
  </si>
  <si>
    <t>Talent management strategy focused on Workforce</t>
  </si>
  <si>
    <t>a5da700000057hmAAA</t>
  </si>
  <si>
    <t>Extreme Weather Events Disrupting Supply Chains</t>
  </si>
  <si>
    <t>Building resiliency in supply chains to adapt to climate change and mitigate disturbances to supply chains.</t>
  </si>
  <si>
    <t>a5da700000056crAAA</t>
  </si>
  <si>
    <t>Diageo PLC</t>
  </si>
  <si>
    <t>Remuneration reform</t>
  </si>
  <si>
    <t>Present our thoughts on remuneration reform to company</t>
  </si>
  <si>
    <t>3</t>
  </si>
  <si>
    <t>a5da700000057nEAAQ</t>
  </si>
  <si>
    <t>Responsible consumption</t>
  </si>
  <si>
    <t>As a producer and marketer of alcoholic beverages, the company has a responsibility to promote responsible alcohol consumption. The strategy is focused on encouraging people to drink better, not more. It has a number of initiatives, campaigns and ambitions in place for tackling underage drinking, drink driving and excessive alcohol consumption. The company takes its role in promoting a responsible role for alcohol in society seriously. While we understand it to have good management and oversight of the issue, we continue to monitor it as a material sustainability matter for the company.</t>
  </si>
  <si>
    <t>a5da700000056lwAAA</t>
  </si>
  <si>
    <t>Coles Group Ltd</t>
  </si>
  <si>
    <t>To ensure the company makes remuneration-related decisions which are in line with our voting guidelines.</t>
  </si>
  <si>
    <t>Retail &amp; Consumer Services</t>
  </si>
  <si>
    <t>a5da700000057ODAAY</t>
  </si>
  <si>
    <t>ACSI engagement activity on Safety - Disclosure</t>
  </si>
  <si>
    <t>a5da700000057PaAAI</t>
  </si>
  <si>
    <t>ACSI engagement activity on Workforce - Modern slavery and supply chains</t>
  </si>
  <si>
    <t>a5da700000057PnAAI</t>
  </si>
  <si>
    <t>ACSI engagement activity on Plastics - Risks around plastics</t>
  </si>
  <si>
    <t>Pollution</t>
  </si>
  <si>
    <t>a5da700000057PbAAI</t>
  </si>
  <si>
    <t>Protein diversification</t>
  </si>
  <si>
    <t>This issue is to ensure the company develops and reports on its strategic approach to protein diversification. The food sector relies on intensive livestock systems heavily linked to unpriced externalities such as carbon emissions, land use changes, water pollution and antibiotic overuse. Diversification of protein offerings will help the company mitigate supply chain risks and capitalise on changing consumer trends.</t>
  </si>
  <si>
    <t>a5da7000000576VAAQ</t>
  </si>
  <si>
    <t>Dominion Energy Inc</t>
  </si>
  <si>
    <t>Require independent chair</t>
  </si>
  <si>
    <t>The company had a shareholder proposal at its 2021 annual meeting to require an independent board chair, which we recommended supporting. The proposal received 43% support, so we will continue to monitor the company's progress on independent board leadership in the coming year.</t>
  </si>
  <si>
    <t>a5da700000057umAAA</t>
  </si>
  <si>
    <t>Improve environmental disclosure and risk management</t>
  </si>
  <si>
    <t>The company is a power generator with significant coal burning and growing biomass and gas fired electricity generation. We therefore expect the company to improve how it discloses and manages climate change related risks.</t>
  </si>
  <si>
    <t>a5da700000057jZAAQ</t>
  </si>
  <si>
    <t>Encourage longer and greater share ownership among management</t>
  </si>
  <si>
    <t>We wish to encourage management to own more shares in the company for longer, better to align it with outside shareholders.</t>
  </si>
  <si>
    <t>a5da7000000581OAAQ</t>
  </si>
  <si>
    <t xml:space="preserve">The company secures external credible validation of the sufficiency of its strategy in the event of global scenarios consistent with the Paris Goals, or provides a compelling reason why this is not appropriate.
In our view, such external validation will help give valuable insights on the resilience of the strategy under certain global lower carbon scenarios and increase investor confidence, in the interests of the company and long-term shareholder value.</t>
  </si>
  <si>
    <t>a5da700000055o7AAA</t>
  </si>
  <si>
    <t>Statement of corporate purpose</t>
  </si>
  <si>
    <t>Dominion currently states its vision, mission, and values; however, its decarbonisation strategy is missing critical elements (capital allocation alignment, remuneration targets, technology) and a strong business purpose would help to elevate this to the board level. We are asking the board to publish a statement of purpose that defines the corporate purpose, identifies the stakeholders most critical to long-term value creation, and specifies the time frames used to evaluate long-term strategy and capital allocation choices.</t>
  </si>
  <si>
    <t>a5da700000055n2AAA</t>
  </si>
  <si>
    <t>High CEO Pay</t>
  </si>
  <si>
    <t>Although the company has reformed its remuneration practices to align pay with performance and promote high levels of ownership and shareholder alignment amongst the executive team, total CEO quantum is still appreciably above the peer median, even when pay is awarded considerably below target. The company should consider how it can better align pay with the sector.</t>
  </si>
  <si>
    <t>a5da7000000581RAAQ</t>
  </si>
  <si>
    <t>Duke Energy Corp</t>
  </si>
  <si>
    <t xml:space="preserve">The company develops and discloses a credible strategy including its capital allocation strategy to take advantage of climate-related opportunities and the benefits of reduced risks, addressing a range of global scenarios, including if the company considers feasible and appropriate and consistent with long-term financial value, those consistent with the Paris Goals.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</si>
  <si>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27/10/25</t>
  </si>
  <si>
    <t>a5da700000055lbAAA</t>
  </si>
  <si>
    <t>Long-tenured lead independent director creating independence concerns related to</t>
  </si>
  <si>
    <t>The company refreshes the lead independent director, who has served on the board for 15 years, sets robust responsibilities to oversee the joint chair/CEO role and improves disclosure on its mandatory board retirement guidelines.</t>
  </si>
  <si>
    <t>a5da700000057qLAAQ</t>
  </si>
  <si>
    <t>Improved climate-related financial disclosures, including physical risk strategy</t>
  </si>
  <si>
    <t xml:space="preserve">The company should improve its climate-related financial disclosures, including those relating to opportunities and risks connected to the energy transition and physical risks under a range of global scenarios, including if deemed appropriate, global scenarios consistent with the Paris Goals. This could make reference to best practice reporting frameworks such as the Taskforce on Climate-related Financial Disclosures (TCFD). This may include reference to its physical risk strategy to protect the company, including its assets, operations, supply chains and employees and take advantage of any opportunities arising from climate-related physical risks under a range of global climate change scenarios.
In our view, improved reporting of such progress could help yield valuable insights into the effectiveness of its strategy, in the interests of the company and long-term shareholder value.</t>
  </si>
  <si>
    <t>Climate Physical Risk</t>
  </si>
  <si>
    <t>a5da700000055ptAAA</t>
  </si>
  <si>
    <t>Just transition for employees and the community</t>
  </si>
  <si>
    <t xml:space="preserve">The company would benefit from further developing its energy transition strategy to cover opportunities for staff training and redeployment into new growth areas, as well as assessing and as necessary mitigating wider potential unintended social consequences, including community access to affordable energy. 
In our view, such actions can help better identify and prepare for opportunities and risks related to the energy transition, including under global lower carbon scenarios, in the interests of the company and long-term shareholder value.</t>
  </si>
  <si>
    <t>a5da700000055n9AAA</t>
  </si>
  <si>
    <t>Company to adopt science-based targets.</t>
  </si>
  <si>
    <t>a5da700000057zOAAQ</t>
  </si>
  <si>
    <t>Board refreshment for achieving net zero strategy</t>
  </si>
  <si>
    <t>To achieve its net zero strategy, company to consider director candidates with renewables skills that balance existing nuclear and fossil fuel expertise.</t>
  </si>
  <si>
    <t>a5da700000057q1AAA</t>
  </si>
  <si>
    <t>Climate-Related Physical Risk Management &amp; Disclosure</t>
  </si>
  <si>
    <t>Following the PG&amp;E bankruptcy, the company is assessing its risk management approach and processes to determine what lessons it can learn and apply on climate-related physical risk management and adaptation. We will continue to engage to understand the company’s work and board oversight in this area.</t>
  </si>
  <si>
    <t>a5da700000057zPAAQ</t>
  </si>
  <si>
    <t>Atlantic Coast Pipeline Risks</t>
  </si>
  <si>
    <t>The company has partnered with two other utilities to build the Atlantic Coast Pipeline, which is now beset with permitting and court challenges due to its routing through the Appalachian mountain range and differing views on the need for connecting gas infrastructure in the company's operating region. Cancellation of the pipeline would carry a significant charge for the company. However, it also has the potential to allow new gas electricity generation to operate for longer, while allowing older coal assets to be retired more quickly due to the availability of cleaner-burning gas. The company will not have clarity on the current and future risks of the pipeline until 2020.</t>
  </si>
  <si>
    <t>a5da700000057cNAAQ</t>
  </si>
  <si>
    <t>Nuclear License Extension Test Case</t>
  </si>
  <si>
    <t>In the future, the company will apply for extensions to operating licenses for nuclear facilities, which provide a significant proportion of its planned future zero-carbon energy mix. To date, license extensions of this length (to 80 years of operation) have not been granted by federal regulators. A series of companies are applying to federal nuclear regulators and the company is closely monitoring these applications to understand how to ensure its applications will be successful. The first application will complete by the end of 2019 and we will follow up closely to understand potential impacts on the company’s low-carbon future energy strategy.</t>
  </si>
  <si>
    <t>a5da700000057NUAAY</t>
  </si>
  <si>
    <t>The company faces significant liability related to the clean up of old coal ash ponds, used as part of coal plant operations. State regulators have ordered the company to close and excavate a number of ponds that were previously deemed lower risk. The company contends that this is a safe method of containing coal ash without leakage to soil and water tables, but if its appeal fails, it will face additional clean-up costs beyond those already budgeted for in 2019.</t>
  </si>
  <si>
    <t>a5da700000057WhAAI</t>
  </si>
  <si>
    <t>Ecolab Inc</t>
  </si>
  <si>
    <t>Sustainability Risk Management</t>
  </si>
  <si>
    <t>We engage with Ecolab on the progress it makes in relation to the sustainability indicators of water usage, greenhouse gas emissions and labour safety.</t>
  </si>
  <si>
    <t>Chemicals</t>
  </si>
  <si>
    <t>2014 Q4</t>
  </si>
  <si>
    <t>a5da700000057tgAAA</t>
  </si>
  <si>
    <t>Proxy access</t>
  </si>
  <si>
    <t>2015 Q1</t>
  </si>
  <si>
    <t>a5da700000057XbAAI</t>
  </si>
  <si>
    <t>Hazardous chemicals management</t>
  </si>
  <si>
    <t>All chemical companies face the risk that products could lead to unknown negative environmental and biological impacts. The production of hazardous chemicals is a key risk for the company and sector. According to the World Health Organization, 2 million people died due to exposure to hazardous chemicals in 2019, compared to 1.6 million in 2016. Hazardous chemicals are also key drivers of biodiversity loss. We want to support a transition towards safer chemicals, and yet 75% of all chemicals used and manufactured in Europe are hazardous to human health and/or the environment (EU 2019). The regulatory, as well as the market pressure, to transition towards less hazardous chemicals is strong and will increase even more following implementation of the European Green Deal. In the US, the EPA in October 2021 released its roadmap for tackling per- and polyfluoroalkyl substances (PFAS). This multi-agency approach with increased disclosure and tighter restrictions is expected to impact companies in the near term. In recent years the financial implications for company liability for past and current production of pollution of persistent chemicals, especially PFAS, have been clear. The company scored a D+ in ChemScore's 2021 annual ranking indicating greater transparency on the chemicals produced and strategy to phase out hazardous chemicals may be warranted.</t>
  </si>
  <si>
    <t>25/11/25</t>
  </si>
  <si>
    <t>a5da700000057hzAAA</t>
  </si>
  <si>
    <t>Waste management and disposal</t>
  </si>
  <si>
    <t>The company's 2020 responsibility report states it aims “to package all products in reusable or readily recyclable packaging designs by 2030”. We conveyed our appreciation of the company’s decision to appoint a lead for packaging sustainability and welcomed the level of disclosure the company provides on the topic of waste disposal and management. Given waste is a top three material topic for the company we seek more disclosure of the company's strategy for tackling waste in terms of disposal (landfill, treatment and incineration), product design and lifecycle assessment and how the topic is managed by geography.</t>
  </si>
  <si>
    <t>a5da700000057UVAAY</t>
  </si>
  <si>
    <t>The company currently has a combined chair/CEO role.</t>
  </si>
  <si>
    <t>a5da700000057aBAAQ</t>
  </si>
  <si>
    <t>Water stewardship</t>
  </si>
  <si>
    <t xml:space="preserve">The company's 2030 impact goals for water include "restore greater than 50% of our water withdrawal and achieve Alliance for Water Stewardship Standard certification in high-risk watersheds" and "Reduce net water withdrawal by 40% per unit of production across our enterprise (intensity target)." The company has also committed to helping its customers save 300bn gallons or 1.1bn m3 of water each year by 2030, equivalent to the annual drinking water needs of 1bn people.  We are engaging with the company on how it is delivering on these goals and the opportunity to accelerate the timeline.</t>
  </si>
  <si>
    <t>a5da700000057hwAAA</t>
  </si>
  <si>
    <t>Entergy Corp</t>
  </si>
  <si>
    <t>Improve alignment between executive pay and performance</t>
  </si>
  <si>
    <t>As at 2014: Executive pay has certain problematic features at the company, in particular 100% vesting of LTIP at median performance, reduced EPS targets for the annual incentive scheme not leading to reduced incentive opportunity. The CEO also had significantly enhanced pension benefits awarded whilst he was CFO. However, pay does not seem to be excessive in relation to peers.</t>
  </si>
  <si>
    <t>a5da700000056DzAAI</t>
  </si>
  <si>
    <t>Equifax Inc</t>
  </si>
  <si>
    <t>Board diversity</t>
  </si>
  <si>
    <t>The board's overall diversity is below 40%. We asked the board to set a goal to increase board diversity to 40% or more by 2025. This requires ongoing monitoring as the company refreshes its board.</t>
  </si>
  <si>
    <t>a5da700000057foAAA</t>
  </si>
  <si>
    <t>Excessive Pay &amp; One-Time Awards</t>
  </si>
  <si>
    <t>The company has awarded a new CEO with multiple sign-on and make-whole bonuses, as well as two new NEOs, in 2018. Additional special awards were made to existing executives. In addition, there are concerns that future quantum may remain elevated above peers based on pay practices introduced in the 2019 proxy.</t>
  </si>
  <si>
    <t>a5da700000057ejAAA</t>
  </si>
  <si>
    <t>Sustainability reporting</t>
  </si>
  <si>
    <t>The company is lacking any stand alone sustainability reporting. Develop sustainable report to frame environmental risks and opportunities.</t>
  </si>
  <si>
    <t>a5da700000057fsAAA</t>
  </si>
  <si>
    <t>Board skills</t>
  </si>
  <si>
    <t xml:space="preserve">The company has a good mixture of experience and financial expertise on their board although only has 10% female representation and that individual has been on the board for over a decade – we may thus wish to press for greater board diversity. The board do encouragingly explicitly acknowledge the need to identify candidates to replace retiring INEDs with diverse backgrounds and fresh perspectives.   Given the data breach issues more board experience in this area may be beneficial.</t>
  </si>
  <si>
    <t>a5da700000057sYAAQ</t>
  </si>
  <si>
    <t>Data security</t>
  </si>
  <si>
    <t xml:space="preserve">The company holds data on more than 600 million consumers and more than 80 million businesses, with a database consisting of over 200 million employee files. Recent data breaches call into question the robustness of the controls in place at the company to maintain this data securely.   In May ’16 the company was hit with a proposed class action being accused of negligence after a data breach disclosed the personal information of a group of Kroger grocery store employees. A Kroger employee has complained that the company wilfully ignored known weaknesses in its security system – including prior data attached.</t>
  </si>
  <si>
    <t>Cyber Security</t>
  </si>
  <si>
    <t>a5da700000057sZAAQ</t>
  </si>
  <si>
    <t>EQT Corp</t>
  </si>
  <si>
    <t>Improved climate-related financial disclosures</t>
  </si>
  <si>
    <t xml:space="preserve">The company should improve its climate-related financial disclosures, including those relating to opportunities and risks connected to the energy transition and physical risks under a range of global scenarios, including if deemed appropriate, global scenarios consistent with the Paris Goals. This could make reference to best practice reporting frameworks such as the Taskforce on Climate-related Financial Disclosures (TCFD).
In our view, improved reporting of such progress could help yield valuable insights into the effectiveness of its strategy, in the interests of the company and long-term shareholder value.</t>
  </si>
  <si>
    <t>Completed - Substantially</t>
  </si>
  <si>
    <t>19/12/25</t>
  </si>
  <si>
    <t>a5da700000055rAAAQ</t>
  </si>
  <si>
    <t>Capital Allocation &amp; Debt Reduction</t>
  </si>
  <si>
    <t>The company's new management team has changed its strategy as of July 2019, and is focussed on decreasing the cost base to be the most competitive in the sector, making capital investments in technology, efficiency, people and larger, more scalable extraction projects, and moving to an investment-grade balance sheet in the long term. Given key business challenges, including energy prices, future energy demand, and end-market unpredictability due to coronavirus, we will continue to engage to understand how the company is servicing its near-term debt with reduced cashflow, monetising assets, and continuing to invest in its stated capex priorities.</t>
  </si>
  <si>
    <t>Capital Allocation</t>
  </si>
  <si>
    <t>a5da700000057qXAAQ</t>
  </si>
  <si>
    <t>Cybersecurity Strategy, Governance &amp; Disclosure</t>
  </si>
  <si>
    <t>The company is moving to an immersive digital work environment for all of its operations and functions in the near term. This may increase the company's exposure to cyber risks, which is already heightened due to its role as the largest producer of natural gas in the US. We believe it needs to enhance its disclosures on how cybersecurity is governed, overseen and managed. This should include the daily, periodic and annual processes the company uses to ensure a secure cyber environment, the roles involved in minimising cyber risks, and a clear explanation of accountability for operations, management, oversight and improvement, at both management and board levels.</t>
  </si>
  <si>
    <t>a5da7000000574kAAA</t>
  </si>
  <si>
    <t>Board Diversity &amp; Next-Generation Skills</t>
  </si>
  <si>
    <t>The board has reached gender parity as of 2020, and has a wide industry-driven set of skills and experience within the current directors. We believe the company may be able to recruit a director with operational and leadership experience from one of its downstream customers which are major users of natural gas. This may provide a deeper view of the challenges and opportunities inherent to the use of this gas and the associated downstream emissions.</t>
  </si>
  <si>
    <t>a5da700000057BlAAI</t>
  </si>
  <si>
    <t>Reduce Contribution to Global Warming Through Remuneration</t>
  </si>
  <si>
    <t>The company has introduced an emissions intensity target for its 2021 remuneration, alongside its incentives for strong health and safety and water management performance, as well as financial factors. We believe the company may be able to enhance this even further by introducing a separate incentive for methane emissions intensity reduction over time. A reduction of global warming potential gases, including CO2 and methane, would be included in a CO2e incentive. However, we think it may be valuable for the company to make it very clear that it is driving to a long-term operational net zero state on both carbon and methane, with both being reduced as close to zero as practicable before further offsetting actions are considered. It would also send a signal to competitors who have, to date, been less forthright in tying executive compensation to climate-related actions.</t>
  </si>
  <si>
    <t>a5da700000057BuAAI</t>
  </si>
  <si>
    <t>Water Management</t>
  </si>
  <si>
    <t>Given the company's operational water needs in shale drilling and risks related to wastewater, we will continue to engage to understand how the company is exceeding regulation on water management and its performance compared to similar peers on this risk. To date, it has achieved relatively high rates of water re-use, recycling and treatment where it operates.</t>
  </si>
  <si>
    <t>a5da700000057BiAAI</t>
  </si>
  <si>
    <t>Climate Action in Communities of Operation</t>
  </si>
  <si>
    <t>The company heavily relies on continuing social license to operate in its most critical Pennsylvanian host communities, as well as other operating regions. We believe that investments in local climate action - including renewable energy sourcing or production, power purchase agreements, local emissions mitigation or offsetting projects, and minimisation of environmental impacts - are all investments worth considering in partnership with, and for the benefit of, local and community stakeholders.</t>
  </si>
  <si>
    <t>a5da700000057qWAAQ</t>
  </si>
  <si>
    <t>Enhanced Governance &amp; Stakeholder Engagement</t>
  </si>
  <si>
    <t>The company has stated it wants to improve how it is governed, how it engages with investors, and how it discloses on material ESG issues. Given our experience with these matters and our ability to provide detailed feedback on voting and governance matters on behalf of a wide range of investors, we will continue to offer our help in reforming the company's practices.</t>
  </si>
  <si>
    <t>a5da700000057BwAAI</t>
  </si>
  <si>
    <t>Best practice actions to limit climate change exposure</t>
  </si>
  <si>
    <t>That this climate-exposed company puts in place best practices by which to address the risks from climate change.</t>
  </si>
  <si>
    <t>a5da700000057ziAAA</t>
  </si>
  <si>
    <t>Exxon Mobil Corp</t>
  </si>
  <si>
    <t>The company should align executive compensation with the expectations in our Corporate Governance Principles.</t>
  </si>
  <si>
    <t>a5da700000056ZEAAY</t>
  </si>
  <si>
    <t>Special meetings threshold</t>
  </si>
  <si>
    <t>For the threshold of shareholders required for requisitioning special meetings to be reduced.</t>
  </si>
  <si>
    <t>a5da700000056YpAAI</t>
  </si>
  <si>
    <t>Governance standards</t>
  </si>
  <si>
    <t>Various governance issues raised by shareholder proposals (AGM 2017)</t>
  </si>
  <si>
    <t>a5da700000056Y5AAI</t>
  </si>
  <si>
    <t>Equal pay and opportunity for women</t>
  </si>
  <si>
    <t>While the proportion of women in senior roles has increased significantly in the past decade or so, a majority of senior roles are held by men. There is also no disclosure to demonstrate that there is not a gender pay gap for the same or similar roles.</t>
  </si>
  <si>
    <t>a5da700000056S4AAI</t>
  </si>
  <si>
    <t>Responsible taxation</t>
  </si>
  <si>
    <t>We encouraged the company to publish a responsible taxation policy in line with the Global Reporting Initiative Tax Fairness Standard, and disclose itemised payments to governments at the national, state, and local levels. In response, the company said it was prepared to increase disclosure on the topic in line with emerging Dodd Frank regulations. (Q1 2023)</t>
  </si>
  <si>
    <t>a5da700000056IGAAY</t>
  </si>
  <si>
    <t>Lobbying governance</t>
  </si>
  <si>
    <t>Shareholder proposal seeking better disclosure of lobbying activity.</t>
  </si>
  <si>
    <t>a5da700000057kvAAA</t>
  </si>
  <si>
    <t>Methane emissions</t>
  </si>
  <si>
    <t>Methane emissions disclosure (AGM 2017 proposal)</t>
  </si>
  <si>
    <t>a5da700000057kIAAQ</t>
  </si>
  <si>
    <t>A shareholder proposal advocating for an independent chair.</t>
  </si>
  <si>
    <t>a5da700000057jVAAQ</t>
  </si>
  <si>
    <t>Prudential PLC</t>
  </si>
  <si>
    <t>FSA fine regarding AIA transation</t>
  </si>
  <si>
    <t>Company has been fined £30 million and CEO censured for failing to inform the FSA sufficiently early of the proposed acquisition of AIA in 2011</t>
  </si>
  <si>
    <t>Developed Asia</t>
  </si>
  <si>
    <t>China, Hong Kong Special Administrative Region</t>
  </si>
  <si>
    <t>2013 Q1</t>
  </si>
  <si>
    <t>a5da70000005693AAA</t>
  </si>
  <si>
    <t>Bribery and corruption, ensuring appropriate culture</t>
  </si>
  <si>
    <t>Ensure that risk of bribery and corruption, particularly given huge, diverse and commission-paid workforce, is properly managed.</t>
  </si>
  <si>
    <t>a5da700000056C7AAI</t>
  </si>
  <si>
    <t>Risk appetite</t>
  </si>
  <si>
    <t>a5da700000056C6AAI</t>
  </si>
  <si>
    <t>Prudential PLC-Governance-Board Structure</t>
  </si>
  <si>
    <t>Replace chair further to our losing confidence in him following his failure properly to represent the views of shareholders during the AIA bid.</t>
  </si>
  <si>
    <t>a5da7000000564kAAA</t>
  </si>
  <si>
    <t>Portfolio structure</t>
  </si>
  <si>
    <t>It is not clear that the three businesses within the Pru's portfolio belong together</t>
  </si>
  <si>
    <t>a5da700000057qvAAA</t>
  </si>
  <si>
    <t>Board Structure</t>
  </si>
  <si>
    <t>a5da700000057qwAAA</t>
  </si>
  <si>
    <t>To ensure remuneration is aligned with our expectations.</t>
  </si>
  <si>
    <t>a5da700000057sLAAQ</t>
  </si>
  <si>
    <t>Board Diversity</t>
  </si>
  <si>
    <t>Diversity level is currently only at 22%.</t>
  </si>
  <si>
    <t>a5da700000057uEAAQ</t>
  </si>
  <si>
    <t>a5da700000057uKAAQ</t>
  </si>
  <si>
    <t>2012 Q3</t>
  </si>
  <si>
    <t>a5da700000056plAAA</t>
  </si>
  <si>
    <t>Ford Motor Co</t>
  </si>
  <si>
    <t>Recall &amp; Warranty Performance</t>
  </si>
  <si>
    <t>Our objective is for Ford to improve its quality control, recall and warranty performance to safeguard cost control and consumer trust.</t>
  </si>
  <si>
    <t>a5da700000055v3AAA</t>
  </si>
  <si>
    <t>Improve shareholder rights: right to call meetings and one share one vote</t>
  </si>
  <si>
    <t>The company has a dual class structure and also limits too much the ability of shareholders to call meetings. We look to abolish the dual class structure and reduce the requirement to call general meetings to 10% of shareholders.</t>
  </si>
  <si>
    <t>a5da700000057fCAAQ</t>
  </si>
  <si>
    <t>Volkswagen emissions scandal</t>
  </si>
  <si>
    <t>The company to confirm that it has no issues similar to Volkswagen in relation to fraudulent attempts to pass emissions tests in the US and elsewhere</t>
  </si>
  <si>
    <t>a5da700000056LfAAI</t>
  </si>
  <si>
    <t>Executive pay has too large a discretionary component which has been exercised in the executives' favour every year since 2010 to 2014. This has continued into 2020 remuneration decisions, and includes ongoing one-time awards which are highly questionable.</t>
  </si>
  <si>
    <t>a5da700000057fHAAQ</t>
  </si>
  <si>
    <t>Climate change strategy</t>
  </si>
  <si>
    <t>Develop the company's fleet of no and low emissions vehicles.</t>
  </si>
  <si>
    <t>a5da700000057XkAAI</t>
  </si>
  <si>
    <t>Reporting of progress against strategy</t>
  </si>
  <si>
    <t xml:space="preserve">The company demonstrates progress towards meeting its chosen targets and KPIs under its strategy/ transition plan covering climate-related opportunities and risks.
In our view, improved reporting of such progress could help yield valuable insights into the effectiveness of its strategy, in the interests of the company and long-term shareholder value.</t>
  </si>
  <si>
    <t>a5da700000055vYAAQ</t>
  </si>
  <si>
    <t>Workforce training strategy</t>
  </si>
  <si>
    <t xml:space="preserve">The company develops and discloses a strategy for more comprehensive workforce training and development in order to improve employee retention, reduce external hiring costs and increase productivity and demonstrates the effectiveness of its approach for different segments of its employees, as appropriate to its strategy. 
In our view, improved workforce training can help improve employee retention, reduce external hiring costs and increase productivity, which helps increase revenues and reduce costs, in the interests of the company and long-term shareholder value.</t>
  </si>
  <si>
    <t>12/12/25</t>
  </si>
  <si>
    <t>a5da700000055wLAAQ</t>
  </si>
  <si>
    <t>Restructuring and profitability</t>
  </si>
  <si>
    <t>The company has faced financial difficulties and is in the process of restructuring and refocusing on profitable segments. This involves a major transformation of operations in North America, Europe and China, and the potential for significant job losses. The company must also contend with regional requirements for increased fuel economy and electrification using its investments in new vehicle platforms.</t>
  </si>
  <si>
    <t>a5da700000057jWAAQ</t>
  </si>
  <si>
    <t>Excessive Use of One-Time Awards</t>
  </si>
  <si>
    <t>Despite feedback in 2020, 2019 and previous years, the company continues to make use of one-time awards for sign-on, promotion or retirement across consecutive years. This practice must be eliminated for all but the most exceptional circumstances given the ample opportunities for named executives to earn performance-conditioned compensation through both short and long-term award systems.</t>
  </si>
  <si>
    <t>a5da700000057HAAAY</t>
  </si>
  <si>
    <t>The company lags automotive peers and the broader US large company landscape in its lobbying and political expenditure disclosures, despite repeated shareholder actions to improve this. We believe the company must improve such disclosure to enable a high level of accessibility and completeness in reporting, even where this is voluntary. This is particularly critical at the company, given its role in carbon emissions from transportation in the US and internationally. We will continue to engage on this and support shareholders on this matter.</t>
  </si>
  <si>
    <t>a5da700000057GtAAI</t>
  </si>
  <si>
    <t>Senior management turnover and retention</t>
  </si>
  <si>
    <t>The company has undergone a wide range of management changes during 2019 and 2021, where almost all key roles, including the CEO, CFO and COO have been replaced. In some cases, such as with the CEO, succession planning appears to have been unsuccessful, as the company has appointed its third CEO in less than five years. Although some much-needed new talent with next-generation skills has been recruited, we are concerned with the type of management culture which has been in place, and any new turnover problems which could hinder the ability of a fresh team to execute the company's cost-cutting, transformation and product strategies. Moreover, the company may have lost significant commercial knowledge via executives who departed prior to retirements or planned succession.</t>
  </si>
  <si>
    <t>a5da700000057MRAAY</t>
  </si>
  <si>
    <t>Business Policy on Disputed Territories</t>
  </si>
  <si>
    <t>The company has been exposed to risks related to operations in disputed or occupied territories in the past; for example, through the sales of vehicles to parties with an involvement in territorial disputes or occupations. We will engage on whether the company has policies to manage potential risks related to this issue.</t>
  </si>
  <si>
    <t>a5da700000056j6AAA</t>
  </si>
  <si>
    <t>Capex disclosure concerns</t>
  </si>
  <si>
    <t>The company's capital expenditure planning and its division of expenditures between electrification, automation and zero-emissions development and legacy activities, such as in internal-combustion powertrains, remains unclear to some investors. The company must provide much greater clarity on where and how it plans to spend capital at a juncture where transformation for a low-emissions future is critical, particularly in the US market which is under the influence of stronger climate-related leadership under President Biden and the administration's approach to EPA climate, emissions and fuel economy policies.</t>
  </si>
  <si>
    <t>a5da700000057MKAAY</t>
  </si>
  <si>
    <t>Rolls-Royce Holdings PLC</t>
  </si>
  <si>
    <t>There is low gender diversity at leadership level, although board level diversity is currently within our expectations. The company needs to invest in female talent development initiatives throughout its operations.</t>
  </si>
  <si>
    <t>a5da700000057NRAAY</t>
  </si>
  <si>
    <t>Bribery &amp; corruption risk</t>
  </si>
  <si>
    <t>Effective anti-bribery and corruption procedures, controls, oversight and culture.</t>
  </si>
  <si>
    <t>Anti-bribery &amp; Corruption</t>
  </si>
  <si>
    <t>a5da7000000573OAAQ</t>
  </si>
  <si>
    <t>Risk management</t>
  </si>
  <si>
    <t>2011 Q1</t>
  </si>
  <si>
    <t>a5da700000057NcAAI</t>
  </si>
  <si>
    <t>Remuneration practice and policy</t>
  </si>
  <si>
    <t>Vote on remuneration policy and report at 2017 AGM</t>
  </si>
  <si>
    <t>a5da700000057GKAAY</t>
  </si>
  <si>
    <t>Reputation management</t>
  </si>
  <si>
    <t>a5da700000057QxAAI</t>
  </si>
  <si>
    <t>Sale and export controls and oversight</t>
  </si>
  <si>
    <t>Related to human rights, in particular occupied territories.</t>
  </si>
  <si>
    <t>a5da7000000575GAAQ</t>
  </si>
  <si>
    <t>a5da700000057NdAAI</t>
  </si>
  <si>
    <t>Board-level skills and experience</t>
  </si>
  <si>
    <t>a5da700000056BwAAI</t>
  </si>
  <si>
    <t>Cornavirus response</t>
  </si>
  <si>
    <t>The company implements a robust response to the coronavirus crisis, in particular in the management of its workforce.</t>
  </si>
  <si>
    <t>a5da7000000573iAAA</t>
  </si>
  <si>
    <t>Future fuel strategy</t>
  </si>
  <si>
    <t>a5da700000056fTAAQ</t>
  </si>
  <si>
    <t>Strategic priorities for new CEO</t>
  </si>
  <si>
    <t>a5da700000056bcAAA</t>
  </si>
  <si>
    <t>IT security</t>
  </si>
  <si>
    <t>a5da700000056BxAAI</t>
  </si>
  <si>
    <t>Safety risks</t>
  </si>
  <si>
    <t>Ensuring safety of the company's employees and of its products</t>
  </si>
  <si>
    <t>a5da700000057NZAAY</t>
  </si>
  <si>
    <t>Climate lobbying report</t>
  </si>
  <si>
    <t>The company undertakes and publishes a trade association alignment report in line with the IIGCC expectations.</t>
  </si>
  <si>
    <t>a5da700000057K9AAI</t>
  </si>
  <si>
    <t>Freeport-McMoRan Inc</t>
  </si>
  <si>
    <t>We questioned the three part leadership setup of CEO/executive chair/lead independent director that has been implemented following the transition. We prefer clearly defined separation in which the CEO manages the company and the chair manages the board. We encouraged the company to consider a plan and a timeline to sunset the three part leadership setup of CEO/executive chair/lead independent director. We also encouraged the company to consider using the opportunity of the transition to appoint an independent chair of the board.</t>
  </si>
  <si>
    <t>a5da7000000582BAAQ</t>
  </si>
  <si>
    <t>Support for shareholder proposal on proxy access</t>
  </si>
  <si>
    <t>a5da700000056LIAAY</t>
  </si>
  <si>
    <t>Climate change</t>
  </si>
  <si>
    <t>We seek for the company to fulfill its role in the transition to a low-carbon economy.</t>
  </si>
  <si>
    <t>a5da700000056LpAAI</t>
  </si>
  <si>
    <t>The company should improve its board diversity in line with our Corporate Governance Principles.</t>
  </si>
  <si>
    <t>a5da700000056LJAAY</t>
  </si>
  <si>
    <t>Executive remuneration</t>
  </si>
  <si>
    <t>We recommended supporting the compensation committee chair and the say on pay item by exception to our executive compensation voting policy. We still have concerns that the quantum has risen by 15% and now exceeds ISS peer averages by an even greater margin than before. Despite these concerns, we recommended supporting by exception due to the company’s pursuit of a living wage assessment with an independent third party. We also suggested that the company update its policy to prohibit, rather than limit, pledging; increase the shareholding period for restricted share units (RSUs) in the long term incentive plan (LTIP), which currently vest one-third per year; and reduce the change-in-control severance agreement cash severance multiple from three times to two times.</t>
  </si>
  <si>
    <t>a5da700000057kzAAA</t>
  </si>
  <si>
    <t>Tailings management</t>
  </si>
  <si>
    <t>Our objective is for the company to implement the Global Industry Standard on Tailings Management. The standard was developed through an independent, multi-stakeholder process co-convened by UNEP, PRI, and ICMM following the tragic collapse of a tailings facility located in Brumadinho, Brazil, in 2019. Through its active participation in ICMM, the company played a leadership role in the development of the standard.</t>
  </si>
  <si>
    <t>a5da700000056dxAAA</t>
  </si>
  <si>
    <t>Controversy linked to UNGC Principle 7: Approach to environmental challenges</t>
  </si>
  <si>
    <t>Our objective is for the company to commit to an ongoing programme of reduction to the impact of riverine tailings from the Grasberg mine. Grasberg is one of four mines in the world to use riverine tailings disposal (RTD), which is banned in most countries. RTD has been used at the site for decades and the practice is expected to continue through the life of the mine, until at least 2041.</t>
  </si>
  <si>
    <t>2014 Q3</t>
  </si>
  <si>
    <t>a5da700000056LUAAY</t>
  </si>
  <si>
    <t>Human rights</t>
  </si>
  <si>
    <t>Our objective is for the company to fully align with the UN Guiding Principles on Business and Human Rights.</t>
  </si>
  <si>
    <t>a5da700000056XuAAI</t>
  </si>
  <si>
    <t>Hershey Co/The</t>
  </si>
  <si>
    <t>a5da700000057UtAAI</t>
  </si>
  <si>
    <t>Home Depot Inc/The</t>
  </si>
  <si>
    <t>Human rights risks in the supply chain</t>
  </si>
  <si>
    <t>The company reports on its identified human rights risks, violations and remediation actions, together with its due diligence process, including grievance mechanisms (ie access to remedy and safeguards such as free, prior and informed consent).</t>
  </si>
  <si>
    <t>16/10/25</t>
  </si>
  <si>
    <t>a5da700000058T6AAI</t>
  </si>
  <si>
    <t>The governance of cyber security within the organisation.</t>
  </si>
  <si>
    <t>a5da700000056ZdAAI</t>
  </si>
  <si>
    <t>Adoption of Science-based targets</t>
  </si>
  <si>
    <t>We signed a group investor letter to the company encouraging the adoption of science-based targets to manage the long-term decarbonisation of the business.</t>
  </si>
  <si>
    <t>a5da700000057Y3AAI</t>
  </si>
  <si>
    <t>CEO Shareholding Requirements</t>
  </si>
  <si>
    <t>In this voting objective, we want the company to increase minimum shareholding requirements to eight and 10 times base salary for the CEO for at least two years post departure.</t>
  </si>
  <si>
    <t>a5da700000058dLAAQ</t>
  </si>
  <si>
    <t>Paid sick leave for direct and indirect employees</t>
  </si>
  <si>
    <t>More than 26 million people working in the private sector have no access to paid sick days. Millions more cannot earn and use paid sick time to care for a sick child or family member, leaving working people in the US facing an impossible choice when they are sick: stay home and risk their economic stability or go to work and risk their health and the public’s health. Seven in ten of the lowest-wage workers do not have paid sick days to care for their own health. Black, indigenous, and people of colour workers, low-wage, part-time, immigrant, and service-industry workers are especially unlikely to have access to paid sick days. Disparities in access to paid sick days disproportionately expose Latinx and Black workers to an increased risk of illness. Nearly half (48%) of Latinx workers and more than one-third (36%) of Black workers report having no paid time away from work of any kind. While women overall are about as likely as men to have paid sick days, low levels of coverage disproportionately affect mothers because they are more likely than fathers to miss work to take care of sick children. Further, workers who interact the most with the public are often the least likely to have paid sick days, leading to greater exposure and risk. In 2022, Home Depot was identified as one of a number of companies who may not have robust policies in place for paid sick leave for direct and indirect employees. We co-signed a letter on the topic which was sent to the company by the Interfaith Center on Corporate Responsibility.</t>
  </si>
  <si>
    <t>a5da700000057kcAAA</t>
  </si>
  <si>
    <t>Diversity</t>
  </si>
  <si>
    <t>Support for shareholder proposal seeking greater disclosure of diversity metrics</t>
  </si>
  <si>
    <t>a5da700000057SRAAY</t>
  </si>
  <si>
    <t>Use of prison or other forced labour</t>
  </si>
  <si>
    <t>In 2019, the company received a shareholder proposal calling for more due diligence on the use of prison labour in its supply chain. On balance, we supported the proposal.</t>
  </si>
  <si>
    <t>a5da700000057eqAAA</t>
  </si>
  <si>
    <t>Honda Motor Co Ltd</t>
  </si>
  <si>
    <t>Product safety and recall</t>
  </si>
  <si>
    <t>Honda has recalled millions of vehicles due to faulty airbags</t>
  </si>
  <si>
    <t>Japan</t>
  </si>
  <si>
    <t>a5da700000056fZAAQ</t>
  </si>
  <si>
    <t>Allegiant shareholding</t>
  </si>
  <si>
    <t>Strategic shareholding as a key concern about Japanese corporate governance</t>
  </si>
  <si>
    <t>a5da700000056eUAAQ</t>
  </si>
  <si>
    <t>Environmental technology</t>
  </si>
  <si>
    <t>Company needs clear targets on green products</t>
  </si>
  <si>
    <t>a5da700000056fYAAQ</t>
  </si>
  <si>
    <t>Fleet emissions reduction target</t>
  </si>
  <si>
    <t>The company currently has a target to reduce its average fleet emissions by 30% from the 2000 level by 2020, which would be 126gCO2/km. It also told us of internal targets to reduce the emissions by 50% by 2025 and 60% by 2030, respectively (which would achieve 90g/km and 72g/km). We encourage the company to set a more ambitious target to align with the EU target (59g/km by 2030).</t>
  </si>
  <si>
    <t>a5da700000055gRAAQ</t>
  </si>
  <si>
    <t>A rapid electrification of vehicles and increased level of automation in the production line will likely create excess workforce. A large-scale redundancy will have a major social impact. Re-training of workers may incur significant cost. We would like to see if the company has addressed this issue and has a strategy to manage the transition.</t>
  </si>
  <si>
    <t>a5da700000057nzAAA</t>
  </si>
  <si>
    <t>Science-based target</t>
  </si>
  <si>
    <t>We would like to see Honda having its carbon emissions reduction target approved as science-based.</t>
  </si>
  <si>
    <t>a5da700000057hBAAQ</t>
  </si>
  <si>
    <t>Board effectiveness</t>
  </si>
  <si>
    <t>Need to improve board effectiveness following recalls</t>
  </si>
  <si>
    <t>Board &amp; Management Dynamics</t>
  </si>
  <si>
    <t>a5da700000057JJAAY</t>
  </si>
  <si>
    <t>Sustainability Report</t>
  </si>
  <si>
    <t>Improving disclosure in sustainability report.</t>
  </si>
  <si>
    <t>a5da70000005733AAA</t>
  </si>
  <si>
    <t>Lloyds Banking Group PLC</t>
  </si>
  <si>
    <t>Purchase of preference shares</t>
  </si>
  <si>
    <t>The UK financial regulator is conducting a market-wide enquiry into irredeemable preference shares. It follows an announcement by UK insurer Aviva earlier this year, which stated that it had the ability to cancel preference shares at par value.</t>
  </si>
  <si>
    <t>a5da700000056YOAAY</t>
  </si>
  <si>
    <t>Sustainability embedded into bank's strategy</t>
  </si>
  <si>
    <t>Change current approach of a sustainability strategy based on philanthropic efforts to one integrated into the bank's strategy and activities</t>
  </si>
  <si>
    <t>a5da700000056HnAAI</t>
  </si>
  <si>
    <t>Remuneration aligned with risk and performance</t>
  </si>
  <si>
    <t>Adopt a more long term approach to remuneration which ensures that risk is taken into consideration</t>
  </si>
  <si>
    <t>a5da700000056I2AAI</t>
  </si>
  <si>
    <t>Leadership structure</t>
  </si>
  <si>
    <t>a5da700000056UhAAI</t>
  </si>
  <si>
    <t>a5da700000057S1AAI</t>
  </si>
  <si>
    <t>To align the company's remuneration structure and outcomes with the Hermes Remuneration Principles.</t>
  </si>
  <si>
    <t>a5da700000057VhAAI</t>
  </si>
  <si>
    <t>Materiality Assessment</t>
  </si>
  <si>
    <t>We participated in a materiality assessment survey to inform the responsible business reporting of the bank, which will be published next year. Apart from promoting good governance and a strong business performance in relation to sustainability, we highlighted the importance of supporting financial inclusion, responsible &amp; ethical lending, human capital management and the transition to a low-carbon economy</t>
  </si>
  <si>
    <t>a5da700000057VcAAI</t>
  </si>
  <si>
    <t>Executive Remuneration - Pension Contribution</t>
  </si>
  <si>
    <t>Lloyds Banking Group's executive director remuneration policy allowed for 46% of salary to be paid in lieu of a pension entitlement. In line with the expectations of the new UK Corporate Governance Code, we expect pension contributions for executives to be brought into line with the rate available for the majority of the workforce.</t>
  </si>
  <si>
    <t>a5da700000057CrAAI</t>
  </si>
  <si>
    <t>Origin Energy Ltd</t>
  </si>
  <si>
    <t>a5da700000056UmAAI</t>
  </si>
  <si>
    <t>Regnan Engagement Activity on community relations</t>
  </si>
  <si>
    <t>Regnan engagement activity on this issue</t>
  </si>
  <si>
    <t>a5da700000056IlAAI</t>
  </si>
  <si>
    <t>Regnan Engagement Activity on Remuneration</t>
  </si>
  <si>
    <t>Regnan Engagement Activity</t>
  </si>
  <si>
    <t>a5da700000056GQAAY</t>
  </si>
  <si>
    <t>Regnan Engagement Activity on climate change</t>
  </si>
  <si>
    <t>a5da700000056HRAAY</t>
  </si>
  <si>
    <t>Regnan Engagement Activity on water</t>
  </si>
  <si>
    <t>a5da7000000569hAAA</t>
  </si>
  <si>
    <t>Regnan Engagement Activity on Executive remuneration</t>
  </si>
  <si>
    <t>a5da7000000569cAAA</t>
  </si>
  <si>
    <t>Regnan engagement activity on board structure</t>
  </si>
  <si>
    <t>2013 Q3</t>
  </si>
  <si>
    <t>a5da7000000569rAAA</t>
  </si>
  <si>
    <t>Regnan Engagement Activity on waste</t>
  </si>
  <si>
    <t>a5da7000000566xAAA</t>
  </si>
  <si>
    <t>Regnan Engagement Activity on Human capital management</t>
  </si>
  <si>
    <t>a5da700000056HkAAI</t>
  </si>
  <si>
    <t>Regnan Engagement Activity on ESG disclosure</t>
  </si>
  <si>
    <t>a5da700000056HWAAY</t>
  </si>
  <si>
    <t>Regnan Engagement activity on Diversity</t>
  </si>
  <si>
    <t>a5da700000056GPAAY</t>
  </si>
  <si>
    <t>Coal Seam Gas projects</t>
  </si>
  <si>
    <t>a5da7000000560UAAQ</t>
  </si>
  <si>
    <t>Regnan engagement activity on unconventional gas</t>
  </si>
  <si>
    <t>a5da700000056F5AAI</t>
  </si>
  <si>
    <t>Regnan Engagement Activity on licence to operate</t>
  </si>
  <si>
    <t>a5da7000000569iAAA</t>
  </si>
  <si>
    <t>Eli Lilly &amp; Co</t>
  </si>
  <si>
    <t>Demonstrate solid management of antimicrobial resistance</t>
  </si>
  <si>
    <t>Eli Lilly signed the Davos Declaration and Roadmap for Progress on Combating Antimicrobial Resistance (AMR). AMR is recognised as a globalrisk and one that is bound to become critical to the sustainability of the pharmaceutical industry.</t>
  </si>
  <si>
    <t>a5da700000057paAAA</t>
  </si>
  <si>
    <t>Access to Medicine</t>
  </si>
  <si>
    <t>The company participates in the Access to Medicine Index.</t>
  </si>
  <si>
    <t>a5da700000057pZAAQ</t>
  </si>
  <si>
    <t>Board composition</t>
  </si>
  <si>
    <t>That the Board develops a succession plan for its ageing directors including the Senior Independent Director</t>
  </si>
  <si>
    <t>a5da700000057VMAAY</t>
  </si>
  <si>
    <t>The company puts in place proxy access via its bylaws.</t>
  </si>
  <si>
    <t>a5da700000057pfAAA</t>
  </si>
  <si>
    <t>Consider merits of longer vesting and holding period for long term incentive plan</t>
  </si>
  <si>
    <t>a5da700000057eTAAQ</t>
  </si>
  <si>
    <t>Eliminate supermajority vote standard</t>
  </si>
  <si>
    <t>The company has put forth a management proposal in 2021, as it has in previous years, to eliminate its supermajority vote standard, but one of its largest equity holders does not support this proposal and has made the supermajority vote hurdle difficult to clear. We will monitor the vote results to see if sentiment may be shifting.</t>
  </si>
  <si>
    <t>a5da700000057HEAAY</t>
  </si>
  <si>
    <t>Classified board</t>
  </si>
  <si>
    <t>The board is classified, which impedes shareholders' rights to elect all directors annually.</t>
  </si>
  <si>
    <t>a5da700000057HFAAY</t>
  </si>
  <si>
    <t>Governance of artificial intelligence</t>
  </si>
  <si>
    <t>We are engaging on the governance of artificial intelligence (AI), as the use of AI grows in the pharma/healthcare space.</t>
  </si>
  <si>
    <t>a5da700000057Z8AAI</t>
  </si>
  <si>
    <t>Trane Technologies plc</t>
  </si>
  <si>
    <t>There are concerns about executive pay.</t>
  </si>
  <si>
    <t>a5da700000057kBAAQ</t>
  </si>
  <si>
    <t>Board Composition</t>
  </si>
  <si>
    <t>Excessive tenure on the board and of the lead independent director.</t>
  </si>
  <si>
    <t>a5da700000056zHAAQ</t>
  </si>
  <si>
    <t>Nestle SA</t>
  </si>
  <si>
    <t>Biodiversity, deforestation, regenerative agriculture</t>
  </si>
  <si>
    <t>No deforestation strategy for palm oil and soy, working with supply chain on regenerative agriculture and having clearer strategy for biodiversity.</t>
  </si>
  <si>
    <t>Switzerland</t>
  </si>
  <si>
    <t>a5da700000057yBAAQ</t>
  </si>
  <si>
    <t>Our objective is for the company to develop a clear strategy and timebound measurable targets outlining its approach to grow sales and/or the portfolio weighting of sustainable plant-based (or credible alternative) proteins, with an emphasis on dairy-based products.</t>
  </si>
  <si>
    <t>a5da700000055n6AAA</t>
  </si>
  <si>
    <t>Board evaluation</t>
  </si>
  <si>
    <t>Our objective is for a performance evaluation of the board to be periodically conducted by an independent consultant. The company provides a summary of the key findings and actions to be undertaken.</t>
  </si>
  <si>
    <t>a5da700000055i5AAA</t>
  </si>
  <si>
    <t>Access To Nutrition</t>
  </si>
  <si>
    <t>Collaboration with the Access to Nutrition Foundation, an independent non-profit organization based in the Netherlands dedicated to objectively assessing and improving the contribution that the private sector makes to address global nutrition challenges. The foundation publishes the Access to Nutrition Index (ATNI). The aim is to encourage companies to increase access to healthy products and to exercise their influence on consumers’ choice and behaviour responsibly.</t>
  </si>
  <si>
    <t>a5da700000056ewAAA</t>
  </si>
  <si>
    <t>Water management</t>
  </si>
  <si>
    <t>The company is a significant user of water for its beverage business and faces regular controversies on its water usage, with a significant number of lawsuits including in the United States. The chair is leading a thorough water management programme. We aim to probe the system in place to identify an objective to ensure it is appropriate.</t>
  </si>
  <si>
    <t>a5da700000056daAAA</t>
  </si>
  <si>
    <t>Zimbabwe Operations</t>
  </si>
  <si>
    <t>Test management of operations in Zimbabwe</t>
  </si>
  <si>
    <t>2008 Q3</t>
  </si>
  <si>
    <t>a5da700000055x6AAA</t>
  </si>
  <si>
    <t>Tax policy</t>
  </si>
  <si>
    <t>Definition of a fair tax policy on the back of the CFO stated intent to optimise taxes. (Q3 2017)</t>
  </si>
  <si>
    <t>a5da700000056UuAAI</t>
  </si>
  <si>
    <t>Plastic packaging</t>
  </si>
  <si>
    <t>Our objective is to ensure Nestle works to eliminate the need for single-use plastic packaging and transitions to a circular business model – notably reusable and refillable packaging models.</t>
  </si>
  <si>
    <t>a5da700000056lhAAA</t>
  </si>
  <si>
    <t>Strategy and risk management</t>
  </si>
  <si>
    <t>Update on business strategy.</t>
  </si>
  <si>
    <t>a5da700000056psAAA</t>
  </si>
  <si>
    <t>The company carries an external board evaluation every three years and improves its disclosure.</t>
  </si>
  <si>
    <t>a5da700000056vDAAQ</t>
  </si>
  <si>
    <t>Share buyback programmme</t>
  </si>
  <si>
    <t>Balance between immediate shareholder value and sustainable growth. Margin target, active portfolio management, capital efficiency, significant share buyback (pulled forward), leverage (foregoing AA credit-rating) seems to come straight out of the activist’s proposal.</t>
  </si>
  <si>
    <t>a5da700000056p1AAA</t>
  </si>
  <si>
    <t>succession planning</t>
  </si>
  <si>
    <t>In 2017, Nestle's chair will step down from his position.</t>
  </si>
  <si>
    <t>a5da700000056p0AAA</t>
  </si>
  <si>
    <t>Board diversity gender</t>
  </si>
  <si>
    <t>Achieve 30% women on board</t>
  </si>
  <si>
    <t>a5da700000056oyAAA</t>
  </si>
  <si>
    <t>Human capital reporting - Workforce Disclosure Initiative</t>
  </si>
  <si>
    <t>The company responds to the WDI survey and increases its disclosure on human capital management.</t>
  </si>
  <si>
    <t>a5da700000056lYAAQ</t>
  </si>
  <si>
    <t>a5da700000057HfAAI</t>
  </si>
  <si>
    <t>Diversity executive committee</t>
  </si>
  <si>
    <t>The female representation improves beyond the board, specifically on the executive committee.</t>
  </si>
  <si>
    <t>a5da700000057ZFAAY</t>
  </si>
  <si>
    <t>Kroger Co/The</t>
  </si>
  <si>
    <t>Executive Compensation</t>
  </si>
  <si>
    <t>The company should align CEO pay with long-term shareholder interests by reducing the high quantum of pay which is above the peer median, in the top quartile and not aligned with performance or peers.</t>
  </si>
  <si>
    <t>a5da700000057QjAAI</t>
  </si>
  <si>
    <t>Environmental impacts</t>
  </si>
  <si>
    <t>Renewable energy goals; recyclable packaging.</t>
  </si>
  <si>
    <t>a5da700000057lnAAA</t>
  </si>
  <si>
    <t>a5da700000057UTAAY</t>
  </si>
  <si>
    <t>Merck &amp; Co Inc</t>
  </si>
  <si>
    <t>The company can demonstrate it retains good access to medicine credentials even after withdrawal from the access to medicines index.</t>
  </si>
  <si>
    <t>a5da700000057nmAAA</t>
  </si>
  <si>
    <t>Whether the company's remuneration policy and practices align with Hermes' remuneration principles.</t>
  </si>
  <si>
    <t>a5da700000057hIAAQ</t>
  </si>
  <si>
    <t>Participation in the Access to Medicine Index</t>
  </si>
  <si>
    <t>Participation in the Access to Medicine Index.</t>
  </si>
  <si>
    <t>a5da700000057nnAAA</t>
  </si>
  <si>
    <t>Board responsiveness to various shareholder proposals</t>
  </si>
  <si>
    <t>Monitor how the board responds to shareholder proposals and how it engages on these issues.</t>
  </si>
  <si>
    <t>a5da700000057hCAAQ</t>
  </si>
  <si>
    <t>Micron Technology Inc</t>
  </si>
  <si>
    <t>AGM agenda</t>
  </si>
  <si>
    <t>Remove other business item from AGM agendas</t>
  </si>
  <si>
    <t>Technology Hardware &amp; Equipment</t>
  </si>
  <si>
    <t>a5da700000057u1AAA</t>
  </si>
  <si>
    <t>GHG reduction strategy</t>
  </si>
  <si>
    <t>We acknowledge that the decarbonisation pathways are less defined for the semiconductor industry compared to others but encourage the company's ongoing efforts to engage directly with its supply chain partners and find solutions in renewable energy-constrained locations to reduce its emissions.</t>
  </si>
  <si>
    <t>a5da700000057u8AAA</t>
  </si>
  <si>
    <t>Workforce diversity, equity and inclusion</t>
  </si>
  <si>
    <t>The company has disclosed data on its workfrorce diversity and it appears to have stagnated over the last three to four years in terms of improving its representation across gender and racial/ethnic groups.</t>
  </si>
  <si>
    <t>a5da700000057uCAAQ</t>
  </si>
  <si>
    <t>Disclosure of executive compensation metrics</t>
  </si>
  <si>
    <t>The company does not disclose thresholds, targets or maximum for the majority of its short and long-term compensation metrics, bringing into question the robustness and alignment of these metrics with long-term shareholders.</t>
  </si>
  <si>
    <t>a5da700000057t2AAA</t>
  </si>
  <si>
    <t>Pay ratios</t>
  </si>
  <si>
    <t>Ratio of CEO to NEO pay.</t>
  </si>
  <si>
    <t>a5da700000057ihAAA</t>
  </si>
  <si>
    <t>Conflict minerals</t>
  </si>
  <si>
    <t>Transparency of supply chain and countries of origin of all 3TG metals in products.</t>
  </si>
  <si>
    <t>a5da700000057bYAAQ</t>
  </si>
  <si>
    <t>3M Co</t>
  </si>
  <si>
    <t>Corporate Culture</t>
  </si>
  <si>
    <t>Enhanced definition of corporate philosophy.</t>
  </si>
  <si>
    <t>2018 Q4</t>
  </si>
  <si>
    <t>a5da700000057StAAI</t>
  </si>
  <si>
    <t>Climate resilient strategy - enhanced scope</t>
  </si>
  <si>
    <t xml:space="preserve">The company enhances the scope of its climate-related strategy and targets, and related disclosures]to include opportunities and risks in its supply chain and use of its products.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</si>
  <si>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a5da700000055glAAA</t>
  </si>
  <si>
    <t>The production of hazardous chemicals is a key risk for the company and sector. We want to support a transition to safer chemicals, and yet 75% of all chemicals used and manufactured in Europe are hazardous to human health and/or the environment. The regulatory, as well as the market pressure, to transition towards less hazardous chemicals is strong and will increase following the implementation of the European Green Deal. There are similar regulatory pressures in the US. The company scored a D+ in ChemScore's 2021 annual ranking, indicating that greater transparency on the chemicals produced and its strategy to phase out hazardous chemicals may be warranted.</t>
  </si>
  <si>
    <t>26/11/25</t>
  </si>
  <si>
    <t>a5da700000057vhAAA</t>
  </si>
  <si>
    <t>Strategy and focus on board composition including skills and experience.</t>
  </si>
  <si>
    <t>a5da7000000582jAAA</t>
  </si>
  <si>
    <t>Plastics strategy</t>
  </si>
  <si>
    <t>To develop responsible plastic production and end-of-life strategy in the company's value chain.</t>
  </si>
  <si>
    <t>a5da700000057e7AAA</t>
  </si>
  <si>
    <t>Enhanced disclosure towards eliminating, recycling and reusing plastic</t>
  </si>
  <si>
    <t>We are seeking detailed performance reporting on plastic use, which will enable investors to assess the company's progress against targets to eliminate, recycle and circulate plastics. This should include a detailed plastics footprint, broken down by polymer type with an indication of what is sustainably managed, and how this changes over time.</t>
  </si>
  <si>
    <t>a5da700000055pzAAA</t>
  </si>
  <si>
    <t>Progress towards eliminating dependence on virgin fossil fuel plastics</t>
  </si>
  <si>
    <t>Our objective is for the company to become a signatory to the global commitment on plastics and make a quantitative and time-based commitment to eliminate problematic and unnecessary plastics.</t>
  </si>
  <si>
    <t>a5da700000055puAAA</t>
  </si>
  <si>
    <t>National Australia Bank Ltd</t>
  </si>
  <si>
    <t>ACSI engagement activity on Climate Change - Scenario Analysis and Industry Asso</t>
  </si>
  <si>
    <t>ACSI – Engagment activity</t>
  </si>
  <si>
    <t>a5da700000057PgAAI</t>
  </si>
  <si>
    <t>This engagement is pursued by Regnan in Australia</t>
  </si>
  <si>
    <t>a5da7000000580yAAA</t>
  </si>
  <si>
    <t>Culture change</t>
  </si>
  <si>
    <t>A public inquiry into behaviour at Australian banks (2017 Royal Commission) and a self-assessment conducted by the bank as required by the regulator found multiple areas of concern, spanning conduct and culture, treatment of customers and risk management. Following broad changes to leadership, including a new chair and CEO, the successful implementation of its culture change programme and associated practices are a key focus for our engagement.</t>
  </si>
  <si>
    <t>a5da7000000572CAAQ</t>
  </si>
  <si>
    <t>'Fair Value' initiative</t>
  </si>
  <si>
    <t>a5da700000055zBAAQ</t>
  </si>
  <si>
    <t>S&amp;E risk disclosure</t>
  </si>
  <si>
    <t>a5da700000055zAAAQ</t>
  </si>
  <si>
    <t>Regnan engagement activity on Corporate culture</t>
  </si>
  <si>
    <t>a5da700000056HfAAI</t>
  </si>
  <si>
    <t>Regnan engagement activity on Human capital management</t>
  </si>
  <si>
    <t>a5da700000056HeAAI</t>
  </si>
  <si>
    <t>ESG disclosures</t>
  </si>
  <si>
    <t>a5da70000005812AAA</t>
  </si>
  <si>
    <t>ACSI engagement activity on Culture - Royal Commission</t>
  </si>
  <si>
    <t>a5da700000057PhAAI</t>
  </si>
  <si>
    <t>a5da70000005814AAA</t>
  </si>
  <si>
    <t>NIKE Inc</t>
  </si>
  <si>
    <t>Lead director powers</t>
  </si>
  <si>
    <t>Ensure that lead director specification and corporate governance principles enshrine the ability of the lead director to meet shareholders without management present</t>
  </si>
  <si>
    <t>a5da700000056OeAAI</t>
  </si>
  <si>
    <t>Company to commit to the ambition of the 2015 Paris climate change agreement</t>
  </si>
  <si>
    <t>a5da700000057qZAAQ</t>
  </si>
  <si>
    <t>Encourage the company to stop issuing options that can vest within three years; increase CEO shareholding requirements.</t>
  </si>
  <si>
    <t>a5da700000057q9AAA</t>
  </si>
  <si>
    <t>Diversity and inclusion</t>
  </si>
  <si>
    <t>Recent allegations of harassment near the top of the company.</t>
  </si>
  <si>
    <t>13/11/25</t>
  </si>
  <si>
    <t>a5da700000057qVAAQ</t>
  </si>
  <si>
    <t>Tax strategy and disclosure</t>
  </si>
  <si>
    <t>Monitor and investigate the company's tax strategy in response to the "Paradise Papers" allegations</t>
  </si>
  <si>
    <t>a5da700000056uiAAA</t>
  </si>
  <si>
    <t>Working conditions</t>
  </si>
  <si>
    <t>According to MSCI, workers at Cambodian factories collapsed on the job, including approximately 28 workers at a Nike supplier factory in February 2017.</t>
  </si>
  <si>
    <t>a5da700000057cwAAA</t>
  </si>
  <si>
    <t>Political donations</t>
  </si>
  <si>
    <t>Voting in favour of a shareholder proposal to improve the disclosure of political donations</t>
  </si>
  <si>
    <t>a5da700000057q7AAA</t>
  </si>
  <si>
    <t>Sustainability programme</t>
  </si>
  <si>
    <t>To improve the relevance of the company's ESG reporting to its investors.</t>
  </si>
  <si>
    <t>a5da700000057qaAAA</t>
  </si>
  <si>
    <t>Dual class share structure</t>
  </si>
  <si>
    <t>Explore sunset provisions of dual class share structure</t>
  </si>
  <si>
    <t>a5da700000057q8AAA</t>
  </si>
  <si>
    <t>Racial justice</t>
  </si>
  <si>
    <t>Racial justice within the workplace.</t>
  </si>
  <si>
    <t>a5da700000057b2AAA</t>
  </si>
  <si>
    <t>Human rights of Uyghar people</t>
  </si>
  <si>
    <t>The company enhances its human rights due diligence, uses its leverage and takes remedial action to reduce the saliency of its adverse human rights impacts on the Uighar people.</t>
  </si>
  <si>
    <t>a5da700000057b1AAA</t>
  </si>
  <si>
    <t>Wesfarmers Ltd</t>
  </si>
  <si>
    <t>22/10/25</t>
  </si>
  <si>
    <t>a5da700000057OjAAI</t>
  </si>
  <si>
    <t>Infectious Diseases, AMR &amp; Animal Welfare</t>
  </si>
  <si>
    <t>a5da700000056aQAAQ</t>
  </si>
  <si>
    <t>Regnan engagement activity on problem gambling</t>
  </si>
  <si>
    <t>a5da700000056J1AAI</t>
  </si>
  <si>
    <t>Regnan engagement activity on diversity</t>
  </si>
  <si>
    <t>a5da700000056DYAAY</t>
  </si>
  <si>
    <t>a5da700000056JmAAI</t>
  </si>
  <si>
    <t>Regnan engagement activity on ESG disclosure</t>
  </si>
  <si>
    <t>a5da700000056J2AAI</t>
  </si>
  <si>
    <t>Regnan Engagement Activity on remuneration</t>
  </si>
  <si>
    <t>a5da700000056ImAAI</t>
  </si>
  <si>
    <t>Regnan Engagement Activity on Health &amp; Safety</t>
  </si>
  <si>
    <t>Workplace health &amp; safety</t>
  </si>
  <si>
    <t>a5da700000056HlAAI</t>
  </si>
  <si>
    <t>Regnan Engagement Activity on corporate culture</t>
  </si>
  <si>
    <t>a5da700000056IsAAI</t>
  </si>
  <si>
    <t>a5da70000005670AAA</t>
  </si>
  <si>
    <t>Regnan Engagement Activity on supply chain</t>
  </si>
  <si>
    <t>a5da7000000566zAAA</t>
  </si>
  <si>
    <t>Western Saharan phosphate</t>
  </si>
  <si>
    <t>For company to effectively manage risks associated with sourcing of phosphate from disputed Western Sahara, where it appears that the Moroccan government is exploiting the territory contrary to the wishes of the local people.</t>
  </si>
  <si>
    <t>2009 Q4</t>
  </si>
  <si>
    <t>a5da700000055x9AAA</t>
  </si>
  <si>
    <t>PPL Corp</t>
  </si>
  <si>
    <t>Consumer Facing Strategy</t>
  </si>
  <si>
    <t>Company to improve consumer-facing strategy to build in flexibility to the grid and control customer costs.</t>
  </si>
  <si>
    <t>a5da7000000573bAAA</t>
  </si>
  <si>
    <t>That this climate-exposed company, deriving a significant proportion of revenues from coal, puts in place best practices by which to address the risks from climate change</t>
  </si>
  <si>
    <t>a5da700000057NuAAI</t>
  </si>
  <si>
    <t>We are concerned about the small size of the board and the ability of the directors to fulfil their duties if they sit on multiple board committees.</t>
  </si>
  <si>
    <t>a5da7000000581CAAQ</t>
  </si>
  <si>
    <t>Senior management metrics disclosure</t>
  </si>
  <si>
    <t xml:space="preserve">The company to disclose further information on the composition of its Senior Management turnover, skills, experience and any other relevant dimensions in line with all applicable laws and regulations._x000D_
_x000D_
In our view, improved reporting of human capital management data could help yield valuable insights into the effectiveness of its talent management, in the interests of the company and long-term shareholder value.</t>
  </si>
  <si>
    <t>Discontinued</t>
  </si>
  <si>
    <t>Objective Discontinued</t>
  </si>
  <si>
    <t>Discontinued - With some improvement</t>
  </si>
  <si>
    <t>a5da700000055pXAAQ</t>
  </si>
  <si>
    <t>Net Positive Impact on Biodiversity</t>
  </si>
  <si>
    <t>The company enhances its biodiversity strategy and sets a target to have a net positive impact on biodiversity.</t>
  </si>
  <si>
    <t>M3, M4</t>
  </si>
  <si>
    <t>M3 -&gt; Complete</t>
  </si>
  <si>
    <t>a5da700000055pYAAQ</t>
  </si>
  <si>
    <t xml:space="preserve">The company develops and discloses a credible strategy to take advantage of climate-related opportunities and the benefits of reduced risks, addressing a range of global scenarios, including if the company considers feasible and appropriate and consistent with long-term financial value, those consistent with the Paris Goals._x000D_
_x000D_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</si>
  <si>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a5da700000055pZAAQ</t>
  </si>
  <si>
    <t>Climate resilient asset plan</t>
  </si>
  <si>
    <t xml:space="preserve">As a utility, the company could benefit from the opportunity of increased diversity of technology base and carefully manage its exposure to assets impairment under global low-carbon scenarios, including its power stations.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</si>
  <si>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To be drafted</t>
  </si>
  <si>
    <t>a5da700000055jcAAA</t>
  </si>
  <si>
    <t>Woolworths Group Ltd</t>
  </si>
  <si>
    <t>ACSI engagement activity on domestic supply chain and modern slavery</t>
  </si>
  <si>
    <t>Seeking progress reports on the company’s own 2020 sustainability program, as well as the labour hire supplier pre-qualification programme which prompted last year’s resolution.</t>
  </si>
  <si>
    <t>a5da700000056hqAAA</t>
  </si>
  <si>
    <t>a5da700000057V2AAI</t>
  </si>
  <si>
    <t>Pfizer Inc</t>
  </si>
  <si>
    <t>Political and lobbying disclosure</t>
  </si>
  <si>
    <t>Encourage developing best practice on disclosure in the US market on political and lobbying disclosure</t>
  </si>
  <si>
    <t>a5da700000057p1AAA</t>
  </si>
  <si>
    <t>COVID response</t>
  </si>
  <si>
    <t>We are engaging on the pricing and access strategy for the coronavirus vaccine that the company is currently developing.</t>
  </si>
  <si>
    <t>a5da700000057XzAAI</t>
  </si>
  <si>
    <t>Opioid addiction in the US</t>
  </si>
  <si>
    <t>The company is using its influence to help fight opioid addiction in the US.</t>
  </si>
  <si>
    <t>a5da700000056oxAAA</t>
  </si>
  <si>
    <t>To encourage the company to be a leading advocate for climate change action and a carbon price</t>
  </si>
  <si>
    <t>a5da700000057ovAAA</t>
  </si>
  <si>
    <t>Access to medicine</t>
  </si>
  <si>
    <t>We engage with the company on its access to medicines strategy, including how it makes its products affordable and accessible in emerging markets and how its existing portfolio and R&amp;D strategy addresses under-served health needs.</t>
  </si>
  <si>
    <t>14/11/25</t>
  </si>
  <si>
    <t>a5da700000057ouAAA</t>
  </si>
  <si>
    <t>Political spending policy</t>
  </si>
  <si>
    <t>Conversation regarding Pfizer's policy on political contributions and the possibility of supporting current related SEC petition</t>
  </si>
  <si>
    <t>a5da700000057p0AAA</t>
  </si>
  <si>
    <t>Merger with Wyeth</t>
  </si>
  <si>
    <t>Meeting to discuss our concerns related to the merger with Wyeth</t>
  </si>
  <si>
    <t>2009 Q2</t>
  </si>
  <si>
    <t>a5da700000055x0AAA</t>
  </si>
  <si>
    <t>Compliance and risk management</t>
  </si>
  <si>
    <t>Discussion about the company's compliance and risk management structures in light of changing regulation</t>
  </si>
  <si>
    <t>a5da700000056GmAAI</t>
  </si>
  <si>
    <t>Corporate strategy regarding AstraZeneca deal</t>
  </si>
  <si>
    <t>Ensure robust transparency and disclosure regarding the proposed acquisition of AstraZeneca and appropriate articulation of the benefits for long-term shareholders.</t>
  </si>
  <si>
    <t>a5da700000056E5AAI</t>
  </si>
  <si>
    <t>Ensure that the roles of chair of the board and CEO are held by separate individuals</t>
  </si>
  <si>
    <t>2008 Q1</t>
  </si>
  <si>
    <t>a5da700000056GoAAI</t>
  </si>
  <si>
    <t>Anti-counterfeiting measures</t>
  </si>
  <si>
    <t>Discussion around the company’s strategy for dealing with medicine counterfeiting, and to ensure that the company is taking a proactive, efficient, coherent and coordinated approach to the problem.</t>
  </si>
  <si>
    <t>a5da700000055zgAAA</t>
  </si>
  <si>
    <t>Misuse of medications in capital punishment</t>
  </si>
  <si>
    <t>Preventing the misuse of medications for use in capital punishment, in line with Pfizer's published policy, in which it states it is strongly opposed to the use of its medications for this purpose. Also, product controls that seek to prevent the diversion of its products for use in executions.</t>
  </si>
  <si>
    <t>a5da700000056a3AAA</t>
  </si>
  <si>
    <t>Manufacturing quality</t>
  </si>
  <si>
    <t>Response from company regarding regulatory concerns about the manufacture of its Epi Pen</t>
  </si>
  <si>
    <t>a5da700000056ZPAAY</t>
  </si>
  <si>
    <t>Responsiveness to shareholders and enhanced disclosures re. votes and proposals</t>
  </si>
  <si>
    <t>Ensure the board is responsive to shareholders' concerns a expressed through votes and proposals.</t>
  </si>
  <si>
    <t>a5da700000056QyAAI</t>
  </si>
  <si>
    <t>Wells Fargo &amp; Co</t>
  </si>
  <si>
    <t>We engaged with the company about the presence and appropriateness of having two former Wachovia directors on the board despite their poor previous performance as corporate directors. These directors have since stepped off the board.</t>
  </si>
  <si>
    <t>2010 Q2</t>
  </si>
  <si>
    <t>a5da7000000560pAAA</t>
  </si>
  <si>
    <t>Special meeting</t>
  </si>
  <si>
    <t>We engaged with the company to reduce the percentage of shareholders required to requisition a special meeting.</t>
  </si>
  <si>
    <t>a5da700000056XAAAY</t>
  </si>
  <si>
    <t>We engaged with the company to strengthen its executive compensation plan to bring it more into line with our Corporate Governance Principles. In 2022, we recommended opposing the plan due to the impact of the committee's discretion in determining incentive pay, the lack of key disclosures under the total incentive assessment, and the overall high quantum. In 2023, we recommended supporting the plan.</t>
  </si>
  <si>
    <t>a5da700000056X7AAI</t>
  </si>
  <si>
    <t>Since 2011, we have engaged with the company to ensure lending practices appropriately consider corporate responsibility factors to sufficiently mitigate potential reputational exposure stemming from the bank’s financing activities. Since 2015, we have engaged with Wells Fargo on ethics, conduct, and culture in response to the accounting fraud scandal. In 2019, we asked the company to 1) state publicly that it aspires to be a global leader in business ethics,;2) show progress on the internal metrics in its 2019 Business Standards Report,;3) and align executive compensation with our expectations. The company’s Code of Ethics and Business Conduct states the goal of becoming the leader in financial services in customer service and advice, employee engagement, innovation, risk management, corporate citizenship, and shareholder value. Throughout 2021, the company referenced proof points in various publications that show progress on the internal metrics in its 2019 Business Standards Report, such as the completion of training courses and its customer loyalty branch survey scores, although certain indicators remain undisclosed such as the findings from employee surveys, the number of outstanding regulatory matters, and the volume of self-identified issues.</t>
  </si>
  <si>
    <t>a5da700000057soAAA</t>
  </si>
  <si>
    <t>Racial equity</t>
  </si>
  <si>
    <t>We engaged with the company to ensure its human rights impact assessment includes proper consideration and assessment of racial injustice. The company published a summary of findings of its human rights impact assessment in 2023 and followed up with the completion of a racial equity audit in 2024.</t>
  </si>
  <si>
    <t>a5da700000057e3AAA</t>
  </si>
  <si>
    <t>We engaged with the company to ensure that the board maintains sufficient levels of independence, diversity, and skills/expertise.</t>
  </si>
  <si>
    <t>a5da700000057sqAAA</t>
  </si>
  <si>
    <t>We engaged with the company to ensure that the bank integrates climate change into its strategy and meets the goals of the Paris Agreement. We want to see a business model consistent with net-zero emissions and an effective transition plan to achieve this by 2050 or sooner, with emissions reductions in line with 1.5°C.</t>
  </si>
  <si>
    <t>a5da700000057S2AAI</t>
  </si>
  <si>
    <t>Novo Nordisk A/S</t>
  </si>
  <si>
    <t>Ensure appropriate embedment of access to medicine in the company strategy</t>
  </si>
  <si>
    <t>Denmark</t>
  </si>
  <si>
    <t>a5da700000057oIAAQ</t>
  </si>
  <si>
    <t>Antimicrobial resistance (AMR)</t>
  </si>
  <si>
    <t>As diabetes patients are more susceptible to developing infections, we raised the question of performing an AMR risk scenario analysis to determine business resilience as antibiotics loose thier efficacy.</t>
  </si>
  <si>
    <t>a5da700000057WrAAI</t>
  </si>
  <si>
    <t>Clinical Trials</t>
  </si>
  <si>
    <t>a5da700000056CkAAI</t>
  </si>
  <si>
    <t>2003 Q4</t>
  </si>
  <si>
    <t>03/11/25</t>
  </si>
  <si>
    <t>a5da7000000564vAAA</t>
  </si>
  <si>
    <t>Political Donations</t>
  </si>
  <si>
    <t>In the long-term, termination of payments to political parties, and in the short-term, disclosure of amounts, recipients, reasoning behind the aim of the donations and the decision-making process behind them.</t>
  </si>
  <si>
    <t>a5da7000000564wAAA</t>
  </si>
  <si>
    <t>Animal Testing</t>
  </si>
  <si>
    <t>a5da70000005661AAA</t>
  </si>
  <si>
    <t>a5da7000000578UAAQ</t>
  </si>
  <si>
    <t>Pandemic response</t>
  </si>
  <si>
    <t>Response to coronavirus that enables long-term business success and considerate management of stakeholders.</t>
  </si>
  <si>
    <t>a5da700000057WfAAI</t>
  </si>
  <si>
    <t>Strategic Integration of Sustainability issues</t>
  </si>
  <si>
    <t>Identifying the key sustainability risks and opportunities and how to report on these issues.</t>
  </si>
  <si>
    <t>2009 Q3</t>
  </si>
  <si>
    <t>a5da700000057WvAAI</t>
  </si>
  <si>
    <t>Virtual-only meeting</t>
  </si>
  <si>
    <t>Ensure that shareholder rights are sufficiently protected if articles of association allow for virtual meetings only.</t>
  </si>
  <si>
    <t>a5da7000000578TAAQ</t>
  </si>
  <si>
    <t>ConocoPhillips</t>
  </si>
  <si>
    <t>Vote against say on pay (2017) and link to climate change risk management</t>
  </si>
  <si>
    <t>a5da7000000580WAAQ</t>
  </si>
  <si>
    <t>Setting carbon reduction target</t>
  </si>
  <si>
    <t>Encouraging the company to set carbon reduction targets</t>
  </si>
  <si>
    <t>a5da700000057r2AAA</t>
  </si>
  <si>
    <t>Sustainable Development Goals (SDGs)</t>
  </si>
  <si>
    <t>To encourage the company to map its social responsibility against the SDGs</t>
  </si>
  <si>
    <t>a5da700000056QjAAI</t>
  </si>
  <si>
    <t>Managing difficult country risk</t>
  </si>
  <si>
    <t>Ensuring that the risks of managing operations in difficult countries such as Peru and Nigeria are effectively managed</t>
  </si>
  <si>
    <t>a5da7000000561vAAA</t>
  </si>
  <si>
    <t>Improve transparency of political and lobbying donations</t>
  </si>
  <si>
    <t>The company's disclosure on political donations is not good on those donations made via third parties. At our meeting in Q1 2013 the company pushed back on providing disclosure of third parties' donations. We wish to encourage greater explanation about the reasons for these donations and why they are in shareholders' best interests.</t>
  </si>
  <si>
    <t>a5da700000057r5AAA</t>
  </si>
  <si>
    <t>Asahi Group Holdings Ltd</t>
  </si>
  <si>
    <t>Strategy</t>
  </si>
  <si>
    <t>The company is planning to carry out a number of acquisitions in order to increase its size.</t>
  </si>
  <si>
    <t>a5da700000056bCAAQ</t>
  </si>
  <si>
    <t>Carbon emissions in supply chain</t>
  </si>
  <si>
    <t>Asahi does not report on scope 3, despite being an A-list company.</t>
  </si>
  <si>
    <t>07/10/25</t>
  </si>
  <si>
    <t>a5da700000056b8AAA</t>
  </si>
  <si>
    <t>Integrated reporting</t>
  </si>
  <si>
    <t>The company sought our views on integrated reporting</t>
  </si>
  <si>
    <t>a5da700000056bEAAQ</t>
  </si>
  <si>
    <t>Supply chain risk management</t>
  </si>
  <si>
    <t>The company will be subjected to UK Modern Slavery Act</t>
  </si>
  <si>
    <t>a5da700000056b9AAA</t>
  </si>
  <si>
    <t>Biodiversity impact and dependence assessment</t>
  </si>
  <si>
    <t>Identify, assess, measure and disclose the company's impacts and dependencies on biodiversity, including the associated risks and opportunities.</t>
  </si>
  <si>
    <t>a5da700000058ZrAAI</t>
  </si>
  <si>
    <t>We encourage improvements in board composition and the statutory auditor board structure. A board with a three committee structure is best practice for enhanced governance functions at the nomination and remuneration committee.</t>
  </si>
  <si>
    <t>a5da700000056bDAAQ</t>
  </si>
  <si>
    <t>Allegiant shareholdings</t>
  </si>
  <si>
    <t>Cross-shareholdings or strategic shareholdings</t>
  </si>
  <si>
    <t>a5da700000056bFAAQ</t>
  </si>
  <si>
    <t>Poison pill</t>
  </si>
  <si>
    <t>The company has adopted a poison pill.</t>
  </si>
  <si>
    <t>a5da700000056BSAAY</t>
  </si>
  <si>
    <t>PPG Industries Inc</t>
  </si>
  <si>
    <t>Joint Chair/CEO position</t>
  </si>
  <si>
    <t>Company to separate roles of chair and CEO.</t>
  </si>
  <si>
    <t>a5da700000057ZBAAY</t>
  </si>
  <si>
    <t>Company to sunset classified board structure and move to annual elections.</t>
  </si>
  <si>
    <t>a5da700000057ZAAAY</t>
  </si>
  <si>
    <t>The company to focus on diversity and inclusion across the organisation and in relation to its mergers and acquisitions.</t>
  </si>
  <si>
    <t>a5da7000000579OAAQ</t>
  </si>
  <si>
    <t>All chemical companies face the risk that products could lead to unknown negative environmental and biological impacts. The production of hazardous chemicals is a key risk for the company and sector. According to the World Health Organization, two million people died due to exposure to hazardous chemicals in 2019, compared with 1.6 million in 2016. Hazardous chemicals are also key drivers of biodiversity loss. We want to support a transition towards safer chemicals, and yet 75% of all chemicals used and manufactured in Europe are hazardous to human health and/or the environment (EU 2019). The regulatory, as well as the market pressure, to transition towards less hazardous chemicals is strong and will increase even more following implementation of the European Green Deal. In the US, the Environmental Protection Agency in October 2021 released its roadmap for tackling per- and polyfluoroalkyl substances (PFAS). This multi-agency approach, with increased disclosure and tighter restrictions, is expected to impact companies in the near term. In recent years the financial implications for company liability for past and current production of pollution of persistent chemicals, especially PFAS, have been clear. The company scored a D+ in ChemScore's 2021 annual ranking indicating that greater transparency on chemicals produced and the strategy to phase out hazardous chemicals may be warranted.</t>
  </si>
  <si>
    <t>a5da700000057i0AAA</t>
  </si>
  <si>
    <t>Concerns about high levels of quantum.</t>
  </si>
  <si>
    <t>a5da700000057Z3AAI</t>
  </si>
  <si>
    <t>Emissions targets</t>
  </si>
  <si>
    <t>Company to set long-term, science-based targets.</t>
  </si>
  <si>
    <t>a5da700000057YlAAI</t>
  </si>
  <si>
    <t>Citigroup Inc</t>
  </si>
  <si>
    <t>Dakota Access Pipeline</t>
  </si>
  <si>
    <t>Raised issues concerning selling its financing obligations to the Dakota Access Pipeline and learning lessons around due diligence on projects it finances</t>
  </si>
  <si>
    <t>a5da700000056XEAAY</t>
  </si>
  <si>
    <t>Robust capital allocation and dividend plans assessment methodology</t>
  </si>
  <si>
    <t>Ensure that capital allocation and dividend plans assessment methodology meet regulatory requirements</t>
  </si>
  <si>
    <t>a5da700000056EMAAY</t>
  </si>
  <si>
    <t>Post-financial crisis restructuring of Citigroup</t>
  </si>
  <si>
    <t>a5da7000000569WAAQ</t>
  </si>
  <si>
    <t>Regulatory stress tests</t>
  </si>
  <si>
    <t>Monitor Citigroup's progress to meet US regulatory stress tests</t>
  </si>
  <si>
    <t>a5da700000056MnAAI</t>
  </si>
  <si>
    <t>Sustainable Development Goals reporting</t>
  </si>
  <si>
    <t>The company reports against the UN Sustainable Development Goals</t>
  </si>
  <si>
    <t>a5da700000056TsAAI</t>
  </si>
  <si>
    <t>Requesting special meetings</t>
  </si>
  <si>
    <t>Reduced threshold for requisitioning special meetings.</t>
  </si>
  <si>
    <t>a5da700000056fsAAA</t>
  </si>
  <si>
    <t>Our objective is to ensure that the bank integrates climate change into its strategy and meets the goals of the Paris Agreement.</t>
  </si>
  <si>
    <t>06/10/25</t>
  </si>
  <si>
    <t>a5da700000057S0AAI</t>
  </si>
  <si>
    <t>Concerns about structure and amount of executive pay.</t>
  </si>
  <si>
    <t>a5da700000057t0AAA</t>
  </si>
  <si>
    <t>Gender pay gap</t>
  </si>
  <si>
    <t>Support for better disclosure of how the company is tackling the gender pay gap</t>
  </si>
  <si>
    <t>a5da700000057YdAAI</t>
  </si>
  <si>
    <t>Continuation of appropriate board refreshment.</t>
  </si>
  <si>
    <t>Encourage continuation of appropriate board refreshment.</t>
  </si>
  <si>
    <t>a5da7000000580lAAA</t>
  </si>
  <si>
    <t>Controversy linked to UNGC Principle 10: Corruption and bribery</t>
  </si>
  <si>
    <t>The company identifies ethics as the most important issue for its stakeholders and the business. We wish to see continuing evidence of its importance.</t>
  </si>
  <si>
    <t>a5da700000056mtAAA</t>
  </si>
  <si>
    <t>Corporate lobbying governance</t>
  </si>
  <si>
    <t>Support for shareholder proposal on better disclosure of governance around lobbying activity</t>
  </si>
  <si>
    <t>a5da700000057aiAAA</t>
  </si>
  <si>
    <t>Enhanced proxy access</t>
  </si>
  <si>
    <t>Improved proxy access right.</t>
  </si>
  <si>
    <t>a5da700000057EDAAY</t>
  </si>
  <si>
    <t>Diversity and inclusion (employees)</t>
  </si>
  <si>
    <t>The company continues its seemingly excellent work on diversity and inclusion.</t>
  </si>
  <si>
    <t>a5da700000057agAAA</t>
  </si>
  <si>
    <t>Tax strategy</t>
  </si>
  <si>
    <t>Exploring how the company ensures that it manages its tax policy and practices in a way that balances stakeholder expectations.</t>
  </si>
  <si>
    <t>a5da700000056zjAAA</t>
  </si>
  <si>
    <t>Procter &amp; Gamble Co/The</t>
  </si>
  <si>
    <t>Multi class share structure</t>
  </si>
  <si>
    <t>The company utilises a multi-class share structure.</t>
  </si>
  <si>
    <t>a5da700000056mWAAQ</t>
  </si>
  <si>
    <t>Higher shareholding requirements</t>
  </si>
  <si>
    <t>Our objective is for the company to increase its CEO shareholding requirements to 10 times base salary.</t>
  </si>
  <si>
    <t>16/12/25</t>
  </si>
  <si>
    <t>a5da700000055btAAA</t>
  </si>
  <si>
    <t>Proxy contest with activist investor</t>
  </si>
  <si>
    <t>Assessing the merits of the dissident candidate nominated to the company's board</t>
  </si>
  <si>
    <t>a5da700000056URAAY</t>
  </si>
  <si>
    <t>Transparency and coherence around the company's performance</t>
  </si>
  <si>
    <t>Improve transparency and coherence around the company's strategy and its financial implications</t>
  </si>
  <si>
    <t>a5da700000056AYAAY</t>
  </si>
  <si>
    <t>Sherwin-Williams Co/The</t>
  </si>
  <si>
    <t>Long-Term Remuneration</t>
  </si>
  <si>
    <t>The company uses options with vesting periods of less than three years in long-term remuneration and has an inflated CEO to NEO pay ratio. We seek changes to options vesting and further dialogue on pay ratios.</t>
  </si>
  <si>
    <t>a5da700000057ZyAAI</t>
  </si>
  <si>
    <t>Combined Chair/CEO</t>
  </si>
  <si>
    <t>Combined Chair/CEO roles are codified in the company's governance principles. We asked for a meeting with the lead independent director to discuss the company's rationale.</t>
  </si>
  <si>
    <t>a5da7000000575nAAA</t>
  </si>
  <si>
    <t>All chemical companies face the risk that products could lead to unknown negative environmental and biological impacts. The production of hazardous chemicals is a key risk for the company and sector. According to the World Health Organization, 2 million people died due to exposure to hazardous chemicals in 2019, compared to 1.6 million in 2016. Hazardous chemicals are also key drivers of biodiversity loss. We want to support a transition towards safer chemicals, and yet 75% of all chemicals used and manufactured in Europe are hazardous to human health and/or the environment (EU 2019). The regulatory, as well as the market pressure, to transition towards less hazardous chemicals is strong and will increase even more following implementation of the European Green Deal. In the US, the EPA in October 2021 released its roadmap for tackling per- and polyfluoroalkyl substances (PFAS). This multi-agency approach with increased disclosure and tighter restrictions is expected to impact companies in the near term. In recent years the financial implications for company liability for past and current production of pollution of persistent chemicals, especially PFAS, have been clear. The company scored a C in ChemScore's 2021 annual ranking indicating greater transparency on the chemicals produced and strategy to phase out hazardous chemicals may be warranted.</t>
  </si>
  <si>
    <t>a5da700000057wbAAA</t>
  </si>
  <si>
    <t>Renewable energy in operations</t>
  </si>
  <si>
    <t>The company needs to report its use of renewable energy and efforts to increase adoption of renewables across its operatonal footprint.</t>
  </si>
  <si>
    <t>a5da700000057rhAAA</t>
  </si>
  <si>
    <t>Statement of Business Purpose</t>
  </si>
  <si>
    <t>The company was unable to articulate business purpose. We shared our statement of business purpose materials and requested a meeting with the lead independent director to discuss.</t>
  </si>
  <si>
    <t>a5da700000057dtAAA</t>
  </si>
  <si>
    <t>Sony Group Corp</t>
  </si>
  <si>
    <t>Supply chain human rights - Uyghur forced labour</t>
  </si>
  <si>
    <t>The Australian Strategic Policy Institute linked Sony and a number of other companies to alleged human rights violations against Uyghur workers in the supply chain.</t>
  </si>
  <si>
    <t>03/10/25</t>
  </si>
  <si>
    <t>a5da700000057veAAA</t>
  </si>
  <si>
    <t>Diversity in senior management</t>
  </si>
  <si>
    <t>While there are four women on the board, there are no women in the executive team. There are two in the next level of executives.</t>
  </si>
  <si>
    <t>a5da700000057vYAAQ</t>
  </si>
  <si>
    <t>Sony is planning to issue an integrated report in 2019 and sought our advice.</t>
  </si>
  <si>
    <t>a5da700000057yWAAQ</t>
  </si>
  <si>
    <t>Ongoing review of business portfolio</t>
  </si>
  <si>
    <t>To ensure Sony continues to review its business portfolio to maintain profitability</t>
  </si>
  <si>
    <t>a5da700000057xXAAQ</t>
  </si>
  <si>
    <t>Investor expectations after coronavirus crisis</t>
  </si>
  <si>
    <t>Company sought our views on investor expectations after coronavirus.</t>
  </si>
  <si>
    <t>a5da7000000570xAAA</t>
  </si>
  <si>
    <t>The company has an ambitious target of achieving a zero environmental footprint by 2050.</t>
  </si>
  <si>
    <t>a5da7000000581kAAA</t>
  </si>
  <si>
    <t>Supply chain labour standards</t>
  </si>
  <si>
    <t>Foxconn, one of Sony's suppliers, has been accused of poor labour practice.</t>
  </si>
  <si>
    <t>a5da700000057y9AAA</t>
  </si>
  <si>
    <t>Outgoing CEO is going to remain as chair</t>
  </si>
  <si>
    <t>a5da7000000581pAAA</t>
  </si>
  <si>
    <t>Cyber security</t>
  </si>
  <si>
    <t>Sony Pictures became a victim of a large-scale hacking attack</t>
  </si>
  <si>
    <t>a5da700000056eaAAA</t>
  </si>
  <si>
    <t>Review of remuneration structure</t>
  </si>
  <si>
    <t>2010 Q1</t>
  </si>
  <si>
    <t>a5da700000056e1AAA</t>
  </si>
  <si>
    <t>Advisor (consultant) positions</t>
  </si>
  <si>
    <t>Seek clarity on advisor/consultant positions</t>
  </si>
  <si>
    <t>a5da700000056RcAAI</t>
  </si>
  <si>
    <t>Sony has committed to achieving zero environmental footprint by 2050. Its targets have been approved as science-based and the company commits to RE100. Challenge remains as to the limited supply of renewable energy in Japan.</t>
  </si>
  <si>
    <t>a5da700000057nNAAQ</t>
  </si>
  <si>
    <t>Sustainability strategy</t>
  </si>
  <si>
    <t>Discuss the Company's plan and activities in ESG issues</t>
  </si>
  <si>
    <t>2010 Q4</t>
  </si>
  <si>
    <t>a5da7000000581iAAA</t>
  </si>
  <si>
    <t>Repsol SA</t>
  </si>
  <si>
    <t>Arctic exploration</t>
  </si>
  <si>
    <t>The company's policy and approach to exploration in the arctic.</t>
  </si>
  <si>
    <t>a5da700000056vOAAQ</t>
  </si>
  <si>
    <t>Covid 19</t>
  </si>
  <si>
    <t>Company remains committed to decarbonisation commitment despite impact of coronavirus. The company adjusts its shareholder remuneration and executive remuneration to be appropriate in the context of the coronavirus crisis.</t>
  </si>
  <si>
    <t>a5da700000056xsAAA</t>
  </si>
  <si>
    <t>The board increases in diversity: gender, nationality, experience - in particular aligned to low carbon.</t>
  </si>
  <si>
    <t>a5da700000056vPAAQ</t>
  </si>
  <si>
    <t>The company runs its annual meetings in line with the EOS principles of annual meeting good practice.</t>
  </si>
  <si>
    <t>a5da7000000577oAAA</t>
  </si>
  <si>
    <t>Just transition</t>
  </si>
  <si>
    <t>The company has a comprehensive strategy for a just transition, covering employees (of oil operations), communities and other stakeholders. This could be part of a HR or communities plan but addresses the specific changes brought about by the transition to low carbon.</t>
  </si>
  <si>
    <t>a5da700000057u7AAA</t>
  </si>
  <si>
    <t>Executive remuneration structure that reflects long-term shareholder interests.</t>
  </si>
  <si>
    <t>a5da700000057opAAA</t>
  </si>
  <si>
    <t>Workforce safety</t>
  </si>
  <si>
    <t>Safety of the workforce, including contractors.</t>
  </si>
  <si>
    <t>a5da700000056nJAAQ</t>
  </si>
  <si>
    <t>Indigenous peoples</t>
  </si>
  <si>
    <t>Respect for indigenous rights, including those of people, land and heritage.</t>
  </si>
  <si>
    <t>a5da700000056vMAAQ</t>
  </si>
  <si>
    <t>The company publishes sustainability reports in line with good practice standards and covering all key stakeholder interests.</t>
  </si>
  <si>
    <t>a5da700000057vNAAQ</t>
  </si>
  <si>
    <t>Address over-committed board members</t>
  </si>
  <si>
    <t>a5da700000056XpAAI</t>
  </si>
  <si>
    <t>Viability of Trans-Alaska Pipeline</t>
  </si>
  <si>
    <t>The company is exposed to risk in Alaska, following its find onshore, as the Trans-Alaska Pipeline’s volumes are dropping and its viability is uncertain. Falling volumes through the pipeline – the only means of delivery of North Slope oil – will cause it to develop potentially dangerous problems with corrosion and ice if flows drop below 500,000 barrels a day, as they are expected to within the next five to 10 years. At 350,000 barrels a day, which pipeline operators say could happen by 2022, frost heaves could cause the underground portions of the pipeline to dangerously wrinkle and kink. Upgrading the pipeline to handle lower flows is possible but will cost ‘hundreds of millions of dollars’, according to officials from the Alyeska Pipeline Service Co., which manages the facility for the three major oil companies that own the pipeline. Since closing down the pipeline means shutting off all North Slope oil – 14% of the nation's GDP – Alyeska has been working to re-engineer the structure and says it hopes to keep it operating through 2030. The company has already replaced single-speed jet turbine pumps with variable-volume electric pumps, decommissioned six pump stations no longer needed and reconfigured others.</t>
  </si>
  <si>
    <t>a5da700000056V1AAI</t>
  </si>
  <si>
    <t>Voluntary Principles on Security and Human Rights</t>
  </si>
  <si>
    <t>Encourage company to joing steering group of the Voluntary Principles on Security and Human Rights</t>
  </si>
  <si>
    <t>a5da700000056V2AAI</t>
  </si>
  <si>
    <t>Repsol YPF Business strategy</t>
  </si>
  <si>
    <t>Sought update on strategy, risk management on environmental issues and remuneration</t>
  </si>
  <si>
    <t>a5da700000056c5AAA</t>
  </si>
  <si>
    <t>Truist Financial Corp</t>
  </si>
  <si>
    <t>CEO/Chair separation</t>
  </si>
  <si>
    <t>Our objective is for the company to separate the CEO and chair positions. As of the 2024 annual meeting, the company continues to combine the CEO/chair roles as the shareholder resolution requesting their separation received only 26% support in the previous year.</t>
  </si>
  <si>
    <t>a5da700000056PaAAI</t>
  </si>
  <si>
    <t>Clawback policy</t>
  </si>
  <si>
    <t>In 2014, we recommended supporting the shareholder resolution requesting the company to put in place a robust policy that enables the recoupment of incentives awarded subsequent to financial restatements.</t>
  </si>
  <si>
    <t>a5da700000056DqAAI</t>
  </si>
  <si>
    <t>Political engagement</t>
  </si>
  <si>
    <t>In 2024, we recommended supporting the shareholder resolution requesting enhanced lobbying disclosure. In our decision, we considered the company’s existing lobbying disclosure, which now includes an assessment of the climate change policies of its industry associations and trade groups. There is room for improvement on how the company uses its influence to strengthen the climate change policies of its industry associations and trade groups. Moreover, we are concerned about the quantity of political contributions disclosed. These include substantial payments to policymakers of both major parties at varying levels of government without explanation or rationale on how they create value for shareholders. We are concerned about the wider societal impacts of these payments.</t>
  </si>
  <si>
    <t>a5da700000056DpAAI</t>
  </si>
  <si>
    <t>Our objective is for the company to align its executive remuneration practices with our Corporate Governance Principles.</t>
  </si>
  <si>
    <t>a5da7000000580EAAQ</t>
  </si>
  <si>
    <t>AT&amp;T Inc</t>
  </si>
  <si>
    <t xml:space="preserve">The company reviews its board composition and proposes changes appropriate to achieving the cognitive diversity required to address the strategic challenges faced by the business, including the necessary skills and range 
of sector and industry experience and is accessing appropriate pools of capital. 
In our view, updated board composition can help improve the quality of board governance and so help improve company performance over the long-term, in the interests of the company and long-term shareholder value.</t>
  </si>
  <si>
    <t>a5da700000055ecAAA</t>
  </si>
  <si>
    <t>Political donations and lobbying expenditures</t>
  </si>
  <si>
    <t>Enhance disclosure around the use of corporate funds for political and lobbying activities</t>
  </si>
  <si>
    <t>a5da700000056gzAAA</t>
  </si>
  <si>
    <t>Vote for shareholder proposal seeking better proxy access rights</t>
  </si>
  <si>
    <t>a5da700000056QzAAI</t>
  </si>
  <si>
    <t>Seek refreshment of the board - a lot of long-serving pre-merger directors sit on the board.</t>
  </si>
  <si>
    <t>a5da700000056nSAAQ</t>
  </si>
  <si>
    <t>Circularity in IT &amp; Customer Hardware</t>
  </si>
  <si>
    <t>The company has set quantitative goals in terms of responsible handling and recycling of customer and operational IT equipment and hardware. However, stakeholder expectations on circular materials management, particularly for how companies like AT&amp;T manage large volumes of IT and customer hardware, is of increasing focus and attention. We believe the company may need to set goals and targets that are relative to the total volume of hardware used by the business (for example, by weight) rather than a singular target such as 'x number of devices recycled'. The latter tends to isolate impact and does not relate it to the total activity of the business.</t>
  </si>
  <si>
    <t>a5da700000056nWAAQ</t>
  </si>
  <si>
    <t>Postmerger Integration Risks</t>
  </si>
  <si>
    <t>The company has completed a major merger with Time Warner, which features three distinct businesses and cultures that AT&amp;T is now trying to rationalise. Given the unique cultures of each of these content-creation businesses (HBO, Turner Broadcasting and Warner Media) within the acquired company, there are significant risk implications if these corporate cultures are not maintained and nurtured. The company must carefully manage culture and retention issues whilst proceeding with its efforts to create synergies across the post-merger Time Warner and with AT&amp;T.</t>
  </si>
  <si>
    <t>a5da700000056nVAAQ</t>
  </si>
  <si>
    <t>Company to develop a diversity and inclusion strategy.</t>
  </si>
  <si>
    <t>a5da7000000575qAAA</t>
  </si>
  <si>
    <t>Disclosure on perception of capital allocation reducing shareholder rights</t>
  </si>
  <si>
    <t>Company to improve disclosure on capital allocation decisions that may imply perceived reduction in shareholder voting rights composition.</t>
  </si>
  <si>
    <t>a5da700000057TAAAY</t>
  </si>
  <si>
    <t>Recommendation to vote against say on pay resolution</t>
  </si>
  <si>
    <t>a5da700000057etAAA</t>
  </si>
  <si>
    <t>Telefonica SA</t>
  </si>
  <si>
    <t>Anti-competitive practices</t>
  </si>
  <si>
    <t>Declines in demand for fixed voice and mobile voice services, and increased demand for mobile data services, as well as the elimination of roaming charges across Europe, have put further pressure on fixed and wireless revenue. Therefore, incumbent and integrated telecoms, such as Telefonica, are facing increasing competition, which exposes them to risks related to anti-competitive practices. The company has been subject to several controversies (including collusion and anti-competitive pricing strategies).</t>
  </si>
  <si>
    <t>a5da700000056UZAAY</t>
  </si>
  <si>
    <t>To ensure the company makes remuneration-related decisions that are in line with our voting guidelines</t>
  </si>
  <si>
    <t>a5da7000000581yAAA</t>
  </si>
  <si>
    <t>Data privacy and security</t>
  </si>
  <si>
    <t>To ensure the company is appropriately managing cyber security risks and data privacy concerns</t>
  </si>
  <si>
    <t>a5da700000057TVAAY</t>
  </si>
  <si>
    <t>Access to communications</t>
  </si>
  <si>
    <t>Increasing connectivity for people who lack adequate access to the internet and other services based on telecommunications.</t>
  </si>
  <si>
    <t>a5da7000000575zAAA</t>
  </si>
  <si>
    <t>Bribery &amp; Corruption</t>
  </si>
  <si>
    <t>Telefonica has operations in a number of Latin American countries, which, according to the Transparency International Corruption Index, are considered to be at high risk of corruption. Furthermore, Telefonica’s business requires interaction with government officials in areas such as spectrum licensing, which may expose the company to bribery and corruption risks.</t>
  </si>
  <si>
    <t>a5da700000056ueAAA</t>
  </si>
  <si>
    <t>Diversity and Inclusion</t>
  </si>
  <si>
    <t>For Telefonica to view diversity as a source of talent and as a competitive element.</t>
  </si>
  <si>
    <t>a5da700000057TXAAY</t>
  </si>
  <si>
    <t>Combined CEO/Chair role</t>
  </si>
  <si>
    <t>Telefonica combines the role of CEO and chair of the board.</t>
  </si>
  <si>
    <t>a5da7000000573zAAA</t>
  </si>
  <si>
    <t>Over-committed board members</t>
  </si>
  <si>
    <t>Francisco Jose Riberas Mera sits on four public boards, including one as executive chair and two committees. The company believes Gestamp Automocion and CIE Automotive should be considered as a single commitment because he was nominated by the same shareholder and so this should be considered a single entity.</t>
  </si>
  <si>
    <t>a5da700000057BPAAY</t>
  </si>
  <si>
    <t>Teradyne Inc</t>
  </si>
  <si>
    <t>We have concerns about the low CEO shareholding requirements.</t>
  </si>
  <si>
    <t>a5da700000056xIAAQ</t>
  </si>
  <si>
    <t>Thermo Fisher Scientific Inc</t>
  </si>
  <si>
    <t>Targeting pay above median - vote against the executive pay scheme (2017 AGM)</t>
  </si>
  <si>
    <t>a5da700000057GzAAI</t>
  </si>
  <si>
    <t>Gender Diversity and AI</t>
  </si>
  <si>
    <t>Encourage gender diversity in development process for AI assisted technology.</t>
  </si>
  <si>
    <t>a5da700000056vwAAA</t>
  </si>
  <si>
    <t>Board diversity and board refreshment</t>
  </si>
  <si>
    <t>We would like to see more board diversity and increased efforts at board refreshment.</t>
  </si>
  <si>
    <t>a5da7000000582pAAA</t>
  </si>
  <si>
    <t>Corporate Governance Monitoring</t>
  </si>
  <si>
    <t>Ongoing monitoring and discussion around corporate governance developments and practices</t>
  </si>
  <si>
    <t>a5da700000056ReAAI</t>
  </si>
  <si>
    <t>In February 2019, the company faced criticism over alleged human rights abuses by selling equipment used for genetic surveillance of a minority group in the Xinjiang region, exposing it to reputational damage. However, according to the Wall Street Journal, the company decided to halt sales of the medical instrument for DNA profiling in the region. As a first step to considering human rights more broadly, our objective is for the company to establish a policy or statement on human rights.</t>
  </si>
  <si>
    <t>a5da700000055ggAAA</t>
  </si>
  <si>
    <t>TotalEnergies SE</t>
  </si>
  <si>
    <t>Sudan Operations</t>
  </si>
  <si>
    <t>The company owns a block for exploration in Sudan where the company intends to resume its operations once local social and safety issues have improved. In that perpective, the company has started a coporate responsibility programme in the region.</t>
  </si>
  <si>
    <t>S1</t>
  </si>
  <si>
    <t>France</t>
  </si>
  <si>
    <t>2007 Q3</t>
  </si>
  <si>
    <t>a5da700000055xGAAQ</t>
  </si>
  <si>
    <t>Minority shareholders rights</t>
  </si>
  <si>
    <t>a5da700000056deAAA</t>
  </si>
  <si>
    <t>Health &amp; safety</t>
  </si>
  <si>
    <t>Health and safety of contractors.</t>
  </si>
  <si>
    <t>a5da700000056ddAAA</t>
  </si>
  <si>
    <t>Climate change linked to executive remuneration incentives.</t>
  </si>
  <si>
    <t>The company links its key strategic goals on climate change to executive remuneration incentives.</t>
  </si>
  <si>
    <t>a5da700000057qGAAQ</t>
  </si>
  <si>
    <t>Human rights policy and management</t>
  </si>
  <si>
    <t>Human rights, license to operate, operations in conflict regions</t>
  </si>
  <si>
    <t>a5da7000000581nAAA</t>
  </si>
  <si>
    <t>Accounting assumptions are consistent with the Paris Goals.</t>
  </si>
  <si>
    <t>The company’s accounting assumptions, including long-term oil and gas prices, are consistent with the Paris goals.</t>
  </si>
  <si>
    <t>a5da700000057tiAAA</t>
  </si>
  <si>
    <t>Stranded assets risk management</t>
  </si>
  <si>
    <t>Carbon risk management embedded in company strategy, especially its investment policy.</t>
  </si>
  <si>
    <t>a5da700000057yxAAA</t>
  </si>
  <si>
    <t>Climate lobbying</t>
  </si>
  <si>
    <t>The company takes action on lobbying where there is misalignment, either by engaging or ceasing membership of industry associations whose lobbying is materially misaligned to the goals of the Paris Agreement.</t>
  </si>
  <si>
    <t>24/11/25</t>
  </si>
  <si>
    <t>a5da700000057tjAAA</t>
  </si>
  <si>
    <t>Coronavirus crisis</t>
  </si>
  <si>
    <t>Handling of coronavirus crisis.</t>
  </si>
  <si>
    <t>a5da7000000572BAAQ</t>
  </si>
  <si>
    <t>Human capital reporting - WDI</t>
  </si>
  <si>
    <t>The company responds to the WDI survey.</t>
  </si>
  <si>
    <t>a5da700000056lWAAQ</t>
  </si>
  <si>
    <t>TC Energy Corp</t>
  </si>
  <si>
    <t>Short vesting of options, inappropriate use of metrics and low minimum shareholding requirements.</t>
  </si>
  <si>
    <t>Canada</t>
  </si>
  <si>
    <t>a5da700000057E3AAI</t>
  </si>
  <si>
    <t>Board Racial/Ethnic Diversity</t>
  </si>
  <si>
    <t>The company should raise racial/ethnic diversity levels within the board.</t>
  </si>
  <si>
    <t>a5da700000057DyAAI</t>
  </si>
  <si>
    <t>Senior executive racial/ethnic diversity</t>
  </si>
  <si>
    <t>The company should raise racial/ethnic diversity levels within the senior management team.</t>
  </si>
  <si>
    <t>a5da700000057DzAAI</t>
  </si>
  <si>
    <t>Board Gender Diversity</t>
  </si>
  <si>
    <t>The board should increase gender diversity.</t>
  </si>
  <si>
    <t>a5da700000057DtAAI</t>
  </si>
  <si>
    <t>Indigenous People</t>
  </si>
  <si>
    <t>The company should be implementing best practices for its indigenous people impacts.</t>
  </si>
  <si>
    <t>a5da700000057DxAAI</t>
  </si>
  <si>
    <t>Senior executive gender diversity</t>
  </si>
  <si>
    <t>The company should increase senior executive gender diversity</t>
  </si>
  <si>
    <t>a5da700000057DuAAI</t>
  </si>
  <si>
    <t>Climate Change Risk &amp; Opportunity Management</t>
  </si>
  <si>
    <t>We are concerned about the company’s disclosure and management of climate-related risks and opportunities, as signalled by the company’s low score on the Transition Pathway Initiative. The scale of physical and transitional risks that climate change is likely to pose to the company’s business model is significant. As such, we expect the board to oversee climate change risk and opportunity, including the development of processes, policies and targets that ensure alignment to the goals of the Paris Agreement.</t>
  </si>
  <si>
    <t>a5da700000057vGAAQ</t>
  </si>
  <si>
    <t>a5da7000000566SAAQ</t>
  </si>
  <si>
    <t>Unilever PLC</t>
  </si>
  <si>
    <t>Remuneration practices.</t>
  </si>
  <si>
    <t>a5da700000057siAAA</t>
  </si>
  <si>
    <t>Sustainable sourcing of palm oil and soy</t>
  </si>
  <si>
    <t>Explore company's strategy for sustainable palm and soy sourcing</t>
  </si>
  <si>
    <t>a5da700000056orAAA</t>
  </si>
  <si>
    <t>Simplification of Unilever</t>
  </si>
  <si>
    <t>Simplification of Unilever to a single-listed entity in the Netherlands, from a dual-listed structure in the UK and the Netherlands.</t>
  </si>
  <si>
    <t>a5da700000057MPAAY</t>
  </si>
  <si>
    <t>Sustainable Living Plan</t>
  </si>
  <si>
    <t>a5da700000056otAAA</t>
  </si>
  <si>
    <t>a5da700000057UUAAY</t>
  </si>
  <si>
    <t>Human rights in Myanmar</t>
  </si>
  <si>
    <t>The company has operations in Myanmar and following the military coup in early 2021, we sought to understand what actions it is taking in line with the UNGPs.</t>
  </si>
  <si>
    <t>a5da700000057RtAAI</t>
  </si>
  <si>
    <t>Living wage strategy</t>
  </si>
  <si>
    <t>a5da700000056N1AAI</t>
  </si>
  <si>
    <t>a5da700000056EfAAI</t>
  </si>
  <si>
    <t>Access to nutrition</t>
  </si>
  <si>
    <t>a5da700000056awAAA</t>
  </si>
  <si>
    <t>a5da700000056EiAAI</t>
  </si>
  <si>
    <t>Remuneration Policy Consultation</t>
  </si>
  <si>
    <t>Consultation on new reward framework for 2017</t>
  </si>
  <si>
    <t>a5da700000056XIAAY</t>
  </si>
  <si>
    <t>Participate in the Statement of Significant Audiences and Materiality campaign</t>
  </si>
  <si>
    <t>We invited the company to participate in the Statement of Significant Audiences and Materiality campaign jointly supported by Bob Eccles from Harvard Business School</t>
  </si>
  <si>
    <t>a5da700000056QDAAY</t>
  </si>
  <si>
    <t>CEO Succession</t>
  </si>
  <si>
    <t>Taking into account the tenure and impressive track-record of the CEO, including in making sustainability core to the strategy, robust CEO succession planning is key. It is of utmost importance that strong leadership remains, while continued progress is made on the company's long-term sustainability goals.</t>
  </si>
  <si>
    <t>a5da700000056OLAAY</t>
  </si>
  <si>
    <t>Business strategy</t>
  </si>
  <si>
    <t>a5da700000056EhAAI</t>
  </si>
  <si>
    <t>a5da700000056EgAAI</t>
  </si>
  <si>
    <t>Unilever PLC-Governance-Remuneration</t>
  </si>
  <si>
    <t>National Association of Pension Funds (NAPF) remuneration consultation</t>
  </si>
  <si>
    <t>a5da70000005649AAA</t>
  </si>
  <si>
    <t>Supply chain auditing</t>
  </si>
  <si>
    <t>Ensure Unilever has sufficient oversight of its supply chains and conducts an appropriate level of audit to satisfy itself of its understanding.</t>
  </si>
  <si>
    <t>a5da7000000569RAAQ</t>
  </si>
  <si>
    <t>UnitedHealth Group Inc</t>
  </si>
  <si>
    <t>Company to increase disclosure on diversity and commitment to targets.</t>
  </si>
  <si>
    <t>a5da700000057YLAAY</t>
  </si>
  <si>
    <t>Access to healthcare</t>
  </si>
  <si>
    <t>Our objective is for the company to demonstrate how it is committed to affordable, transparent healthcare coverage for all Americans through the development and implementation of an effective access-to-healthcare strategy. This should be integrated into core business operations, demonstrated by quantitative disclosures on programmes and appropriate capital allocation.</t>
  </si>
  <si>
    <t>a5da700000055tEAAQ</t>
  </si>
  <si>
    <t>Political donations and lobbying disclosure</t>
  </si>
  <si>
    <t>Conversation regarding UnitedHealth's disclosure on political contributions and lobbying</t>
  </si>
  <si>
    <t>a5da700000057pEAAQ</t>
  </si>
  <si>
    <t>Disclosure of Long-term Strategy and Significant Stakeholders</t>
  </si>
  <si>
    <t>Setting out a clear long term strategy and key stakeholders.</t>
  </si>
  <si>
    <t>a5da700000057zbAAA</t>
  </si>
  <si>
    <t>Board Diversity Disclosures</t>
  </si>
  <si>
    <t>The company does not disclose pictures of directors which makes it very difficult to judge overall diversity in relation to our best practice threshold of 30% diverse directors. Beyond gender, the company does not make indvidual director diversity disclosures, instead favoring diversity group disclosure not linked to any individual directors.</t>
  </si>
  <si>
    <t>a5da700000057zdAAA</t>
  </si>
  <si>
    <t>Response to coronavirus</t>
  </si>
  <si>
    <t>Company to continue its ongoing commitment to coronavirus response.</t>
  </si>
  <si>
    <t>a5da700000057MnAAI</t>
  </si>
  <si>
    <t>US Principles</t>
  </si>
  <si>
    <t>Emphasising three messages from our 2016 US principles: support for the 2015 Paris climate change agreement; developing a societal purpose and a profound human capital management strategy</t>
  </si>
  <si>
    <t>a5da700000057zWAAQ</t>
  </si>
  <si>
    <t>Improve ESG disclosure</t>
  </si>
  <si>
    <t>The company publishes a sustainability report.</t>
  </si>
  <si>
    <t>a5da700000057YCAAY</t>
  </si>
  <si>
    <t>Strategy &amp; changing regulation</t>
  </si>
  <si>
    <t>Discussion of current regulatory changes and impact on business</t>
  </si>
  <si>
    <t>a5da700000056tIAAQ</t>
  </si>
  <si>
    <t>Westpac Banking Corp</t>
  </si>
  <si>
    <t>Regnan engagement activity on climate change</t>
  </si>
  <si>
    <t>a5da700000056EvAAI</t>
  </si>
  <si>
    <t>ACSI engagement activity on Royal Commission and board composition</t>
  </si>
  <si>
    <t>Ensure appropriate board renewal, skills and diversity in the light of Royal Commission findings and board turnover. Further ensure the board addresses governance and cultural practices highlighted by Commissioner Hayne.</t>
  </si>
  <si>
    <t>a5da700000056fxAAA</t>
  </si>
  <si>
    <t>ACSI engagement activity on remuneration</t>
  </si>
  <si>
    <t>a5da700000056fyAAA</t>
  </si>
  <si>
    <t>Regnan engagement activity on corporate culture</t>
  </si>
  <si>
    <t>a5da7000000569yAAA</t>
  </si>
  <si>
    <t>a5da700000056BpAAI</t>
  </si>
  <si>
    <t>a5da700000056FUAAY</t>
  </si>
  <si>
    <t>The audit firm has been in place since at least 1968. Our view is that simply rotating the audit partners is insufficient, and only by rotating the audit firm at regular intervals will audit quality be protected.</t>
  </si>
  <si>
    <t>a5da700000057tNAAQ</t>
  </si>
  <si>
    <t>To ensure Westpac is working towards meeting the goals of the Paris Agreement.</t>
  </si>
  <si>
    <t>a5da7000000580qAAA</t>
  </si>
  <si>
    <t>The company has some exposure to the European economic crisis (2012)</t>
  </si>
  <si>
    <t>a5da700000057LyAAI</t>
  </si>
  <si>
    <t>a5da7000000580tAAA</t>
  </si>
  <si>
    <t>Weyerhaeuser Co</t>
  </si>
  <si>
    <t>Weyerhaeuser Co-Environmental-Other environmental</t>
  </si>
  <si>
    <t>Encourage sustainable forestry practices</t>
  </si>
  <si>
    <t>a5da700000056iaAAA</t>
  </si>
  <si>
    <t>Forest Management &amp; Climate Resiliency</t>
  </si>
  <si>
    <t>Forest management schemes to mitigate climate change.</t>
  </si>
  <si>
    <t>a5da700000056iwAAA</t>
  </si>
  <si>
    <t>Misaligned pay and performance.</t>
  </si>
  <si>
    <t>a5da700000057HHAAY</t>
  </si>
  <si>
    <t>Williams Cos Inc/The</t>
  </si>
  <si>
    <t>Corporate Governance Principles</t>
  </si>
  <si>
    <t>Promote US corporate governance principles</t>
  </si>
  <si>
    <t>a5da700000056LeAAI</t>
  </si>
  <si>
    <t>Vodafone Group PLC</t>
  </si>
  <si>
    <t>Governance of cyber security risks.</t>
  </si>
  <si>
    <t>22/12/25</t>
  </si>
  <si>
    <t>a5da700000056g5AAA</t>
  </si>
  <si>
    <t>Digital Human Rights</t>
  </si>
  <si>
    <t>For Vodafone, digital human rights relate to respecting its customers’ rights to privacy and freedom of expression, balanced against its obligation to respond to lawful demands to customer data or restrict services.</t>
  </si>
  <si>
    <t>a5da700000056g6AAA</t>
  </si>
  <si>
    <t>Audit quality - auditor independence and conflict of interest</t>
  </si>
  <si>
    <t>A conflict of interest arose with the appointment of PwC partners as administrators of Phones4U concurrently with PwC’s appointment as auditor of Vodafone.</t>
  </si>
  <si>
    <t>a5da700000056SEAAY</t>
  </si>
  <si>
    <t>Audit retendering</t>
  </si>
  <si>
    <t>a5da700000056BYAAY</t>
  </si>
  <si>
    <t>The company has a strong position on diversity, particularly gender diversity.</t>
  </si>
  <si>
    <t>a5da700000056bzAAA</t>
  </si>
  <si>
    <t>Living wage</t>
  </si>
  <si>
    <t>The company should articulate its approach to determining pay as part of its human capital management.</t>
  </si>
  <si>
    <t>a5da700000057PWAAY</t>
  </si>
  <si>
    <t>a5da700000057mgAAA</t>
  </si>
  <si>
    <t>Strategic evolution</t>
  </si>
  <si>
    <t>Company structurally positions itself to most effectvely take advantage of fast changing consumer communications product and service needs</t>
  </si>
  <si>
    <t>a5da700000056maAAA</t>
  </si>
  <si>
    <t>Walmart Inc</t>
  </si>
  <si>
    <t>Animal Cruelty in the Supply Chain</t>
  </si>
  <si>
    <t>This issue is created in response to reports on animal cruelty as this could subtract from the company's biodiversity efforts.</t>
  </si>
  <si>
    <t>a5da700000057XnAAI</t>
  </si>
  <si>
    <t>Antibiotics in the supply chain</t>
  </si>
  <si>
    <t>Company to set targets around reducing or eliminating use of antibiotics critical to human health in the supply chain.</t>
  </si>
  <si>
    <t>a5da700000056zMAAQ</t>
  </si>
  <si>
    <t>Corporate governance monitor</t>
  </si>
  <si>
    <t>Monitoring of corporate governance practices.</t>
  </si>
  <si>
    <t>a5da70000005776AAA</t>
  </si>
  <si>
    <t>Support for independent chair proposal at 2017 AGM</t>
  </si>
  <si>
    <t>a5da700000057MXAAY</t>
  </si>
  <si>
    <t>There are problems with executive pay.</t>
  </si>
  <si>
    <t>a5da700000056k2AAA</t>
  </si>
  <si>
    <t>Climate Change Risk Management</t>
  </si>
  <si>
    <t>Climate Action 100+</t>
  </si>
  <si>
    <t>15/10/25</t>
  </si>
  <si>
    <t>a5da700000057vRAAQ</t>
  </si>
  <si>
    <t>a5da700000057vMAAQ</t>
  </si>
  <si>
    <t>Opioids and product safety</t>
  </si>
  <si>
    <t>The company is exposed to opioid risks through its pharmacy business.</t>
  </si>
  <si>
    <t>a5da700000056p2AAA</t>
  </si>
  <si>
    <t>Dversity and inclusion</t>
  </si>
  <si>
    <t>To improve the disclosure of the ethnic pay gap.</t>
  </si>
  <si>
    <t>a5da700000056YdAAI</t>
  </si>
  <si>
    <t>Working conditions at Walmart, especially in the US.</t>
  </si>
  <si>
    <t>a5da700000056YxAAI</t>
  </si>
  <si>
    <t>Plastics reduction target</t>
  </si>
  <si>
    <t>In addition to its goal to include at least 20% post-consumer recycled content in private-brand packaging by 2025, the company should set an overall plastic reduction target.</t>
  </si>
  <si>
    <t>a5da700000055l4AAA</t>
  </si>
  <si>
    <t>Disclose plastics footprint</t>
  </si>
  <si>
    <t>The company currently only provides the total weight of private brand primary plastic packaging. More granular disclosure would help the company prioritise where to set future targets and make changes.</t>
  </si>
  <si>
    <t>a5da700000055l6AAA</t>
  </si>
  <si>
    <t>Board oversight of human capital management</t>
  </si>
  <si>
    <t xml:space="preserve">The company to implement and disclose a mechanism for the board to oversee the company's human capital management including receiving employee feedback. 
In our view, improved scrutiny by the board of human capital management data could help yield valuable insights into the effectiveness of its talent management, in the interests of the company and long-term shareholder value.</t>
  </si>
  <si>
    <t>08/12/25</t>
  </si>
  <si>
    <t>a5da700000055l5AAA</t>
  </si>
  <si>
    <t>a5da700000055iBAAQ</t>
  </si>
  <si>
    <t>Additionality of Project Gigaton</t>
  </si>
  <si>
    <t>Our objective is for the company to demonstrate the value added by Project Gigaton by targeting suppliers that do not already have sustainability projects underway, and/or proactively pushing suppliers to undertake projects that address their most material sustainability impacts. This should be evidenced in more granular reporting on the progress of the initiative.</t>
  </si>
  <si>
    <t>a5da700000055iGAAQ</t>
  </si>
  <si>
    <t>Governance oversight of industry associations</t>
  </si>
  <si>
    <t xml:space="preserve">To improve the efficiency and effectiveness of the company's public policy advocacy strategy in line with its corporate goals, the company should review the stated positions and policy advocacy activities of its industry associations for alignment to its own positions and activities and disclose a summary of the results, including any proposed actions. _x000D_
_x000D_
In our view, such actions can help better improve the legal and regulatory environment in order for the company to take advantage of the opportunities and risks related to the energy transition, including under global lower carbon scenarios, in the interests of the company and long-term shareholder value, and ensure the company is receiving an appropriate benefit for the costs of its membership in key associations.</t>
  </si>
  <si>
    <t>a5da700000055iFAAQ</t>
  </si>
  <si>
    <t>Support for shareholder proposal at 2017 AGM</t>
  </si>
  <si>
    <t>a5da700000056SCAAY</t>
  </si>
  <si>
    <t>Controversy linked to General OECD Issue - Employees Human Rights</t>
  </si>
  <si>
    <t>Human rights and labour rights not properly managed, resulting in lawsuits from supply chain workforce and own workforce as well as a shareholder proposal demanding employee nominees for the board director seat.</t>
  </si>
  <si>
    <t>a5da700000057YBAAY</t>
  </si>
  <si>
    <t>West Pharmaceutical Services Inc</t>
  </si>
  <si>
    <t>COVID Response</t>
  </si>
  <si>
    <t>Encourage the company to demonstrate best practice internally and externally in response to the COVID-19 crisis.</t>
  </si>
  <si>
    <t>a5da7000000578oAAA</t>
  </si>
  <si>
    <t>Women and Covid-19</t>
  </si>
  <si>
    <t>We are engaging with the company to understand how women in the workforce may have been disproportionately impacted by Covid-19, especially women of colour, as statistics show a staggering number of women exited the workforce in 2020 due to challenges presented by Covid-19.</t>
  </si>
  <si>
    <t>a5da7000000578nAAA</t>
  </si>
  <si>
    <t>The board does not currently operate term limits for its directors but is considering doing so.</t>
  </si>
  <si>
    <t>a5da70000005818AAA</t>
  </si>
  <si>
    <t xml:space="preserve">The company can support the SDG targets cited below by evolving its products and related services: 3.4 - By 2030, to reduce by one-third premature mortality from non-communicable diseases through prevention and treatment and promote mental health. For this, the focus is principally on cardiovascular diseases, cancer, diabetes or chronic respiratory disease (diabetes being of particular relevance). 3.b - Support the research and development of vaccines and medicines for the communicable and non-communicable diseases that primarily affect developing countries.   Encourage company to better promote the technical assistance capability it offers smaller research institutions and academics on vaccine development.</t>
  </si>
  <si>
    <t>a5da700000057pLAAQ</t>
  </si>
  <si>
    <t>Shareholder engagement</t>
  </si>
  <si>
    <t>The company has signalled a willingness to take a lead in advancing in shareholder engagement between US directors and investors.</t>
  </si>
  <si>
    <t>a5da70000005817AAA</t>
  </si>
  <si>
    <t>Decent work</t>
  </si>
  <si>
    <t>The provision of jobs is the most fundamental way in which businesses support economic growth. It is a truism that most of us spend more time with our colleagues than we do with our families. As a result, our relationship with our employer and colleagues has a profound impact on our financial and mental well-being. It is our belief, that through the ‘how’ and the ‘who’ of employment, companies are uniquely placed to have a transformative impact on people’s lives and help government’s deliver on their commitment to achieving the UN Sustainable Development Goals.</t>
  </si>
  <si>
    <t>a5da700000056eOAAQ</t>
  </si>
  <si>
    <t>Sustainability in executive compensation</t>
  </si>
  <si>
    <t>Our objective is for the company to incorporate meaningful sustainability targets within executive pay schemes in order to powerfully communicate priorities, both internally and externally. The expressed preference is for strategically importance metrics to be incorporated, likely into the long-term incentive plan, at a material weighting.</t>
  </si>
  <si>
    <t>a5da700000055sWAAQ</t>
  </si>
  <si>
    <t>Board diversity - racial diversity</t>
  </si>
  <si>
    <t>We are concerned that the board will have no diverse ethnic/racial representation when one director who is a visible minority steps down in 2021.</t>
  </si>
  <si>
    <t>a5da700000057tYAAQ</t>
  </si>
  <si>
    <t>Board diversity - gender diversity</t>
  </si>
  <si>
    <t>We are concerned that the board's gender diversity will drop to 20% when one of its female directors steps down in 2021.</t>
  </si>
  <si>
    <t>a5da700000057tUAAQ</t>
  </si>
  <si>
    <t>Microsoft Corp</t>
  </si>
  <si>
    <t>Inclusion and diversity</t>
  </si>
  <si>
    <t>Increased employment of African Americans and Hispanics in senior positions.</t>
  </si>
  <si>
    <t>a5da700000057rxAAA</t>
  </si>
  <si>
    <t>Christchurch Call response</t>
  </si>
  <si>
    <t>Respond positively to the Christchurch Call.</t>
  </si>
  <si>
    <t>a5da700000056mJAAQ</t>
  </si>
  <si>
    <t>Business purpose</t>
  </si>
  <si>
    <t>Participation in the Enacting Purpose Initiative.</t>
  </si>
  <si>
    <t>a5da7000000576iAAA</t>
  </si>
  <si>
    <t>CEO shareholding requirements</t>
  </si>
  <si>
    <t>Increase the length of the share-ownership requirements for the CEO.</t>
  </si>
  <si>
    <t>a5da700000057sQAAQ</t>
  </si>
  <si>
    <t>Corporate Culture/Sexual harassmentand Discrimination</t>
  </si>
  <si>
    <t>On the heels of the announcement that Microsoft will be buying video-game company Activision Blizzard, we reached out to Microsoft to discuss our ongoing concerns related to sexual harassment and discrimination allegations at Activision Blizzard. We also noted our interest in discussing Microsoft's own ongoing review of its policy and practices related to sexual harassment.</t>
  </si>
  <si>
    <t>a5da700000057s0AAA</t>
  </si>
  <si>
    <t>US principles</t>
  </si>
  <si>
    <t>Reiterating our message in our letter to the chairs of the S&amp;P 200 re support for the 2015 Paris agreement on climate change; developing a societal purpose and human capital management</t>
  </si>
  <si>
    <t>a5da7000000580UAAQ</t>
  </si>
  <si>
    <t>Facial recognition software use in Israel/Palestine</t>
  </si>
  <si>
    <t>Responsible use of facial recognition technology in Israel/Palestine.</t>
  </si>
  <si>
    <t>a5da7000000580CAAQ</t>
  </si>
  <si>
    <t>Conflict minerals management</t>
  </si>
  <si>
    <t>a5da700000057NPAAY</t>
  </si>
  <si>
    <t>Support for an enhanced proxy access proposal seeking 25% of board. No limits on candidates re-standing</t>
  </si>
  <si>
    <t>a5da700000056PdAAI</t>
  </si>
  <si>
    <t>Climate change reporting</t>
  </si>
  <si>
    <t>Report on a comply or explain basis against the Task Force on Financial Disclosures recommendations.</t>
  </si>
  <si>
    <t>a5da700000056WKAAY</t>
  </si>
  <si>
    <t>Tax</t>
  </si>
  <si>
    <t>We are engaging as part of the UN PRI corporate tax dialogue.</t>
  </si>
  <si>
    <t>a5da700000056ZtAAI</t>
  </si>
  <si>
    <t>Sustainable execution of revised strategy</t>
  </si>
  <si>
    <t>New CEO's revised strategy to continue to ensure best practice position is maintained in human rights, supply chain and conflict minerals, employee relations and other long-term risks</t>
  </si>
  <si>
    <t>a5da700000056V3AAI</t>
  </si>
  <si>
    <t>Management remuneration</t>
  </si>
  <si>
    <t>Help the compensation committee to develop its pay practice better to energise management</t>
  </si>
  <si>
    <t>a5da7000000580TAAQ</t>
  </si>
  <si>
    <t>Joint investor engagement as part of the human capital management coalition.</t>
  </si>
  <si>
    <t>a5da700000057PHAAY</t>
  </si>
  <si>
    <t>Requesting assurance on human rights due diligence and reduction of human rights harms to the Uyghur people.</t>
  </si>
  <si>
    <t>a5da700000057rgAAA</t>
  </si>
  <si>
    <t>Lobbying and political activity disclosure</t>
  </si>
  <si>
    <t>Review company's disclosure on political and lobbying activity.</t>
  </si>
  <si>
    <t>a5da700000057sPAAQ</t>
  </si>
  <si>
    <t>Oracle Corp</t>
  </si>
  <si>
    <t>TCFD disclosure</t>
  </si>
  <si>
    <t>Climate-related risks and opportunities, scenario planning, governance, management and TCFD disclosure.</t>
  </si>
  <si>
    <t>a5da700000056vjAAA</t>
  </si>
  <si>
    <t>Women and underrepresented minorities in STEM</t>
  </si>
  <si>
    <t>Given its size and geographical footprint, Oracle has a responsibility to promote and increase the representation of women and underrepresented minorities in STEM.</t>
  </si>
  <si>
    <t>a5da700000057DOAAY</t>
  </si>
  <si>
    <t>Gender and Ethnic Pay Gap</t>
  </si>
  <si>
    <t>Disclose pay information and identify a plan for rectifying inequalities.</t>
  </si>
  <si>
    <t>a5da700000055e4AAA</t>
  </si>
  <si>
    <t>AI</t>
  </si>
  <si>
    <t>AI policy, governance, management, including of unintended consequences and bias.</t>
  </si>
  <si>
    <t>18/11/25</t>
  </si>
  <si>
    <t>a5da700000057cjAAA</t>
  </si>
  <si>
    <t>Costco Wholesale Corp</t>
  </si>
  <si>
    <t>Human capital management - living wage</t>
  </si>
  <si>
    <t>We think that setting a living wage standard could send a strong market signal, that it is possible and will provide credibility to the company's claims of high pay.</t>
  </si>
  <si>
    <t>a5da700000057hEAAQ</t>
  </si>
  <si>
    <t>Implement proxy access</t>
  </si>
  <si>
    <t>a5da700000056PJAAY</t>
  </si>
  <si>
    <t>Assess appropriateness of company's human capital strategy</t>
  </si>
  <si>
    <t>To assess the effectiveness of the company's human capital management strategy in delivering long-term returns to shareholders</t>
  </si>
  <si>
    <t>a5da700000056HvAAI</t>
  </si>
  <si>
    <t>Governance best practice - board declassification and simple majority</t>
  </si>
  <si>
    <t>We typically support the principle that a simple majority of voting shares should be sufficient to effect change at a company. Costco applies this threshold except for the amendment of its articles of incorporation with respect to board classification. Many investors consider that a classified board structure is not in line with best governance practice. In particular, it reduces accountability and limits shareholders’ selection of their representatives.</t>
  </si>
  <si>
    <t>a5da700000056ViAAI</t>
  </si>
  <si>
    <t>Supply chain oversight</t>
  </si>
  <si>
    <t>To ensure the company demonstrates strong oversight of its supply chain.</t>
  </si>
  <si>
    <t>a5da700000056VjAAI</t>
  </si>
  <si>
    <t>a5da700000056VfAAI</t>
  </si>
  <si>
    <t>To ensure appointment and succession planning practices are designed to promote diversity.</t>
  </si>
  <si>
    <t>a5da700000057uDAAQ</t>
  </si>
  <si>
    <t>a5da700000057UZAAY</t>
  </si>
  <si>
    <t>Supply Chain Human Rights</t>
  </si>
  <si>
    <t>We want the company to expand its human rights policy to align to the UN Guiding Principles and to expand its risk assessment work.</t>
  </si>
  <si>
    <t>a5da700000057hFAAQ</t>
  </si>
  <si>
    <t>More than 26 million people working in the private sector have no access to paid sick days, and millions more cannot earn and use paid sick time to care for a sick child or family member. This leaves working people in the US with an impossible choice when they are sick: stay home and risk their economic stability or go to work and risk their health and the public’s health. Seven in ten of the lowest-wage workers do not have paid sick days to care for their own health. Black, indigenous, and people of colour workers, low-wage, part-time, immigrant, and service-industry workers are especially unlikely to have access to paid sick days. Disparities in access to paid sick days disproportionately expose Latinx and Black workers to an increased risk of illness. Nearly half (48%) of Latinx workers and more than one-third (36%) of Black workers report having no paid time away from work of any kind. While women overall are about as likely as men to have paid sick days, low levels of coverage disproportionately affects mothers because they are more likely than fathers to miss work to take care of sick children. Further, workers who interact the most with the public are often the least likely to have paid sick days, leading to greater exposure and risk. In 2022, Costco was identified as one of a number of companies who may not have robust policies in place for paid sick leave for direct and indirect employees. We co-signed a letter on the topic which was sent to the company by the Interfaith Center on Corporate Responsibility (ICCR).</t>
  </si>
  <si>
    <t>a5da700000057kQAAQ</t>
  </si>
  <si>
    <t>Xinjiang exposure</t>
  </si>
  <si>
    <t>A third-party report linked a product sold at Costco to cotton grown in the Xinjiang Uygur Autonomous Region.</t>
  </si>
  <si>
    <t>a5da700000057hHAAQ</t>
  </si>
  <si>
    <t>The company is to demonstrate it is working hard to improve diversity and inclusion.</t>
  </si>
  <si>
    <t>a5da700000056pkAAA</t>
  </si>
  <si>
    <t>Mitsubishi Corp</t>
  </si>
  <si>
    <t>Carbon asset risk</t>
  </si>
  <si>
    <t>The company's carbon intensive operations require effective management of carbon asset risk</t>
  </si>
  <si>
    <t>10/10/25</t>
  </si>
  <si>
    <t>a5da700000057lJAAQ</t>
  </si>
  <si>
    <t>The company is involved in a number of projects that have been accused of contributing to damage to biodiversity.</t>
  </si>
  <si>
    <t>a5da700000057NzAAI</t>
  </si>
  <si>
    <t>We have concerns about the current two-tier board system and the company's definition of director independence. We want the company to demonstrate effective board governance, including the skills alignment of directors with the business strategy, and an adequate board evaluation process.</t>
  </si>
  <si>
    <t>a5da700000057ljAAA</t>
  </si>
  <si>
    <t>Appointment of female executive officers</t>
  </si>
  <si>
    <t>There are currently no woman among the company's 50 executive officers as of 2020. We are pressing for at least 10% of the executive team to be female.</t>
  </si>
  <si>
    <t>a5da700000055nPAAQ</t>
  </si>
  <si>
    <t>MC admitted that it plans to maintain shareholdings which are deemed strategically important (ie requested by business partners)</t>
  </si>
  <si>
    <t>a5da700000056VdAAI</t>
  </si>
  <si>
    <t>Overfishing</t>
  </si>
  <si>
    <t>Seek assurance that the company has taken appropriate measures to protect marine biodiversity.</t>
  </si>
  <si>
    <t>a5da700000056VbAAI</t>
  </si>
  <si>
    <t>Seek further disclosure around executive remuneration</t>
  </si>
  <si>
    <t>a5da700000056dOAAQ</t>
  </si>
  <si>
    <t>Use of antibiotics</t>
  </si>
  <si>
    <t>Mitsubishi demonstrated little or no knowledge about the risks relating to antimicrobial resistance (AMR).</t>
  </si>
  <si>
    <t>a5da700000056dNAAQ</t>
  </si>
  <si>
    <t>Deforestation in cattle supply chain</t>
  </si>
  <si>
    <t>The company trades in cattle, which is linked to large-scale deforestation.</t>
  </si>
  <si>
    <t>a5da700000056bAAAQ</t>
  </si>
  <si>
    <t>Tyson Foods Inc</t>
  </si>
  <si>
    <t>Dual class shares</t>
  </si>
  <si>
    <t>Concerns about the company's dual class share structure</t>
  </si>
  <si>
    <t>a5da700000057yvAAA</t>
  </si>
  <si>
    <t>Encourage response to FFD questionnaire</t>
  </si>
  <si>
    <t>a5da700000056Q1AAI</t>
  </si>
  <si>
    <t>Poultry farmers' Bill of Rights</t>
  </si>
  <si>
    <t>The company publishes its Bill of Rights for its poultry suppliers.</t>
  </si>
  <si>
    <t>a5da700000056ZYAAY</t>
  </si>
  <si>
    <t>Water stewardship programme - improvements</t>
  </si>
  <si>
    <t>a5da700000057TdAAI</t>
  </si>
  <si>
    <t>Water strategy for the company's supply chain</t>
  </si>
  <si>
    <t>The company should publish a water strategy with targets to cover its supply chain.</t>
  </si>
  <si>
    <t>29/10/25</t>
  </si>
  <si>
    <t>a5da700000055ZGAAY</t>
  </si>
  <si>
    <t>Antimicrobial Resistance</t>
  </si>
  <si>
    <t>The company has no formalised policy for antimicrobial resistance (AMR). The company claims certain products are zero antibiotics. Our objective is for the company to set up a global AMR policy.</t>
  </si>
  <si>
    <t>a5da700000055onAAA</t>
  </si>
  <si>
    <t xml:space="preserve">The company develops and discloses a credible strategy to take advantage of climate-related opportunities and the benefits of reduced risks, addressing a range of global scenarios, including if the company considers feasible and appropriate and consistent with long-term financial value, those consistent with the Paris Goals.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</si>
  <si>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a5da700000055siAAA</t>
  </si>
  <si>
    <t>Publish political contributions policy</t>
  </si>
  <si>
    <t>The company to publish the political contributions policy</t>
  </si>
  <si>
    <t>a5da700000055ZEAAY</t>
  </si>
  <si>
    <t>Improving disclosure of the company's lobbying practices</t>
  </si>
  <si>
    <t>a5da700000057VaAAI</t>
  </si>
  <si>
    <t>Bio-Rad Laboratories Inc</t>
  </si>
  <si>
    <t>Coronavirus</t>
  </si>
  <si>
    <t>We seek to engage on the company response to coronavirus as it manufactures key component of the testing process and antibody tests. We will engage on market access and pricing of the products, supply chain capacity and human capital management.</t>
  </si>
  <si>
    <t>a5da70000005703AAA</t>
  </si>
  <si>
    <t>Joint chair/CEO</t>
  </si>
  <si>
    <t>We will encourage the company to split the roles of the chair/CEO upon the next management transition.</t>
  </si>
  <si>
    <t>a5da700000057VYAAY</t>
  </si>
  <si>
    <t>Especially being that it is a family owned company operating in the healthcare industry, we believe it has an opportunity to drive value for stakeholders through expressing and enacting its corporate purpose, and are engaging the company on this opportunity.</t>
  </si>
  <si>
    <t>a5da700000057VXAAY</t>
  </si>
  <si>
    <t>The board is classified, so shareholders cannot vote annually on each individual director. We believe moving to annual voting for all directors would enhance accountability to shareholders.</t>
  </si>
  <si>
    <t>a5da700000057VZAAY</t>
  </si>
  <si>
    <t>Nintendo Co Ltd</t>
  </si>
  <si>
    <t>Cyber security is a key issue for the company's business.</t>
  </si>
  <si>
    <t>17/11/25</t>
  </si>
  <si>
    <t>a5da700000056WWAAY</t>
  </si>
  <si>
    <t>Cyber security and child protection</t>
  </si>
  <si>
    <t>Nintendo is exposed to high risk related to cyber security and child protection.</t>
  </si>
  <si>
    <t>a5da700000056WVAAY</t>
  </si>
  <si>
    <t>Review of business strategy</t>
  </si>
  <si>
    <t>Seek improved accountability on strategy</t>
  </si>
  <si>
    <t>a5da700000056WXAAY</t>
  </si>
  <si>
    <t>Forced relocation from Xinjiang for Chinese ethnic minorities</t>
  </si>
  <si>
    <t>We engaged with the company on human rights after reports on what appears to be a large-scale forced relocation of citizens from the region of Xinjiang in Western China, adding on to the repressive measures against the predominantly Muslim Uighur population such as internment camps already in place, to factories in Eastern China. The company has been named as one of the 83 global brands to have been exposed to this human rights risks in its supply chain.</t>
  </si>
  <si>
    <t>a5da700000056zFAAQ</t>
  </si>
  <si>
    <t>Returns to shareholders</t>
  </si>
  <si>
    <t>To discuss and encourage the company to improve capital management and returns to shareholders</t>
  </si>
  <si>
    <t>a5da700000057IBAAY</t>
  </si>
  <si>
    <t>The technology sector faces a high risk of supply chain labour issues.</t>
  </si>
  <si>
    <t>a5da700000057I6AAI</t>
  </si>
  <si>
    <t>executive remuenration</t>
  </si>
  <si>
    <t>Performance based pay at four times fixed pay when certain conditions are met.We promote a more modest split of 50:50.</t>
  </si>
  <si>
    <t>a5da700000056zIAAQ</t>
  </si>
  <si>
    <t>Product recycling</t>
  </si>
  <si>
    <t>The company is improving recyclability of products but is not able to track its recycling rate.</t>
  </si>
  <si>
    <t>a5da700000057I7AAI</t>
  </si>
  <si>
    <t>Carbon emissions in production</t>
  </si>
  <si>
    <t>The company only captures and discloses carbon emissions from own operatoins although all manufacturing is outsourced</t>
  </si>
  <si>
    <t>a5da700000056ohAAA</t>
  </si>
  <si>
    <t>Nippon Steel Corp</t>
  </si>
  <si>
    <t>To test the company's mid-term management strategy and progress in execution of the merger.</t>
  </si>
  <si>
    <t>a5da700000056BXAAY</t>
  </si>
  <si>
    <t>Climate change risk and opportunity management - coal expansion</t>
  </si>
  <si>
    <t>We are concerned by the company's approach to climate change and in particular its expansion of coal-fired power, as identified by the Global Coal Exit List that has been developed by Urgewald. The Intergovernmental Panel on Climate Change (IPCC) 1.5°C report highlights that, under limited overshoot scenarios, the share of coal in the primary energy mix must decrease by 61-78% by 2030, and 77-97% by 2050. The inherent inefficiency and carbon intensiveness of coal-fired power puts the power source at a disadvantage compared to other sources of energy, from both a financial and climate perspective. We expect the company to implement effective processes, targets and governance to ensure that the company’s strategy is consistent with the goals of the Paris Agreement. We encourage reporting and underlying processes to be aligned to the four pillars of the Task Force on Climate-related Financial Disclosures (TCFD).</t>
  </si>
  <si>
    <t>a5da700000057BpAAI</t>
  </si>
  <si>
    <t>The company was scored level one by the Transition Pathway Initiative, which raises concerns about its management of climate change risks and opportunities.</t>
  </si>
  <si>
    <t>a5da700000057aNAAQ</t>
  </si>
  <si>
    <t>The board has less than one-third independence and less than one-third outsiders, which is below our expectations for a Japanese Nikkei 225 company.</t>
  </si>
  <si>
    <t>a5da700000056kyAAA</t>
  </si>
  <si>
    <t>Nippon Yusen KK</t>
  </si>
  <si>
    <t>Environmental technologies</t>
  </si>
  <si>
    <t>Reduction of fleet emissions including SOx</t>
  </si>
  <si>
    <t>a5da700000056WfAAI</t>
  </si>
  <si>
    <t>Board composition and organisation</t>
  </si>
  <si>
    <t>NYK board is a traditional Japanese board and has three independent directors. It is in the process of reorganising itself with remuneration and nomination committees, which we encourage. We need to maintain the dialogue on the subject and monitor progress.</t>
  </si>
  <si>
    <t>a5da700000057ERAAY</t>
  </si>
  <si>
    <t>Concern overall performance</t>
  </si>
  <si>
    <t>Fianancial performance of Nippon Yusen KK is poor and we have concern about its business strategy.</t>
  </si>
  <si>
    <t>a5da700000057EQAAY</t>
  </si>
  <si>
    <t>Risk management of subsidiary companies</t>
  </si>
  <si>
    <t>In May 2018, Nippon Cargo Airlines (NCA), a subsidiary specialising in air cargo transportation services, was inspected by the Ministry of Land, Infrastructure, Transport and Tourism (MLIT). It received an order to improve the operation of its aircraft maintenance standards from MLIT in July 2018. A new chair of NCA was appointed in January 2019. As part of its governance reforms, NYK plans to set up a governance enhancement committee with a majority of independent directors after the AGM.</t>
  </si>
  <si>
    <t>a5da700000057EUAAY</t>
  </si>
  <si>
    <t>Shin-Etsu Chemical Co Ltd</t>
  </si>
  <si>
    <t>Cross-shareholdings</t>
  </si>
  <si>
    <t>The company holds a number of cross-shareholdings, including those of banks.</t>
  </si>
  <si>
    <t>a5da700000057rOAAQ</t>
  </si>
  <si>
    <t>The board consists of 22 directors with only three deemed independent.</t>
  </si>
  <si>
    <t>a5da700000057zzAAA</t>
  </si>
  <si>
    <t>Roper Technologies Inc</t>
  </si>
  <si>
    <t>High executive compensation.</t>
  </si>
  <si>
    <t>a5da700000057MDAAY</t>
  </si>
  <si>
    <t>Privacy/cyber/AI</t>
  </si>
  <si>
    <t>Privacy/cyber security/AI.</t>
  </si>
  <si>
    <t>10/11/25</t>
  </si>
  <si>
    <t>a5da700000056wKAAQ</t>
  </si>
  <si>
    <t>TCFD risk and opportunity assessment, governance, strategy, management, reporting. Focus on scope 3.</t>
  </si>
  <si>
    <t>a5da700000056vgAAA</t>
  </si>
  <si>
    <t>Long tenured directors</t>
  </si>
  <si>
    <t>a5da7000000576mAAA</t>
  </si>
  <si>
    <t>ESG business opportunity, megatrend/customer growth trends.</t>
  </si>
  <si>
    <t>a5da700000057M8AAI</t>
  </si>
  <si>
    <t>Responsible supply chain</t>
  </si>
  <si>
    <t>Responsible supply chain including conflict minerals.</t>
  </si>
  <si>
    <t>a5da70000005826AAA</t>
  </si>
  <si>
    <t>Diversity disclosure</t>
  </si>
  <si>
    <t>Diversity and UK style gender pay gap reporting.</t>
  </si>
  <si>
    <t>a5da700000057M6AAI</t>
  </si>
  <si>
    <t>State Street Corp</t>
  </si>
  <si>
    <t>Improve diversity practice and better align with SSGA's advocacy.</t>
  </si>
  <si>
    <t>a5da700000057sHAAQ</t>
  </si>
  <si>
    <t>Custodian bank governance</t>
  </si>
  <si>
    <t>Independence of the custodian bank board from the parent company bank board.</t>
  </si>
  <si>
    <t>a5da7000000572aAAA</t>
  </si>
  <si>
    <t>Operationalise purpose.</t>
  </si>
  <si>
    <t>a5da700000057EqAAI</t>
  </si>
  <si>
    <t>Racial Equity Audit</t>
  </si>
  <si>
    <t>Racial equity audit on impact of State Street.</t>
  </si>
  <si>
    <t>a5da700000057esAAA</t>
  </si>
  <si>
    <t>Public Policy Advocacy</t>
  </si>
  <si>
    <t>How the company advocates for policies which enhance shareholder rights.</t>
  </si>
  <si>
    <t>a5da700000056cBAAQ</t>
  </si>
  <si>
    <t>Firearms policy</t>
  </si>
  <si>
    <t>The company to publish a firearms policy</t>
  </si>
  <si>
    <t>a5da700000056WPAAY</t>
  </si>
  <si>
    <t>Sumitomo Corp</t>
  </si>
  <si>
    <t>Lack of independence</t>
  </si>
  <si>
    <t>a5da700000056bQAAQ</t>
  </si>
  <si>
    <t>Gender diversity in senior management</t>
  </si>
  <si>
    <t>Although the company has two female directors on the board, the female representation in senior management is still low.</t>
  </si>
  <si>
    <t>a5da700000057LkAAI</t>
  </si>
  <si>
    <t>Biodiversity in Nickel Mine in Madagascar</t>
  </si>
  <si>
    <t>The nickel mine project in which Sumitomo participates as a shareholder was criticised for causing environmental damage</t>
  </si>
  <si>
    <t>a5da700000055xoAAA</t>
  </si>
  <si>
    <t>Strategic shareholdings</t>
  </si>
  <si>
    <t>The company has a significant number of strategic shares.</t>
  </si>
  <si>
    <t>a5da700000057iuAAA</t>
  </si>
  <si>
    <t>We are concerned by the company's approach to climate change and in particular its expansion of coal-fired power, as identified by the Global Coal Exit List that has been developed by Urgewald. The Intergovernmental Panel on Climate Change 1.5°C report highlights that, under limited overshoot scenarios, the share of coal in the primary energy mix must decrease by 61-78% by 2030, and 77-97% by 2050. The inherent inefficiency and carbon intensiveness of coal-fired power puts the power source at a disadvantage compared to other sources of energy, from both a financial and climate perspective. We expect the company to implement effective processes, targets and governance to ensure that the company’s strategy is consistent with the goals of the Paris Agreement. We encourage reporting and underlying processes to be aligned to the four pillars of the Task Force on Climate-related Financial Disclosures.</t>
  </si>
  <si>
    <t>a5da700000057LYAAY</t>
  </si>
  <si>
    <t>Decarbonisation of assets</t>
  </si>
  <si>
    <t>The company has coal and petroleum assets as well as power generation operations.</t>
  </si>
  <si>
    <t>a5da700000057QSAAY</t>
  </si>
  <si>
    <t>While the board has diverse skillsets and two female outside directors, it lacks internationality. There is also a lack of senior female employees.</t>
  </si>
  <si>
    <t>a5da700000057QQAAY</t>
  </si>
  <si>
    <t>Waste Management Inc</t>
  </si>
  <si>
    <t>Pro-rating of incentive awards in the event of change of control</t>
  </si>
  <si>
    <t>Pro-rating of incentive awards in the event of change in control</t>
  </si>
  <si>
    <t>a5da700000057SvAAI</t>
  </si>
  <si>
    <t>Short vesting of options in the long-term incentive plan.</t>
  </si>
  <si>
    <t>a5da700000057ELAAY</t>
  </si>
  <si>
    <t>Circular economy - recycling.</t>
  </si>
  <si>
    <t>a5da700000057cTAAQ</t>
  </si>
  <si>
    <t>Statement of Purpose</t>
  </si>
  <si>
    <t>Board statement of purpose and business strategy</t>
  </si>
  <si>
    <t>a5da700000057ShAAI</t>
  </si>
  <si>
    <t>Reduce greenhouse gas emissions intensity/increase renewables; assess potential in methane to biogas opportunity.</t>
  </si>
  <si>
    <t>a5da700000057cUAAQ</t>
  </si>
  <si>
    <t>Female workforce diversity</t>
  </si>
  <si>
    <t>Female workforce 18% as of 2018 sustainability report.</t>
  </si>
  <si>
    <t>a5da700000057SUAAY</t>
  </si>
  <si>
    <t>Encourage better oversight of political donations</t>
  </si>
  <si>
    <t>Encourage the company to demonstrate that its board provides appropriate oversight over the political activity of the company</t>
  </si>
  <si>
    <t>a5da700000056KCAAY</t>
  </si>
  <si>
    <t>Tokyo Electric Power Co Holdings Inc</t>
  </si>
  <si>
    <t>Capital structure</t>
  </si>
  <si>
    <t>Improvement of capital management and returns to shareholders</t>
  </si>
  <si>
    <t>a5da700000056Q7AAI</t>
  </si>
  <si>
    <t>Carbon emissions reduction aligned to 1.5C</t>
  </si>
  <si>
    <t>Our objective is that credible measures for reducing carbon emissions are put in place. This is in light of the company's increased reliance on fossil fuel due to the suspension of its nuclear power plants.</t>
  </si>
  <si>
    <t>a5da700000055WgAAI</t>
  </si>
  <si>
    <t>Business Strategy</t>
  </si>
  <si>
    <t>Seek a business plan incorporating the possibility of replacing nuclear power plant with renewable energy.</t>
  </si>
  <si>
    <t>a5da700000055qqAAA</t>
  </si>
  <si>
    <t>Board Governance</t>
  </si>
  <si>
    <t>Seek company to appoint independent director other than affiliated director through major shareholding and seek to stop appointing ex-director/executives as an advisor to the board.</t>
  </si>
  <si>
    <t>a5da700000055qoAAA</t>
  </si>
  <si>
    <t>Seek to stop appointing ex-director/executives as an advisor to the board. Need to explain clearly the reason for the post not replaceable by director/senior executive.</t>
  </si>
  <si>
    <t>a5da700000055qrAAA</t>
  </si>
  <si>
    <t>Company provides a detailed assessment of the key risks associated with each nuclear power plant and ensures a best-in-class system of risk management for nuclear safety</t>
  </si>
  <si>
    <t>a5da7000000588mAAA</t>
  </si>
  <si>
    <t>Seek a target to increase the female ratio for the new hire. The female new employment is low in comparison to male. We ask the company to establish a plan to increase female management ratio, including senior managers.</t>
  </si>
  <si>
    <t>a5da700000057FVAAY</t>
  </si>
  <si>
    <t>The board demonstrates an adequate understanding of potential changes in regulatory and social environment and of the impact on strategy and business plans over time, ensuring that safety and environmental performance versus overall financial performance is determined and managed appropriately.</t>
  </si>
  <si>
    <t>a5da700000057CmAAI</t>
  </si>
  <si>
    <t>a5da700000057CqAAI</t>
  </si>
  <si>
    <t>Canadian Imperial Bank of Commerce</t>
  </si>
  <si>
    <t>Director overboarding</t>
  </si>
  <si>
    <t>In 2019, we expressed concern that an independent member of the compensation committee is a non-executive director for five public companies. Our objective is for this to be reduced.</t>
  </si>
  <si>
    <t>a5da700000057zLAAQ</t>
  </si>
  <si>
    <t>Our objective is for the company to align its executive remuneration plan with our expectations. We have consistently voted in favour of say-on-pay items while encouraging implementation of a long-term and risk-adjusted incentive scheme for executives.</t>
  </si>
  <si>
    <t>a5da700000057z4AAA</t>
  </si>
  <si>
    <t>Workforce Disclosure Initiative</t>
  </si>
  <si>
    <t>As signatories to the Workforce Disclosure Initiative (WDI), we asked the company to consider responding to its survey so that investors can have robust, comparable and decision-useful data on workforce metrics.</t>
  </si>
  <si>
    <t>a5da700000057ZZAAY</t>
  </si>
  <si>
    <t>a5da7000000579gAAA</t>
  </si>
  <si>
    <t>Our objective is for the company's board composition to have an appropriate mix of experiences and skills as well as backgrounds and tenures.</t>
  </si>
  <si>
    <t>a5da700000057pCAAQ</t>
  </si>
  <si>
    <t>Our objective is for the company to publish a statement of purpose that defines its business purpose and identifies the stakeholders most critical to long-term value creation.</t>
  </si>
  <si>
    <t>a5da700000057zIAAQ</t>
  </si>
  <si>
    <t>Artificial intelligence</t>
  </si>
  <si>
    <t>Since 2020, we have engaged with Canadian Imperial Bank of Commerce (CIBC) on publishing ethical AI principles, demonstrating that it is developing and using AI within a responsible framework. In 2024, CIBC published its Trustworthy AI Commitment, based on six principles of accountability, transparency, fairness, reliability, privacy, and security. The commitment explains the bank’s approach to board oversight and AI governance. In 2025, the bank became the first major Canadian bank to sign the Canadian government’s Voluntary Code of Conduct on the Responsible Development and Management of Advanced Generative AI Systems.</t>
  </si>
  <si>
    <t>a5da700000057YYAAY</t>
  </si>
  <si>
    <t>Climate change - TCFD</t>
  </si>
  <si>
    <t>As the bank's climate strategy continues to evolve, our objective is for the bank to report in line with the recommendations of the TCFD.</t>
  </si>
  <si>
    <t>a5da700000057z2AAA</t>
  </si>
  <si>
    <t>Bank of Montreal</t>
  </si>
  <si>
    <t>We have engaged with the company to ensure that its executive remuneration programme aligns with our voting guidelines.</t>
  </si>
  <si>
    <t>a5da700000057o8AAA</t>
  </si>
  <si>
    <t>Director Duties</t>
  </si>
  <si>
    <t>Clarification of director and committee duties.</t>
  </si>
  <si>
    <t>a5da700000057SLAAY</t>
  </si>
  <si>
    <t>Engagement with BMO yields less free dialogue and more scripted responses than we have encountered at other banks. BMO's careful approach to engagement may be a red flag indicating a culture driven mainly by compliance.</t>
  </si>
  <si>
    <t>a5da700000057zCAAQ</t>
  </si>
  <si>
    <t>Climate change - executive compensation</t>
  </si>
  <si>
    <t>As the bank's climate strategy continues to evolve, we expect the bank to establish more direct links between progress against its net zero 2050 goal and executive compensation.</t>
  </si>
  <si>
    <t>a5da700000057pNAAQ</t>
  </si>
  <si>
    <t>As the bank's climate strategy continues to evolve, we expect the bank to report in line with the recommendations of the TCFD.</t>
  </si>
  <si>
    <t>a5da700000057z0AAA</t>
  </si>
  <si>
    <t>a5da700000057pDAAQ</t>
  </si>
  <si>
    <t>ESG strategy</t>
  </si>
  <si>
    <t>We have engaged with the company to improve the quality of its ESG strategy.</t>
  </si>
  <si>
    <t>a5da700000057oBAAQ</t>
  </si>
  <si>
    <t>Integrated Reporting</t>
  </si>
  <si>
    <t>We have engaged with the company to improve the quality of its integrated reporting.</t>
  </si>
  <si>
    <t>a5da700000057TbAAI</t>
  </si>
  <si>
    <t>Bank of Nova Scotia/The</t>
  </si>
  <si>
    <t>Our objective is for the company to publish a statement of purpose that defines its business purpose and identifies the stakeholders most critical to long-term value creation.</t>
  </si>
  <si>
    <t>a5da700000057pFAAQ</t>
  </si>
  <si>
    <t>Artificial Intelligence</t>
  </si>
  <si>
    <t>Since 2020, we have engaged with Scotiabank on publishing ethical AI principles, demonstrating that it is developing and using AI within a responsible framework.</t>
  </si>
  <si>
    <t>08/10/25</t>
  </si>
  <si>
    <t>a5da700000057XfAAI</t>
  </si>
  <si>
    <t>31/10/25</t>
  </si>
  <si>
    <t>a5da700000057ZYAAY</t>
  </si>
  <si>
    <t>Director education</t>
  </si>
  <si>
    <t>We are encouraging the bank to put practices in place to fast track the development of directors. In 2021, the corporate secretary joined our client advisory council for a fireside chat, and spoke about the bank's director development programme. The programme identifies members of the management team with high-potential who are assigned to serve on subsidiary boards in the hope that these managers will then be recruited to become directors of non-banking industry companies. The company views this programme as both a societal duty to expand the diverse pool of future directors, and as a key recruitment and retention factor for its management.</t>
  </si>
  <si>
    <t>a5da700000057zHAAQ</t>
  </si>
  <si>
    <t>In 2019, we opposed the advisory vote on executive compensation. The CEO is paid in the top quartile of the company's peers without adequate disclosure of the rationale for this above-market compensation. Also the company does not disclose benchmarks for setting CEO compensation. More recently, we have voted in support of advisory votes on executive compensation following discussions with the company.</t>
  </si>
  <si>
    <t>a5da700000057zMAAQ</t>
  </si>
  <si>
    <t>a5da700000057z3AAA</t>
  </si>
  <si>
    <t>a5da700000057p5AAA</t>
  </si>
  <si>
    <t>Royal Bank of Canada</t>
  </si>
  <si>
    <t>Company to respond in line with the recommendations of the TCFD.</t>
  </si>
  <si>
    <t>a5da700000057z1AAA</t>
  </si>
  <si>
    <t>Ensure remuneration is linked to risk-adjusted performance</t>
  </si>
  <si>
    <t>Implement a long-term focused and risk-adjusted remuneration and incentive scheme that addresses the Hermes Banking Remuneration Principles</t>
  </si>
  <si>
    <t>a5da700000057zAAAQ</t>
  </si>
  <si>
    <t>Banking experience on board</t>
  </si>
  <si>
    <t>Three independent directors with relevant bank experience on the board. The bank has exceeded this target. (2016)</t>
  </si>
  <si>
    <t>a5da700000057zBAAQ</t>
  </si>
  <si>
    <t>Articulation of Business Purpose</t>
  </si>
  <si>
    <t>Company to commit to statement of business purpose.</t>
  </si>
  <si>
    <t>a5da700000057yyAAA</t>
  </si>
  <si>
    <t>Our objective is for the company to further develop its energy transition strategy to cover opportunities for staff training and redeployment into new growth areas, as well as mitigating unintended social consequences, including community access to affordable energy.</t>
  </si>
  <si>
    <t>12/11/25</t>
  </si>
  <si>
    <t>a5da700000058SJAAY</t>
  </si>
  <si>
    <t>The company develops and discloses a credible strategy to take advantage of climate-related opportunities and the benefits of reduced risks, addressing a range of global scenarios, including if the company considers feasible and appropriate and consistent with long-term financial value, those consistent with the Paris Goals.</t>
  </si>
  <si>
    <t>M3 -&gt; M4</t>
  </si>
  <si>
    <t>a5da700000055qKAAQ</t>
  </si>
  <si>
    <t>Climate strategy - enhance scope</t>
  </si>
  <si>
    <t>Our objective is for the company to take appropriate steps to improve its methane emissions performance management and disclosures in line with good industry practices.</t>
  </si>
  <si>
    <t>2022 Q4</t>
  </si>
  <si>
    <t>a5da700000055qLAAQ</t>
  </si>
  <si>
    <t>Artificial Intelligence in Financial Services</t>
  </si>
  <si>
    <t>Ensure board accountability for ethical artificial intelligence governance and publish a document regarding ethical AI principles.</t>
  </si>
  <si>
    <t>a5da7000000577dAAA</t>
  </si>
  <si>
    <t>Formally integrate progress on climate strategy with executive compensation</t>
  </si>
  <si>
    <t>a5da700000057pOAAQ</t>
  </si>
  <si>
    <t>Diversity &amp; inclusion strategy</t>
  </si>
  <si>
    <t>The bank has set a comprehensive diversity and inclusion strategy with commitments to increasing diverse talent and increasing economic opportunities for diverse communities. We will monitor the implementation of its strategy, paying particular attention to the impact it has on indigenous communities.</t>
  </si>
  <si>
    <t>a5da700000057pAAAQ</t>
  </si>
  <si>
    <t>CEO Remuneration</t>
  </si>
  <si>
    <t>We opposed the advisory vote on the executive compensation approach. The CEO is paid in the top quartile of company peers without adequate disclosure of the reasoning for such above-market compensation. Despite this, we find CEO compensation to be aligned with performance and otherwise in compliance with our best practice guidelines, so we supported the chair of the compensation committee.</t>
  </si>
  <si>
    <t>a5da700000057zKAAQ</t>
  </si>
  <si>
    <t>Suncor Energy Inc</t>
  </si>
  <si>
    <t>Operationalising purpose.</t>
  </si>
  <si>
    <t>a5da700000057YUAAY</t>
  </si>
  <si>
    <t>Financial senstivity to 1.5 degree IEA Net Zero by 2050 scenation</t>
  </si>
  <si>
    <t>Clearly disclose existing and targeted cost and emissions structures for both mining and in situ (sub-surface) operations along with financial impacts of USD 24 per barrel 2050 oil price on each type of operation, and clarify if capex is aligned with IEA Net Zero scenario in alignment with IIGCC Net Zero Standard [M2].</t>
  </si>
  <si>
    <t>a5da700000057q2AAA</t>
  </si>
  <si>
    <t>Our objective is for the CEO's shareholding requirements to increase from six-times salary.</t>
  </si>
  <si>
    <t>01/12/25</t>
  </si>
  <si>
    <t>a5da700000055eUAAQ</t>
  </si>
  <si>
    <t xml:space="preserve">The company develops and discloses a credible strategy to take advantage of climate-related opportunities and the benefits of reduced risks, addressing a range of global scenarios, including if the company considers feasible and appropriate and consistent with long-term financial value, those consistent with limiting climate change to below 2?C in line with the Paris Goals.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</si>
  <si>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a5da700000055ugAAA</t>
  </si>
  <si>
    <t>Suncor Energy - Environmental - Oil sands</t>
  </si>
  <si>
    <t>Encourage company to address issue of responsible oil sands development</t>
  </si>
  <si>
    <t>a5da700000057RsAAI</t>
  </si>
  <si>
    <t>Climate targets in compensation</t>
  </si>
  <si>
    <t>Include strategic climate targets in compensation [M3].</t>
  </si>
  <si>
    <t>a5da700000057n5AAA</t>
  </si>
  <si>
    <t>Methane Emissions</t>
  </si>
  <si>
    <t>Disclose in alignment with OGMP.</t>
  </si>
  <si>
    <t>a5da700000057YVAAY</t>
  </si>
  <si>
    <t>Toronto-Dominion Bank/The</t>
  </si>
  <si>
    <t>a5da7000000571XAAQ</t>
  </si>
  <si>
    <t>We discussed our involvement in the Canadian Purpose Economy Project and asked how the board was overseeing the bank’s business purpose to “enrich the lives of its customers, communities, and colleagues.” It shared that it has more to announce soon. We emphasised that moments of controversy can be opportune times for companies to reinforce their business purpose. We shared that we do not wish to see major changes to business purpose during leadership transitions, as it is meant to transcend leadership regimes.</t>
  </si>
  <si>
    <t>a5da700000057maAAA</t>
  </si>
  <si>
    <t xml:space="preserve">In 2019, we opposed the advisory vote on executive compensation. We noted that, from our meeting with the compensation committee chair we feel she is otherwise an excellent independent director. We hope that, if re-elected, she can use her substantial skills to influence change in the problematic compensation practices. These include an excessive overall quantum of CEO pay, a floor on the payout of performance shares regardless of performance, and the payment of a one-time retention bonus, which indicated to us a potential weakness in succession planning.  More recently, we have voted in support of advisory votes on executive compensation following discussions with the company.</t>
  </si>
  <si>
    <t>a5da700000057zJAAQ</t>
  </si>
  <si>
    <t>The bank is involved in a syndicate that is financing the Dakota Access Pipeline. Construction of the pipeline has been delayed due to legal actions launched by the Standing Rock Sioux tribe, who claim that inadequate community engagement had been done in advance of construction. A group of banks, including TD, have engaged an independent third party, Foley Hoag, to review and report on the due diligence done by the project owner, Energy Transfer Partners. Next steps will be determined once the Foley Hoag report is released. On 15 March 2017, the Supreme Court rejected the Cheyenne and Standing Rock Sioux request for a delay in starting oil flow until the appeal is decided, so the system is scheduled to begin delivering oil on 1 June 2017.</t>
  </si>
  <si>
    <t>a5da700000056RjAAI</t>
  </si>
  <si>
    <t>a5da700000057yzAAA</t>
  </si>
  <si>
    <t>Following the filing of a shareholder proposal to adopt proxy access and subsequent shareholder engagement, the bank announced on 21 March 2017 that it commits to work with stakeholders, including the Canadian Coalition for Good Governance to explore options to improve proxy access for TD. Our expectation is that the bank will adopt a form or proxy access that improves on the statutory provision in the Canadian Bank Act and report on this in the 2018 proxy circular.</t>
  </si>
  <si>
    <t>a5da700000057YnAAI</t>
  </si>
  <si>
    <t>The company develops and discloses a credible strategy to take advantage of climate-related opportunities and the benefits of reduced risks, addressing a range of global scenarios, including if the company considers feasible and appropriate and consistent with long-term financial value, those consistent with limiting climate change to below 2?C in line with the Paris Goals.</t>
  </si>
  <si>
    <t>a5da700000055nKAAQ</t>
  </si>
  <si>
    <t>Progress report</t>
  </si>
  <si>
    <t>The company demonstrates progress towards meeting its chosen targets and KPIs under its [strategy/ transition plan] covering climate-related opportunities and risks.</t>
  </si>
  <si>
    <t>a5da700000055nLAAQ</t>
  </si>
  <si>
    <t>Toyota Motor Corp</t>
  </si>
  <si>
    <t>Female manager target</t>
  </si>
  <si>
    <t>The company currently discloses a target to increase the number of female managers. Our objective is for the company to disclose a percentage target.</t>
  </si>
  <si>
    <t>a5da700000055q9AAA</t>
  </si>
  <si>
    <t>Artificial intelligence (AI) governance</t>
  </si>
  <si>
    <t>Toyota uses artificial intelligence in the autonomous driving technologies it is developing. It is also engaged in financing business, which likely uses AI technologies. Our objective is for the company to publish a policy or guidelines on the use of AI.</t>
  </si>
  <si>
    <t>a5da700000055iuAAA</t>
  </si>
  <si>
    <t>Risk management in cobalt supply chain</t>
  </si>
  <si>
    <t>The company currently discloses little information on how it is addressing human rights risks in its cobalt supply chain. The company needs to establish a policy and management system to effectively manage risks.</t>
  </si>
  <si>
    <t>a5da700000055iAAAQ</t>
  </si>
  <si>
    <t>The company currently has a target to reduce its average fleet emissions by 35% or more from the 2010 level by 2030. We are asking to disclose the current level of average fleet emissions in terms of gCO2/km and encourage the company to set an absolute target to reduce its average fleet emissions to 60g/km or below by 2030.</t>
  </si>
  <si>
    <t>24/10/25</t>
  </si>
  <si>
    <t>a5da700000055i9AAA</t>
  </si>
  <si>
    <t>To discuss the company's strategic progress and 2011 Global Vision.</t>
  </si>
  <si>
    <t>a5da700000056cJAAQ</t>
  </si>
  <si>
    <t>Disclosures on environmental issues</t>
  </si>
  <si>
    <t>We sent a letter to the company asking to clarify on its disclosure of its environmental issues based on the Transition Pathway Initiative.</t>
  </si>
  <si>
    <t>a5da700000057m6AAA</t>
  </si>
  <si>
    <t>Labour practice</t>
  </si>
  <si>
    <t>Toyota was accused of poor treatment of its workers</t>
  </si>
  <si>
    <t>a5da700000056PPAAY</t>
  </si>
  <si>
    <t>Board independence and oversight</t>
  </si>
  <si>
    <t>Board independence and oversight.</t>
  </si>
  <si>
    <t>a5da700000057ltAAA</t>
  </si>
  <si>
    <t>Crisis management</t>
  </si>
  <si>
    <t>Various ways in which the company is responding to the COVID-19 crisis.</t>
  </si>
  <si>
    <t>a5da700000056xAAAQ</t>
  </si>
  <si>
    <t>Labour rghts issues in overseas operations</t>
  </si>
  <si>
    <t>Industrial action was organised in South Africa for the company and its factory and warehouse operations were suspended for a day. The company needs to strengthen its oversight on labour issues at overseas factories.</t>
  </si>
  <si>
    <t>a5da700000056pDAAQ</t>
  </si>
  <si>
    <t>Data and information security</t>
  </si>
  <si>
    <t>Sensitive, unprotected company information was reportedly discovered on the internet in July 2018. The company needs to enforce a data and information safety system at a higher level, because the internet of things, AI and autonomous car systems are the new technologies the company has started to deploy.</t>
  </si>
  <si>
    <t>a5da700000056v7AAA</t>
  </si>
  <si>
    <t>Air Liquide SA</t>
  </si>
  <si>
    <t>The company improves its human capital reporting and responds to the WDI.</t>
  </si>
  <si>
    <t>a5da700000056laAAA</t>
  </si>
  <si>
    <t>Executive remuneration - improving dislcosure</t>
  </si>
  <si>
    <t>The company improves its disclosure on executive remuneration, particularly on the qualitative part of the STI.</t>
  </si>
  <si>
    <t>a5da700000057aWAAQ</t>
  </si>
  <si>
    <t>Approach to environmental challenges</t>
  </si>
  <si>
    <t>The production of hazardous chemicals is a key risk for the company and sector. We want to support a transition to safer chemicals, and yet 75% of all chemicals used and manufactured in Europe are hazardous to human health and/or the environment. The regulatory, as well as the market pressure, to transition towards less hazardous chemicals is strong and will increase following the implementation of the European Green Deal. There are similar regulatory pressures in the US. The company scored a C in ChemScore's 2021 annual ranking, indicating that greater transparency on the chemicals produced and its strategy to phase out hazardous chemicals may be warranted</t>
  </si>
  <si>
    <t>a5da700000057vbAAA</t>
  </si>
  <si>
    <t>The company sets a comprehensive strategy for achieving net-zero emissions with short, medium- and long-term targets.</t>
  </si>
  <si>
    <t>a5da700000057oQAAQ</t>
  </si>
  <si>
    <t>Airgas integration</t>
  </si>
  <si>
    <t>Environmental and human capital challenges of large acquisition.</t>
  </si>
  <si>
    <t>a5da700000056ckAAA</t>
  </si>
  <si>
    <t>BNP Paribas SA</t>
  </si>
  <si>
    <t>External review of board performance</t>
  </si>
  <si>
    <t>Introduction of external reviews of the board's performance</t>
  </si>
  <si>
    <t>a5da700000057Y6AAI</t>
  </si>
  <si>
    <t>Ethics and compliance</t>
  </si>
  <si>
    <t xml:space="preserve">In 2014, BNP Paribas pleaded guilty to violating U.S. sanctions after agreeing  to pay a record $8.97 billion to resolve state and federal probes for violating the International Emergency Economic Powers Act and the Trading with the Enemy Act by processing almost $9 billion in banned transactions from 2004 to 2012 involving Sudan, Iran and Cuba. The bank also faced a number of probes insurance and Swiss frank loan mis-selling in 2014</t>
  </si>
  <si>
    <t>a5da700000056ZfAAI</t>
  </si>
  <si>
    <t xml:space="preserve">In our engagements we look at three areas of tax policy, governance and transparency. On policy, we look for a clear set of principles on tax responsibility, which include paying tax in line with the location of economic value generation and in line with the legislative intention of tax law. We also look for policies to cover the company’s tax-related approach to corporate structuring, due diligence, tax havens and use of incentives.  On governance, we support the G20/OECD Principle of Corporate Governance that an important board responsibility is “to oversee the risk management system and systems designed to ensure that the corporation obeys applicable laws, including tax”. We expect the board, in particular the audit committee, to have oversight of tax risks and the implementation of the tax policy. The remuneration committee also needs to consider tax behaviour in the structuring of executive remuneration policy.  On transparency, we seek clear disclosure of the company’s approach to tax and the consideration of tax in corporate activities. This should accompany a clear explanation of taxes paid including country-by-country reporting. We look for alignment of taxes paid through country-by-country reporting, and the company’s description of its approach and results on alignment, in its reporting and our engagement discussions. Where there is no evidence of alignment we will consider escalating our engagement through other channels, including the use of shareholder rights.</t>
  </si>
  <si>
    <t>a5da700000056dcAAA</t>
  </si>
  <si>
    <t>This is to ensure the bank integrates climate change in its strategy and provides robust disclosure aligned with the recommendations of the Task Force on Climate-related Financial Disclosures (TCFD).</t>
  </si>
  <si>
    <t>14/10/25</t>
  </si>
  <si>
    <t>a5da700000057mFAAQ</t>
  </si>
  <si>
    <t>a5da700000057uxAAA</t>
  </si>
  <si>
    <t>Human capital reporting</t>
  </si>
  <si>
    <t>The company provides useful reporting on its human capital, and responds to the Workforce Disclosure Initiative.</t>
  </si>
  <si>
    <t>a5da700000056lbAAA</t>
  </si>
  <si>
    <t>To ensure the development and use of artificial intelligence is supported by an ethical framework.</t>
  </si>
  <si>
    <t>a5da700000056w3AAA</t>
  </si>
  <si>
    <t>Danone SA</t>
  </si>
  <si>
    <t>Food Safety</t>
  </si>
  <si>
    <t>Develop and implement procedures to monitor its supply chain to ensure food safety.</t>
  </si>
  <si>
    <t>a5da700000056OqAAI</t>
  </si>
  <si>
    <t>We welcome the company's integrated reporting and suggest enhancement to improve in meaningfulness and listability.</t>
  </si>
  <si>
    <t>a5da700000056bMAAQ</t>
  </si>
  <si>
    <t>Base of the Pyramid BOP</t>
  </si>
  <si>
    <t>Review the company's strategy with regard to BoP</t>
  </si>
  <si>
    <t>a5da700000056KnAAI</t>
  </si>
  <si>
    <t>Climate Action 100+ dialogue</t>
  </si>
  <si>
    <t>We have started the climate action 100+ engagement process with the aim of setting up dedicated meetings and developing a climate change objective.</t>
  </si>
  <si>
    <t>a5da700000057cmAAA</t>
  </si>
  <si>
    <t>Corporate purpose</t>
  </si>
  <si>
    <t>a5da700000057k6AAA</t>
  </si>
  <si>
    <t>Identify best practice and encourage leadership on access to nutrition.</t>
  </si>
  <si>
    <t>a5da700000057mlAAA</t>
  </si>
  <si>
    <t>a5da700000056mZAAQ</t>
  </si>
  <si>
    <t>The company responds to the Workforce Disclosure Initiative.</t>
  </si>
  <si>
    <t>a5da700000056nLAAQ</t>
  </si>
  <si>
    <t>Separation of the roles of CEO and chair.</t>
  </si>
  <si>
    <t>a5da700000057s9AAA</t>
  </si>
  <si>
    <t>To ensure the company is working towards meeting the goals of the Paris Agreement.</t>
  </si>
  <si>
    <t>a5da700000057eYAAQ</t>
  </si>
  <si>
    <t>Diversity &amp; Inclusion</t>
  </si>
  <si>
    <t>To ensure the company adopts and implements a robust diversity and inclusion strategy.</t>
  </si>
  <si>
    <t>a5da700000057eZAAQ</t>
  </si>
  <si>
    <t>Related-party transaction</t>
  </si>
  <si>
    <t>Inappropriate related-party transaction.</t>
  </si>
  <si>
    <t>a5da700000056pbAAA</t>
  </si>
  <si>
    <t>Improve link between pay and performance</t>
  </si>
  <si>
    <t>a5da700000057u6AAA</t>
  </si>
  <si>
    <t>Carrefour SA</t>
  </si>
  <si>
    <t>Executive remuneration aligned with our principles.</t>
  </si>
  <si>
    <t>a5da700000056yPAAQ</t>
  </si>
  <si>
    <t>PRI clearinghouse on overfishing</t>
  </si>
  <si>
    <t>a5da7000000565fAAA</t>
  </si>
  <si>
    <t>a5da700000057V6AAI</t>
  </si>
  <si>
    <t>Kering SA</t>
  </si>
  <si>
    <t>remuneration</t>
  </si>
  <si>
    <t>Improvement of remuneration schemes</t>
  </si>
  <si>
    <t>a5da700000057a6AAA</t>
  </si>
  <si>
    <t>Vinci SA</t>
  </si>
  <si>
    <t>Executive remuneration - minimum shareholding requirement</t>
  </si>
  <si>
    <t>The company increases its minimum shareholding requirement to 200%, given the CEO succession planning.</t>
  </si>
  <si>
    <t>2025 Q1</t>
  </si>
  <si>
    <t>a5da700000055jQAAQ</t>
  </si>
  <si>
    <t>The company is to set science-based targets</t>
  </si>
  <si>
    <t>a5da700000056X1AAI</t>
  </si>
  <si>
    <t>Ensure company's appropriate environmental policy</t>
  </si>
  <si>
    <t>Ensure appropriate environmental policies and process are in place</t>
  </si>
  <si>
    <t>a5da700000056TfAAI</t>
  </si>
  <si>
    <t>Human and labour rights abuses</t>
  </si>
  <si>
    <t>Remediatehuman and labour rights abuses in Vinci’s Qatari joint-venture QDVC</t>
  </si>
  <si>
    <t>a5da700000057LfAAI</t>
  </si>
  <si>
    <t>Separation of roles of chair and CEO</t>
  </si>
  <si>
    <t>Our objective is for the company to split the roles of chair and CEO as part of the succession of the incumbent CEO when he retires.</t>
  </si>
  <si>
    <t>a5da700000055jRAAQ</t>
  </si>
  <si>
    <t>a5da700000057Z2AAI</t>
  </si>
  <si>
    <t>Roles LID/vice-chair</t>
  </si>
  <si>
    <t>Remove the role of vice chair.</t>
  </si>
  <si>
    <t>a5da7000000579yAAA</t>
  </si>
  <si>
    <t>a5da7000000572AAAQ</t>
  </si>
  <si>
    <t>Bribery and corruption</t>
  </si>
  <si>
    <t>The company is facing corruption charges for its construction work in Russia (Q2 2016)</t>
  </si>
  <si>
    <t>a5da700000056uOAAQ</t>
  </si>
  <si>
    <t>The company discloses to the WDI.</t>
  </si>
  <si>
    <t>a5da700000056lZAAQ</t>
  </si>
  <si>
    <t>Schneider Electric SE</t>
  </si>
  <si>
    <t>Succession planning for the chair</t>
  </si>
  <si>
    <t>Ensure appropriate succession planning process for the appointment of a new chair.</t>
  </si>
  <si>
    <t>a5da700000056obAAA</t>
  </si>
  <si>
    <t>CO2 impact accounting</t>
  </si>
  <si>
    <t>21/10/25</t>
  </si>
  <si>
    <t>a5da700000056oaAAA</t>
  </si>
  <si>
    <t>Simplification on remuneration with no overlap between the short and long term.</t>
  </si>
  <si>
    <t>a5da700000057DqAAI</t>
  </si>
  <si>
    <t>The company improves is human capital reporting and responds to the WDI.</t>
  </si>
  <si>
    <t>a5da700000056ocAAA</t>
  </si>
  <si>
    <t>Achieve a minimum of 40% women on the board as of 2017 as required by law</t>
  </si>
  <si>
    <t>a5da700000056lHAAQ</t>
  </si>
  <si>
    <t>Risk management on artificial intelligence.</t>
  </si>
  <si>
    <t>a5da700000056odAAA</t>
  </si>
  <si>
    <t>Voting rights</t>
  </si>
  <si>
    <t>Double voting rights and limitations on voting rights.</t>
  </si>
  <si>
    <t>a5da700000055wxAAA</t>
  </si>
  <si>
    <t>Integration of base of the pyramid considerations in business strategy</t>
  </si>
  <si>
    <t>Integration of BoP in growth strategy for emerging markets</t>
  </si>
  <si>
    <t>a5da700000056ToAAI</t>
  </si>
  <si>
    <t>Moving material ESG factors into mainstream financial disclosures</t>
  </si>
  <si>
    <t>Moving material ESG factors from sustainability reporting into mainstream financial disclosures.</t>
  </si>
  <si>
    <t>a5da700000056btAAA</t>
  </si>
  <si>
    <t>Risky Supply Chain Model</t>
  </si>
  <si>
    <t>Supply chain risks are identified and monitored according to relevant key performance indicators</t>
  </si>
  <si>
    <t>a5da700000056ZOAAY</t>
  </si>
  <si>
    <t>Anti-takeover defenses</t>
  </si>
  <si>
    <t>Anti-takeover mechanisms and the protection of the interests of minority shareholders.</t>
  </si>
  <si>
    <t>2008 Q2</t>
  </si>
  <si>
    <t>a5da700000055x7AAA</t>
  </si>
  <si>
    <t>Deutsche Bank AG</t>
  </si>
  <si>
    <t>Management compensation</t>
  </si>
  <si>
    <t>Ensure alignment of management board remuneration system with shareholder interests.</t>
  </si>
  <si>
    <t>Germany</t>
  </si>
  <si>
    <t>a5da700000056NGAAY</t>
  </si>
  <si>
    <t>Strengthening of the supervisory board</t>
  </si>
  <si>
    <t>Refreshment of supervisory board.</t>
  </si>
  <si>
    <t>a5da700000056YmAAI</t>
  </si>
  <si>
    <t>Ensure a sound succession planning.</t>
  </si>
  <si>
    <t>a5da700000056YnAAI</t>
  </si>
  <si>
    <t>Employee compensation</t>
  </si>
  <si>
    <t>More long-term focused risk-adjusted remuneration and incentive scheme for highly paid employees.</t>
  </si>
  <si>
    <t>a5da700000056faAAA</t>
  </si>
  <si>
    <t>a5da700000057jgAAA</t>
  </si>
  <si>
    <t>The bank demonstrates that measures have been put in place to address pending investigations and lawsuits, and that initiatives are put in place to drive lasting systematic change on culture and conduct.</t>
  </si>
  <si>
    <t>a5da700000055O9AAI</t>
  </si>
  <si>
    <t>Chair succession</t>
  </si>
  <si>
    <t>The board has developed a robust succession plan, including clear identification of relevant skills and experience for the next chair, and upon execution, ensures a smooth transition process of key director role.</t>
  </si>
  <si>
    <t>a5da700000057voAAA</t>
  </si>
  <si>
    <t>Climate - low carbon transition</t>
  </si>
  <si>
    <t>The company should align with our expectations on responsible banking.</t>
  </si>
  <si>
    <t>a5da700000057ueAAA</t>
  </si>
  <si>
    <t>a5da700000057jdAAA</t>
  </si>
  <si>
    <t>In our engagements we look at three areas of tax policy, governance and transparency. On policy, we look for a clear set of principles on tax responsibility, which would include paying tax in line with the location of economic value generation and in line with the legislative intention of tax law. We also look for policies to cover the company’s tax-related approach to corporate structuring, due diligence, tax havens and use of incentives. On governance, we support the G20/OECD Principle of Corporate Governance that an important board responsibility is “to oversee the risk management system and systems designed to ensure that the corporation obeys applicable laws, including tax”. We expect the board, in particular the audit committee, to have oversight of tax risks and the implementation of the tax policy. The remuneration committee also needs to consider tax behaviour in the structuring of the executive remuneration policy. On transparency, we seek disclosure of the company’s approach to tax and the consideration of tax in corporate activities. This should accompany a clear explanation of taxes paid including country-by-country reporting. We look for alignment of taxes paid through country-by-country reporting, and the company’s description of its approach and results on alignment, in its reporting and our engagement discussions. Where there is no evidence of alignment we will consider escalating our engagement through other channels, including the use of shareholder rights.</t>
  </si>
  <si>
    <t>a5da700000056leAAA</t>
  </si>
  <si>
    <t>BASF SE</t>
  </si>
  <si>
    <t>Capital allocation</t>
  </si>
  <si>
    <t>Shareholders' returns</t>
  </si>
  <si>
    <t>a5da700000056LnAAI</t>
  </si>
  <si>
    <t>Gender diversity on supervisory board</t>
  </si>
  <si>
    <t>Female board members only make up 25% of BASF's supervisory board, despite the fact that 30% is required under German law since January 2016.</t>
  </si>
  <si>
    <t>a5da7000000581ZAAQ</t>
  </si>
  <si>
    <t>a5da7000000581YAAQ</t>
  </si>
  <si>
    <t>We invite the company to participate in the Statement of Significant Audiences and Materiality campaign, jointly supported by Bob Eccles from Arabesque.</t>
  </si>
  <si>
    <t>a5da700000056SdAAI</t>
  </si>
  <si>
    <t>Management of tax risks</t>
  </si>
  <si>
    <t xml:space="preserve">BASF has been implicated in two tax controversies and its reporting on tax is poor. The European Commission ordered Belgium to recover $764 million in additional taxes from 35 multinational companies, including BASF. Moreover, the European Free Alliance group  alleged that BASF used aggressive strategies to avoid paying €925 million ($983 million) in taxes between 2010 and 2014.</t>
  </si>
  <si>
    <t>a5da700000056U0AAI</t>
  </si>
  <si>
    <t>Focusing on key stakeholders and wider societal needs, will secure social licence to operate and set the company up for long-term value creation post-crisis.</t>
  </si>
  <si>
    <t>a5da700000057v5AAA</t>
  </si>
  <si>
    <t>All chemical companies face the risk that products could lead to unknown negative environmental and biological impacts. The production of hazardous chemicals is a key risk for the company and sector. We want to support a transition towards safer chemicals, and yet 75% of all chemicals used and manufactured in Europe are hazardous to human health and/or the environment (EU 2019). The regulatory, as well as the market pressure, to transition towards less hazardous chemicals is strong and will increase even more following implementation of the European Green Deal. In the US, the Environmental Protection Agency has released its roadmap for tackling per- and polyfluoroalkyl substances (PFAS). This multi-agency approach with increased disclosure and tighter restrictions is expected to impact companies in the near term. In recent years, the financial implications for company liability for past and current production of pollution of persistent chemicals, especially PFAS, have been clear. The company scored a C in ChemScore's 2021 annual ranking indicating greater transparency may be warranted on the chemicals produced by the company, and on its strategy to phase out hazardous chemicals.</t>
  </si>
  <si>
    <t>28/11/25</t>
  </si>
  <si>
    <t>a5da700000057vaAAA</t>
  </si>
  <si>
    <t>Health and safety management</t>
  </si>
  <si>
    <t>Robust health and safety management systems and processes in light of two blasts at its chemical plants in 2016, which led to the deaths of four people and forced BASF to temporarily shut down its production facilities</t>
  </si>
  <si>
    <t>a5da7000000581jAAA</t>
  </si>
  <si>
    <t>Sustainability Strategy</t>
  </si>
  <si>
    <t>11/12/25</t>
  </si>
  <si>
    <t>a5da700000057sTAAQ</t>
  </si>
  <si>
    <t>Diversity at lower leadership levels</t>
  </si>
  <si>
    <t>Following the completion of the objective "The executive board and leadership team has an appropriate gender diversity profile" in November 2021, we continue to monitor and engage on diversity as an engagement issue. We are focused on reaching the 30% by 2030 target for lower levels of leadership, including challenging whether the target and time frame is ambitious enough.</t>
  </si>
  <si>
    <t>a5da700000057v8AAA</t>
  </si>
  <si>
    <t>Product risk management</t>
  </si>
  <si>
    <t>Ensure the company has robust risk management processes in place, in light of the accumulating evidence of the harmful effects of one of its pesticide products</t>
  </si>
  <si>
    <t>a5da7000000581qAAA</t>
  </si>
  <si>
    <t>Complexity of executive remuneration system</t>
  </si>
  <si>
    <t>a5da700000057J3AAI</t>
  </si>
  <si>
    <t>Henkel AG &amp; Co KGaA</t>
  </si>
  <si>
    <t>Corporate strategy</t>
  </si>
  <si>
    <t>Monitor the company's strategy under the reign of the newly appointed CEO</t>
  </si>
  <si>
    <t>a5da700000056b4AAA</t>
  </si>
  <si>
    <t>Sustainability reporting and targets</t>
  </si>
  <si>
    <t>Company to commit to stretching environmental targets</t>
  </si>
  <si>
    <t>a5da700000056b3AAA</t>
  </si>
  <si>
    <t>The level of independence on that board is low.</t>
  </si>
  <si>
    <t>a5da700000056zZAAQ</t>
  </si>
  <si>
    <t>Auditor tenure over 20 years.</t>
  </si>
  <si>
    <t>a5da700000057H3AAI</t>
  </si>
  <si>
    <t>Assess and monitor the appropriateness of the company's executive remuneration policy.</t>
  </si>
  <si>
    <t>a5da700000057IWAAY</t>
  </si>
  <si>
    <t>Koninklijke Ahold Delhaize NV</t>
  </si>
  <si>
    <t>To ensure that the strategy of Ahold Delhaize continues to address the issues that pose significant risks to, or opportunities for, its businesses and its broad group of stakeholders each year that the company performs a materiality assessment that evaluates the current relevance of economic, social, and environmental topics. We are invited to share our input by completing a brief survey, reflecting on current and emerging material topics.</t>
  </si>
  <si>
    <t>Netherlands</t>
  </si>
  <si>
    <t>a5da700000056olAAA</t>
  </si>
  <si>
    <t>Achievement of synergies from merger</t>
  </si>
  <si>
    <t>Successful completion of merger with Delhaize through achievement of projected run-rate synergies in third year.</t>
  </si>
  <si>
    <t>a5da700000056MNAAY</t>
  </si>
  <si>
    <t>Animal welfare</t>
  </si>
  <si>
    <t>The company should develop an overarching position on the welfare of animals in its supply chain, including the use of antibiotics.</t>
  </si>
  <si>
    <t>a5da700000056NSAAY</t>
  </si>
  <si>
    <t>a5da700000057rpAAA</t>
  </si>
  <si>
    <t>a5da700000057vcAAA</t>
  </si>
  <si>
    <t>Health and nutrition</t>
  </si>
  <si>
    <t>The company should develop a food nutrition strategy in line with customer demand and societal expectations.</t>
  </si>
  <si>
    <t>a5da700000057OlAAI</t>
  </si>
  <si>
    <t>Modern Slavery</t>
  </si>
  <si>
    <t>Ahold Delhaize published its first human rights report in June 2020, which is based on the UN Guiding Principles and identifies the most salient issues. One of the salient issues identified is forced labour. The International Labour Organization estimates that 25 million people globally are in a condition of forced labour. Many of these people appear in companies’ supply chains, and half of them are exploited through debt bondage. Migrant workers are particularly vulnerable through the payment of recruitment fees. However, the company has not reported any instances of modern slavery. We will therefore challenge the effectiveness of its actions.</t>
  </si>
  <si>
    <t>10/12/25</t>
  </si>
  <si>
    <t>a5da700000055n8AAA</t>
  </si>
  <si>
    <t>Allianz SE</t>
  </si>
  <si>
    <t>Allianz SE-Governance</t>
  </si>
  <si>
    <t>Review management remuneration system to align with long-term shareholder interests</t>
  </si>
  <si>
    <t>a5da700000056REAAY</t>
  </si>
  <si>
    <t>Support the company in the integration of its sustainability strategy</t>
  </si>
  <si>
    <t>a5da700000056M0AAI</t>
  </si>
  <si>
    <t>a5da700000056RFAAY</t>
  </si>
  <si>
    <t>As part of our initiative to publish a paper, with our insights into what makes an effective board, we reached out to several non-executive directors. The paper highlights the factors that we consider to be most important in determining board effectiveness. It distinguishes between two major contributors to board success: its ‘hardware’ i.e. its composition and supporting structures and then its ‘software’ which relates to those factors which are more difficult to measure and relate to the human, relational, and behavioural elements of a board.</t>
  </si>
  <si>
    <t>a5da700000057WXAAY</t>
  </si>
  <si>
    <t>Remuneration structure and outcomes</t>
  </si>
  <si>
    <t>Remuneration policy should feature challenging performance targets related to the corporate strategy alongside an appropriate disclosure of targets, performance metrics, and potential payouts.</t>
  </si>
  <si>
    <t>a5da700000057WSAAY</t>
  </si>
  <si>
    <t>Although commending the work undertaken by the company on sustainability, we requested the insurer to be more explicit in disclosing its own exposure to risks from climate change; to have long-term objectives; and for it to update its sustainability risk policies.</t>
  </si>
  <si>
    <t>a5da700000057WQAAY</t>
  </si>
  <si>
    <t>RWE AG</t>
  </si>
  <si>
    <t>Phase Out of Coal</t>
  </si>
  <si>
    <t>Company to bring forward timelines for coal phase out.</t>
  </si>
  <si>
    <t>21/11/25</t>
  </si>
  <si>
    <t>a5da700000057b5AAA</t>
  </si>
  <si>
    <t>a5da70000005813AAA</t>
  </si>
  <si>
    <t>Spin-off renewables business segment</t>
  </si>
  <si>
    <t>Monitoring of the company's plan to spin-off the renewables business into a separate company. RWE intends to remain the majority shareholder of the spun-off company, innogy.</t>
  </si>
  <si>
    <t>a5da700000056NjAAI</t>
  </si>
  <si>
    <t>Power plant safety</t>
  </si>
  <si>
    <t>a5da700000056GlAAI</t>
  </si>
  <si>
    <t>Relationship with German regulators</t>
  </si>
  <si>
    <t>Encourage a better relationship with German environmental and competition regulators and a reconsideration of litigation against nuclear phase-out in Germany.</t>
  </si>
  <si>
    <t>a5da700000057J9AAI</t>
  </si>
  <si>
    <t>Over-representation of German municipalities on the board</t>
  </si>
  <si>
    <t>A group of German municipalities hold approximately 25% of the company's share capital, while they are holding 40% of the shareholder representatives' board seats. The next board elections take place in 2021 and we monitor the company's approach towards board composition closely until then.</t>
  </si>
  <si>
    <t>a5da70000005816AAA</t>
  </si>
  <si>
    <t>a5da7000000580zAAA</t>
  </si>
  <si>
    <t>Bayer AG</t>
  </si>
  <si>
    <t>AMR</t>
  </si>
  <si>
    <t>Discussed AMR approach with the company. It suggested this was not its main business segment, but it still engages responsibly with suppliers.</t>
  </si>
  <si>
    <t>a5da700000057tWAAQ</t>
  </si>
  <si>
    <t>Say on Climate - vote on company's net zero transition plan</t>
  </si>
  <si>
    <t>The company is considering offering shareholders a vote on its net zero transition plan (a ‘say on climate’) at the 2022 AGM.</t>
  </si>
  <si>
    <t>a5da700000057f7AAA</t>
  </si>
  <si>
    <t>Female board members only make up 25% of Bayer's supervisory board, despite the fact that 30% is required under German law since January 2016.</t>
  </si>
  <si>
    <t>a5da700000056uWAAQ</t>
  </si>
  <si>
    <t>Terms of proposed acquisition</t>
  </si>
  <si>
    <t>Ensure that terms of proposed Monsanto acquisition are value accretive for shareholders</t>
  </si>
  <si>
    <t>a5da700000056fpAAA</t>
  </si>
  <si>
    <t>PRI initiative on tax.</t>
  </si>
  <si>
    <t>a5da700000056fqAAA</t>
  </si>
  <si>
    <t>health &amp; safety</t>
  </si>
  <si>
    <t>Response of behaviour orientated approach to reducing fatalities, integration of Monsanto approach to reduce severity of incidents.</t>
  </si>
  <si>
    <t>a5da700000057tVAAQ</t>
  </si>
  <si>
    <t>Bayerische Motoren Werke AG (BMW)</t>
  </si>
  <si>
    <t>Bayerische Motoren Werke AG-Strategy &amp; Risk-Board Structure</t>
  </si>
  <si>
    <t>Review the company's business strategy with regard to altenative engines and mobility concepts</t>
  </si>
  <si>
    <t>a5da700000056L1AAI</t>
  </si>
  <si>
    <t>Alternative drive technologies</t>
  </si>
  <si>
    <t>Explore the sustainability of the company's strategy on alternative drive technologies</t>
  </si>
  <si>
    <t>a5da700000056TzAAI</t>
  </si>
  <si>
    <t>Paris-aligned accounts</t>
  </si>
  <si>
    <t>Our objective is for the company to demonstrably improve its consideration of climate in its accounting practices. This should follow the ‘Investor Expectations for Paris-aligned Accounts’ (2020), which sets out five clear steps companies should take in preparing Paris-aligned company accounts. Improvement is benchmarked by a Carbon Tracker score.</t>
  </si>
  <si>
    <t>2023 Q1</t>
  </si>
  <si>
    <t>a5da700000055uSAAQ</t>
  </si>
  <si>
    <t>Autonomous driving</t>
  </si>
  <si>
    <t>Explore the company's strategy on autonomous driving</t>
  </si>
  <si>
    <t>a5da700000056cfAAA</t>
  </si>
  <si>
    <t>Child labor in illegal mica mines in India</t>
  </si>
  <si>
    <t>According to media reports, the company is accused of being involved in illegal mining practices in India and child labor.</t>
  </si>
  <si>
    <t>a5da700000056QgAAI</t>
  </si>
  <si>
    <t>Lobbying on Climate Regulations</t>
  </si>
  <si>
    <t>Alignment of company positions with trade organisations and the promotion of positive policy.</t>
  </si>
  <si>
    <t>a5da700000057IKAAY</t>
  </si>
  <si>
    <t>Companies should ensure their accounts are aligned with the Institutional Investors Group on Climate Change investor expectations for Paris-aligned accounts, published in November 2020.</t>
  </si>
  <si>
    <t>a5da700000057rlAAA</t>
  </si>
  <si>
    <t>Remuneration policy should feature strategic goals, especially the variable pay component. Performance targets should be challenging and incentivising achievement of strategic goals.</t>
  </si>
  <si>
    <t>a5da700000057hQAAQ</t>
  </si>
  <si>
    <t>Cobalt supply chain</t>
  </si>
  <si>
    <t>BMW was named by Amnesty International as having a link to child labour in cobalt supply chain</t>
  </si>
  <si>
    <t>a5da700000056oDAAQ</t>
  </si>
  <si>
    <t>Sustainability management</t>
  </si>
  <si>
    <t>a5da700000056oCAAQ</t>
  </si>
  <si>
    <t>Alleged German car cartel</t>
  </si>
  <si>
    <t>Monitor allegations made in the media that German car manufacturers supposedly have been colluding on prices, suppliers, and essential components for vehicles. Escalate if and when necessary.</t>
  </si>
  <si>
    <t>a5da700000056oLAAQ</t>
  </si>
  <si>
    <t>Sustainability strategy and reporting</t>
  </si>
  <si>
    <t>Monitor and test progress on sustainability management and reporting</t>
  </si>
  <si>
    <t>a5da7000000580DAAQ</t>
  </si>
  <si>
    <t>Volkswagen AG</t>
  </si>
  <si>
    <t>Supervisory board composition and succession planning</t>
  </si>
  <si>
    <t>We expressed our concerns about the double-succession issue, which the company will be facing in 2016, when the CEO’s term expires, and 2017, when the chair’s mandate runs out. On the CEO’s succession the company argued that given the group structure with major subsidiaries, such as Audi, there is a large pool of highly experienced executives available internally. Moreover, the company is very unusual in having only one independent director on the board. Unsurprisingly, given the peculiar shareholding structure of Volkswagen, the representative admitted that board composition was unlikely to change significantly but undertook to communicate our proposal with regard to China relevant board experience. (Q4 2014)</t>
  </si>
  <si>
    <t>20/10/25</t>
  </si>
  <si>
    <t>a5da700000057tBAAQ</t>
  </si>
  <si>
    <t>a5da700000057t9AAA</t>
  </si>
  <si>
    <t>Our objective is for the company to demonstrably improve its climate consideration in its accounting practices. This follows the Investor Expectations for Paris-aligned Accounts, a 2020 report by the Institutional Investors Group on Climate Change. The report sets out five clear steps that companies should take in preparing Paris-aligned company accounts. A rising score on Paris-aligned accounts, as determined by Carbon Tracker, constitutes demonstrable improvement.</t>
  </si>
  <si>
    <t>a5da700000055uTAAQ</t>
  </si>
  <si>
    <t>a5da700000056UrAAI</t>
  </si>
  <si>
    <t>a5da700000057nrAAA</t>
  </si>
  <si>
    <t>a5da700000056mHAAQ</t>
  </si>
  <si>
    <t>Volkswagen AG-Strategy &amp; Risk-Risk Management</t>
  </si>
  <si>
    <t>Review the company's sustainability strategy in perspective to its closest competitors</t>
  </si>
  <si>
    <t>a5da700000057quAAA</t>
  </si>
  <si>
    <t>Automated Driving Technology</t>
  </si>
  <si>
    <t>Ensure the new technology of autonomous vehicles has been researched and tested thoroughly.</t>
  </si>
  <si>
    <t>a5da700000057nVAAQ</t>
  </si>
  <si>
    <t>Climate Change / low carbon transition</t>
  </si>
  <si>
    <t>Engage with the company on the low carbon transition.</t>
  </si>
  <si>
    <t>a5da700000057jHAAQ</t>
  </si>
  <si>
    <t>Forced Labour in China</t>
  </si>
  <si>
    <t>The company faces negative reputational impacts having a factory in the Xinjiang region where there are human right abuse allegations of the Uyghur minority.</t>
  </si>
  <si>
    <t>a5da7000000577BAAQ</t>
  </si>
  <si>
    <t>ING Groep NV</t>
  </si>
  <si>
    <t>Ralph Hamers, CEO of ING, will step down from his position and leave ING as of 30 June 2020. After 29 years at ING he will join UBS on 1 September 2020 and will become group chief executive officer per 1 November 2020.</t>
  </si>
  <si>
    <t>a5da700000056wZAAQ</t>
  </si>
  <si>
    <t>Due diligence controls</t>
  </si>
  <si>
    <t>The bank announced in March 2017 that it is the subject of criminal investigations by Dutch authorities regarding various requirements related to the onboarding of clients, money laundering, and corrupt practices. It was announced in March 2018 that the bank had started an enhancement programme to address shortcomings identified in 'know your customer' processes. In September 2018, ING reached a settlement with the Dutch prosecutor and agreed to pay a fine of €675m and €100m for disgorgement. ING acknowledged serious shortcomings in the execution of customer due dilligence policies to prevent financial economic crime at ING Netherlands in the period 2010-2016.</t>
  </si>
  <si>
    <t>a5da700000057aUAAQ</t>
  </si>
  <si>
    <t>a5da700000057EJAAY</t>
  </si>
  <si>
    <t>a5da700000057RyAAI</t>
  </si>
  <si>
    <t>Covid-19 response</t>
  </si>
  <si>
    <t>Given the unique role that banks need to play in supporting the wider economy though a period of economic disruption, we expect banks like ING to fully commit to finding ways to support its consumer and business customers affected by the coronavirus.</t>
  </si>
  <si>
    <t>a5da700000057BxAAI</t>
  </si>
  <si>
    <t>a5da7000000565cAAA</t>
  </si>
  <si>
    <t>Address over-boarded director</t>
  </si>
  <si>
    <t>a5da7000000563YAAQ</t>
  </si>
  <si>
    <t>Cyber security and data management</t>
  </si>
  <si>
    <t>This is to ensure appropriate oversight and management of cyber and information security risks.</t>
  </si>
  <si>
    <t>a5da700000056WaAAI</t>
  </si>
  <si>
    <t>Roche Holding AG</t>
  </si>
  <si>
    <t>To ensure the company makes remuneration-related decisions that are in line with our voting guidelines.</t>
  </si>
  <si>
    <t>a5da700000057XTAAY</t>
  </si>
  <si>
    <t>To ensure the company has a robust sustainability strategy, which is well articulated and integrated in the business strategy.</t>
  </si>
  <si>
    <t>a5da700000056qfAAA</t>
  </si>
  <si>
    <t>a5da700000056qeAAA</t>
  </si>
  <si>
    <t>An effective board defines the company’s purpose and then sets a strategy to deliver it, underpinned by the values and behaviours that shape its culture and the way it conducts its business. Companies with a clear purpose often find it easier to engage their workforce, customers and the wider public.</t>
  </si>
  <si>
    <t>a5da700000056p6AAA</t>
  </si>
  <si>
    <t>Covid-19 crisis</t>
  </si>
  <si>
    <t>The company should do whatever is necessary to support global efforts aimed at tackling the coronavirus crisis, and make enough testing capacity available.</t>
  </si>
  <si>
    <t>a5da7000000574VAAQ</t>
  </si>
  <si>
    <t>a5da700000056lcAAA</t>
  </si>
  <si>
    <t>Shareholder Protection and Rights</t>
  </si>
  <si>
    <t>To maintain and enhance confidence in investing over the long term, investors must be protected from the erosion of their economic rights by the company’s managers or dominant shareholders; and they must have influence over a company’s future.</t>
  </si>
  <si>
    <t>a5da700000057eIAAQ</t>
  </si>
  <si>
    <t>Independent board evaluations signal to investors that the board is open to constructive criticism and willing to improve. We therefore wish to see Roche conduct external evaluations, with some information on how the evaluation was carried out and what has been or will be done with the conclusions from the evaluations. Such disclosure should strike a fine balance between providing reassurance to investors and maintaining confidentially.</t>
  </si>
  <si>
    <t>a5da700000055l2AAA</t>
  </si>
  <si>
    <t>While the annual report identifies some material topics, it is difficult to understand the direction of travel for the sustainability agenda and it is not obvious that these efforts are well integrated within the business strategy. Our objective is for Roche to improve how it articulates its sustainability strategy, with specific goals and timelines.</t>
  </si>
  <si>
    <t>a5da700000055jJAAQ</t>
  </si>
  <si>
    <t>Press for board refreshment</t>
  </si>
  <si>
    <t>press for board refreshment, while ensuring that the long term business cycle of the pharmaceutical idnsurty is still reflected in the board’s composition</t>
  </si>
  <si>
    <t>a5da700000056dmAAA</t>
  </si>
  <si>
    <t>Access to medicines and risk management</t>
  </si>
  <si>
    <t>Strengthen risk management and business ethics to promote adequate corporate culture.</t>
  </si>
  <si>
    <t>a5da700000057PjAAI</t>
  </si>
  <si>
    <t>Sun Hung Kai Properties Ltd</t>
  </si>
  <si>
    <t>Gender diversity on board</t>
  </si>
  <si>
    <t>We pushed for 30% female directors on the board by 2020.</t>
  </si>
  <si>
    <t>a5da700000056n0AAA</t>
  </si>
  <si>
    <t>Issuance of equity or equity-linked securities with or without pre-emptive right</t>
  </si>
  <si>
    <t>The aggregate share issuance limit exceeded 10% and there is no disclosure of the discount limit.</t>
  </si>
  <si>
    <t>a5da700000056n3AAA</t>
  </si>
  <si>
    <t>To discuss the ongoing ICAC's allegation against co-chairs on corruption.</t>
  </si>
  <si>
    <t>a5da700000056dAAAQ</t>
  </si>
  <si>
    <t>To test the company's internal control and risk management systems.</t>
  </si>
  <si>
    <t>a5da700000056dBAAQ</t>
  </si>
  <si>
    <t>To gain an assurance about SHKP's business strategy and operations inact, following the allegation against co-chairmen.</t>
  </si>
  <si>
    <t>a5da7000000565oAAA</t>
  </si>
  <si>
    <t>Power Assets Holdings Ltd</t>
  </si>
  <si>
    <t>Health and safety</t>
  </si>
  <si>
    <t>In 2012, a ferry crash resulted in the death of 39 employees. Poor health and safety procedures were identified as a cause.</t>
  </si>
  <si>
    <t>a5da700000056WcAAI</t>
  </si>
  <si>
    <t>Concerns over two directors who have been on the board for over 30 years and are still considered as independent</t>
  </si>
  <si>
    <t>a5da700000057yMAAQ</t>
  </si>
  <si>
    <t>Emissions Reduction</t>
  </si>
  <si>
    <t>We spoke with the CFO about the company’s environmental and health and safety framework. We instigated a discussion on the ferry incident last year which saw two ferries crash and 39 employees of HK Electric (part of the Power Assets Holdings group) killed. The CFO assured us of the quality of operational health and safety procedures, and that these form a major topic of discussion at management meetings. He was unwilling to discuss the incident itself in great detail due to ongoing legal proceedings but we sought assurance that lessons had been learnt from the incident and that the company would continue to develop its health and safety framework. In the absence of being able to hear about the specific changes, we suggested that once the legal constraints had been removed the company should outline in its next sustainability report what reforms have been made. We also tested the company's emission reduction management and appetite for cleaner energy production (as the business is mainly focused on coal generation). We welcomed hearing the company openly share its energy production methods and aspirations for the future. This includes a keen interest in moving away from coal generation to less polluting forms of energy and a declaration that it is unlikely to apply for the renewal of the coal units when they expire. Although emissions and tariff targets for the company are set by China's Environmental Bureau, it is encouraging to hear that it receives ‘bonuses’ from the government for keeping emissions below these targets, which are reviewed every 4 years. We agreed to follow up with the company on our governance questions - as we have reservations about the extent of family influence.</t>
  </si>
  <si>
    <t>13/10/25</t>
  </si>
  <si>
    <t>a5da700000057xyAAA</t>
  </si>
  <si>
    <t>100% male on the board</t>
  </si>
  <si>
    <t>a5da700000057xlAAA</t>
  </si>
  <si>
    <t>Geely Automobile Holdings Ltd</t>
  </si>
  <si>
    <t>Attracting and retaining diverse talent is a strategic challenge for all companies. Given that Geely's customers are diverse, it is critical to ensure that there is strong diversity across different roles and levels at the company, including in technical roles and the evolving AI space. We can see that a range of human capital management initiatives are in place at Geely, as outlined in the "Equal Opportunities to Attract Talents" section of the 2018 Corporate Social Responsibility Report. However, from current disclosure, we cannot assess the diversity of employees in the company, such as how many women are employed at different levels and roles at Geely. We would like to see evidence that diversity is prioritised through the company's recruitment, promotion and other human capital management practices.</t>
  </si>
  <si>
    <t>a5da700000056ybAAA</t>
  </si>
  <si>
    <t>Cobalt is used in car batteries for electric vehicles. We engage with the company on its recycled cobalt initiative.</t>
  </si>
  <si>
    <t>a5da700000056mRAAQ</t>
  </si>
  <si>
    <t>General issuance mandate</t>
  </si>
  <si>
    <t>Hong Kong Stock Exchange listing rules allow companies to seek authority to issue up to 20% of issued share capital other than as a rights issue under the general issuance mandate. These shares may also be issued at a discount of up to 20% of the market price. Companies may repurchase up to 10% of issued share capital per year and often seek the authority to reissue all repurchased shares under the share reissuance mandate. While we respect the flexibility that companies need to manage their share capital, they rarely fully use the general share issuance allocation that they seek for shareholder approvals at AGMs. We therefore strongly advise a self-imposed target for general share issuance, including reissuance of shares, of 5% as best practice, and no more than 10% of the shares in issue. These should be issued at no more than a small discount, with 10% as the absolute maximum discount.</t>
  </si>
  <si>
    <t>a5da700000057HcAAI</t>
  </si>
  <si>
    <t>Morgan Stanley</t>
  </si>
  <si>
    <t>The CEO and chair positions are combined, and the lead independent director (LID) is the longest serving independent director. For this reason, our objective is for the company to rotate the LID to ensure optimal board independence.</t>
  </si>
  <si>
    <t>a5da7000000580RAAQ</t>
  </si>
  <si>
    <t>We asked the company to adopt a responsible tax policy referencing the Global Reporting Initiative Tax Fairness Standard, as its materials and website are devoid of any mentioning of responsible tax.</t>
  </si>
  <si>
    <t>a5da700000056vRAAQ</t>
  </si>
  <si>
    <t>We want the company to strengthen its digital rights leadership by establishing ethical principles governing its application of artificial intelligence.</t>
  </si>
  <si>
    <t>a5da700000056yJAAQ</t>
  </si>
  <si>
    <t>The company should articulate its business purpose more clearly.</t>
  </si>
  <si>
    <t>a5da7000000578fAAA</t>
  </si>
  <si>
    <t>Risk reporting disclosure</t>
  </si>
  <si>
    <t>Monitor the company's risk reporting disclosures in relation to the Enhanced Disclosure Task Force recommendations</t>
  </si>
  <si>
    <t>a5da700000056pwAAA</t>
  </si>
  <si>
    <t>Diversity, equity and inclusion</t>
  </si>
  <si>
    <t>We want the company to make progress as it focuses on increasing diverse representation across its workforce. It has set goals to increase the number of women officers globally by 25%, and Black and Hispanic officers in the US by 50%, and it made meaningful progress towards those goals in 2021.</t>
  </si>
  <si>
    <t>a5da7000000578eAAA</t>
  </si>
  <si>
    <t>Our objective is for the company to align with the TCFD and fulfil its role in the transition to net zero.</t>
  </si>
  <si>
    <t>a5da700000057ohAAA</t>
  </si>
  <si>
    <t>We want the company to align its executive remuneration practices with our Corporate Governance Principles.</t>
  </si>
  <si>
    <t>a5da7000000580XAAQ</t>
  </si>
  <si>
    <t>Wells Fargo lessons</t>
  </si>
  <si>
    <t>That the company learns any lessons from the Wells Fargo misselling scandal</t>
  </si>
  <si>
    <t>a5da700000056T2AAI</t>
  </si>
  <si>
    <t>In 2023, the company highlighted the resiliency of its business strategy, its focus on return on tangible equity as a key financial metric, and its excess capital relative to peers.</t>
  </si>
  <si>
    <t>a5da700000056NUAAY</t>
  </si>
  <si>
    <t>Indigenous peoples' rights</t>
  </si>
  <si>
    <t>In 2017, we wanted the company to strengthen safeguards for Indigenous peoples' rights following its financing of the Dakota Access Pipeline. In 2022, we signed the Investor Statement to Banks on Line 3 and Free, Prior and Informed Consent, which was sent to 10 banks, including Morgan Stanley.</t>
  </si>
  <si>
    <t>a5da700000056T5AAI</t>
  </si>
  <si>
    <t>Techtronic Industries Co Ltd</t>
  </si>
  <si>
    <t>Our objective is for the company to incorporate meaningful sustainability targets within executive pay schemes in order to powerfully communicate priorities, both internally and externally. The expressed preference is for strategically importance metrics to be incorporated, likely into the LTIP, at a material weighting.</t>
  </si>
  <si>
    <t>a5da700000055sOAAQ</t>
  </si>
  <si>
    <t>The company has no women directors on the board. It has recently taken some steps to increase diversity in expertise by appointing an independent director with background in technology and mergers and acquisitions. We engage with the company to drive the nomination committee to take stronger action to improve diversity.</t>
  </si>
  <si>
    <t>a5da700000057aoAAA</t>
  </si>
  <si>
    <t>General share issuance and the protection of shareholder rights</t>
  </si>
  <si>
    <t>Encourage an improvement in the issuance limit and the disclosure of the discount limit in the general share issuance mandate.</t>
  </si>
  <si>
    <t>a5da700000057HMAAY</t>
  </si>
  <si>
    <t>We judge board independence to be too low as three directors that the company classifies as independent have tenures of 11, 18 and 28 years, respectively. In addition, one of those directors is a consultant at the company's solicitor. We engage the company to strengthen its definition of independence and refresh the board correspondingly.</t>
  </si>
  <si>
    <t>a5da700000057anAAA</t>
  </si>
  <si>
    <t>O'Reilly Automotive Inc</t>
  </si>
  <si>
    <t>More than 26 million people working in the private sector have no access to paid sick days. Millions more cannot earn and use paid sick time to care for a sick child or family member, leaving working people in the US facing an impossible choice when they are sick: stay home and risk their economic stability or go to work and risk their health and the public’s health. Seven in ten of the lowest-wage workers do not have paid sick days to care for their own health. Black, indigenous, and people of colour workers, low-wage, part-time, immigrant, and service-industry workers are especially unlikely to have access to paid sick days. Disparities in access to paid sick days disproportionately expose Latinx and Black workers to an increased risk of illness. Nearly half (48%) of Latinx workers and more than one-third (36%) of Black workers report having no paid time away from work of any kind. While women overall are about as likely as men to have paid sick days, low levels of coverage disproportionately affect mothers because they are more likely than fathers to miss work to take care of sick children. Further, workers who interact the most with the public are often the least likely to have paid sick days, leading to greater exposure and risk. In 2022, O'Reilly Automotive was identified as one of a number of companies who may not have robust policies in place for paid sick leave for direct and indirect employees. We co-signed a letter on the topic which was sent to the company by the Interfaith Center on Corporate Responsibility.</t>
  </si>
  <si>
    <t>a5da700000057klAAA</t>
  </si>
  <si>
    <t>Human Capital Management</t>
  </si>
  <si>
    <t>The company should improve its disclosure on human capital management.</t>
  </si>
  <si>
    <t>30/10/25</t>
  </si>
  <si>
    <t>a5da700000056y8AAA</t>
  </si>
  <si>
    <t>Samsung Fire &amp; Marine Insurance Co Ltd</t>
  </si>
  <si>
    <t>Lack of gender diversity on the board</t>
  </si>
  <si>
    <t>There are no women on the board.</t>
  </si>
  <si>
    <t>Republic of Korea</t>
  </si>
  <si>
    <t>a5da700000056qyAAA</t>
  </si>
  <si>
    <t>Encourage the company to adopt integrated reporting</t>
  </si>
  <si>
    <t>a5da700000056NTAAY</t>
  </si>
  <si>
    <t>Cemex SAB de CV</t>
  </si>
  <si>
    <t>Issuance of shares without pre-emptive rights</t>
  </si>
  <si>
    <t>We are concerned about approving broad mandates for the board to authorise the issuance of shares without pre-emptive rights, due to potential dilution of existing shareholders.</t>
  </si>
  <si>
    <t>Emerging &amp; Developing Markets</t>
  </si>
  <si>
    <t>Mexico</t>
  </si>
  <si>
    <t>a5da700000056WZAAY</t>
  </si>
  <si>
    <t>Corrupt practices in Colombian subsidiary</t>
  </si>
  <si>
    <t xml:space="preserve">In Q3-2016, CEMEX's subsidiary listed in Colombia, Cemex Latam Holdings,  reported to the authorities the payment of bribes by senior executives in connection with the acquisition land and mining rights for a new project.  The local VP for Planning and general counsel had their employments terminated and the local CEO resigned.</t>
  </si>
  <si>
    <t>a5da700000056OaAAI</t>
  </si>
  <si>
    <t>Joint chair/CEO roles</t>
  </si>
  <si>
    <t>a5da700000056IDAAY</t>
  </si>
  <si>
    <t>Response to Coronavirus Pandemic Crisis</t>
  </si>
  <si>
    <t>Engagement on the company's preparedness and response to the coronavirus pandemic crisis.</t>
  </si>
  <si>
    <t>a5da7000000576qAAA</t>
  </si>
  <si>
    <t>Operations in the West Bank</t>
  </si>
  <si>
    <t>Engagement on human rights risk management in relation to Cemex's operations in the West Bank.</t>
  </si>
  <si>
    <t>a5da7000000571OAAQ</t>
  </si>
  <si>
    <t>Company to implement long-term science based targets.</t>
  </si>
  <si>
    <t>a5da700000057WBAAY</t>
  </si>
  <si>
    <t>Astra International Tbk PT</t>
  </si>
  <si>
    <t>Bundled director votes</t>
  </si>
  <si>
    <t>Company to refrain from putting bundled director election proposals to a vote</t>
  </si>
  <si>
    <t>Indonesia</t>
  </si>
  <si>
    <t>a5da700000056R5AAI</t>
  </si>
  <si>
    <t>Climate change risk and opportunity management – TPI</t>
  </si>
  <si>
    <t>We are concerned by the company's disclosure and management of climate-related risks and opportunities, as signalled by its score on the Transition Pathway Initiative (TPI). We expect the company to implement effective processes, targets and governance to ensure that the company’s strategy is consistent with the goals of the Paris Agreement. We encourage reporting and underlying processes to be aligned to the four pillars of the Task Force on Climate-related Financial Disclosures (TCFD).</t>
  </si>
  <si>
    <t>a5da700000057AWAAY</t>
  </si>
  <si>
    <t>Alpha Services and Holdings SA</t>
  </si>
  <si>
    <t>Sustainable Finance for Local Economy</t>
  </si>
  <si>
    <t>The bank is a key player in job creation, entrepreneurship and growth of SMEs in the Greek economy. We welcome its development of a strategic framework for lending to small businesses in 2020, as well as its broader support to the Greek retail, transport, agriculture and tourism sectors. Considering the challenges that Greece continues to face, we would like to see targets guiding the bank’s strategy in this area. We recognise that the bank is taking steps towards this, positively noting its stated intention to design a corporate responsibility programme to outline its strategy for supporting youth employment and entrepreneurship leading up to 2025. We would be interested to discuss Alpha Bank’s progress on creating this strategy, as well as its broader plans for the advancement of financial inclusion objectives, and we may set an objective to target outcomes in this area as needed.</t>
  </si>
  <si>
    <t>Greece</t>
  </si>
  <si>
    <t>a5da700000057x5AAA</t>
  </si>
  <si>
    <t>Provide Class-Leading Sustainable Finance Strategy, Targets &amp; Disclosure</t>
  </si>
  <si>
    <t>The bank is working on a robust strategy to finance key environmental, decarbonisation and social prospects in Greece. We want to see the bank publish a sustainable finance framework with relevant targeted areas of lending. Moreover, the strategy must provide targets and subsequent disclosures which are set relative to all of its lending and asset management activity, and which clearly define areas of lending and financing it will pursue. Where possible, we think this should report on measurable non-financial outcomes for clients (such as MW added to the grid, or entrepreneurs successfully financed) and case studies of major commercial customer lending arrangements. Without this, it remains difficult for investors and stakeholders to understand how much environmentally or socially-positive lending is contributing to the long-term growth and loan/asset portfolio de-risking at the bank.</t>
  </si>
  <si>
    <t>Completed in Q4 2025. We will continue to monitor its future sustainable finance disclosure.</t>
  </si>
  <si>
    <t>a5da700000058RqAAI</t>
  </si>
  <si>
    <t>Set &amp; Validate Science-Based Targets Including Portfolio Emissions (Scope 3)</t>
  </si>
  <si>
    <t>The bank is considering how to set full scopes of science-based emissions reduction targets. We want to see this come to fruition, receive validation from the Science-Based Targets initiative (SBTi), and include portfolio (financed) emissions reduction pathways.</t>
  </si>
  <si>
    <t>2024 Q4</t>
  </si>
  <si>
    <t>a5da700000055uiAAA</t>
  </si>
  <si>
    <t>Publish Key ESG Risk Policies, with Phaseouts &amp; Exclusions Defined</t>
  </si>
  <si>
    <t>The bank has sought to address environmental and social risks in lending internally. Developments in this area have contributed to a stronger risk management position going into 2021. We believe it now needs to externally publish its individual policies: for fossil fuel financing; for high-emitting sectors and value chains financing; for the shipping sector; and for high biodiversity and environmental risk in financing. For activities requiring significant decarbonisation or shifts away from hydrocarbon consumption, we believe the policies need to reflect its eventual reduction and potential end to financial exposure for these particular climate-related transition risks.</t>
  </si>
  <si>
    <t>a5da700000055uhAAA</t>
  </si>
  <si>
    <t>Environmental &amp; Social Risk Policy &amp; Integration</t>
  </si>
  <si>
    <t>The bank has been integrating an environmental and social risk management policy into its Credit Risk Management Framework since 2016. The company follows an exclusion list for high-risk activities. However, we also note that neither of these policies seems to have been publicly disclosed. We consider the integration of ESG risks into investment strategies to be crucial to meet the standards for the management of overall risk. Furthermore, we note the significant exposure to climate-related risks and challenges due to its geographic location. We will engage on integrating ESG risk management into overall strategy.</t>
  </si>
  <si>
    <t>a5da700000057qNAAQ</t>
  </si>
  <si>
    <t>Science-Based Emissions Reduction Targets in Financing</t>
  </si>
  <si>
    <t>The bank has disclosed its emissions for its corporate lending, listed equity, and mortgage portfolios. This is a significant step towards a holistic and promising decarbonisation strategy. We are encouraged by its announcement of a series of targets to increase its green lending and ESG-related assets over the next five years. We are also pleased to see progress in the quality of its ESG disclosure with its first Principles for Responsible Banking Self-Assessment Report. However, we note that the bank has not set new emissions targets since achieving Scopes 1 and 2 targets for 2020. We will engage on these matters and set an objective related to full-scope targets as needed.</t>
  </si>
  <si>
    <t>a5da700000057pvAAA</t>
  </si>
  <si>
    <t>Royal Caribbean Cruises Ltd</t>
  </si>
  <si>
    <t>ESG Strategy and target setting</t>
  </si>
  <si>
    <t>The company to update its approach to ESG target setting beyond its roster of 2020 targets covering issues such as climate change, waste management, supply chain and commodity sourcing, and impacts to natural resources, and align reporting to the TCFD framework.</t>
  </si>
  <si>
    <t>a5da700000057dMAAQ</t>
  </si>
  <si>
    <t>We have concerns about the low gender diversity of the board.</t>
  </si>
  <si>
    <t>a5da700000057oFAAQ</t>
  </si>
  <si>
    <t>Pandemic Response Protocols</t>
  </si>
  <si>
    <t>The company to establish robust return to work protocols covering staff and customers, and evidence efficacy of efforts to safely resume operations considering ongoing impacts of the Covid-19 pandemic.</t>
  </si>
  <si>
    <t>a5da700000057dFAAQ</t>
  </si>
  <si>
    <t>Hyundai Motor Co</t>
  </si>
  <si>
    <t>a5da700000057xwAAA</t>
  </si>
  <si>
    <t>NOX emissions control</t>
  </si>
  <si>
    <t>Diesel cars are producing many times more health-damaging pollutants than claimed by laboratory tests, with some emitting up to 12 times the EU maximum when tested on the road. A UK Department for Transport (DfT) study revealed that in real world testing, nitrogen oxide (NO2) emissions are significantly higher than in EU lab tests. Our objective is to enhance the NO2 emissions control process with the aim of reducing emissions and achieving a more accurate measurement record in real world tests.</t>
  </si>
  <si>
    <t>30/12/25</t>
  </si>
  <si>
    <t>a5da700000055XcAAI</t>
  </si>
  <si>
    <t>Bribery and Corruption</t>
  </si>
  <si>
    <t>a5da700000056W4AAI</t>
  </si>
  <si>
    <t>Environmental Policy</t>
  </si>
  <si>
    <t>a5da700000056W3AAI</t>
  </si>
  <si>
    <t>Financial statements at AGM</t>
  </si>
  <si>
    <t>Company asks shareholders to approve unaudited financial statements at AGM</t>
  </si>
  <si>
    <t>a5da700000056CNAAY</t>
  </si>
  <si>
    <t>Corporate structure</t>
  </si>
  <si>
    <t>Encourage simplification of the corporate and group structure</t>
  </si>
  <si>
    <t>a5da700000056g1AAA</t>
  </si>
  <si>
    <t>Transparency and shareholder communications</t>
  </si>
  <si>
    <t>Lack of transparency and shareholder communications</t>
  </si>
  <si>
    <t>a5da700000056g0AAA</t>
  </si>
  <si>
    <t>Overall risk management practice in ESG including the publication of the CSR report and other relevant activities</t>
  </si>
  <si>
    <t>a5da700000056NnAAI</t>
  </si>
  <si>
    <t>Sustainable leather for luxury cars</t>
  </si>
  <si>
    <t>The company has been implicated in the deforestation issue in Paraguy as it sources leather from a supplier that has contributed to deforestation in the region. The company should implement a new code for suppliers with environmental and traceability provisions.</t>
  </si>
  <si>
    <t>a5da7000000573hAAA</t>
  </si>
  <si>
    <t>Family influence and succession</t>
  </si>
  <si>
    <t>Encourage measures that protect the interests of minority shareholders and help to ensure that the company is lead by the most capable managers</t>
  </si>
  <si>
    <t>a5da700000057DRAAY</t>
  </si>
  <si>
    <t>Commit to renewable energy sourcing or RE100</t>
  </si>
  <si>
    <t>Commitment to renewable energy sourcing across its global operations.</t>
  </si>
  <si>
    <t>a5da7000000572JAAQ</t>
  </si>
  <si>
    <t>Alleged water theft and illegal sewage dumping</t>
  </si>
  <si>
    <t>Hyundai Motor has been reported to have been involved in a water theft and illegal sewage dumping case in Baja California, Mexico. If it is involved, it should provide explanation and comment on the actions being taken to minimise such incidents in the future.</t>
  </si>
  <si>
    <t>a5da7000000571BAAQ</t>
  </si>
  <si>
    <t>Unipol Assicurazioni SPA</t>
  </si>
  <si>
    <t>Corporate governance principles</t>
  </si>
  <si>
    <t>2021 Corporate Governance Principles</t>
  </si>
  <si>
    <t>Italy</t>
  </si>
  <si>
    <t>a5da700000057wnAAA</t>
  </si>
  <si>
    <t>Responsible investment</t>
  </si>
  <si>
    <t>The company has a green bond framework where an amount equivalent to the proceeds is invested in eligible assets with defined criteria. The framework is used to guide thematic investments.</t>
  </si>
  <si>
    <t>a5da7000000575QAAQ</t>
  </si>
  <si>
    <t>Products with environmental and social benefits</t>
  </si>
  <si>
    <t xml:space="preserve">It estimates that 25% of revenues are from products with an environmental and social benefit and has a target to increase it to 30%  This is across four categories o Response to the needs of underinsured people/businesses  o Responses deriving from socio-demographic changes o Mitigation of climate change o Adaptation to climate change</t>
  </si>
  <si>
    <t>a5da7000000575NAAQ</t>
  </si>
  <si>
    <t>It has launched a specific project (atmospheric events) aimed at equipping the group with tools to develop climate change products and adjusted the reinsurance strategy to take account of the emerging risk like climate change (partly via a reinsurance tool - Atmos Re I – a natcat bond).</t>
  </si>
  <si>
    <t>a5da7000000575MAAQ</t>
  </si>
  <si>
    <t>The remuneration policy allows a substantial discretionary loyalty bonus to be paid, the severance arrangement is for three times salary and the company does not disclose the performance targets used to determine variable pay.</t>
  </si>
  <si>
    <t>a5da700000057IsAAI</t>
  </si>
  <si>
    <t>2021 Corporate Governance Principles.</t>
  </si>
  <si>
    <t>a5da7000000575uAAA</t>
  </si>
  <si>
    <t>Japan Tobacco Inc</t>
  </si>
  <si>
    <t>Seek a sound and well-explained growth strategy with clear targets to be set out and implemented.</t>
  </si>
  <si>
    <t>a5da700000056dnAAA</t>
  </si>
  <si>
    <t>Tobacco production is considered water intensive.</t>
  </si>
  <si>
    <t>a5da700000056bbAAA</t>
  </si>
  <si>
    <t>The stock option scheme does not appear to have any performance hurdle or a minimum length of period before the recipients are allowed to exercise the options.</t>
  </si>
  <si>
    <t>a5da700000056rOAAQ</t>
  </si>
  <si>
    <t>a5da700000056rKAAQ</t>
  </si>
  <si>
    <t>Fortescue Ltd</t>
  </si>
  <si>
    <t>a5da700000057OkAAI</t>
  </si>
  <si>
    <t>Regnan engagement activity on succession planning</t>
  </si>
  <si>
    <t>a5da700000056JTAAY</t>
  </si>
  <si>
    <t>Regnan Engagement Activity on indigenous relations</t>
  </si>
  <si>
    <t>a5da700000056JEAAY</t>
  </si>
  <si>
    <t>Regnan engagement activity on Other G – Independence and effective functioning</t>
  </si>
  <si>
    <t>a5da700000056DGAAY</t>
  </si>
  <si>
    <t>Regnan engagement activity on Remuneration</t>
  </si>
  <si>
    <t>a5da700000056J7AAI</t>
  </si>
  <si>
    <t>Regnan engagement activity on Workplace Health &amp; Safety</t>
  </si>
  <si>
    <t>a5da700000056J6AAI</t>
  </si>
  <si>
    <t>Regnan engagement activity on Board Structure</t>
  </si>
  <si>
    <t>a5da700000056DFAAY</t>
  </si>
  <si>
    <t>a5da700000056IZAAY</t>
  </si>
  <si>
    <t>Regnan engagement activity on ESG Disclosure</t>
  </si>
  <si>
    <t>a5da700000056J5AAI</t>
  </si>
  <si>
    <t>Regnan engagement activity on Licence to operate</t>
  </si>
  <si>
    <t>a5da700000056DHAAY</t>
  </si>
  <si>
    <t>Taiwan Semiconductor Manufacturing Co Ltd</t>
  </si>
  <si>
    <t>The company should consider a review of its board composition, giving consideration to independence and diversity in particular due to the fact that the audit committee chair is considered to be independent by the company, but has a tenure of over 19 years, and that there is only one woman on the board, not 20%.</t>
  </si>
  <si>
    <t>Taiwan</t>
  </si>
  <si>
    <t>a5da700000057PfAAI</t>
  </si>
  <si>
    <t>Semiconductor manufacturing is extremely water intensive and water usage continues to increase year-on-year, as semiconductor manufacturing volumes increase. The company has various initiatives in pace to reduce water consumption and it aims for more than 60% replacement of water resources with reclaimed water by 2030. However, progress appears to have been slow (expecting only 5% for 2023 versus 2010 base year).</t>
  </si>
  <si>
    <t>a5da700000057PVAAY</t>
  </si>
  <si>
    <t>The company should have a single and simple variable pay scheme that supports long-term sustainable value creation.</t>
  </si>
  <si>
    <t>a5da700000056zKAAQ</t>
  </si>
  <si>
    <t>Climate Change Policy</t>
  </si>
  <si>
    <t>The company is a leader in environmental performance disclosure, as indicated by its track record of CDP score and response to climate change including efforts in mitigation and adaptation. We aim to provide further support in its climate change management efforts as a regional and global leader in this space</t>
  </si>
  <si>
    <t>a5da700000057lQAAQ</t>
  </si>
  <si>
    <t>Energy efficient products</t>
  </si>
  <si>
    <t>Increasing energy hungry electronics products require energy efficient components</t>
  </si>
  <si>
    <t>a5da700000056OPAAY</t>
  </si>
  <si>
    <t>Board dynamics</t>
  </si>
  <si>
    <t>Company and board culture and shareholder communications</t>
  </si>
  <si>
    <t>a5da700000056QKAAY</t>
  </si>
  <si>
    <t>The founder of the company has appointed two co-CEOs after steps down from the position.We want to get clarification on succession planning.</t>
  </si>
  <si>
    <t>a5da700000056QJAAY</t>
  </si>
  <si>
    <t>Information security</t>
  </si>
  <si>
    <t>The company has warned of a $255 mln hit to revenue and delays to shipments after its factories were struck by a computer virus on 3 August 2018. We are engaging with the company to understand the actions taken to improve information security and measures to ensure data integrity.</t>
  </si>
  <si>
    <t>a5da700000056a0AAA</t>
  </si>
  <si>
    <t>The APG-led investor group, of which we are a member, has included Taiwan Semiconductor Manufacturing in its cobalt supply chain engagement programme. We have reached out to the company to understand its responsiblity in sourcing minerals in the supply chain.</t>
  </si>
  <si>
    <t>a5da700000056a2AAA</t>
  </si>
  <si>
    <t>100% recycled water management</t>
  </si>
  <si>
    <t>The foundry and fabrication business is highly water-intensive. TSMC is already an ESG leader in the space, but we continue to encourage the company to improve its water management efficiency.</t>
  </si>
  <si>
    <t>a5da700000057lPAAQ</t>
  </si>
  <si>
    <t>Tata Steel Ltd</t>
  </si>
  <si>
    <t>Environmental issuse</t>
  </si>
  <si>
    <t>Land acquisiton</t>
  </si>
  <si>
    <t>India</t>
  </si>
  <si>
    <t>a5da700000056tqAAA</t>
  </si>
  <si>
    <t>Worker health and safety</t>
  </si>
  <si>
    <t>a5da700000056tpAAA</t>
  </si>
  <si>
    <t>Hon Hai Precision Industry Co Ltd</t>
  </si>
  <si>
    <t>Forced labour in China</t>
  </si>
  <si>
    <t>Issue created because of a reports of forced relocation and labour of Uighur people in eastern China. We engage the company on developing its supply chain human rights programme to be fit for purpose in terms of identifying forced labour and devise solutions.</t>
  </si>
  <si>
    <t>05/12/25</t>
  </si>
  <si>
    <t>a5da700000057NWAAY</t>
  </si>
  <si>
    <t>Lead independent board director</t>
  </si>
  <si>
    <t>The company's founder Terry Guo resigned as chair and CEO in 2019 and a steering committee has been put in place as the main decision-making body. We do, however, believe that a lead independent director would serve to balance the influence of the former chair/CEO who remains on the board.</t>
  </si>
  <si>
    <t>a5da700000055fcAAA</t>
  </si>
  <si>
    <t>ASML Holding NV</t>
  </si>
  <si>
    <t>The company published its first integrated report, combining its financial performance and performance in the area of corporate responsibility. Two versions of the integrated report have been published: one version containing financials based on US GAAP and one version containing financial statements based on IFRS-EU. We offered to critique its next integrated report, to be published in the first quarter of 2019.</t>
  </si>
  <si>
    <t>a5da700000056cxAAA</t>
  </si>
  <si>
    <t>Low effective corporate tax rate</t>
  </si>
  <si>
    <t>The company's estimated annualised effective corporate tax rate is 7% in 2019, significantly lower than 25% corporate tax rate in the Netherlands. The company is using the Dutch ‘Innovation Box’ (qualifying innovative profits are taxed at 5% instead of the regular 25% corporate income tax).</t>
  </si>
  <si>
    <t>a5da700000056pBAAQ</t>
  </si>
  <si>
    <t>Executive Remuneration - Vesting of Awards</t>
  </si>
  <si>
    <t>The company proposed to make changes in the long-term incentive plan, including the introduction of Total Shareholder Return (TSR) as a performance metric, weighted at 30%. However, the plan would allow for pay-out for performance that lies up to 20% below the chosen index.</t>
  </si>
  <si>
    <t>a5da700000057axAAA</t>
  </si>
  <si>
    <t>There is low gender diversity at leadership level and management board level. The company needs to invest in female talent development initiatives throughout its operations.</t>
  </si>
  <si>
    <t>a5da700000057avAAA</t>
  </si>
  <si>
    <t>POSCO Holdings Inc</t>
  </si>
  <si>
    <t>The company to apply effective risk management measures and oversight especially of its overseas operations.</t>
  </si>
  <si>
    <t>a5da700000057YOAAY</t>
  </si>
  <si>
    <t>a5da700000056oUAAQ</t>
  </si>
  <si>
    <t>CEO succession</t>
  </si>
  <si>
    <t>The company highlighted its search for a new CEO in 2024 and shared its selection criterion which includes industry skills, ethical values, and ESG expertise. The search committee is comprised only of independent directors with support from a third party firm.</t>
  </si>
  <si>
    <t>a5da700000056ZvAAI</t>
  </si>
  <si>
    <t>Shareholder rights</t>
  </si>
  <si>
    <t>The company to strengthen shareholder rights in line with the expectations in our Corporate Governance Principles.</t>
  </si>
  <si>
    <t>a5da700000056QOAAY</t>
  </si>
  <si>
    <t>The company has a long standing history of bribery and corruption scandal</t>
  </si>
  <si>
    <t>a5da700000056QXAAY</t>
  </si>
  <si>
    <t>In 2017, a conversation with the CSR team suggested that top management has not recognised the severity of human rights issues in POSCO Daewoo's business, and there is little evidence that the group provides support to its subsidiaries. In 2024, we asked about the recent scandal, in which the CEO and several directors face public scrutiny and police investigations for alleged lavish spending on extravagant board meetings. The company assured us that these incidents are not reflective of corporate culture issues. Regardless, we encouraged the board to consider issuing a response to the scandal.</t>
  </si>
  <si>
    <t>a5da700000056SHAAY</t>
  </si>
  <si>
    <t>The company to fulfill its role in the transition to net zero by 2050.</t>
  </si>
  <si>
    <t>a5da7000000582eAAA</t>
  </si>
  <si>
    <t>Audit</t>
  </si>
  <si>
    <t>The company to align with the audit quality expectations in our Corporate Governance Principles.</t>
  </si>
  <si>
    <t>a5da700000056CPAAY</t>
  </si>
  <si>
    <t>Indigenous and community rights</t>
  </si>
  <si>
    <t>The company to obtain and maintain the social license to operate from impacted communities as well as free, prior and informed consent from indigenous peoples.</t>
  </si>
  <si>
    <t>09/12/25</t>
  </si>
  <si>
    <t>a5da700000056SGAAY</t>
  </si>
  <si>
    <t>We have been discussing gender diversity on the board of POSCO since August 2018 during a call with the investor relations team. The company demonstrated a good understanding of our concerns about a lack of gender diversity on the board, as well as relevant skill sets among independent directors. However, it failed to commit to improvements in the near future, citing the difficulty in finding eligible female director candidates either internally or externally. In 2024, we recommended opposing an outside director as the company still has only one female director. We acknowledge that the company plans to appoint more women by 2025.</t>
  </si>
  <si>
    <t>a5da7000000582aAAA</t>
  </si>
  <si>
    <t>The company to properly manage human right risks related to its subsidiary businesses in Myanmar as the group faces allegations from non-governmental organisations of financing the military junta in the country.</t>
  </si>
  <si>
    <t>a5da700000057vXAAQ</t>
  </si>
  <si>
    <t>The company to demonstrate sufficient board independence in line with our Corporate Governance Principles.</t>
  </si>
  <si>
    <t>a5da7000000582gAAA</t>
  </si>
  <si>
    <t>HDFC Bank Ltd</t>
  </si>
  <si>
    <t>Auditor concerns</t>
  </si>
  <si>
    <t>The proposed auditor, MSKA &amp; Associates, has been mentioned in several negative press reports. The issues raised include tax evasion by the firm and knowledge of a corporate governance failure at a firm audited by the company, as highlighted by a whistleblower. We seek to understand how much due diligence the bank has conducted on its proposed auditor.</t>
  </si>
  <si>
    <t>a5da700000056l4AAA</t>
  </si>
  <si>
    <t>We are interested in understanding how the board assesses potential conflicts of interest when appointing new directors to the board. If a director holds a role at a related company, such as one that is a client of the bank, the director's independence may be compromised. There is no imminent concern, but we will monitor this issue.</t>
  </si>
  <si>
    <t>a5da7000000571aAAA</t>
  </si>
  <si>
    <t>Board gender diversity</t>
  </si>
  <si>
    <t>Our current policy in India is to have at least 20% female directors on the board. In 2021 the company appointed a second female director to the board to bring board gender diversity up to 18%. We recognised the progress by supporting a nomination committee member in favour by exception at the 2021 AGM, but expect to see further improvements to board diversity in the coming years.</t>
  </si>
  <si>
    <t>a5da700000057SiAAI</t>
  </si>
  <si>
    <t>Anti-corruption &amp; bribery</t>
  </si>
  <si>
    <t>Spoke to the company to clarify the company's anti-bribery and corruption management. Encourage the company to ensure the implementation of effective policies are in place.</t>
  </si>
  <si>
    <t>a5da7000000567ZAAQ</t>
  </si>
  <si>
    <t>Money laundering</t>
  </si>
  <si>
    <t>In October 2015, investigative agencies in India have traced the Rs 6,000-crore money laundering scam involving Bank of Baroda (BoB) to 11 accounts of HDFC Bank.We approached the company, which is part of the HDFC Group, to discuss its current anti-money laundering practices</t>
  </si>
  <si>
    <t>a5da700000056NgAAI</t>
  </si>
  <si>
    <t>Computershare Ltd</t>
  </si>
  <si>
    <t>a5da700000057OBAAY</t>
  </si>
  <si>
    <t>Petroleo Brasileiro SA - Petrobras</t>
  </si>
  <si>
    <t>Elect independent minority shareholder representatives to the board</t>
  </si>
  <si>
    <t>Adequate independent minority shareholder representatives on the board</t>
  </si>
  <si>
    <t>Brazil</t>
  </si>
  <si>
    <t>23/10/25</t>
  </si>
  <si>
    <t>a5da700000057vjAAA</t>
  </si>
  <si>
    <t>Environmental Strategy</t>
  </si>
  <si>
    <t>a5da700000056M6AAI</t>
  </si>
  <si>
    <t>Business Plan - Sources and Uses</t>
  </si>
  <si>
    <t xml:space="preserve">Petrobras is facing a challenging environment, as it has limited access to debt capital markets and bank credit to fund its capital expenditure programme.  In successive revisions of its business plan, Petrobras has cut capex and increased divestments as a major source of funds.  So far, Petrobras has had little success in its divestment programme.</t>
  </si>
  <si>
    <t>a5da700000056ObAAI</t>
  </si>
  <si>
    <t>Board Succession</t>
  </si>
  <si>
    <t>We engage with the company on the implementation of a structured process of board succession, particularly following general elections and the inauguration of a new federal administration.</t>
  </si>
  <si>
    <t>a5da700000057vnAAA</t>
  </si>
  <si>
    <t>Credicorp Ltd</t>
  </si>
  <si>
    <t>Contributions to Political Campaigns</t>
  </si>
  <si>
    <t>Credicorp is under investigation by the market regulator for not disclosing financial contributions to political campaigns in 2011 and 2016.</t>
  </si>
  <si>
    <t>Peru</t>
  </si>
  <si>
    <t>a5da700000057IJAAY</t>
  </si>
  <si>
    <t>Microfinance distribution channels</t>
  </si>
  <si>
    <t>Engagement on the use of digital and conventional channels in the expansion of the microfinance offer.</t>
  </si>
  <si>
    <t>a5da700000057bCAAQ</t>
  </si>
  <si>
    <t>Board composition and succession</t>
  </si>
  <si>
    <t>Engagement on the implementation of a structured process of board succession led by the nomination committee.</t>
  </si>
  <si>
    <t>a5da7000000573oAAA</t>
  </si>
  <si>
    <t>Governance of Subsidiaries</t>
  </si>
  <si>
    <t>As Credicorp chair and controlling shareholder decided to step down from the board at the 2020 AGM, but remain as chair of the subsidiaries BCP and Pacifico, we engage on the governance of the subsidiaries and the dynamics of the relationship between the boards of the holding company and the boards of the subsidiaries.</t>
  </si>
  <si>
    <t>a5da7000000573nAAA</t>
  </si>
  <si>
    <t>AP Moller - Maersk A/S</t>
  </si>
  <si>
    <t>Dual Class Share Structure</t>
  </si>
  <si>
    <t>a5da700000056APAAY</t>
  </si>
  <si>
    <t>Base of the Pyramid</t>
  </si>
  <si>
    <t>a5da70000005656AAA</t>
  </si>
  <si>
    <t>Whistleblower Mechanism - Corporate Culture</t>
  </si>
  <si>
    <t>a5da70000005655AAA</t>
  </si>
  <si>
    <t>Shareholder communications</t>
  </si>
  <si>
    <t>a5da700000056EoAAI</t>
  </si>
  <si>
    <t>Risk Management - Corporate Restructuring</t>
  </si>
  <si>
    <t>In 2017-2018 the company will undergo a major corporate restructuring by divesting or spinning off its energy business and focussing entirely on shipping and logistics. We are concerned about the risks that arise in the transition process and how they are managed.</t>
  </si>
  <si>
    <t>a5da700000056W7AAI</t>
  </si>
  <si>
    <t>a5da7000000567XAAQ</t>
  </si>
  <si>
    <t>Lessons learned from cyber attack that cost $200 million andrevision of the company's cyber security structure</t>
  </si>
  <si>
    <t>a5da700000056W6AAI</t>
  </si>
  <si>
    <t>In line with local practice, the company provides limited disclosure about the metrics used to determine annual bonus. it also employee two long-term incentive plans, an option plan and a restricted stock unit plan and allows the awarding of discretionary bonuses.</t>
  </si>
  <si>
    <t>a5da7000000581vAAA</t>
  </si>
  <si>
    <t>Net-zero carbon emissions by 2050</t>
  </si>
  <si>
    <t>The company has set its ambition to have net-zero carbon emissions by 2050.</t>
  </si>
  <si>
    <t>a5da700000057w2AAA</t>
  </si>
  <si>
    <t>Assessment of industry association alignment on climate change</t>
  </si>
  <si>
    <t>Our objective is for the company to conduct an assessment of the policy positions and associated activities (including lobbying) of any industry associations of which it is a member regarding climate change. Key findings should be published, including discussion of what actions the company is taking where there are conflicts with the company's position on climate change.</t>
  </si>
  <si>
    <t>a5da700000055niAAA</t>
  </si>
  <si>
    <t>a5da7000000578KAAQ</t>
  </si>
  <si>
    <t>Human capital management including sea farers</t>
  </si>
  <si>
    <t>The pandemic has had an unprecedented negative impact on sea farers.</t>
  </si>
  <si>
    <t>a5da700000057UqAAI</t>
  </si>
  <si>
    <t>Response to the coronavirus that enables long-term business success and considerate management of stakeholders.</t>
  </si>
  <si>
    <t>a5da7000000578EAAQ</t>
  </si>
  <si>
    <t>Human rights violations in Myanmar</t>
  </si>
  <si>
    <t>The company is linked to negative human rights impacts through its operations in Myanmar.</t>
  </si>
  <si>
    <t>a5da7000000578GAAQ</t>
  </si>
  <si>
    <t>WEG SA</t>
  </si>
  <si>
    <t>There are currently no women on the board, compared to our minimum expectations of 20% female directors in Brazil for 2021.</t>
  </si>
  <si>
    <t>a5da700000057p3AAA</t>
  </si>
  <si>
    <t>Due diligence on the use of forced labour in Xinjiang region</t>
  </si>
  <si>
    <t>Engagement on due diligence carried out by WEG to determine if there is an adverse impact?related to forced labour in or from the Xinjiang Uighur region in the company’s solar panel supply chain.</t>
  </si>
  <si>
    <t>a5da700000057phAAA</t>
  </si>
  <si>
    <t>Bank Rakyat Indonesia Persero Tbk PT</t>
  </si>
  <si>
    <t>Sustainable Finance and TCFD</t>
  </si>
  <si>
    <t>The bank has an opportunity to shape sustainable finance in Indonesia beginning with its sustainable finance plan (to be issued in 2019) and by managing its climate change risks and opportunities using the TCFD framework.</t>
  </si>
  <si>
    <t>a5da700000057TEAAY</t>
  </si>
  <si>
    <t>Challenges in micro/small scale banking</t>
  </si>
  <si>
    <t>a5da700000056q2AAA</t>
  </si>
  <si>
    <t>Private placement</t>
  </si>
  <si>
    <t>The company is proposing to give the board the authority to approve placement of 20-50% equity without referring to shareholders.</t>
  </si>
  <si>
    <t>a5da700000056QaAAI</t>
  </si>
  <si>
    <t>Bonus payments to non-executives as performance-based rewards</t>
  </si>
  <si>
    <t>a5da700000056FdAAI</t>
  </si>
  <si>
    <t>Social Impact of Microfinance</t>
  </si>
  <si>
    <t>BRI measures the social impact of its microfinance model using regularly updated KPIs. Microfinance is a core strategy. There are 279,000 agents and the company aims to increase the number to 500,000 in three years by 2021. There are nine million potential customers with no existing accounts. They give the trusted and vetted agents their cash savings, which are deposited into the accounts of the agents. As the loan-to-deposit ratio reduces, banks seek funding from micro-savings sources. We aim to understand how the company measures the social impacts of its microfinance model.</t>
  </si>
  <si>
    <t>a5da700000055qSAAQ</t>
  </si>
  <si>
    <t>Disclosure on AGM items</t>
  </si>
  <si>
    <t>Lack of disclosure of director candidates for 2015 AGM due to the company being a state owned enterprise, lack of English language information in relation to the amendment of the articles of association.</t>
  </si>
  <si>
    <t>a5da700000057XYAAY</t>
  </si>
  <si>
    <t>Infosys Ltd</t>
  </si>
  <si>
    <t>Infosys Technologies Ltd-Governance-Board Structure</t>
  </si>
  <si>
    <t>Test board dynamics</t>
  </si>
  <si>
    <t>a5da700000056EKAAY</t>
  </si>
  <si>
    <t>The company is included in a UN list of companies with connections to military-owned businesses MEC and MEHL. Edge Verve Systems, an Infosys subsidiary, has an agreement with Mywaddy Bank in Myanmar, owned by MEHL. It is unclear if there are any local employees. Since the military coup in Myanmar in February 2021, the US and UK has placed sanctions on these companies.</t>
  </si>
  <si>
    <t>a5da700000057UbAAI</t>
  </si>
  <si>
    <t>Merck KGaA</t>
  </si>
  <si>
    <t>The company should clearly articulate how it is reducing its climate impact given the risks of climate change to human health.</t>
  </si>
  <si>
    <t>a5da70000005787AAA</t>
  </si>
  <si>
    <t>Executive remuneration policy</t>
  </si>
  <si>
    <t>Monitor the company's transparency regarding the long-term incentive plan and corresponding targets</t>
  </si>
  <si>
    <t>a5da700000057aJAAQ</t>
  </si>
  <si>
    <t>Belimo Holding AG</t>
  </si>
  <si>
    <t>Gender diversity on the board</t>
  </si>
  <si>
    <t>The company only has 20% women on the board, we expect at least 30%.</t>
  </si>
  <si>
    <t>a5da7000000579GAAQ</t>
  </si>
  <si>
    <t>adidas AG</t>
  </si>
  <si>
    <t>Zero Hazardous Chemicals</t>
  </si>
  <si>
    <t>Our objective is for the company to map out areas that use hazardous chemicals and to set clear targets for hazardous chemical management (input and output).</t>
  </si>
  <si>
    <t>a5da700000058UnAAI</t>
  </si>
  <si>
    <t>a5da7000000582tAAA</t>
  </si>
  <si>
    <t>The company should improve its reporting on human capital and reply to the Workforce Disclosure Initiative survey.</t>
  </si>
  <si>
    <t>a5da7000000582rAAA</t>
  </si>
  <si>
    <t>Our objective is for the company to identify, assess, measure and disclose the company's impacts and dependencies on biodiversity, including the associated risks and opportunities.</t>
  </si>
  <si>
    <t>07/11/25</t>
  </si>
  <si>
    <t>The report should help provide investors with more clarity on the action being taken by the company to manage its impacts and dependencies on nature and in turn help to build long-term financial resilience of the company, including contributing towards protecting and enhancing its profitability and long-term growth prospects. We will continue to en</t>
  </si>
  <si>
    <t>a5da700000058UmAAI</t>
  </si>
  <si>
    <t>Urge for shareholders' advisory vote on remuneration at the 2010 AGM</t>
  </si>
  <si>
    <t>a5da700000055xBAAQ</t>
  </si>
  <si>
    <t>a5da7000000582qAAA</t>
  </si>
  <si>
    <t>Water stress in cotton supply chain</t>
  </si>
  <si>
    <t>Improve supply chain engagement on water stress and in relation to the Business Continuity Institute.</t>
  </si>
  <si>
    <t>a5da700000057cVAAQ</t>
  </si>
  <si>
    <t>In light of the European Union's statutory audit legislation we are increasing the focus on excessively long auditor tenures. In the case of adidas, KPMG has been the appointed auditor since 1995.</t>
  </si>
  <si>
    <t>a5da700000057uwAAA</t>
  </si>
  <si>
    <t>Executive remuneration policy in line with our remuneration principles and expectations</t>
  </si>
  <si>
    <t>a5da700000057LsAAI</t>
  </si>
  <si>
    <t>Circular Innovation</t>
  </si>
  <si>
    <t>Encourage Adidas to be a leader in developing circular economy approaches to apparel.</t>
  </si>
  <si>
    <t>a5da7000000582sAAA</t>
  </si>
  <si>
    <t>Labour practices in supply chain</t>
  </si>
  <si>
    <t>Labour practices in supply chain.</t>
  </si>
  <si>
    <t>a5da700000057UDAAY</t>
  </si>
  <si>
    <t>coronavirus repsonse</t>
  </si>
  <si>
    <t>The coronavirus response of the company should take into account stakeholders and long-term sustainability.</t>
  </si>
  <si>
    <t>a5da7000000579FAAQ</t>
  </si>
  <si>
    <t>Fast Retailing Co Ltd</t>
  </si>
  <si>
    <t>Plastic use</t>
  </si>
  <si>
    <t>The company announced its policy to reduce the amount of plastic used.</t>
  </si>
  <si>
    <t>a5da700000056myAAA</t>
  </si>
  <si>
    <t>Labour conditions at its manufacturers' sites</t>
  </si>
  <si>
    <t>An NGO has reported that there are long working hours at Chinese factories supplying the company.</t>
  </si>
  <si>
    <t>a5da7000000581JAAQ</t>
  </si>
  <si>
    <t>Supply chain labour management</t>
  </si>
  <si>
    <t>NGOs have highlighted the over-working of employees at a supplier's factory in China.</t>
  </si>
  <si>
    <t>a5da7000000581MAAQ</t>
  </si>
  <si>
    <t>The tenure of one of the auditors is 12 years.</t>
  </si>
  <si>
    <t>25/12/25</t>
  </si>
  <si>
    <t>a5da7000000581LAAQ</t>
  </si>
  <si>
    <t>Committing to 100% Renewable Electricity for Global Operations (RE100)</t>
  </si>
  <si>
    <t>Fast Retailing produces various types of clothing by working with textile and garment factories. In Japan, it has tried to use solar panels in some retail shops and has adopted LED lights in more than 90% of its Uniqlo shops. Some shops have won "industry pioneer" awards due to their innovative environmental-friendly buildings and land use. As production occurs mainly in emerging markets, the company does not consume much electricity in Japan. Therefore, we encourage it to make greater efforts to use renewable energy at its production sites by committing to RE100.</t>
  </si>
  <si>
    <t>a5da700000055lkAAA</t>
  </si>
  <si>
    <t>Improving the board structure and clarifying successor plan</t>
  </si>
  <si>
    <t>Management practices of Fast Retailing appears to be overwhelmingly influenced by the 71-year-old CEO for a very long time. The number of external board members is five (out of nine) but many of them remain in the position for a long time. Two executive members are the sons of the CEO. The company has not announced clear successor plan. While the ratio of external board members exceeds 50% and the appointment committee is dominated by external members (three out of five), the board does not appear to exercise monitoring functions adequately. The investor relations division acknowledged those issues (often raised by investors) and convey those concerns to the CEO, but the company has not made any reforms on the board structure and improvement on successor plan.</t>
  </si>
  <si>
    <t>a5da700000055m6AAA</t>
  </si>
  <si>
    <t>Novartis AG</t>
  </si>
  <si>
    <t>Opioids</t>
  </si>
  <si>
    <t>We are engaging on the company response to the opioid epidemic.</t>
  </si>
  <si>
    <t>a5da700000057RpAAI</t>
  </si>
  <si>
    <t>a5da7000000580vAAA</t>
  </si>
  <si>
    <t>a5da700000057WwAAI</t>
  </si>
  <si>
    <t>The audit firm has been in place since at least 1940. Our view is that simply rotating the audit partners is insufficient, and only by rotating the audit firm at regular intervals will audit quality be protected.</t>
  </si>
  <si>
    <t>a5da7000000576yAAA</t>
  </si>
  <si>
    <t>Antimicrobial resistance (AMR) is among the world’s most pressing public health challenges and Novartis has the second largest antimicrobial portfolio. It should therefore actively contribute to global efforts to fight AMR.</t>
  </si>
  <si>
    <t>a5da700000057tOAAQ</t>
  </si>
  <si>
    <t>Pricing</t>
  </si>
  <si>
    <t>Pricing in light of the scandals around price hikes in the US and strategic management of price pressure in developed market</t>
  </si>
  <si>
    <t>a5da700000057lyAAA</t>
  </si>
  <si>
    <t>Ensuring an active and intelligent approach to the access to medicines issue appropriate to the nature of the business.</t>
  </si>
  <si>
    <t>2007 Q1</t>
  </si>
  <si>
    <t>a5da700000057lwAAA</t>
  </si>
  <si>
    <t>Gender diversity on Board</t>
  </si>
  <si>
    <t>The company increases gender representation on its board.</t>
  </si>
  <si>
    <t>a5da700000057ztAAA</t>
  </si>
  <si>
    <t>Conduct and Culture</t>
  </si>
  <si>
    <t>The Novartis board and executives are working to set the right culture. We expect that these efforts will be evidenced by business behaviours.</t>
  </si>
  <si>
    <t>20/11/25</t>
  </si>
  <si>
    <t>a5da70000005761AAA</t>
  </si>
  <si>
    <t>Equinor ASA</t>
  </si>
  <si>
    <t>This is a legacy issue that is being made dormant.</t>
  </si>
  <si>
    <t>Norway</t>
  </si>
  <si>
    <t>a5da700000057ngAAA</t>
  </si>
  <si>
    <t>2006 Q1</t>
  </si>
  <si>
    <t>a5da700000056Y0AAI</t>
  </si>
  <si>
    <t>2007 Q4</t>
  </si>
  <si>
    <t>a5da700000055wuAAA</t>
  </si>
  <si>
    <t>a5da700000055xTAAQ</t>
  </si>
  <si>
    <t>Assessment of carbon asset risk</t>
  </si>
  <si>
    <t>a5da700000057FmAAI</t>
  </si>
  <si>
    <t>Disclosure of the company’s asset portfolio resilience to the International Energy Agency’s low-carbon (2°C) scenarios</t>
  </si>
  <si>
    <t>a5da700000057naAAA</t>
  </si>
  <si>
    <t>Orsted AS</t>
  </si>
  <si>
    <t>Considering the transformation from an oil and gas to a renewables energy company, the board skills and experience must be aligned with the new strategy.</t>
  </si>
  <si>
    <t>a5da700000056VvAAI</t>
  </si>
  <si>
    <t>Non-audit fees</t>
  </si>
  <si>
    <t>The company uses the auditor to provide non-audit services. We are concerned about the excessive payment of non-audit fees (exceeding 50% of the audit fees) as this may compromise the auditor's independence.</t>
  </si>
  <si>
    <t>a5da700000056dkAAA</t>
  </si>
  <si>
    <t>Dilution</t>
  </si>
  <si>
    <t>Insufficient control of the reissuance of shares in treasury.</t>
  </si>
  <si>
    <t>a5da7000000576zAAA</t>
  </si>
  <si>
    <t>Human capital</t>
  </si>
  <si>
    <t>Best human capital strategy for business.</t>
  </si>
  <si>
    <t>a5da7000000579NAAQ</t>
  </si>
  <si>
    <t>Social Licence to Operate in New Markets</t>
  </si>
  <si>
    <t>As DONG starts developing projects outside Europe, in the USA (Massachusetts) and Taiwan, we are concerned about its preparedness to engage with the local communities in order to secure the social licence to operate.</t>
  </si>
  <si>
    <t>a5da700000057PCAAY</t>
  </si>
  <si>
    <t>Contractor Labour Safety Performance</t>
  </si>
  <si>
    <t>There is gap between DONG's employees and contractors in terms of labour safety. We pressed DONG to help improve the performance among its contractors.</t>
  </si>
  <si>
    <t>a5da700000057YkAAI</t>
  </si>
  <si>
    <t>Energy transition</t>
  </si>
  <si>
    <t>Orsted is transitioning its portfolio to focus on decarbonisation</t>
  </si>
  <si>
    <t>a5da700000056mAAAQ</t>
  </si>
  <si>
    <t>RSR as the sole metric in the long-term incentive plan.</t>
  </si>
  <si>
    <t>a5da7000000579aAAA</t>
  </si>
  <si>
    <t>Human rights impact assessment and necessary follow up.</t>
  </si>
  <si>
    <t>a5da7000000579SAAQ</t>
  </si>
  <si>
    <t>Banco BTG Pactual SA</t>
  </si>
  <si>
    <t>TCFD-Aligned Reporting</t>
  </si>
  <si>
    <t>The bank should provide TCFD-aligned reporting, whether through an integrated ESG report or through a separate climate disclosure. This needs to include an assessment of climate-related risks and opportunities within its lending and asset portfolio, given the bank's potential exposure to these issues in Brazil and Latin America.</t>
  </si>
  <si>
    <t>a5da7000000571zAAA</t>
  </si>
  <si>
    <t>Poor Board Diversity Performance</t>
  </si>
  <si>
    <t>As of 2020, no women serve on the board. We will engage on this challenge.</t>
  </si>
  <si>
    <t>a5da700000057rcAAA</t>
  </si>
  <si>
    <t>Transparency in Remuneration</t>
  </si>
  <si>
    <t>As of 2020, the disclosures for executive remuneration appeared to be incomplete, which is unacceptable from a common shareholder perspective. We believe the company strive to reach stronger internationally-aligned disclosures on remuneration.</t>
  </si>
  <si>
    <t>a5da7000000579lAAA</t>
  </si>
  <si>
    <t>Insufficient Board Independence</t>
  </si>
  <si>
    <t>As of 2020, the board has 14% independence, well below our expectation of at least one-third independence at controlled Brazilian companies. We will engage on increasing independence.</t>
  </si>
  <si>
    <t>a5da7000000579kAAA</t>
  </si>
  <si>
    <t>Sustainable Finance Strategy &amp; Disclosure</t>
  </si>
  <si>
    <t>The company has seen significant interest in sustainable and inclusive investing and financing from a range of investors. As a leading financial institution in Latin America, the company has a range of opportunities to provide competitive ESG, sustainable and social finance products and services to its clients. It also needs to disclose how significant these opportunities in terms of total lending and financing, as well as demonstrate how it applies environmental and social risk frameworks and assessments to its ongoing investing activity. We will continue to engage on these opportunities.</t>
  </si>
  <si>
    <t>a5da700000057uQAAQ</t>
  </si>
  <si>
    <t>Enhance Coal &amp; Fossil Fuel Financing Policies for Transition Assets &amp; Phase-Out</t>
  </si>
  <si>
    <t>The company has published its risk and lending approach to the coal, thermoelectric, and oil and gas sectors. These are an excellent start, and the bank's transparency surpasses many other similarly-sized peers as of 2022. However, despite the bank's stated intent to focus on lending to 'transition needs' – such as technologies, processes or assets which reduce emissions intensity or reliance on hydrocarbons in value chains – this is not clear in the policies. Both sector policies lack exclusions for ineligible use-of-proceeds (such as financing new additions to coal and oil and gas production, rather than enhancements or emissions reduction investments in existing reserves). The policies also do not require borrowers to have specific emissions reduction targets in place, nor do they require transparent emissions or performance disclosures. Neither contains phase-out or end-date commitments to certain types of financing, which might allow the bank to align its policies with its planning for science-based targets that include Scope 3 emissions. As such, we want to ensure these policies contain specific asset exclusions, commit borrowers to emissions reduction planning and performance transparency, and introduce indicative phase-out and end dates for when a greater range of use cases become ineligible. Ineligibility arises via a lack of willing to decrease full-scope emissions or transition investments by lenders. Finally, the coal thermoelectric policy needs to be made clearer on whether it covers energy generation from coal or use of coal in other value chains, as well as the exploration and mining for this mineral.</t>
  </si>
  <si>
    <t>2024 Q3</t>
  </si>
  <si>
    <t>a5da700000055ujAAA</t>
  </si>
  <si>
    <t>Consistent ESG Disclosures &amp; Targets</t>
  </si>
  <si>
    <t xml:space="preserve">Although the company has considerably evolved its approach and strategy for material ESG issues in recent years, it has produced ESG disclosures that are of poor quality, are inconsistent, or offer little quantitative data. It therefore remains difficult to assess the bank's approach to issues including: climate change finance; ESG investing policies and application; human capital management; diversity, ethics and compliance; and cybersecurity. 
From 2020 forward, we want to see the company publish at least two years of consistent ESG disclosures at a group level that meaningfully discloses and quantifies (where possible) year-on-year performance on the material issues identified. Within two years of the first 'group-level' disclosure, we want to see the bank set key targets for material issues, including (at least) climate change, sustainable investing, environmental and social risk management, and human capital management, engagement and diversity.</t>
  </si>
  <si>
    <t>a5da700000055m8AAA</t>
  </si>
  <si>
    <t>China Construction Bank Corp</t>
  </si>
  <si>
    <t>Adjustment in business strategy, financial discipline and risk management due to Covid-19.</t>
  </si>
  <si>
    <t>China</t>
  </si>
  <si>
    <t>a5da700000057gVAAQ</t>
  </si>
  <si>
    <t>Ethical AI strategy</t>
  </si>
  <si>
    <t>Globally, regulators and policy makers are unanimously calling for the ethical and responsible use of AI. We sought the board’s insights in seven areas: the company's AI footprint; the board's oversight of the company’s use of AI; the specific expertise that will enable the board to oversee the use of AI; the way the board oversees the use of AI; the company's AI governance principles (if any) and the respective implementation; the board's evaluation of its own skills and expertise to oversee the risks and opportunities arising from AI; and the company’s engagement with policymakers and other relevant stakeholders on AI governance. ActionsDocuments</t>
  </si>
  <si>
    <t>a5da700000057wvAAA</t>
  </si>
  <si>
    <t>Our objective is to ensure that China Construction Bank is meeting the goals of the Paris Agreement.</t>
  </si>
  <si>
    <t>a5da700000057RxAAI</t>
  </si>
  <si>
    <t>At the time of 2021 AGM, the board diversity was 19%, which was considered acceptable as per our policy requiring the board to be 20% women.</t>
  </si>
  <si>
    <t>a5da700000057n2AAA</t>
  </si>
  <si>
    <t>Veolia Environnement SA</t>
  </si>
  <si>
    <t>Responsible Water &amp; Waste Provisioning</t>
  </si>
  <si>
    <t>The company is involved in private provisioning of water and waste services in many jurisdictions across the world and has attracted negative attention for contentious local disputes such as poor service quality, increasing costs and non-compliance. Although these incidents have been isolated to a few sites out of the company's vast operations over the last five years, we will closely monitor this issue to understand whether the pattern continues and engage on how the business has sought to learn from historic operational challenges.</t>
  </si>
  <si>
    <t>a5da700000057pUAAQ</t>
  </si>
  <si>
    <t>Coal Asset Retirement Deadlines</t>
  </si>
  <si>
    <t>Veolia generates marginal remaining revenues from coal-fired assets and has a plan in place to retire such assets responsibly. However, we will monitor this on an ongoing basis as we believe there are few circumstances where it would be appropriate to extend the life of such assets (particularly without facilitating a major downward shift in absolute emissions from the assets).</t>
  </si>
  <si>
    <t>a5da700000057YjAAI</t>
  </si>
  <si>
    <t>a5da700000057WyAAI</t>
  </si>
  <si>
    <t>Post-Merger Carbon &amp; Methane Emissions Targets for the Combined Business</t>
  </si>
  <si>
    <t>One of the most material drivers of greenhouse gas impacts on climate change for Veolia and the company it is acquiring, Suez, are from the sizeable methane footprint produced by waste businesses (such as emissions from landfill decomposition). The company has a goal to capture at least 60% of its methane emissions. We believe, given the risks tied to this greenhouse gas across many regulatory environments across the world, that the company must promptly disclose a plan for how it will progressively reduce or capture methane from its combined business in order to maintain a science-based decarbonisation trajectory. This should clearly illustrate how it will go about this, with short, medium and long-term targets, as well as outlining the potential business benefits from monetising the methane it captures.</t>
  </si>
  <si>
    <t>a5da700000055tKAAQ</t>
  </si>
  <si>
    <t>Introduce Living Wage &amp; Disclose Benefits</t>
  </si>
  <si>
    <t>Veolia has a large global workforce with significant presence in developing markets that may not have the same regulatory provisions for minimum standard of pay, working conditions and basic employment benefits, such as healthcare. We believe the company should consider introducing a global living wage, benchmarked to what would be required to be considered a true living wage within each market. Further, it should disclose what proportion of the global workforce receives at least basic healthcare benefits as part of their compensation. We will continue to engage on this.</t>
  </si>
  <si>
    <t>a5da700000055tLAAQ</t>
  </si>
  <si>
    <t>Encourage extra-financial risk management</t>
  </si>
  <si>
    <t>2009 Q1</t>
  </si>
  <si>
    <t>a5da700000056Z8AAI</t>
  </si>
  <si>
    <t>Our objective is for the company to report in line with all of the recommendations of the Task Force on Climate-related Financial Disclosures (TCFD), using this as a foundation for the creation of a climate change risk and opportunity management framework.</t>
  </si>
  <si>
    <t>a5da700000055h1AAA</t>
  </si>
  <si>
    <t>Ethics</t>
  </si>
  <si>
    <t>Bribery and corruption; 2017 corruption scandal in water</t>
  </si>
  <si>
    <t>a5da700000056WrAAI</t>
  </si>
  <si>
    <t>Streamlining of business, divestment from transport activity</t>
  </si>
  <si>
    <t>a5da700000057DcAAI</t>
  </si>
  <si>
    <t>Separation of chair/CEO</t>
  </si>
  <si>
    <t>a5da700000057X4AAI</t>
  </si>
  <si>
    <t>Workforce &amp; Management Diversity Improvements</t>
  </si>
  <si>
    <t>The company has the potential to create diverse, fair employment opportunities globally, and already demonstrates an improving track record in gender diversity at management and workforce levels. It has set gender diversity targets for management and included these in ESG components of remuneration. We believe it can progress further in its gender and ethnic diversity efforts in markets where it is a major employer, and we will engage on this opportunity.</t>
  </si>
  <si>
    <t>a5da700000057YgAAI</t>
  </si>
  <si>
    <t>a5da700000056moAAA</t>
  </si>
  <si>
    <t>Monitoring human capital management through restructuring</t>
  </si>
  <si>
    <t>a5da700000057aIAAQ</t>
  </si>
  <si>
    <t>Encourage approriate remuneration policy and related disclosure</t>
  </si>
  <si>
    <t>a5da700000057aGAAQ</t>
  </si>
  <si>
    <t>Director Entrenchment Risks</t>
  </si>
  <si>
    <t>The company has several long-tenured directors on its board (over 12 years) and this has been a consistent pattern, despite the specifications of the French governance code. We will continue to engage on this matter as we believe the board has an opportunity, after its Suez transaction, to create a strong spread of directors in terms of age, skills and a wide range of tenure, even with a small balance of highly experienced and knowledgeable directors being retained for longer periods.</t>
  </si>
  <si>
    <t>a5da7000000577IAAQ</t>
  </si>
  <si>
    <t>Glencore PLC</t>
  </si>
  <si>
    <t>Good practice biodiversity protection and restoration policies and practices.</t>
  </si>
  <si>
    <t>a5da7000000582LAAQ</t>
  </si>
  <si>
    <t>Enhanced public reporting on plans, actions and progress on diversity</t>
  </si>
  <si>
    <t>Our objective is for the company to show greater public commitment to diversity, in particular gender diversity in senior management (the top 19, where currently there are no females), shown primarily through public reporting on plans, actions and progress. For example we would like to see: diversity percentages for assets, the marketing division and the corporate centre as at least three separate categories; a clear description of the challenges the company faces in improving diversity inclusion, as described to us in the meeting, including due to the industry and location of assets; and a forecast of the diversity levels expected to be achieved over time as a result of diversity initiatives in place.</t>
  </si>
  <si>
    <t>a5da700000055fzAAA</t>
  </si>
  <si>
    <t>South African labour relations</t>
  </si>
  <si>
    <t>The company fired approximately 1,000 South African workers following strike action. We are concerned that such actions may provoke further unrest and potentially fuel political risk given the current South African climate.</t>
  </si>
  <si>
    <t>a5da7000000569QAAQ</t>
  </si>
  <si>
    <t>Executive retention</t>
  </si>
  <si>
    <t>Plan in place to retain staff when many executives' shareholding lock-ups will expire 12 months after listing. (expiry May 2012)</t>
  </si>
  <si>
    <t>a5da700000056HyAAI</t>
  </si>
  <si>
    <t>Our objective is for the company to develop, agree with stakeholders, publish and commit to updating its mine closure plans for its coal assets, to be in line with global best practice.</t>
  </si>
  <si>
    <t>a5da700000055rmAAA</t>
  </si>
  <si>
    <t>Implementation of strong policies on bribery and corruption, regulatory compliance and anti-money laundering, with robust procedures, systems and internal audits in place to monitor and assure compliance. This should reflect the current scale of the business as it has moved from a private company approach to that of a listed company.</t>
  </si>
  <si>
    <t>a5da700000055ahAAA</t>
  </si>
  <si>
    <t>Controversy linked to UNGC Principle 5: Child labour</t>
  </si>
  <si>
    <t>We would expect to see robust and sustainable management of global stakeholder relations and strong community relations, and thereby maintaining social licence to operate. Also, a human rights impact assessment (HRIA) to identify the highest risk assets and then a detailed HRIA, involving stakeholders, at each high risk site with reporting outward to investors, ideally the full impact assessment. Other indicators of good social licence to operate include: a joint statement, Memorandum of understanding (MoU) or similar for dialogue with key stakeholder groups, stakeholder commentary in the annual/sustainability report, showing how its engagement on a local level is progressing; and lack of controversy/criticism from stakeholders.</t>
  </si>
  <si>
    <t>a5da700000055S8AAI</t>
  </si>
  <si>
    <t>Water management (risk and quality)</t>
  </si>
  <si>
    <t>Good practice water management (tailored approaches by catchment).</t>
  </si>
  <si>
    <t>a5da7000000582KAAQ</t>
  </si>
  <si>
    <t>a5da700000057ywAAA</t>
  </si>
  <si>
    <t>a5da700000057R6AAI</t>
  </si>
  <si>
    <t>Pay arrangements for CEO and executive management.</t>
  </si>
  <si>
    <t>a5da7000000576nAAA</t>
  </si>
  <si>
    <t>Indigenous rights and heritage</t>
  </si>
  <si>
    <t>Good practice oversight of indigenous group relationships and rights, and the protection of all forms of cultural heritage.</t>
  </si>
  <si>
    <t>a5da7000000575FAAQ</t>
  </si>
  <si>
    <t>Asset portfolio resilience (stranded assets)</t>
  </si>
  <si>
    <t>a5da700000056qTAAQ</t>
  </si>
  <si>
    <t>ABB Ltd</t>
  </si>
  <si>
    <t>Human Rights</t>
  </si>
  <si>
    <t>We expect ABB to demonstrate the effectiveness of its due diligence processes with greater reporting on how it identifies, prevents, and mitigates risks to human rights.</t>
  </si>
  <si>
    <t>a5da700000057SFAAY</t>
  </si>
  <si>
    <t>Our objective is for the company to reinforce its code of conduct and ethics in order to ensure appropriate actions are taken by its employees. Failure to do so can lead to reputational damage and heavy fines.</t>
  </si>
  <si>
    <t>a5da700000056fEAAQ</t>
  </si>
  <si>
    <t>The level of female representation on the board is insufficient.</t>
  </si>
  <si>
    <t>a5da7000000582uAAA</t>
  </si>
  <si>
    <t>Integration of sustainability and extra-financial risks in strategy</t>
  </si>
  <si>
    <t>a5da700000057UiAAI</t>
  </si>
  <si>
    <t>a5da700000057v3AAA</t>
  </si>
  <si>
    <t>board accountability, board balance, management of conflict of interests</t>
  </si>
  <si>
    <t>a5da700000057z6AAA</t>
  </si>
  <si>
    <t>To ensure the development and use of artificial intelligence (AI) is supported by an ethical framework. In February 2020, ABB partnered with a leading AI firm covariant to work on the grabbing function for robots.</t>
  </si>
  <si>
    <t>a5da7000000573GAAQ</t>
  </si>
  <si>
    <t>Centrica PLC</t>
  </si>
  <si>
    <t>The company is interested in stakeholder views regarding innovations in sustainability reporting.</t>
  </si>
  <si>
    <t>a5da700000057wIAAQ</t>
  </si>
  <si>
    <t>Centrica PLC-Environmental-Other Environmental</t>
  </si>
  <si>
    <t>Centrica's US business is involved in small scale fraccing activities.</t>
  </si>
  <si>
    <t>a5da70000005626AAA</t>
  </si>
  <si>
    <t>Centrica PLC-Environmental-Nuclear power safety</t>
  </si>
  <si>
    <t>Centrica operate nuclear power facilities.</t>
  </si>
  <si>
    <t>a5da70000005625AAA</t>
  </si>
  <si>
    <t>Ensure compliant sales</t>
  </si>
  <si>
    <t>Following regulatory problems at a competitor within its insurance sales and persistent industry mis-selling of energy ensure company compliance</t>
  </si>
  <si>
    <t>a5da70000005627AAA</t>
  </si>
  <si>
    <t>Satisfactory new CEO hiring package</t>
  </si>
  <si>
    <t>The the new CEO's hiring package is proportionate, objectively set, not excessive and in shareholder interests.</t>
  </si>
  <si>
    <t>a5da700000056JxAAI</t>
  </si>
  <si>
    <t>Effective approach needed by the nominations committee that covers the CEO, key board roles and skills and diversity.</t>
  </si>
  <si>
    <t>a5da700000056hMAAQ</t>
  </si>
  <si>
    <t>Carbon reduction targets</t>
  </si>
  <si>
    <t>Company identifies activities necessary to reduce carbon emissions and sets targets</t>
  </si>
  <si>
    <t>a5da700000057tJAAQ</t>
  </si>
  <si>
    <t>Amazon.com Inc</t>
  </si>
  <si>
    <t>Our objective is for the company to perform human rights impact assessments (HRIA) to identify its most salient human rights risks and demonstrate that it planned to manage them. The company affirmed that in its 2019 Sustainability Report, it had already committed to assess its most salient human rights risks and conduct HRIAs to deep dive on specific products, regions, and stakeholders. In 2022, the company published a public summary of its HRIA on raw and recovered supply chain materials for Amazon-branded digital devices. Following the publication of its first HRIA on raw and recovered supply chain materials for Amazon-branded digital devices, the company published additional HRIAs on its live-streaming business Twitch and its grocery store Whole Foods Market. These HRIAs are part of a broader process of human rights due diligence (HRDD), which the company outlines on its website. We thanked the company for this disclosure and asked about the pipeline of future HRIAs covering other topics.</t>
  </si>
  <si>
    <t>a5da700000056ZGAAY</t>
  </si>
  <si>
    <t xml:space="preserve">Since 2018, we have suggested reforms to executive remuneration at Amazon that we believe would improve accountability to and alignment with long-term shareholders. Specifically, we asked the company to disclose stock ownership guidelines for executives; strengthen its clawback policies to include misconduct and reputational harm; and implement policies that limit or prohibit share pledging by executives. We consistently relayed this feedback during say on pay votes, which the company puts forth in three year increments, and in our annual feedback on director elections.  
As of 2025, the company discloses stock ownership requirements for directors, but they do not include minimum shareholding requirements for the CEO. The company views these requirements as unnecessary considering its existing culture of share ownership, and that all named executive officers are underpaid relative to the market. The company’s clawback policy appears in line with standard practice and permits it to recover equity and cash bonuses from current and former named executive officers and other members of senior management if they engage in fraud or intentional misconduct that causes or contributes to a restatement of its financial statements, however, it does not mention reputational harm. The company remains without policies that implement limits on share pledging by executives. The company views these policies as unnecessary given that executives have not pledged any shares.</t>
  </si>
  <si>
    <t>a5da7000000581QAAQ</t>
  </si>
  <si>
    <t>Plastic and package waste</t>
  </si>
  <si>
    <t xml:space="preserve">Our objective is for the company to reduce its plastic and packaging waste. The company reports that in 2022, the total metric tonne of single-use plastic used to ship orders fell 11.6% since 2021; and the average weight of packaging per shipment fell 41% since 2015. In 2024, we supported a shareholder proposal asking the company to supplement this historical progress with time-bound goals to reduce plastic waste, make packaging recyclable, and quantify the total weight of packaging materials used by the company. 
Given the company’s significant use of packaging materials, we have concluded that time-bound goals to reduce plastic waste could be additive to its current ambitions. In 2025, we supported a shareholder proposal asking the company to assess reputational, financial, and operational risks; evaluate actions to achieve fully recyclable packaging; and describe opportunities to pre-competitively work with peers.</t>
  </si>
  <si>
    <t>a5da700000057mPAAQ</t>
  </si>
  <si>
    <t>Our objective is for the company to improve its health and safety performance to match the average levels achieved by the fulfilment industry. We acknowledge the progress evidenced by improving safety performance (as measured by recordable incident rate (RIR) and lost time incident rate (LTIR)). RIR and LTIR are well-accepted indicators of health and safety. Our further engagement will focus on the continued improvement of these statistics, more disclosure on employee sentiment on health and safety, and greater clarity on what constitutes averages levels in the fulfilment industry.</t>
  </si>
  <si>
    <t>a5da700000057mOAAQ</t>
  </si>
  <si>
    <t>Responsible tax</t>
  </si>
  <si>
    <t>Our objective is for the company to publish a responsible taxation policy in line with the Global Reporting Initiative Tax Fairness Standard, and to disclose itemised payments to governments at the national, state, and local levels. We expect companies to publish a global tax policy describing its approach to tax risk, controls and oversight, and to disclose publicly the full extent of taxes paid or collected by them in each country. Reporting on each country should include the purpose of the local corporate entity along with comparable corporate data such as revenue, profit before tax and number of employees.</t>
  </si>
  <si>
    <t>a5da700000056v8AAA</t>
  </si>
  <si>
    <t>High geographic risks</t>
  </si>
  <si>
    <t>Our objective is for the company to identify, manage, and mitigate its risk exposure to high geographic risks in its supply chain, including, but not limited to, Israel/Palestine, Russia/Ukraine, Myanmar, and the Xinjiang Uyghur Autonomous Region.</t>
  </si>
  <si>
    <t>a5da700000057EYAAY</t>
  </si>
  <si>
    <t>Living wages</t>
  </si>
  <si>
    <t>We are encouraging the company to commit to paying living wages to its workforce. Specific actions include disclosing a policy commitment to paying living wages to its workforce, defining how it calculates living wages for the purpose of this commitment, and setting a plan and a timeline for implementation. In 2023, the company said it had not made a formal commitment to living wages due to conflicting interpretations of the term, but it referenced an internal exercise showing that its wages are ‘even’ or ‘higher’ in comparison to living wages measured by the MIT Living Wage Calculator.</t>
  </si>
  <si>
    <t>a5da700000055DdAAI</t>
  </si>
  <si>
    <t>We want the company's board to demonstrate sufficient independence from management in order to exert proper oversight.</t>
  </si>
  <si>
    <t>a5da700000057k4AAA</t>
  </si>
  <si>
    <t>We seek to ensure that the company develops and reports on its strategic approach to protein diversification. The food sector relies on intensive livestock systems heavily linked to unpriced externalities such as carbon emissions, land use changes, water pollution and antibiotic overuse. Diversification of protein offerings will help the company mitigate supply chain risks and capitalise on changing consumer trends.</t>
  </si>
  <si>
    <t>a5da700000056ppAAA</t>
  </si>
  <si>
    <t>Airbus SE</t>
  </si>
  <si>
    <t>Remuneration disclosure</t>
  </si>
  <si>
    <t>We have concerns on the lack of disclosure of the variable remuneration outcomes, as no retrospective disclosure has been provided on the underlying performance targets within the common collective component.</t>
  </si>
  <si>
    <t>a5da7000000579ZAAQ</t>
  </si>
  <si>
    <t>Controversial weapons</t>
  </si>
  <si>
    <t>Disclosure on proportion of revenues from nuclear weapons</t>
  </si>
  <si>
    <t>a5da700000056tJAAQ</t>
  </si>
  <si>
    <t>Engagement on company business and human capital response to the Covid-19 pandemic.</t>
  </si>
  <si>
    <t>a5da700000056w5AAA</t>
  </si>
  <si>
    <t>Paris-aligned Accounts</t>
  </si>
  <si>
    <t>Company to align financial reports and accounts with the goals of the Paris Agreement.</t>
  </si>
  <si>
    <t>a5da7000000574JAAQ</t>
  </si>
  <si>
    <t>Localiza Rent a Car SA</t>
  </si>
  <si>
    <t>Board engagement with investors</t>
  </si>
  <si>
    <t>We presented to Localiza's board on stewardship and investor engagement.</t>
  </si>
  <si>
    <t>a5da700000056pCAAQ</t>
  </si>
  <si>
    <t>Enel SpA</t>
  </si>
  <si>
    <t>Latin America project risk management</t>
  </si>
  <si>
    <t>Effective communication and two way dialogue with local communities regards HydroAysen project in Patagonia</t>
  </si>
  <si>
    <t>a5da700000056GbAAI</t>
  </si>
  <si>
    <t>Our objective is for the company to adopt diversity as a diving force rather than take a compliance approach. In Q2 2023, the company refreshed the management team with a new CEO and eight new executives (out of 14). It was concerning that only one woman is in the new management team and not a single woman was appointed in the refresh. The company should improve gender diversity in this management team as a priority.</t>
  </si>
  <si>
    <t>a5da700000056NqAAI</t>
  </si>
  <si>
    <t>Environmental disclosure</t>
  </si>
  <si>
    <t>a5da700000057QlAAI</t>
  </si>
  <si>
    <t>Board for the future energy economy</t>
  </si>
  <si>
    <t>Support the evolution of board composition to greater align with the skills and vision for a sustainable energy economy.</t>
  </si>
  <si>
    <t>a5da700000056kuAAA</t>
  </si>
  <si>
    <t>ArcelorMittal SA</t>
  </si>
  <si>
    <t>Luxembourg</t>
  </si>
  <si>
    <t>a5da700000057ipAAA</t>
  </si>
  <si>
    <t>Health and Safety</t>
  </si>
  <si>
    <t>a5da700000057z7AAA</t>
  </si>
  <si>
    <t>Tailings risk management</t>
  </si>
  <si>
    <t>Company uses a robust governance structure, international best practice standards and continual innovation and improvement to limit the risk from tailings dams at its mining operations.</t>
  </si>
  <si>
    <t>a5da700000056dzAAA</t>
  </si>
  <si>
    <t>Inappropriate labour practices</t>
  </si>
  <si>
    <t>Allegations of inappropriate labour standards in Liberia - wage exploitation.</t>
  </si>
  <si>
    <t>a5da7000000566nAAA</t>
  </si>
  <si>
    <t>Human Rights Disclosure</t>
  </si>
  <si>
    <t>Improvement of disclosure around human rights risk management.</t>
  </si>
  <si>
    <t>a5da7000000571WAAQ</t>
  </si>
  <si>
    <t>Set carbon reduction targets</t>
  </si>
  <si>
    <t>a5da700000057isAAA</t>
  </si>
  <si>
    <t>The company to align financial reports and accounts with the goals of the Paris Agreement.</t>
  </si>
  <si>
    <t>a5da700000057icAAA</t>
  </si>
  <si>
    <t>a5da700000056HVAAY</t>
  </si>
  <si>
    <t>a5da700000056G1AAI</t>
  </si>
  <si>
    <t>a5da700000056D4AAI</t>
  </si>
  <si>
    <t>ACSI engagement activity on climate change - mining</t>
  </si>
  <si>
    <t>Monitor and analyse BHP's reporting on climate change and industry associations and encourage BHP to evolve reporting around the setting of medium-term targets. For the scenarios already disclosed, ACSI will examine them against other peers and scenarios and seek to understand the core risks and management plan, particularly BHP's reliance on carbon capture and storage.</t>
  </si>
  <si>
    <t>a5da700000056fMAAQ</t>
  </si>
  <si>
    <t>a5da700000056FVAAY</t>
  </si>
  <si>
    <t>a5da700000056FXAAY</t>
  </si>
  <si>
    <t>a5da7000000569fAAA</t>
  </si>
  <si>
    <t>a5da7000000568TAAQ</t>
  </si>
  <si>
    <t>a5da700000056HQAAY</t>
  </si>
  <si>
    <t>a5da700000056KOAAY</t>
  </si>
  <si>
    <t>a5da700000056A0AAI</t>
  </si>
  <si>
    <t>Remuneration Practices Improving</t>
  </si>
  <si>
    <t>BHP has had concerning remuneration practices in the past, but has improved and will also be undertaking a complete review of its remuneration practices late 2011/early 2012.</t>
  </si>
  <si>
    <t>2006 Q3</t>
  </si>
  <si>
    <t>a5da7000000567bAAA</t>
  </si>
  <si>
    <t>Regnan engagement activity on business strategy</t>
  </si>
  <si>
    <t>a5da700000056AqAAI</t>
  </si>
  <si>
    <t>a5da7000000568SAAQ</t>
  </si>
  <si>
    <t>Regnan engagement activity on reserves reporting</t>
  </si>
  <si>
    <t>a5da700000056ADAAY</t>
  </si>
  <si>
    <t>a5da700000056BnAAI</t>
  </si>
  <si>
    <t>Stranded assets</t>
  </si>
  <si>
    <t>Company has evaluated its portfolio under different climate change scenarios and communicated its findings publicly.</t>
  </si>
  <si>
    <t>a5da700000057QiAAI</t>
  </si>
  <si>
    <t>Scope 3 Carbon Emissions Targets</t>
  </si>
  <si>
    <t>Engagement on the development of a strategy to promote the reduction of carbon emissions downstream in the supply chain.</t>
  </si>
  <si>
    <t>a5da700000057tIAAQ</t>
  </si>
  <si>
    <t>Labour relations</t>
  </si>
  <si>
    <t>Engagement on various allegations of poor labour relations.</t>
  </si>
  <si>
    <t>a5da700000057aEAAQ</t>
  </si>
  <si>
    <t>Oversight of non-controlled joint ventures</t>
  </si>
  <si>
    <t>Robust risk management of minority interest joint venture investments.</t>
  </si>
  <si>
    <t>a5da700000057aKAAQ</t>
  </si>
  <si>
    <t>Climate Change Lobbying</t>
  </si>
  <si>
    <t>BHP Billiton has been involved in lobbying activities in Australia which have been potentially duplicitious in terms of its support for the introduction of a carbon price.</t>
  </si>
  <si>
    <t>a5da700000057KiAAI</t>
  </si>
  <si>
    <t>Protection of Aboriginal Heritage Sites in Australia</t>
  </si>
  <si>
    <t>Engagement on the company's framework for the protection of aboriginal heritage sites in Australia, ensuring there is free prior informed consent for mining projects that impact those sites.</t>
  </si>
  <si>
    <t>a5da7000000572pAAA</t>
  </si>
  <si>
    <t>Coal Mines Closure - Just Transition</t>
  </si>
  <si>
    <t>Adoption of best practice in the closure of coal mines.</t>
  </si>
  <si>
    <t>a5da700000057SOAAY</t>
  </si>
  <si>
    <t>Tailings Dams Safety Standards</t>
  </si>
  <si>
    <t>Engagement on the management of tailings storage facilities, including disclosure, governance and emergency response.</t>
  </si>
  <si>
    <t>a5da700000057lrAAA</t>
  </si>
  <si>
    <t>Valero Energy Corp</t>
  </si>
  <si>
    <t>Encourage better oversight of political donation policy and practice</t>
  </si>
  <si>
    <t>a5da700000057YuAAI</t>
  </si>
  <si>
    <t>Set greenhouse gas reduction targets</t>
  </si>
  <si>
    <t>Encourage the setting of greenhouse gas reduction targets</t>
  </si>
  <si>
    <t>a5da700000057rqAAA</t>
  </si>
  <si>
    <t>Voting against the say on pay resolution.</t>
  </si>
  <si>
    <t>a5da7000000580bAAA</t>
  </si>
  <si>
    <t>Sought assurance from the company regarding the audit committee's oversight of the external auditor (following allegations about PCAOB's relationships with KPMG).</t>
  </si>
  <si>
    <t>a5da7000000580fAAA</t>
  </si>
  <si>
    <t>Zurich Insurance Group AG</t>
  </si>
  <si>
    <t>Cyber security, big data and digitalisation</t>
  </si>
  <si>
    <t>a5da700000056nrAAA</t>
  </si>
  <si>
    <t>Covid-19 impact and response</t>
  </si>
  <si>
    <t>a5da7000000572rAAA</t>
  </si>
  <si>
    <t>Human capital, in relation to past controversies, restructuring and remuneration</t>
  </si>
  <si>
    <t>a5da700000056cmAAA</t>
  </si>
  <si>
    <t>GAIL India Ltd</t>
  </si>
  <si>
    <t>Carbon emissions and GHG intensity</t>
  </si>
  <si>
    <t>Significant emissions and intensity increase last year. We aim to seek insights into how the company plans to bring both emissions and intensity down again to meet its COP21 and sustainability commitments.</t>
  </si>
  <si>
    <t>a5da700000056SZAAY</t>
  </si>
  <si>
    <t>Human rights and community impact</t>
  </si>
  <si>
    <t>In June 2014, a major explosion took place along a gas pipeline operated by GAIL India in the State of Andhra Pradesh, India, killing 21 villagers and inflicting damage to properties. A high-level ministry investigation concluded in August 2014 found the company negligent, as it had failed to replace corroded pipelines or invest in pipeline maintenance. The incident exasperated ongoing tensions between GAIL and the communities affected by the pipeline. Local community members have criticised the company for failing to provide equitable compensation or engage meaningfully.</t>
  </si>
  <si>
    <t>a5da700000056SoAAI</t>
  </si>
  <si>
    <t>Eurofins Scientific SE</t>
  </si>
  <si>
    <t>Increased transparency around variable pay</t>
  </si>
  <si>
    <t>The company can provide more disclosure on how its executives are incentivised by introducing clear thresholds for each metric in the variable pay programme and the company's performance against these objectives.</t>
  </si>
  <si>
    <t>a5da700000058UUAAY</t>
  </si>
  <si>
    <t>Board Skills &amp; Independence</t>
  </si>
  <si>
    <t>The company has three independent directors, which is 50% of the board. However, the chair and CEO role is combined and the chair/CEO has served with the co-founders on the board for over 20 years. Moreover, the independent board members may not have the range of required skill sets to challenge management and the founders. We believe new board director skill sets, additional board independence through a greater share of independent directors, and the potential separation of chair and CEO roles should all be considerations for the company to improve its governance and oversight.</t>
  </si>
  <si>
    <t>a5da700000057DvAAI</t>
  </si>
  <si>
    <t>The company's response to coronavirus.</t>
  </si>
  <si>
    <t>a5da700000056wTAAQ</t>
  </si>
  <si>
    <t>The long term incentive plan uses total shareholder return as a metric and it allows a pay-out below median performance. The policy is overly complex with use of warrants, options and free shares. Disclosure is poor. No performance data is provided to track the achievement against the targets.</t>
  </si>
  <si>
    <t>a5da700000057BHAAY</t>
  </si>
  <si>
    <t>Strengthening Audit and Risk Oversight</t>
  </si>
  <si>
    <t>The company's three independent directors serve on the audit committee. However, as of 2019, it does not appear that any of these directors have expertise or background in financial accounting and controls, and the company has been critiqued publicly on how its auditor supervises the accounts and controls of some subsidiary businesses. Moreover, one independent director appears to be over-committed across at least four other boards, including a chair role. The company can consider greater audit-related skill sets on the board and the audit committee as well as a strengthened auditor role. Moreover, it may need to highlight how the board is overseeing enterprise risks as well as complex financial accounting across a subsidiary-heavy business.</t>
  </si>
  <si>
    <t>a5da700000057DwAAI</t>
  </si>
  <si>
    <t>Prologis Inc</t>
  </si>
  <si>
    <t>CEO pay</t>
  </si>
  <si>
    <t>We have concerns about the quantum of CEO pay.</t>
  </si>
  <si>
    <t>a5da700000057BeAAI</t>
  </si>
  <si>
    <t>ICICI Bank Ltd</t>
  </si>
  <si>
    <t>Disclosure on corporate governance practices</t>
  </si>
  <si>
    <t>Following allegations of a conflict of interest in a loan operation to a company linked to the husband of the bank's CEO, we pressed the chair for disclosure on the process that the board had followed to dismiss the allegations.</t>
  </si>
  <si>
    <t>a5da700000056pEAAQ</t>
  </si>
  <si>
    <t>Anhui Conch Cement Co Ltd</t>
  </si>
  <si>
    <t>Company to improve gender diversity on the board further, aiming to achieve 30% by 2030.</t>
  </si>
  <si>
    <t>a5da700000057cHAAQ</t>
  </si>
  <si>
    <t>The company is ranked at level 1 by the Transition Pathway Initiative.</t>
  </si>
  <si>
    <t>a5da700000057w1AAA</t>
  </si>
  <si>
    <t>Company to increase its gender board diversity, aiming to achieve 30% by 2030.</t>
  </si>
  <si>
    <t>a5da700000057lqAAA</t>
  </si>
  <si>
    <t>TPI - Climate change risk and opportunity management</t>
  </si>
  <si>
    <t>We are concerned by the company's disclosure and management of climate-related risks and opportunities, as signalled by its score on the Transition Pathway Initiative. We expect the company to implement effective processes, targets and governance to ensure that the company’s strategy is consistent with the goals of the Paris Agreement. We encourage reporting and underlying processes to be aligned to the four pillars of the Task Force on Climate-related Financial Disclosures.</t>
  </si>
  <si>
    <t>a5da700000057lfAAA</t>
  </si>
  <si>
    <t>No self-imposed limit on general issuance of equity without pre-emptive rights</t>
  </si>
  <si>
    <t>There is no self-imposed limit on general issuance of equity without pre-emptive rights.</t>
  </si>
  <si>
    <t>a5da700000056iMAAQ</t>
  </si>
  <si>
    <t>Quanta Services Inc</t>
  </si>
  <si>
    <t>a5da7000000563DAAQ</t>
  </si>
  <si>
    <t>Crown Castle Inc</t>
  </si>
  <si>
    <t xml:space="preserve">The company reviews its board composition and proposes changes appropriate to achieving the breadth of experience and perspectives required to address the strategic challenges faced by the business, including the necessary skills and range of sector and industry experience and is accessing appropriate pools of capital. 
In our view, updated board composition can help improve the quality of board governance and so help improve company performance over the long-term, in the interests of the company and long-term shareholder value.</t>
  </si>
  <si>
    <t>2024 Q1</t>
  </si>
  <si>
    <t>a5da700000058TeAAI</t>
  </si>
  <si>
    <t>Audit risk and oversight</t>
  </si>
  <si>
    <t>The company had issue with financial restatements in FY2019, which triggered our opposition of the audit committee chair at its 2020 AGM. We are seeking to understand changes implemented since that time and evidence of more robust controls.</t>
  </si>
  <si>
    <t>a5da700000057qsAAA</t>
  </si>
  <si>
    <t>Workforce diversity</t>
  </si>
  <si>
    <t>The company has strong, diversity representation at the board level, but we need to understand more about the demographics at the workforce level.</t>
  </si>
  <si>
    <t>a5da700000057qdAAA</t>
  </si>
  <si>
    <t>For the company to disclose a stakeholder-centric statement of business purpose to amplify the benefits it has on communities through access to technology.</t>
  </si>
  <si>
    <t>a5da700000057qmAAA</t>
  </si>
  <si>
    <t>We have concerns about the lack of a pledging policy for executives and the sole use of total shareholder return metrics for the long-term incentive plan.</t>
  </si>
  <si>
    <t>a5da70000005804AAA</t>
  </si>
  <si>
    <t>PetroChina Co Ltd</t>
  </si>
  <si>
    <t>The board currently has one female director, Elsie Leung, which brings board diversity to 9%. This falls short of our requirement for gender diversity for 2020. We expect the board to comprise at least 20% female directors.</t>
  </si>
  <si>
    <t>a5da700000057nkAAA</t>
  </si>
  <si>
    <t>Minority protection</t>
  </si>
  <si>
    <t>Test the Board's practice to ensure a sufficient level of protection to minority shareholders.</t>
  </si>
  <si>
    <t>a5da700000056NKAAY</t>
  </si>
  <si>
    <t>Improve board composition to achieve at least 20% female directors on the board.</t>
  </si>
  <si>
    <t>a5da700000055jeAAA</t>
  </si>
  <si>
    <t>Low carbon transition plan</t>
  </si>
  <si>
    <t>The company creates a credible low carbon transition plan aligned to the goals of the Paris Agreement. Although the company acknowledges the risks and opportunities of climate change, it has not set out any clear ambtion or plans by which to achieve the goals of the Paris Agreement. We therefore want the company to demonstrate that it is prepared for the low carbon ambtiion and can help drive this through its products and services.</t>
  </si>
  <si>
    <t>17/12/25</t>
  </si>
  <si>
    <t>a5da700000055YwAAI</t>
  </si>
  <si>
    <t>General share issuance</t>
  </si>
  <si>
    <t>Encourage improvement in issuance limit and disclosure of discount limit in general share issuance mandate</t>
  </si>
  <si>
    <t>a5da700000057JcAAI</t>
  </si>
  <si>
    <t>Climate change &amp; emission reduction plan</t>
  </si>
  <si>
    <t>a5da700000057xxAAA</t>
  </si>
  <si>
    <t>Financial guarantee</t>
  </si>
  <si>
    <t>The company is part of the conglomerate that may at times opt to provide financial guarantees to connected companies. We will assess whether the guarantee is justified and if the disclosure and risk management mechanisms are adequate before making a vote recommendation.</t>
  </si>
  <si>
    <t>a5da700000057IhAAI</t>
  </si>
  <si>
    <t>NVIDIA Corp</t>
  </si>
  <si>
    <t>Monitor the company's business strategy and test if it is more strongly focusing on the automotive segment</t>
  </si>
  <si>
    <t>24/12/25</t>
  </si>
  <si>
    <t>a5da700000057jBAAQ</t>
  </si>
  <si>
    <t>Science-Based Targets &amp; Renewables</t>
  </si>
  <si>
    <t>The company has exceeded its carbon emissions targets and is looking at setting science-based targets for emissions as well as renewables goals. We will continue to engage on this given the outsized, global emissions growth from data centres and computing footprints.</t>
  </si>
  <si>
    <t>a5da700000056o4AAA</t>
  </si>
  <si>
    <t>Responsible Sourcing of Cobalt</t>
  </si>
  <si>
    <t>The company is exploring how to expand good practices in responsible sourcing beyond the '3TG' minerals into cobalt. It is now collecting data from suppliers and will be formulating an approach to how sourcing is managed responsibly. We should continue to engage on the company's strategy, processes and disclosures on sourcing for this mineral, as well as the critical 3TG set of minerals.</t>
  </si>
  <si>
    <t>a5da700000056o3AAA</t>
  </si>
  <si>
    <t>Human Capital Performance &amp; Disclosure</t>
  </si>
  <si>
    <t>The company maintains very low employee turnover through a strong corporate culture and human capital management approach. Diversity in the workforce is increasing but the low turnover means that major shifts are more difficult to make. The company has strong disclosures on human capital management. We will continue to monitor outcomes in this area.</t>
  </si>
  <si>
    <t>a5da700000056oAAAQ</t>
  </si>
  <si>
    <t>We are concerned about the low levels of gender and ethnic diversity on the board.</t>
  </si>
  <si>
    <t>a5da700000057KcAAI</t>
  </si>
  <si>
    <t>Long serving directors</t>
  </si>
  <si>
    <t>Monitor the company's plan to reduce the number of long-serving directors to strengthen the board's oversight function</t>
  </si>
  <si>
    <t>a5da700000057ILAAY</t>
  </si>
  <si>
    <t>We are concerned about the over reliance on financial metrics and lack of stretching targets.</t>
  </si>
  <si>
    <t>a5da700000057LQAAY</t>
  </si>
  <si>
    <t>Ameren Corp</t>
  </si>
  <si>
    <t>Dependence on total shareholder return and earnings per share throughout the scheme.</t>
  </si>
  <si>
    <t>a5da700000057HmAAI</t>
  </si>
  <si>
    <t>Independent Chair</t>
  </si>
  <si>
    <t>Board to decouple chair and CEO positions, implementing an independent chair instead.</t>
  </si>
  <si>
    <t>a5da700000056xlAAA</t>
  </si>
  <si>
    <t>Support for a climate change proposal at the 2016 AGM</t>
  </si>
  <si>
    <t>a5da700000057G8AAI</t>
  </si>
  <si>
    <t>That this climate-exposed company deriving a significant proportion of revenues from coal puts in place best practices by which to address the risks from climate change.</t>
  </si>
  <si>
    <t>a5da700000057G7AAI</t>
  </si>
  <si>
    <t>Mitsubishi UFJ Financial Group Inc</t>
  </si>
  <si>
    <t>Although the company has reduced its strategic shareholdings from 2008, acceleration is required, as it is a leading Japanese financial institution.</t>
  </si>
  <si>
    <t>02/10/25</t>
  </si>
  <si>
    <t>a5da700000056PgAAI</t>
  </si>
  <si>
    <t>Board access</t>
  </si>
  <si>
    <t>Improvement of board access needed, includingopportunities for shareholders to meet non-executive directors</t>
  </si>
  <si>
    <t>a5da700000056LMAAY</t>
  </si>
  <si>
    <t>Ensure appropriate adoption of risk reporting best practices</t>
  </si>
  <si>
    <t>a5da700000056SVAAY</t>
  </si>
  <si>
    <t>ESG investor meeting</t>
  </si>
  <si>
    <t>The company held its first ESG meeting with investors but needs to make clear the purpose of the meeting.</t>
  </si>
  <si>
    <t>a5da700000056cPAAQ</t>
  </si>
  <si>
    <t>Publication of AI governance principles</t>
  </si>
  <si>
    <t>The company has an internal policy on the use of AI but does not disclose it publicly. We have requested that the company publishes its AI policy or a set of governance principles regarding the use of AI.</t>
  </si>
  <si>
    <t>By establishing appropriate AI governance structures and principles the company should enhance stakeholder confidence in its ability to manage AI responsibly. Improved AI governance should support risk mitigation, potentially reducing costs and regulatory penalties, while positioning the company to capitalise on AI-driven revenue opportunities.</t>
  </si>
  <si>
    <t>a5da700000055k2AAA</t>
  </si>
  <si>
    <t>Substantial reduction in strategic shareholdings</t>
  </si>
  <si>
    <t>Our objective is for the company to establish an ambition to eliminate cross-shareholdings and/or establish a target to reduce cross-shareholdings to 10% of net assets by 2025.</t>
  </si>
  <si>
    <t>The company has established a plan to reduce the allegiant shareholding to consolidated net assets to below 20% by end of March 2027. This should support more efficient capital deployment, which can lead to improved ROE and shareholder returns.</t>
  </si>
  <si>
    <t>a5da700000055k1AAA</t>
  </si>
  <si>
    <t>SIFI engagement</t>
  </si>
  <si>
    <t>Improvement of strategy and remuneration scheme</t>
  </si>
  <si>
    <t>a5da700000055yuAAA</t>
  </si>
  <si>
    <t>Responsible investment and stewardship</t>
  </si>
  <si>
    <t>Encourage the bank to play a more active role in promote best practices among its corporate clients.</t>
  </si>
  <si>
    <t>a5da700000057ysAAA</t>
  </si>
  <si>
    <t>a5da700000057S7AAI</t>
  </si>
  <si>
    <t>The governance of artificial intelligence is a key issue for the company.</t>
  </si>
  <si>
    <t>a5da700000057ynAAA</t>
  </si>
  <si>
    <t>Profitability remains an issue</t>
  </si>
  <si>
    <t>a5da700000056llAAA</t>
  </si>
  <si>
    <t>Fortum OYJ</t>
  </si>
  <si>
    <t>As of Q1 2019, Fortum holds a 49.9% stake in the German company Uniper, for which 30% of the energy generation is from coal. There is an apparent inconsistency between Fortum's sustainability strategy and Uniper's operations. Furthermore, it is unclear whether Fortum plans to take responsibility for Uniper's strategy, including the approach to climate change and other matters. In November 2019, company gained approval from Russian authorities to increase its stake to 70.2%. The approval from US authorities is still outstanding, but if gained, the acquisition of the stake is expected to close by end of Q1 2020.</t>
  </si>
  <si>
    <t>Finland</t>
  </si>
  <si>
    <t>a5da700000057RJAAY</t>
  </si>
  <si>
    <t>Remuneration practices and targets</t>
  </si>
  <si>
    <t>Better disclosure of targets and performance against them.</t>
  </si>
  <si>
    <t>a5da700000057DWAAY</t>
  </si>
  <si>
    <t>The company is to set science-based targets.</t>
  </si>
  <si>
    <t>a5da700000056rBAAQ</t>
  </si>
  <si>
    <t>Mercedes-Benz Group AG</t>
  </si>
  <si>
    <t>a5da700000056T9AAI</t>
  </si>
  <si>
    <t>Antitrust compliance</t>
  </si>
  <si>
    <t>The company was involved in a price-rigging cartel from 1997 to 2011. The company had to pay a €1 billion fine following a ruling of the European Commission in 2016. Proper antitrust compliance practices have to be in place.</t>
  </si>
  <si>
    <t>a5da700000056T8AAI</t>
  </si>
  <si>
    <t>Human Rights in the Suppy Chain</t>
  </si>
  <si>
    <t>There are human rights risks in Daimler's supply chain, for instance, child labour in cobalt mining in the DRC. Transparency and disclosure of how the company manages this is needed.</t>
  </si>
  <si>
    <t>a5da700000056ZeAAI</t>
  </si>
  <si>
    <t>Emissions scandal</t>
  </si>
  <si>
    <t>Dealing with the business implications of the emissions scandal</t>
  </si>
  <si>
    <t>a5da700000056OnAAI</t>
  </si>
  <si>
    <t>Monitor and assess whether the supervisory board has an appropriate number of directors with automotive and sustainable vehicles technology.</t>
  </si>
  <si>
    <t>a5da700000056fVAAQ</t>
  </si>
  <si>
    <t>Assess and monitor the development of the company's culture, which started to be reformed with the introduction of the Leadership 2020 initiative.</t>
  </si>
  <si>
    <t>a5da700000056fUAAQ</t>
  </si>
  <si>
    <t>Our objective is for the company to demonstrably improve its consideration of climate in its accounting practices. This should follow the ‘Investor Expectations for Paris-aligned Accounts’ (2020), which sets out five clear steps companies should take in preparing Paris-aligned company accounts. Demonstrable improvement is recognised by an improved Carbon Tracker score.</t>
  </si>
  <si>
    <t>a5da700000055uRAAQ</t>
  </si>
  <si>
    <t>Corporate Lobbying</t>
  </si>
  <si>
    <t>Concerns that company's position on climate change is not aligned with industry association it is a member of. This should be disclosed in more detail.</t>
  </si>
  <si>
    <t>a5da700000057zGAAQ</t>
  </si>
  <si>
    <t>Reform of executive remuneration policy</t>
  </si>
  <si>
    <t>Monitor the reform of the executive remuneration policy in light of the newly introduced corporate strategy for passenger cars.</t>
  </si>
  <si>
    <t>a5da700000057KUAAY</t>
  </si>
  <si>
    <t>a5da700000057KWAAY</t>
  </si>
  <si>
    <t>a5da700000057jIAAQ</t>
  </si>
  <si>
    <t>a5da700000057uWAAQ</t>
  </si>
  <si>
    <t>Spin-offf of a majority interest in Daimler Truck</t>
  </si>
  <si>
    <t>Daimler wants to separate the commercial vehicle business, which is bundled within Daimler Truck AG, from the Daimler Group by spinning off a majority interest in Daimler Truck AG. This is in accordance with the German Transformation Act and to provide the shareholders of Daimler AG with listed shares in an independent company.</t>
  </si>
  <si>
    <t>a5da700000057iKAAQ</t>
  </si>
  <si>
    <t>a5da7000000571KAAQ</t>
  </si>
  <si>
    <t>Experian PLC</t>
  </si>
  <si>
    <t>Remuneration policy in line with Hermes' Remuneration Principles</t>
  </si>
  <si>
    <t>a5da700000057KmAAI</t>
  </si>
  <si>
    <t>Republic Services Inc</t>
  </si>
  <si>
    <t>Encourage better remuneration practice</t>
  </si>
  <si>
    <t>The company has a number of poor remuneration practices including: some cash paid as part of the long-term incentive structure, no performance conditions for the share-element of the long-term scheme and no commensurate reduction of the annual bonus incentive when the company disclosed that targets were reduced in 2014.</t>
  </si>
  <si>
    <t>a5da700000057idAAA</t>
  </si>
  <si>
    <t>Axon Enterprise Inc</t>
  </si>
  <si>
    <t>Classified Board</t>
  </si>
  <si>
    <t>The board maintains a classified board despite a shareholder resolution to declassify which passed.</t>
  </si>
  <si>
    <t>a5da700000057M0AAI</t>
  </si>
  <si>
    <t>Mastercard Inc</t>
  </si>
  <si>
    <t>We sought to understand how the company’s principles are considered in its application of artificial intelligence (AI). We asked the company to disclose the range of purposes for which they use AI; explain how they work, including what they optimise for and what variables they take into account; and enable users to decide whether to allow them to shape their experiences. Given the company’s leadership in diversity, equity and inclusion (DEI), we recommended reporting on actions to avoid unintended biases (such as age, gender, and racial biases) within automated processes for hiring decisions, credit scoring, and other purposes.</t>
  </si>
  <si>
    <t>a5da700000056wIAAQ</t>
  </si>
  <si>
    <t>Human rights in high risk regions</t>
  </si>
  <si>
    <t>The company to expand access to finance in high risk regions, with a particular focus on Occupied Palestinian Territories (OPT).</t>
  </si>
  <si>
    <t>a5da700000057YMAAY</t>
  </si>
  <si>
    <t>Controversy linked to General OECD Issue - Anti Competitive Practices</t>
  </si>
  <si>
    <t>While such lawsuits are common in the industry, the company has a history of allegations of anti-competitive practices, which raises some concerns regarding the company's efforts to address the risk. Given the ongoing legal disputes and potentially high financial and reputational impact, we will continue to monitor the developments in the specific legal disputes as well as Mastercard's overall management of the issue.</t>
  </si>
  <si>
    <t>a5da700000057QnAAI</t>
  </si>
  <si>
    <t>The company to improve its executive compensation plan to be in line with our Corporate Governance Principles.</t>
  </si>
  <si>
    <t>a5da700000057pKAAQ</t>
  </si>
  <si>
    <t>The company to improve its board diversity to be in line with our Corporate Governance Principles, including geographic diversity.</t>
  </si>
  <si>
    <t>a5da700000057pJAAQ</t>
  </si>
  <si>
    <t>Disclosure of tax policy</t>
  </si>
  <si>
    <t>a5da700000056WQAAY</t>
  </si>
  <si>
    <t>Sempra</t>
  </si>
  <si>
    <t>Sempra Energy - Governance - Remuneration</t>
  </si>
  <si>
    <t>Encourage the company to incorporate sustainability as one of the criteria for executive compensation.</t>
  </si>
  <si>
    <t>a5da700000055xiAAA</t>
  </si>
  <si>
    <t>a5da700000056ZqAAI</t>
  </si>
  <si>
    <t>Centene Corp</t>
  </si>
  <si>
    <t>Sustainability disclosures</t>
  </si>
  <si>
    <t>The company's overall ESG related disclosures is weak and not in accordance with a reporting standard, signally inadequate accountability to investors and public.</t>
  </si>
  <si>
    <t>a5da70000005746AAA</t>
  </si>
  <si>
    <t>Women make up 17% of the classified board, ethnicity of the directors not disclosed. This issue requires monitoring to ensure the company is maintaining and increasing gender and ethnic diversity on the board.</t>
  </si>
  <si>
    <t>a5da700000057D1AAI</t>
  </si>
  <si>
    <t>Lobbying and poltical disclosures</t>
  </si>
  <si>
    <t>The company lags its peers in its lobbying and political expenditure disclosures despite repeated shareholder actions to improve disclosure of political spending particularly payments to trade associations and other tax-exempt organisations which are undisclosed and unknown. We believe the company must improve its disclosures in this regard to enable a high level of transparency and completeness in reporting, even when this is voluntary.</t>
  </si>
  <si>
    <t>a5da7000000575XAAQ</t>
  </si>
  <si>
    <t>Apparent failure to link pay and appropriate performance, misalignment with EOS governance principles.</t>
  </si>
  <si>
    <t>a5da700000057DGAAY</t>
  </si>
  <si>
    <t>Advance Auto Parts Inc</t>
  </si>
  <si>
    <t>Sustainability Reporting</t>
  </si>
  <si>
    <t>We would like to understand the company’s plans for more detailed disclosure on its material ESG impacts and the board’s involvement in overseeing the management of these impacts.</t>
  </si>
  <si>
    <t>a5da700000057jhAAA</t>
  </si>
  <si>
    <t>Workforce training</t>
  </si>
  <si>
    <t>We recommended to the company that it discloses more about its workforce training?for the electric vehicle transition.</t>
  </si>
  <si>
    <t>a5da700000057jeAAA</t>
  </si>
  <si>
    <t>Human rights in supply chain</t>
  </si>
  <si>
    <t>The company has reported on its identified human rights risks, violations and remediation actions, together with its due diligence process, including grievance mechanisms (i.e. access to remedy and safeguards such as free prior and informed consent). The company’s 2020 corporate social responsibility report referenced a supplier screening process and regular audits. The company also has a human rights policy and, separately, a code of ethics and business conduct. However, its reporting on human rights could be improved.</t>
  </si>
  <si>
    <t>a5da700000055uPAAQ</t>
  </si>
  <si>
    <t>Talent management strategy focused on senior management and workforce.</t>
  </si>
  <si>
    <t xml:space="preserve">The company develops a strategy to improve cognitive diversity by ensuring a merit-based approach for recruitment and retention of candidates from broad pools of talent in order to achieve a wide range of skills and experience among the composition of its senior management and workforce. _x000D_
_x000D_
In our view, such actions can help reduce costs of hiring and improve staff productivity, in the interests of the company and long-term shareholder value.</t>
  </si>
  <si>
    <t>Discontinued - No longer relevant / material</t>
  </si>
  <si>
    <t>a5da700000055vvAAA</t>
  </si>
  <si>
    <t>a5da700000055vwAAA</t>
  </si>
  <si>
    <t>Carter's Inc</t>
  </si>
  <si>
    <t>Encouraging the company to improve its human capital management practices to create and protect shareholder value over the long-term</t>
  </si>
  <si>
    <t>26/12/25</t>
  </si>
  <si>
    <t>a5da700000056CfAAI</t>
  </si>
  <si>
    <t>Value chain rights</t>
  </si>
  <si>
    <t>The company has low scores in the Know The Chain benchmark (28/100) and the Corporate Human Rights Benchmark (5/26). Our objective is for the company to improve its practices and disclosure of human rights approach in the supply chain, demonstrated by a significant increase in the scores on these benchmark.</t>
  </si>
  <si>
    <t>a5da700000058coAAA</t>
  </si>
  <si>
    <t>a5da700000057tPAAQ</t>
  </si>
  <si>
    <t>Moody's Corp</t>
  </si>
  <si>
    <t>Ratings agencies role in financial crisis</t>
  </si>
  <si>
    <t>Address reputational damaged caused by ratings agencies role in financial crisis</t>
  </si>
  <si>
    <t>a5da7000000562wAAA</t>
  </si>
  <si>
    <t>Compass Group PLC</t>
  </si>
  <si>
    <t>To ensure the effectiveness of the board.</t>
  </si>
  <si>
    <t>a5da700000057C9AAI</t>
  </si>
  <si>
    <t>We expect Compass demonstrate the effectiveness of its due diligence processes with greater reporting on how it identifies, prevents, and mitigates risks to human rights.</t>
  </si>
  <si>
    <t>a5da700000057muAAA</t>
  </si>
  <si>
    <t>The International Labour Organization estimates that globally 25 million people are in a condition of forced labour. Many of these people appear in companies’ supply chains, and half of them are exploited through debt bondage. Migrant workers are particularly vulnerable through the payment of recruitment fees. The company should have robust policies, practices and due diligence processes in place.</t>
  </si>
  <si>
    <t>a5da700000057mtAAA</t>
  </si>
  <si>
    <t>Human capital reporting.</t>
  </si>
  <si>
    <t>a5da700000057VvAAI</t>
  </si>
  <si>
    <t>Conduct, Culture &amp; Ethics</t>
  </si>
  <si>
    <t>The board and executives are working to set the right culture. We expect that these efforts will be evidenced by business behaviours.</t>
  </si>
  <si>
    <t>a5da70000005769AAA</t>
  </si>
  <si>
    <t>Food safety</t>
  </si>
  <si>
    <t>We closed an objective on food safety in January 2018 and will continue to engage with the company on the level of control and visibility over its supply chain.</t>
  </si>
  <si>
    <t>a5da700000056kOAAQ</t>
  </si>
  <si>
    <t>Animal health and welfare - use of antibiotics</t>
  </si>
  <si>
    <t>Compass sources a number of products typically associated with poor animal health and welfare standards. There are high risks associated with this, such as the use of antibiotics in livestock production. The high proportion of antibiotics given to livestock is a significant public health concern and is contributing to the emerging global threat of antibiotic resistance in humans.</t>
  </si>
  <si>
    <t>a5da700000056m3AAA</t>
  </si>
  <si>
    <t>a5da700000057w5AAA</t>
  </si>
  <si>
    <t>Paying the Living Wage Foundation rate is viewed as a marker of responsible business practice and is an important indicator of a company’s investment in staff over and above the legal requirements, including the UK government’s national living wage. As a service provider, it would make sense for Compass to become an accredited Living Wage Service Provider.</t>
  </si>
  <si>
    <t>a5da700000057VsAAI</t>
  </si>
  <si>
    <t>To ensure that the company develops and reports on its strategic approach to protein diversification.</t>
  </si>
  <si>
    <t>a5da700000057qIAAQ</t>
  </si>
  <si>
    <t>Plastics</t>
  </si>
  <si>
    <t>The company sets a deadline to phase out single-use plastics across its global operations.</t>
  </si>
  <si>
    <t>New -&gt; Complete</t>
  </si>
  <si>
    <t>01/10/25</t>
  </si>
  <si>
    <t>a5da700000055geAAA</t>
  </si>
  <si>
    <t>M&amp;A strategy</t>
  </si>
  <si>
    <t>Examine company's M&amp;A strategy to ensure that it would be sufficiently resistant to a large acquisition</t>
  </si>
  <si>
    <t>a5da7000000560TAAQ</t>
  </si>
  <si>
    <t>Booking Holdings Inc</t>
  </si>
  <si>
    <t>TCFD disclosure and underlying scenario planning, targets, governance and strategy.</t>
  </si>
  <si>
    <t>a5da700000056r2AAA</t>
  </si>
  <si>
    <t>Threshold for shareholders to call special meeting</t>
  </si>
  <si>
    <t>Ownership threshold for shareholdersto call special meeting</t>
  </si>
  <si>
    <t>a5da700000056S9AAI</t>
  </si>
  <si>
    <t>Monitor company's pay benchmarking and the extent of performance-conditioned long-term incentives.</t>
  </si>
  <si>
    <t>a5da700000057jmAAA</t>
  </si>
  <si>
    <t>Merger integration</t>
  </si>
  <si>
    <t>Share IT platform, resources across business units to better serve customers and pull out cost.</t>
  </si>
  <si>
    <t>a5da700000056r5AAA</t>
  </si>
  <si>
    <t>Cybersecurity/data privacy/AI</t>
  </si>
  <si>
    <t>Cyber/data privacy/AI risk management</t>
  </si>
  <si>
    <t>a5da700000056vJAAQ</t>
  </si>
  <si>
    <t>Operations in conflict zones</t>
  </si>
  <si>
    <t>Our objective is for the company to demonstrate sufficient management of human rights risks related to its business practices in the West Bank. Specifically, the company should provide evidence of enhanced human rights due diligence; engagement with stakeholders impacted by business operations; and use of its influence to promote positive human rights outcomes in the region, including for the Palestinian population. The company might also disclose a reasonable summary of findings and outcomes of enhanced human rights due diligence; report the percentage of revenue, suppliers, or other metrics sourced from conflict-afflicted regions; and seek industry-wide collaborative solutions or public private partnerships.</t>
  </si>
  <si>
    <t>a5da700000056r3AAA</t>
  </si>
  <si>
    <t>Support for proxy access shareholder proposal - AGM 2015.</t>
  </si>
  <si>
    <t>a5da700000056k1AAA</t>
  </si>
  <si>
    <t>LG Chem Ltd</t>
  </si>
  <si>
    <t>The company was one among many Korean companies to make substantial donations to President Park's aid</t>
  </si>
  <si>
    <t>a5da700000056ROAAY</t>
  </si>
  <si>
    <t>Bundled resolution</t>
  </si>
  <si>
    <t>The company proposes a resolution bundling election of multiple directors.</t>
  </si>
  <si>
    <t>a5da700000056WEAAY</t>
  </si>
  <si>
    <t>Chemicals management</t>
  </si>
  <si>
    <t>To test the company's preparedness for the forthcoming Korean REACH</t>
  </si>
  <si>
    <t>a5da700000056FZAAY</t>
  </si>
  <si>
    <t>Company is in a water-intensive industry</t>
  </si>
  <si>
    <t>a5da700000056FYAAY</t>
  </si>
  <si>
    <t>Approval of financial statements at AGM</t>
  </si>
  <si>
    <t>a5da700000056CSAAY</t>
  </si>
  <si>
    <t>Strategy regarding EV batteries, considering the high cost of raw materials such as cobalt and lithium.</t>
  </si>
  <si>
    <t>a5da700000056a6AAA</t>
  </si>
  <si>
    <t>Business ethics</t>
  </si>
  <si>
    <t>The company does not seem to disclose its code of ethics or details of preventive mechanisms.</t>
  </si>
  <si>
    <t>a5da700000056aSAAQ</t>
  </si>
  <si>
    <t>Protection of minority shareholders</t>
  </si>
  <si>
    <t>A significant part of the company is owned by the founder family.</t>
  </si>
  <si>
    <t>a5da700000056a7AAA</t>
  </si>
  <si>
    <t>Science-Based Carbon Emissions Reduction Targets</t>
  </si>
  <si>
    <t>Our objective is for the company to achieve external validation for its science-based carbon emissions reduction targets.</t>
  </si>
  <si>
    <t>a5da700000058e5AAA</t>
  </si>
  <si>
    <t>The board is not majority independent in our view, due to concerns over an outside director who serves as adviser to a law firm that provides legal services to the company.</t>
  </si>
  <si>
    <t>a5da7000000581hAAA</t>
  </si>
  <si>
    <t>In 2012, a tank explosion in Cheong-ju Plant caused eight deaths and three other injuries</t>
  </si>
  <si>
    <t>a5da700000057NkAAI</t>
  </si>
  <si>
    <t>Chipotle Mexican Grill Inc</t>
  </si>
  <si>
    <t>Compensation</t>
  </si>
  <si>
    <t>a5da700000056EDAAY</t>
  </si>
  <si>
    <t>ESG Disclosure</t>
  </si>
  <si>
    <t>Sustainability report</t>
  </si>
  <si>
    <t>a5da700000056EEAAY</t>
  </si>
  <si>
    <t>Evolution Mining Ltd</t>
  </si>
  <si>
    <t>Historical issue with low gender diversity (increased to 25% in 2020) and a long-serving director who is over-committed.</t>
  </si>
  <si>
    <t>a5da7000000574bAAA</t>
  </si>
  <si>
    <t>a5da700000057PsAAI</t>
  </si>
  <si>
    <t>BYD Co Ltd</t>
  </si>
  <si>
    <t>a5da700000057B1AAI</t>
  </si>
  <si>
    <t>Address the illegal use of Agricultural land</t>
  </si>
  <si>
    <t>Address the company's illegal use of agricultural land and enhance its risk management.</t>
  </si>
  <si>
    <t>a5da7000000564VAAQ</t>
  </si>
  <si>
    <t>Engage strategy in renewable energy business</t>
  </si>
  <si>
    <t>Enquire about  company's renewable energy business in China considering company is a vertically integrated electric-vehicle maker.</t>
  </si>
  <si>
    <t>a5da7000000564UAAQ</t>
  </si>
  <si>
    <t>Sumitomo Mitsui Financial Group Inc</t>
  </si>
  <si>
    <t>Palm oil financing</t>
  </si>
  <si>
    <t>We are concerned that the company's approach to sustainable palm oil financing is lax, for example, there is commitment to encouraging companies to seek RSPO certifications, but there are no specific consequences if a customer does not meet the requirements over a few years. We urge the company to establish a clear plan to exit customers without clear progression to attain RSPO certification within a reasonable period.</t>
  </si>
  <si>
    <t>a5da700000056qVAAQ</t>
  </si>
  <si>
    <t>Board independence - affiliated outsider</t>
  </si>
  <si>
    <t>In 2020, Mr Masayuki Matsumoto is re-categorised as an affiliated director as he is the president of Central Japan Railway Co. where SMFG has cross-shareholdings based on the latest Yuho (cross shareholding disclosure).</t>
  </si>
  <si>
    <t>a5da700000057NJAAY</t>
  </si>
  <si>
    <t>Further cross-shareholding reduction</t>
  </si>
  <si>
    <t>The reduction of banks' strategic shareholdings is a major issue and is stated in Japan's Corporate Governance Code. Our objective is for the company to establish a new plan after 2020.</t>
  </si>
  <si>
    <t>a5da700000055iEAAQ</t>
  </si>
  <si>
    <t>Improvement on environmental disclosure</t>
  </si>
  <si>
    <t>The firm disclosed a Task Force on Climate-related Financial Disclosures (TCFD) report and guidelines on limiting finance to sensitive sectors (such as coal electricity, mining, oil &amp; gas, palm oil), but the report is compiled only by the bank, not by the financial group. It needs to make further improvements by demonstrating that those guidelines as a whole will be sufficient to align with the goals of the Paris Agreement. Moreover, it should be more specific about “respecting the Paris Agreement spirit” specified in the sustainability declaration and publicly support “close to 1.5°C” goal (and specify the timespan to achieve net zero emissions). It should give more detailed information about green finance and fossil fuel-related finance (both the amount and the share) for 2020 and for 2030 (fiscal year 2029).</t>
  </si>
  <si>
    <t>a5da700000055mvAAA</t>
  </si>
  <si>
    <t>We plan to do a case study on diversity</t>
  </si>
  <si>
    <t>a5da700000057JkAAI</t>
  </si>
  <si>
    <t>Disclose evidence of stewardship activities</t>
  </si>
  <si>
    <t>The company holding strategic shares should adhere to the Japanese stewardship code. We expect disclosure of stewardship activities including voting policies and results.</t>
  </si>
  <si>
    <t>a5da700000055jIAAQ</t>
  </si>
  <si>
    <t>AI and data governance</t>
  </si>
  <si>
    <t>The company publishes responsible AI and data governance principles.</t>
  </si>
  <si>
    <t>a5da700000055iCAAQ</t>
  </si>
  <si>
    <t>Sumitomo Mitsui Financial Group (Japan) - Strategey &amp; Remuneration - 11-02-2011</t>
  </si>
  <si>
    <t>We spoke with the company on strategy and remuneration.</t>
  </si>
  <si>
    <t>a5da700000056TGAAY</t>
  </si>
  <si>
    <t>SIFIs engagement</t>
  </si>
  <si>
    <t>Improvement of capital structure, strategy and remuneration scheme</t>
  </si>
  <si>
    <t>a5da700000056TFAAY</t>
  </si>
  <si>
    <t>Mizuho Financial Group Inc</t>
  </si>
  <si>
    <t>The company expresses a desire to become a leader in sustainability reporting among financial services in Japan, and is navigating how to progress on this journey, and asking if it matters to major shareholders.</t>
  </si>
  <si>
    <t>a5da700000056bJAAQ</t>
  </si>
  <si>
    <t>Risk management - compliance</t>
  </si>
  <si>
    <t>Ensure full compliance to meet legal requirements for customers whom the bank does business with.</t>
  </si>
  <si>
    <t>a5da700000056YgAAI</t>
  </si>
  <si>
    <t>a5da700000056MLAAY</t>
  </si>
  <si>
    <t>We expect the company to adopt an adequate board governance structure, to demonstrate the function of independent directors, and make a commitment to incorporating diversity on the board with skills in line with the business strategy.</t>
  </si>
  <si>
    <t>a5da700000056Z3AAI</t>
  </si>
  <si>
    <t>Ensure that the bank integrates climate change into its strategy and meets the goals of the Paris Agreement.</t>
  </si>
  <si>
    <t>a5da700000057S4AAI</t>
  </si>
  <si>
    <t>Risk management - IT operation system</t>
  </si>
  <si>
    <t>Improvements in integration of IT and operational systems</t>
  </si>
  <si>
    <t>a5da700000056kBAAQ</t>
  </si>
  <si>
    <t>UNGP Reporting</t>
  </si>
  <si>
    <t>The Principles for Responsible Banking highlights the importance of strategic alignment to UN Guiding Principles on Business and Human Rights (UNGP) in Principle 1: Alignment. Currently Mizuho references UNGP in its human rights policy but not reporting against the framework in its integrated report.</t>
  </si>
  <si>
    <t>a5da700000056xjAAA</t>
  </si>
  <si>
    <t>To test and discuss strategy and capital structure.</t>
  </si>
  <si>
    <t>a5da700000056q9AAA</t>
  </si>
  <si>
    <t>Northern Star Resources Ltd</t>
  </si>
  <si>
    <t>ACSI engagement activity on Safety - Fatality</t>
  </si>
  <si>
    <t>a5da70000005786AAA</t>
  </si>
  <si>
    <t>ACSI engagement activity on Remuneration - CEO bonus potential</t>
  </si>
  <si>
    <t>a5da70000005785AAA</t>
  </si>
  <si>
    <t>NRG Energy Inc</t>
  </si>
  <si>
    <t>That this climate-exposed company, deriving a significant proportion of revenues from coal, puts in place best practices by which to address the risks from climate change.</t>
  </si>
  <si>
    <t>a5da7000000580KAAQ</t>
  </si>
  <si>
    <t xml:space="preserve">As a utility, the company could benefit from the opportunity of increased diversity of technology base and carefully manage its exposure to assets impairment under global low-carbon scenarios, including coal power stations.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</si>
  <si>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a5da700000055mcAAA</t>
  </si>
  <si>
    <t>Our objective is for the company to adopt and disclose a human rights policy.</t>
  </si>
  <si>
    <t>a5da700000055orAAA</t>
  </si>
  <si>
    <t>Yara International ASA</t>
  </si>
  <si>
    <t>Bribery &amp; corruption</t>
  </si>
  <si>
    <t>a5da700000056OrAAI</t>
  </si>
  <si>
    <t>T-Mobile US Inc</t>
  </si>
  <si>
    <t>We questioned how the company is supporting its workforce during coronavirus.</t>
  </si>
  <si>
    <t>a5da7000000570qAAA</t>
  </si>
  <si>
    <t>Incoming CEO receiving substantial additional equity award</t>
  </si>
  <si>
    <t>a5da700000057j9AAA</t>
  </si>
  <si>
    <t>Sprint Merger</t>
  </si>
  <si>
    <t>We are engaging on business and cultural integration following the Sprint merger.</t>
  </si>
  <si>
    <t>a5da7000000570rAAA</t>
  </si>
  <si>
    <t>We have concerns about the ongoing labour union disputes at the company and its management of human capital management.</t>
  </si>
  <si>
    <t>a5da7000000570jAAA</t>
  </si>
  <si>
    <t>Support for shareholder proposal on human rights risk assessment process</t>
  </si>
  <si>
    <t>a5da700000056KgAAI</t>
  </si>
  <si>
    <t>Support for proxy access shareholder proposal at 2015 AGM</t>
  </si>
  <si>
    <t>a5da700000057RNAAY</t>
  </si>
  <si>
    <t>Tencent Holdings Ltd</t>
  </si>
  <si>
    <t>Child and teen health and safety</t>
  </si>
  <si>
    <t xml:space="preserve">In 2017, the Chinese Communist Party mouthpiece newspaper the People's Daily criticised the company for creating games that encouraged addictive behaviour in minors. The company responded by imposing daily gaming limits, but fake accounts could still be created and sold to minors who wanted to avoid the limits. As the company's business model is anchored to mobile gaming, we engaged with the company on strategy issues, taking into account the concentration of its geographical footprint, and the political risks to which it is exposed.
More recently, we have engaged with the company on child and teen health and safety. In our letter introducing the Digital Rights Principles, we encouraged the company to enhance disclosure on enforcement of policies and protections for children and young people. Policies should cover physical safety and harm prevention as well as mental health, screen addiction, and privacy rights for underaged users.</t>
  </si>
  <si>
    <t>a5da700000056lpAAA</t>
  </si>
  <si>
    <t>Our objective is for the company to simplify its terms and conditions and privacy policies, and to obtain consent from users for its collection, sharing, and retention of their personal information. In order for consent to be freely given, the company should make its terms and conditions easier to find and understand. This may require supplementing written text with videos and images. The company should be transparent with users about the extent to which their personal information will be shared with external state and non-state entities and/or their communications will be subject to censorship.</t>
  </si>
  <si>
    <t>a5da700000057jJAAQ</t>
  </si>
  <si>
    <t>Share issuance</t>
  </si>
  <si>
    <t>When issuing shares, the company needs to limit the dilution of shares for existing shareholders, to clearly disclose the link between performance and issuing shares, and provide independent administration of issuing shares. As of 2024, the company has made some positive reforms. We considered the company’s commitment to comply with Hong Kong Exchange listing rules, including the maximum discount limit of 20%. We further acknowledged the company’s actions to mitigate the risk of dilution. However, it is best practice to specify the discount limit and we encouraged the company to do so. We asked what barriers persist to specifying the discount rate for share issuance. It said specifying the discount rate for share issuance could limit its flexibility especially when its share price is affected by regulatory developments. (Q3 2024)</t>
  </si>
  <si>
    <t>a5da700000057JEAAY</t>
  </si>
  <si>
    <t>Since 2016, we have engaged with the company to improve its disclosure on human capital management.</t>
  </si>
  <si>
    <t>a5da700000057G3AAI</t>
  </si>
  <si>
    <t>The board needs to improve its gender diversity, as it has only one female director as of 2021. In 2023, the company appointed a second female director. The company has committed to 30% board gender diversity by 2030.</t>
  </si>
  <si>
    <t>a5da700000057IkAAI</t>
  </si>
  <si>
    <t>Since 2016, we have engaged the company to improve its disclosure on human rights.</t>
  </si>
  <si>
    <t>a5da700000057uSAAQ</t>
  </si>
  <si>
    <t>High risk regions</t>
  </si>
  <si>
    <t>Following the arrest of Huawei's CFO due to allegations of trading with Iran, we provided relevant input around business risk management in 2018. More recently, we emailed the company to raise concerns about a report by the Australian Strategic Policy Institute outlining its activities in the Xinjiang Uyghur Autonomous Region (XUAR). Of particular concern is the allegation that the company is involved in smart prison projects across China, including in the XUAR. Other activities mentioned in the report include involvement in tech campuses and bus stops in the XUAR, which may be directly or indirectly linked to forced labour risks in the area. During a follow up call, the company said it was not aware that it was involved in smart prison projects. Our discussions with the company as well as research into the sources cited (links to local government documents in Mandarin) found no conclusive evidence that the company is involved in smart prison projects.</t>
  </si>
  <si>
    <t>a5da700000056dIAAQ</t>
  </si>
  <si>
    <t>Data privacy</t>
  </si>
  <si>
    <t>Since 2020, we have engaged the company to improve its disclosure on data privacy.</t>
  </si>
  <si>
    <t>a5da700000056YaAAI</t>
  </si>
  <si>
    <t>Tencent uses variable interest entity (VIE) structures to hold internet content provider (ICP) licences that can only be held by Chinese nationals under local regulations in China. These VIEs have exclusive contractual relationships with subsidiaries of the listed company in the Cayman Islands. There are ongoing discussions about the lack of transparency in the corporate structure of Chinese technology companies. Our goal is to ensure that the existing corporate structure provides best practice shareholder rights protection within the regulatory framework that investors are exposed to in China and the related offshore markets, such as the Cayman Islands.</t>
  </si>
  <si>
    <t>a5da700000056PbAAI</t>
  </si>
  <si>
    <t>Baidu Inc</t>
  </si>
  <si>
    <t>Improve environmental performance management and related disclosure</t>
  </si>
  <si>
    <t>The company to improve environmental performance management and disclosure related metrics that is aligned with global practices.</t>
  </si>
  <si>
    <t>a5da7000000570EAAQ</t>
  </si>
  <si>
    <t>Ranking Digital Rights for Baidu</t>
  </si>
  <si>
    <t>Baidu tied with Alibaba for 10th place out of the 14 digital platforms in the Ranking Digital Rights (RDR) Index, and scored slightly higher than its direct peer, Tencent. In 2020, Baidu published a human rights policy, marking a major departure from corporate norms in China, but the policy was released beyond the reporting period for the 2020 RDR Index cycle. In 2019 and 2020, the company was warned twice by the Cyberspace Administration of China, the country’s central internet regulator, for vulgar newsfeed ads and “low-brow” content on its app. Baidu has long been accused of allowing false content and advertising to appear on its platforms. In response, the company released more data about content and the advertisements it restricted. However, Baidu still disclosed the least of all the digital platforms on policies affecting freedom of expression and information. For the first time, Baidu provided some information about its process for handling government and private requests to restrict content or accounts by clarifying the legal basis for these requests. But, as with other Chinese companies, Baidu said little about its policies for handling government demands for user information. China's political environment discourages companies from disclosing detailed information about these types of demands.</t>
  </si>
  <si>
    <t>a5da700000057eiAAA</t>
  </si>
  <si>
    <t>Establish and disclose a Statement of Business Purpose</t>
  </si>
  <si>
    <t>The company produces a statement of the impact of its corporate purpose on key stakeholders.</t>
  </si>
  <si>
    <t>a5da700000055lKAAQ</t>
  </si>
  <si>
    <t>Human rights - privacy issues</t>
  </si>
  <si>
    <t>The company has been criticised for disclosing user information to the government to the detriment of its users' rights to privacy.</t>
  </si>
  <si>
    <t>a5da700000056ZyAAI</t>
  </si>
  <si>
    <t>Progress on human capital KPIs</t>
  </si>
  <si>
    <t>We engaged with Baidu on human capital management between 2016 and 2021. We will follow up with the company on the mechanism developed to ensure continuous improvement on talent management and the progress the company is making. We will encourage the company to continue to make annual disclosures so that year-on-year improvements can be demonstrated.</t>
  </si>
  <si>
    <t>a5da700000057gGAAQ</t>
  </si>
  <si>
    <t>Lead independent director on the board</t>
  </si>
  <si>
    <t>We consider the founder, chair and CEO of the company too dominant a figure on the board. We asked the company to consider separating the role of CEO and chair or to provide sufficient diversity on the board, with evidence that there is a clear separation of power and duties and at least one individual acting as a counterweight to the founder. The aim is to encourage more diversified perspectives to formulate the strategy of the firm, which is thought to be spreading itself too thinly over a number of businesses, with no clear strategic focus. We expect positive financial results and streamlined operations as evidence of change.</t>
  </si>
  <si>
    <t>a5da700000055UkAAI</t>
  </si>
  <si>
    <t>Meta Platforms Inc</t>
  </si>
  <si>
    <t>The company to better describe what action it is taking in line with the UNGPs in relation to Myanmar.</t>
  </si>
  <si>
    <t>a5da700000057QVAAY</t>
  </si>
  <si>
    <t>Elimination of dual class share structure.</t>
  </si>
  <si>
    <t>a5da700000056YqAAI</t>
  </si>
  <si>
    <t>Taxation</t>
  </si>
  <si>
    <t>Fair tax policy and practice</t>
  </si>
  <si>
    <t>a5da700000056YoAAI</t>
  </si>
  <si>
    <t>To report on how the company seeks to reduce the gender pay gap among its employees.</t>
  </si>
  <si>
    <t>a5da700000056YkAAI</t>
  </si>
  <si>
    <t>Content moderation</t>
  </si>
  <si>
    <t>We believe Meta should do more to strengthen controls to prevent the live streaming of objectionable content being uploaded, viewed and shared, and strengthen controls to detect objectionable content so it can be effectively and quickly removed to prevent it being viewed and shared.</t>
  </si>
  <si>
    <t>a5da700000057VyAAI</t>
  </si>
  <si>
    <t>Fixing Facebook</t>
  </si>
  <si>
    <t>The founder finds ways to restore trust in Facebook so that it becomes a trusted social media outlet among its users, regulators and advertisers</t>
  </si>
  <si>
    <t>a5da700000056lRAAQ</t>
  </si>
  <si>
    <t>The company to fulfill its role in getting to net zero by 2050.</t>
  </si>
  <si>
    <t>a5da700000056vWAAQ</t>
  </si>
  <si>
    <t>Privacy rights</t>
  </si>
  <si>
    <t>The company collects, stores, and uses large quantities of data. Data is used to provide core services and often to generate additional revenue through targeted advertising and other personalised offerings. Data can be further monetised if it is shared with third parties such as data brokers that buy, repackage, and trade data for numerous purposes. The company has improved disclosure on privacy rights, but still falls short of the highest standard for user privacy rights in our view, which is a commitment to obtain user consent for collection, inference, sharing, and retention of their data.</t>
  </si>
  <si>
    <t>11/11/25</t>
  </si>
  <si>
    <t>a5da700000056kqAAA</t>
  </si>
  <si>
    <t>Brambles Ltd</t>
  </si>
  <si>
    <t>Commitment from board to disclose revenue growth and return on capital invested long-term incentive challenges (50% of the award).</t>
  </si>
  <si>
    <t>a5da700000056jyAAA</t>
  </si>
  <si>
    <t>Impact of accelerated automation programme on labour force</t>
  </si>
  <si>
    <t>The company accelerated its US automation programme through the CHEP brand. From an investment case perspective, this is compelling and delivering a much-needed increase in capacity of 30%, though it could impact on displacing labour for automated machinery.</t>
  </si>
  <si>
    <t>a5da700000056Y3AAI</t>
  </si>
  <si>
    <t>a5da700000057prAAA</t>
  </si>
  <si>
    <t>Shell PLC</t>
  </si>
  <si>
    <t>Risks associated with oil sands development, in particular environmental and community relations, are properly managed</t>
  </si>
  <si>
    <t>a5da700000057LrAAI</t>
  </si>
  <si>
    <t>a5da700000057LqAAI</t>
  </si>
  <si>
    <t>Seek better alignment with shareholders and more extensive disclosure in relation to use of discretion by remuneration committee</t>
  </si>
  <si>
    <t>a5da700000057a8AAA</t>
  </si>
  <si>
    <t>Conduct, culture and ethics</t>
  </si>
  <si>
    <t>a5da700000057VEAAY</t>
  </si>
  <si>
    <t>Worker safety</t>
  </si>
  <si>
    <t>a5da700000057V7AAI</t>
  </si>
  <si>
    <t>Diversity &amp; inclusion</t>
  </si>
  <si>
    <t>a5da700000057VVAAY</t>
  </si>
  <si>
    <t>Best practice board effectiveness including structure, skills, diversity. The hardware and software.</t>
  </si>
  <si>
    <t>a5da7000000574lAAA</t>
  </si>
  <si>
    <t>Arctic drilling</t>
  </si>
  <si>
    <t>Managing the risk of oil spills in the Arctic</t>
  </si>
  <si>
    <t>a5da700000057LpAAI</t>
  </si>
  <si>
    <t>Climate targets aligned to 1.5 degrees</t>
  </si>
  <si>
    <t>Our objective is that Shell sets climate targets aligned with 1.5°C that cover: the upstream and downstream emissions, Scope 1, 2 and 3 emissions, absolute and intensity, and short-, medium- and long-term targets.</t>
  </si>
  <si>
    <t>a5da700000055r6AAA</t>
  </si>
  <si>
    <t>Issue created by EOS ops as action was linked to completed objective</t>
  </si>
  <si>
    <t>a5da700000057rnAAA</t>
  </si>
  <si>
    <t>Improve risk management in relation to Nigerian operations.</t>
  </si>
  <si>
    <t>a5da700000057nhAAA</t>
  </si>
  <si>
    <t>Bribery and corruption.</t>
  </si>
  <si>
    <t>a5da700000057LnAAI</t>
  </si>
  <si>
    <t>a5da700000057gbAAA</t>
  </si>
  <si>
    <t>Physical climate risk management</t>
  </si>
  <si>
    <t>a5da700000057V9AAI</t>
  </si>
  <si>
    <t>Community and indigenous rights</t>
  </si>
  <si>
    <t>a5da700000057V8AAI</t>
  </si>
  <si>
    <t>Certain directors appear over-committed to too many different companies.</t>
  </si>
  <si>
    <t>a5da700000056eHAAQ</t>
  </si>
  <si>
    <t>Link REIT</t>
  </si>
  <si>
    <t>We invite the company to participate in the Statement of Significant Audiences and Materiality campaign jointly supported by Bob Eccles from Arabesque.</t>
  </si>
  <si>
    <t>a5da700000056QYAAY</t>
  </si>
  <si>
    <t>Improvement in social impact assessment</t>
  </si>
  <si>
    <t>The company recognised the need to improve their ability to set performance targets for measure social impact, especially in low income communities.We shared our insights and comments on their proposed plan.</t>
  </si>
  <si>
    <t>a5da700000056aRAAQ</t>
  </si>
  <si>
    <t>Expedia Group Inc</t>
  </si>
  <si>
    <t>Political Lobbying Transparency</t>
  </si>
  <si>
    <t>Company to improve disclosure on political lobbying activity.</t>
  </si>
  <si>
    <t>a5da700000057PPAAY</t>
  </si>
  <si>
    <t>We want the company to demonstrate sufficient management of human rights risks related to its business practices in the West Bank. Specifically, the company should provide evidence of enhanced human rights due diligence; engagement with stakeholders impacted by business operations; and use of its influence to promote positive human rights outcomes in the region, including for the Palestinian population. The company might also disclose a reasonable summary of findings and outcomes of enhanced human rights due diligence; report the percentage of revenue, suppliers, or other metrics sourced from conflict-afflicted regions; and seek industry-wide collaborative solutions or public private partnerships.</t>
  </si>
  <si>
    <t>a5da700000056q5AAA</t>
  </si>
  <si>
    <t>We are concerned about the low levels of independence on the board.</t>
  </si>
  <si>
    <t>a5da700000057lOAAQ</t>
  </si>
  <si>
    <t>Poor structure of equity awards</t>
  </si>
  <si>
    <t>a5da700000057lMAAQ</t>
  </si>
  <si>
    <t>Rexel SA</t>
  </si>
  <si>
    <t>The company's strategy update included the introduction of a five-year diversity, equality and inclusion plan with annual milestones. The company, which has a gender diversity ratio of 22.6% women, is yet to disclose clear targets for this strategy. We will monitor the progress of its milestones and advocate for ambitious targets in addition to a regionally specific talent recruitment approach.</t>
  </si>
  <si>
    <t>a5da700000057xOAAQ</t>
  </si>
  <si>
    <t>Aligning sustainability reporting with best-practice frameworks</t>
  </si>
  <si>
    <t>Providing sustainability disclosures that are aligned to frameworks such as those provided by GRI, SASB and, for climate risk assessment, TCFD.</t>
  </si>
  <si>
    <t>a5da700000057fjAAA</t>
  </si>
  <si>
    <t>Circular economy strategy</t>
  </si>
  <si>
    <t>Waste electrical and electronic equipment (widely known as WEEE or e-waste) is now one of the fastest-growing waste streams in the EU according to the EU Commission. Rexel distributes a range of products that contribute to this waste mountain and must therefore address this through collaboration across its value chain to increase circular economy initiatives.</t>
  </si>
  <si>
    <t>a5da700000057fSAAQ</t>
  </si>
  <si>
    <t>CF Industries Holdings Inc</t>
  </si>
  <si>
    <t>Climate change is one of the biggest threats facing the global economy. We expect companies to disclose climate-related financial risks in line with the TCFD recommendations.</t>
  </si>
  <si>
    <t>a5da700000057f2AAA</t>
  </si>
  <si>
    <t>Board Skills &amp; Diversity</t>
  </si>
  <si>
    <t>The company has sought to increase gender and ethnic diversity but this is currently lower than good US market practices. We will continue to engage on this matter.</t>
  </si>
  <si>
    <t>a5da700000057s6AAA</t>
  </si>
  <si>
    <t>We are concerned that the adjusted EBITDA goal was set below the prior year’s attained results without a compelling rationale, and at the same time, the programme paid out above targets. Additionally we are concerned about the inclusion of excise tax gross-ups, which can lead to substantial increases in potential payments upon termination of employment. The company has legacy arrangements with NEOs Barnard and Frost that provide for change in control excise tax gross-up payments. Given that the problematic provision is contained in an existing arrangement that was not modified in the last fiscal year, this remains a legacy concern. The company has committed to no longer providing this benefit in new or materially amended agreements.</t>
  </si>
  <si>
    <t>a5da7000000580gAAA</t>
  </si>
  <si>
    <t>a5da700000055qkAAA</t>
  </si>
  <si>
    <t xml:space="preserve">The company enhances the scope of its climate-related governance and management, and related disclosures to address opportunities and risks in its business.
In our view, further development of the company's climate-related governance and management, and related disclosures will help better identify and prepare for opportunities and risks related to the energy transition, including under global lower carbon scenarios, in the interests of the company and long-term shareholder value.</t>
  </si>
  <si>
    <t>a5da700000055qjAAA</t>
  </si>
  <si>
    <t>Given volatile conditions in 2020 related to energy prices and the coronavirus, the company may need to make short-term changes to its announced capital allocation strategy. We will continue to engage on this topic closely.</t>
  </si>
  <si>
    <t>a5da700000056wQAAQ</t>
  </si>
  <si>
    <t>Green hydrogen opportunity</t>
  </si>
  <si>
    <t>Green hydrogen and ammonia is an emerging way to produce low carbon fuels.</t>
  </si>
  <si>
    <t>a5da7000000575EAAQ</t>
  </si>
  <si>
    <t>Tesla Inc</t>
  </si>
  <si>
    <t>Long-term remuneration</t>
  </si>
  <si>
    <t>Concerns about the company's award last year of a 10-year options plan of $3.2m, to be awarded in tranches with a short vesting period. Each tranche vests on based on the achievement of market capitalisation and operational milestones of revenue and EBITDA.</t>
  </si>
  <si>
    <t>a5da700000057wmAAA</t>
  </si>
  <si>
    <t>The company does not disclose a robust cyber security policy. There are a number of vulnerability points with respect to cyber risk from mobile apps, wifi access and control and command centres as well as charging stations both public and private.</t>
  </si>
  <si>
    <t>a5da700000057ViAAI</t>
  </si>
  <si>
    <t>Tesla may be a game changer in promoting electric vehicles but its recycling practices lack a comprehensive company-wide strategy. We encouraged the company to embrace the circular economy through a holistic approach, ranging from renewable energy to recycling to reducing the amount of raw materials used.</t>
  </si>
  <si>
    <t>a5da700000057nuAAA</t>
  </si>
  <si>
    <t>Climate Strategy Disclosure</t>
  </si>
  <si>
    <t>Company to enhace climate reporting.</t>
  </si>
  <si>
    <t>a5da7000000582mAAA</t>
  </si>
  <si>
    <t>Unionisation &amp; Regulatory Risks</t>
  </si>
  <si>
    <t>The company has been in engaged in significant legal action with the US National Labor Relations Board and other parties on its alleged attempts to stifle unionisation efforts at its California and Nevada production facilities over the last several years. As this is a regulatory and labour management risk, this issue will continue to be monitored and engaged on at the company as it progresses through legal channels.</t>
  </si>
  <si>
    <t>a5da700000057onAAA</t>
  </si>
  <si>
    <t>Board refreshment - skills</t>
  </si>
  <si>
    <t>Our objective is for the board to consider appointing directors with skills related to managing large workforces in manufacturing environments.</t>
  </si>
  <si>
    <t>a5da700000055m7AAA</t>
  </si>
  <si>
    <t>Tesla claims to source all cobalt from North America, as it scales up. We want to find out how it manages its global supply chain.</t>
  </si>
  <si>
    <t>a5da700000057pmAAA</t>
  </si>
  <si>
    <t>Corporate governance letter</t>
  </si>
  <si>
    <t>Sign on to investor letter to encourage greater independence and annual election of all directors</t>
  </si>
  <si>
    <t>a5da700000056VJAAY</t>
  </si>
  <si>
    <t>Seven &amp; i Holdings Co Ltd</t>
  </si>
  <si>
    <t>Labour standards in agricultural supply chain</t>
  </si>
  <si>
    <t>Policy and processes on labour standards in agricultural supply chain are in line with best practice </t>
  </si>
  <si>
    <t>a5da700000055RCAAY</t>
  </si>
  <si>
    <t xml:space="preserve">Company restructures remuneration composition for the CEO of 7-Eleven or discloses details of performance criteria to justify his substantial bonus.  Background: The executive director was paid over JPY 2.4bn in 2017, of which over JPY 2.2bn was a bonus (&gt;10 times the fixed pay) with little explanation on performance criteria.</t>
  </si>
  <si>
    <t>a5da700000055bMAAQ</t>
  </si>
  <si>
    <t>Reporting on plastic footprint</t>
  </si>
  <si>
    <t>We are seeking detailed performance reporting on plastic use, which will enable investors to assess the company's progress against stated targets, as well as seeking further data points that illustrate the actions taken to create a circular system for plastic packaging. This should include a detailed plastic footprint, broken down by polymer type with indications of what is sustainably managed, and how this changes over time.</t>
  </si>
  <si>
    <t>a5da700000055q0AAA</t>
  </si>
  <si>
    <t>Seven &amp; i Holdings has a CO2 emissions reduction targets for 2030 and 2050 covering operations of stores, and some commitment to reduce Scope 3 emissions. We are asking to set up a science-based target. (The company previously contemplated on setting up a science-based target but it thought the coverage of scope 3 (supply chain) would make it difficult and its efforts have stalled while working on the TCFD reporting.</t>
  </si>
  <si>
    <t>a5da700000055kmAAA</t>
  </si>
  <si>
    <t>WDI survey</t>
  </si>
  <si>
    <t>We are encouraging the company to respond to the WDI survey.</t>
  </si>
  <si>
    <t>a5da700000057WAAAY</t>
  </si>
  <si>
    <t>The company has a significant agricultural supply chain but has limited disclosure about how it ensures adequate labour standards</t>
  </si>
  <si>
    <t>a5da700000056WAAAY</t>
  </si>
  <si>
    <t>Impact of and response to coronavirus.</t>
  </si>
  <si>
    <t>a5da700000056yGAAQ</t>
  </si>
  <si>
    <t xml:space="preserve">Separation of CEO and  chair</t>
  </si>
  <si>
    <t>The company sought our view about the separation of the CEO and chair roles.</t>
  </si>
  <si>
    <t>a5da700000057H2AAI</t>
  </si>
  <si>
    <t>Sustainability issues in supply chain</t>
  </si>
  <si>
    <t>Sustainable fishing, use of antibiotics, palm oil, cattle farming and deforestation</t>
  </si>
  <si>
    <t>a5da700000056pIAAQ</t>
  </si>
  <si>
    <t>A third of the board would be independent after the 2018 AGM.</t>
  </si>
  <si>
    <t>a5da700000057zyAAA</t>
  </si>
  <si>
    <t>Charter Communications Inc</t>
  </si>
  <si>
    <t>Publish a sustainability report.</t>
  </si>
  <si>
    <t>a5da700000057tfAAA</t>
  </si>
  <si>
    <t>Overboarded Chair-CEO</t>
  </si>
  <si>
    <t>The CEO, who is also chair, appears to serve on up to nine boards and as chair on up to four of these boards in April 2020. Although many of these overlapping boards are due to closely aligned control of subsidiary entities, the CEO is also serving as chair for businesses which have no connection to the company. We will engage on this issue to understand the company's view on over-commitments.</t>
  </si>
  <si>
    <t>a5da7000000575hAAA</t>
  </si>
  <si>
    <t>Lobbying Payments</t>
  </si>
  <si>
    <t>Increased transparency on corporate lobbying payments.</t>
  </si>
  <si>
    <t>a5da700000057nUAAQ</t>
  </si>
  <si>
    <t>Improved gender diversity on the board.</t>
  </si>
  <si>
    <t>a5da700000057nTAAQ</t>
  </si>
  <si>
    <t>Pro-rata vesting of equity awards and excessive short-term targets.</t>
  </si>
  <si>
    <t>a5da700000057SKAAY</t>
  </si>
  <si>
    <t>Implementation of proxy access at the company.</t>
  </si>
  <si>
    <t>a5da700000057SPAAY</t>
  </si>
  <si>
    <t>Lack of diversity on the board.</t>
  </si>
  <si>
    <t>a5da700000057cbAAA</t>
  </si>
  <si>
    <t>KB Financial Group Inc</t>
  </si>
  <si>
    <t>Savings bank has performed poorly</t>
  </si>
  <si>
    <t>04/11/25</t>
  </si>
  <si>
    <t>a5da700000056W0AAI</t>
  </si>
  <si>
    <t>a5da700000056CUAAY</t>
  </si>
  <si>
    <t>Outside directors with government links</t>
  </si>
  <si>
    <t>a5da700000057poAAA</t>
  </si>
  <si>
    <t>Union relations</t>
  </si>
  <si>
    <t>Recurrence of union protests</t>
  </si>
  <si>
    <t>a5da700000057plAAA</t>
  </si>
  <si>
    <t>Board effectiveness: Test the composition and effectiveness of the board</t>
  </si>
  <si>
    <t>Test whether the changes to the composition of the board are reflected in its working practices and impact</t>
  </si>
  <si>
    <t>a5da700000057pqAAA</t>
  </si>
  <si>
    <t>Engagement with the CEO nomination committee on the process of selection and appointment of a CEO for the next three-year term.</t>
  </si>
  <si>
    <t>a5da700000057ZQAAY</t>
  </si>
  <si>
    <t>Capital policy</t>
  </si>
  <si>
    <t>The company announced cancellation of treasury shares for the time in Korean banking history. It hinted further cancellation and promised that it would not affect future share buybacks or incremental dividend payout plan.</t>
  </si>
  <si>
    <t>a5da700000056omAAA</t>
  </si>
  <si>
    <t>Banking risk management</t>
  </si>
  <si>
    <t>a5da700000057ppAAA</t>
  </si>
  <si>
    <t>a5da700000057pnAAA</t>
  </si>
  <si>
    <t>Banking remuneration</t>
  </si>
  <si>
    <t>a5da700000057eQAAQ</t>
  </si>
  <si>
    <t>Misselling of Financial Products</t>
  </si>
  <si>
    <t>KB Financial Group has been involved in allegations of mis-selling of complex financial products to retail customers.</t>
  </si>
  <si>
    <t>a5da700000057ZRAAY</t>
  </si>
  <si>
    <t>Veeva Systems Inc</t>
  </si>
  <si>
    <t>Company to sunset dual class share structure.</t>
  </si>
  <si>
    <t>a5da7000000576dAAA</t>
  </si>
  <si>
    <t>Cyber Strategy</t>
  </si>
  <si>
    <t>Company to improve disclosure on its cyber strategy.</t>
  </si>
  <si>
    <t>a5da700000056mhAAA</t>
  </si>
  <si>
    <t>Company to sunset classified board structure.</t>
  </si>
  <si>
    <t>a5da7000000578WAAQ</t>
  </si>
  <si>
    <t>Increased disclosure and awareness of the importance of diversity and the strategy for promoting diversity and inclusion.</t>
  </si>
  <si>
    <t>a5da70000005788AAA</t>
  </si>
  <si>
    <t>Conversion to Public Benefit Corporation</t>
  </si>
  <si>
    <t>The company is exploring conversion to a Public Benefit Corporation.</t>
  </si>
  <si>
    <t>a5da700000057qkAAA</t>
  </si>
  <si>
    <t>Xylem Inc/NY</t>
  </si>
  <si>
    <t>Water intensity of operations</t>
  </si>
  <si>
    <t>Recycled water stands at only less than 5%, which is odd for a water equipment company.</t>
  </si>
  <si>
    <t>a5da700000056agAAA</t>
  </si>
  <si>
    <t>Impact reporting</t>
  </si>
  <si>
    <t>Reporting of product impacts, in particular water saved, water recycled, water treated.</t>
  </si>
  <si>
    <t>a5da700000056ahAAA</t>
  </si>
  <si>
    <t>Report employee turnover rate, and address potential employee engagement issues especially in the context of the high number of employees coming to retirement in the next 10 years.</t>
  </si>
  <si>
    <t>a5da700000056ajAAA</t>
  </si>
  <si>
    <t>CEO pay is not aligned to our principles.</t>
  </si>
  <si>
    <t>a5da700000056y2AAA</t>
  </si>
  <si>
    <t>Threshold to call a special meeting</t>
  </si>
  <si>
    <t>The current threshold for shareholders to call a special meeting is currently 25%. In line with our US coporate governance principles we believe this should be 10%.</t>
  </si>
  <si>
    <t>a5da700000057GNAAY</t>
  </si>
  <si>
    <t>Dollarama Inc</t>
  </si>
  <si>
    <t>The company should align its human rights policies with international best practice such as the UNGPs on business and human rights, and disclose how it assesses where potential human rights risks are in its value chain.</t>
  </si>
  <si>
    <t>a5da7000000582QAAQ</t>
  </si>
  <si>
    <t>We supported a proposal to require the company to adopt a policy on the living wage.</t>
  </si>
  <si>
    <t>a5da700000057jFAAQ</t>
  </si>
  <si>
    <t>ServiceNow Inc</t>
  </si>
  <si>
    <t>Three times CEO shareholding multiple, lack of full disclosure on holding period requirement, coupled with high quantum and options.</t>
  </si>
  <si>
    <t>a5da700000057MhAAI</t>
  </si>
  <si>
    <t>CEO shareholding multiple</t>
  </si>
  <si>
    <t>Increase three times CEO shareholding guideline to eight or 10 times.</t>
  </si>
  <si>
    <t>a5da700000057MjAAI</t>
  </si>
  <si>
    <t>The company to publish a statement of business purpose.</t>
  </si>
  <si>
    <t>a5da700000057toAAA</t>
  </si>
  <si>
    <t>Majority standard</t>
  </si>
  <si>
    <t>Move to a majority standard for charter and bylaw amendment (from 66.67%).</t>
  </si>
  <si>
    <t>a5da7000000570NAAQ</t>
  </si>
  <si>
    <t>Race and gender equity</t>
  </si>
  <si>
    <t>Race and gender pay equity, median pay gap, human capital development.</t>
  </si>
  <si>
    <t>a5da700000057MVAAY</t>
  </si>
  <si>
    <t>Right to call special meeting</t>
  </si>
  <si>
    <t>Right to call special meeting, ideally at 10%.</t>
  </si>
  <si>
    <t>a5da700000057MiAAI</t>
  </si>
  <si>
    <t>a5da7000000570LAAQ</t>
  </si>
  <si>
    <t>General Motors Co</t>
  </si>
  <si>
    <t>Shareholder Rights Enhancements</t>
  </si>
  <si>
    <t>We support meaningful shareholder proposals to bolster shareholder rights, including proxy access enhancement, and will engage on this as required.</t>
  </si>
  <si>
    <t>a5da700000057NKAAY</t>
  </si>
  <si>
    <t>Gender and racial equality strategy and implementation</t>
  </si>
  <si>
    <t>In 2020, the company announced a series of investments and ambitions in the wake of the murder of George Floyd in the US, and the CEO has taken this workforce challenge on as a personal mission. We support the company in its stated ambitions and investments, but we will closely monitor year-over-year progress to understand how the workforce is moving to greater equality in terms of development, recruitment, retention and remuneration. If successful, the business will set an example for action across large employers in the US.</t>
  </si>
  <si>
    <t>a5da700000057RnAAI</t>
  </si>
  <si>
    <t>Reporting against TCFD recommendations</t>
  </si>
  <si>
    <t>The company to report against the recommendations of the TCFD</t>
  </si>
  <si>
    <t>a5da700000057uhAAA</t>
  </si>
  <si>
    <t>Electrification Strategy &amp; Key Risks</t>
  </si>
  <si>
    <t>The company has significantly increased its capital expenditures to deliver on a more robust vehicle electrification strategy in order to compete and attempt to eventually position itself as a market leader in the electric vehicle space, with a full product range and best-in-class battery performance and cost. However, there are significant risks and obstacles to this strategy, in terms of technology development, product portfolio offerings, supply chain challenges, scalability, commodity scarcity and consumer demand and regulatory factors. This strategy issue should be monitored closely.</t>
  </si>
  <si>
    <t>a5da700000057uFAAQ</t>
  </si>
  <si>
    <t>Board &amp; Management Changes</t>
  </si>
  <si>
    <t>a5da700000057uIAAQ</t>
  </si>
  <si>
    <t xml:space="preserve">Our objective is for the company to develop and disclose a credible strategy including its capital allocation strategy to take advantage of climate-related opportunities and the benefits of reduced risks, addressing a range of global scenarios, including if the company considers feasible and appropriate and consistent with long-term financial value, those consistent global scenarios in line with the Paris goals._x000D_
_x000D_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</si>
  <si>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a5da700000055uUAAQ</t>
  </si>
  <si>
    <t>Increase Transparency on Supply Chain Social &amp; Human Rights Performance</t>
  </si>
  <si>
    <t>The company has introduced saliency assessments and a revised human rights policy. Additional enhancements to its strategy are also underway. These revisions are due to the changing nature of risks within its supply chains related to the sourcing of raw materials. The company is moving to a different mix of materials for its electric vehicles and components – such as rare earth minerals and electric vehicle powertrain components which are often sourced from or manufactured in high social risk locations. We believe that the company now needs to move away from describing its strategy and approach and towards transparent disclosures of its overall human rights audit and remediation activity. This includes reporting on its findings, progress and outcomes so that stakeholders can better understand how the company is managing its human rights risk and what actions it is taking for prompt improvement or corrections. There is a range of good-practice examples from the hardware technology sector which we believe the company can readily draw from to aid its reporting approach.</t>
  </si>
  <si>
    <t>a5da700000055uQAAQ</t>
  </si>
  <si>
    <t>Improved Remuneration Policies</t>
  </si>
  <si>
    <t>Ensure executive pay is effectively and appropriately linked to corporate performance; continue to reform pay practices, including increasing CEO ownership requirements and ensuring options vest from at least three years, among other enhancements which could be made as of 2021.</t>
  </si>
  <si>
    <t>a5da700000057uRAAQ</t>
  </si>
  <si>
    <t>US Fuel Economy, GHG &amp; Electrification Lobbying, Policy &amp; Regulation</t>
  </si>
  <si>
    <t>We continue to engage on the company's approach to fuel economy, greenhouse gas and electrification policy and regulation in the US, given its past mixed record of how it has lobbied on this issue. We believe the company needs to robustly support rapid electrification of the transportation sector in the US, and acknowledge that infrastructure beyond vehicles is a major part of decarbonisation of the sector in the country. We engage on this topic in conjunction with the Climate Action 100+ investor group engaging with the company.</t>
  </si>
  <si>
    <t>a5da700000057uiAAA</t>
  </si>
  <si>
    <t>Evolution of Board Skills</t>
  </si>
  <si>
    <t>We will continue to monitor the skills held across the company's board, given that the business is undergoing multiple transformations in product, supply chain, R&amp;D capacity and business model. The company is evolving into a fully electrified, services, software and platform-driven business with opportunities beyond vehicle manufacturing. These include transport automation in its far-reaching value chains.</t>
  </si>
  <si>
    <t>a5da700000057j0AAA</t>
  </si>
  <si>
    <t>Business purpose and long-term strategy</t>
  </si>
  <si>
    <t>The company has been identified as a potential leader in business purpose, given its historic approach to stakeholders and sustainability challenges. We have asked the company for board participation in the Enacting Purpose Initiative, in addition to continuing to engage on purpose and strategy in the longer term.</t>
  </si>
  <si>
    <t>a5da700000057j6AAA</t>
  </si>
  <si>
    <t>Transparency on Human Rights &amp; Social Performance in Supply Chains</t>
  </si>
  <si>
    <t>Shareholders have requested that the company report on how it is implementing its human rights policy on the ground, with greater transparency on progress, key issues and remedial action. Although the company provides a strong balance of policies on human rights, labour standards, and health and safety in its supply chains, there is little disclosure of how these policies are being implemented on a supplier-by-supplier basis other than through an aggregated figure of how the company has worked with its Tier 1 suppliers on human rights. We will continue to engage on the issue.</t>
  </si>
  <si>
    <t>a5da700000057jaAAA</t>
  </si>
  <si>
    <t>Policy &amp; Political Risk in China</t>
  </si>
  <si>
    <t>China represents the company's largest market by sales, and also its biggest future opportunity since China is the world's largest, electrifying car market. However, the company faces a set of increasing public policy risks through its operations as a US company. There is additional risk attached to the stakes it has in a range of successful Chinese automotive companies. We will continue to engage on how the company is monitoring, managing and responding to policy and political risk in China.</t>
  </si>
  <si>
    <t>a5da700000057j8AAA</t>
  </si>
  <si>
    <t>Workforce climate justice through the carbon transition</t>
  </si>
  <si>
    <t>As a systemically important employer and purchaser in the US, with a highly unionised workforce, the company has an outsized role to play in ensuring fair employment opportunities through the long-term transition to low-carbon economies. This is particularly relevant for the company given that electric vehicles have fewer moving parts and require less human labour in both manufacturing and in after-sales servicing. Managed poorly, the impact on employees could be severe and poses reputational and operational risks to the company because of the bargaining power available to its unions. We will continue to engage on this topic.</t>
  </si>
  <si>
    <t>a5da700000057iwAAA</t>
  </si>
  <si>
    <t>Electrification, emissions &amp; climate incentives in pay</t>
  </si>
  <si>
    <t>In 2021, a shareholder resolution asked for the company to evaluate the potential inclusion of electrification, emissions and climate incentives in remuneration. The company has stated that these are already part of some strategic objectives in annual incentives for executives, but this is not disclosed in detail. There are no targets yet tied to long-term remuneration. We will engage on this change as appropriate.</t>
  </si>
  <si>
    <t>a5da700000057j1AAA</t>
  </si>
  <si>
    <t>Climate change strategy including fleet development and public policy</t>
  </si>
  <si>
    <t>a5da700000057SVAAY</t>
  </si>
  <si>
    <t>2006 Q2</t>
  </si>
  <si>
    <t>a5da700000057R5AAI</t>
  </si>
  <si>
    <t>Materiality of ESG factors for financial disclosures</t>
  </si>
  <si>
    <t>Moving material ESG factors from sustainability reporting into mainstream financial reporting.</t>
  </si>
  <si>
    <t>a5da700000057uqAAA</t>
  </si>
  <si>
    <t>Alibaba Group Holding Ltd</t>
  </si>
  <si>
    <t>Protection of minority shareholder rights</t>
  </si>
  <si>
    <t>The company decided to take Alipay out of the IPO without an effective board decision deserves ongoign monitoring</t>
  </si>
  <si>
    <t>31/12/25</t>
  </si>
  <si>
    <t>a5da700000056c6AAA</t>
  </si>
  <si>
    <t>Engagement with board directors</t>
  </si>
  <si>
    <t>Our objective is for the company to facilitate a dialogue between board members and minority shareholders, either one-on-one or in a group meeting.</t>
  </si>
  <si>
    <t>a5da700000058d1AAA</t>
  </si>
  <si>
    <t>Counterfeit products and harmful content on the e-commerce platform</t>
  </si>
  <si>
    <t>The company has previously faced legal action from a number of global brands regarding fake products on its platform. We have encouraged more stringent practices and processes on supplier/seller selection and monitoring.</t>
  </si>
  <si>
    <t>a5da700000056avAAA</t>
  </si>
  <si>
    <t>Human rights practices</t>
  </si>
  <si>
    <t>In 2016, a supplier was reported to have employed child labour and we engaged with the company to discuss monitoring and next steps. The scope of this issue has since widened to cover all aspects of supply chain rights, including supplier audits and reporting.</t>
  </si>
  <si>
    <t>a5da700000057v9AAA</t>
  </si>
  <si>
    <t>Accounting practices</t>
  </si>
  <si>
    <t>Related to information disclosure - On 24 May 2016, the company's annual report filing with the SEC, shows that the regulator has sought more information about Alibaba's policies and practices on consolidation and equity investment, related party transactions and high profile reporting of landmark marketing events.</t>
  </si>
  <si>
    <t>a5da700000057Y0AAI</t>
  </si>
  <si>
    <t>Shareholder communication</t>
  </si>
  <si>
    <t>A rapidly growing company without transparent disclosure of mergers and acquisition strategy</t>
  </si>
  <si>
    <t>a5da700000057vBAAQ</t>
  </si>
  <si>
    <t>Customer data privacy regarding epayments and sale of wealth management products</t>
  </si>
  <si>
    <t>Social media and social credit data from e-payments enhance access to finance for individuals and small businesses, thus creating positive social impact but the mis-selling of wealth management products could also be an ESG risk. Our engagement aims to address the conduct and culture risk associated with this business process.</t>
  </si>
  <si>
    <t>a5da700000057XFAAY</t>
  </si>
  <si>
    <t>a5da700000057w0AAA</t>
  </si>
  <si>
    <t>On 24 December 2020, the State Administration for Market Regulation of the People's Republic of China launched an investigation pursuant to the anti-monopoly law. The company announced that it would actively co-operate with the investigation and that operations would remain normal.</t>
  </si>
  <si>
    <t>a5da70000005789AAA</t>
  </si>
  <si>
    <t>Human rights impacts of facial recognition technology</t>
  </si>
  <si>
    <t>In December 2020, media allegations were made about Alibaba Cloud developing facial recognition tools described as being capable of identifying Uyghur ethnic minorities. Alibaba Group issued a statement that was dismayed that Alibaba Cloud had developed facial recognition technology that included ethnicity but stated that this was only in a testing environment and that the technology was not deployed. It stated that it does not permit its technology to be used to target or identify specific ethnic groups.</t>
  </si>
  <si>
    <t>a5da700000057kCAAQ</t>
  </si>
  <si>
    <t>Gender equality and technology</t>
  </si>
  <si>
    <t>Addressing the risk of gender prejudice being built into applications and AI and hindering efforts to overcome the gender gap in digital skills.</t>
  </si>
  <si>
    <t>a5da700000056wGAAQ</t>
  </si>
  <si>
    <t>Customer data protection and data privacy</t>
  </si>
  <si>
    <t>The largest e-commerce platform in China is now expanding globally.We promote global best practice for data privacy and customer / supplier data protection</t>
  </si>
  <si>
    <t>a5da700000057vzAAA</t>
  </si>
  <si>
    <t>Argenx SE</t>
  </si>
  <si>
    <t>Our objective is for the company to redesign its remuneration package in line with our expectations. At a minimum, we expect the company to discontinue the use of stock options in the long-term incentive plan, but we will also seek additional improvements in disclosure and appropriate vesting periods.</t>
  </si>
  <si>
    <t>See case study</t>
  </si>
  <si>
    <t>a5da700000055kQAAQ</t>
  </si>
  <si>
    <t>Improve ESG reporting</t>
  </si>
  <si>
    <t>The company currently provides limited disclosure on ESG-related issues. It should identify its most material ESG-related issues, report on metrics and, where appropriate, set targets and report annual progress against these in its ESG reporting.</t>
  </si>
  <si>
    <t>a5da700000055tXAAQ</t>
  </si>
  <si>
    <t>a5da700000057ajAAA</t>
  </si>
  <si>
    <t>IQVIA Holdings Inc</t>
  </si>
  <si>
    <t>a5da700000057rvAAA</t>
  </si>
  <si>
    <t>The company has repeatedly awarded pay which is significantly above peer median to the CEO, and is lagging good practice standards in terms of disclosure on measures of performance for awards. Moreover, long-term remuneration is biased to time-based compensation. We will engage on the company's pay arrangements.</t>
  </si>
  <si>
    <t>a5da700000057ruAAA</t>
  </si>
  <si>
    <t>The company is transparent about its innovative use of artificial intelligence (AI) for combating antimicrobial resistance (AMR) and providing early identification of Parkinson's disease. Considering the growing use of AI in the healthcare industry and the associated risks, we are engaging the company on ensuring strong governance over the ethical use of AI.</t>
  </si>
  <si>
    <t>a5da700000057nwAAA</t>
  </si>
  <si>
    <t>Antimicrobial resistence (AMR) risk</t>
  </si>
  <si>
    <t>The company should be transparent about the risks that AMR poses to the business, and how the board and/or senior management assesses, oversees and manages this risk. The company is also exploring how it can use artificial intelligence to mitigate AMR risk, so we will monitor these issues concurrently.</t>
  </si>
  <si>
    <t>a5da700000057niAAA</t>
  </si>
  <si>
    <t>Zalando SE</t>
  </si>
  <si>
    <t>Increase proportion of sustainable products</t>
  </si>
  <si>
    <t>Our objective is for the company to disclose the proportion of products on its marketplace that are considered sustainable under the company's criteria and set a clear target to increase this proportion over time. </t>
  </si>
  <si>
    <t>a5da700000058UoAAI</t>
  </si>
  <si>
    <t>Executive Board Remuneration System</t>
  </si>
  <si>
    <t>Executive remuneration aligned with our remuneration principles.</t>
  </si>
  <si>
    <t>a5da7000000580nAAA</t>
  </si>
  <si>
    <t>Shopify Inc</t>
  </si>
  <si>
    <t>Lack of CEO shareholding requirement.</t>
  </si>
  <si>
    <t>a5da700000057NsAAI</t>
  </si>
  <si>
    <t>AbbVie Inc</t>
  </si>
  <si>
    <t>a5da700000057YhAAI</t>
  </si>
  <si>
    <t>Encourage robust disclosure on coronavirus implications for the company's business, employees and international coronavirus response.</t>
  </si>
  <si>
    <t>a5da7000000579EAAQ</t>
  </si>
  <si>
    <t>Ethics of artificial intelligence</t>
  </si>
  <si>
    <t>AI is becoming an increasingly utilised tool in the sector, we are monitoring the company's implementation and engaging on ethical governance.</t>
  </si>
  <si>
    <t>a5da700000057rNAAQ</t>
  </si>
  <si>
    <t>Continue to increase board diversity but beyond gender into race and background in particular.</t>
  </si>
  <si>
    <t>a5da70000005801AAA</t>
  </si>
  <si>
    <t>Further develop thinking and communication on business purpose, if possible in line with the statement campaign.</t>
  </si>
  <si>
    <t>a5da700000057zkAAA</t>
  </si>
  <si>
    <t>Political and lobbying activity</t>
  </si>
  <si>
    <t>Request for call on the issue</t>
  </si>
  <si>
    <t>a5da700000057eUAAQ</t>
  </si>
  <si>
    <t>Lobbying activity</t>
  </si>
  <si>
    <t>Lobbying shareholder proposal</t>
  </si>
  <si>
    <t>a5da700000056RRAAY</t>
  </si>
  <si>
    <t>Phillips 66</t>
  </si>
  <si>
    <t>Review promised improved environmental reporting and consider next steps</t>
  </si>
  <si>
    <t>The company does not report well on environmental issues and climate change risk. We seek improvements in its disclosure.</t>
  </si>
  <si>
    <t>a5da700000057G0AAI</t>
  </si>
  <si>
    <t>Diversity and inclusion strategy, targets and reporting including UK style gender gap reporting and meaningful race gap disclosure.</t>
  </si>
  <si>
    <t>a5da7000000576AAAQ</t>
  </si>
  <si>
    <t>Human rights disclosure</t>
  </si>
  <si>
    <t>Corporate Human Rights Disclosure Benchmark.</t>
  </si>
  <si>
    <t>a5da7000000574WAAQ</t>
  </si>
  <si>
    <t>Management of health, safety and environmental risk</t>
  </si>
  <si>
    <t>To ensure that company, spun off from ConocoPhillips has high environmental and health and safety standards.</t>
  </si>
  <si>
    <t>a5da700000057G1AAI</t>
  </si>
  <si>
    <t>Lessons from Dakota Access Pipeline</t>
  </si>
  <si>
    <t>The company to learn lessons from botched Dakota Access Pipeline project</t>
  </si>
  <si>
    <t>a5da700000056dvAAA</t>
  </si>
  <si>
    <t>Encourage reduction of greenhouse gas emissions</t>
  </si>
  <si>
    <t>The company has large downstream and midstream operations. It needs to demonstrate better that it is managing better its greenhouse gas emissions, including leaks from its assets.</t>
  </si>
  <si>
    <t>a5da700000057fhAAA</t>
  </si>
  <si>
    <t>Hi quantum and a slew of other issues already address by Phillips 66 corporate issues.</t>
  </si>
  <si>
    <t>a5da700000057u9AAA</t>
  </si>
  <si>
    <t>Uber Technologies Inc</t>
  </si>
  <si>
    <t>We will engage to ask that the company publishes peer reviewed research that convincingly demonstrates that its activities are net climate change positive/air quality positive in each of its most important markets.</t>
  </si>
  <si>
    <t>a5da700000057ISAAY</t>
  </si>
  <si>
    <t>How the company uses its purpose to improve its relationships with its stakeholders.</t>
  </si>
  <si>
    <t>a5da7000000578cAAA</t>
  </si>
  <si>
    <t>Long term financial sustainability</t>
  </si>
  <si>
    <t>Uber is one of the unicorns that has taken on large-scale private capital to grow the business at scale without being profitable. We engage with the company to push for a sensible business model that achieves long-term financial sustainability.</t>
  </si>
  <si>
    <t>a5da700000056qYAAQ</t>
  </si>
  <si>
    <t>Drivers management and work practice disclosure</t>
  </si>
  <si>
    <t>The profile of Uber drivers differs widely across the 57 markets in which it operates. We engage with the company to ensure that it has a group-wide framework to assess responsible workplace practices and address issues for drivers who may be categorised as dependent workers.</t>
  </si>
  <si>
    <t>a5da700000057LFAAY</t>
  </si>
  <si>
    <t>Reform of corporate culture</t>
  </si>
  <si>
    <t>Uber acquired notoriety for its toxic culture, including sexual misconduct and aggression, under the founder and former CEO. We engage with the company to monitor the concrete steps taken under the leadership of the current CEO and the new board members.</t>
  </si>
  <si>
    <t>a5da700000057LGAAY</t>
  </si>
  <si>
    <t>ENEOS Holdings Inc</t>
  </si>
  <si>
    <t>Company has substantial allegiant shareholdings</t>
  </si>
  <si>
    <t>a5da700000057utAAA</t>
  </si>
  <si>
    <t>Board diversity and skills</t>
  </si>
  <si>
    <t>The current board lacks diversity</t>
  </si>
  <si>
    <t>a5da700000057TaAAI</t>
  </si>
  <si>
    <t>Climate change risk</t>
  </si>
  <si>
    <t>Company is exposed to high risks related to climate change</t>
  </si>
  <si>
    <t>a5da700000057urAAA</t>
  </si>
  <si>
    <t>AIA Group Ltd</t>
  </si>
  <si>
    <t>A suitable incentivisation mechanism for agents and talent management are crucial to business sustainability. We establish this as an issue to monitor progress as the company expands throughout Asian markets that have their own talent pool, opportunities and challenges. The initial discussion showed prudent management focusing on culture and ethics management, which is positive.</t>
  </si>
  <si>
    <t>a5da700000056puAAA</t>
  </si>
  <si>
    <t>Integration of CSR into business model</t>
  </si>
  <si>
    <t>AIA Vitality programme, originally a CSR initiative, successfully created shared value between customers and company.We urged the the company to make better use of customerengagement and enhanced data collection for business growth.</t>
  </si>
  <si>
    <t>a5da700000056ioAAA</t>
  </si>
  <si>
    <t>Publish ethical AI and data governance principles</t>
  </si>
  <si>
    <t>The company launched its first 'Andy', the industry's first customer service robot, at AIA Wealth Centre. It assists customers online and responds to questions related to eClaim submissions, policy premiums, and via the AIA Connect mobile application. The company admitted that it does not have a good understanding of its AI footprint - knowing where AI is deployed. It appointed the Group AI lead in November 2018. We encourage it to establish its footprint and set up appropriate principles, referring to our white paper on this topic.</t>
  </si>
  <si>
    <t>a5da700000055f6AAA</t>
  </si>
  <si>
    <t>The company provides digital healthcare solutions, including Wedoctor, an e-health platform, and continues to digitise its sales and claims process. The vitality programme also collects and retains vital personal health records. We initiate a discussion on cybersecurity to focus on board oversight and operations management that are fit for purpose for its growth and the evolution of its business model.</t>
  </si>
  <si>
    <t>a5da700000056d6AAA</t>
  </si>
  <si>
    <t>Improved board access</t>
  </si>
  <si>
    <t xml:space="preserve">The company has been responsive to a range of ESG related issues and shared examples on how a CSR pilot initiative has become a pillar of its core ESG-interpreted business offer.  We are happy with the way the company manages its asset liability risks (which is most significant of a life insurance company). Board access is a longer time goal which we may be able to reconsider when board access culture becomes more acceptable locally.</t>
  </si>
  <si>
    <t>a5da700000056OQAAY</t>
  </si>
  <si>
    <t>Share option scheme</t>
  </si>
  <si>
    <t>The company currently does not disclose the performance hurdles of its share option scheme. We urge it to disclose the relevant metrics to be aligned with international best practice.</t>
  </si>
  <si>
    <t>a5da700000056ydAAA</t>
  </si>
  <si>
    <t>Succession planning and independence</t>
  </si>
  <si>
    <t>By the 2022 AGM, the chair's tenure was 11 years and four more directors had tenures of over nine years. We expect the company to develop and implement a plan for appointing a new independent chair and refreshing the board to replace long-tenured independent directors with new independent directors.</t>
  </si>
  <si>
    <t>2025 Q2</t>
  </si>
  <si>
    <t>a5da700000058dWAAQ</t>
  </si>
  <si>
    <t>Board practice</t>
  </si>
  <si>
    <t>Test relevant skills and experience of independent directors</t>
  </si>
  <si>
    <t>a5da700000056aYAAQ</t>
  </si>
  <si>
    <t>Test the group's sustainability strategy and reporting practice</t>
  </si>
  <si>
    <t>a5da700000056imAAA</t>
  </si>
  <si>
    <t>Asset liability management</t>
  </si>
  <si>
    <t>Monitor asset and liability management discipline as the company expands across different and diverse markets</t>
  </si>
  <si>
    <t>a5da700000056aaAAA</t>
  </si>
  <si>
    <t>Recent reappointment of former chair suggests shortcomings in succession planning and an over-reliance n this one individual</t>
  </si>
  <si>
    <t>a5da700000056QwAAI</t>
  </si>
  <si>
    <t>Kinder Morgan Inc</t>
  </si>
  <si>
    <t>Ensure transition of workers and communities to low carbon economy.</t>
  </si>
  <si>
    <t>a5da700000057QsAAI</t>
  </si>
  <si>
    <t>Scope 1, 2 targets</t>
  </si>
  <si>
    <t>Net Zero by 2050 targets.</t>
  </si>
  <si>
    <t>a5da700000057vIAAQ</t>
  </si>
  <si>
    <t>Community and indigenous peoples' engagement</t>
  </si>
  <si>
    <t>Effective programme of managing community and indigenous peoples' risks.</t>
  </si>
  <si>
    <t>a5da700000057TYAAY</t>
  </si>
  <si>
    <t>Supplier methane diligence and reduction activities</t>
  </si>
  <si>
    <t>Disclose supplier methane diligence and activities.</t>
  </si>
  <si>
    <t>a5da700000057leAAA</t>
  </si>
  <si>
    <t>Health and safety management is effective.</t>
  </si>
  <si>
    <t>a5da700000057GWAAY</t>
  </si>
  <si>
    <t>Purpose/capital allocation focused on long term interest of company</t>
  </si>
  <si>
    <t>Clearly state what investments making for long-term benefit of company rather than short term interest of some shareholders.</t>
  </si>
  <si>
    <t>a5da700000057VQAAY</t>
  </si>
  <si>
    <t>Our objective is for the company to increase the CEO's shareholding requirements to more than six times salary.</t>
  </si>
  <si>
    <t>a5da700000055egAAA</t>
  </si>
  <si>
    <t>Scope 3 baseline</t>
  </si>
  <si>
    <t>The company is to disclose a Scope 3 baseline.</t>
  </si>
  <si>
    <t>a5da700000057vCAAQ</t>
  </si>
  <si>
    <t>Climate change scenario reporting</t>
  </si>
  <si>
    <t>Produce report on what two degree scenarios would do for the business</t>
  </si>
  <si>
    <t>a5da700000057r6AAA</t>
  </si>
  <si>
    <t>Obtain director level engagement</t>
  </si>
  <si>
    <t>Elevate engagement to director level.</t>
  </si>
  <si>
    <t>a5da700000057cqAAA</t>
  </si>
  <si>
    <t>CCUS risk and diclosure</t>
  </si>
  <si>
    <t>The company has enhanced its disclosure of: carbon capture usage and storage safety; seismicity; environmental risk; and economic risk.</t>
  </si>
  <si>
    <t>a5da700000057xkAAA</t>
  </si>
  <si>
    <t>Methane reporting</t>
  </si>
  <si>
    <t>The company to demonstrate that it is managing its methane emissions effectively.</t>
  </si>
  <si>
    <t>a5da7000000581cAAA</t>
  </si>
  <si>
    <t>Zoetis Inc</t>
  </si>
  <si>
    <t>Decrease time-based stock options, increase vesting time.</t>
  </si>
  <si>
    <t>a5da700000057qJAAQ</t>
  </si>
  <si>
    <t>Establish policy on antibiotic pollution</t>
  </si>
  <si>
    <t>Our objective is for the company to establish acceptable antibiotic pollution limits from its manufacturing facilities.</t>
  </si>
  <si>
    <t>a5da700000055beAAA</t>
  </si>
  <si>
    <t>Establish Robust Policies and Procedures on Use of Antibiotics in Animal Feed</t>
  </si>
  <si>
    <t>Our objective is for the company to articulate a clear company-wide position and strategy on the use of antibiotics.</t>
  </si>
  <si>
    <t>a5da700000055c2AAA</t>
  </si>
  <si>
    <t>HCA Healthcare Inc</t>
  </si>
  <si>
    <t>Board statement of business strategy and purpose</t>
  </si>
  <si>
    <t>a5da70000005809AAA</t>
  </si>
  <si>
    <t>Misaligned long-term incentive structure.</t>
  </si>
  <si>
    <t>a5da7000000580GAAQ</t>
  </si>
  <si>
    <t>a5da70000005808AAA</t>
  </si>
  <si>
    <t>Disclosure of climate related risks and opportunities</t>
  </si>
  <si>
    <t>a5da7000000580AAAQ</t>
  </si>
  <si>
    <t>Enhance rights to call for a general meeting</t>
  </si>
  <si>
    <t>a5da7000000580FAAQ</t>
  </si>
  <si>
    <t>Workforce diversity and gender pay gap</t>
  </si>
  <si>
    <t>a5da700000057abAAA</t>
  </si>
  <si>
    <t>CNH Industrial NV</t>
  </si>
  <si>
    <t>The company was named in a Danwatch report alleging violating of human rights in</t>
  </si>
  <si>
    <t>The company was named in a Danwatch report alleging violation of human rights in the West Bank.</t>
  </si>
  <si>
    <t>a5da700000056VnAAI</t>
  </si>
  <si>
    <t>Board composition - independence and commitments</t>
  </si>
  <si>
    <t>Board independence and other commitments.</t>
  </si>
  <si>
    <t>a5da700000057A1AAI</t>
  </si>
  <si>
    <t>Poor pay practice.</t>
  </si>
  <si>
    <t>a5da7000000579zAAA</t>
  </si>
  <si>
    <t>a5da7000000579sAAA</t>
  </si>
  <si>
    <t>Board composition - diversity</t>
  </si>
  <si>
    <t>Lack of sufficient diversity on the board.</t>
  </si>
  <si>
    <t>a5da700000057A0AAI</t>
  </si>
  <si>
    <t>JD.com Inc</t>
  </si>
  <si>
    <t>Minority shareholder interest protection</t>
  </si>
  <si>
    <t>Strategic holdings of Tencent, Walmart and Google may pose risks for shareholder protection.</t>
  </si>
  <si>
    <t>a5da700000056v6AAA</t>
  </si>
  <si>
    <t>Multiple class share structure</t>
  </si>
  <si>
    <t>Multiple-class share structures disenfranchise minority shareholders and often increase the power of one shareholder for a disproportionate financial stake.</t>
  </si>
  <si>
    <t>a5da700000056ujAAA</t>
  </si>
  <si>
    <t>Company to add director election as agenda in AGM</t>
  </si>
  <si>
    <t>Our objective is for the company to add a director election agenda to its AGM. (The company has held an AGM since 2021 but there is no agenda for director election.)</t>
  </si>
  <si>
    <t>a5da700000055IEAAY</t>
  </si>
  <si>
    <t>Xinjinag forced labour issue</t>
  </si>
  <si>
    <t>Concern over the use of forced labour in the Xingjiang region.</t>
  </si>
  <si>
    <t>a5da700000057BvAAI</t>
  </si>
  <si>
    <t>Blockchain for supply chain management</t>
  </si>
  <si>
    <t>Application of blockchain technology to improve supply chain transparency</t>
  </si>
  <si>
    <t>a5da700000056b2AAA</t>
  </si>
  <si>
    <t>Share Class Structure</t>
  </si>
  <si>
    <t>The company employs a dual-class share structure. We would like the company to move to single class shares.</t>
  </si>
  <si>
    <t>a5da700000055tJAAQ</t>
  </si>
  <si>
    <t>Following the CEO's arrest and release, we took the opportunity to discuss the current board size with five members and whether the board has sufficient diversity of skills and experience for the growing business.</t>
  </si>
  <si>
    <t>a5da700000057wfAAA</t>
  </si>
  <si>
    <t>The company's founder and CEO was arrested in September 2018 after an allegation of rape in the US. He was released without charge and returned to China. We discussed key man risk and the impact on attracting talent, due to the risk of a tainted brand. The CEO lost a court battle in Australia in July to keep his name out of a sexual assault trial. Liu was not accused of any wrongdoing in that case, according to a court document. The case involved a person who had been a guest at a party hosted by Liu at his home in Sydney 2015 who accused another guest of sexually assaulting her at a hotel. The defendant was found guilty of seven offences.</t>
  </si>
  <si>
    <t>a5da700000057otAAA</t>
  </si>
  <si>
    <t>Anheuser-Busch InBev SA/NV</t>
  </si>
  <si>
    <t>Anti-bribery and corruption approach</t>
  </si>
  <si>
    <t>Company has best practice policy</t>
  </si>
  <si>
    <t>Belgium</t>
  </si>
  <si>
    <t>a5da700000056MAAAY</t>
  </si>
  <si>
    <t>Tax planning strategy</t>
  </si>
  <si>
    <t xml:space="preserve">To ensure the company does not adopt an aggressive approach to tax planning. This repesents a concern to investors as it can (i) create earnings risk and lead to governance problems, (ii) damage reputation and brand value, and (iii) cause macroeconiomic and societal distortions.  In particular, SABMiller was regarded as an example of best practice for tax reporting. AB-InBev completed the acquisition of SABMiller in October 2016 but does not adopt the same level of transaprency.</t>
  </si>
  <si>
    <t>a5da700000056SJAAY</t>
  </si>
  <si>
    <t>Biodiveristy</t>
  </si>
  <si>
    <t>Encourage the company to set an ambition to be biodiversity positive.</t>
  </si>
  <si>
    <t>a5da70000005735AAA</t>
  </si>
  <si>
    <t>Moving material ESG factors to mainstream financial reporting</t>
  </si>
  <si>
    <t>Moving the few material ESG factors from sustainability reporting to mainstream financial disclosures.</t>
  </si>
  <si>
    <t>a5da700000057NGAAY</t>
  </si>
  <si>
    <t>Water</t>
  </si>
  <si>
    <t>Best practice water management.</t>
  </si>
  <si>
    <t>a5da700000057N3AAI</t>
  </si>
  <si>
    <t>Recyclable Packaging</t>
  </si>
  <si>
    <t>Improve recyclability and the percentage recycled content of packaging.</t>
  </si>
  <si>
    <t>a5da700000057NBAAY</t>
  </si>
  <si>
    <t>a5da700000057ESAAY</t>
  </si>
  <si>
    <t>Gender representation is a hot topic for the board: AB-Inbev is a metric-driven organisation and realised something in the process of career progression is going wrong. At board level, only two of the 15 directors are female. This represents 13% of board members, and, according to the Belgian Companies Code, by 2018 at least one third of the directors will have to be women. The Company states in its annual report that as a newly listed company having securities admitted to trade on Euronext Brussels in October 2016, it will only need to comply with this gender diversity requirement as from January 2022.</t>
  </si>
  <si>
    <t>a5da700000057sbAAA</t>
  </si>
  <si>
    <t>Vistra Corp</t>
  </si>
  <si>
    <t>Climate change risk and opportunity management</t>
  </si>
  <si>
    <t>a5da70000005740AAA</t>
  </si>
  <si>
    <t>We are concerned about the overall quantum of the pay.</t>
  </si>
  <si>
    <t>a5da700000057W5AAI</t>
  </si>
  <si>
    <t xml:space="preserve">The company develops and discloses a credible strategy including its capital allocation strategy to take advantage of climate-related opportunities and the benefits of reduced risks, addressing a range of global scenarios, including if the company considers feasible and appropriate and consistent with long-term financial value, those consistent with the Paris Goals.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</si>
  <si>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a5da700000055uKAAQ</t>
  </si>
  <si>
    <t xml:space="preserve">To improve the efficiency and effectiveness of the company's public policy advocacy strategy in line with its corporate goals, the company should review the stated positions and policy advocacy activities of its industry associations for alignment to its own positions and activities and disclose a summary of the results, including any proposed actions. 
In our view, such actions can help better improve the legal and regulatory environment in order for the company to take advantage of the opportunities and risks related to the energy transition, including under global lower carbon scenarios, in the interests of the company and long-term shareholder value, and ensure the company is receiving an appropriate benefit for the costs of its membership in key associations.</t>
  </si>
  <si>
    <t>a5da700000055uJAAQ</t>
  </si>
  <si>
    <t>UBS Group AG</t>
  </si>
  <si>
    <t>Ensure that the bank is integrating climate change into its strategy and meets the goals of the Paris Agreement.</t>
  </si>
  <si>
    <t>a5da700000057S3AAI</t>
  </si>
  <si>
    <t>a5da700000057UAAAY</t>
  </si>
  <si>
    <t>Artificial Intelligence (AI) governance</t>
  </si>
  <si>
    <t>Globally, regulators and policy makers are unanimously calling for the ethical and responsible use of AI. We sought the board's insights in seven areas: the company's AI footprint; the board's oversight of the company's use of AI; the specific expertise that will enable the board to oversee the use of AI; the way the board oversees the uses of AI; the company's AI governance principles (if any) and the respective implementation; the board's evaluation of its own skills and expertise to oversee the risks and opportunities arising from AI; and the company's engagement with policymakers and other relevant stakeholders on AI governance.</t>
  </si>
  <si>
    <t>a5da700000056pzAAA</t>
  </si>
  <si>
    <t>Integrated Report</t>
  </si>
  <si>
    <t>The group published its second integrated report – the so-called Annual Review – which is aimed at investors, clients and other stakeholders and gives a more forward-looking overview of its business, strategy and performance. Although it better links the connecting values, we suggested further improvements in terms of the materiality determination process and inclusion of forward-looking key performance indicators.</t>
  </si>
  <si>
    <t>a5da700000056TNAAY</t>
  </si>
  <si>
    <t>Engagement around executive remuneration</t>
  </si>
  <si>
    <t>a5da700000056R0AAI</t>
  </si>
  <si>
    <t>Smaller investment banking operation</t>
  </si>
  <si>
    <t>a5da700000056KhAAI</t>
  </si>
  <si>
    <t>a5da700000056KcAAI</t>
  </si>
  <si>
    <t>Ensure appropriate transition to smaller investment banking operation</t>
  </si>
  <si>
    <t>In light of the successive financial scandals, it is clear that the investment bank must shrink -- as perhaps it would have had to in any case given the regulatory backdrop and the sovereign debt crisis. This transition needs to be made clear and to be carried out cleanly and effectively, with appropriate transparency for both shareholders and employees.</t>
  </si>
  <si>
    <t>a5da700000056KfAAI</t>
  </si>
  <si>
    <t>We invite the company to participate in the Statement of Significant Audiences and Materiality campaign jointly supported by Bob Eccles from Arabesque</t>
  </si>
  <si>
    <t>a5da700000056TMAAY</t>
  </si>
  <si>
    <t>The board has developed robust succession plans – including clear identification of relevant skills and experience for the next chair and chief executive officer and, upon execution, ensures a smooth transition process of key director roles.</t>
  </si>
  <si>
    <t>a5da700000057U4AAI</t>
  </si>
  <si>
    <t>Stellantis NV</t>
  </si>
  <si>
    <t>The company develops and discloses a credible strategy, including its capital allocation strategy, to take advantage of climate-related opportunities and the benefits of reduced risks, which reduces the risk of significant fines and penalties for not meeting the EU Fleet Emissions target.</t>
  </si>
  <si>
    <t>07/01/26</t>
  </si>
  <si>
    <t>a5da700000055l8AAA</t>
  </si>
  <si>
    <t>The Environmental Protection Agency issued a notice of violation to the company for alleged violations of the Clean Air Act for installing and failing to disclose engine management software in light-duty model year 2014, 2015 and 2016 Jeep Grand Cherokees and Dodge Ram 1500 trucks with 3.0 litre diesel engines sold in the United States. The undisclosed software results in increased emissions of nitrogen oxides (NOx) from the vehicles.</t>
  </si>
  <si>
    <t>a5da700000056iIAAQ</t>
  </si>
  <si>
    <t xml:space="preserve">To improve the efficiency and effectiveness of the company's public policy advocacy strategy in line with its corporate goals, the company should review the stated positions and policy advocacy activities of its subsidiaries and its industry associations for alignment to its own corporate positions and activities and discloses a summary of the results, including any proposed actions. 
In our view, such actions can help better improve the legal and regulatory environment in order for the company to take advantage of the opportunities and risks related to the energy transition, including under global lower carbon scenarios, in the interests of the company and long-term shareholder value, and ensure the company is receiving an appropriate benefit for the costs of its membership in key associations.</t>
  </si>
  <si>
    <t>a5da700000055usAAA</t>
  </si>
  <si>
    <t>a5da700000056zbAAA</t>
  </si>
  <si>
    <t>Special Voting Rights</t>
  </si>
  <si>
    <t>The board is asking for authorisation to issue special voting shares. In general, we disapprove of arrangements that deviate form the one-share, one-vote principle and have the potential to provide additional rights to some shareholders disproportionate to their capital commitment.</t>
  </si>
  <si>
    <t>a5da700000057IiAAI</t>
  </si>
  <si>
    <t>The company's proposed long-term incentive plan allows for vesting before the third anniversary based on performance of less than three years. In addition, the approval of a one-time grant to the CEO was made under the 2014-2018 long-term incentive plan, while the director has been in place only five months out of the five-year performance period.</t>
  </si>
  <si>
    <t>a5da700000057wjAAA</t>
  </si>
  <si>
    <t>Encourage company to adequately address climate change through emissions reduction.</t>
  </si>
  <si>
    <t>a5da700000057whAAA</t>
  </si>
  <si>
    <t>Women comprise 17% of the board of Fiat Chrysler Automobiles.</t>
  </si>
  <si>
    <t>a5da700000057IVAAY</t>
  </si>
  <si>
    <t>Hewlett Packard Enterprise Co</t>
  </si>
  <si>
    <t>We sent the company our 2022 Corporate Governance Principles, highlighting our priority topics.</t>
  </si>
  <si>
    <t>a5da700000057t5AAA</t>
  </si>
  <si>
    <t>Linde PLC</t>
  </si>
  <si>
    <t>Board racial and gender diversity</t>
  </si>
  <si>
    <t>Increase gender and racial diversity on the board (as at July 2021 there are three women and one black person).</t>
  </si>
  <si>
    <t>a5da700000057p6AAA</t>
  </si>
  <si>
    <t>Test the company's sustainability strategy.</t>
  </si>
  <si>
    <t>a5da700000057oKAAQ</t>
  </si>
  <si>
    <t>Envisaged merger with Praxair</t>
  </si>
  <si>
    <t>Linde wants to merge with its competitor, Praxair (US), to form the world's largest gases producer.</t>
  </si>
  <si>
    <t>a5da700000056QkAAI</t>
  </si>
  <si>
    <t>Merger with Praxair Inc</t>
  </si>
  <si>
    <t>Monitor the company's merger deal with Praxair, in particular the governance, tax, business strategy, and culture implications.</t>
  </si>
  <si>
    <t>a5da700000056f8AAA</t>
  </si>
  <si>
    <t>Talent management strategy focused on Senior Management</t>
  </si>
  <si>
    <t xml:space="preserve">Our objective is for the company to develop a strategy to improve cognitive diversity by ensuring a wide range of skills and experience among its senior management. _x000D_
_x000D_
In our view, such actions can help reduce costs of hiring and improve staff productivity, in the interests of the company and long-term shareholder value.</t>
  </si>
  <si>
    <t>a5da700000055rsAAA</t>
  </si>
  <si>
    <t>Remuneration of CEO</t>
  </si>
  <si>
    <t>Discretion used by compensation committee should be better disclosed.</t>
  </si>
  <si>
    <t>a5da700000057zFAAQ</t>
  </si>
  <si>
    <t>Hydrogen Strategy</t>
  </si>
  <si>
    <t>Company to better describe how it will capture more opportunities in the hydrogen economy.</t>
  </si>
  <si>
    <t>a5da700000057pGAAQ</t>
  </si>
  <si>
    <t>The board to strengthen the powers of the lead director or appoint an independent chair.</t>
  </si>
  <si>
    <t>a5da700000057mRAAQ</t>
  </si>
  <si>
    <t>Ensure adequate board composition and appropriate succession of chair and CEO.</t>
  </si>
  <si>
    <t>a5da700000057zEAAQ</t>
  </si>
  <si>
    <t>CK Hutchison Holdings Ltd</t>
  </si>
  <si>
    <t>Board director access</t>
  </si>
  <si>
    <t>No access to board directors</t>
  </si>
  <si>
    <t>a5da700000056XkAAI</t>
  </si>
  <si>
    <t>Our objective is for the company to align its disclosure and underlying processes with the four pillars of the Taskforce for Climate-Related Financial Disclosures (TCFD), including conducting scenario analysis for a range of physical and transition risks. The company should clearly demonstrate how scenario analysis, climate risk management, and related processes are used in decision-making at board level and throughout the company. The assessment should ideally be conducted at a group level. However, as the division companies are all in different sectors with different risks and opportunities, it may be more appropriate to conduct the TCFD assessment at division-level in some instances.</t>
  </si>
  <si>
    <t>a5da700000055j0AAA</t>
  </si>
  <si>
    <t>The company conducts a comprehensive biodiversity impact and dependence assessment at group level, or at operating company level if/where more appropriate. Identifying areas where the company is negatively impacting biodiversity is a first step to mitigating and reversing the negative impact. Improving the understanding of how the business is dependent on biodiversity and ecosystem services is an important aspect of risk management.</t>
  </si>
  <si>
    <t>a5da700000055n4AAA</t>
  </si>
  <si>
    <t>Improve board composition and effectiveness</t>
  </si>
  <si>
    <t>While the board composition has improved in some ways, we consider several areas to require further attention. We would like to see the number of executive directors on the board reduced (seven, as of January 2022). This should contribute to reducing overall board size and the average tenure, which is currently very high. We continue to think that the board would benefit from greater independence and fresh perspectives. We would like the company to conduct an independent board evaluation to help it identify and act on key areas for improvement.</t>
  </si>
  <si>
    <t>a5da700000055uNAAQ</t>
  </si>
  <si>
    <t>Deforestation in the supply chain - Forest 500</t>
  </si>
  <si>
    <t>We are concerned about the company's exposure to deforestation risks in its supply chain. Halting and reversing deforestation will be essential if we are to avoid the consequences of severe climate change and biodiversity loss. We have used the Forest 500 analysis and company rankings to assess the company's performance and disclosure. This includes an assessment across five dimensions: overall approach, commodity score, commitment strength, reporting and implementation, and social. This company scored 10.4/100 in the 2020 scorecard. It must urgently commit to a clear timeline and strategy for eliminating deforestation from its supply chain, primarily in the retail division.</t>
  </si>
  <si>
    <t>a5da7000000579uAAA</t>
  </si>
  <si>
    <t>Nutrien Ltd</t>
  </si>
  <si>
    <t>Sourcing phosphates in Western Sahara</t>
  </si>
  <si>
    <t>a5da700000056f3AAA</t>
  </si>
  <si>
    <t>High quantum above market compensation, better alignment with long term shareholders, e.g., via increasing CEO stock requirement to eight to 10 times from five times, requiring that stock be held for the long term.</t>
  </si>
  <si>
    <t>a5da700000057ujAAA</t>
  </si>
  <si>
    <t>Strengthen Board Skills, Diversity &amp; Independence</t>
  </si>
  <si>
    <t>The company has appointed an independent chair (as of 2019) and has reduced the board size to 12 directors, following its merger. The board has focused on a strong complement of skills and diversity above local market levels. The company should continue to focus on enhancing the capabilities and diversity of its board, particularly as it shifts to greater investment in digital agriculture.</t>
  </si>
  <si>
    <t>a5da700000056oTAAQ</t>
  </si>
  <si>
    <t>The post-merger company has several human capital challenges to manage, including headcount reductions and additions, successful cultural integration of merged companies, and short and long-term drivers of workforce engagement, retention and diversity.</t>
  </si>
  <si>
    <t>a5da700000056oVAAQ</t>
  </si>
  <si>
    <t>ASE Technology Holding Co Ltd</t>
  </si>
  <si>
    <t>Cash dividends</t>
  </si>
  <si>
    <t>The company has asked its shareholders to authorise the board to decide on approving future cash dividends to speed up the process. In 2021, we recommended a vote against authorising a cash dividend in a board meeting given that it is a basic shareholder right.</t>
  </si>
  <si>
    <t>a5da700000057PXAAY</t>
  </si>
  <si>
    <t>Non-compete restrictions</t>
  </si>
  <si>
    <t>The company has asked its shareholders for permission to release directors from non-compete restrictions. In 2021, we recommended a vote against releasing directors from non-compete restrictions due to insufficient disclosure.</t>
  </si>
  <si>
    <t>a5da700000057PZAAY</t>
  </si>
  <si>
    <t>Nominations committee</t>
  </si>
  <si>
    <t>The company does not have a director nomination system that provides the transparency that shareholders expect to cast an informed vote. In 2023, the company announced that it has followed peers in instituting a director nominations system for shareholders that own more than 2% of the company. We suggested that it create a nominations committee comprised of independent directors.</t>
  </si>
  <si>
    <t>a5da700000057lFAAQ</t>
  </si>
  <si>
    <t>Supply chain emissions</t>
  </si>
  <si>
    <t>Our objective is for the company's net-zero target to cover the most relevant Scope 3 greenhouse gas emissions (purchased goods and services) and disclose its plan on how it manages supply-chain emissions.</t>
  </si>
  <si>
    <t xml:space="preserve">If ASEH achieves its Scope 3 reduction goal of 25% by 2030, this would result in a reduction in annual emissions of approximately 5.3 MtCO2e from its 2020 baseline. ,  This should position it to reduce potential direct and indirect regulatory GHG emissions costs and enhance its product appeal to customers, thereby supporting long-term revenue.</t>
  </si>
  <si>
    <t>a5da700000058bqAAA</t>
  </si>
  <si>
    <t>Our objective is for the company to have at least 20% gender diversity on the board, meeting EOS' basic requirements.</t>
  </si>
  <si>
    <t>a5da700000058boAAA</t>
  </si>
  <si>
    <t>Migrant workers disclosure</t>
  </si>
  <si>
    <t>Our objective is for the company to improve its disclosure of how it manages migrant workers. The company should disclose the percentage of migrant workers in Taiwan especially, the management of its employee accommodation (audit results and how it improves issues identified), and how it ensures the protection of human and labour rights (not restricting its freedom of movement and reasonable working hours).</t>
  </si>
  <si>
    <t>ASEH’s efforts to more effectively manage the risks and opportunities created by having a significant number of migrant workers, through the application of RBA’s VAP standard and enhanced transparency on its HR framework, could lead to lower expenses associated with employee turnover and reduced reputational risks that adversely affect revenues.</t>
  </si>
  <si>
    <t>a5da700000058bpAAA</t>
  </si>
  <si>
    <t>Our objective is for the company to have at least 33% independence on the board.</t>
  </si>
  <si>
    <t>a5da700000058bnAAA</t>
  </si>
  <si>
    <t>The independence of the board is less than a third. The company said it remains committed to shrink the board to nine members and increase board independence by 2024.</t>
  </si>
  <si>
    <t>a5da700000057PYAAY</t>
  </si>
  <si>
    <t>Alphabet Inc</t>
  </si>
  <si>
    <t>Climate</t>
  </si>
  <si>
    <t>Climate-related risk and opportunity assessment, scenario analysis, governance, targets, TCFD disclosure.</t>
  </si>
  <si>
    <t>a5da700000057VRAAY</t>
  </si>
  <si>
    <t>Concerns over board independence due to potential conflicts of interests of a number of board directors and unclear board refreshment process</t>
  </si>
  <si>
    <t>a5da700000057jsAAA</t>
  </si>
  <si>
    <t>Vote against say on pay and stock plan renewal resolutions (2017)</t>
  </si>
  <si>
    <t>a5da700000057jrAAA</t>
  </si>
  <si>
    <t>Children</t>
  </si>
  <si>
    <t>The disclosure of the percentage of users who are children, or revenues derived thereof.</t>
  </si>
  <si>
    <t>a5da700000057xsAAA</t>
  </si>
  <si>
    <t>FPIC/Video privacy terms</t>
  </si>
  <si>
    <t>The company offers truly informed privacy choices and the ability to implement them.</t>
  </si>
  <si>
    <t>a5da700000057xrAAA</t>
  </si>
  <si>
    <t>intellectual property infringement</t>
  </si>
  <si>
    <t>Ensure appropriate strategy established for managing intellectual property infringement risk.</t>
  </si>
  <si>
    <t>a5da700000056OtAAI</t>
  </si>
  <si>
    <t>Examine the company's plans for mitigating international tax risks and encourage greater transparency on its approach</t>
  </si>
  <si>
    <t>a5da700000056WdAAI</t>
  </si>
  <si>
    <t xml:space="preserve">Up until June 2012 the company's equity had a dual-class structure that concentrated the voting power in the hands of Larry Page, Sergey Brin, and Eric Schmidt, who hold more than two thirds of the voting rights (Class A-1 vote, Class B- 10 votes).  In June 2012 Google adjusted its capital structure by establishing a third class of stock. These Class C shares have no voting rights attached. In Google’s own words, the recapitalization will prolong the co-founders' "unilateral ability to elect all directors and to determine the outcome of any matter submitted for a vote of stockholders."  We fail to understand why Google  is so reticent to accept any form of shareholder input as a part of its long-term governance model. In our view, this move is contrary to governance best-practice in the extreme, and we do not believe Google has offered compelling rationale as to why shareholders should accept anything less than an equal voice in a company that they own. Google has not given evidence of attempts by shareholders to manipulate the board into short-termism or actions that would be contrary to the best interests of the company or long-term investors</t>
  </si>
  <si>
    <t>a5da700000057jqAAA</t>
  </si>
  <si>
    <t>Lobbying and political disclosure</t>
  </si>
  <si>
    <t>Vote recommendations for proposals on lobbying and political activity (2017)</t>
  </si>
  <si>
    <t>a5da700000057jpAAA</t>
  </si>
  <si>
    <t>AI bias</t>
  </si>
  <si>
    <t>The company should uphold human rights in AI and provide greater transparency in how it develops and deploys AI.</t>
  </si>
  <si>
    <t>a5da700000057y5AAA</t>
  </si>
  <si>
    <t>Misinformation</t>
  </si>
  <si>
    <t>The company should comply with its own policies, or conduct a human rights impact assessment, on misinformation and disinformation.</t>
  </si>
  <si>
    <t>a5da700000057yYAAQ</t>
  </si>
  <si>
    <t>Compliance with own terms of service</t>
  </si>
  <si>
    <t>Board oversight of company compliance with its own policies.</t>
  </si>
  <si>
    <t>a5da700000057xtAAA</t>
  </si>
  <si>
    <t>Human rights and business model</t>
  </si>
  <si>
    <t>How the company balances the various human rights demands and tensions within its business model</t>
  </si>
  <si>
    <t>a5da700000057o3AAA</t>
  </si>
  <si>
    <t>Diversity and inclusion disclosure</t>
  </si>
  <si>
    <t>Vote recommendation on better disclosure (2017) including gender pay gap. We are pleased to see that following our engagement asking for historical information on diversity and inclusion (D&amp;I) to be added to the D&amp;I report, the company has included such information in the 2019 report.</t>
  </si>
  <si>
    <t>a5da700000057o2AAA</t>
  </si>
  <si>
    <t>Alphabet's Google dominates both the supply and demand side of online advertising platforms, providing pre-installed bundled services, and is alleged to have prioritised its service offering to consumers. In July 2018, the European Commission fined Google €4.3bn, and €1.5bn in March 2019, bringing the aggregate amount of fines to around US$10bn. We first raised the issue within the context of data privacy, human rights and AI governance in November 2018, and again in March 2019 and September 2019. The company has been reluctant to discuss the issue that hits the core of its business model in great detail. We decided to formally establish anti-competitive practices as a corporate objective as of September 2019. As the company continues to appeal the decision, we expect challenges in progressing with this engagement. However, given that the issue lies at the core of its business model, impacting its long-term value, we are determined to engage on it as much as possible.</t>
  </si>
  <si>
    <t>a5da700000055gZAAQ</t>
  </si>
  <si>
    <t>Epiroc AB</t>
  </si>
  <si>
    <t>Remuneration not fully in line with expectations. Urge company to move from stock options to RSU/PSU based plans in the future.</t>
  </si>
  <si>
    <t>Sweden</t>
  </si>
  <si>
    <t>a5da700000057CsAAI</t>
  </si>
  <si>
    <t>Broadcom Inc</t>
  </si>
  <si>
    <t>Disclosure of CEO compensation KPI</t>
  </si>
  <si>
    <t>CEO pay with a significant increase in non-equity remuneration and restricted stock without clear key performance indicator disclosure.</t>
  </si>
  <si>
    <t>a5da700000057Z0AAI</t>
  </si>
  <si>
    <t>workforce gender/racial/ethnic diversity -- DEI targets and plan incl training</t>
  </si>
  <si>
    <t>Workforce gender/racial/ethnic diversity - DEI targets and plan including training. Link to SDG 4, 5 and 10.</t>
  </si>
  <si>
    <t>a5da700000057bOAAQ</t>
  </si>
  <si>
    <t>Anti-competiive practices</t>
  </si>
  <si>
    <t>The US Federal Trade Commission (FTC) opened an investigation into Broadcom to determine whether the company engaged in anti-competitive practices. According to the regulator, the company allegedly changed contracts to require customers to buy a percentage of its production items instead of a certain quantity, a practice which may violate US antitrust laws.</t>
  </si>
  <si>
    <t>a5da700000056a1AAA</t>
  </si>
  <si>
    <t>DuPont de Nemours Inc</t>
  </si>
  <si>
    <t>Circlular economy, waste and pollution reduction</t>
  </si>
  <si>
    <t>The production of hazardous chemicals is a key risk for the company and sector. According to the World Health Organisation, two million people died due to hazardous chemical exposure in 2019, compared to 1.6 million in 2016. Hazardous chemicals are also key drivers of biodiversity loss. We want to support a transition towards safer chemicals, and yet 75% of all chemicals used and manufactured in Europe are hazardous to human health and/or the environment (EU 2019). In the wake of the European Green Deal, the regulatory and market pressure to transition towards less hazardous chemicals will increase. In the US, the Environmental Protection Agency released its roadmap in October 2021 for tackling per- and polyfluoroalkyl substances (PFAS). This multi-agency approach with increased disclosure and tighter restrictions is expected to impact companies in the near term. In recent years, the financial implications for company liability for past and current production of pollution of persistent chemicals, especially PFAS, have been clear. The company scored a D+ in ChemScore's 2021 annual ranking indicating greater transparency on the chemicals produced. A strategy to phase out hazardous chemicals may be warranted.</t>
  </si>
  <si>
    <t>a5da700000057i7AAA</t>
  </si>
  <si>
    <t>Long-term sustainable business strategy targets</t>
  </si>
  <si>
    <t>The combined DowDuPont entity will be spun off into three new businesses focused on agriculture (Corteva), speciality products (New DuPont) and materials science ("New Dow"). As this restructuring is being completed, we will monitor the long term targets and ambitions of the sustainability strategies for each new business to ensure each plan reflects the historic ambition and sustainability achievements of the previous Dow and DuPont businesses. We will engage to ensure each plan continues to include commercial goals for sustainable research and development, product development and innovation for customers of each new business.</t>
  </si>
  <si>
    <t>a5da700000057C8AAI</t>
  </si>
  <si>
    <t>Moving material ESG issues to mainstream financial disclosures</t>
  </si>
  <si>
    <t>Moving material ESG factors from sustainability reporting to mainstream financial disclosures.</t>
  </si>
  <si>
    <t>a5da700000057HxAAI</t>
  </si>
  <si>
    <t>Manage the risks and challenges of merger integration that could hinder the realisation of anticipated value.</t>
  </si>
  <si>
    <t>a5da700000056yyAAA</t>
  </si>
  <si>
    <t>Increase management and board diversity and reporting.</t>
  </si>
  <si>
    <t>a5da700000057D0AAI</t>
  </si>
  <si>
    <t>Support for shareholder proposal on the pro-rating of incentive awards in the event of a change of control</t>
  </si>
  <si>
    <t>a5da700000057bLAAQ</t>
  </si>
  <si>
    <t>Golden parachutes</t>
  </si>
  <si>
    <t>Voting against the payment of tax on golden parachutes arising from the company's merger with Dow Chemical</t>
  </si>
  <si>
    <t>a5da700000057bPAAQ</t>
  </si>
  <si>
    <t>Break up of merged company</t>
  </si>
  <si>
    <t>Company's three-way break-up of the newly merged entity, which is an alteration to its previous plan to split into six companies.</t>
  </si>
  <si>
    <t>a5da700000057HrAAI</t>
  </si>
  <si>
    <t>Quality of board leadership and risk governance</t>
  </si>
  <si>
    <t>The combined DowDuPont entity will be spun off into three new businesses focused on agriculture (Corteva), speciality products (New DuPont) and materials science (New Dow). New boards will be in place for each business. An array of good governance practices have been put in place in the current entity, and we will engage closely to ensure the same practices are reflected in governance of each new business. This includes strong independence with separation of chair and CEO roles, highly qualified independent directors with significant sector experience, dedicated enterprise risk oversight in committee roles, and support for enhancing shareholder rights where possible.</t>
  </si>
  <si>
    <t>a5da700000057pHAAQ</t>
  </si>
  <si>
    <t>Climate-related risks and opportunities, scenario planning, governance and strategy including scope 3 emissions.</t>
  </si>
  <si>
    <t>a5da700000057YDAAY</t>
  </si>
  <si>
    <t>Support for proxy access proposal</t>
  </si>
  <si>
    <t>a5da700000057bMAAQ</t>
  </si>
  <si>
    <t>Engagement initiation</t>
  </si>
  <si>
    <t>Initation of engagement with the company</t>
  </si>
  <si>
    <t>a5da700000056SyAAI</t>
  </si>
  <si>
    <t>Moving material ESG factors to mainstream financial disclosures</t>
  </si>
  <si>
    <t>Moving material ESG factors in sustainability reporting to mainstream financial disclosures.</t>
  </si>
  <si>
    <t>a5da700000057SgAAI</t>
  </si>
  <si>
    <t>Cigna Group/The</t>
  </si>
  <si>
    <t>Enhance disclosure around the use of corporate funds for political and lobbying activities.</t>
  </si>
  <si>
    <t>a5da7000000566mAAA</t>
  </si>
  <si>
    <t>Diversity and refreshment of the board</t>
  </si>
  <si>
    <t>Lack of diversity and refreshment of board.</t>
  </si>
  <si>
    <t>a5da700000057UrAAI</t>
  </si>
  <si>
    <t>Vote recommendation against say on pay resolution (2018).</t>
  </si>
  <si>
    <t>a5da700000057cRAAQ</t>
  </si>
  <si>
    <t>Walt Disney Co/The</t>
  </si>
  <si>
    <t>Company to strengthen its human rights due diligence processes in film production and sourcing: The company carries out appropriate due diligence related to the risks of forced labour in or from the Xinjiang Uyghur Autonomous Region (XUAR) in its value chain and can explain whether and how it is connected.</t>
  </si>
  <si>
    <t>a5da700000057u5AAA</t>
  </si>
  <si>
    <t>a5da700000057V5AAI</t>
  </si>
  <si>
    <t>Sexual harassment</t>
  </si>
  <si>
    <t>Thorough response to the sexual harassment allegations faced by the company to include necessary cultural changes.</t>
  </si>
  <si>
    <t>a5da700000057UmAAI</t>
  </si>
  <si>
    <t>Culture Integration Leadership</t>
  </si>
  <si>
    <t>The company is acquiring certain assets from Twenty-First Century Fox, and is therefore acquiring the well documented conduct and culture problems at Fox. From our prior engagement with the Fox board, we know that Fox was aware of these conduct and culture problems and reported that, while it was working hard to change the culture at Fox, that this was still a work in process. This work in progress is now being adopted by Disney, and Disney will have to resolve these conduct and culture problems that stand in direct opposition to the Disney brand. We are concerned that the chief executive officer needed, apparently, a 100 million dollar incentive to take on this integration task as part of his publicity reported contract extension tied to this merger. This unreasonably high level of compensation, that received a majority dissent from shareholders at the most recent annual meeting, points us to engage on the readiness of the executive leadership succession plan to handle this difficult integration. Regarding potential changes to the chief executive officer's contract extension in response to the majority shareholder dissent, the chair of the compensation committee stated “The board accepts the result of today’s non-binding vote and will take it under advisement for future chief executive officer compensation. We believe that the terms of Bob’s extension are in the best interests of our company and our shareholders, and essential to Disney’s ability to effectively maximize long-term value from this extraordinary acquisition.”</t>
  </si>
  <si>
    <t>a5da700000057UsAAI</t>
  </si>
  <si>
    <t>Improvement in modern slavery act statement</t>
  </si>
  <si>
    <t>Modern Slavery Act has room for improvement, including better use of relevant reporting frameworks, disclosure on gaps identified and improvements that need to be made.</t>
  </si>
  <si>
    <t>a5da7000000581FAAQ</t>
  </si>
  <si>
    <t>More than 26 million people working in the private sector have no access to paid sick days, and millions more cannot earn and use paid sick time to care for a sick child or family member. This leaves working people in the US with an impossible choice when they are sick: stay home and risk their economic stability or go to work and risk their health and the public’s health. Seven in ten of the lowest-wage workers do not have paid sick days to care for their own health. Black, indigenous, and people of colour workers, low-wage, part-time, immigrant, and service-industry workers are especially unlikely to have access to paid sick days. Disparities in access to paid sick days disproportionately exposes Latinx and Black workers to an increased risk of illness. Nearly half (48%) of Latinx workers and more than one-third (36%) of Black workers report having no paid time away from work of any kind. While women overall are about as likely as men to have paid sick days, low levels of coverage disproportionately affect mothers because they are more likely than fathers to miss work to take care of sick children. Further, workers who interact the most with the public are often the least likely to have paid sick days, leading to greater exposure and risk. In 2022, Walt Disney was identified as one of a number of companies who may not have robust policies in place for paid sick leave for direct and indirect employees. We co-signed a letter on the topic which was sent to the company by the Interfaith Center on Corporate Responsibility (ICCR).</t>
  </si>
  <si>
    <t>a5da700000057kWAAQ</t>
  </si>
  <si>
    <t>Enhanced corporate culture including existence of transparent and robustly enforced code of ethics.</t>
  </si>
  <si>
    <t>a5da700000057VBAAY</t>
  </si>
  <si>
    <t>Proxy Access</t>
  </si>
  <si>
    <t>Seek proxy access on behalf of long-term shareholders</t>
  </si>
  <si>
    <t>a5da700000057VCAAY</t>
  </si>
  <si>
    <t>Company to articulate and enact its business purpose.</t>
  </si>
  <si>
    <t>a5da7000000576UAAQ</t>
  </si>
  <si>
    <t>Amcor PLC</t>
  </si>
  <si>
    <t>ACSI engagement activity on Plastics - Exposure to risks around plastics</t>
  </si>
  <si>
    <t>a5da700000057RKAAY</t>
  </si>
  <si>
    <t>Concerns about the low shareholding requirements for the CEO.</t>
  </si>
  <si>
    <t>a5da700000056n7AAA</t>
  </si>
  <si>
    <t>Nordea Bank Abp</t>
  </si>
  <si>
    <t>The bank's response to climate change.</t>
  </si>
  <si>
    <t>a5da700000057iAAAQ</t>
  </si>
  <si>
    <t>Following its involvement in money laundering issues, the bank has significantly invested to improve its risk and compliance process to address money laundering.</t>
  </si>
  <si>
    <t>a5da7000000572bAAA</t>
  </si>
  <si>
    <t>The chair is over-committed against our guidelines.</t>
  </si>
  <si>
    <t>a5da700000056xmAAA</t>
  </si>
  <si>
    <t>Cisco Systems Inc</t>
  </si>
  <si>
    <t>Better disclosure of lobbying activity</t>
  </si>
  <si>
    <t>Improving the company's disclosure of how it manages risk, in particular reputational risk, regarding its lobbying activity</t>
  </si>
  <si>
    <t>a5da700000056klAAA</t>
  </si>
  <si>
    <t>Renewables Strategy</t>
  </si>
  <si>
    <t>The company sources a very high proportion of renewable energy and has a strong role to play in educating and encouraging other corporate actors to vastly increase renewable energy generation and/or procurement.</t>
  </si>
  <si>
    <t>a5da700000057CRAAY</t>
  </si>
  <si>
    <t>Product Energy Efficiency</t>
  </si>
  <si>
    <t>The company continues to improve the energy efficiency of its products and aid its customers in broader energy savings. We will monitor its continued ambitions and progress in this area, as product-use represents the largest part of the company's scope 3 carbon footprint.</t>
  </si>
  <si>
    <t>a5da700000057CeAAI</t>
  </si>
  <si>
    <t>Supply chain transparency</t>
  </si>
  <si>
    <t>Through CDP, we tried to push Hon Hai, a supplier of Cisco, to become more transparent in its CDP climate change and water surveys disclosure. The discussion also helped us to understand the sustainability efforts within Cisco, beyond scope 3 emissions targets setting, to cover other ESG related issues.</t>
  </si>
  <si>
    <t>a5da700000057CdAAI</t>
  </si>
  <si>
    <t>Circular Economy Strategy</t>
  </si>
  <si>
    <t>The company has significant accomplishments in driving a more circular economy through its efforts in its product take-back, refurbishment, resale and recycling parts of its business. We will monitor how it increases ambition and makes further progress, particularly in collaborating across value chains.</t>
  </si>
  <si>
    <t>a5da700000057CDAAY</t>
  </si>
  <si>
    <t>Best Practices in Human Capital Management</t>
  </si>
  <si>
    <t>The company has strong human capital management practices and has evolved its culture to attract and retain key employees as it shifts to a software, services, subscription and cloud-based business. However, it faces intense competition for talent in the technology sector, particularly in the Bay Area, and must continue to develop best practices for employee recruitment, engagement and retention. This includes reinforcing a nimble, accountable and honest culture.</t>
  </si>
  <si>
    <t>a5da700000057CgAAI</t>
  </si>
  <si>
    <t>Human rights implications of unintended product use</t>
  </si>
  <si>
    <t>Cisco has come under fire from certain NGO’s claiming that the company’s technology is used to suppress human rights in China. While related lawsuits have all been dismissed by the courts and Cisco cleared of any liability for the alleged human rights abuses as the plaintiffs have never been able to definitely prove the manner in which technology can be customized for oppressive uses, reputational risks for the company persist.</t>
  </si>
  <si>
    <t>a5da700000056H7AAI</t>
  </si>
  <si>
    <t>Monitor bribery and corruption risk management</t>
  </si>
  <si>
    <t>We had a detailed conversation with the head of legal of the company's region that covers Africa and the middle-east about how it manages bribery risk. It stated that it was competing against privately held companies that used bribery as part of their business models in certain African states. However, it was finding that over the longer term these companies were alienating the customers that they won by poor performance of their contracts and in fact sometimes not even delivering on their bribes in certain African states. The company therefore believed that its efforts to be an ethical participant in the industry were paying dividends over the longer term. We discussed the information that the board received to manage its exposure in this area as well as the behavioural expectations it had of employees and suppliers. It was a reassuring conversation on this important issue with the company noting that it had not had any regulatory issues relating to bribery since its inception.</t>
  </si>
  <si>
    <t>a5da700000056B9AAI</t>
  </si>
  <si>
    <t>The company has used several one-time awards and we want to ensure this practice is strictly limited, despite the challenges of recruiting talent in the San Francisco Bay area. Pay practices require continued monitoring.</t>
  </si>
  <si>
    <t>a5da700000057suAAA</t>
  </si>
  <si>
    <t>Recommend vote for independent chair</t>
  </si>
  <si>
    <t>Supporting proposal for an independent chair.</t>
  </si>
  <si>
    <t>a5da700000056oYAAQ</t>
  </si>
  <si>
    <t>Board Refreshment</t>
  </si>
  <si>
    <t>The company has several long-tenured directors with traditional 'former CEO' backgrounds, and an updated slate of directors with a skill-set which reflects current and future challenges should be a priority.</t>
  </si>
  <si>
    <t>a5da700000057CFAAY</t>
  </si>
  <si>
    <t>Statement of Corporate Purpose</t>
  </si>
  <si>
    <t>Establish a statement of business purpose.</t>
  </si>
  <si>
    <t>a5da700000057MqAAI</t>
  </si>
  <si>
    <t>Ongoing monitoring and evaluation of corporate governance standards and developments</t>
  </si>
  <si>
    <t>a5da700000057srAAA</t>
  </si>
  <si>
    <t>Seagate Technology Holdings PLC</t>
  </si>
  <si>
    <t>Working conditions in manufacturing facilities</t>
  </si>
  <si>
    <t>The company only provides basic information on how it manages risks in its supply chain. Give the often poor reputation the electronics industry has for working conditions, the company needs to provide more evidence that this issue is managed appropriately.</t>
  </si>
  <si>
    <t>a5da7000000575dAAA</t>
  </si>
  <si>
    <t xml:space="preserve">• Electronics industry uses small quantities of materials but they are high value.  • Seagate includes lifecycle analysis for many products to measure resource depletion, water use, energy, climate change impact and toxicity. It has improved on all metrics on a normalised basis • The company has several very innovative projects looking at circular consumption patterns, particularly for rare earth elements</t>
  </si>
  <si>
    <t>a5da700000057GVAAY</t>
  </si>
  <si>
    <t xml:space="preserve">•Seagate’s approved science-based target puts it amongst the leaders in the industry.  •It has made moderate progress so far •We note that some technology hardware companies are increasing their SBTi to align with 1.5C. We would encourage Seagate to consider reviewing its own target with this in mind.</t>
  </si>
  <si>
    <t>a5da700000057GXAAY</t>
  </si>
  <si>
    <t>Distributable reserves</t>
  </si>
  <si>
    <t>The company will create additional distributable reserves using a capital reduction. This is because it moved to a holding company structure and the new company won’t have a trading history, so the reserves need to be created. However, the reserves will be equal to the market cap of the original trading company, so technically the company could pay out its entire market cap as a dividend.</t>
  </si>
  <si>
    <t>a5da700000057GTAAY</t>
  </si>
  <si>
    <t>Discuss executive compensation principles and trends with board member</t>
  </si>
  <si>
    <t>a5da7000000580QAAQ</t>
  </si>
  <si>
    <t>Barclays PLC</t>
  </si>
  <si>
    <t>Licence to operate</t>
  </si>
  <si>
    <t>a5da700000056tXAAQ</t>
  </si>
  <si>
    <t>corporate culture</t>
  </si>
  <si>
    <t>a5da700000056dgAAA</t>
  </si>
  <si>
    <t>Regulatory Stress Test</t>
  </si>
  <si>
    <t>Monitor Barclays' progress in meeting US, UK and other relevant regulators' stress tests</t>
  </si>
  <si>
    <t>a5da700000056FhAAI</t>
  </si>
  <si>
    <t>a5da700000056FrAAI</t>
  </si>
  <si>
    <t>Ensure effective risk management is in place, particularly around key staff and operations in troubled regions, and in particular Zimbabwe.</t>
  </si>
  <si>
    <t>a5da700000056dhAAA</t>
  </si>
  <si>
    <t>a5da7000000569XAAQ</t>
  </si>
  <si>
    <t>London Living Wage</t>
  </si>
  <si>
    <t>a5da700000055zPAAQ</t>
  </si>
  <si>
    <t>a5da700000056eIAAQ</t>
  </si>
  <si>
    <t>Political risk management</t>
  </si>
  <si>
    <t>a5da700000056FgAAI</t>
  </si>
  <si>
    <t>a5da700000056E3AAI</t>
  </si>
  <si>
    <t>Embedding citizenship into culture and strategy</t>
  </si>
  <si>
    <t>Improve and embed the bank's citizenship programme into its culture and strategy</t>
  </si>
  <si>
    <t>a5da7000000565pAAA</t>
  </si>
  <si>
    <t>Seek board refreshment and ensure board is led by a strong chair with financial services experience.</t>
  </si>
  <si>
    <t>a5da7000000569YAAQ</t>
  </si>
  <si>
    <t>Our objective is for Barclays to engender a culture which is responsible, customer-centric and aligned to its shareholders.</t>
  </si>
  <si>
    <t>a5da700000055OdAAI</t>
  </si>
  <si>
    <t>Ring-fence Implementation</t>
  </si>
  <si>
    <t>Monitor Barclays' progress in implementing the ring-fence of its retail from its investment banking operations</t>
  </si>
  <si>
    <t>a5da700000056tzAAA</t>
  </si>
  <si>
    <t>Climate change approach</t>
  </si>
  <si>
    <t>The Barclays Energy and Climate Change Statement published on 14 January 2019 could more ambitious. TCFD recommendation implementation ongoing.</t>
  </si>
  <si>
    <t>a5da700000057uHAAQ</t>
  </si>
  <si>
    <t>Barclays' executive director remuneration policy allowed for 17% of fixed pay to be paid in lieu of a pension entitlement. In line with the expectations of the new UK Corporate Governance Code, we expect pension contributions for executives to be brought into line with the rate available for the majority of the workforce.</t>
  </si>
  <si>
    <t>a5da700000056muAAA</t>
  </si>
  <si>
    <t>HSBC Holdings PLC</t>
  </si>
  <si>
    <t>a5da700000057VlAAI</t>
  </si>
  <si>
    <t>Financial crime and regulatory compliance - Deferred Prosecution Agreement</t>
  </si>
  <si>
    <t>HSBC and HSBC Bank USA NA entered into a Deferred Prosecution Agreement (DPA) with the US Department of Justice (‘DoJ’) and Financial Conduct Authority in 2012 regarding non-compliance with the US Bank Secrecy Act, anti-money laundering rules, and sanctions laws. The duration of the DPA is five years. If the DoJ concluded that a breach of the DPA had occurred, there are a number of potential penalties that could be imposed that could have a material adverse effect on HSBC’s business. The could include loss of business and withdrawal of funding, restrictions on US clearing functions through Bank USA or revocation of bank licences. The loss of this ability could have a significant adverse impact on the going concern status of HSBC and its individual subsidiaries in the future.</t>
  </si>
  <si>
    <t>a5da700000057OMAAY</t>
  </si>
  <si>
    <t>In our engagements we look at three areas of tax policy, governance and transparency. On policy, we look for a clear set of principles on tax responsibility, which would include paying tax in line with the location of economic value generation and in line with the legislative intention of tax law. We also look for policies to cover the company’s tax-related approach to corporate structuring, due diligence, tax havens and use of incentives. On governance, we support the G20/OECD principle of corporate governance that an important board responsibility is “to oversee the risk management system and systems designed to ensure that the corporation obeys applicable laws, including tax”. We expect the board, in particular the audit committee, to have oversight of tax risks and the implementation of the tax policy. The remuneration committee also needs to consider tax behaviour in the structuring of the executive remuneration policy. On transparency, we seek disclosure of the company’s approach to tax and the consideration of tax in corporate activities. This should accompany a clear explanation of taxes paid including country-by-country reporting. We look for alignment of taxes paid through country-by-country reporting, and the company’s description of its approach and results on alignment, in its reporting and our engagement discussions. Where there is no evidence of alignment we will consider escalating our engagement through other channels, including the use of shareholder rights.</t>
  </si>
  <si>
    <t>a5da700000057VmAAI</t>
  </si>
  <si>
    <t>HSBC's executive director remuneration policy allowed for 30% of salary to be paid in lieu of a pension entitlement. In line with the expectations of the new UK Corporate Governance Code, we expect pension contributions for executives to be brought into line with the rate available for the majority of the workforce.</t>
  </si>
  <si>
    <t>a5da700000056qBAAQ</t>
  </si>
  <si>
    <t>Given the unique role that banks need to play to support the wider economy through a period of economic disruption, we expect banks like HSBC to fully commit to finding ways to support its consumer and business customers affected by the coronavirus.</t>
  </si>
  <si>
    <t>a5da7000000576bAAA</t>
  </si>
  <si>
    <t>National security law for Hong Kong</t>
  </si>
  <si>
    <t>We engaged with the company on its position regarding the Chinese national security law for Hong Kong. We questioned the bank’s statement amid concerns that the new law may have an adverse impact on human rights in Hong Kong. We expect companies to support improvements in protections for citizens and not back their removal.</t>
  </si>
  <si>
    <t>a5da7000000573ZAAQ</t>
  </si>
  <si>
    <t>Alignment of provision of finance with the delivery of the goals of the Paris ag</t>
  </si>
  <si>
    <t>Although commending the work undertaken by the bank on climate change in recent years – and taken into account its new ambition to become a net-zero bank, HSBC should set explicit conditions when providing financing tied to net-zero commitments, with clear timelines and milestones for reducing emissions. This should include all key sectors, which are more likely to be financially impacted by the energy transition, and explicit criteria for withdrawal of financing to misaligned activities.</t>
  </si>
  <si>
    <t>a5da700000057gRAAQ</t>
  </si>
  <si>
    <t>Gender diversity Executive Board</t>
  </si>
  <si>
    <t>Committed to 30% Club to reach 30% women in senior leadership roles by 2020. However, gender diversity on the executive level is disappointing, particularly in the group management board, with three female members out of 19.</t>
  </si>
  <si>
    <t>a5da700000057MpAAI</t>
  </si>
  <si>
    <t>Cyber security and data governance</t>
  </si>
  <si>
    <t>a5da700000056csAAA</t>
  </si>
  <si>
    <t>Ensure appropriate succesion at bank for chair and CEO</t>
  </si>
  <si>
    <t>a5da700000056aoAAA</t>
  </si>
  <si>
    <t>Implementation of regulation to create ringfenced bank</t>
  </si>
  <si>
    <t>Implementation of regulation to create ring-fenced bank</t>
  </si>
  <si>
    <t>a5da700000056HpAAI</t>
  </si>
  <si>
    <t>Risk reporting</t>
  </si>
  <si>
    <t>a5da700000056E4AAI</t>
  </si>
  <si>
    <t>Pension arrangement - Midland Section HSBC Bank Pension Scheme</t>
  </si>
  <si>
    <t>At the 2019 Annual General Meeting a shareholder requisitioned resolution has been proposed. The resolution instructs the Directors by special resolution to abolish, or effectively remedy, the practice of taking 'State Deduction' from the pensions paid to members of the post 1974 Midland Bank defined benefit pension scheme.</t>
  </si>
  <si>
    <t>a5da700000056feAAA</t>
  </si>
  <si>
    <t>Ensure remuneration continues to align pay with performance, notwithstanding regulatory changes</t>
  </si>
  <si>
    <t>a5da700000056apAAA</t>
  </si>
  <si>
    <t>Standard Chartered PLC</t>
  </si>
  <si>
    <t>Test strategy of bank</t>
  </si>
  <si>
    <t>Ensure bank's strategy is coherent and takes due account of risk.</t>
  </si>
  <si>
    <t>a5da700000056I8AAI</t>
  </si>
  <si>
    <t>Test resilience of bank's capital</t>
  </si>
  <si>
    <t>a5da7000000566DAAQ</t>
  </si>
  <si>
    <t>a5da700000056I7AAI</t>
  </si>
  <si>
    <t>Anti-bribery and corruption</t>
  </si>
  <si>
    <t>Anti-bribery &amp; corruption</t>
  </si>
  <si>
    <t>a5da700000056HLAAY</t>
  </si>
  <si>
    <t>Ensure that risk management is appopriate, in particular since financial crisis.</t>
  </si>
  <si>
    <t>a5da700000056HKAAY</t>
  </si>
  <si>
    <t>Standard Chartered's executive director remuneration policy allowed for 40% of basic salary to be paid in lieu of a pension entitlement. In line with the expectations of the new UK Corporate Governance Code, we expect pension contributions for executives to be brought into line with the rate available for the majority of the workforce.</t>
  </si>
  <si>
    <t>a5da700000056nXAAQ</t>
  </si>
  <si>
    <t>Reduction of Coal Exposure (Brown Finance)</t>
  </si>
  <si>
    <t>Company to phase out coal mining and thermal coal-fired power financing.</t>
  </si>
  <si>
    <t>a5da700000057mLAAQ</t>
  </si>
  <si>
    <t>Akzo Nobel NV</t>
  </si>
  <si>
    <t>Given the significant organisational change at Akzo Nobel – reflected in the fact that over two-thirds of the extended leadership team have left the company in recent years – management has focused on improving organisational health and has established some human capital ambitions to this end.</t>
  </si>
  <si>
    <t>a5da700000057cZAAQ</t>
  </si>
  <si>
    <t>Governance - Director commitments</t>
  </si>
  <si>
    <t>The chair was recently appointed to a new chair role at Unilever, a multinational consumer goods company. Although the chair intends stepping down from his non-executive director roles at BP and Salling Group, his appointment could raise some concerns in terms of time commitments.</t>
  </si>
  <si>
    <t>a5da700000056nmAAA</t>
  </si>
  <si>
    <t>Key Audit Matter - Transformation to deliver towards the strategy</t>
  </si>
  <si>
    <t>AkzoNobel’s external accountant has marked the transformation regarding the execution of the “Winning together: 15 by 20 strategy” as a ‘Key Audit Matter’ in its audit opinion. It notes that: “Inherently, transformation processes have the potential to lead to a disruption of the organization, processes and culture. The specific and ambitious external target on 15% ROS by 2020 inherently increases pressure on management to achieve such targets, and as such contributes to the risk of management override of internal controls risk, which is a presumed audit risk in our audit."</t>
  </si>
  <si>
    <t>a5da700000057BAAAY</t>
  </si>
  <si>
    <t>Climate Change Disclosure and Action - Transition Pathway Initiative</t>
  </si>
  <si>
    <t>In relation to investor expectations for action and disclosure on climate change, we sent the company a letter referring to the assessment framework of the Transition Pathway Initiative in which the company was ranked with a score of 3.</t>
  </si>
  <si>
    <t>a5da700000057EVAAY</t>
  </si>
  <si>
    <t>The company should further improve the (retrospective) disclosures of the variable remuneration outcomes, while changing the use of relative total share vesting – which would allow for pay-out for performance that is below the median of a peer group.</t>
  </si>
  <si>
    <t>a5da700000057EfAAI</t>
  </si>
  <si>
    <t>Sika AG</t>
  </si>
  <si>
    <t>The tenure of the audit firm is greater than 20 years.</t>
  </si>
  <si>
    <t>a5da700000057ThAAI</t>
  </si>
  <si>
    <t>Audit committee independence</t>
  </si>
  <si>
    <t>The audit committee should comprise solely independent directors.</t>
  </si>
  <si>
    <t>a5da700000057TiAAI</t>
  </si>
  <si>
    <t>There is a lack of diversity on the board.</t>
  </si>
  <si>
    <t>a5da700000057n7AAA</t>
  </si>
  <si>
    <t>Racial diversity of board and executive management</t>
  </si>
  <si>
    <t>Increase racial diversity of board and executive management (board appears to be all white and there are no photos of executive management).</t>
  </si>
  <si>
    <t>a5da700000057TjAAI</t>
  </si>
  <si>
    <t>Lonza Group AG</t>
  </si>
  <si>
    <t>Product quality and safety &amp; pollution</t>
  </si>
  <si>
    <t>Product quality and safety is a material issue for the company. Global quality function pulled together 22 months ago, strategic department extending to all sites. Product stewardship to comply with regulations such as REACH. Further expanding productions in China, new plant producing biologics. This will comply with global Lonza quality standards. Capsugel fully integrated into Lonza. We asked the company what lessons it has learned from pollution incidents. Site in Valais has been active over 100 years, mercury had been used as a catalyst for a long period of time. Contamination of canal into river and sludge used in agriculture. Come to contractual agreement with local government to take responsibility for the cleanup. Strict spill reporting policy, no impact strategy.</t>
  </si>
  <si>
    <t>a5da700000057m0AAA</t>
  </si>
  <si>
    <t>a5da7000000576XAAQ</t>
  </si>
  <si>
    <t>The CEO left the company for personal reasons - after being in the CEO role for only eight months. He previously has been the head of the pharma and biotech division.</t>
  </si>
  <si>
    <t>a5da700000057VOAAY</t>
  </si>
  <si>
    <t>Siemens Energy AG</t>
  </si>
  <si>
    <t>The company needs to demonstrate how it is assessing and monitoring the potential human rights impacts of its projects and contracts.</t>
  </si>
  <si>
    <t>a5da700000057hbAAA</t>
  </si>
  <si>
    <t>Low Carbon Transition</t>
  </si>
  <si>
    <t>The company needs to align its strategy with a 1.5-degree scenario.</t>
  </si>
  <si>
    <t>a5da7000000582XAAQ</t>
  </si>
  <si>
    <t>Remuneration policy to be in line with EOS expectations.</t>
  </si>
  <si>
    <t>a5da700000057uUAAQ</t>
  </si>
  <si>
    <t>Supervisory board composition</t>
  </si>
  <si>
    <t>Supervisory board composition in line with EOS expectations.</t>
  </si>
  <si>
    <t>a5da700000057uVAAQ</t>
  </si>
  <si>
    <t>Net zero ambition that covers Scope 3</t>
  </si>
  <si>
    <t>By 2030, the company has committed to reduce absolute Scope 1 and 2 greenhouse gas emissions by 46%, down from a 2019 base year. The company has also committed to increase annual sourcing of renewable electricity from 59% in 2019 to 100% by 2023. In addition, by 2030 Siemens Energy commits to reduce absolute Scope 3 greenhouse gas emissions from use of sold products by 28%, down from a 2019 base year. Although this is a welcomed step, the company should include its most relevant Scope 3 emissions in its net-zero ambition.</t>
  </si>
  <si>
    <t>a5da700000055urAAA</t>
  </si>
  <si>
    <t>The company undertakes an analysis of how the low carbon transition will impact its workforce and develops a strategy of reskilling and redeployment.</t>
  </si>
  <si>
    <t>a5da700000055rbAAA</t>
  </si>
  <si>
    <t>Public Policy Advocacy Alignment</t>
  </si>
  <si>
    <t>Our objective is for the company to disclose, either publicly or through Climate Action (CA) 100+ discussions, that it has processes in place to review the alignment of the activities and objectives of the external initiatives it is involved in, and takes appropriate action where there is material misalignment.</t>
  </si>
  <si>
    <t>a5da700000055p9AAA</t>
  </si>
  <si>
    <t>Engagement with the company on its transition plans.</t>
  </si>
  <si>
    <t>a5da700000057uJAAQ</t>
  </si>
  <si>
    <t>Company response to the pandemic should take into account the impact on various stakeholders, prioritising the health and wellbeing of employees.</t>
  </si>
  <si>
    <t>a5da700000057m3AAA</t>
  </si>
  <si>
    <t>Improve gender diversity and related disclosure</t>
  </si>
  <si>
    <t>Our objective is for the company to improve gender diversity and related disclosure by aligning board diversity with the expectations in our Corporate Governance Principles; disclosing the breakdown of women in leadership roles; and sharing metrics that show improved gender diversity over time.</t>
  </si>
  <si>
    <t>a5da700000055jnAAA</t>
  </si>
  <si>
    <t>Controversy linked to UNGC Principle 1: Human rights</t>
  </si>
  <si>
    <t>The company should complete a human rights impact assessment (HRIA) that identifies, prevents, mitigates, and accounts for the adverse effects of the business on human rights in line with the UN Guiding Principles on Business and Human Rights. The HRIA should include the metaverse.</t>
  </si>
  <si>
    <t>a5da700000055qFAAQ</t>
  </si>
  <si>
    <t>Among other Australian financial institutions, Westpac has been involved in serious conduct-related issues. It now needs to regain customer trust and restore its reputation. We are seeking evidence that Westpac is working to set the right culture, with the highest ethical standards, and that the oversight of culture is a priority in the boardroom.</t>
  </si>
  <si>
    <t>a5da700000055voAAA</t>
  </si>
  <si>
    <t>Our objective is for the company to instil an effective board and management team focused on the most material issues to deliver long-term value.</t>
  </si>
  <si>
    <t>Discontinued - Disagreed</t>
  </si>
  <si>
    <t>a5da700000055kqAAA</t>
  </si>
  <si>
    <t>Water audits in Indonesia</t>
  </si>
  <si>
    <t>Our objective is for the company to demonstrate the enhanced credibility of the external environmental audits conducted every three years. This will ensure compliance with national environmental laws and consider the adequacy of environmental management strategies at PT-FI.</t>
  </si>
  <si>
    <t>a5da700000058SoAAI</t>
  </si>
  <si>
    <t>User consent</t>
  </si>
  <si>
    <t>Our objective is for the company to obtain user consent for its collection, inference, sharing, and retention of its personal data, through terms and conditions that are easy to find and understand, supplemented with images and videos, and appear during account creation and throughout account use.</t>
  </si>
  <si>
    <t>a5da700000058a7AAA</t>
  </si>
  <si>
    <t>Climate strategy - enhanced scope</t>
  </si>
  <si>
    <t>The company enhances the scope of its climate-related strategy and targets, and related disclosures, to include opportunities and risks in its supply chain and use of its products.</t>
  </si>
  <si>
    <t>a5da700000055poAAA</t>
  </si>
  <si>
    <t>Environmental impacts of data centres</t>
  </si>
  <si>
    <t>The company establishes a comprehensive strategy to address climate-related risks and opportunities linked to its growing AI energy demands. This includes integrating energy efficiency and emissions awareness at the model and firmware levels, promoting the reduction of water usage in data centres, and prioritising environmentally and socially responsible data centre design and site selection.</t>
  </si>
  <si>
    <t>a5da700000058eTAAQ</t>
  </si>
  <si>
    <t>The company takes appropriate steps to capitalise on the opportunity to improve its methane emissions performance, management, and disclosures in line with good industry practices.</t>
  </si>
  <si>
    <t>a5da700000058eqAAA</t>
  </si>
  <si>
    <t>Russia-Ukraine Conflict</t>
  </si>
  <si>
    <t>We asked about the material impacts of the Russia-Ukraine conflict and how these are being managed, if the company has direct employees in the affected region, and what actions it has taken to ensure their safety. Also, we queried what actions have been taken to carry out heightened due diligence around human rights harms.</t>
  </si>
  <si>
    <t>a5da700000058SYAAY</t>
  </si>
  <si>
    <t>CEO-Chair Separation</t>
  </si>
  <si>
    <t>The company may be subject to shareholder proposals to separate the chair and CEO roles, given that these are combined as of 2022. We will engage carefully on this topic, as we believe the current CEO/chair has performed exceptionally since her tenure began in 2014. Moreover, she is overseen by an unusually strong and well-qualified board where access to shareholders, independent of the chair, is readily available.</t>
  </si>
  <si>
    <t>a5da700000058ZNAAY</t>
  </si>
  <si>
    <t>Russia/Ukraine conflict</t>
  </si>
  <si>
    <t>For high-risk sectors, we are concerned about: 1) any material connections to Russia or Ukraine, 2) potential impacts of the conflict on the business 3) the safety and welfare of employees and 4) any potential connections to human rights violations and how the company can address these.</t>
  </si>
  <si>
    <t>a5da700000058SQAAY</t>
  </si>
  <si>
    <t>Separation of chair and CEO roles</t>
  </si>
  <si>
    <t>The company chair, Victor Lee, is also currently the co-CEO. The division of responsibilities is recommended by the Hong Kong Stock Exchange’s corporate governance code. Within our voting policy, we also consider recommending votes against where the roles are combined, unless there is a compelling justification for the arrangement.</t>
  </si>
  <si>
    <t>a5da700000058YOAAY</t>
  </si>
  <si>
    <t>Methane</t>
  </si>
  <si>
    <t>The livestock sector is the largest contributor of human-induced methane emissions. Two thirds of Nestlé’s greenhouse gas emissions stem from the production of food ingredients. Reducing emissions from agriculture —including dairy and livestock ingredients — will be crucial in achieving its net-zero target.</t>
  </si>
  <si>
    <t>a5da700000058blAAA</t>
  </si>
  <si>
    <t>Minimum shareholding</t>
  </si>
  <si>
    <t>The current requirement is for the CEO to hold five times his annual salary in shares. We believe this level needs to be increased to more like eight times to ensure alignment with shareholders, and because the magnitude of variable pay makes a higher level eminently achievable.</t>
  </si>
  <si>
    <t>a5da700000058bzAAA</t>
  </si>
  <si>
    <t>Compensation committee not majority independent</t>
  </si>
  <si>
    <t>The compensation committee is only 25% independent as of the 2022 annual meeting.</t>
  </si>
  <si>
    <t>a5da700000058c0AAA</t>
  </si>
  <si>
    <t>The company executes on its circular economy strategy and takes responsibility for influencing consumers.</t>
  </si>
  <si>
    <t>a5da700000058dRAAQ</t>
  </si>
  <si>
    <t>Board governance</t>
  </si>
  <si>
    <t>We asked the company to provide adequate training to its independent directors, and disclose a skills matrix that is in line with its business strategy.</t>
  </si>
  <si>
    <t>a5da700000058ZEAAY</t>
  </si>
  <si>
    <t>We will engage to assess the material impacts of the conflict on the company and how these are being managed; if the company has employees in the affected region and what actions it has taken to ensure their safety; and if actions have been taken to carry out heightened due diligence to identify connections to potential human rights harms.</t>
  </si>
  <si>
    <t>a5da700000058TzAAI</t>
  </si>
  <si>
    <t>Auditor Tenure</t>
  </si>
  <si>
    <t>As of 2022, it appears that the company's auditor has been in place since 1946. Long tenure raises the threat of familiarity irrespective of the lead audit partner rotation. This is a concern for shareholders. Over time, this long relationship can impair auditor independence due to a reduction in the auditor’s due diligence. Also, the auditor may be more prepared to turn a blind eye to inappropriate managerial actions driven by the value/entrenchment of the revenue to the audit firm.</t>
  </si>
  <si>
    <t>a5da700000055HDAAY</t>
  </si>
  <si>
    <t>EV supply chain risks</t>
  </si>
  <si>
    <t>The company is set to become a major downstream customer of global commodity supply chains, which serve the future raw material needs of electric vehicle batteries and powertrains. Given this, the social and environmental risks in its supply chains are set to shift significantly, and may require careful, ongoing management of these risks. We will continue to engage on this concern.</t>
  </si>
  <si>
    <t>a5da700000058ZHAAY</t>
  </si>
  <si>
    <t>EV strategy execution risks</t>
  </si>
  <si>
    <t>The company faces a markedly evolving set of enterprise risks as it turns to execution for its investments in electric vehicles (EVs) and EV ecosystems. These include manufacturing, quality, safety and reliability risks; challenges to ramping up sufficient production at scale to meet growing market demand; upstream supply chain risks; and consumer trust and satisfaction risks. We continue to engage with the company on the execution of its strategy and how it is accounting for the many risks involved in this transformation.</t>
  </si>
  <si>
    <t>a5da700000058ZIAAY</t>
  </si>
  <si>
    <t>Disclosure Scope 3</t>
  </si>
  <si>
    <t>The company has disclosed only partial Scope 3 emissions and we would like to see total absolute Scope 3 emissions disclosed.</t>
  </si>
  <si>
    <t>a5da700000058ciAAA</t>
  </si>
  <si>
    <t>Net zero commitment</t>
  </si>
  <si>
    <t>The company should make a net-zero commitment.</t>
  </si>
  <si>
    <t>a5da700000058cjAAA</t>
  </si>
  <si>
    <t>We encourage the company to begin mapping its impact and dependencies on biodiversity.</t>
  </si>
  <si>
    <t>a5da700000058ckAAA</t>
  </si>
  <si>
    <t>The company has committed to an efficient use of water, but has set no specific target.</t>
  </si>
  <si>
    <t>a5da700000058cnAAA</t>
  </si>
  <si>
    <t>The company should make remuneration-related decisions that are in line with our voting guidelines.</t>
  </si>
  <si>
    <t>a5da700000058WJAAY</t>
  </si>
  <si>
    <t>The company's remuneration should be aligned with our expectations.</t>
  </si>
  <si>
    <t>a5da700000058TwAAI</t>
  </si>
  <si>
    <t xml:space="preserve">The company sets a medium-term target for reducing its greenhouse gas emissions by between 2026 and 2035 that covers at least 95% of Scopes 1 and 2 emissions and the most relevant Scope 3 emissions. The company publishes a methodology to establish a Scope 3 target (upstream and downstream across the lifecycle) and provides evidence that this target is aligned with the goal of limiting global warming to 1.5°C with low or no overshoot (equivalent to the IPCC's  1.5°C/net-zero emissions by 2050 scenario).</t>
  </si>
  <si>
    <t>a5da700000058aQAAQ</t>
  </si>
  <si>
    <t>As of the 2022 annual meeting, board diversity is below our expectations of 40% combined gender and racial/ethnicity diversity and below our expectation of 30% gender diversity.</t>
  </si>
  <si>
    <t>a5da700000058VPAAY</t>
  </si>
  <si>
    <t>The company should appropriately address the risks associated with the Russia-Ukraine conflict, including covering direct operations, staff, supply chain and/or portfolio impacts.</t>
  </si>
  <si>
    <t>a5da700000058SXAAY</t>
  </si>
  <si>
    <t>Racial equity audit</t>
  </si>
  <si>
    <t>Our objective is for the company to take actions aligned with a third-party racial equity audit.</t>
  </si>
  <si>
    <t>a5da700000058SmAAI</t>
  </si>
  <si>
    <t>The long-term incentive plan has an over-reliance on short-vesting options.</t>
  </si>
  <si>
    <t>a5da700000058Z0AAI</t>
  </si>
  <si>
    <t>The auditor has been in place since 1995.</t>
  </si>
  <si>
    <t>a5da700000058UNAAY</t>
  </si>
  <si>
    <t>Russia-Ukraine conflict</t>
  </si>
  <si>
    <t>For high-risk sectors, we are concerned about any material connections to Russia or Ukraine, the potential impacts of the conflict on the business, the safety and welfare of employees and any potential connections to human rights violations, plus how the company can address these.</t>
  </si>
  <si>
    <t>a5da700000058WYAAY</t>
  </si>
  <si>
    <t>Directorships</t>
  </si>
  <si>
    <t>To ensure the number of directorships held by directors do not exceed our voting guidelines so that they are able to allocate sufficient time to the company to discharge their duties. Johan Forssell is the CEO of investment company Investor AB and sits on the board of four investee companies including Epiroc. We have raised concerns regarding his time commitments.</t>
  </si>
  <si>
    <t>a5da700000058UtAAI</t>
  </si>
  <si>
    <t>Deforestation</t>
  </si>
  <si>
    <t>The company scores poorly on the Forest 500 Index. We understand that the company plans to engage with the Forest 500 Index; align with the framework recommended by the Task Force on Nature-related Financial Disclosure; and establish science-based short- and longer-term emissions reduction goals for Scope 3 financed emissions.</t>
  </si>
  <si>
    <t>a5da700000058WfAAI</t>
  </si>
  <si>
    <t>Human rights harms - Ukraine and Russia conflict</t>
  </si>
  <si>
    <t>Ukraine-Russia conflict - Concerns regarding the company's operations in both regions</t>
  </si>
  <si>
    <t>a5da700000058SHAAY</t>
  </si>
  <si>
    <t>a5da700000058ScAAI</t>
  </si>
  <si>
    <t>Board ethnic diversity</t>
  </si>
  <si>
    <t>There is no director from an ethnic minority background on the board.</t>
  </si>
  <si>
    <t>a5da700000058dzAAA</t>
  </si>
  <si>
    <t>The company's remuneration structures should have strong accountability and alignment with long-term shareholder value.</t>
  </si>
  <si>
    <t>a5da700000058XYAAY</t>
  </si>
  <si>
    <t>The company should align its executive remuneration policy with our expectations.</t>
  </si>
  <si>
    <t>a5da700000058ZOAAY</t>
  </si>
  <si>
    <t>Assessing material impacts of the conflict and how these are being managed, if the company has direct employees in the affected region and what actions it has taken to ensure their safety. Also, what actions have been taken to carry out heightened due diligence to identify connections to human rights harms?</t>
  </si>
  <si>
    <t>a5da700000058TyAAI</t>
  </si>
  <si>
    <t>Indigenous Peoples' rights</t>
  </si>
  <si>
    <t>We have engaged with the company on Indigenous Peoples' rights. We believe that financiers of oil sands projects such as Line 3 should develop policies that limit or eliminate funding for oil sands projects and/or companies engaged in oil sands projects that proceed without the free, prior and informed consent of impacted indigenous peoples.</t>
  </si>
  <si>
    <t>a5da700000058djAAA</t>
  </si>
  <si>
    <t xml:space="preserve">With 30 years' tenure KPMG’s role as auditor surpasses the expectations set out in our 2022 corporate governance principles.  As outlined in our principles, we wish to see companies establish policies of mandatory rotation of the audit firm after 20 years' tenure, with an open and competitive re-tender process at the interim point of 10 years. In our view, rotation of the lead audit partner on its own is not sufficient to strengthen auditor firm independence.</t>
  </si>
  <si>
    <t>a5da700000055FJAAY</t>
  </si>
  <si>
    <t>In 2022, we signed an investor statement on Line 3, Oil Sands, and Free Prior and Informed Consent (FPIC). We have since continued to engage with the company on indigenous and community rights, seeking for it to strengthen its financing requirement for FPIC within its environmental and social risk management framework.</t>
  </si>
  <si>
    <t>a5da700000058diAAA</t>
  </si>
  <si>
    <t>Abolition of options</t>
  </si>
  <si>
    <t>The company continues to award options to its named executive officers (NEO) that can vest within three years of the grant date. We have continued to express our concern with this practice.</t>
  </si>
  <si>
    <t>a5da700000055IDAAY</t>
  </si>
  <si>
    <t>Supply chain human rights risks, including Uyghur forced labour</t>
  </si>
  <si>
    <t>The company is exposed to human rights risks through its supply chain, including potential use of Uyghur forced labour.</t>
  </si>
  <si>
    <t>a5da700000058dYAAQ</t>
  </si>
  <si>
    <t>Two vice chairs</t>
  </si>
  <si>
    <t>The board has two vice chairs. Both are proprietary directors from the company's large shareholders: BBVA and CaixaBank. We think this confuses the leadership structure and board dynamic.</t>
  </si>
  <si>
    <t>a5da700000055FQAAY</t>
  </si>
  <si>
    <t>The company should improve board independence.</t>
  </si>
  <si>
    <t>a5da700000058c5AAA</t>
  </si>
  <si>
    <t>We are concerned by the structure of the annual and long-term incentive plan (LTIP). In particular, the use of annual goals for the LTIP blurs the distinction between short- and long-term incentives. An additional concern is raised by the large corporate aircraft-related perquisite for the CEO and its justification, when viewed in the context of the CEO's total compensation. The CEO's pay remains top quartile without disclosure of the value to shareholders of paying the CEO above the peer median.</t>
  </si>
  <si>
    <t>a5da700000058Y4AAI</t>
  </si>
  <si>
    <t>Independent board leadership</t>
  </si>
  <si>
    <t>Concern over the need for an independent chair or a new lead independent director with strengthened guidelines for the role.</t>
  </si>
  <si>
    <t>a5da700000058cQAAQ</t>
  </si>
  <si>
    <t>Assess and disclose employee pay gaps</t>
  </si>
  <si>
    <t>For the company to build on the progress it has made on board, management and workforce diversity by assessing and disclosing employee pay gaps across gender, racial and ethnic lines, as a means for fostering greater equity among the workforce and to attract the talent the company desires.</t>
  </si>
  <si>
    <t>a5da700000058ThAAI</t>
  </si>
  <si>
    <t>a5da700000058SuAAI</t>
  </si>
  <si>
    <t>Compliance Programme</t>
  </si>
  <si>
    <t>Development of the compliance programme, following the completion of the monitoring by the US Department of Justice.</t>
  </si>
  <si>
    <t>a5da700000058YqAAI</t>
  </si>
  <si>
    <t>Regenerative agriculture</t>
  </si>
  <si>
    <t>Incorporate the principles of regenerative agriculture into the company's products and services.</t>
  </si>
  <si>
    <t>a5da700000058aLAAQ</t>
  </si>
  <si>
    <t>Equal access to affordable healthcare</t>
  </si>
  <si>
    <t>Access to affordable healthcare is a human right that should be applied equally across all races and genders. The company's core mission is to provide affordable access to healthcare and it has recently put greater focus on ensuring that equal access is provided across demographics. However, there is little information or data disclosing the impact of these efforts. This is potentially an area where the company can provide more transparency.</t>
  </si>
  <si>
    <t>a5da700000058YpAAI</t>
  </si>
  <si>
    <t>The company has only 8% board gender diversity but we have increased our expectation to 20% in 2022.</t>
  </si>
  <si>
    <t>a5da700000058SVAAY</t>
  </si>
  <si>
    <t>E&amp;Y has been the company's auditor since 1908 (114 years as at 31 March 2022). Long tenure raises the threat of familiarity irrespective of the lead audit partner rotation and this is a concern for shareholders. Over time this long relationship can impair auditor independence due to a reduction in the auditor’s due diligence, and the auditor may be more prepared to turn a blind eye to inappropriate managerial actions driven by the value/entrenchment of the revenue to the audit firm.</t>
  </si>
  <si>
    <t>a5da700000055FOAAY</t>
  </si>
  <si>
    <t>We are concerned by the company's disclosure and management of climate-related risks and opportunities. We expect the company to implement effective processes, targets and governance to ensure that its strategy is consistent with the goals of the Paris Agreement. We encourage reporting and underlying processes to be aligned to the four pillars of the Task Force on Climate-related Financial Disclosures.</t>
  </si>
  <si>
    <t>a5da700000058TcAAI</t>
  </si>
  <si>
    <t>The gender diversity of the board is below expectations.</t>
  </si>
  <si>
    <t>a5da700000058crAAA</t>
  </si>
  <si>
    <t>Company to consider just transition.</t>
  </si>
  <si>
    <t>a5da700000055IFAAY</t>
  </si>
  <si>
    <t>Biodiversity and ecosystem protection</t>
  </si>
  <si>
    <t>Concerns about biodiversity and ecosystem protection in relation to the palm oil and soy businesses.</t>
  </si>
  <si>
    <t>a5da700000058ZFAAY</t>
  </si>
  <si>
    <t>We asked about the material impacts of the Russia-Ukraine conflict and how these are being managed, if the company has direct employees in the affected region, and what actions it has taken to ensure their safety. Also, we queried what actions have been taken to carry out heightened due diligence to identify connections to human rights harms.</t>
  </si>
  <si>
    <t>a5da700000058ShAAI</t>
  </si>
  <si>
    <t>Financial value of social programmes</t>
  </si>
  <si>
    <t>We are engaging on quantifying the company-specific financial value that accrues from investments in employee training, diversity and inclusion programmes and other employee engagement activities.</t>
  </si>
  <si>
    <t>a5da700000058bmAAA</t>
  </si>
  <si>
    <t>Hazardous chemicals</t>
  </si>
  <si>
    <t>The company should ensure best practice hazardous chemical management in its operations and supply chain.</t>
  </si>
  <si>
    <t>a5da700000058beAAA</t>
  </si>
  <si>
    <t>In 2022, we signed an investor statement on Line 3, Oil Sands, and Free Prior and Informed Consent (FPIC). We have since continued to engage with the company on Indigenous and community rights, seeking for it to strengthen its financing requirement for FPIC within its environmental and social risk management framework.</t>
  </si>
  <si>
    <t>a5da700000058U3AAI</t>
  </si>
  <si>
    <t>Hazardous Chemicals</t>
  </si>
  <si>
    <t>Ensure that the company does not discharge hazardous chemicals into the environment.</t>
  </si>
  <si>
    <t>a5da700000058TvAAI</t>
  </si>
  <si>
    <t>a5da700000058bcAAA</t>
  </si>
  <si>
    <t>The company should aim to identify and mitigate any instances of human rights violations in its supply chain.</t>
  </si>
  <si>
    <t>a5da700000058bbAAA</t>
  </si>
  <si>
    <t>The company should work on mapping its impact and dependencies on biodiversity.</t>
  </si>
  <si>
    <t>a5da700000058bdAAA</t>
  </si>
  <si>
    <t>Plastic Waste</t>
  </si>
  <si>
    <t>We discussed the company's role in engaging with suppliers on plastic waste and sustainable packaging, as well as the operational and logistical challenges compounded by its nature as a marketplace.</t>
  </si>
  <si>
    <t>a5da700000058UpAAI</t>
  </si>
  <si>
    <t>The company works on mapping its impact and dependencies on biodiversity.</t>
  </si>
  <si>
    <t>a5da700000058UrAAI</t>
  </si>
  <si>
    <t>Renewable Energy</t>
  </si>
  <si>
    <t>The company continues to engage with suppliers across the value chain on renewable energy targets and energy efficiency initiatives.</t>
  </si>
  <si>
    <t>a5da700000058UqAAI</t>
  </si>
  <si>
    <t>The company engages formerly with the KnowTheChain benchmark and continues working on areas where it scored poorly.</t>
  </si>
  <si>
    <t>a5da700000058UsAAI</t>
  </si>
  <si>
    <t>a5da700000058SiAAI</t>
  </si>
  <si>
    <t>a5da700000058SSAAY</t>
  </si>
  <si>
    <t>Line 3, oil sands projects and FPIC</t>
  </si>
  <si>
    <t>We believe that financiers of oil sands projects such as Line 3 should develop policies that limit or eliminate funding for oil sands projects and/or companies engaged in oil sands projects that proceed without the free, prior and informed consent of impacted indigenous peoples.</t>
  </si>
  <si>
    <t>a5da700000058U5AAI</t>
  </si>
  <si>
    <t>Gender pay gap reporting</t>
  </si>
  <si>
    <t>The company has improved its gender inclusion and diversity performance and middle and senior management levels in recent years, but has faced shareholder calls to improve global reporting on its median pay gap, in line with what is now UK law. We believe this type of reporting will continue to be regulated in other countries and support the company in reporting and taking action on potential pay gaps.</t>
  </si>
  <si>
    <t>a5da700000056nZAAQ</t>
  </si>
  <si>
    <t>Uyghur forced labour concerns</t>
  </si>
  <si>
    <t>The risks arising from a connection to alleged human rights impacts in/from the Xinjiang region could be material to the company, raising serious legal, financial and reputational concerns.</t>
  </si>
  <si>
    <t>a5da700000058YSAAY</t>
  </si>
  <si>
    <t>Cost of living crisis</t>
  </si>
  <si>
    <t>With the rising cost of energy, food and cost of borrowing and inflation increasing to double digits employees, supply chains and margins are coming under increasing financial pressure. Companies need to evolve their strategies to limit the impact of inflation, support their employees who are most at risk and ensure the supply chain remains sustainable.</t>
  </si>
  <si>
    <t>a5da700000058fDAAQ</t>
  </si>
  <si>
    <t>Crowdstrike Holdings Inc</t>
  </si>
  <si>
    <t>The company has a classified board without a sunset provision.</t>
  </si>
  <si>
    <t>a5da700000058cJAAQ</t>
  </si>
  <si>
    <t>a5da700000058SjAAI</t>
  </si>
  <si>
    <t>a5da700000058WRAAY</t>
  </si>
  <si>
    <t>a5da700000058SdAAI</t>
  </si>
  <si>
    <t>a5da700000058SRAAY</t>
  </si>
  <si>
    <t>Board refreshment</t>
  </si>
  <si>
    <t>The chair of the nominations committee has been flagged for two reasons. The first is that she has held the position since 2018 and the company should consider refreshing this role. The chair also upholds a policy of four year term lengths for elected board members, which exceeds our policy of a maximum of three year term lengths before requiring re-election. We have raised this issue with the company in our feedback following our voting recommendations.</t>
  </si>
  <si>
    <t>a5da700000058eFAAQ</t>
  </si>
  <si>
    <t>Operations in Russia and Ukraine</t>
  </si>
  <si>
    <t>The company has operations in Ukraine and Russia and the Russian state-owned company Gazprom has been a major customer of the company in the past. There are concerns around the safety of employees in Ukraine, the impact of sanctions on Russia, and human rights concerns associated with business relationships with Russian state-owned companies.</t>
  </si>
  <si>
    <t>a5da700000058TRAAY</t>
  </si>
  <si>
    <t>The company produces chemicals that are hazardous to human health and the environment.</t>
  </si>
  <si>
    <t>a5da700000058XqAAI</t>
  </si>
  <si>
    <t>Access and shareholder engagement</t>
  </si>
  <si>
    <t>The company, as represented by investor relations, has been reluctant to engage with us.</t>
  </si>
  <si>
    <t>a5da700000058Y8AAI</t>
  </si>
  <si>
    <t>Product Stewardship</t>
  </si>
  <si>
    <t>We reviewed how Roche assesses the health, safety and environmental aspects of its products and how it benchmarks/identifies improvement opportunities.</t>
  </si>
  <si>
    <t>a5da700000058d4AAA</t>
  </si>
  <si>
    <t>Diversity and inclusion strategy</t>
  </si>
  <si>
    <t>Severe fraud occurred on company's online international markets platform which led to CEO &amp; COO's resignations to take the responsbility.</t>
  </si>
  <si>
    <t>a5da700000058aPAAQ</t>
  </si>
  <si>
    <t>TCFD reporting</t>
  </si>
  <si>
    <t>The company published its 2021 ESG report, which included initial disclosures supported by the TCFD recommendations. This was not complete and lacked key information such as transitional climate risk analysis and a metrics and targets section. There were also elements in the report separate from the TCFD section, but highly relevant such as the risk analysis and response section. In future reporting, the TCFD framework should be more clearly integrated and the company could include the emissions data it is currently working to capture.</t>
  </si>
  <si>
    <t>a5da700000058UYAAY</t>
  </si>
  <si>
    <t>Paris-aligned lobbying</t>
  </si>
  <si>
    <t>The company conducts its direct and indirect lobbying activity in line with its own climate change targets and the goals of the Paris Agreement.</t>
  </si>
  <si>
    <t>a5da700000058dMAAQ</t>
  </si>
  <si>
    <t>Pollution from operations</t>
  </si>
  <si>
    <t>The company has identified that it is not meeting its own standards in relation to oil and gas leaks and associated pollution.</t>
  </si>
  <si>
    <t>a5da700000058dNAAQ</t>
  </si>
  <si>
    <t>a5da700000058U4AAI</t>
  </si>
  <si>
    <t>Independence of committees</t>
  </si>
  <si>
    <t>The audit and compensation committees are not 100% independent, and this is our expectation for Indian companies.</t>
  </si>
  <si>
    <t>a5da700000058fKAAQ</t>
  </si>
  <si>
    <t>a5da700000058fLAAQ</t>
  </si>
  <si>
    <t>a5da700000058fMAAQ</t>
  </si>
  <si>
    <t>SBTi targets</t>
  </si>
  <si>
    <t>In order to limit the impact of climate change, companies should commit to a Paris Agreement aligned 1.5°C pathway, validated by the Science-Based Targets initiative.</t>
  </si>
  <si>
    <t>a5da700000058gJAAQ</t>
  </si>
  <si>
    <t>Human rights due diligence - supply chain</t>
  </si>
  <si>
    <t>Our objective is for the company to commit to a timebound strategy to fully assess and disclose human rights due diligence beyond its Tier 1 supply chain. This disclosure should include, at minimum, all Tier 2 suppliers, information about the process of audits and the provision of remedy. Where the company is unable to provide such disclosure, it must provide appropriate rationale.</t>
  </si>
  <si>
    <t>a5da700000058gUAAQ</t>
  </si>
  <si>
    <t>We would like to see a clearer commitment to reducing or evidence of a significant reduction of strategic shareholdings by about 30%.</t>
  </si>
  <si>
    <t>a5da700000058aMAAQ</t>
  </si>
  <si>
    <t>Antimicrobial resistance</t>
  </si>
  <si>
    <t>The company articulates how the board and/or management assesses, oversees and manages the risk of AMR to the business.</t>
  </si>
  <si>
    <t>a5da700000058amAAA</t>
  </si>
  <si>
    <t>Renewables Strategy &amp; Targets</t>
  </si>
  <si>
    <t>The company is now one of the largest buyers of renewables in the US and, due to its size, plays an outsized role in driving renewables procurement both directly and in its extensive supply chains. The company is setting a science-based target but is yet to set a renewables target. Whilst geographic considerations for remote infrastructure make it difficult to commit to 100%, we want to see the company set a quantitative renewables target for its own energy needs, and develop strategies for increasing renewables procurement within its supply chains.</t>
  </si>
  <si>
    <t>a5da700000058aUAAQ</t>
  </si>
  <si>
    <t>Provide disclosure on human rights management in line with French Duty of Care regulation.</t>
  </si>
  <si>
    <t>a5da700000058aZAAQ</t>
  </si>
  <si>
    <t>Board oversight of whistleblowing hotline</t>
  </si>
  <si>
    <t>Gievn the recent allegations of sexual harassment at the company we believe that the board should have oversight of all concerns raised through the whistleblowing hotline.</t>
  </si>
  <si>
    <t>a5da700000058arAAA</t>
  </si>
  <si>
    <t>Regenerative Agriculture</t>
  </si>
  <si>
    <t>Our objective is for the company to create a holistic regenerative agricultural strategy which includes targets and KPIs which address biodiversity, soil health, deforestation, water and carbon. The scope of the strategy should include Tyson's supply chain. Tyson's 2020 sustainable agriculture commitment lacked ambition and was not achieved in time.</t>
  </si>
  <si>
    <t>a5da700000055vOAAQ</t>
  </si>
  <si>
    <t>PulteGroup Inc</t>
  </si>
  <si>
    <t>While the company's combined gender and racial/ethnic board diversity meets our expectations, its gender diversity falls short of our expectations. We want to see the company increase the gender diversity on its board.</t>
  </si>
  <si>
    <t>a5da700000058h6AAA</t>
  </si>
  <si>
    <t>Product stewardship</t>
  </si>
  <si>
    <t>Nutrien Ltd. distributes, manufactures and develops crop protection products such as pesticides and herbicides. All chemical crop protection products are at least mildly toxic to plants and animals, and the company must balance efficacy against harm to people and the environment.</t>
  </si>
  <si>
    <t>a5da700000058h5AAA</t>
  </si>
  <si>
    <t>Supply Chain Assessment</t>
  </si>
  <si>
    <t>Our objective is for the company to be clear about which suppliers it will focus on, what it is expected to contribute, how it will be measured and assessed, what the targets will be, and what infrastructure is need to capture and report the information across the group.</t>
  </si>
  <si>
    <t>a5da700000058h7AAA</t>
  </si>
  <si>
    <t>Cost of Living Crisis</t>
  </si>
  <si>
    <t>With rising inflation, interest rates and costs of living associated with increasing food and energy prices, companies need to balance the needs of their stakeholders. In particular, the increasing pressure in the supply chain, providing support for hardest hit employees, managing margin pressures and working with customers on product pricing will be key to navigating successfully through this crisis.</t>
  </si>
  <si>
    <t>a5da700000058hDAAQ</t>
  </si>
  <si>
    <t>Asset Retirement Obligations Disclosure</t>
  </si>
  <si>
    <t>Disclosure of Asset Retirement Obligations.</t>
  </si>
  <si>
    <t>a5da700000058hCAAQ</t>
  </si>
  <si>
    <t>The company faces risk of bribery and corruption due to its sector and presence in multiple countries. A 2016 shareholder lawsuit alleging that the company violated the Foreign Corrupt Practices Act was dismissed in 2018. There have been no allegations of corrupt practices since then, but we continue to monitor performance.</t>
  </si>
  <si>
    <t>a5da700000056TdAAI</t>
  </si>
  <si>
    <t>National Bank of Canada</t>
  </si>
  <si>
    <t xml:space="preserve">The bank is making progress on its interim financed emissions commitments for oil and gas, power generation, and commercial real estate (CRE) set in 2021. Following its acquisition of Canadian Western Bank, the bank is assessing how this impacts its financed emissions portfolio. We questioned whether the bank was doing everything it could to reduce methane emissions in its value chain.
The bank is in the early stages of assessing the environmental impacts of its AI usage. It is active in financing data centers, but has not yet considered the environmental impacts of these centers. When asked about energy supply ratio, it said discussions are ongoing internally and with peers. It remains committed to its targets and continues to engage in policy discussions and peer collaborations while navigating obstacles related to data quality and fewer touchpoints with US clients.</t>
  </si>
  <si>
    <t>a5da700000058V6AAI</t>
  </si>
  <si>
    <t>Low board diversity</t>
  </si>
  <si>
    <t>The board's current diversity is 9% as at Q2 2022.</t>
  </si>
  <si>
    <t>a5da700000058WcAAI</t>
  </si>
  <si>
    <t>Corteva Inc</t>
  </si>
  <si>
    <t>The company to improve its board diversity in line with our corporate governance principles.</t>
  </si>
  <si>
    <t>a5da700000058X0AAI</t>
  </si>
  <si>
    <t>Energy Efficiency Strategy</t>
  </si>
  <si>
    <t xml:space="preserve">The company enhances the scope of its climate-related strategy and targets, and related disclosures to include opportunities and risks in its supply chain and use of its products.
In our view, further development of the company's strategy, related targets, and disclosure will help better identify and prepare for opportunities and risks related to the energy transition, including under global lower carbon scenarios, in the interests of the company and long-term shareholder value.</t>
  </si>
  <si>
    <t>a5da700000058UxAAI</t>
  </si>
  <si>
    <t>a5da700000058gbAAA</t>
  </si>
  <si>
    <t>Pay gap reporting</t>
  </si>
  <si>
    <t>Our objective is for the company to conduct and disclose an analysis of pay differences between different groups of employees ('pay gaps') across its workforce and identify any cases of non-merit-based rewards and publish the results, all in line with all applicable laws and regulations, including identified opportunities to optimise pay strategy and increase productivity and retention of key staff, including the opportunity to pay a living wage, as defined by the Living Wage coalition.</t>
  </si>
  <si>
    <t>a5da700000058geAAA</t>
  </si>
  <si>
    <t>Appoint an independent nomination committee chair</t>
  </si>
  <si>
    <t>Our objective is for the founder to step down as nomination committee chair. The company should appoint an independent nomination committee chair in his place.</t>
  </si>
  <si>
    <t>a5da700000055kUAAQ</t>
  </si>
  <si>
    <t>Financing requirement for FPIC</t>
  </si>
  <si>
    <t>Our objective is for the company to adopt a financing requirement for free prior and informed consent (FPIC) within its environmental and social risk management framework, to be applied to all energy and mining industry clients, not just those instances triggered by the International Finance Corporate Performance Standard 7.</t>
  </si>
  <si>
    <t>a5da700000058giAAA</t>
  </si>
  <si>
    <t>The company should continue to improve its communication about health and environmental impact of its products and encourage proper use. We encourage the company to address concerns with regard to perfluoroalkyl and polyfluoroalkyl substances (PFAS).</t>
  </si>
  <si>
    <t>a5da700000058hUAAQ</t>
  </si>
  <si>
    <t>Deliver on Portfolio Emissions Reduction &amp; Transition Finance Targets</t>
  </si>
  <si>
    <t>We would like to see the bank substantially achieve the majority of its emissions reductions in these sectors in 2022, 2023, 2024, through how it lends to clients to transition to lower-carbon assets and value chains via its €125bn 2025 sustainable finance commitment, as well as the types of lending it is now reducing or has ended (such as its policy to end financing of new oil and gas fields).</t>
  </si>
  <si>
    <t>a5da700000058huAAA</t>
  </si>
  <si>
    <t>Social Impact Taxonomy &amp; Measurement</t>
  </si>
  <si>
    <t>The bank is now exploring how it can report outcomes and impacts from social lending, how this could be framed, and how it might be compatible with future development of an EU social taxonomy. We will continue to engage in this arena, given the bank already leads on disclosing its future impact potential in green finance through its climate report and transparent pathways calculated by its Terra tool.</t>
  </si>
  <si>
    <t>a5da700000058hyAAA</t>
  </si>
  <si>
    <t>Evolve Unconventional &amp; Arctic Oil &amp; Gas Policy</t>
  </si>
  <si>
    <t>The bank has committed to ending financing for all new oil and gas fields, has restricted shale gas lending and most Arctic oil and gas financing, and is evaluating how to further evolve its policies in energy. We believe it should end all forms of onshore and offshore Arctic financing in both oil and gas, given that scientific research has demonstrated significant spill, contamination and cleanup risks in this kind of asset. This also presents serious reputational risks for the bank.</t>
  </si>
  <si>
    <t>a5da700000058hxAAA</t>
  </si>
  <si>
    <t>Enhanced diversity equity and inclusion strategy</t>
  </si>
  <si>
    <t xml:space="preserve">As of August 2022, Barclays has a diversity, equity and inclusion (DEI) strategy, but it is has been more well developed for aspects of diversity for which data is readily available (e.g., gender, race). For other aspects of diversity (disability, LGBTQ+, socio-economic), Barclays does not yet have good data and so targets have not been developed. There are also challenges with the acceptability of employees disclosing data on these criteria in certain markets in which Barclays operates. 
This objective is to promote Barclays to continue to develop its strategy across these other diversity criteria, to the extent that is feasible and relevant. We would want to see clarity around how different aspects of diversity are addressed in a "common but differentiated" way across different markets, and also how Barclays uses its size and status to drive the DEI agenda more broadly within society.</t>
  </si>
  <si>
    <t>a5da700000058hQAAQ</t>
  </si>
  <si>
    <t>Our objective is for the company to validate its climate reporting and in turn create a roadmap for achievement.</t>
  </si>
  <si>
    <t>a5da700000058hmAAA</t>
  </si>
  <si>
    <t>Enhanced human rights policy and reporting</t>
  </si>
  <si>
    <t>Our objective is for the bank to update its human rights policy to describe the process for identifying and assessing human rights impacts. It should also outline its decision-making criteria across operations and impacts linked to the bank’s financing. Enhance reporting should allow stakeholders to understand the application and effectiveness of its due diligence and remedy processes in order to describe how these processes have contributed to better outcomes for those impacted by its operations and financing.</t>
  </si>
  <si>
    <t>a5da700000058hOAAQ</t>
  </si>
  <si>
    <t>Our objective is for the bank to provide an updated human rights policy to describe the process for identifying and assessing human rights impacts and its decision-making criteria across operations. Plus, how this would affect the bank's financing. The policy should also describe how the bank cooperates in remediation of human rights impacts to which it has caused or contributed. Enhance reporting should allow stakeholders to understand the application and effectiveness of its due diligence and remedy processes, in order to describe how these processes have contributed to better outcomes for those impacted by its operations and financing.</t>
  </si>
  <si>
    <t>a5da700000058i3AAA</t>
  </si>
  <si>
    <t>Circular economy and zero pollution</t>
  </si>
  <si>
    <t>There is an increasing need and opportunity for a shift from linear to circular business models, which is central to future proofing businesses from reputational, regulatory and license to operate risks as well as reducing the negative impacts on the environment. Environmentally harmful pollution and waste from operations or products is inconsistent with a long-term sustainable business model. Investor concerns, reflecting the threat of fines from non-compliance and loss of social license to operate as well as the harm done to wider society and investments including harmful products into waterways and landfill is rising.</t>
  </si>
  <si>
    <t>a5da700000058iHAAQ</t>
  </si>
  <si>
    <t xml:space="preserve">The company develops and discloses a credible strategy including its capital allocation strategy to take advantage of climate-related opportunities and the benefits of reduced risks, addressing a range of global scenarios, including if the company considers feasible and appropriate and consistent with long-term financial value, those consistent with limiting climate change in line with the Paris Goals.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</si>
  <si>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a5da700000058gyAAA</t>
  </si>
  <si>
    <t>As of August 2022, HSBC has global targets for gender and ethnicity representation, and plans to drive progress on these initiatives. For other aspects of diversity (disability, LGBT+, socio-economic, generational) HSBC’s approach is less well developed. This objective is to promote HSBC to continue to develop its strategy across these other diversity criteria, to the extent that is feasible and relevant. We would want to see clarity around how different aspects of diversity are addressed in a "common but differentiated" way across different markets, and also how Barclays uses its size and status to drive the DEI agenda more broadly within society.</t>
  </si>
  <si>
    <t>a5da700000058iAAAQ</t>
  </si>
  <si>
    <t>The company needs to balance the requirements of their different stakeholders and ensure risks are mitigated relating to the cost-of-living crisis.</t>
  </si>
  <si>
    <t>a5da700000058iCAAQ</t>
  </si>
  <si>
    <t>Controversy linked to UNGC Principle 6: Discrimination</t>
  </si>
  <si>
    <t>The company is facing lawsuits alleging systemic sexual harassment in the workplace, primarily at its California plants leading to settlements.</t>
  </si>
  <si>
    <t>a5da700000058iIAAQ</t>
  </si>
  <si>
    <t>Safeguards for Indigenous Peoples' rights</t>
  </si>
  <si>
    <t>Our objective is for the company to improve its safeguards for indigenous peoples and community rights within its environmental and social risk management (ESRM) policy. This should be through commitments to engaging with all energy and extractives clients on these topics, not just during project finance transactions, for which the majority of proceeds affect communities.</t>
  </si>
  <si>
    <t>a5da700000058erAAA</t>
  </si>
  <si>
    <t>Combined CEO and chair</t>
  </si>
  <si>
    <t>We expect the board to have a separate CEO and chair. We suggested to the company that it appoints a lead independent director as soon as possible in the absence of a separation in the short-term.</t>
  </si>
  <si>
    <t>a5da700000058i5AAA</t>
  </si>
  <si>
    <t>Fully independent nomination committee</t>
  </si>
  <si>
    <t>We expect the board to have a majority independent nomination committee without the involvement of any executives. Currently, the committee's independence is 50%, with the involvement of an executive.</t>
  </si>
  <si>
    <t>a5da700000058i4AAA</t>
  </si>
  <si>
    <t>Health and Safety Culture</t>
  </si>
  <si>
    <t>Our objective is for the company to demonstrate that it has a safety-focused culture. This could be demonstrated through a variety of proactive indicators. While the company has improved its disclosure of backwards-looking safety indicators, we still have concerns around the company’s safety culture due to its handling of Covid-19.</t>
  </si>
  <si>
    <t>a5da700000055uyAAA</t>
  </si>
  <si>
    <t>Human Rights: labour rights in supply chain</t>
  </si>
  <si>
    <t>Our objective is for the company to conduct due diligence on human rights in its supply chain using a reputable third party. The company has a supplier code of conduct but it does not screen for compliance to this with regard to human rights.</t>
  </si>
  <si>
    <t>a5da700000055wJAAQ</t>
  </si>
  <si>
    <t>Digital rights - negative societal impacts</t>
  </si>
  <si>
    <t>Our objective is for the company to complete a human rights impact assessment for the metaverse and other new and emerging digital products and services. As companies deploy significant capital expenditure to these technologies, we recommend a freestanding human rights impact assessment that identifies risks and appropriate mitigation strategies in line with the UN Guiding Principles (UNGP).</t>
  </si>
  <si>
    <t>a5da700000058dxAAA</t>
  </si>
  <si>
    <t>Biodiversity strategy</t>
  </si>
  <si>
    <t>We welcome the company's focus on becoming a regenerative business and its circular economy initiatives. We expect it to articulate a clear strategy for how its approach will reduce negative impacts on biodiversity and, where possible, lead to improvements in biodiversity throughout the value chain.</t>
  </si>
  <si>
    <t>a5da700000058iiAAA</t>
  </si>
  <si>
    <t>Training and socioeconomic mobility metrics</t>
  </si>
  <si>
    <t>The company to produce metrics and data to evaluate financial and social impacts of training that leads to socioeconomic mobility of underrepresented, particularly racial and ethnic groups.</t>
  </si>
  <si>
    <t>a5da700000058iqAAA</t>
  </si>
  <si>
    <t xml:space="preserve">The company develops a strategy to improve the breadth of experience and perspectives by ensuring a merit-based approach for recruitment and retention of candidates from broad pools of talent in order to achieve a wide range of skills and experience among the composition of its workforce. 
In our view, such actions can help reduce costs of hiring and improve staff productivity, in the interests of the company and long-term shareholder value.</t>
  </si>
  <si>
    <t>a5da700000058ilAAA</t>
  </si>
  <si>
    <t xml:space="preserve">The company develops and discloses a credible strategy, including its capital allocation strategy, to take advantage of climate-related opportunities and the benefits of reduced risks, addressing a range of global scenarios.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</si>
  <si>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a5da700000058ikAAA</t>
  </si>
  <si>
    <t>a5da700000058f4AAA</t>
  </si>
  <si>
    <t>a5da700000058VnAAI</t>
  </si>
  <si>
    <t>a5da700000058VlAAI</t>
  </si>
  <si>
    <t>a5da700000058VhAAI</t>
  </si>
  <si>
    <t>Informed Consent</t>
  </si>
  <si>
    <t>Our objective is that the company commits to a process of obtaining consent from users that is freely given, specific, informed and unambiguous. Consent should be more than simply checking the terms and conditions box, and acquired through clear and proactive sharing of privacy policies and terms and conditions when a new account is opened and periodically throughout use. Privacy policies and terms and conditions should be presented in ways that are easy to find and understand for close to the entire user base, and supplemented with videos and images.</t>
  </si>
  <si>
    <t>a5da700000058VzAAI</t>
  </si>
  <si>
    <t>In 2022, a number of factors such as supply shortages and disruption, rising supply costs, an energy crisis in Europe, high employment rates following the pandemic causing an increase in employment costs, and the ongoing impact of the Covid pandemic, have delivered significant increases in inflation and a consequential rise in interest rates and the cost of borrowing. These have put pressure particularly on the lowest income groups and resulted in a cost of living crisis.</t>
  </si>
  <si>
    <t>a5da700000058irAAA</t>
  </si>
  <si>
    <t>Science-Based Portfolio Emissions Reduction Targets</t>
  </si>
  <si>
    <t>As a leading financier in Latin America, the bank has an opportunity to further its leadership in ESG strategy and impact financing by assessing, planning and validating science-based targets. This includes Scope 3 emissions in its lending and asset management portfolios. Its exposure to the utilities sector (25% of 2020 loan book) offers ample opportunities to 'bend down the curve' of portfolio emissions, as does its focus on transition-driven lending to high-emitting sectors. Such sectors include oil and gas and agriculture. We will raise this opportunity.</t>
  </si>
  <si>
    <t>a5da700000055vsAAA</t>
  </si>
  <si>
    <t>Progress on human rights</t>
  </si>
  <si>
    <t>Our objective is for the company to enhance its governance processes to allow for human rights issues to receive the appropriate level of consideration in investment and project management decisions - and that these processes are effective enough to drive real-world improvements in how human rights are respected in its global projects.</t>
  </si>
  <si>
    <t>a5da700000058ihAAA</t>
  </si>
  <si>
    <t>Russia-Ukraine conflict.</t>
  </si>
  <si>
    <t>a5da700000058TCAAY</t>
  </si>
  <si>
    <t>In the past 12 months, there have been significant impacts on inflation and interest rates along with an energy crisis and war between Russia and Ukraine. This has put pressure on companies to ensure that the needs of stakeholders are balanced between employees, suppliers, customers/consumers and shareholders.</t>
  </si>
  <si>
    <t>a5da700000058jRAAQ</t>
  </si>
  <si>
    <t>a5da700000058TGAAY</t>
  </si>
  <si>
    <t>Hazardous substance management</t>
  </si>
  <si>
    <t>All chemical companies face the risk that products could lead to unknown negative environmental and biological impacts. The production of hazardous chemicals is a key risk for the company and sector. According to the World Health Organization, worldwide two million people died due to exposure to hazardous chemicals in 2019, compared to 1.6 million in 2016. Hazardous chemicals are also key drivers of biodiversity loss. We want to support a transition towards safer chemicals, and yet 75% of all chemicals used and manufactured in Europe are hazardous to human health and/or the environment (EU 2019). The regulatory, as well as the market, pressure to transition towards less hazardous chemicals is strong and will increase even more following implementation of the European Green Deal. In the US in October 2021, the Environmental Protection Agency (EPA) released its roadmap for tackling per- and polyfluoroalkyl substances (PFAS). This multi-agency approach with increased disclosure and tighter restrictions is expected to impact companies in the near term. In recent years, the financial implications for company liability for past and current production of pollution of persistent chemicals, especially PFAS, have been clear. The company scored a D+ in ChemScore's 2021 annual ranking indicating greater transparency on the chemicals produced and strategy to phase out hazardous chemicals may be warranted.</t>
  </si>
  <si>
    <t>a5da700000058jVAAQ</t>
  </si>
  <si>
    <t>TCFD</t>
  </si>
  <si>
    <t>Companies should complete a Task Force on Climate-related Financial Disclosures (TCFD) report and include differing climate scenarios to assess and test their business model resilience.</t>
  </si>
  <si>
    <t>a5da700000058j2AAA</t>
  </si>
  <si>
    <t>Animal Welfare</t>
  </si>
  <si>
    <t>Where companies need to employ animal testing to assess the safety of their products, it should be done to appropriate levels of animal welfare and safety.</t>
  </si>
  <si>
    <t>a5da700000058j3AAA</t>
  </si>
  <si>
    <t>Supply Chain Risk Assessment</t>
  </si>
  <si>
    <t>Companies should assess the levels of ESG risk in their supply chains to ensure they are supporting companies that have the same levels of ethics and responsibility as they do.</t>
  </si>
  <si>
    <t>a5da700000058j4AAA</t>
  </si>
  <si>
    <t>Pharmaceutical and healthcare companies should ensure that they are making every effort to make their medicines accessible to all communities, particularly in low- and middle-income countries.</t>
  </si>
  <si>
    <t>a5da700000058j5AAA</t>
  </si>
  <si>
    <t>Circularity integrated into business strategy</t>
  </si>
  <si>
    <t>The company has a number of waste reduction and circularity initiatives across business lines, but we do not sense circularity has been integrated as a core part of its overall business strategy.</t>
  </si>
  <si>
    <t>a5da700000058jNAAQ</t>
  </si>
  <si>
    <t>a5da700000058TDAAY</t>
  </si>
  <si>
    <t>Diversity &amp; Inclusion Strategy Evolution</t>
  </si>
  <si>
    <t>The bank has begun to execute a principles-based strategy for increasing diversity and inclusion at entry and senior levels of its business. Although it will not alter its culture of meritocracy, it sees significant value in removing biases from both recruitment and progression approaches, as well as broadening the approach to both of these areas (in particular, through targeted career development programmes for women and minorities in the business). We will continue to engage with the bank on this strategy and encourage it to disclose its progress over the longer term, even if it is not in favour of setting hard targets which could risk contravening a more merit-based culture.</t>
  </si>
  <si>
    <t>a5da700000058j9AAA</t>
  </si>
  <si>
    <t>All chemical companies face the risk that products could lead to unknown negative environmental and biological impacts. The production of hazardous chemicals is a key risk for the company and sector. According to the World Health Organization, worldwide two million people died due to exposure to hazardous chemicals in 2019, compared to 1.6 million in 2016. Hazardous chemicals are also key drivers of biodiversity loss. We want to support a transition towards safer chemicals, and yet 75% of all chemicals used and manufactured in Europe are hazardous to human health and/or the environment (EU 2019). The regulatory, as well as the market, pressure to transition towards less hazardous chemicals is strong and will increase even more following implementation of the European Green Deal. In the US in October 2021, the Environmental Protection Agency (EPA) released its roadmap for tackling per- and polyfluoroalkyl substances (PFAS). This multi-agency approach with increased disclosure and tighter restrictions is expected to impact companies in the near term. In recent years, the financial implications for company liability for past and current production of pollution of persistent chemicals, especially PFAS, have been clear. The company scored a C- in ChemScore's 2021 annual ranking indicating greater transparency on the chemicals produced and strategy to phase out hazardous chemicals may be warranted.</t>
  </si>
  <si>
    <t>a5da700000058jWAAQ</t>
  </si>
  <si>
    <t>Green energy strategy transparency</t>
  </si>
  <si>
    <t>Greater disclosure of green energy strategy and plans going forward.</t>
  </si>
  <si>
    <t>a5da700000055HxAAI</t>
  </si>
  <si>
    <t>In order to improve efficiency and to safeguard employees, companies, particularly those in construction and manufacturing, must focus heavily on health and safety and ensuring good practices on the job</t>
  </si>
  <si>
    <t>a5da700000058jBAAQ</t>
  </si>
  <si>
    <t>Stewardship engagement</t>
  </si>
  <si>
    <t>It is important that companies understand the interests of shareholders and how the engagement process works to ensure that the appropriate level of priority is given to shareholder requests and interest.</t>
  </si>
  <si>
    <t>a5da700000058jAAAQ</t>
  </si>
  <si>
    <t>a5da700000058SlAAI</t>
  </si>
  <si>
    <t>Hazardous Substance Management</t>
  </si>
  <si>
    <t>The company scores low in the ChemSec Ranking due to poor disclosure of hazardous chemicals production and the lack of a public strategy to phase out existing hazardous chemicals beyond regulatory compliance.</t>
  </si>
  <si>
    <t>a5da700000055I0AAI</t>
  </si>
  <si>
    <t>Implementation Code of Ethics</t>
  </si>
  <si>
    <t>Our objective is for the company to demonstrate that its code of ethics has been well implemented and that it has an ongoing process to maintain and improve.</t>
  </si>
  <si>
    <t>see case study</t>
  </si>
  <si>
    <t>a5da700000058jSAAQ</t>
  </si>
  <si>
    <t>A commitment on emissions reduction of third party sold energy</t>
  </si>
  <si>
    <t>Our objective is for the company to establish a commitment regarding the emissions intensity of third-party sold energy, e.g., on the intensity it is willing to sell. This should be part of a broader strategy on how it will engage (and influence and select) the third parties it works with.</t>
  </si>
  <si>
    <t>a5da700000055j4AAA</t>
  </si>
  <si>
    <t>Alignment of provision of finance with the delivery of the Paris goals</t>
  </si>
  <si>
    <t>Our objective is for the bank to set explicit conditions when providing financing tied to net-zero commitments, with clear timelines and milestones for reducing emissions. This should include all key sectors, which are more likely to be financially impacted by the energy transition, and explicit criteria for the withdrawal of financing to misaligned activities.</t>
  </si>
  <si>
    <t>a5da700000055vyAAA</t>
  </si>
  <si>
    <t>Concerns regarding remuneration strategies.</t>
  </si>
  <si>
    <t>a5da700000058k4AAA</t>
  </si>
  <si>
    <t>The estimated total variable opportunity (bonus + long-term incentive plan (LTIP)) is above our policy limit of 600% and disclosed in an unnecessarily unclear way. The bonus scheme’s determination is insufficiently disclosed. The relative total shareholder return performance metric of the LTIP allows for vesting below median performance.</t>
  </si>
  <si>
    <t>a5da700000058kIAAQ</t>
  </si>
  <si>
    <t>Socioeconomic mobility metrics</t>
  </si>
  <si>
    <t>The company to produce metrics and data to evaluate financial and social impacts of its programmes and partnerships to promote job-readiness that leads to socioeconomic mobility of underrepresented, particularly racial and ethnic groups.</t>
  </si>
  <si>
    <t>a5da700000058kdAAA</t>
  </si>
  <si>
    <t>For high-risk sectors, we are concerned about the following: any material connections to Russia or Ukraine, the potential impacts of the conflict on the business, the safety and welfare of employees, and any potential connections to human rights violations, plus how the company can address these.</t>
  </si>
  <si>
    <t>a5da700000058kbAAA</t>
  </si>
  <si>
    <t>The company does not disclose the tenure of its auditor.</t>
  </si>
  <si>
    <t>a5da700000058kfAAA</t>
  </si>
  <si>
    <t>Human Rights Improvements in ESG Risk Policies</t>
  </si>
  <si>
    <t>The bank has published a series of policies on sectoral ESG risk for lending and asset management. These are a welcome start for the bank on its evolving ESG journey but are representative of a public 'first generation' set of policies. We believe evolutionary improvement as the bank develops its ESG due diligence capabilities and refines its approach will be needed. This includes (but is not limited to) a standalone human rights policy in addition to the human rights requirements which have been added to policies. Besides its existing human rights expectations in lending and investing, this should explain how the bank will do due diligence to ensure that consultation, grievance and remedy mechanisms for workers, communities and indigenous groups will be in place at the borrower or investee level to ensure human rights challenges are resolvable.</t>
  </si>
  <si>
    <t>a5da700000058kgAAA</t>
  </si>
  <si>
    <t>James Hardie Industries PLC</t>
  </si>
  <si>
    <t>We have concerns about the high pay relative to the market and we oppose the granting of options as additional compensation.</t>
  </si>
  <si>
    <t>a5da700000058l1AAA</t>
  </si>
  <si>
    <t>Our objective is for the company to adopt a financing requirement for free, prior and informed consent (FPIC) within its environmental and social risk management framework, to be applied to all energy and mining industry clients, not just those instances triggered by the International Finance Corporation Performance Standard 7.</t>
  </si>
  <si>
    <t>a5da700000058ghAAA</t>
  </si>
  <si>
    <t>1.5°C aligned Scope 3 target</t>
  </si>
  <si>
    <t>The company should set a 1.5°C aligned medium-term target for reducing its most relevant Scope 3 greenhouse gas emissions between 2026 and 2035.</t>
  </si>
  <si>
    <t>a5da700000058g0AAA</t>
  </si>
  <si>
    <t>Climate Policy Engagement Transparency</t>
  </si>
  <si>
    <t>The company should improve the quality of its annual review of the climate change lobbying activities of the associations, alliances and coalitions of which it is a member. This includes demonstrating that it has taken action in situations where misalignment has been identified between the climate change lobbying activities of those associations and the goals of the Paris Agreement.</t>
  </si>
  <si>
    <t>a5da700000058fzAAA</t>
  </si>
  <si>
    <t>We note that employee turnover at Equifax during FY21 was running at a rate greater than one in four and voluntary turnover at one in five. While 2021 was an unusual year, we are nonetheless surprised at the high rate which must prove a difficulty to maintaining an engaged and motivated workforce.</t>
  </si>
  <si>
    <t>a5da700000058l8AAA</t>
  </si>
  <si>
    <t>63 million US consumers are either unbanked or underbanked and 49 million are ‘invisible’ to credit raters or ‘unscorable’. The credit access gaps are acute for poorer, black and Hispanic consumers – one in five black and one in three Hispanic consumers do not have any credit in their name. While the roots of this are deep rooted and reinforced by the credit system, the credit rating firms also have the potential to close these gaps by greater utilisation of alternative data and targeted customer education, and in effect acquisition strategies.</t>
  </si>
  <si>
    <t>a5da700000058l7AAA</t>
  </si>
  <si>
    <t>With high inflation and increasing interest rates pushing up costs of everyday products and the significant rise in energy costs, companies are facing pressures in their supply chains, from their employees and from customers. How companies effectively balance these will make a difference to how well they navigate their way through the cost of living crisis.</t>
  </si>
  <si>
    <t>a5da700000058l9AAA</t>
  </si>
  <si>
    <t>Sustainable supply chain management</t>
  </si>
  <si>
    <t>Companies with large supply chains need to ensure they have a robust process of evaluation, assessment and monitoring to ensure that risks are well managed and that the company's values around human rights, environment and ethics are respected throughout their value chain.</t>
  </si>
  <si>
    <t>a5da700000058lAAAQ</t>
  </si>
  <si>
    <t>Our objective is for the company to engage with the KnowTheChain benchmark and improve its score by working on areas where it scored poorly.</t>
  </si>
  <si>
    <t>a5da700000058lEAAQ</t>
  </si>
  <si>
    <t>a5da700000058g1AAA</t>
  </si>
  <si>
    <t>The company should improve the quality of its annual review of the climate change lobbying activities of the associations, alliances and coalitions of which it is a member. This should include demonstrating that it has taken action in situations where misalignment has been identified between the climate change lobbying activities of these associations, alliances and coalitions and the goals of the Paris Agreement.</t>
  </si>
  <si>
    <t>a5da700000058fyAAA</t>
  </si>
  <si>
    <t>The company should develop an explicit just transition strategy or better communicate how it has considered impacts of its transition strategy on its stakeholders and identified mitigation actions.</t>
  </si>
  <si>
    <t>a5da700000058lWAAQ</t>
  </si>
  <si>
    <t xml:space="preserve">The company develops and discloses a credible strategy, including its capital allocation strategy, to take advantage identify climate-related opportunities and the benefits of reduced risks, addressing a range of global scenarios, including if the company considers feasible and appropriate and consistent with long-term financial value, those consistent with limiting climate change to below 2?C in line with the Paris Goals.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</si>
  <si>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a5da700000055I6AAI</t>
  </si>
  <si>
    <t>a5da700000055I9AAI</t>
  </si>
  <si>
    <t>Living wages in value chain</t>
  </si>
  <si>
    <t>Our objective is for the company to demonstrate meaningful influence to promote living wages within its value chain of clients, investments, and portfolio holdings. This might take the form of articulating its position on living wages within its environmental and social risk management (ESRM) policy, linking its expectation of living wages to its financing conditions, and making public statements in support of living wages throughout the economy.</t>
  </si>
  <si>
    <t>a5da700000058etAAA</t>
  </si>
  <si>
    <t>Supply chain - working conditions</t>
  </si>
  <si>
    <t>Our objective is for the company to commit to a timebound strategy to fully assess and disclose human rights due diligence in its supply chain. This disclosure should include, at a minimum, all Tier 1 and 2 suppliers, information about the process of audits and the provision of remedy. Where the company is unable to provide such disclosure, it must provide an appropriate rationale.</t>
  </si>
  <si>
    <t>a5da700000058ijAAA</t>
  </si>
  <si>
    <t>Our objective is to ensure the company consults fully with shareholders and reports transparently on the issues causing dissent and the actions being taken.</t>
  </si>
  <si>
    <t>a5da700000058iBAAQ</t>
  </si>
  <si>
    <t>Roadmap to address financial inclusion</t>
  </si>
  <si>
    <t>Our objective is for the company to develop a roadmap for new products that address financial inclusion needs.</t>
  </si>
  <si>
    <t>a5da700000058meAAA</t>
  </si>
  <si>
    <t>DEI/AI</t>
  </si>
  <si>
    <t>Ask the company to look at DEI/AI in its own operations and portfolio company, ideally using causal inference methodology</t>
  </si>
  <si>
    <t>a5da700000058mdAAA</t>
  </si>
  <si>
    <t>Capital allocation aligned with 1.5 degree aligned climate strategy</t>
  </si>
  <si>
    <t>The company demonstrates that its capital allocation plans will enable it to meet its medium-term climate targets.</t>
  </si>
  <si>
    <t>a5da700000058nKAAQ</t>
  </si>
  <si>
    <t>Improve reporting on physical climate risks</t>
  </si>
  <si>
    <t>The company discloses a plan that mitigates identified physical climate risks, ensures resilience of operations and assets, and secures the well-being of stakeholders. This plan should include emergency and pre-emptive actions, set in the short- to medium-term. The company demonstrates financial awareness of risks and opportunities related to physical climate risks.</t>
  </si>
  <si>
    <t>a5da700000058nNAAQ</t>
  </si>
  <si>
    <t>Methane/OGMP 2.0</t>
  </si>
  <si>
    <t>We are urging the company to include methane reductions in its clients' energy transition plans.</t>
  </si>
  <si>
    <t>a5da700000058miAAA</t>
  </si>
  <si>
    <t>Socioeconomic Mobility</t>
  </si>
  <si>
    <t>The company to produce metrics and data to evaluate financial and social impacts of its programmes and partnerships to promote job-readiness that leads to socioeconomic mobility of underrepresented, particularly racial and ethnic groups. Percentage of women in the company overall is concerning at just 30.6%.</t>
  </si>
  <si>
    <t>a5da700000058nQAAQ</t>
  </si>
  <si>
    <t>UK-style gender pay reporting</t>
  </si>
  <si>
    <t>Our objective is for the company reports on gender and/or racial/ethnic pay gaps for its global workforce, using the UK gender pay gap reporting approach. Analysis should go beyond an assessment of pay for similar work and include review of gaps for mean and median pay figures, as well as efforts to address inequities tied to pay and representation across different company ranks including senior and executive leadership.</t>
  </si>
  <si>
    <t>a5da700000058nRAAQ</t>
  </si>
  <si>
    <t>Quantify &amp; Extend Diversity Strategy</t>
  </si>
  <si>
    <t>Our objective is for the bank to: reach its new goal of 30% women in top management by 2025; disclose a gender pay gap analysis for its top markets and take corrective action if needed; and disclose its ambitions and goals for achieving greater diversity beyond a greater gender balance in senior management.</t>
  </si>
  <si>
    <t>a5da700000058hwAAA</t>
  </si>
  <si>
    <t>Paris-aligned financial accounting and audit</t>
  </si>
  <si>
    <t>The company and its auditor currently does not meet expectations on considering the impact of climate change in its financial accounts and audit report. This is highlighted in the Carbon Tracker 'Still Flying Blind' report 2022.</t>
  </si>
  <si>
    <t>a5da700000058nfAAA</t>
  </si>
  <si>
    <t>We expressed our expectation for the company to assess the board's functions and appoint an independent director with the desired skills to uphold the function of independence.</t>
  </si>
  <si>
    <t>a5da700000058nhAAA</t>
  </si>
  <si>
    <t>Ince factory closure</t>
  </si>
  <si>
    <t>The company plans to permanently close its production site in Ince, UK. The Ince manufacturing facility has not produced ammonia since September 2021. Instead it will focus production at its Billingham site, which is more efficient, has an installed industrial customer base (some with pass-through costs), the ability to import ammonia and sufficient capacity to meet all forecasted domestic demand for AN fertiliser from CF Fertilisers UK.</t>
  </si>
  <si>
    <t>a5da700000058njAAA</t>
  </si>
  <si>
    <t>Fertiliser application</t>
  </si>
  <si>
    <t>Fertilisers can cause multiple harms if applied incorrectly, including via greenhouse gas emissions and the pollution of waterways.</t>
  </si>
  <si>
    <t>a5da700000058niAAA</t>
  </si>
  <si>
    <t>Human rights due diligence</t>
  </si>
  <si>
    <t>The company should enhance its human rights due diligence, including in its supply chain in accordance with the guidelines published by the Japanese government.</t>
  </si>
  <si>
    <t>a5da700000058nmAAA</t>
  </si>
  <si>
    <t>The company should adopt adequate board governance including training of independent directors, and aligning the skillsets of board directors with the corporate strategy. It should also carry out a board evaluation.</t>
  </si>
  <si>
    <t>a5da700000058nnAAA</t>
  </si>
  <si>
    <t>Our objective is for the company to develop and disclose a credible strategy to take advantage of climate-related opportunities and the benefits of reduced risks, addressing a range of global scenarios, including if the company considers it consistent with long-term financial value and consistent with limiting climate change to below 2-degrees in line with the Paris goals.</t>
  </si>
  <si>
    <t>a5da700000058gXAAQ</t>
  </si>
  <si>
    <t>Our objective is for the company to adopt a financing requirement for free, prior and informed consent (FPIC) within its environmental and social risk management framework. This should be applied to all energy and mining industry clients, not just those instances triggered by the International Finance Corporate Performance Standard 7.</t>
  </si>
  <si>
    <t>M2 -&gt; M3</t>
  </si>
  <si>
    <t>a5da700000058fiAAA</t>
  </si>
  <si>
    <t>Robust carbon offsetting strategy</t>
  </si>
  <si>
    <t>Our objective is for the company to put in place principles, policies and related disclosures to demonstrate that its current and planned use of carbon offsets is robust and sustainable.</t>
  </si>
  <si>
    <t>a5da700000055vfAAA</t>
  </si>
  <si>
    <t>Keystone pipeline spillage</t>
  </si>
  <si>
    <t>The company's Keystone oil pipeline suffered a large leak in December 2022.</t>
  </si>
  <si>
    <t>a5da700000058noAAA</t>
  </si>
  <si>
    <t>Management of ESG in the supply chain</t>
  </si>
  <si>
    <t>Companies can spend 50% and more of their turnover on products and services from suppliers. They need to spend significant effort in assessing risk, developing appropriate strategies and implementing plans to ensure their social, environmental and ethical values are reflected in the suppliers they use. Failure to do so can result in abuses of human rights and negative environmental impacts that can damage the company's brand, result in contract losses, disruption in the supply chain and fines.</t>
  </si>
  <si>
    <t>a5da700000058mfAAA</t>
  </si>
  <si>
    <t>Validation of carbon emission targets</t>
  </si>
  <si>
    <t>When companies set carbon emission reduction targets, they need obtain independent validation in order to demonstrate that the targets are not just greenwashing, and that they support the 1.5°C Paris Agreement commitments.</t>
  </si>
  <si>
    <t>a5da700000058mgAAA</t>
  </si>
  <si>
    <t>Our objective is for the company to develop and disclose a credible strategy to take advantage of climate-related opportunities and the benefits of reduced risks, addressing a range of global scenarios. This should include if the company considers it to be consistent with long-term financial value, and consistent with efforts to limit climate change to below 2-degrees in line with the Paris goals.</t>
  </si>
  <si>
    <t>a5da700000058gZAAQ</t>
  </si>
  <si>
    <t>Biodiversity impact</t>
  </si>
  <si>
    <t>We challenged the company to publish its policy on biodiversity and put in place targets and actions to minimise its negative impact and maximise the positive.</t>
  </si>
  <si>
    <t>a5da700000058nvAAA</t>
  </si>
  <si>
    <t>Assurance of sufficiency of climate strategy</t>
  </si>
  <si>
    <t xml:space="preserve">The company reflects in its financial statements how its climate-related commitments, strategy and targets have been included in the accounts and secures assurance by the auditor, or provides a compelling reason why this is not appropriate.
In our view, such clarification by the company and external validation by the auditor will help give valuable insights on the resilience of the strategy and increase investor confidence, in the interests of the company and long-term shareholder value.</t>
  </si>
  <si>
    <t>With the IFRS report the company would score at least a partial completion by Carbon Tracker for its disclosures and the auditor is likely to score a full disclosure</t>
  </si>
  <si>
    <t>a5da700000058nAAAQ</t>
  </si>
  <si>
    <t>TNFD reporting</t>
  </si>
  <si>
    <t>NAB was one of the inaugural signatories to the Natural Capital Declaration in 2012 and has investigated the importance of healthy ecosystems to its business, with a focus on the agribusiness portfolio. A draft reporting framework by the Taskforce on Nature-related Financial Disclosures was published in June 2021 and the recommendations are expected in 2023. We expect NAB to take a pioneering role and start reporting in line with the draft reporting framework.</t>
  </si>
  <si>
    <t>a5da700000055wNAAQ</t>
  </si>
  <si>
    <t>Whistleblowing Reporting</t>
  </si>
  <si>
    <t>Our objective is for the company to publish details of the number, type and outcomes of calls to the whistleblowing hotline.</t>
  </si>
  <si>
    <t>a5da700000058nsAAA</t>
  </si>
  <si>
    <t>Paris Agreement aligned capex</t>
  </si>
  <si>
    <t>The company discloses the methodology for evaluating each material new investment to ensure alignment with the goals of the Paris Agreement. The company discloses a progress report against the criteria annually.</t>
  </si>
  <si>
    <t>a5da700000055hHAAQ</t>
  </si>
  <si>
    <t>1.5-degrees Celsius SBTi-validated climate target</t>
  </si>
  <si>
    <t>The company obtains Science-Based Targets initiative (SBTi) validation of a 1.5-degrees Celsius Paris Agreement aligned climate target.</t>
  </si>
  <si>
    <t>a5da700000058nkAAA</t>
  </si>
  <si>
    <t>Methane management best practices</t>
  </si>
  <si>
    <t xml:space="preserve">The company takes appropriate steps to capitalise on the opportunity to improve its methane emissions performance management and disclosures in line with good industry practices.
In our view, such actions can help better identify and prepare for opportunities and risks related to the energy transition, including under global lower carbon scenarios, in the interests of the company and long-term shareholder value.</t>
  </si>
  <si>
    <t>a5da700000058SsAAI</t>
  </si>
  <si>
    <t xml:space="preserve">Our objective is for the company to improve its climate-related financial disclosures, including those relating to opportunities and risks connected to the energy transition and physical risks under a range of global scenarios, including if deemed appropriate, global scenarios consistent with the Paris goals. This could make reference to best-practice reporting frameworks such as the Taskforce on Climate-related Financial Disclosures (TCFD)._x000D_
_x000D_
In our view, improved reporting of such progress could help yield valuable insights into the effectiveness of its strategy, in the interests of the company and long-term shareholder value.</t>
  </si>
  <si>
    <t>a5da700000058StAAI</t>
  </si>
  <si>
    <t>Director overcommitment</t>
  </si>
  <si>
    <t>Close to over-commitment of director Sara Matthew.</t>
  </si>
  <si>
    <t>a5da700000058oBAAQ</t>
  </si>
  <si>
    <t>TNFD</t>
  </si>
  <si>
    <t>Companies need to assess their wider impact on the environment such as forestry, water and biodiversity and implement actions to minimise or improve the biodiversity as part of their activity.</t>
  </si>
  <si>
    <t>a5da700000058o9AAA</t>
  </si>
  <si>
    <t>FIFA sponsorship</t>
  </si>
  <si>
    <t>Hyundai is one of the sponsors of the FIFA world cup in Qatar. A a responsible company, we expect it to raise issues around how FIFA is acting in a responsible way with regards to reports of human rights abuses during the construction of the venues, issues around diversity and inclusion, and concerns around health and safety of workers on sites.</t>
  </si>
  <si>
    <t>a5da700000058o7AAA</t>
  </si>
  <si>
    <t>Medium-term GHG reduction targets</t>
  </si>
  <si>
    <t>Our objective is for the company to set a medium-term target for reducing its greenhouse gas emissions between 2026 and 2035 that covers at least 95% of Scope 1 and 2 emissions, and the most relevant Scope 3 emissions. The company should publish a methodology to establish a Scope 3 target (upstream and downstream across the lifecycle) and provide evidence that this target is aligned with the goal of limiting global warming to 1.5°C with low or no overshoot (equivalent to the Intergovernmental Panel on Climate Change (IPCC) 1.5°C/net-zero emissions by 2050 scenario).</t>
  </si>
  <si>
    <t>a5da700000058iEAAQ</t>
  </si>
  <si>
    <t>a5da700000058VAAAY</t>
  </si>
  <si>
    <t>a5da700000058VBAAY</t>
  </si>
  <si>
    <t>a5da700000058VCAAY</t>
  </si>
  <si>
    <t>a5da700000058mzAAA</t>
  </si>
  <si>
    <t>Compliance enhancements (risk management)</t>
  </si>
  <si>
    <t>Our aim is for the company to issue a public disclosure of steps taken to enhance risk management including compensation in light of the $920 million deferred prosecution. Such a disclosure would include a presentation on its website talking about board actions to address this.</t>
  </si>
  <si>
    <t>a5da700000058VqAAI</t>
  </si>
  <si>
    <t>Net zero commitment with targets</t>
  </si>
  <si>
    <t>Company to set a 2050 net zero target, supported by Paris Agreement-aligned interim targets.</t>
  </si>
  <si>
    <t>a5da700000058oUAAQ</t>
  </si>
  <si>
    <t>Our aim is for the company to increase the CEO's shareholding requirements to eight-to-10 times base salary.</t>
  </si>
  <si>
    <t>a5da700000058W1AAI</t>
  </si>
  <si>
    <t>Our objective is for the company to create an integrated reporting disclosure.</t>
  </si>
  <si>
    <t>a5da700000058W5AAI</t>
  </si>
  <si>
    <t xml:space="preserve">The company develops and discloses a credible strategy of climate-related opportunities and the benefits of reduced risks, addressing a range of global scenarios, including if the company considers feasible and appropriate and consistent with long-term financial value.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</si>
  <si>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a5da700000058jOAAQ</t>
  </si>
  <si>
    <t>The company to improve its board diversity.</t>
  </si>
  <si>
    <t>a5da700000058oXAAQ</t>
  </si>
  <si>
    <t>Improve Chemscore</t>
  </si>
  <si>
    <t>The company to improve its Chemsore.</t>
  </si>
  <si>
    <t>a5da700000058oWAAQ</t>
  </si>
  <si>
    <t>UNGP aligned human rights policy</t>
  </si>
  <si>
    <t>The company enhances its human rights policy to specifically align with the expectations of the UN Guiding Principles for Business and Human Rights and demonstrates oversight of third-party building contractors, given the risk of forced labor in the industry.</t>
  </si>
  <si>
    <t>a5da700000058ocAAA</t>
  </si>
  <si>
    <t>Delisting from Frankfurt Stock Exchange</t>
  </si>
  <si>
    <t>The company has proposed delisting from the Frankfurt Stock Exchange due to technical selling pressure resulting from listing rules relating to the DAX index and Linde's market capitalisation.</t>
  </si>
  <si>
    <t>a5da700000058oiAAA</t>
  </si>
  <si>
    <t>Ally Financial Inc</t>
  </si>
  <si>
    <t xml:space="preserve">The company develops a strategy to improve cognitive diversity by ensuring a merit-based approach for recruitment and retention of candidates from broad pools of talent in order to achieve a wide range of skills and experience among the composition of its Workforce. _x000D_
_x000D_
In our view, such actions can help reduce costs of hiring and improve staff productivity, in the interests of the company and long-term shareholder value.</t>
  </si>
  <si>
    <t>Discontinued - Administrative closure</t>
  </si>
  <si>
    <t>a5da700000058fUAAQ</t>
  </si>
  <si>
    <t xml:space="preserve">The company develops and discloses a credible strategy including its capital allocation strategy to take advantage of climate-related opportunities and the benefits of reduced risks, addressing a range of global scenarios._x000D_
_x000D_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</si>
  <si>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a5da700000058fXAAQ</t>
  </si>
  <si>
    <t>Financial Impacts of Children</t>
  </si>
  <si>
    <t>Our objective is for the company to disclose the financial impacts of potential age-related restrictions on the use of devices and social media.</t>
  </si>
  <si>
    <t>a5da700000058VvAAI</t>
  </si>
  <si>
    <t xml:space="preserve">The company enhances the scope of its climate-related strategy and targets, and related disclosures, to include opportunities and risks in its supply chain and use of its products.
In our view, further development of the company's strategy and related targets and disclosure will help better identify and prepare for opportunities and risks related to the energy transition, including under global lower carbon scenarios, in the interests of the company and long-term shareholder value.</t>
  </si>
  <si>
    <t>a5da700000058g3AAA</t>
  </si>
  <si>
    <t>a5da700000055wBAAQ</t>
  </si>
  <si>
    <t>Our objective is for the company to set a 1.5°C aligned medium-term target for reducing its most relevant Scope 3 greenhouse gas emissions between 2026 and 2035.</t>
  </si>
  <si>
    <t>a5da700000058g2AAA</t>
  </si>
  <si>
    <t>Human Rights Impact Assessment and Due Diligence</t>
  </si>
  <si>
    <t>Our objective is for the company to conduct and disclose a robust human rights impact assessment or other evidence of human rights impact due diligence. This effort may include: reporting on key areas (geographies, communities, operations) in which the company impacts, and is impacted by, human rights issues; an assessment of areas posing elevated risks; its response to areas in which it faces community or rights holder opposition and/or concerns; details of grievance mechanism channel use, KPIs, topics covered, and resolutions for grievances raised across channels; and survey results speaking to the licence to operate obtained from affected communities, among other items.</t>
  </si>
  <si>
    <t>a5da700000058fbAAA</t>
  </si>
  <si>
    <t>Our objective is for the company to conduct and disclose a robust human rights impact assessment or other evidence of human rights impact due diligence. This may include: reporting on key areas (geographies, communities, operations) in which the company impacts and is impacted by human rights issues; an assessment of areas determined to pose elevated risks; the response to areas in which it faces community or rightsholder opposition and/or concern; details of grievance mechanism channel use, KPIs, topics covered, and resolutions for grievances raised across channels; and survey results related to the licence to operate obtained from affected communities, among other items.</t>
  </si>
  <si>
    <t>a5da700000058fcAAA</t>
  </si>
  <si>
    <t xml:space="preserve">The company enhances the scope of its climate-related strategy and targets, to include opportunities and risks in its supply chain and use of its products.
In our view, further development of the company's strategy and related targets and disclosure will help better identify and prepare for opportunities and risks related to the energy transition, including under global lower carbon scenarios, in the interests of the company and long-term shareholder value.</t>
  </si>
  <si>
    <t>a5da700000055vHAAQ</t>
  </si>
  <si>
    <t>a5da700000058VgAAI</t>
  </si>
  <si>
    <t>Talent management strategy focused on the board and workforce</t>
  </si>
  <si>
    <t xml:space="preserve">The company develops a strategy to improve cognitive diversity by ensuring a merit-based approach for recruitment and retention of candidates from broad pools of talent in order to achieve a wide range of skills and experience among the composition of its Board and Workforce. 
In our view, such actions can help reduce costs of hiring and improve staff productivity, in the interests of the company and long-term shareholder value.</t>
  </si>
  <si>
    <t>a5da700000058VpAAI</t>
  </si>
  <si>
    <t>a5da700000055vBAAQ</t>
  </si>
  <si>
    <t>The company establishes a target to achieve 30% gender diversity at the board of directors level by 2030, and reports on efforts and progress towards this goal.</t>
  </si>
  <si>
    <t>a5da700000058f8AAA</t>
  </si>
  <si>
    <t>Workforce gender diversity</t>
  </si>
  <si>
    <t>Our objective is for the company to establish quantitative and time-bound targets, beyond 2023, to improve the percentage of female representation within its workforce, with specific goals tied to representation in senior leadership, executive levels, and new-employee hires.</t>
  </si>
  <si>
    <t>a5da700000058f9AAA</t>
  </si>
  <si>
    <t>a5da700000058gfAAA</t>
  </si>
  <si>
    <t xml:space="preserve">The company to conduct and disclose an analysis of pay differences between different groups of employees ('pay gaps') across its workforce and identify any cases of non-merit-based rewards and publish the results, all in line with all applicable laws and regulations, including identified opportunities to optimise pay strategy and increase productivity and retention of key staff, including the opportunity to pay a living wage, as defined by the Living Wage coalition. 
In our view, optimised pay strategy can help improve employee retention, reduce external hiring costs and increase productivity, which help increase revenues and reduce costs, in the interests of the company and long-term shareholder value.</t>
  </si>
  <si>
    <t>a5da700000058dJAAQ</t>
  </si>
  <si>
    <t xml:space="preserve">The company develops and discloses a credible strategy to take advantage of climate-related opportunities and the benefits of reduced risks, addressing a range of global scenarios.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</si>
  <si>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a5da700000058dKAAQ</t>
  </si>
  <si>
    <t>Our objective is for the company to identify a set of initiatives and meaningful targets and actions to improve gender equality in its workforce.</t>
  </si>
  <si>
    <t>a5da700000058dXAAQ</t>
  </si>
  <si>
    <t>Time-bound targets to increase diversity</t>
  </si>
  <si>
    <t>The company sets time-bound targets to increase the representation from under-represented groups (women, the differently-abled).</t>
  </si>
  <si>
    <t>a5da700000058g6AAA</t>
  </si>
  <si>
    <t>Supply chain monitoring</t>
  </si>
  <si>
    <t>Despite the company’s best practice due diligence processes, there are still instances of poor labour and environmental practices in its supply chain. Through audits and reports from non-governmental organisations in FY2020, Seagate was made aware of four cases of high recruitment fees involving foreign workers at supplier facilities in Malaysia, and two in Thailand. We want the company to be more innovative in how it monitors poor practice.</t>
  </si>
  <si>
    <t>a5da700000055wFAAQ</t>
  </si>
  <si>
    <t>a5da700000055wcAAA</t>
  </si>
  <si>
    <t>a5da700000058emAAA</t>
  </si>
  <si>
    <t>Physical Climate Risk Resilience</t>
  </si>
  <si>
    <t>Our objective is for the company to use scenario analysis to assess its exposure to physical climate risks and identify material physical risks. It should develop a plan to mitigate the risks and ensure resilience of operations and assets. This plan should include short and medium-term actions.</t>
  </si>
  <si>
    <t>a5da700000058f3AAA</t>
  </si>
  <si>
    <t>Methane best practices</t>
  </si>
  <si>
    <t>Our objective is for the company to take appropriate steps to capitalise on the opportunity to improve its methane emissions performance management and disclosures in line with good industry practices.</t>
  </si>
  <si>
    <t>a5da700000058g8AAA</t>
  </si>
  <si>
    <t>Our objective is for the company to adopt a financing requirement for free prior and informed consent (FPIC) within its environmental and social risk management framework. This is to be applied to all energy and mining industry clients, not just those instances triggered by the International Finance Corporation Performance Standard 7.</t>
  </si>
  <si>
    <t>a5da700000058ggAAA</t>
  </si>
  <si>
    <t>Cross-shareholding with Korea Zin</t>
  </si>
  <si>
    <t xml:space="preserve">LG Chem and Korea Zinc established a cross-shareholding structure by swapping treasury shares in Q4 2022.  Korea Zinc supplies critical raw materials to LG Chem.</t>
  </si>
  <si>
    <t>a5da700000058osAAA</t>
  </si>
  <si>
    <t>a5da700000058jlAAA</t>
  </si>
  <si>
    <t>Validation of climate targets</t>
  </si>
  <si>
    <t>It is important for companies to both set targets which are in line with 1.5°C Paris Agreement-aligned pathway and to externally validate that these targets are indeed in line to give stakeholders confidence with the focus and effort put in to reduce carbon emissions.</t>
  </si>
  <si>
    <t>a5da700000058oxAAA</t>
  </si>
  <si>
    <t>Wiwynn Corp</t>
  </si>
  <si>
    <t>Company alignment with the Paris Agreement</t>
  </si>
  <si>
    <t>The company should improve its alignment with the 1.5 degrees Celsius goal of the Paris Agreement including setting decarbonisation targets, publishing a climate strategy and aligning disclosures with TCFD recommendations.</t>
  </si>
  <si>
    <t>a5da700000058pAAAQ</t>
  </si>
  <si>
    <t>a5da700000058p2AAA</t>
  </si>
  <si>
    <t>a5da700000058pCAAQ</t>
  </si>
  <si>
    <t>The company should assess the implications of its transition strategy on its stakeholders and publicly support the just transition.</t>
  </si>
  <si>
    <t>a5da700000058pHAAQ</t>
  </si>
  <si>
    <t>Oil Spill in Kansas</t>
  </si>
  <si>
    <t>We are following the company's progress in the remediation of an oil spill at the end of 2022. The company has remediated 88% of the affected area and will continue to be transparent about progress. We are waiting for the outcome of the root cause analysis being performed in result of the spill.</t>
  </si>
  <si>
    <t>a5da700000058pMAAQ</t>
  </si>
  <si>
    <t>The pressure of rising prices on everything from houses to consumer goods has fuelled economic uncertainty this past year. While the pace of inflation rises looks set to moderate, it also appears that the cost of living is set to be structurally higher for some time to come. We believe it is incumbent upon all businesses to ensure that their employees are, to the extent practicable, provided a decent income which affords them a dignified standard of living.</t>
  </si>
  <si>
    <t>a5da700000058pZAAQ</t>
  </si>
  <si>
    <t>a5da700000058pYAAQ</t>
  </si>
  <si>
    <t>a5da700000058pTAAQ</t>
  </si>
  <si>
    <t>The pressure of rising prices has fuelled economic uncertainty this past year. While the pace of inflation looks set to moderate, the cost of living will be structurally higher for some time. We believe it is incumbent upon all businesses to ensure that their employees are provided with a decent income that affords them a dignified standard of living. (Q2 2024) When asked about living wages, the company said that it adheres to the law in Taiwan, but we clarified that minimum wages might not constitute living wages in all markets. (Q2 2024)</t>
  </si>
  <si>
    <t>a5da700000058pUAAQ</t>
  </si>
  <si>
    <t>a5da700000058pSAAQ</t>
  </si>
  <si>
    <t>a5da700000058pkAAA</t>
  </si>
  <si>
    <t>a5da700000058prAAA</t>
  </si>
  <si>
    <t>a5da700000058q6AAA</t>
  </si>
  <si>
    <t>a5da700000058pmAAA</t>
  </si>
  <si>
    <t>a5da700000058qHAAQ</t>
  </si>
  <si>
    <t>This past year, the pressure of rising prices on everything from houses to consumer goods has fuelled economic uncertainty. While the pace of inflation rises looks set to ease, it also appears that the cost of living is set to be structurally higher for the foreseeable future. We believe it is incumbent upon all businesses to ensure that their employees are, to a realistic extent, provided a decent income which affords them a dignified standard of living.</t>
  </si>
  <si>
    <t>a5da700000058q8AAA</t>
  </si>
  <si>
    <t>a5da700000058qPAAQ</t>
  </si>
  <si>
    <t>a5da700000058ptAAA</t>
  </si>
  <si>
    <t>The pressure of rising prices on everything from houses to consumer goods has fuelled economic uncertainty over this past year. While the pace of inflation rises looks set to moderate, it also appears that the cost of living is set to be structurally higher for some time to come. We believe it is incumbent upon all businesses to ensure that its employees are, to the extent possible, provided a decent income which affords them a dignified standard of living.</t>
  </si>
  <si>
    <t>a5da700000058q0AAA</t>
  </si>
  <si>
    <t>a5da700000058qMAAQ</t>
  </si>
  <si>
    <t>a5da700000058pvAAA</t>
  </si>
  <si>
    <t>a5da700000058qKAAQ</t>
  </si>
  <si>
    <t>a5da700000058qZAAQ</t>
  </si>
  <si>
    <t>a5da700000058qTAAQ</t>
  </si>
  <si>
    <t>a5da700000058qaAAA</t>
  </si>
  <si>
    <t>a5da700000058qSAAQ</t>
  </si>
  <si>
    <t>The pressure of rising prices on everything from houses to consumer goods has this past year fuelled economic uncertainty over this past year. While the pace of inflation rises looks set to moderate, it also appears that the cost of living is set to be structurally higher for some time to come. We believe it is incumbent upon all businesses to ensure that its employees are, to the extent possible, provided a decent income which affords them a dignified standard of living.</t>
  </si>
  <si>
    <t>a5da700000058puAAA</t>
  </si>
  <si>
    <t>a5da700000058qAAAQ</t>
  </si>
  <si>
    <t>a5da700000058qXAAQ</t>
  </si>
  <si>
    <t>Disclosure on position around FPIC</t>
  </si>
  <si>
    <t>We want the company to publicly disclose its position on free, prior, and informed consent (FPIC). The company currently does not use the word 'consent' in its disclosures around engagement with indigenous peoples. We want the company to publicly disclose its definition of consent.</t>
  </si>
  <si>
    <t>a5da700000058pNAAQ</t>
  </si>
  <si>
    <t>Companies that produce antibiotics need to be sure that they are used correctly and at the right dosage. In addition, any waste water should be free from heavy doses of antibiotics due to the risk that overuse and presence in the environment will lead to anti-microbial resistance which will prevent antibiotics from working in future and the potential rise of more resistant bugs.</t>
  </si>
  <si>
    <t>a5da700000058qnAAA</t>
  </si>
  <si>
    <t>The company should align its remuneration policy with our pay principles.</t>
  </si>
  <si>
    <t>a5da700000058qmAAA</t>
  </si>
  <si>
    <t>Companies need to remain focused on reducing carbon emissions over time in line with their commitments.</t>
  </si>
  <si>
    <t>a5da700000058qvAAA</t>
  </si>
  <si>
    <t>Our objective is for the company to identify, assess, measure and disclose its impact and dependencies on biodiversity, including the associated risks and opportunities.</t>
  </si>
  <si>
    <t>a5da700000058hFAAQ</t>
  </si>
  <si>
    <t>ESG risk assessment of suppliers</t>
  </si>
  <si>
    <t>Our objective is for the company to set targets and report on how it assesses high, medium and low-risk suppliers (both for onboarding and ongoing due diligence), progress against targets, and identification and resolution of key supply chain ESG issues.</t>
  </si>
  <si>
    <t>a5da700000058qwAAA</t>
  </si>
  <si>
    <t>a5da700000058n0AAA</t>
  </si>
  <si>
    <t>Customer practices and contractor use</t>
  </si>
  <si>
    <t xml:space="preserve">An investigation by The Times in the UK (Feb. 2023) raised concerns about the actions of a debt collection contractor, Arvato, acting on British Gas’s behalf. The contractor appeared to have aggressively pursued vulnerable customers who were behind on their bills, including forcibly breaking into their homes and installing prepayment metres. Such actions are supposed to be reserved for the most extreme cases and not where customers are vulnerable (including being elderly, having young children or mental and physical ill health). 
The company argued that this was being done without the knowledge/agreement of British Gas/Centrica, which raises serious questions as to how such activity was routinely carried out (including, it would appear, pursuing court action to gain warrants) without anyone at the company being aware. Equally, it would appear the incentives in place at Arvato were either not known, or no one identified the clear risks these posed.</t>
  </si>
  <si>
    <t>a5da700000058r0AAA</t>
  </si>
  <si>
    <t>Responsible Marketing</t>
  </si>
  <si>
    <t>The company demonstrates ethical behaviour and contributes to a healthier society by protecting children under 16 years of age from the marketing of unhealthy products, in line with best practice.</t>
  </si>
  <si>
    <t>a5da700000058qzAAA</t>
  </si>
  <si>
    <t>In the US, some 50 million people are unseen, or are considered unscorable, by credit scoring agencies. This creates a substantial barrier to accessing credit, which is a cause of persistent inequality. Experian is well placed to bridge the gap to these individuals, improving their ability to access credit, and to do so at more equitable rates.</t>
  </si>
  <si>
    <t>a5da700000055FnAAI</t>
  </si>
  <si>
    <t>Low-quality offset purchases</t>
  </si>
  <si>
    <t>The company was highlighted in media reports as having purchased low quality offsets in connection with one of its green tariffs. The offset type purchased is commonly regarded as low quality, which raises concerns regarding the procurement processes for offsets and the governance in place to ensure offset use is high-quality. This is important to ensure that the company's climate strategy produces real-world emissions reductions and to manage reputational risks. Therefore, this is an issue we are continuing to monitor.</t>
  </si>
  <si>
    <t>a5da700000058rBAAQ</t>
  </si>
  <si>
    <t>Evidence of appropriate board skillsets to oversee management and succession</t>
  </si>
  <si>
    <t>In light of recent management changes, including replacing the independent chair and bringing back the previous CEO, our objective is for the board to provide robust evidence to shareholders that it (the board) has the right skills and characteristics to oversee management and a succession plan. This could include committing to an independent board evaluation.</t>
  </si>
  <si>
    <t>a5da700000055HHAAY</t>
  </si>
  <si>
    <t>Our objective is for the company to adopt a policy of rotating its auditor firm regularly so that tenure does not exceed 20 years as an absolute minimum. Ideally the company rotates its incumbent auditor in the next five years.</t>
  </si>
  <si>
    <t>a5da700000058rHAAQ</t>
  </si>
  <si>
    <t>As the prices of basic goods, such as food and energy, and borrowing costs rise due to the war in Ukraine, the aftershocks of Covid and rising interest rates, the lower paid are struggling to make ends meet, which could lead to financial difficulties and not being able to make ends meet.</t>
  </si>
  <si>
    <t>a5da700000058rIAAQ</t>
  </si>
  <si>
    <t>The rising cost of living associated with supply chain difficulties - together with rising interest rates and global uncertainty - is putting pressure on companies to balance the competing themes of fair prices in the supply chain, equitable pay rises for employees and support for customers.</t>
  </si>
  <si>
    <t>a5da700000055HNAAY</t>
  </si>
  <si>
    <t>We consider the overall composition of boards and recognise the value that long-serving directors can contribute. However, too many executive directors serving concurrently can increase the risk of groupthink and complacency. We are concerned about board independence at CCB, as there are too many long-tenured independent directors and executive directors on the board. We encourage companies to aim for 50% independence rather than stopping at one third to comply with requirements.</t>
  </si>
  <si>
    <t>a5da700000058rqAAA</t>
  </si>
  <si>
    <t>Our objective is for the company to identify, assess, measure and disclose its impacts and dependencies on biodiversity, including the associated risks and opportunities.</t>
  </si>
  <si>
    <t>a5da700000058jbAAA</t>
  </si>
  <si>
    <t>Links to deforestation</t>
  </si>
  <si>
    <t>Financial institutions are making commitments to ensure companies they lend to are not involved in activities that will negatively impact climate change, such as deforestation. How they assess companies and advocate to reduce and prevent this type of activity is crucial to upholding their commitments to ESG and maintaining their brand values</t>
  </si>
  <si>
    <t>a5da700000055HXAAY</t>
  </si>
  <si>
    <t>The board of Stellantis has overcommitted directors and an executive chair as well as a CEO.</t>
  </si>
  <si>
    <t>a5da700000055HYAAY</t>
  </si>
  <si>
    <t>It is important that certain committees maintain their majority independence in order to be not unduly influenced by issues which are not in shareholders best long-term interests.</t>
  </si>
  <si>
    <t>a5da700000058s4AAA</t>
  </si>
  <si>
    <t>Cross-shareholding between Hyundai Motors and Korea Telecom</t>
  </si>
  <si>
    <t>Hyundai Motors and Korea Telecom have swapped treasury shares establishing a cross-shareholding structure, as part of a strategic partnership aimed at developing mobility technology.</t>
  </si>
  <si>
    <t>a5da700000058sBAAQ</t>
  </si>
  <si>
    <t>Climate-aligned accounting</t>
  </si>
  <si>
    <t>Companies need to ensure that their climate commitments are reflected in their financial accounts and that it is clear to stakeholders what has been taken into account, how it has been included and what the impact has been.</t>
  </si>
  <si>
    <t>a5da700000058sDAAQ</t>
  </si>
  <si>
    <t>Progress towards the company's deforestation-free supply chain goal</t>
  </si>
  <si>
    <t>The company has set a goal to achieve a deforestation-free supply chain in palm oil, paper and board, tea, soy and cocoa by 2023. It is on the Finance Sector Deforestation Action focus list for collaborative engagement.</t>
  </si>
  <si>
    <t>a5da700000058sVAAQ</t>
  </si>
  <si>
    <t>The company is yet to set science-based targets for scopes 1, 2 and 3 greenhouse</t>
  </si>
  <si>
    <t>The company is yet to set science-based targets for Scopes 1, 2 and 3 greenhouse gas emissions.</t>
  </si>
  <si>
    <t>a5da700000058sPAAQ</t>
  </si>
  <si>
    <t>Companies need to make it clear how their climate commitments have been assessed in their financial accounts, what has been included, how it has been assessed and what the impact is on the accounts, in order to ensure that the climate commitments are properly accounted for and there is no mismatch/greenwashing.</t>
  </si>
  <si>
    <t>a5da700000058sUAAQ</t>
  </si>
  <si>
    <t>Human rights risks in the supply chain in Xinjiang</t>
  </si>
  <si>
    <t>Xinjiang-based suppliers of steel and aluminium parts to Toyota have been embroiled in controversy around the use of forced labour.</t>
  </si>
  <si>
    <t>a5da700000058sbAAA</t>
  </si>
  <si>
    <t>Over-commitment</t>
  </si>
  <si>
    <t>We expect directors to have sufficient time to devote to their duties and when they sit on too many boards their ability to devote enough time to add appropriate value comes into question.</t>
  </si>
  <si>
    <t>a5da700000058seAAA</t>
  </si>
  <si>
    <t>Water is essential to the company's operations, especially in mining and fertiliser production, and waterways are a critical natural infrastructure asset for transport of the company's product to market. We expect the company to use water efficiently and to protect water quality. Downstream, agriculture is also highly dependent on water and exposed to localised water challenges such as availability and quality, exacerbated by climate change impacts. The company takes a watershed perspective across its operations and is committed to work collaboratively to address shared water-related challenges and opportunities. The company is participating in WAVE, water stewardship verified. The company has been working to understand water use, impacts and risks. Sites are prioritised based on watershed risk assessment, regulatory considerations, such as water discharges, financial factors and opportunities. Given the importance of water, we would like to see the company provide more disclosure and further information on its actions to protect water quality.</t>
  </si>
  <si>
    <t>a5da700000058sjAAA</t>
  </si>
  <si>
    <t>Access to insurance</t>
  </si>
  <si>
    <t>Broadening access to insurance for under-represented and underserved communities.</t>
  </si>
  <si>
    <t>a5da700000058sqAAA</t>
  </si>
  <si>
    <t>Climate Aligned Accounting</t>
  </si>
  <si>
    <t>Companies need to ensure that their accounts are aligned with their climate commitments, strategy and targets and that this is clear how this has been handled in the accounts.</t>
  </si>
  <si>
    <t>a5da700000058slAAA</t>
  </si>
  <si>
    <t>Climate aligned lobbying</t>
  </si>
  <si>
    <t>Companies need to ensure that the associations and institutions of which they are a member are in line with their climate commitments, speaking up where this is not the case to use their position to positively influence others towards a 1.5°C Paris Agreement-aligned pathway.</t>
  </si>
  <si>
    <t>a5da700000058smAAA</t>
  </si>
  <si>
    <t>Banco de Chile</t>
  </si>
  <si>
    <t>Engagement on board gender diversity, which is a challenge in the Chilean market.</t>
  </si>
  <si>
    <t>Chile</t>
  </si>
  <si>
    <t>a5da700000058suAAA</t>
  </si>
  <si>
    <t>Board Independence</t>
  </si>
  <si>
    <t>Engagement on the level of board independence, which is a challenge in the Chilean market.</t>
  </si>
  <si>
    <t>a5da700000058svAAA</t>
  </si>
  <si>
    <t>Financial Inclusion</t>
  </si>
  <si>
    <t>Engagement on the role of the bank in promoting financial inclusion.</t>
  </si>
  <si>
    <t>a5da700000058swAAA</t>
  </si>
  <si>
    <t>Climate advocacy alignment</t>
  </si>
  <si>
    <t>Companies should ensure that the associations and industry bodies of which they are members are aligned with the company's goals and objectives around climate change, and should use their influence to campaign positively for improved climate legislation, action and performance.</t>
  </si>
  <si>
    <t>a5da700000058szAAA</t>
  </si>
  <si>
    <t>Risk of forced labour in the supply chain</t>
  </si>
  <si>
    <t>We raised some concerns with regard to the recent report “Driving Force – Automotive Supply Chains and Forced Labour in the Uyghur Region” published by Sheffield Hallam University (Dec 2022).</t>
  </si>
  <si>
    <t>a5da700000058t7AAA</t>
  </si>
  <si>
    <t>Greenhouse gas emissions resulting from financing activities</t>
  </si>
  <si>
    <t>Our objective is for the company to assess and disclose the greenhouse gas emissions resulting from its financing activities.</t>
  </si>
  <si>
    <t>a5da700000058stAAA</t>
  </si>
  <si>
    <t>Provision of IT equipment and services used in the West Bank</t>
  </si>
  <si>
    <t>Engagement on human rights due diligence and risk management in connection with the provision of IT equipment and services used in the West Bank.</t>
  </si>
  <si>
    <t>a5da700000058t8AAA</t>
  </si>
  <si>
    <t>To improve the efficiency and effectiveness of the company's public policy advocacy strategy in line with its corporate goals, the company should review the stated positions and policy advocacy activities of its industry associations for alignment to its own positions and activities and disclose a summary of the results, including any proposed actions.</t>
  </si>
  <si>
    <t>a5da700000058m3AAA</t>
  </si>
  <si>
    <t>Deforestation risks</t>
  </si>
  <si>
    <t>The bank should assess exposure to deforestation in its financing activities to avoid potential reputational and financial risks.</t>
  </si>
  <si>
    <t>a5da700000058tBAAQ</t>
  </si>
  <si>
    <t>UBS takeover of Credit Suisse</t>
  </si>
  <si>
    <t>With investor confidence in Credit Suisse already at an all time low, the shockwave in the financial industry caused by the collapse of the Silicon Valley Bank has sent shockwaves through the industry and resulted in a run on Credit Suisse. After the Swiss central bank's action failing to halt the decline, the regulators brokered a deal whereby UBS would buy Credit Suisse and stabilise its finances.</t>
  </si>
  <si>
    <t>a5da700000058tEAAQ</t>
  </si>
  <si>
    <t>Tax transparency in line with GRI</t>
  </si>
  <si>
    <t>The company has a shareholder proposal on the ballot calling for it to report on tax transparency in line with th GRI tax standard. We are supportive of this proposal.</t>
  </si>
  <si>
    <t>a5da700000058mjAAA</t>
  </si>
  <si>
    <t>Omnibus stock plan</t>
  </si>
  <si>
    <t>Companies need to ensure a fair system of remuneration for the senior management, which balances the need for retention and rewarding performance but is also seen as fair and not excessive</t>
  </si>
  <si>
    <t>a5da700000058tMAAQ</t>
  </si>
  <si>
    <t>Polyester recycling</t>
  </si>
  <si>
    <t>The company puts an ambitious polyester recycling program in place and sets a target for its growth. The company should provide clarity on scope (collection should span key markets and opportunity for both in store and on-line collection).</t>
  </si>
  <si>
    <t>a5da700000058ojAAA</t>
  </si>
  <si>
    <t>Paying living wages to employees</t>
  </si>
  <si>
    <t>The company gains Living Wage Foundation (LWF) accreditation, or demonstrates that it offers a package that is equivalent in value and equivalently valued by its employees.</t>
  </si>
  <si>
    <t>a5da700000058ouAAA</t>
  </si>
  <si>
    <t>Our objective is for the company to support the transition to regenerative agriculture in its supply chain, including committing (with a target) to source a significant proportion of its natural ingredients through regenerative agriculture principles. The company should also provide sufficient resources and training to farmers to enable a transition towards regenerative farming methods.</t>
  </si>
  <si>
    <t>a5da700000058hRAAQ</t>
  </si>
  <si>
    <t>Setting action plan and targets for Scope 3+ emissions reduction</t>
  </si>
  <si>
    <t>Our objective is for the company to disclose an action plan with relevant targets for Scope 3+ emissions reduction.</t>
  </si>
  <si>
    <t>a5da700000058gjAAA</t>
  </si>
  <si>
    <t>Climate-aligned accounts</t>
  </si>
  <si>
    <t>Our objective is for the company to provide sufficient evidence that material climate change issues have been considered in the preparation of the financial statements. The relevant quantitative climate-related assumptions and estimates used to prepare the financial statements should be provided. We would also like to see evidence that the auditors have considered the impact of material climate-related matters.</t>
  </si>
  <si>
    <t>a5da700000058syAAA</t>
  </si>
  <si>
    <t>Publish remuneration peer group information</t>
  </si>
  <si>
    <t>Executive remuneration is top quartile according to the ISS defined peer group. The company disagrees with the peer group but does not disclose its own because this is not standard market practice and it believes it opens up the possibility of external parties disputing the peers selected. As a compromise, we want the company to disclose anonymised peers with information that will allow investors to determine the appropriateness of the group such as market capitalisation, revenue and sector.</t>
  </si>
  <si>
    <t>a5da700000058tTAAQ</t>
  </si>
  <si>
    <t>Demonstrate that the company's supply chain audits are effective</t>
  </si>
  <si>
    <t>Geely's 'Supplier Code of Conduct' sets clear expectations of it suppliers with respect to protection of human rights, and the company conducts routine audits and unannounced audits of its suppliers. However, Geely has not yet reported on adverse findings, the corrective process, or the number of corrective actions taken. It is therefore not possible, at present, for the company to demonstrate that its policies and practices are effective in safeguarding human rights in its supply chain.</t>
  </si>
  <si>
    <t>a5da700000058thAAA</t>
  </si>
  <si>
    <t>Board skills &amp; succession planning</t>
  </si>
  <si>
    <t>The company has published the results of independent board effectiveness assessments, and has increased the independence of its board markedly in recent years. We believe these are positive developments and will continue to engage on how its skillsets and director succession planning will increase the robustness of oversight, as well as diversity.</t>
  </si>
  <si>
    <t>a5da700000058tiAAA</t>
  </si>
  <si>
    <t>Our objective is for the company to submit a risk assessment of its impact on biodiversity such as completing the Taskforce for Nature-based Financial Disclosures.</t>
  </si>
  <si>
    <t>a5da700000058tHAAQ</t>
  </si>
  <si>
    <t>a5da700000058tlAAA</t>
  </si>
  <si>
    <t xml:space="preserve">As part of a discussion on a shareholder proposal, which requested pay ratio disclosure (from CEO to median worker) we discussed living wages. 
We shared with the company our view that in light of the global cost of living crisis, evaluating the quantum of CEO pay is an important factor as equality gaps widen. 
We appreciated the steps the company has taken to support its workforce, such as integrating living wage principles when evaluating pay and benefits, increasing pay for its lowest wage workers, and detailing disclosures on workforce composition.</t>
  </si>
  <si>
    <t>a5da700000055DkAAI</t>
  </si>
  <si>
    <t>ABF-wide climate targets</t>
  </si>
  <si>
    <t>Our objective is for the company to ensure that each of its businesses has an emissions-reduction target that is aligned with 1.5-degrees or that it sets emissions-reduction targets.</t>
  </si>
  <si>
    <t>a5da700000058tuAAA</t>
  </si>
  <si>
    <t>a5da700000058tyAAA</t>
  </si>
  <si>
    <t>Biodiversity Policy &amp; Risk Management</t>
  </si>
  <si>
    <t>The bank, as of 2023, has not signed the Finance for Biodiversity Pledge but is working to increase its data availability, awareness and understanding of biodiversity risks and opportunities within portfolios. We believe that it will evolve its policies and strategies for biodiversity loss prevention or enhancement in financing over the longer term and will engage on this topic, setting an objective if necessary.</t>
  </si>
  <si>
    <t>a5da700000058tzAAA</t>
  </si>
  <si>
    <t>1.5°C-aligned climate targets</t>
  </si>
  <si>
    <t>Our objective is for the company to raise the ambition of its short- and medium-term targets to be aligned with credible 1.5°C scenarios.</t>
  </si>
  <si>
    <t>a5da700000058qWAAQ</t>
  </si>
  <si>
    <t>Our objective is for the company to show how it implements its human rights policy in its financing and lending activities. This might take the form of explaining how human rights due diligence is carried out in financing and lending activities; the specific transactions, sectors, or regions that trigger enhanced human rights due diligence; and the human rights standards expected from clients and investments.</t>
  </si>
  <si>
    <t>a5da700000058u5AAA</t>
  </si>
  <si>
    <t>Consider climate change in the audit</t>
  </si>
  <si>
    <t>To demonstrate that the company is going to fulfill its role in getting to net zero by 2050, the auditor should disclose how it considers climate change risks and opportunities, and how it tests management's assumptions concerning oil demand, in its report to the audit committee for the annual meeting.</t>
  </si>
  <si>
    <t>a5da700000058uOAAQ</t>
  </si>
  <si>
    <t>Portfolio diversification towards renewable energy</t>
  </si>
  <si>
    <t>Engagement on the company's approach to the diversification of its portfolio towards renewable energy, given its poor record in this area.</t>
  </si>
  <si>
    <t>a5da700000058uLAAQ</t>
  </si>
  <si>
    <t>Social Due Diligence, Compliance &amp; Human Rights Risks in Supply Chains</t>
  </si>
  <si>
    <t>The company is exposed to a variety of higher-risk supply chains, including those that may pass through Xinjiang and/or be subject to the US Uyghur Forced Labour Prevention Act (UFLPA) and Germany’s Due Diligence Act. In addition, it uses commodities or suppliers which may be exposed to increased environmental and pollution risks which could affect local communities. Given the changing nature of these risks, particularly as the company's supply chains evolve for EV and battery materials, we will continue to monitor and engage on the challenges. We noted, in particular, a need to address human rights risks highlighted in a 2022 report by Sheffield-Hallam University about the Xinjiang region.</t>
  </si>
  <si>
    <t>a5da700000058uYAAQ</t>
  </si>
  <si>
    <t>Gender balance of management</t>
  </si>
  <si>
    <t>The company only has 20% woman on the executive board which falls below EOS expectations.</t>
  </si>
  <si>
    <t>a5da700000058uZAAQ</t>
  </si>
  <si>
    <t>Controversy linked to UNGC Principle 1: Human Rights</t>
  </si>
  <si>
    <t>The meltdown of Tokyo Electric Power Company (TEPCO)'s reactors at the Fukushima Daiichi nuclear power plant has resulted in severe human rights impacts.</t>
  </si>
  <si>
    <t>a5da700000058rYAAQ</t>
  </si>
  <si>
    <t>Controversy linked to UNGC Principle 2: Complicit in human rights abuses</t>
  </si>
  <si>
    <t>Baidu has engaged in the censorship of information on social, political and religious issues within its services, in line with the demands of the Chinese government.</t>
  </si>
  <si>
    <t>a5da700000058rQAAQ</t>
  </si>
  <si>
    <t>Controversy linked to General OECD Issue - Quality and Safety</t>
  </si>
  <si>
    <t>The company faced significant problems when it recognised that deaths and injuries were due to faulty ignition switches in 2014, and caused further controversy by delaying disclosure of this safety defect to regulators in violation of US law. This led to $900m in fines, a deferred prosecution agreement and special oversight by the US vehicle safety regulator for many years afterward. Its financial exposures have since grown to $6bn in recall, compensation and lawsuit-related costs, and its exposure to ongoing costs of litigation, compensation and settlements continues. Ultimately, 29 million vehicles were recalled by the end of 2015, and the company recognised that 124 deaths and 274 injuries were linked to accidents caused by faulty ignition switches, representing one of the most severe consequences of manufacturing flaws in the automotive industry.</t>
  </si>
  <si>
    <t>a5da700000055HWAAY</t>
  </si>
  <si>
    <t>Climate Change Lobbying Practices and Disclosure</t>
  </si>
  <si>
    <t>Engagement on Toyota's climate change lobbying alignment with a 1.5°C scenario</t>
  </si>
  <si>
    <t>a5da700000058ucAAA</t>
  </si>
  <si>
    <t>Controversy linked to UNGC Principle 10: Corruption and bribery</t>
  </si>
  <si>
    <t>Hino Motors, a subsidiary of Toyota Motor, admits that it has falsified data related to engine emissions and fuel performance for nearly 20 years.</t>
  </si>
  <si>
    <t>a5da700000058rSAAQ</t>
  </si>
  <si>
    <t>Controversy linked to UNGC Principle 1: Human rights</t>
  </si>
  <si>
    <t>Uber has experienced several cybersecurity breaches and failed to safeguard the privacy of its customers and drivers.</t>
  </si>
  <si>
    <t>a5da700000055HTAAY</t>
  </si>
  <si>
    <t>Following its acquisition of Monsanto, Bayer AG faces customer claims and regulatory action over legacy issues connected with the impacts of Monsanto’s products on human health and the environment.</t>
  </si>
  <si>
    <t>a5da700000058sCAAQ</t>
  </si>
  <si>
    <t>Controversy linked to UNGC Principle 7: Approach to environmental challenges</t>
  </si>
  <si>
    <t>BHP Group Ltd. is linked to environmental and human rights violations caused by the collapse of a dam.</t>
  </si>
  <si>
    <t>a5da700000055HSAAY</t>
  </si>
  <si>
    <t xml:space="preserve">We are pushing for the company to improve its health and safety performance to match average levels in the fulfilment industry. 
We acknowledge the progress that has been made, as evidenced by improving safety performance (as measured by the recordable incident rate [RIR] and the lost time incident rate [LTIR]). RIR and LTIR are established indicators of health and safety. 
Further engagement will look to focus on continued improvement of these statistics, and seek more disclosure on employee sentiment on health and safety, as well as greater clarity on what constitutes average levels in the fulfilment industry.</t>
  </si>
  <si>
    <t>a5da700000055mUAAQ</t>
  </si>
  <si>
    <t>Controversy linked to UNGC Principle 3: Freedom of association</t>
  </si>
  <si>
    <t>Our objective is for the company to provide evidence that it is complying with its human rights policy on the right to freedom of association and collective bargaining. In 2023, we wrote to the company asking it to provide more specific data to evidence that it was taking a neutral stance on unions and that it was allowing free and fair union elections without interference. We asked for clarification on its union consultant spending and the value it created for shareholders. In 2024, the company continued to assert that there is low interest in unionisation among its workforce, pointing out that in 2022, unions met the minimum showing of support required to schedule a representation vote at only four US locations, and less than 0.4% of its total US workforce voted in favour of union representation. Three of the four outcomes remain contested in court. The company says that independent review is unnecessary given National Labor Review Board (NLRB) regulations. This response is unsatisfactory especially given the company’s active litigation against the NLRB and made public comments criticising its authority.</t>
  </si>
  <si>
    <t>a5da700000058rjAAA</t>
  </si>
  <si>
    <t>Honda Motor has been involved in several incidents regarding the quality and safety of its products. Notably, it was found accountable for 28 deaths and several hundred injuries linked to accidents caused by faulty Takata airbags that have occurred since 2004.</t>
  </si>
  <si>
    <t>a5da700000058rRAAQ</t>
  </si>
  <si>
    <t>Controversy linked to General OECD Issue - Anti Competitive Practices</t>
  </si>
  <si>
    <t>The company demonstrates that it has robust processes in place to prevent anti-competitive practices.</t>
  </si>
  <si>
    <t>a5da700000058rcAAA</t>
  </si>
  <si>
    <t>Deforestation Commitment</t>
  </si>
  <si>
    <t>In line with the Financial Sector Commitment on Eliminating Commodity-driven Deforestation expectations, our objective is for the company to demonstrate that its supply chain is deforestation-free for all commodities, regions and suppliers, including indirect suppliers.</t>
  </si>
  <si>
    <t>a5da700000058rDAAQ</t>
  </si>
  <si>
    <t>Privacy and freedom of expression</t>
  </si>
  <si>
    <t>Our objective is for the company to demonstrate that it is aligned with global best practices for responding to government requests for information about users that impact privacy and freedom of expression.</t>
  </si>
  <si>
    <t>a5da700000058e0AAA</t>
  </si>
  <si>
    <t>The company to conduct a fulsome third-party racial equity audit that evaluates impacts of the company's actions on racial equity, identified opportunities and develops a plan for improvement.</t>
  </si>
  <si>
    <t>a5da700000058uoAAA</t>
  </si>
  <si>
    <t>Reduction of strategic shareholdings</t>
  </si>
  <si>
    <t>Engagement on the reduction of strategic shareholdings to improve the capital allocation.</t>
  </si>
  <si>
    <t>a5da700000058uvAAA</t>
  </si>
  <si>
    <t>a5da700000055I8AAI</t>
  </si>
  <si>
    <t>a5da700000058jTAAQ</t>
  </si>
  <si>
    <t>All chemical companies face the risk that products could lead to unknown negative environmental and biological impacts. The production of hazardous chemicals is a key risk for the company and sector. According to the WHO, 2 million people died due to exposure to hazardous chemicals in 2019, compared to 1.6 million in 2016. Hazardous chemicals are also key drivers of biodiversity loss. We want to support a transition towards safer chemicals, and yet 75% of all chemicals used and manufactured in Europe are hazardous to human health and/or the environment (EU 2019). The regulatory, as well as the market pressure, to transition towards less hazardous chemicals is strong and will increase even more following implementation of the European Green Deal. In the US, the EPA in October 2021 released its roadmap for tackling per- and polyfluoroalkyl substances (PFAS). This multi-agency approach with increased disclosure and tighter restrictions is expected to impact companies in the near term. In recent years the financial implications for company liability for past and current production of pollution of persistent chemicals, especially PFAS, have been clear. The company scored a C- in ChemScore's 2022 annual ranking indicating greater transparency on the chemicals produced and strategy to phase out hazardous chemicals may be warranted.</t>
  </si>
  <si>
    <t>a5da700000058uzAAA</t>
  </si>
  <si>
    <t>Social and financial inclusion strategy</t>
  </si>
  <si>
    <t>Our objective is for the company to develop and articulate an overarching strategy for reaching under-served populations to increase social and financial inclusion. It should be clearly linked to the overall business strategy and include: information about how new targeted products are developed; the safeguards in place for more vulnerable people; the approach to increasing financial literacy; and how the outcome of this strategy is measured.</t>
  </si>
  <si>
    <t>2025-04-25 Escalated meeting with exec team (CEO, CFO, COO, etc,);</t>
  </si>
  <si>
    <t>a5da700000058uPAAQ</t>
  </si>
  <si>
    <t>Human rights in the supply chain</t>
  </si>
  <si>
    <t>The company should demonstrate that it has a comprehensive decision-making process when a human rights violation is identified in its supply chain. For instance, it should do this by disclosing a flow chart of decisions that includes key decision makers and criteria.</t>
  </si>
  <si>
    <t>a5da700000058umAAA</t>
  </si>
  <si>
    <t>Climate Aligned Accounts</t>
  </si>
  <si>
    <t>We expect the company to demonstrably improve its consideration of climate in its accounting practices. This should follow the Investor Expectations for Paris-aligned Accounts (2020), which sets out five clear steps companies should take in preparing Paris-aligned company accounts. Improvement is benchmarked by a Carbon Tracker score.</t>
  </si>
  <si>
    <t>a5da700000058vCAAQ</t>
  </si>
  <si>
    <t>Gender diversity in management</t>
  </si>
  <si>
    <t>Our objective is for the company to appoint a second woman to the management board.</t>
  </si>
  <si>
    <t>a5da700000058uqAAA</t>
  </si>
  <si>
    <t>Verisk Analytics Inc</t>
  </si>
  <si>
    <t>Refer case study for outcome statement</t>
  </si>
  <si>
    <t>12/01/26</t>
  </si>
  <si>
    <t>a5da700000058v1AAA</t>
  </si>
  <si>
    <t>Climate change and financial statements and audit</t>
  </si>
  <si>
    <t>The company should improve its disclosures to demonstrate its consideration of climate change in its financial statements, and engage its auditor to consider climate-related factors in the audit process.</t>
  </si>
  <si>
    <t>a5da700000058vEAAQ</t>
  </si>
  <si>
    <t>Board composition, skills and experience</t>
  </si>
  <si>
    <t>The board composition is not aligned with EOS principles.</t>
  </si>
  <si>
    <t>a5da700000058vKAAQ</t>
  </si>
  <si>
    <t>EOS has some concerns with regard to the recent report “Driving Force – Automotive Supply Chains and Forced Labour in the Uyghur Region” published by Sheffield Hallam University (Dec 2022).</t>
  </si>
  <si>
    <t>a5da700000058vUAAQ</t>
  </si>
  <si>
    <t>Auditor Rotation Plan</t>
  </si>
  <si>
    <t>The firm KPMH has been with the company since 1942. We would like to company to put in a audit rotation plan, because our view is that simply rotating the audit partners is insufficient, and only by rotating the audit firm at regular intervals will audit quality be protected.</t>
  </si>
  <si>
    <t>a5da700000058vYAAQ</t>
  </si>
  <si>
    <t>Declining board independence</t>
  </si>
  <si>
    <t>The board's independence has been in decline since 2020. After the 2023 annual shareholder meeting, board independence will be at 62%. Governance issues and company culture controversies are likely to continue at the company without stronger board independence, at least above 75-80% for this board.</t>
  </si>
  <si>
    <t>a5da700000058vXAAQ</t>
  </si>
  <si>
    <t>Our objective is for the company to improve the quality of its annual review of the climate change lobbying activities of the associations, alliances and coalitions of which it is a member. This should include demonstrating that it has taken action in situations where misalignment has been identified between the climate change lobbying activities of these associations and the goals of the Paris Agreement.</t>
  </si>
  <si>
    <t>a5da700000058v3AAA</t>
  </si>
  <si>
    <t>Manufacturing companies need to ensure that they have efficient processes and designs, which are built on the principle of creating a circular economy in order to reduce consumption and increase reuse and recycling.</t>
  </si>
  <si>
    <t>a5da700000058vbAAA</t>
  </si>
  <si>
    <t>Pay and performance alignment issues. There appears to be a sustained disconnect between pay and performance which may be a signal that the compensation committee is not effectively serving shareholders in this regard.</t>
  </si>
  <si>
    <t>a5da700000058veAAA</t>
  </si>
  <si>
    <t>The remuneration policy should be in line with our Remuneration Principles.</t>
  </si>
  <si>
    <t>a5da700000058vhAAA</t>
  </si>
  <si>
    <t>InPost SA</t>
  </si>
  <si>
    <t>The board does not meet our minimum expectations on gender diversity.</t>
  </si>
  <si>
    <t>Poland</t>
  </si>
  <si>
    <t>a5da700000058vpAAA</t>
  </si>
  <si>
    <t>Virtual AGMs</t>
  </si>
  <si>
    <t>Following the covid pandemic, many countries are changing the law to allow for virtual or hybrid AGMs. These offer an opportunity to improve on the limitations of in-person only meetings, but could reduce shareholder rights if not carefully considered.</t>
  </si>
  <si>
    <t>a5da700000058viAAA</t>
  </si>
  <si>
    <t>Company should set clear expectations for its suppliers around the protection of human rights, and disclose the routine audits and unannounced audits carried out.</t>
  </si>
  <si>
    <t>a5da700000058w6AAA</t>
  </si>
  <si>
    <t>Oversight of Subsidiaries</t>
  </si>
  <si>
    <t>Engagement on the effective oversight of Toyota's various subsidiaries worldwide, considering the controversies about the falsification of data on carbon emissions at Hino and safety tests at Daihatsu.</t>
  </si>
  <si>
    <t>a5da700000058w7AAA</t>
  </si>
  <si>
    <t>Our objective is for the company's remuneration policy to be in line with our remuneration principles.</t>
  </si>
  <si>
    <t>a5da700000058w8AAA</t>
  </si>
  <si>
    <t>Product circularity</t>
  </si>
  <si>
    <t>A shift towards battery power tools has raised a challenge around end-of-life recycling of batteries. Refurbishing, repairing and recycling parts from products could also extend the life of useful products and materials. The company has initiatives in place but the question is whether these are sufficient given the scale of the business.</t>
  </si>
  <si>
    <t>a5da700000055FuAAI</t>
  </si>
  <si>
    <t>A US$25m one-off ‘compensatory’ award was granted to the CEO in 2022. There were also circa 30-40% increases in quantum for other senior executives. These pay increases resulted from a benchmarking analysis with an expanded peer group.</t>
  </si>
  <si>
    <t>a5da700000058wBAAQ</t>
  </si>
  <si>
    <t>The company employs circa 45,000 people globally. It provides very detailed human capital management disclosures and its primary brand Milwaukee exhibits near exemplary ratings on Glassdoor. However, the majority of its production workforce is in Asia (China and Vietnam) where turnover rates are inherently much higher. Seasonality is a big factor, and pay and conditions are weaker, warranting monitoring.</t>
  </si>
  <si>
    <t>a5da700000058wAAAQ</t>
  </si>
  <si>
    <t>Implement 2025 biodiversity strategy</t>
  </si>
  <si>
    <t>Our objective is for the company to demonstrate effective implementation of its 2025 biodiversity strategy, including following the mitigation hierarchy and achieving an overall net-positive impact on biodiversity throughout its supply chain by 2025. It is able to outline how its approach, including on regenerative agriculture and sustainable sourcing, has led to improved outcomes for biodiversity in the areas from which it sources and throughout its value chain.</t>
  </si>
  <si>
    <t>Collaborative - Finance for Biodiversity (FfB) Fostering Action for Biodiversity through Responsible Investment in Clothing (FABRIC)</t>
  </si>
  <si>
    <t>a5da700000058wEAAQ</t>
  </si>
  <si>
    <t>Independence</t>
  </si>
  <si>
    <t>We raised concerns regarding independence on the board, as we expect 50% independence at dispersed ownership companies in Taiwan.</t>
  </si>
  <si>
    <t>a5da700000058wMAAQ</t>
  </si>
  <si>
    <t>Paris Agreement-aligned 2050 carbon neutrality goal</t>
  </si>
  <si>
    <t>The company has set a carbon-neutrality-by-2050 goal which is not validated by the Science Based Targets initiative (SBTi) and does not incorporate Scope 3 emissions.</t>
  </si>
  <si>
    <t>a5da700000058wNAAQ</t>
  </si>
  <si>
    <t>Executive Remuneration Structure</t>
  </si>
  <si>
    <t>Engagement on the executive remuneration structure, especially the performance indicators and vesting period.</t>
  </si>
  <si>
    <t>a5da700000058wZAAQ</t>
  </si>
  <si>
    <t>Paris-aligned emissions reduction targets (downstream)</t>
  </si>
  <si>
    <t>Our objective is for the company to set short-, medium- and long-term targets that are consistent with the Paris goals. These targets should cover downstream emissions and be expressed either on an absolute or intensity basis.</t>
  </si>
  <si>
    <t>a5da700000055idAAA</t>
  </si>
  <si>
    <t xml:space="preserve">The company enhances the scope of its climate-related strategy and targets and related disclosures, to include opportunities and risks in its supply chain and use of its products.
In our view, further development of the company's strategy and related targets and disclosure will help better identify and prepare for opportunities and risks related to the energy transition, including under global lower carbon scenarios, in the interests of the company and long-term shareholder value.</t>
  </si>
  <si>
    <t>a5da700000058wdAAA</t>
  </si>
  <si>
    <t>Renault SA</t>
  </si>
  <si>
    <t>Public Policy</t>
  </si>
  <si>
    <t>Our objective is for the company to assess its public policy position against those of relevant third-party organisations of which it is a member, to ensure consistency with the goals of the Paris Agreement.</t>
  </si>
  <si>
    <t>a5da700000058tvAAA</t>
  </si>
  <si>
    <t>The company should enhance its human rights policy and due diligence.</t>
  </si>
  <si>
    <t>a5da700000058wrAAA</t>
  </si>
  <si>
    <t>The company measures and reports on its impacts and dependencies on biodiversity, including risks and opportunities, and develops a strategy with targets to improve its impact on biodiversity.</t>
  </si>
  <si>
    <t>a5da700000058x0AAA</t>
  </si>
  <si>
    <t>Physical climate risk</t>
  </si>
  <si>
    <t>Our objective is for the company to articulate the actions it will take, in the short and medium term, to mitigate physical climate risks and ensure resilience of operations and assets, for example, via a climate resilience and adaptation plan.</t>
  </si>
  <si>
    <t>a5da700000058jXAAQ</t>
  </si>
  <si>
    <t>Climate transition</t>
  </si>
  <si>
    <t>The company has set Science Based Targets initiative (SBTi) validated goals for a 50% reduction in operational CO2 emissions (Scopes 1 and 2) by 2030. This is additional to the 29% reduction by 2022 already achieved. The company has also set an SBTi validated goal to reduce 30% of upstream and downstream emissions (Scope 3) by 2030. According to As You Sow, Scope 3 emissions comprise 99% of the company's total emissions. The company has not set a net zero by 2050 ambition inclusive of all emissions and is yet to disclose a plan to how it will achieve Paris-aligned emissions reductions.</t>
  </si>
  <si>
    <t>a5da700000058xHAAQ</t>
  </si>
  <si>
    <t>Since 2019 we have engaged with the company asking it to improve its ESG disclosures, specifically on key performance indicators material to the automotive sector. We believe that disclosure allows comparability with peers and demonstrates the company's year-on-year performance. Given that the company has a policy not to engage with individual shareholders due to capacity issues, its disclosures remain our primary source of evidence that the company is meeting our expectations.</t>
  </si>
  <si>
    <t>a5da700000058xDAAQ</t>
  </si>
  <si>
    <t>DoorDash Inc</t>
  </si>
  <si>
    <t>The company has a classified board and a controlled company structure, with multiclass common stock and unequal voting rights.</t>
  </si>
  <si>
    <t>a5da700000058xJAAQ</t>
  </si>
  <si>
    <t>Climate Lobbying</t>
  </si>
  <si>
    <t>Our objective is for the company to enhance its climate lobbying disclosure to include direct and indirect lobbying, as well as how different scenarios around the EU Emissions Trading System may impact its operations.</t>
  </si>
  <si>
    <t>a5da700000055wQAAQ</t>
  </si>
  <si>
    <t>Gender diversity in the executive team</t>
  </si>
  <si>
    <t>Our objective is for the company to add two women to its executive committee (currently there are zero), ideally supported by a credible plan to continue increasing female representation in the executive committee over time.</t>
  </si>
  <si>
    <t>a5da700000058gIAAQ</t>
  </si>
  <si>
    <t>a5da700000058gpAAA</t>
  </si>
  <si>
    <t>Quantified objective on Scope 3 emissions</t>
  </si>
  <si>
    <t>Our objective is for Air Liquide to set science-based targets for its Scope 3 emissions and for these to be aligned with a net-zero pathway. Scope 3 emissions represent approximately 40% of the company’s total emissions.</t>
  </si>
  <si>
    <t>a5da700000058ujAAA</t>
  </si>
  <si>
    <t>The company should adopt best practices in the disclosure and design of its remuneration policies and reports, and the board should exercise discretion where necessary to ensure outcomes align with stakeholder experience.</t>
  </si>
  <si>
    <t>a5da700000058xRAAQ</t>
  </si>
  <si>
    <t>Health and Safety management</t>
  </si>
  <si>
    <t>Our objective is for the company to improve its health and safety management as demonstrated by a material reduction in the number of fatalities over the years, accompanied by an effective plan to eliminate fatalities.</t>
  </si>
  <si>
    <t>a5da700000058oVAAQ</t>
  </si>
  <si>
    <t>Bank Track human rights benchmark</t>
  </si>
  <si>
    <t>The bank scored just 0.5/14 on the Bank Track human rights benchmark. We urge the company to improve its rating by responding to the benchmark, to verify and address the issue.</t>
  </si>
  <si>
    <t>a5da700000058xZAAQ</t>
  </si>
  <si>
    <t>Right to unionise</t>
  </si>
  <si>
    <t>We want the company to align fully with the UN Guiding Principles on Business and Human Rights. As of 2023, EOS co-leads the PRI Advance human rights dialogue with the company. The dialogue has thus far focused on the company's relations with labour unions, and we participated in a dialogue with a representative from Birlesik, a labour union accusing Posco of anti-union behaviour in Turkey.</t>
  </si>
  <si>
    <t>a5da700000058xcAAA</t>
  </si>
  <si>
    <t>Supply chain - enhanced due diligence and auditing covering human rights</t>
  </si>
  <si>
    <t>Our objective is for the company to demonstrate effective implementation of its due diligence processes in terms of how it has been able to identify human rights risks and provide associated remedy, and use these insights to continually improve human rights.? The company should take action to strengthen its supply chain transparency and traceability.</t>
  </si>
  <si>
    <t>a5da700000058uIAAQ</t>
  </si>
  <si>
    <t>Net-zero by 2050 goal for financed emissions</t>
  </si>
  <si>
    <t>Our objective is for the company to set a goal to reach net-zero emissions by 2050 at the latest for its financed emissions.</t>
  </si>
  <si>
    <t>a5da700000058xfAAA</t>
  </si>
  <si>
    <t>Climate change strategy and roadmap</t>
  </si>
  <si>
    <t>Our objective is for the company to publish a forward-looking climate change roadmap that focuses on its financed emissions. This should include both decarbonisation of financed emissions as well as scaling up financing for climate change solutions.</t>
  </si>
  <si>
    <t>a5da700000058xhAAA</t>
  </si>
  <si>
    <t>Our objective is for the company to develop and articulate an overarching strategy for reaching under-served populations to increase social and financial inclusion. It should be clearly linked to the overall business strategy and include information about how new targeted products are developed, the safeguards in place for more vulnerable people, the approach to increasing financial literacy, and how the outcome of this strategy is measured.</t>
  </si>
  <si>
    <t>a5da700000058xiAAA</t>
  </si>
  <si>
    <t>Align its underwriting and financing policy on fossil fuel to Paris goals</t>
  </si>
  <si>
    <t>The company to adopt underwriting and financing policies that are aligned with the Paris Agreement and a 1.5°C pathway</t>
  </si>
  <si>
    <t>a5da700000058xeAAA</t>
  </si>
  <si>
    <t>Treasury share reduction to zero or reissue</t>
  </si>
  <si>
    <t>The company to provide and disclose the rationale for the treasury share and reduce it to zero or reissue.</t>
  </si>
  <si>
    <t>a5da700000058xgAAA</t>
  </si>
  <si>
    <t>Diversify its portfolio</t>
  </si>
  <si>
    <t>The company holds Samsung Electronics, and we expect the company to diversify to mitigate risks.</t>
  </si>
  <si>
    <t>a5da700000058xjAAA</t>
  </si>
  <si>
    <t>Enhanced sustainability disclosures</t>
  </si>
  <si>
    <t>The company is considering enhancing its sustainability reporting and potentially issuing an integrated report in the future. We encouraged the company to focus on integration of climate ambitions in its financial statements and annual report in line with the pending US Securities and Exchange Commission (SEC) climate disclosure rule.</t>
  </si>
  <si>
    <t>a5da700000058y1AAA</t>
  </si>
  <si>
    <t>We are concerned that the company currently scores 0 out of 100 on Forest 500, signalling poor disclosure and management of deforestation risks. The company said in Q2 2023 that it has limited exposure to deforestation risks. However, we would like the company to complete an assessment of exposure and strengthen disclosure about its approach to deforestation.</t>
  </si>
  <si>
    <t>a5da700000058xlAAA</t>
  </si>
  <si>
    <t>The company to improve its executive compensation plan to be in line with our principles.</t>
  </si>
  <si>
    <t>a5da700000058y3AAA</t>
  </si>
  <si>
    <t>Human rights - due diligence and auditing</t>
  </si>
  <si>
    <t>Our objective is for the company to set out a timebound plan on how human rights issues will be assessed in operations and supply chain mapping / due diligence processes, along with the provision of remedy. The company discloses its process for enforcing its supply chain worker rights policy including information about the audit process (frequency, scope, etc).</t>
  </si>
  <si>
    <t>a5da700000058m2AAA</t>
  </si>
  <si>
    <t>a5da700000058m4AAA</t>
  </si>
  <si>
    <t>Human rights controversies</t>
  </si>
  <si>
    <t>Our objective is for the company to robustly demonstrate the active implementation of its human rights strategy through two or more of the following: (i) audits, grievance mechanisms and reporting on key performance metrics; (ii) enforcement of its human rights policy commitment through disclosure and assessment of salient human rights risks; (iii) cessation, prevention or mitigation of human rights impacts; and or (iv) completion of a human rights impact assessment in line with UNGPs at high risk site(s). Stakeholders report that the provision of remedies is effective and reducing concerns.</t>
  </si>
  <si>
    <t>a5da700000058vAAAQ</t>
  </si>
  <si>
    <t>Since 2020, we have engaged with the bank on publishing ethical AI principles, demonstrating that it is developing and using AI within a responsible framework. We revisited this topic in Q2 of 2023 when we asked the company if it had ethical AI principles underpinning its AI work, and if these principles were publicly disclosed. The company shared it has responsible AI principles that prioritise transparency and explain ability, as well as an innovation framework.</t>
  </si>
  <si>
    <t>a5da700000058yTAAQ</t>
  </si>
  <si>
    <t>Disclosure of hazardous chemicals production</t>
  </si>
  <si>
    <t>Our objective is for Sika to increase transparency regarding its production of hazardous chemicals by disclosing the full list and production volumes.</t>
  </si>
  <si>
    <t>a5da700000058xYAAQ</t>
  </si>
  <si>
    <t>Client engagement on transition plans</t>
  </si>
  <si>
    <t>Our objective is for the company to define what constitutes a credible transition plan from clients. The company should give examples of questions asked during due diligence with clients, metrics and targets used to evaluate clients, and data showing outcomes of engagement with clients.</t>
  </si>
  <si>
    <t>a5da700000058uiAAA</t>
  </si>
  <si>
    <t>Roche should develop a strategy for the protection and restoration of biodiversity, with the identification and prioritisation of nature-related subtopics depending on their materiality, such as water or antimicrobial resistance for example, and set targets for each of these. This will be informed by a proper biodiversity assessment throughout its value chain of where impacts and dependencies are, with the identification of risks and opportunities.</t>
  </si>
  <si>
    <t>a5da700000058ukAAA</t>
  </si>
  <si>
    <t>Turbine quality issues</t>
  </si>
  <si>
    <t>Our objective is for the company to have good control over its research, testing and implementation of new products in order to ensure the risk that relates to quality and longevity is minimised.</t>
  </si>
  <si>
    <t>a5da700000058yZAAQ</t>
  </si>
  <si>
    <t>Samarco dam collapse - resettlement, environmental restitution, and compensation</t>
  </si>
  <si>
    <t>Our objective is for the company to satisfactorily complete its work on resettlement, environmental restitution, and compensation in relation to the Samarco dam collapse.</t>
  </si>
  <si>
    <t>a5da700000058xtAAA</t>
  </si>
  <si>
    <t>Increasing Non-Driver &amp; Pedestrian Safety Risk</t>
  </si>
  <si>
    <t>There has been an alarming increase in non-driver (pedestrian and other road user) injuries and fatalities in the United States since the 2010s. There is strong evidence indicating that this is linked to a marked increase in vehicle sizes and weights, as well as higher front-end designs which offer lower nearby visibility to drivers and increased risks of body injuries. We are engaging on this issue, given the active role the company can play in vehicle design for reducing injury and fatality risks for non-driver road users.</t>
  </si>
  <si>
    <t>a5da700000058yYAAQ</t>
  </si>
  <si>
    <t>This issue is to ensure that the board and executives are working to strengthen the ethical culture. Examples of elements contributing to this include the tone from the top, a robust ethics programme, executive pay policy or a robust diversity, equity and inclusion agenda.</t>
  </si>
  <si>
    <t>a5da700000058ygAAA</t>
  </si>
  <si>
    <t>The company should achieve 30% board gender diversity.</t>
  </si>
  <si>
    <t>a5da700000058ykAAA</t>
  </si>
  <si>
    <t>Reduction on cross shareholdings</t>
  </si>
  <si>
    <t>We encouraged the company to reduce its cross-shareholdings to zero and disclose the voting results.</t>
  </si>
  <si>
    <t>a5da700000058yxAAA</t>
  </si>
  <si>
    <t xml:space="preserve">The company takes appropriate steps to capitalise on the opportunity to improve its methane emissions performance in line with good industry practices.
In our view, such actions can help better identify and prepare for opportunities and risks related to the energy transition, including under global lower carbon scenarios, in the interests of the company and long-term shareholder value.</t>
  </si>
  <si>
    <t>a5da700000058uEAAQ</t>
  </si>
  <si>
    <t>Supply chain deforestation commitment</t>
  </si>
  <si>
    <t xml:space="preserve">Establish a commitment, timeline and action plan for eliminating deforestation from the supply chain (or from clients’ supply chains in the financial sector), aiming for traceability of key commodities back to source. 
The company commits to achieving 100% traceability of its supply chain, including indirect suppliers through the disclosure of a sustainable sourcing strategy and its due diligence approach as a next step towards achieving deforestation- and conversion-free production or sourcing, and that respects human rights.</t>
  </si>
  <si>
    <t>a5da700000058xbAAA</t>
  </si>
  <si>
    <t>Enhance financing policy to protect biodiversity</t>
  </si>
  <si>
    <t>We expect the company to adopt a lending policy that expects the clients to obtain Roundtable on Sustainable Palm Oil and require a commitment to No Deforestation, No Peat, No Exploitation</t>
  </si>
  <si>
    <t>a5da700000058yaAAA</t>
  </si>
  <si>
    <t>Our objective is for the company to demonstrate robust human rights due diligence practices and clarify how human rights risk profiles are considered in financing decisions. This may include disclosures on types of questions asked of borrowers on related risks, metrics used to assess performance, expectations of borrowers regarding consultations, benefits sharing, agreements, or other indications of the free, prior and informed consent (FPIC) process, and anonymised case studies, among others.</t>
  </si>
  <si>
    <t>a5da700000058yWAAQ</t>
  </si>
  <si>
    <t>Geely has proposed share and option schemes, which could result in more than a 5% equity dilution. This level appears to be too high for a relatively mature business like Geely. Also, the company has given only limited details regarding performance conditions and directors eligible to receive options are involved in the administration of the scheme. The company's proposals also allow for the possibility of a 12-month vesting period for options (contrary to our expectation of three years minimum).</t>
  </si>
  <si>
    <t>a5da700000058z9AAA</t>
  </si>
  <si>
    <t>Improve board gender diversity</t>
  </si>
  <si>
    <t>The company does not consider board gender diversity as an element of board effectiveness. At the moment, there are no female directors on the board.</t>
  </si>
  <si>
    <t>a5da700000058zAAAQ</t>
  </si>
  <si>
    <t>Responsible tax practices</t>
  </si>
  <si>
    <t>We will continue to monitor the company's approach to responsible tax practices and disclosures.</t>
  </si>
  <si>
    <t>a5da700000058zVAAQ</t>
  </si>
  <si>
    <t>Human rights risks in gloves supply chain</t>
  </si>
  <si>
    <t>It has been alleged that the company's gloves have been manufactured by Chinese forced prison labour through the sub-contracting of work by its supplier, Shangai Select Safety Products, to a jail in China's Hunan province.</t>
  </si>
  <si>
    <t>a5da700000058zYAAQ</t>
  </si>
  <si>
    <t>The company reduces plastic use in its packaging and operations, and works towards greater circularity.</t>
  </si>
  <si>
    <t>a5da700000058zkAAA</t>
  </si>
  <si>
    <t>Engagement with Independent Board Members</t>
  </si>
  <si>
    <t>Engagement on the development of a direct dialogue with independent board members.</t>
  </si>
  <si>
    <t>a5da700000058zqAAA</t>
  </si>
  <si>
    <t>Ethical AI Principles</t>
  </si>
  <si>
    <t>Our objective is for the company to publish its ethical AI principles approved by the board, demonstrating that it is developing and using AI within a responsible/ethical framework.</t>
  </si>
  <si>
    <t>a5da700000058znAAA</t>
  </si>
  <si>
    <t>Remuneration Policy &amp; Disclosure Improvements</t>
  </si>
  <si>
    <t>The bank is resuming variable compensation in 2023 and, in future years, may be able to provide a long-term incentive plan to its executives. Remuneration performance conditions, outcomes and share restrictions in terms of ownership and vesting are partially disclosed, and remuneration reporting has improved in recent years. The bank should move to a transparent model of good practice, similar to European peers, in disclosing the rationale, functioning and performance conditions of short and long-term executive pay.</t>
  </si>
  <si>
    <t>a5da700000058zxAAA</t>
  </si>
  <si>
    <t>Plastic</t>
  </si>
  <si>
    <t>Our objective is to ensure Ahold Delhaize works to eliminate the need for single-use plastic packaging and transitions to a circular business model – notably reusable and refillable packaging models.</t>
  </si>
  <si>
    <t>a5da70000005900AAA</t>
  </si>
  <si>
    <t>a5da700000058m5AAA</t>
  </si>
  <si>
    <t>Exposure to precious skins</t>
  </si>
  <si>
    <t>We recognise the existing ban on furs, but understand there is still exposure to precious skins. We see a potential reputational risk from continued exposure to precious skins whilst moving ahead with the company's biodiversity strategy. We recognise that precious skins are covered by the Kering Standards but think the company could go further: stepping away from precious skins could be a way for Kering to lead the luxury fashion sector on this topic.</t>
  </si>
  <si>
    <t>a5da70000005909AAA</t>
  </si>
  <si>
    <t>Workforce metrics disclosure</t>
  </si>
  <si>
    <t>Our objective is for the company to disclose more information on the headcount of its workforce, the cost of its workforce, turnover data, and workforce composition data. These disclosures should be in line with all applicable laws and regulations.</t>
  </si>
  <si>
    <t>a5da700000058zlAAA</t>
  </si>
  <si>
    <t>Artificial intelligence governance</t>
  </si>
  <si>
    <t>The growing use of AI in the financial services sector raises concern about data governance, fairness, algorithm biases and accountability, among others. Our objective is for the company to publish governance principles for the ethical use of AI in a format accessible to stakeholders.</t>
  </si>
  <si>
    <t>a5da700000058zmAAA</t>
  </si>
  <si>
    <t>Climate Change Vote Policy</t>
  </si>
  <si>
    <t>The company has been identified as a possible laggard in addressing climate-related risk by the criteria used in our climate change vote policy. It fails to meet our minimum thresholds for its Transition Pathway Initiative Management Quality score.</t>
  </si>
  <si>
    <t>a5da7000000590CAAQ</t>
  </si>
  <si>
    <t>Implementation of the commitment to exit PFAS manufacturing by the end of 2025</t>
  </si>
  <si>
    <t>Our objective is for the company to demonstrate an orderly implementation of its timebound commitment to exit the manufacture of per- and polyfluoroalkyl substances (PFAS) and to discontinue the use of PFAS across its product portfolio by the end of 2025. Performance towards delivering on this commitment will be measured through the company's annual ChemScore, disclosures, engagement and a company statement confirming the phase out is complete on or before 2025.</t>
  </si>
  <si>
    <t>a5da700000058zZAAQ</t>
  </si>
  <si>
    <t>Climate strategy delivery</t>
  </si>
  <si>
    <t>Our objective is for the company to achieve its 2025 75GW of renewable energy capacity target and maintain its targets to exit coal generation by 2027 and gas generation by 2040. We would also like it to demonstrate it is on track to deliver its 2030 targets for renewable energy capacity and Scope 1, 2 and 3 emissions reductions. It should not reduce the ambition of its climate change strategy or targets without substantial explanation of the extraordinary circumstances that required this.</t>
  </si>
  <si>
    <t>a5da700000058yhAAA</t>
  </si>
  <si>
    <t>Net Zero Transition Plan (NZEI)</t>
  </si>
  <si>
    <t>In line with our engagement expectations under the Net Zero Engagement Initiative (NZEI), the company is expected to publish a Net Zero Transition Plan in line with the goals of the Paris Agreement. The plan should outline how the company intends to navigate the transition to being a net-zero company by 2050 or sooner. This includes setting interim greenhouse gas targets, disclosing emissions performance, and developing a credible decarbonisation strategy that recognises the regulatory, economic transition, and physical risks associated with climate change.</t>
  </si>
  <si>
    <t>a5da7000000590JAAQ</t>
  </si>
  <si>
    <t>a5da7000000590MAAQ</t>
  </si>
  <si>
    <t>Strategy for provision of sustainable finance products</t>
  </si>
  <si>
    <t>The company has stated that it is working towards exploring more climate-related opportunities, particularly with regards to new and existing products and services to support efforts to transition towards a net-zero pathway. Our objective is for the company to set out a detailed plan for how it will address this topic, with quantifiable milestones and a specific timeline.</t>
  </si>
  <si>
    <t>a5da700000058tjAAA</t>
  </si>
  <si>
    <t>Validation and verification of sources used for renewable energy consumption</t>
  </si>
  <si>
    <t>The company pursues a renewable energy consumption strategy that is majority sourced from power purchase agreements (PPAs), and publicly discloses its ambition to do so.</t>
  </si>
  <si>
    <t>a5da700000058z4AAA</t>
  </si>
  <si>
    <t>Regenerative agriculture scorecard target</t>
  </si>
  <si>
    <t>Our objective is for the company to set an ambitious target for a significant portion of its farming suppliers to be assessed as Level 3 suppliers by 2030, based on the company's Regenerative Agriculture Scorecard.</t>
  </si>
  <si>
    <t>a5da700000058zRAAQ</t>
  </si>
  <si>
    <t>Hydrogen powered steelmaking</t>
  </si>
  <si>
    <t>Our objective is for the company to improve disclosure on the timelines and assumptions underlying its hydrogen-powered steelmaking strategy. The company should demonstrate progress towards meeting its chosen targets and KPIs under its hydrogen-powered steelmaking strategy covering climate-related opportunities and risks.</t>
  </si>
  <si>
    <t>a5da7000000590AAAQ</t>
  </si>
  <si>
    <t>Responsible taxation policy</t>
  </si>
  <si>
    <t>Our objective is for the company to publish a responsible taxation policy in line with the Global Reporting Initiative Tax Fairness Standard, and disclose itemised payments to governments at the national, state, and local levels.</t>
  </si>
  <si>
    <t>a5da7000000590WAAQ</t>
  </si>
  <si>
    <t>The company lacks a net-zero strategy for its financed emissions. It is not a member of the Net Zero Banking Alliance and has not joined the Climate Change Action Plan (CCAP). As an interim step, we would like the company to start to measure and disclose its financed emissions to prepare for setting a target in the future.</t>
  </si>
  <si>
    <t>a5da7000000590VAAQ</t>
  </si>
  <si>
    <t>The company is committed to financial inclusion and has various initiatives including micro finance and insurance products for under-represented groups. The company is also expanding its SME finance and presence in rural areas via alternative distribution channels. However, it has not disclosed an overall inclusion strategy or targets to reach under-represented populations in the future. We would like to see improved disclosure and impact monitoring.</t>
  </si>
  <si>
    <t>a5da7000000590ZAAQ</t>
  </si>
  <si>
    <t>Employee retention</t>
  </si>
  <si>
    <t>The company has high levels of turnover at junior levels. The CEO has made it top priority to address this but acknowledges that it will be challenging in part due to lower salary scales versus peers. We would like to see progress on this issue to bring employee turnover in line with industry averages.</t>
  </si>
  <si>
    <t>a5da7000000590aAAA</t>
  </si>
  <si>
    <t>Provision of coal phase out strategy</t>
  </si>
  <si>
    <t>Our objective is for the company to provide a coal phase-out strategy which is aligned with the timeline of zero exposure in Organisation for Economic Co-operation and Development (OECD) countries by 2030 and the rest of the world by 2040.</t>
  </si>
  <si>
    <t>a5da700000058wgAAA</t>
  </si>
  <si>
    <t xml:space="preserve">The company enhances the scope of its climate-related strategy and targets, and related disclosures to include opportunities and risks in its supply chain and use of its products._x000D_
_x000D_
In our view, further development of the company's strategy, related targets and disclosure will help better identify and prepare for opportunities and risks related to the energy transition, including under global lower carbon scenarios, in the interests of the company and long-term shareholder value.</t>
  </si>
  <si>
    <t>a5da700000058yiAAA</t>
  </si>
  <si>
    <t>Child &amp; Migrant Labour Allegations in US</t>
  </si>
  <si>
    <t>In 2023, there were allegations of migrant child labour across a range of US manufacturing supply chains, including those automakers such as the company are exposed to or source from. We understand that, as a result, the company took rapid action to address these allegations, which stemmed from a greater use of staffing agencies for some of its suppliers. It is working with US suppliers to ensure that such failures to protect against child labour prohibited by the company's supplier policies and by law are addressed. We will monitor and engage on this issue as necessary.</t>
  </si>
  <si>
    <t>a5da7000000590eAAA</t>
  </si>
  <si>
    <t>Supply chain mapping</t>
  </si>
  <si>
    <t>The company undertakes a comprehensive internal supply chain mapping exercise and shares the results with investors to demonstrate that is has assessed the risk of potential links to forced labour in the Uyghur Region.</t>
  </si>
  <si>
    <t>a5da700000058vxAAA</t>
  </si>
  <si>
    <t>Executive board diversity</t>
  </si>
  <si>
    <t>Our objective is for the company to increase its executive board diversity from 20% to over 30%.</t>
  </si>
  <si>
    <t>a5da700000058zQAAQ</t>
  </si>
  <si>
    <t>Explain forest positive goal and incorporate biodiversity</t>
  </si>
  <si>
    <t>Our objective is for the company to better articulate and define its forest positive goal and explain how it will be achieved. The goal is updated to include a focus on biodiversity, with relevant metrics if possible, so that the company can increase the overall biodiversity within its supply chain. The company demonstrates how the goal has been achieved by 2025.</t>
  </si>
  <si>
    <t>a5da7000000590nAAA</t>
  </si>
  <si>
    <t>Scope 3 emissions in agricultural supply chain</t>
  </si>
  <si>
    <t>The company is a leader on its emissions ambition, including having received Science Based Targets initiative (SBTi) validation for its near-term emissions reduction targets. However, it is unclear how comprehensive the reporting of Scope 3 emissions from the agricultural supply chain is, including whether emissions from damaging soil practices or changing land use have been accounted for. We are engaging the company on the methodology it has used to account for emissions and how it will maintain its leadership and align to the SBTi's Forest, Land, and Agriculture (FLAG) guidance on these Scope 3 agricultural emissions. We are also seeking greater disclosures on how regenerative agriculture practices are already reducing these Scope 3 emissions and whether there is a clear capex plan for extending this success across the board, similar to the company's renewable energy and water capex roadmaps.</t>
  </si>
  <si>
    <t>a5da7000000591JAAQ</t>
  </si>
  <si>
    <t>Management of water scarcity</t>
  </si>
  <si>
    <t>The company is a recognised leader on managing water stress, which it identifies as its most financially material physical climate risk. The company has reduced its water intensity by more than 50% since it started measuring its water use and it has set ambitious targets to invest in water efficiency, replenishment, sanitation for community access, and collective action initiatives for sustainable water management. We will track the company's exposure to and management of water stress risks.</t>
  </si>
  <si>
    <t>a5da7000000591DAAQ</t>
  </si>
  <si>
    <t>We are concerned that board gender diversity is currently below our minimum expectations of 20%. We expect the board to appoint additional independent female directors to the board to address this concern.</t>
  </si>
  <si>
    <t>a5da7000000591QAAQ</t>
  </si>
  <si>
    <t>Lack of response for engagement</t>
  </si>
  <si>
    <t>Companies should ensure good communication with investors to hear issues and concerns, and to provide confirmation and clarification about how the company is progressing.</t>
  </si>
  <si>
    <t>a5da7000000591TAAQ</t>
  </si>
  <si>
    <t>Biodiversity Policy Development</t>
  </si>
  <si>
    <t>The bank has produced ESG policies for 19 sectors and has considerably enhanced its overall approach to environmental and social risk due diligence and monitoring over the last few years. It is now developing a biodiversity policy with a focus on risk due diligence, mitigation, monitoring and corporate client advisory good practices. We will engage as required to foster progress on a biodiversity policy that applies widely and is integral to the company's foundational environmental and social risk policies and management, regardless of sector-specific issues. Longer term, we would like to see it enhance its zero-deforestation commitments beyond the Brazilian Amazon and consider a net positive biodiversity strategy or targets.</t>
  </si>
  <si>
    <t>a5da7000000591VAAQ</t>
  </si>
  <si>
    <t>Composition of below board level management</t>
  </si>
  <si>
    <t xml:space="preserve">The company reviews the composition of the management level reporting into the board and proposes changes appropriate to achieving the right mix of talent, background and skills required to address the strategic challenges faced by the business, including the necessary expertise and range of sector and industry experience and is accessing appropriate pools of capital. 
In our view, updated board composition can help improve the quality of board governance and so help improve company performance over the long-term, in the interests of the company and long-term shareholder value.</t>
  </si>
  <si>
    <t>a5da7000000591ZAAQ</t>
  </si>
  <si>
    <t>Our objective is for the company to provide full retrospective disclosure on performance metrics and assessments used for variable pay schemes on an annual basis, as part of the remuneration report.</t>
  </si>
  <si>
    <t>a5da700000058s2AAA</t>
  </si>
  <si>
    <t>Ethics and whistleblowing</t>
  </si>
  <si>
    <t>Companies should have a clear code of ethics supported by frequent reinforcement, annual checks on employee sentiment and strong promotion and governance of whistleblowing.</t>
  </si>
  <si>
    <t>a5da7000000591cAAA</t>
  </si>
  <si>
    <t>Companies should focus on reducing their total carbon impact by setting a net zero goal in line with the 1.5-degrees Celsius Paris Agreement.</t>
  </si>
  <si>
    <t>a5da7000000591dAAA</t>
  </si>
  <si>
    <t>Delivery of climate strategy</t>
  </si>
  <si>
    <t>The company has set a target to have carbon-neutral operations by 2030, which risks an overreliance on carbon offsetting versus a net-zero target. We will encourage the company to update its ambition to achieving net-zero operations by 2030, while outlining the concrete actions it is taking to ensure it can achieve this goal, notably how it will scale up from 31% of manufacturing plants running on renewable energy to 100% of plants by 2030.</t>
  </si>
  <si>
    <t>a5da7000000591wAAA</t>
  </si>
  <si>
    <t>Accident rate</t>
  </si>
  <si>
    <t>The accident rate has doubled.</t>
  </si>
  <si>
    <t>a5da70000005926AAA</t>
  </si>
  <si>
    <t>Our objective is for the company to define what constitutes a credible transition plan from clients for its lending portfolio. The company should give examples of questions asked during due diligence with clients, metrics and targets used to evaluate clients, and data showing outcomes of engagement with clients.</t>
  </si>
  <si>
    <t>a5da7000000591LAAQ</t>
  </si>
  <si>
    <t>The company is expected to receive a level of subsidisation in the US from tax credits and reliefs. How this subsidised investment in EVs and sales impacts on the current and future profitability of the company is of interest to investors. We are seeking greater transparency from the auto manufacturer on its tax compliance approach.</t>
  </si>
  <si>
    <t>a5da7000000592JAAQ</t>
  </si>
  <si>
    <t>a5da7000000592KAAQ</t>
  </si>
  <si>
    <t>Introduce and disclose benefits</t>
  </si>
  <si>
    <t>The company faces several ongoing lawsuits filed by employees regarding the alleged misclassification of delivery drivers as independent workers and a failure to pay timely wages and overtime. We believe the company should set a clear strategy to ensure the well-being and safety of riders, covering key elements such as health, safety, remuneration and insurance protection, that goes beyond minimum regulatory requirements with relevant metrics disclosed.</t>
  </si>
  <si>
    <t>a5da7000000590lAAA</t>
  </si>
  <si>
    <t xml:space="preserve">All chemical companies face the risk that products could lead to unknown negative environmental and biological impacts. The production of hazardous chemicals is a key risk for the company and sector. According to the World Health Organization, two million people died due to exposure to hazardous chemicals in 2019, compared to 1.6 million in 2016. Hazardous chemicals are also key drivers of biodiversity loss. We want to support a transition towards safer chemicals, and yet 75% of all chemicals used and manufactured in Europe are hazardous to human health and/or the environment (EU 2019). 
The regulatory, and the market pressure to transition towards less hazardous chemicals is strong and will increase even more following implementation of the European Green Deal. In the US, the Environmental Protection Agency in October 2021 released its roadmap for tackling per- and polyfluoroalkyl substances (PFAS). This multi-agency approach with increased disclosure and tighter restrictions is expected to impact companies in the near term. In recent years the financial implications for company liability for past and current production of persistent chemicals, especially PFAS, have been clear.</t>
  </si>
  <si>
    <t>a5da7000000592VAAQ</t>
  </si>
  <si>
    <t>Daikin Industries Ltd</t>
  </si>
  <si>
    <t xml:space="preserve">All chemical companies face the risk that products could lead to unknown negative environmental and biological impacts. The production of hazardous chemicals is a key risk for the company and sector. According to the World Health Organization, two million people died due to exposure to hazardous chemicals in 2019, compared to 1.6 million in 2016. Hazardous chemicals are also key drivers of biodiversity loss. We want to support a transition towards safer chemicals, and yet 75% of all chemicals used and manufactured in Europe are hazardous to human health and/or the environment (EU 2019). 
The regulatory, and the market pressure to transition towards less hazardous chemicals is strong and will increase even more following implementation of the European Green Deal. In the US, the Environmental Protection Agency in October 2021 released its roadmap for tackling per- and polyfluoroalkyl substances (PFAS). This multi-agency approach with increased disclosure and tighter restrictions is expected to impact companies in the near term. In recent years the financial implications for company liability for past and current production of persistent chemicals, especially PFAS, have been clear</t>
  </si>
  <si>
    <t>a5da7000000592UAAQ</t>
  </si>
  <si>
    <t>Chemours Co/The</t>
  </si>
  <si>
    <t>a5da7000000592TAAQ</t>
  </si>
  <si>
    <t>We are engaging on artificial intelligence (AI), as the use of AI grows in the pharma/healthcare space. We are encouraging the company to pursue the Ethical AI badge as the company has published its Principles of Responsibility for AI in Healthcare and can continue to bolster its leadership.</t>
  </si>
  <si>
    <t>a5da7000000592RAAQ</t>
  </si>
  <si>
    <t>Decarbonisation Strategy</t>
  </si>
  <si>
    <t>The company should publish a decarbonisation strategy that collates all its initiatives for emissions reductions into a clear transition plan that demonstrates the levers that will achieve the published emissions targets. This should approximately quantify the expected emissions reductions from each lever while articulating any dependencies (for example technology or policy). The transition plan should also include an R&amp;D roadmap and disclosure against it (at a high-level) to allow investors to assess progress.</t>
  </si>
  <si>
    <t>a5da7000000592uAAA</t>
  </si>
  <si>
    <t>The company should clearly disclose its key climate change-related assumptions in its financial statements (for example, carbon prices) and describe how it has considered climate change-related factors in the preparation of its financial statements in reasonable detail, beyond asserting that no material impact is expected. The auditor's report should also articulate how these factors have been considered in the audit.</t>
  </si>
  <si>
    <t>a5da7000000592vAAA</t>
  </si>
  <si>
    <t>Paris-aligned emission reduction targets for financed emissions</t>
  </si>
  <si>
    <t>Our objective is for the company to set short-, medium- and long-term targets that are aligned with the goals of the Paris Agreement and a 1.5°C pathway. This should include a target to achieve net-zero emissions by 2050 at the latest and supporting interim targets. The targets should explicitly include at least 95% of Scope 1 and 2 emissions and cover the most relevant Scope 3 greenhouse gas emissions, which in this case should include emissions from investment and insurance activities.</t>
  </si>
  <si>
    <t>a5da700000058xdAAA</t>
  </si>
  <si>
    <t xml:space="preserve">The company reviews its board composition and proposes changes appropriate to achieving the breadth of experience and perspectives required to address the strategic challenges faced by the business, including the necessary skills and range 
of sector and industry experience and is accessing appropriate pools of capital. 
In our view, updated board composition can help improve the quality of board governance and so help improve company performance over the long-term, in the interests of the company and long-term shareholder value.</t>
  </si>
  <si>
    <t>a5da7000000590tAAA</t>
  </si>
  <si>
    <t>Our objective is for the bank to define what constitutes a credible transition plan from clients. The bank should give examples of the questions asked during due diligence with clients, the metrics and targets used to evaluate clients, and data showing outcomes of engagement with clients.</t>
  </si>
  <si>
    <t>a5da700000058zzAAA</t>
  </si>
  <si>
    <t>Emissions reduction target</t>
  </si>
  <si>
    <t>The company has not set an emission reduction target that aligns with the Paris Agreement. Our objective is for the target to be accompanied by a decarbonisation strategy and a timeline for each milestone. This should also highlight how the company's business transition strategy will help to mitigate climate change.</t>
  </si>
  <si>
    <t>a5da700000058w4AAA</t>
  </si>
  <si>
    <t>Carbon Offsetting</t>
  </si>
  <si>
    <t>Companies are starting to turn to carbon offsetting to help achieve their climate targets, particularly in relation to operational emissions.</t>
  </si>
  <si>
    <t>a5da7000000592nAAA</t>
  </si>
  <si>
    <t>Working condition disclosure in accordance with the WDI framework</t>
  </si>
  <si>
    <t>Our objective is for the company to disclose its progress towards improving working conditions as a result of the comprehensive audit programme the company has in place. This objective aims to increase the readiness of the company for the Workforce Disclosure Initiative (WDI), with the long-term goal of WDI reporting adoption.</t>
  </si>
  <si>
    <t>a5da700000058vTAAQ</t>
  </si>
  <si>
    <t>Our objective is for the company to publish its ethical AI principles, which demonstrate that it is developing and using AI within a responsible/ethical framework.</t>
  </si>
  <si>
    <t>a5da7000000590qAAA</t>
  </si>
  <si>
    <t>Introduce and monitor human capital management metrics</t>
  </si>
  <si>
    <t>The company includes employee turnover and gender pay metrics in its sustainability report. In the absence of disclosed quantitative metrics, the company confirms that it is monitoring these metrics internally and introduces detailed initiatives that aim to improve employee retention and reduce the gender pay gap.</t>
  </si>
  <si>
    <t>a5da7000000593OAAQ</t>
  </si>
  <si>
    <t>Climate Change Vote Policy (Laggard)</t>
  </si>
  <si>
    <t>a5da7000000593AAAQ</t>
  </si>
  <si>
    <t>Human rights progress</t>
  </si>
  <si>
    <t>The company is a focus for engagement under the PRI Advance initiative. Key issues include: the selection of and response to salient human rights issues in both operations and supply chain; the integration of RWE’s Human Rights Risk Management (HRRM) system across different businesses and operations; the management of forced and child labour issues throughout the supply chain in the mining, processing and manufacture of inputs to renewable energy projects; the payment of living wages and how these are viewed through the lens of human rights in both operations and supply chain; and RWE’s approach to engagement with communities in relation to land and indigenous rights.</t>
  </si>
  <si>
    <t>a5da7000000593KAAQ</t>
  </si>
  <si>
    <t>a5da7000000593bAAA</t>
  </si>
  <si>
    <t>In Australia we expect auditor rotation to take place at least every 20 years. The company's auditor has been in place for over 20 years so we would like to see a plan for auditor rotation in the near future.</t>
  </si>
  <si>
    <t>a5da7000000593NAAQ</t>
  </si>
  <si>
    <t>Setting science-based targets at the group level</t>
  </si>
  <si>
    <t>JD.com plans to set group level emissions targets, which will be published by 2024 or 2025. However, the company says that these will not be science-based (like its subsidiary JD Logistics), saying that it is more complex for the retail model than for logistics. We will encourage the setting of science-based targets at the group level as while it may be more complex than for logistics, doing so appears be entirely practicable.</t>
  </si>
  <si>
    <t>a5da7000000593MAAQ</t>
  </si>
  <si>
    <t>a5da7000000593yAAA</t>
  </si>
  <si>
    <t>In line with our engagement expectations under the Net Zero Engagement Initiative (NZEI), the company is expected to publish a Net Zero Transition Plan in line with the goals of the Paris Agreement. The plan should outline how the company intends to navigate the transition to being a net zero company by 2050 or sooner. This includes setting interim greenhouse gas targets, disclosing emissions performance, and developing a credible decarbonisation strategy that recognises the regulatory changes, economic transition, and physical risks associated with climate change.</t>
  </si>
  <si>
    <t>a5da7000000593QAAQ</t>
  </si>
  <si>
    <t>a5da7000000593oAAA</t>
  </si>
  <si>
    <t>Tax Transparency Disclosures</t>
  </si>
  <si>
    <t>Our objective is for the company to report on key tax issues such as use of incentives, transfer pricing, country-by-country reporting in line with the majority of expectations set out in our statement of engagement approach and/or GRI tax criteria 207.</t>
  </si>
  <si>
    <t>a5da70000005901AAA</t>
  </si>
  <si>
    <t>Adopt TNFD recommendations</t>
  </si>
  <si>
    <t>Our objective is for the company to adopt the Taskforce on Nature-related Financial Disclosures (TNFD) recommendations for identifying, assessing, and reporting its impacts and dependencies on nature and biodiversity, including via antimicrobial resistance (AMR). We also expect the company to then set appropriate targets to address the most material risks.</t>
  </si>
  <si>
    <t>a5da70000005947AAA</t>
  </si>
  <si>
    <t>Diversity, equity, and inclusion</t>
  </si>
  <si>
    <t>We are asking the company to promote a diverse pipeline of talent, which will drive the success of the business-critical innovation and product development department.</t>
  </si>
  <si>
    <t>a5da70000005948AAA</t>
  </si>
  <si>
    <t>In line with our engagement expectations under the Net Zero Engagement Initiative (NZEI), the company is expected to publish a Net Zero Transition Plan in line with the goals of the Paris Agreement. The plan should outline how the company intends to navigate the transition to being a net zero company by 2050 or sooner. This includes setting interim greenhouse gas targets, disclosing emissions performance, and developing a credible decarbonisation strategy that recognises the regulatory, economic transition, and physical risks associated with climate change.</t>
  </si>
  <si>
    <t>a5da7000000594FAAQ</t>
  </si>
  <si>
    <t>a5da7000000594HAAQ</t>
  </si>
  <si>
    <t>a5da7000000594QAAQ</t>
  </si>
  <si>
    <t>Customer ethics policy</t>
  </si>
  <si>
    <t>We want the company to publish a policy and implement a system to prevent (as far as is practicable) its products being used for unethical purposes such as oppressive surveillance systems.</t>
  </si>
  <si>
    <t>19/10/25</t>
  </si>
  <si>
    <t>a5da70000005949AAA</t>
  </si>
  <si>
    <t>Evonik Industries AG</t>
  </si>
  <si>
    <t>a5da70000005951AAA</t>
  </si>
  <si>
    <t>Responsible AI</t>
  </si>
  <si>
    <t>The company holds millions of records on millions of individuals and utilises AI for a range of functions including fraud prevention.</t>
  </si>
  <si>
    <t>a5da7000000594YAAQ</t>
  </si>
  <si>
    <t>The chair has been on the board since 2007 and chair since 2017. The CEO is likely to retire at the end of 2025 so there is a need to address the chair's succession to avoid changes in the CEO and chair occurring at the same time.</t>
  </si>
  <si>
    <t>a5da70000005957AAA</t>
  </si>
  <si>
    <t>LGBTQ+ representation and disclosure</t>
  </si>
  <si>
    <t>The company seeks to disclose all dimensions of diversity data for its workforce, including LGBTQ+ representation.</t>
  </si>
  <si>
    <t>a5da7000000595AAAQ</t>
  </si>
  <si>
    <t>The company commits to paying a living wage and seeks accreditation, or demonstrates that the total reward package is equivalently valued by employees.</t>
  </si>
  <si>
    <t>a5da70000005959AAA</t>
  </si>
  <si>
    <t>Reporting Disclosures</t>
  </si>
  <si>
    <t>New legislation is requiring Dutch companies to report on additional attributes.</t>
  </si>
  <si>
    <t>a5da7000000595CAAQ</t>
  </si>
  <si>
    <t>Publication of just transition strategy and goals</t>
  </si>
  <si>
    <t>The company makes reference to investing in the just transition as part of its 2022-2024 Sustainability Plan. Stakeholders would benefit from clear disclosure about what these investments may look like, as well as clearly defined and quantifiable targets for levels of investment.</t>
  </si>
  <si>
    <t>a5da7000000590UAAQ</t>
  </si>
  <si>
    <t>Our objective is for the company to submit a risk assessment of its impact on biodiversity such as completing the Taskforce on Nature-based Financial Disclosures.</t>
  </si>
  <si>
    <t>a5da70000005945AAA</t>
  </si>
  <si>
    <t>Board Delegate Committee</t>
  </si>
  <si>
    <t>The company's board has a delegate committee, to which a significant proportion of the board's powers are delegated, and which functions as a key forum for debate and decision-making. However, the composition characteristics, and particularly gender diversity, do not reflect best practice and are significantly poorer than for the whole board.</t>
  </si>
  <si>
    <t>a5da7000000595WAAQ</t>
  </si>
  <si>
    <t>Human rights in the supply chain - access to remedy</t>
  </si>
  <si>
    <t>Our objective is for the company to demonstrate effective implementation of its due diligence processes in terms of how it has been able to identify human rights risks and provide associated remedy. It should use these insights to continually improve human rights.</t>
  </si>
  <si>
    <t>a5da700000058hoAAA</t>
  </si>
  <si>
    <t>Remuneration Policy Enhancements</t>
  </si>
  <si>
    <t>The company revises its remuneration policy to include minimum shareholding requirements for executives, eliminates the potential for extraordinary bonuses on the basis of separate agreements, reduces pension payments to executives to be more in line with those of the general workforce, and develops more stretching targets that are not just based on earnings per share (EPS).</t>
  </si>
  <si>
    <t>a5da7000000595KAAQ</t>
  </si>
  <si>
    <t>Lobbying activities aligned with a 1.5°C pathway</t>
  </si>
  <si>
    <t>Our objective is for the company to demonstrate that it uses its influence by publicly advocating in support of policies aligned with the goal of limiting global temperature rise to 1.5-degrees Celsius above pre-industrial levels. It should also conduct a comprehensive review of its lobbying activities and outline a plan to address any misalignment.</t>
  </si>
  <si>
    <t>a5da7000000592zAAA</t>
  </si>
  <si>
    <t>To incorporate climate change KPI to senior executive remuneration</t>
  </si>
  <si>
    <t>Our objective is for the company's CEO or at least one other senior executive's remuneration to be specifically linked to the company's climate change performance as a key performance indicator (KPI).</t>
  </si>
  <si>
    <t>Collaborative - Climate Action 100+</t>
  </si>
  <si>
    <t>a5da70000005956AAA</t>
  </si>
  <si>
    <t>Our objective is for the company to reach over 50% renewable energy of the total energy consumption by 2030, as well as deliver on other commitments within the decarbonisation plan. In terms of other targets, the company aims to achieve net-zero greenhouse gas emissions by 2050 from a 2020 baseline year. By 2025, it aims to reduce greenhouse gas emissions by 21%. By 2030, the company aims to reduce greenhouse gas emissions by 42%, and by 63% by 2035. The company should not reduce the ambition of its climate change strategy or targets without substantial explanation of the extraordinary circumstances that this would require.</t>
  </si>
  <si>
    <t>a5da70000005958AAA</t>
  </si>
  <si>
    <t>AGM format</t>
  </si>
  <si>
    <t>Shell is considering moving to virtual-only AGMs.</t>
  </si>
  <si>
    <t>a5da7000000595hAAA</t>
  </si>
  <si>
    <t>Biodiversity risk, impact and dependence assessment (TNFD)</t>
  </si>
  <si>
    <t>Our objective is for the company to identify, assess and disclose the impacts, dependencies, risks and opportunities related to nature within its financing practices, in line with the TNFD recommendations. This is likely to include focusing on material sectors and/or geographies.</t>
  </si>
  <si>
    <t>a5da7000000595pAAA</t>
  </si>
  <si>
    <t>JB Hi-Fi Ltd</t>
  </si>
  <si>
    <t>The auditor's tenure now exceeds our vote policy threshold of 20 years, thereby potentially risking the erosion of auditor independence.</t>
  </si>
  <si>
    <t>a5da7000000595rAAA</t>
  </si>
  <si>
    <t>The company should align its remuneration policy with our expectations of best practice.</t>
  </si>
  <si>
    <t>a5da7000000595qAAA</t>
  </si>
  <si>
    <t>Human rights policy and reporting</t>
  </si>
  <si>
    <t>Dollarama to publish a human rights policy (ideally aligned with international standards such as United Nations Guiding Principles of Business and Human Rights), to strengthen its approach to due diligence, provision of remedy with detailed reporting that describes how the application of this policy has contributed to better outcomes for those impacted by its operations.</t>
  </si>
  <si>
    <t>a5da7000000595yAAA</t>
  </si>
  <si>
    <t xml:space="preserve">The company enhances the scope of its climate-related strategy and targets, to include opportunities and risks associated with the activities it enables through its capital market activities. 
In our view, further development of the company's strategy and related targets and disclosure will help better identify and prepare for opportunities and risks related to the energy transition, including under global lower carbon scenarios, in the interests of the company and long-term shareholder value.</t>
  </si>
  <si>
    <t>a5da7000000595vAAA</t>
  </si>
  <si>
    <t>Climate strategy - disclosure on client engagement</t>
  </si>
  <si>
    <t xml:space="preserve">Engagement with clients has been identified by the company as central to its strategy to take advantage of climate-related opportunities and the benefits of reduced risks, addressing a range of global scenarios. To provide investors with clarity , the company should define what constitutes a credible transition plan from clients. The company should give examples of questions asked during due diligence with clients, metrics and targets used to evaluate clients, and data showing outcomes of engagement with clients.
In our view, a clear methodology and disclosure of this client engagement aspect of the company's strategy will help better identify and prepare for opportunities and risks related to the energy transition, including under global lower carbon scenarios, in the interests of the company and long-term shareholder value.</t>
  </si>
  <si>
    <t>a5da7000000595wAAA</t>
  </si>
  <si>
    <t>The company should enhance its sustainability strategy with increased quantitative data reporting and more ambitious climate targets.</t>
  </si>
  <si>
    <t>a5da7000000595zAAA</t>
  </si>
  <si>
    <t>Physical risks strategy</t>
  </si>
  <si>
    <t xml:space="preserve">The company develops and discloses a credible updated strategy to protect the company, including its assets, operations, supply chains and employees and take advantage of any opportunities arising from climate-related physical risks under a range of global climate change scenarios. This could include assessing risks for energy secured through power purchase agreements (PPAs). 
In our view, further development of the company's climate physical risk strategy will help better identify and prepare for opportunities and risks related to the changing climate, in the interests of the company and long-term shareholder value.</t>
  </si>
  <si>
    <t>a5da700000058i2AAA</t>
  </si>
  <si>
    <t>Increased transparency on tax practices</t>
  </si>
  <si>
    <t>The company increases transparency around taxes paid, for example by reporting in line with the Global Reporting Initiative (GRI) tax criteria (207). This could include country-level disclosure or reporting on markets where tax is a material issue.</t>
  </si>
  <si>
    <t>a5da7000000592OAAQ</t>
  </si>
  <si>
    <t>The company displays good capital allocation discipline as part of its business strategy.</t>
  </si>
  <si>
    <t>a5da70000005967AAA</t>
  </si>
  <si>
    <t>Auditor tenure exceeds 20-year good practice therefore we would expect rotation.</t>
  </si>
  <si>
    <t>a5da70000005969AAA</t>
  </si>
  <si>
    <t>Circular economy strategy; metrics and targets</t>
  </si>
  <si>
    <t>Rexel evolves its disclosures on waste to include a more holistic approach to waste management. We expect this to include metrics on tonnes of operational waste recycled and diverted to landfill in addition to measuring waste collected from industrial customers and, from this, the amount of material recovered and reused in the value chain. We also expect to see the success of the company's 2022 cable recycling project replicated across its global markets.</t>
  </si>
  <si>
    <t>a5da7000000590mAAA</t>
  </si>
  <si>
    <t>Credible transition roadmap</t>
  </si>
  <si>
    <t>Our objective is for the company to produce a credible transition roadmap, which will lay out how myriad innovations will correspond to Scope 3 emissions abatement and when. This includes explaining which products are difficult to decarbonise and thus are still in the innovation phase, although the plan should outline timing expectations for commercialisation. We are also asking the company to clearly identify hurdles, such as policy dependencies, in the way of achieving its targets. Remedial policy advocacy should thus be a focus of the transition roadmap where relevant. Progress against the plan must be measurable.</t>
  </si>
  <si>
    <t>a5da7000000596FAAQ</t>
  </si>
  <si>
    <t>Our objective is for the company to undertake supply chain human rights audits and publish detailed reporting around its audit findings and grievance mechanism results. The company demonstrates its remedial actions when zero-tolerance non conformance is identified.</t>
  </si>
  <si>
    <t>a5da7000000596PAAQ</t>
  </si>
  <si>
    <t>We want the company to align with our executive remuneration expectations.</t>
  </si>
  <si>
    <t>a5da7000000596OAAQ</t>
  </si>
  <si>
    <t>Nomination of Additional Independent Director</t>
  </si>
  <si>
    <t>The company should reduce the proportion of executive directors on the board by nominating at least one additional independent director.</t>
  </si>
  <si>
    <t>a5da7000000596VAAQ</t>
  </si>
  <si>
    <t>Employee Sentiment Reporting</t>
  </si>
  <si>
    <t>Our objective is for the company to report on employee sentiment, which could include engagement on pay and benefits gaps. It should provide examples of how grievances raised by the workforce have been effectively addressed.</t>
  </si>
  <si>
    <t>a5da7000000596bAAA</t>
  </si>
  <si>
    <t>The company should report on its nature-related impacts and dependencies.</t>
  </si>
  <si>
    <t>a5da7000000596dAAA</t>
  </si>
  <si>
    <t>Nature and biodiversity</t>
  </si>
  <si>
    <t>We shared with the company that disclosure around nature and biodiversity had become a priority. The company asked about our expectations and how to begin. We recommended focusing first on deforestation and subsequently determining the most material topics. Our objective is for the company to align with the Taskforce on Nature-Related Financial Disclosures (TNFD) recommendations on nature-related dependencies, impacts, risks, and opportunities.</t>
  </si>
  <si>
    <t>a5da7000000596jAAA</t>
  </si>
  <si>
    <t>Climate change - methane</t>
  </si>
  <si>
    <t>Our objective is for the bank to take action to reduce methane emissions within its financed emissions portfolio, through a strategy that covers the areas of client engagement, enhanced reporting, and public support. The company should consider the recommendations from the Environmental Defence Fund to the banking sector on methane, which include encouraging clients to join the Oil and Gas Methane Partnership 2.0 (OGMP 2.0), disclosing how methane emissions factor into 2030 targets, and publicly supporting OGMP 2.0 and other robust methane-related policies.</t>
  </si>
  <si>
    <t>a5da700000055DlAAI</t>
  </si>
  <si>
    <t>We have concerns related to the high quantum of the pay package as well as the dependency of the long-term incentive on total shareholder return. In addition, we are also concerned about the low shareholding requirement for the CEO.</t>
  </si>
  <si>
    <t>01/11/25</t>
  </si>
  <si>
    <t>a5da7000000596lAAA</t>
  </si>
  <si>
    <t xml:space="preserve">Our objective is for the company to enhance the scope of its climate-related strategy and targets, and related disclosures to include opportunities and risks in its supply chain and use of its products._x000D_
_x000D_
In our view, further development of the company's strategy and related targets and disclosure will help better identify and prepare for opportunities and risks related to the energy transition, including under global lower carbon scenarios, in the interests of the company and long-term shareholder value.</t>
  </si>
  <si>
    <t>a5da7000000591FAAQ</t>
  </si>
  <si>
    <t>a5da70000005924AAA</t>
  </si>
  <si>
    <t>Companies need to ensure that their accounts reflect how they have considered their climate strategy and commitments including the judgements, assumptions and estimates used to come to the appropriate conclusions.</t>
  </si>
  <si>
    <t>a5da7000000596vAAA</t>
  </si>
  <si>
    <t>a5da7000000596kAAA</t>
  </si>
  <si>
    <t>Our objective is for the company to define what constitutes a credible transition plan from clients for its lending portfolio. The company should give examples of the questions asked during due diligence with clients, the metrics and targets used to evaluate clients, and data showing outcomes of engagement with clients.</t>
  </si>
  <si>
    <t>a5da7000000595DAAQ</t>
  </si>
  <si>
    <t>The company has not prioritised biodiversity as a material topic. We aim to encourage the company to identify, assess, measure and disclose its impacts and dependencies on biodiversity, including the associated risks and opportunities.</t>
  </si>
  <si>
    <t>a5da70000005960AAA</t>
  </si>
  <si>
    <t>Inclusive employment</t>
  </si>
  <si>
    <t>The company is a large employer, with headcount growing at around 15%. As it grows, it has the ability to play an important role in addressing some of the structural under-representation issues within the wider industry. It can also provide employment to individuals from disadvantaged groups, thereby having an outsized societal impact.</t>
  </si>
  <si>
    <t>a5da7000000597MAAQ</t>
  </si>
  <si>
    <t>Engagement on water stress and water risk management. Monitoring the progress of its green management plan and its target for reduction of water intensity at its manufacturing sites.</t>
  </si>
  <si>
    <t>a5da7000000597ZAAQ</t>
  </si>
  <si>
    <t>Investor engagement at the board level is not yet common in India. We are encouraging companies to provide access to independent directors to enable engagement on governance and board effectiveness.</t>
  </si>
  <si>
    <t>a5da7000000597bAAA</t>
  </si>
  <si>
    <t>'Same Job, Same Pay' legislation</t>
  </si>
  <si>
    <t>Same job, same pay legislation in Australia.</t>
  </si>
  <si>
    <t>a5da7000000597dAAA</t>
  </si>
  <si>
    <t>Berkshire Hathaway Inc</t>
  </si>
  <si>
    <t xml:space="preserve">Berkshire Hathaway Energy (BHE) is a wholly owned subsidiary of Berkshire Hathaway and as such BHE could benefit from the opportunity of increased diversity of technology base and carefully manage its exposure to assets impairment under global low-carbon scenarios, including power stations.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</si>
  <si>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a5da70000005970AAA</t>
  </si>
  <si>
    <t>Our objective is for the company to disclose a credible strategy to take advantage of climate-related opportunities and the benefits of reduced risks, addressing a range of global scenarios. In our view, further development of the company's strategy and related targets will help better identify and prepare for opportunities and risks related to the energy transition, including under global lower-carbon scenarios.</t>
  </si>
  <si>
    <t>Discontinued - Unresponsive</t>
  </si>
  <si>
    <t>a5da7000000596zAAA</t>
  </si>
  <si>
    <t>a5da70000005988AAA</t>
  </si>
  <si>
    <t>Just transition integration</t>
  </si>
  <si>
    <t>In 2018, National Australia Bank (NAB) was a leader on just transition thought leadership, publishing its guiding principles. However, we have not found evidence of concrete examples of any subsequent work on this theme. We are encouraging the bank to demonstrate that it has integrated just transition considerations into its broader approach to decarbonisation and origination. The bank should also provide evidence of this via case studies.</t>
  </si>
  <si>
    <t>a5da7000000597lAAA</t>
  </si>
  <si>
    <t>Climate strategy roadmap</t>
  </si>
  <si>
    <t>The bank has significantly improved its climate reporting in 2023. We are now asking the bank to lay out clear next steps for its transition, either via forward-looking elements of the climate report or as a standalone roadmap. The company should clearly identify actions that will be taken over the short and medium term to set further sector-level targets, achieve targets (eg customer engagement), and integrate sophisticated climate and natural capital risks into origination and risk management.</t>
  </si>
  <si>
    <t>a5da7000000597kAAA</t>
  </si>
  <si>
    <t>Fresenius Medical Care AG</t>
  </si>
  <si>
    <t>Decent work - living wages and decent employment</t>
  </si>
  <si>
    <t>A living wage is introduced and/or the company receives accreditation as a living wage provider in the US where the majority of its workforce is based.</t>
  </si>
  <si>
    <t>a5da7000000597QAAQ</t>
  </si>
  <si>
    <t>Decarbonisation Roadmap</t>
  </si>
  <si>
    <t>Our objective is for the company to publish a roadmap with details on how it will align its carbon emission reduction plan with its net zero-by-2025 1.5°C pathway.</t>
  </si>
  <si>
    <t>a5da70000005931AAA</t>
  </si>
  <si>
    <t>Capital allocation is aligned with 1.5 degrees</t>
  </si>
  <si>
    <t>The company commits to ensuring that new material capital expenditure is consistent with achieving emissions reductions that limit global warming to 1.5 degrees.</t>
  </si>
  <si>
    <t>a5da7000000598SAAQ</t>
  </si>
  <si>
    <t xml:space="preserve">All chemical companies face the risk that products could lead to unknown negative environmental and biological impacts. The production of hazardous chemicals is a key risk for the company and sector. According to the World Health Organization, two million people died due to exposure to hazardous chemicals in 2019, compared to 1.6 million in 2016. Hazardous chemicals are also key drivers of biodiversity loss. We want to support a transition towards safer chemicals, and yet 75% of all chemicals used and manufactured in Europe are hazardous to human health and/or the environment (EU 2019).
The regulatory, and the market pressure to transition towards less hazardous chemicals is strong and will increase even more following implementation of the European Green Deal. In the US, the Environmental Protection Agency in October 2021 released its roadmap for tackling per- and polyfluoroalkyl substances (PFAS). This multi-agency approach with increased disclosure and tighter restrictions is expected to impact companies in the near term. In recent years, the financial implications for company liability for past and current production of persistent chemicals, especially PFAS, have been clear.</t>
  </si>
  <si>
    <t>a5da7000000598YAAQ</t>
  </si>
  <si>
    <t>a5da7000000598XAAQ</t>
  </si>
  <si>
    <t>PFAS (per- and polyfluoroalkyl substances)</t>
  </si>
  <si>
    <t>Our goal is for the company to conduct an assessment of its processes and products for the use of per- and polyfluoroalkyl (PFAS) chemicals and develop a plan to discontinue their use/production and provide a remedy.</t>
  </si>
  <si>
    <t>a5da7000000598VAAQ</t>
  </si>
  <si>
    <t>Eastman Chemical Co</t>
  </si>
  <si>
    <t>a5da7000000598ZAAQ</t>
  </si>
  <si>
    <t>a5da7000000598UAAQ</t>
  </si>
  <si>
    <t>Commit to stop the use of precious skins</t>
  </si>
  <si>
    <t>The company commits to stop using precious skins in its products. The commitment has a set timeline and covers all precious skins from all regions.</t>
  </si>
  <si>
    <t>a5da7000000598fAAA</t>
  </si>
  <si>
    <t>Airtac International Group</t>
  </si>
  <si>
    <t>Setting net zero strategy</t>
  </si>
  <si>
    <t>Our objective is for the company to set a net-zero transition plan.</t>
  </si>
  <si>
    <t>a5da70000005927AAA</t>
  </si>
  <si>
    <t>Nature Action 100</t>
  </si>
  <si>
    <t>We encourage the company to assess and disclose its nature-related impacts, dependencies, risks and opportunities, and to develop a clear strategy to address them, in line with the goals of the Global Biodiversity Framework.</t>
  </si>
  <si>
    <t>a5da7000000598tAAA</t>
  </si>
  <si>
    <t>As part of the new Nature Action 100 group, we sent the company a letter introducing the group’s expectations on nature.</t>
  </si>
  <si>
    <t>a5da7000000598nAAA</t>
  </si>
  <si>
    <t>Physical Climate Risk</t>
  </si>
  <si>
    <t>The company publishes significant and impressive detail of its work on assessing and managing the physical climate risk its operations are exposed to. It can improve this further by integrating this work and its internal expertise into investment decision making to ensure future assets and the business strategy are resilient. It can also, over time, demonstrate how its proactive work in this area has been effective in reducing risk and protecting shareholder value.</t>
  </si>
  <si>
    <t>a5da7000000598iAAA</t>
  </si>
  <si>
    <t>Biodiversity and nature</t>
  </si>
  <si>
    <t>In 2023, we sent the company a letter introducing the Nature Action 100 group’s expectations on nature. In the letter, we explained that our aim is to support companies to reverse nature loss and help achieve the goals of the Global Biodiversity Framework. We highlighted the risk that nature and biodiversity loss poses to companies. We asked the company to consider including nature in its business model, strategy, and climate transition plan. More specifically, we encouraged it to publicly commit to minimising contributions to the key drivers of nature loss by 2030. We also asked it to assess and disclose its nature-related impacts, dependencies, risks and opportunities, and to set related time-bound targets accompanied by an implementation plan. We underlined the importance of having proper board oversight of nature-related risks and to engage with external parties to achieve nature targets.</t>
  </si>
  <si>
    <t>a5da7000000598sAAA</t>
  </si>
  <si>
    <t>a5da7000000598pAAA</t>
  </si>
  <si>
    <t>a5da7000000598qAAA</t>
  </si>
  <si>
    <t>Country by Country reporting on tax</t>
  </si>
  <si>
    <t>Our objective is for the company to publish country-by-country reporting on taxes in line with the Global Reporting Initiative Tax Fairness Standard.</t>
  </si>
  <si>
    <t>a5da7000000591NAAQ</t>
  </si>
  <si>
    <t>VICI Properties Inc</t>
  </si>
  <si>
    <t>a5da7000000597gAAA</t>
  </si>
  <si>
    <t>Engaging with executive and independent directors</t>
  </si>
  <si>
    <t>Our objective is for the company to facilitate a dialogue between board members and minority shareholders.</t>
  </si>
  <si>
    <t>a5da700000058vSAAQ</t>
  </si>
  <si>
    <t>Set Paris-aligned GHG emissions reduction targets</t>
  </si>
  <si>
    <t>Geely plans to achieve net zero by 2045. However, the company has expressed concerns about being able to meet the requirements of the Science-Based Targets initiative (SBTi) in the event of changes to SBTi's methodology for the auto sector.</t>
  </si>
  <si>
    <t>a5da7000000598BAAQ</t>
  </si>
  <si>
    <t>NEO and Senior Management metrics disclosure</t>
  </si>
  <si>
    <t xml:space="preserve">The company to disclose further information on the composition of its NEOs such as skills, experience and any other relevant dimensions in line with all applicable laws and regulations.
In our view, improved reporting of human capital management data could help yield valuable insights into the effectiveness of its talent management, in the interests of the company and long-term shareholder value.</t>
  </si>
  <si>
    <t>a5da7000000598gAAA</t>
  </si>
  <si>
    <t>Share Ownership Requirements</t>
  </si>
  <si>
    <t>Our objective is for the board to increase its minimum share ownership requirements for the CEO to eight-to-ten times salary.</t>
  </si>
  <si>
    <t>a5da7000000598hAAA</t>
  </si>
  <si>
    <t>TSMC is committing substantial capital to overseas investments, as it looks to diversify geopolitical risk and benefit from government incentives in various markets. Given the large amounts involved and varying funding options, these investments will at times require investor scrutiny.</t>
  </si>
  <si>
    <t>a5da70000005991AAA</t>
  </si>
  <si>
    <t>Climate targets</t>
  </si>
  <si>
    <t>The company sets 1.5-degree aligned climate targets validated by a credible organisation across all three scopes.</t>
  </si>
  <si>
    <t>a5da70000005992AAA</t>
  </si>
  <si>
    <t>Diversity across the workforce</t>
  </si>
  <si>
    <t>The company has stretching targets on diversity and inclusion, but progress towards these is relatively slow and the company operates in a challenging sector on this topic. We are encouraging the company to promote gender diversity and inclusion to support long-term strategic goals.</t>
  </si>
  <si>
    <t>a5da70000005997AAA</t>
  </si>
  <si>
    <t>We encourage the company to assess and disclose its nature-related impacts, dependencies, risks and opportunities, and to develop a clear strategy to address them, in line with the goals of the Global Biodiversity Framework</t>
  </si>
  <si>
    <t>a5da7000000599CAAQ</t>
  </si>
  <si>
    <t>a5da7000000599DAAQ</t>
  </si>
  <si>
    <t>Corporate Access</t>
  </si>
  <si>
    <t>The company has been reluctant to facilitate meetings between investors and members of the senior management team. The head of key shareholder relations considers that meeting with investors is not part of their role and that meetings with the board chair should suffice. Similarly, the bank considers the board as a collegial entity represented by the board chair only and meetings with other directors are therefore not possible.</t>
  </si>
  <si>
    <t>a5da70000005995AAA</t>
  </si>
  <si>
    <t>The company should align its policy engagement/lobbying activities relating to climate change with the Global Standard on Responsible Climate Lobbying and achieve indicator seven of the Climate Action 100+ Net Zero Benchmark.</t>
  </si>
  <si>
    <t>a5da7000000599LAAQ</t>
  </si>
  <si>
    <t>Animal testing</t>
  </si>
  <si>
    <t>Regulatory changes support a reduction in the healthcare industry’s reliance on animal testing, and the emergence of alternative methods. These alternatives may be faster, cheaper and more effective, as well as being more ethical. Although some changes cannot be implemented overnight, companies have a critical role to play in supporting emerging technologies and moving away from animal testing and animal-derived products where there are viable alternatives. The company should make commitments, provide meaningful disclosures, and engage in industry collaboration and public policy advocacy.</t>
  </si>
  <si>
    <t>a5da7000000599MAAQ</t>
  </si>
  <si>
    <t>Engagement with independent board director</t>
  </si>
  <si>
    <t>Our objective is for the company to facilitate a dialogue between its board members and minority shareholders, which will enable us to better understand Geely's board dynamics and effectiveness.</t>
  </si>
  <si>
    <t>a5da7000000598CAAQ</t>
  </si>
  <si>
    <t>Facilitated emissions</t>
  </si>
  <si>
    <t>Our objective is for BNP Paribas to develop a methodology for measuring facilitated emissions, disclosing these emissions, and developing a plan to address these.</t>
  </si>
  <si>
    <t>a5da70000005933AAA</t>
  </si>
  <si>
    <t>a5da7000000599YAAQ</t>
  </si>
  <si>
    <t>a5da7000000599gAAA</t>
  </si>
  <si>
    <t>a5da7000000599eAAA</t>
  </si>
  <si>
    <t>a5da7000000599ZAAQ</t>
  </si>
  <si>
    <t>Plant based products</t>
  </si>
  <si>
    <t>Our objective is for the company to commit to increasing plant-based protein products in its product portfolio, with a timebound target for them to comprise a significant portion of sales (or equivalent robust targets).</t>
  </si>
  <si>
    <t>a5da700000058uBAAQ</t>
  </si>
  <si>
    <t>Our objective is for the company to increase transparency around taxes paid by, for example, reporting in line with the Global Reporting Initiative (GRI) tax criteria (207). This could include country-level disclosure or reporting on markets where tax is a material issue.</t>
  </si>
  <si>
    <t>a5da7000000599NAAQ</t>
  </si>
  <si>
    <t>Our objective is for the company to conduct and disclose an analysis of pay differences between different groups of employees ('pay gaps') across its workforce and identify any cases of non-merit-based rewards and publish the results, all in line with all applicable laws and regulations. The analysis should also identify opportunities to optimise pay strategy and increase productivity and retention of key staff, including the opportunity to pay a living wage, as defined by the Living Wage coalition.</t>
  </si>
  <si>
    <t>a5da700000058gdAAA</t>
  </si>
  <si>
    <t>Our objective is for the company to assess and disclose its nature-related impacts, dependencies, risks and opportunities, and to develop a clear strategy to address them, in line with the goals of the Global Biodiversity Framework.</t>
  </si>
  <si>
    <t>a5da700000059A0AAI</t>
  </si>
  <si>
    <t>a5da700000059AKAAY</t>
  </si>
  <si>
    <t>a5da700000059AfAAI</t>
  </si>
  <si>
    <t>a5da700000059A9AAI</t>
  </si>
  <si>
    <t>a5da700000059AdAAI</t>
  </si>
  <si>
    <t>a5da700000059AWAAY</t>
  </si>
  <si>
    <t>a5da700000059AeAAI</t>
  </si>
  <si>
    <t>a5da700000059AbAAI</t>
  </si>
  <si>
    <t>a5da7000000599qAAA</t>
  </si>
  <si>
    <t>a5da7000000599rAAA</t>
  </si>
  <si>
    <t>a5da700000059A1AAI</t>
  </si>
  <si>
    <t>a5da7000000599sAAA</t>
  </si>
  <si>
    <t>MSCI Inc</t>
  </si>
  <si>
    <t>We consider the right to call a special meeting a fundamental shareholder right.</t>
  </si>
  <si>
    <t>a5da700000059ArAAI</t>
  </si>
  <si>
    <t>a5da700000059ASAAY</t>
  </si>
  <si>
    <t>a5da700000059AhAAI</t>
  </si>
  <si>
    <t>a5da700000059AYAAY</t>
  </si>
  <si>
    <t>a5da700000059A6AAI</t>
  </si>
  <si>
    <t>a5da700000059AiAAI</t>
  </si>
  <si>
    <t>a5da700000059AIAAY</t>
  </si>
  <si>
    <t>a5da7000000599wAAA</t>
  </si>
  <si>
    <t>a5da700000059A8AAI</t>
  </si>
  <si>
    <t>a5da7000000598yAAA</t>
  </si>
  <si>
    <t>Just transition - water stress</t>
  </si>
  <si>
    <t>The company has had to shut down a rural sugar cane plant in Brazil, which supported local communities, due to water scarcity issues after the river dried up. While the company engaged local governments to support the transition, we are concerned about the intertwined risks of water stress and an unjust transition away from particularly water stress-exposed areas, which could also stifle the company's ability to operate in competition for water suppliers in new areas.</t>
  </si>
  <si>
    <t>a5da700000059B1AAI</t>
  </si>
  <si>
    <t>Health and safety performance</t>
  </si>
  <si>
    <t>The company's total recordable incident rate (TRIR) increased from 1.98 in 2021 to 2.18 in 2022. The company attributed the performance in part to increased demand for products and an increased production workforce. Despite the importance of health and safety to the company its safety performance and mitigation measures were not discussed at length in its recent (2022) disclosure. The company is committed to reducing its TRIR by 20% by 2026, compared with a 2021 baseline.</t>
  </si>
  <si>
    <t>a5da700000059BBAAY</t>
  </si>
  <si>
    <t>Climate aligned accounting and audit</t>
  </si>
  <si>
    <t>We expect clear disclosures in the company's financial statements and auditor opinion on how climate change and global decarbonisation efforts are being captured in critical accounting assumptions and judgements. We are also seeking the disclosure of sensitivity analysis to a 1.5°C pathway in the notes to the accounts.</t>
  </si>
  <si>
    <t>a5da700000059AxAAI</t>
  </si>
  <si>
    <t>Our objective is for the company to adopt the Taskforce on Nature-related Financial Disclosures (TNFD) recommendations for identifying, assessing, and reporting its impacts and dependencies on nature and biodiversity, including the relation between regenerative agriculture, water, and climate risks. We also expect the company to then set appropriate targets to address the most material risks.</t>
  </si>
  <si>
    <t>The improved management and governance of supply chain risks could reduce agricultural commodity price volatility and support operational continuity, protecting margins, sales volumes, and profitability over the long term.</t>
  </si>
  <si>
    <t>a5da700000059AyAAI</t>
  </si>
  <si>
    <t>GHG emissions targets and capex aligned with 1.5C</t>
  </si>
  <si>
    <t>Our objective is for the company to set an emissions reduction targets, covering Scope 1, 2 and 3 emissions, that aligns with the 1.5°C goal of the Paris Agreement. This could be set in absolute or intensity terms, or through robust frameworks for capital allocation, provided that there is alignment with credible 1.5°C scenarios or there is validation by an independent body, such as the Science Based Targets initiative (SBTi).</t>
  </si>
  <si>
    <t>a5da700000059B2AAI</t>
  </si>
  <si>
    <t>Peru oil spill</t>
  </si>
  <si>
    <t>In January 2022 a significant oil spill occurred near the coast of Peru during a tanker discharge to the company's onshore refinery. The company is disputing its responsibility for the accident with criminal investigations ongoing. However, it has proactively supported the clean-up operation and acted to provide compensation for affected local communities. There are ongoing concerns with the way this process has been managed and the extent of enduring environmental damage.</t>
  </si>
  <si>
    <t>a5da700000059BQAAY</t>
  </si>
  <si>
    <t>Methane emissions reduction target</t>
  </si>
  <si>
    <t>Company to set methane emissions reduction target.</t>
  </si>
  <si>
    <t>a5da700000059BVAAY</t>
  </si>
  <si>
    <t>Director elections at AGM</t>
  </si>
  <si>
    <t>Baidu should give minority investors the opportunity to vote on the the appointment and re-election of directors at its AGM.</t>
  </si>
  <si>
    <t>a5da700000059BWAAY</t>
  </si>
  <si>
    <t>AI governance and ethical use principles</t>
  </si>
  <si>
    <t>JD.com is accelerating deployment of artificial intelligence (AI), which could introduce new reputational and regulatory risks to the business, but has not yet published AI ethical use principles and provides relatively little detail about the governance of AI.</t>
  </si>
  <si>
    <t>a5da700000059BSAAY</t>
  </si>
  <si>
    <t>Emission reduction target and strategy</t>
  </si>
  <si>
    <t>Company to disclose greenhouse gas emissions reduction targets and to align its strategy to a 1.5°C pathway.</t>
  </si>
  <si>
    <t>a5da700000059BbAAI</t>
  </si>
  <si>
    <t>Human rights and environmental protection for ship dismantling in Bangladesh</t>
  </si>
  <si>
    <t>The company continues to improve on the environmental and human rights issues regarding its business of ship dismantling in Bangladesh.</t>
  </si>
  <si>
    <t>a5da700000059BcAAI</t>
  </si>
  <si>
    <t>Red Sea attach by Houthi Rebels</t>
  </si>
  <si>
    <t>The company provides a risk management strategy and updates on the Red Sea attack by the Houthi rebels.</t>
  </si>
  <si>
    <t>a5da700000059BdAAI</t>
  </si>
  <si>
    <t>Reduction of strategic (cross) shareholding</t>
  </si>
  <si>
    <t>The company reduces strategic (cross) shareholding to zero and discloses voting results.</t>
  </si>
  <si>
    <t>a5da700000059BeAAI</t>
  </si>
  <si>
    <t>We expect Ahold Delhaize to demonstrate the effectiveness of its due diligence processes with greater reporting on how it identifies, prevents, and mitigates risks to human rights.</t>
  </si>
  <si>
    <t>a5da700000059BfAAI</t>
  </si>
  <si>
    <t>a5da700000059C5AAI</t>
  </si>
  <si>
    <t>Increase gender diversity at senior management and board level</t>
  </si>
  <si>
    <t>The company should increase gender diversity at senior and board level.</t>
  </si>
  <si>
    <t>a5da700000059C9AAI</t>
  </si>
  <si>
    <t>a5da700000059C4AAI</t>
  </si>
  <si>
    <t>a5da700000059BzAAI</t>
  </si>
  <si>
    <t>a5da700000059C1AAI</t>
  </si>
  <si>
    <t>a5da700000059ByAAI</t>
  </si>
  <si>
    <t>a5da700000059BvAAI</t>
  </si>
  <si>
    <t>The company should set a comprehensive strategy for achieving net-zero emissions with short, medium- and long-term targets.</t>
  </si>
  <si>
    <t>a5da700000059CEAAY</t>
  </si>
  <si>
    <t>a5da700000059BMAAY</t>
  </si>
  <si>
    <t>The company increases transparency around taxes paid, for example by reporting in line with the Global Reporting Initiative (GRI) tax criteria (207).</t>
  </si>
  <si>
    <t>a5da700000059BNAAY</t>
  </si>
  <si>
    <t>Western Sahara</t>
  </si>
  <si>
    <t>The company is involved in developing two wind energy projects in Western Sahara, which is a disputed territory between Morocco and the Polisario Front, which claims to be the legitimate representative of the Sahrawi people of Western Sahara. (The Western Sahara is recognised by the UN as a non-self governing territory, but not recognised by other countries, including the US). The company should ensure that its activities respect the human rights of the Western Sahara population and conduct thorough due diligence. It should demonstrate that its activities are being carried out with appropriate consent and due consideration of the rights of affected communities.</t>
  </si>
  <si>
    <t>a5da700000059CFAAY</t>
  </si>
  <si>
    <t>Our objective is for BASF to increase its transparency regarding its production of hazardous chemicals by disclosing the full list and production volumes.</t>
  </si>
  <si>
    <t>a5da700000059AtAAI</t>
  </si>
  <si>
    <t>Our objective is for the company to facilitate a dialogue between board members and minority shareholders, which leads to an improved understanding of independent director challenge and protection of minority shareholders' interests.</t>
  </si>
  <si>
    <t>a5da700000059BTAAY</t>
  </si>
  <si>
    <t>Global and disaggregated methane emissions disclosure by basin</t>
  </si>
  <si>
    <t>A credible and comparable directly measured global and disaggregated methane emissions disclosure by basin.</t>
  </si>
  <si>
    <t>a5da700000059CoAAI</t>
  </si>
  <si>
    <t>a5da700000059CnAAI</t>
  </si>
  <si>
    <t>How companies manage the transition from a carbon to non-carbon based business in a way that is fair to employees and the supply chain will be an important factor in managing climate change.</t>
  </si>
  <si>
    <t>a5da700000059D9AAI</t>
  </si>
  <si>
    <t>Our objective is for the company to provide sufficient evidence that material climate change issues have been considered in the preparation of the financial statements. The relevant quantitative climate-related assumptions and estimates used to prepare the financial statements should be provided, such as the carbon prices employed or the impact of expected climate policies on asset lives. We would also like to see evidence that the auditors have considered the impact of material climate-related matters.</t>
  </si>
  <si>
    <t>a5da700000059D5AAI</t>
  </si>
  <si>
    <t>Freedom of association</t>
  </si>
  <si>
    <t>Our objective is for the company to provide evidence that it is complying with its human rights policy on the right to freedom of association and collective bargaining.</t>
  </si>
  <si>
    <t>a5da700000059CdAAI</t>
  </si>
  <si>
    <t>Human rights policy implementation</t>
  </si>
  <si>
    <t>The company demonstrates effective implementation of its new human rights policy, by providing evidence of robust consultations with indigenous peoples and local communities, enhanced grievance reporting and improved scores on external human rights benchmarks.</t>
  </si>
  <si>
    <t>a5da700000059IQAAY</t>
  </si>
  <si>
    <t>Disclosure of Hazardous Substance Use</t>
  </si>
  <si>
    <t>Company to disclose the worldwide share of revenue and production volume of products that are, or contain, hazardous chemicals.</t>
  </si>
  <si>
    <t>a5da700000059DEAAY</t>
  </si>
  <si>
    <t>In October 2023, ArcelorMittal reported a methane blast at the company’s Kostenko coal mine in Kazakhstan that killed 46 workers.</t>
  </si>
  <si>
    <t>a5da700000059IUAAY</t>
  </si>
  <si>
    <t>Disclosure against TCFD framework in ESG report</t>
  </si>
  <si>
    <t>The company discloses its climate-related risks and opportunities in-line with the ask Force on Climate-related Financial Disclosures (TCFD) recommendations. It includes scenario analysis of the impact to its business from a range of scenarios, including a business-as-usual scenario, a 2°C scenario and a 1.5°C scenario. These include mitigation/transition risk and adaptation/physical risk. It should cover the entire company, disclose key assumptions and demonstrate the potential financial impact (to the extent possible for its sector) to the business from each scenario. The company also discloses how the information is used in risk management and decision-making.</t>
  </si>
  <si>
    <t>a5da700000059CUAAY</t>
  </si>
  <si>
    <t>Critical minerals policy</t>
  </si>
  <si>
    <t>The company develops a critical minerals policy (or expands its responsible mineral policy to include relevant critical minerals) that aligns with a globally recognised responsible mineral sourcing framework. Examples would include the Organisation for Economic Co-operation and Development (OECD), Responsible Minerals Initiative (RMI), World Bank and International Finance Corporation (IFC).</t>
  </si>
  <si>
    <t>a5da700000059InAAI</t>
  </si>
  <si>
    <t>a5da700000059IpAAI</t>
  </si>
  <si>
    <t>a5da700000059IqAAI</t>
  </si>
  <si>
    <t>a5da700000059J0AAI</t>
  </si>
  <si>
    <t>Climate aligned accounting</t>
  </si>
  <si>
    <t>Companies with material carbon emissions need to clarify how their climate ambitions, targets and actions are being included in the company accounts, and the approach should be verified by the auditors.</t>
  </si>
  <si>
    <t>a5da700000059J1AAI</t>
  </si>
  <si>
    <t>The current corporate governance code has set a target for boards to have a minimum of 40% representation of each sex.</t>
  </si>
  <si>
    <t>a5da700000059J2AAI</t>
  </si>
  <si>
    <t>Impact and dependence assessment (TNFD)</t>
  </si>
  <si>
    <t>Our objective is for the company to assess and disclose the nature-related impacts, dependencies, risks and opportunities throughout its value chain, in line with the TNFD recommendations.</t>
  </si>
  <si>
    <t>a5da700000059J4AAI</t>
  </si>
  <si>
    <t>Nature and biodiversity strategy</t>
  </si>
  <si>
    <t>Our objective is for the company to develop a nature and biodiversity strategy, which builds on and complements its existing approach to water and climate change. Material focus areas should ideally be informed by the TNFD assessment, and may include watershed stewardship, nature-based solutions, and per- and polyfluoroalkyl substances (PFAS), amongst other topics. Effective governance of the nature strategy will be critical. The company should consider introducing metrics and targets related to nature within its existing 2030 sustainability goals to support with impact quantification.</t>
  </si>
  <si>
    <t>a5da700000059J5AAI</t>
  </si>
  <si>
    <t>Credible climate transition roadmap</t>
  </si>
  <si>
    <t xml:space="preserve">Our objective is for the company to produce a credible transition roadmap, which will lay out how different decarbonisation levers and technologies will correspond to Scopes 1, 2, and 3 emissions abatement. This should be communicated with clear timelines, noting policy or industry dependencies (where relevant) and how the company will lobby positively in support of these aims. _x000D_
_x000D_
On the suggested technologies, the plan should also explain which products are difficult to decarbonise and how research and innovation is addressing these issues, supported by the provision of timing expectations for development and commercialisation. The company should also explain how its capital allocation strategy is aligned with its emissions targets and the business transformation envisaged in the plan. Progress against the plan must be measurable and we are encouraging the company to develop the plan with its nature risk strategy in mind.</t>
  </si>
  <si>
    <t>09/01/26</t>
  </si>
  <si>
    <t>a5da700000059D6AAI</t>
  </si>
  <si>
    <t>Our objective is for the company to disclose in its financial statements how it has included the impacts of its climate ambition and that these are clearly included by the auditor in its audit.</t>
  </si>
  <si>
    <t>a5da700000059IbAAI</t>
  </si>
  <si>
    <t>Our objective is for the company to increase transparency around taxes paid, for example by reporting in line with the Global Reporting Initiative (GRI 207). This could include country-level disclosure or reporting on markets where tax is a material issue.</t>
  </si>
  <si>
    <t>a5da700000059IyAAI</t>
  </si>
  <si>
    <t>a5da700000059KYAAY</t>
  </si>
  <si>
    <t>AI and human capital management</t>
  </si>
  <si>
    <t>Our objective is for the company to disclose data in its next sustainability report showing the positive and negative impacts of AI on workers, along with an explanation of its strategy to maximise the positive impacts and mitigate the negative impacts. The Workforce Disclosure Initiative metrics on AI and human capital management are a possible reporting framework.</t>
  </si>
  <si>
    <t>a5da700000059IYAAY</t>
  </si>
  <si>
    <t>A time-bound commitment on deforestation- and conversion-free products</t>
  </si>
  <si>
    <t>The company has a wood purchasing policy to prevent sourcing from suppliers harvesting in endangered ecoregions. However, a time-bound commitment on deforestation and conversion that covers all commodities is not in place.</t>
  </si>
  <si>
    <t>a5da700000059DGAAY</t>
  </si>
  <si>
    <t xml:space="preserve">The company reflects in its financial statements how its climate-related commitments, strategy and targets have been included in the accounts and secures assurance by the auditor, or provides a compelling reason why this is not appropriate
In our view, such clarification by the company and external validation by the auditor will help give valuable insights on the resilience of the strategy and increase investor confidence, in the interests of the company and long-term shareholder value.</t>
  </si>
  <si>
    <t>a5da700000059J9AAI</t>
  </si>
  <si>
    <t>a5da700000059KiAAI</t>
  </si>
  <si>
    <t>Safety of workers</t>
  </si>
  <si>
    <t>Companies in the industrial sector need to ensure that the safety of workers in their factories is the number one concern of management and employees. Safety measures should be in place to prevent accidents, particularly for those jobs that put lives at risk.</t>
  </si>
  <si>
    <t>a5da700000059KkAAI</t>
  </si>
  <si>
    <t>Pay equity</t>
  </si>
  <si>
    <t>The company is involved in a class action lawsuit for allegedly systematically underpaying its female employees by more than US$150m, in violation of California's Equal Pay Act.</t>
  </si>
  <si>
    <t>a5da700000059L5AAI</t>
  </si>
  <si>
    <t>Board ESG Expertise</t>
  </si>
  <si>
    <t>The company describes the oversight process for environmental, social and governance (ESG) issues in its proxy but does not specify which directors, if any, have ESG expertise. We would like the company to demonstrate that board-level ESG oversight is supported by directors with the proper skills and experience.</t>
  </si>
  <si>
    <t>a5da700000059L6AAI</t>
  </si>
  <si>
    <t>The company's board is below our thresholds for both gender and overall diversity. We would like the company to establish a formal diversity policy for the director nomination process and increase the diversity of its board in future refreshment.</t>
  </si>
  <si>
    <t>a5da700000059L7AAI</t>
  </si>
  <si>
    <t>AI governance</t>
  </si>
  <si>
    <t>We are engaging the company on the governance of its AI principles.</t>
  </si>
  <si>
    <t>a5da700000059LCAAY</t>
  </si>
  <si>
    <t>Mental Health in the Workplace</t>
  </si>
  <si>
    <t>Employers to recognise their safeguarding responsibilities towards their employees, including with respect to their mental health. Flowing from this, our objective is for the company to develop a mental health workplace policy with senior management taking a leadership role in creating a culture that encourages openness and dialogue on mental health.</t>
  </si>
  <si>
    <t>a5da700000059K2AAI</t>
  </si>
  <si>
    <t>Mental health support</t>
  </si>
  <si>
    <t>Our objective is for the company to develop a mental health workplace policy with senior management taking a leadership role in creating a culture that encourages openness and dialogue on mental health.</t>
  </si>
  <si>
    <t>a5da700000059JhAAI</t>
  </si>
  <si>
    <t>For gender pay gap reporting to be in line with forthcoming EU directive on pay transparency.</t>
  </si>
  <si>
    <t>a5da700000059LHAAY</t>
  </si>
  <si>
    <t>We expect Enel to continuously increase shareholding requirements for the CEO to ensure the long-term performance of the company.</t>
  </si>
  <si>
    <t>a5da700000059LFAAY</t>
  </si>
  <si>
    <t>a5da7000000596MAAQ</t>
  </si>
  <si>
    <t>Our objective is for employers to recognise their safeguarding responsibilities towards their employees, including with respect to their mental health. Flowing from this, our objective is for the company to develop a mental health workplace policy with senior management taking a leadership role in creating a culture that encourages openness and dialogue on mental health.</t>
  </si>
  <si>
    <t>a5da700000059JZAAY</t>
  </si>
  <si>
    <t>Employer to recognise their safeguarding responsibilities towards their employees, including with respect to their mental health. Flowing from this, our objective is for the company to develop a mental health workplace policy with senior management taking a leadership role in creating a culture that encourages openness and dialogue on mental health.</t>
  </si>
  <si>
    <t>a5da700000059JUAAY</t>
  </si>
  <si>
    <t>Our objective is for the company to develop a mental health workplace policy that creates a culture of openness and dialogue on mental health. Senior management should take a leadership role in this effort.</t>
  </si>
  <si>
    <t>a5da700000059K0AAI</t>
  </si>
  <si>
    <t>Company is adequately supporting the mental wellbeing of its employees.</t>
  </si>
  <si>
    <t>a5da700000059JzAAI</t>
  </si>
  <si>
    <t>a5da700000059K4AAI</t>
  </si>
  <si>
    <t>a5da700000059K1AAI</t>
  </si>
  <si>
    <t>a5da700000059K7AAI</t>
  </si>
  <si>
    <t>AI Governance</t>
  </si>
  <si>
    <t>The company should develop an AI governance framework, accompanied by disclosure.</t>
  </si>
  <si>
    <t>a5da700000059LZAAY</t>
  </si>
  <si>
    <t>a5da700000059JoAAI</t>
  </si>
  <si>
    <t>Human Rights Due Diligence</t>
  </si>
  <si>
    <t>The company should enhance its human rights due diligence and its disclosure.</t>
  </si>
  <si>
    <t>a5da700000059LbAAI</t>
  </si>
  <si>
    <t>Improved processes to identify and manage human rights risks</t>
  </si>
  <si>
    <t>Our objective is for the company to: demonstrate better identification of human rights issues in its operations and supply chain; the integration of human rights management systems across different businesses and operations; robust identification of potential forced and child labour issues in its supply chain; and a strengthened approach to engagement with communities on land and indigenous rights.</t>
  </si>
  <si>
    <t>a5da700000059LVAAY</t>
  </si>
  <si>
    <t>a5da700000059LcAAI</t>
  </si>
  <si>
    <t>a5da700000059LeAAI</t>
  </si>
  <si>
    <t>a5da700000059LdAAI</t>
  </si>
  <si>
    <t>Publish a responsible use of AI policy</t>
  </si>
  <si>
    <t>Our objective is for the company to publish a policy detailing its responsible use of artificial intelligence (AI), which demonstrates that it is developing and using AI within a responsible/ethical framework.</t>
  </si>
  <si>
    <t>a5da700000059KgAAI</t>
  </si>
  <si>
    <t>Shareholder returns &amp; capital allocation</t>
  </si>
  <si>
    <t>In common with many South Korean companies, the shareholder returns policy is overly conservative. We would like the company to revisit this and set out its future approach to capital allocation in a 'Shareholder Returns Policy', covering dividends, buy-backs, Treasury shares and M&amp;A.</t>
  </si>
  <si>
    <t>a5da700000059M1AAI</t>
  </si>
  <si>
    <t>TotalEnergies faces allegations of human rights abuses, paying inadequate compensation, and increasing environmental risks at its Tilenga and EACOP projects in Uganda and Tanzania.</t>
  </si>
  <si>
    <t>a5da700000059ITAAY</t>
  </si>
  <si>
    <t>Our objective is for the company to demonstrate that it is developing and using artificial intelligence (AI) within a responsible/ethical framework.</t>
  </si>
  <si>
    <t>a5da700000059LtAAI</t>
  </si>
  <si>
    <t>Strategy to phase-out most persistent chemicals</t>
  </si>
  <si>
    <t>Our objective is for Sika to publish a time-bound phase-out plan to end its use of persistent chemicals and to develop safer products.</t>
  </si>
  <si>
    <t>a5da700000059AuAAI</t>
  </si>
  <si>
    <t>Supply Chain Risk Management</t>
  </si>
  <si>
    <t>Companies should evaluate the risks present in their supply chains and ensure that appropriate levels of mitigation are in place in case of supply chain disruption.</t>
  </si>
  <si>
    <t>a5da700000059MDAAY</t>
  </si>
  <si>
    <t>Net-zero target to include downstream scope 3 emissions</t>
  </si>
  <si>
    <t>The company's net-zero targets only cover Scopes 1, 2, and upstream Scope 3 emissions (category 1). Downstream Scope 3 emissions are material for the business but not covered. Our objective is for the company to include downstream Scope 3 emissions in its targets to achieve net-zero emissions by 2050.</t>
  </si>
  <si>
    <t>a5da700000059MGAAY</t>
  </si>
  <si>
    <t>Appointment of lead independent director</t>
  </si>
  <si>
    <t xml:space="preserve">We were pleased by the separation of the CEO and chair roles and we recognise the company’s majority independent board, fully independent audit committee and the independent chairing of all other committees.
However, we have reminded the company that we believe it should appoint a lead independent director, in the absence of an independent chair.</t>
  </si>
  <si>
    <t>a5da700000059MRAAY</t>
  </si>
  <si>
    <t>Airbnb Inc</t>
  </si>
  <si>
    <t>a5da700000059MUAAY</t>
  </si>
  <si>
    <t>Increased transparency on tax reporting</t>
  </si>
  <si>
    <t>Our objective is for the company to increase transparency around taxes paid, for example by providing fuller disclosure against the Global Reporting Initiative (GRI) tax criteria (207), and enhancing its country-level disclosure and/or reporting on markets where tax is a material issue.</t>
  </si>
  <si>
    <t>a5da7000000599KAAQ</t>
  </si>
  <si>
    <t>Veolia has a system, permitted under French law, that allows any shares that are held for two years to have double voting rights. In order to receive this benefit, the shares must be registered directly with the company.</t>
  </si>
  <si>
    <t>a5da700000059MrAAI</t>
  </si>
  <si>
    <t>a5da700000059JkAAI</t>
  </si>
  <si>
    <t>Disaggregated O&amp;G client methane disclosure by region/technology</t>
  </si>
  <si>
    <t>As part of EOS's system-wide engagement on O&amp;G methane disclosure, we are asking the company to encourage its clients to disclose methane emissions by basin and technology.</t>
  </si>
  <si>
    <t>a5da700000059N1AAI</t>
  </si>
  <si>
    <t>Economy-wide/Agricultural Value Chain Client Methane Disclosure</t>
  </si>
  <si>
    <t>As part of EOS's system-wide approach to methane reduction, we have asked the company to ask its agricultural value chain clients to disclosure and reduce the methane in their supply chains. We have also asked the company to encourage its clients to disclose emissions by constituent gas.</t>
  </si>
  <si>
    <t>a5da700000059N2AAI</t>
  </si>
  <si>
    <t>a5da700000059K3AAI</t>
  </si>
  <si>
    <t>The company has been identified as a possible laggard in addressing climate-related risk by the criteria used in our climate change vote policy. It fails to meet our minimum thresholds for its Transition Pathway Initiative Management Quality score. For all auto companies we expect Level 4.</t>
  </si>
  <si>
    <t>a5da700000059NBAAY</t>
  </si>
  <si>
    <t>Our objective is for the bank to publish a responsible taxation policy in line with the Global Reporting Initiative Tax Fairness Standard, and to disclose itemised payments to governments at the national, state, and local levels. We expect companies to publish a global tax policy describing its approach to tax risk, controls and oversight, and to disclose publicly the full extent of taxes paid or collected by them in each country. Reporting on each country should include the purpose of the local corporate entity along with comparable corporate data such as revenue, profit before tax and number of employees.</t>
  </si>
  <si>
    <t>a5da700000059N8AAI</t>
  </si>
  <si>
    <t>We expect the audit committee to be at least two thirds independent and have an independent chair so that it can most effectively exercise scrutiny and independent oversight.</t>
  </si>
  <si>
    <t>a5da700000059NGAAY</t>
  </si>
  <si>
    <t>The policy currently allows the board to apply discretion on the vesting of awards within the long-term incentive plan after the CEO’s departure, without any pro rata being applied. We do not see this as best practice for holding executives to account. There is also room for improvement on the disclosure of performance conditions for executives other than the CEO.</t>
  </si>
  <si>
    <t>a5da700000059NHAAY</t>
  </si>
  <si>
    <t>Francis Scott Key Bridge</t>
  </si>
  <si>
    <t>A vessel being chartered by the company, which had customer cargoes on board, hit the Francis Scott Key bridge in Baltimore, causing it to collapse.</t>
  </si>
  <si>
    <t>a5da700000059NEAAY</t>
  </si>
  <si>
    <t>Science-based emission reduction targets</t>
  </si>
  <si>
    <t>The company should submit its targets for Science Based Targets initiative validation.</t>
  </si>
  <si>
    <t>a5da700000059NMAAY</t>
  </si>
  <si>
    <t>Climate-aligned capex</t>
  </si>
  <si>
    <t>The company should ensure that material capex is consistent with 1.5°C-aligned scenarios and achieving net zero. It should disclose any processes in place through which the board evaluates the consistency of investments being in line with 1.5°C, and whether the company is investing in any long-lived, carbon-intensive assets that may be incompatible with the aforementioned temperature target.</t>
  </si>
  <si>
    <t>a5da700000059NNAAY</t>
  </si>
  <si>
    <t>The company should reflect its TCFD reporting in its financial statements. It should incorporate in its financial statements the material impacts of the world’s and the company's drive to net-zero emissions, and the auditor should clearly state whether, how and to what extent it has considered this.</t>
  </si>
  <si>
    <t>a5da700000059NOAAY</t>
  </si>
  <si>
    <t>The company should disclose performance targets in advance and retrospectively and ensure that metrics for the annual bonus and the long-term performance incentive do not overlap.</t>
  </si>
  <si>
    <t>a5da700000059NQAAY</t>
  </si>
  <si>
    <t>We expect the board to reach a minimum of 30% female directors, with an overall aim of gender balance.</t>
  </si>
  <si>
    <t>a5da700000059NVAAY</t>
  </si>
  <si>
    <t>a5da700000058nJAAQ</t>
  </si>
  <si>
    <t>Climate Lobbying in line with 1.5C climate targets</t>
  </si>
  <si>
    <t>Our objective is because the company improves its disclosures on its lobbying activities in alignment with the Global Standard on Responsible Climate Lobbying. This should include information around how it conducts climate-related public policy engagement in line with the 1.5°C goal of the Paris Agreement, and how its direct and indirect industry association groups are (mis)aligned with this goal.</t>
  </si>
  <si>
    <t>a5da700000059LJAAY</t>
  </si>
  <si>
    <t>The company's board independence is 40%, which is below our expectation of at least 50% for companies with a dispersed ownership structure. While the board gender diversity meets our expectations of 20%, it remains below the requirement of one-third gender diversity by 2025 set by Taiwan's Financial Supervisory Commission. It also has a combined chair/CEO.</t>
  </si>
  <si>
    <t>a5da700000059NaAAI</t>
  </si>
  <si>
    <t>Methane emissions strategy</t>
  </si>
  <si>
    <t>The company confirms a strategy to reduce methane emissions, which may include setting methane reduction targets.</t>
  </si>
  <si>
    <t>a5da700000059NbAAI</t>
  </si>
  <si>
    <t>Climate - physical risk disclosure, mitigation and adaptation</t>
  </si>
  <si>
    <t>The company should publish physical climate risk scenario analyses for its operations and power purchase agreements. The analysis should include detailed mitigation strategies and align with the International Sustainability Standards Board expectations (based on the Task Force on Climate-related Financial Disclosures framework).</t>
  </si>
  <si>
    <t>a5da700000059NcAAI</t>
  </si>
  <si>
    <t>Turnover and unwanted attrition</t>
  </si>
  <si>
    <t>Our objective is for the company to demonstrate an evidence-based strategy for reducing turnover rates and unwanted attrition.</t>
  </si>
  <si>
    <t>a5da700000059NFAAY</t>
  </si>
  <si>
    <t>a5da700000059NJAAY</t>
  </si>
  <si>
    <t>Deep-sea mining</t>
  </si>
  <si>
    <t>There is a growing demand for rare earth minerals to support the energy transition required for battery development. This is leading to talk around the exploitation of minerals on the sea bed where there is not enough evidence for a sustainable model or acceptable standards to prevent degradation of the biodiversity and the ecosystem.</t>
  </si>
  <si>
    <t>a5da700000059NgAAI</t>
  </si>
  <si>
    <t>Companies need to ensure they have a risk management process built around three lines of defence. This includes good management, oversight and due diligence</t>
  </si>
  <si>
    <t>a5da700000059NfAAI</t>
  </si>
  <si>
    <t>Activity in Occupied Territories</t>
  </si>
  <si>
    <t>Companies need to ensure that they respect the human rights of indigenous peoples and this is particularly important when contracting for products and services in occupied territories.</t>
  </si>
  <si>
    <t>a5da700000059NvAAI</t>
  </si>
  <si>
    <t>Following the acquisition of Credit Suisse, the bank did not adopt Credit Suisse?s more stringent policy on phasing out exposure to high-carbon energy sources. The bank should demonstrate that it has a credible strategy to take advantage of climate-related opportunities and the benefits of reduced risks, addressing a range of global scenarios, including if the company considers feasible and appropriate and consistent with long-term financial value, those consistent with limiting climate change in line with the Paris Goals. This should include an approach to sectors that are likely to be materially affected by the energy transition.</t>
  </si>
  <si>
    <t>a5da700000059NuAAI</t>
  </si>
  <si>
    <t>Bergi Plant</t>
  </si>
  <si>
    <t>A fire and explosion occurred at a hydroelectric plant owned by the company.</t>
  </si>
  <si>
    <t>a5da700000059O2AAI</t>
  </si>
  <si>
    <t>The company is already quite well advanced in its approach to mental health. Its senior leaders are involved, the approach is tailored to different markets and there is an overall holistic approach. There is currently no standalone mental health workplace policy but the company has agreed to look into this. We encourage the company to keep evolving its approach to workplace mental well-being, recognising that there is a strong economic case for doing so.</t>
  </si>
  <si>
    <t>a5da700000059O8AAI</t>
  </si>
  <si>
    <t>Human capital management strategy and disclosure.</t>
  </si>
  <si>
    <t>a5da700000059OAAAY</t>
  </si>
  <si>
    <t>Agnico Eagle Mines Ltd</t>
  </si>
  <si>
    <t>In response to our question about enhanced due diligence and/or formal reporting on living wages, the company said that it continues to evaluate the possibility of adopting a formal living wage commitment. It takes its commitments seriously and is therefore cautious about making commitments such as this without thorough research and confidence in its ability to meet the commitment. In particular, it continues to review challenges with respect to the various jurisdictions in which it operates where living standards can differ significantly; and the various approaches to defining what a "living wage" is, including some proposed calculations in the jurisdictions in which it operates that are not empirically based.</t>
  </si>
  <si>
    <t>a5da700000059OHAAY</t>
  </si>
  <si>
    <t>Board committee Independence</t>
  </si>
  <si>
    <t>Boards and their committees should be majority independent in order to ensure alignment with minority shareholder expectations.</t>
  </si>
  <si>
    <t>a5da700000059OJAAY</t>
  </si>
  <si>
    <t>Net zero deforestation targets</t>
  </si>
  <si>
    <t>The company has a target to achieve net-zero deforestation by 2023 across its direct suppliers, but has not disclosed whether this was achieved. Given that several companies have missed similar targets, we are engaging the company on whether it has achieved this target and how it is ensuring full achievement.</t>
  </si>
  <si>
    <t>a5da700000059OPAAY</t>
  </si>
  <si>
    <t>Factory visit</t>
  </si>
  <si>
    <t>Note to capture factory visit information.</t>
  </si>
  <si>
    <t>a5da700000059ORAAY</t>
  </si>
  <si>
    <t>Supply chain and human rights due diligence</t>
  </si>
  <si>
    <t>The company does not have a full map of its suppliers and the due diligence is only focused on seeking Responsible Business Alliance certification of mineral suppliers. Our objective is for the company to obtain full Tier 1 and 2 global supplier mapping and conduct due diligence on its selected suppliers.</t>
  </si>
  <si>
    <t>a5da700000059LyAAI</t>
  </si>
  <si>
    <t>Audit tenure</t>
  </si>
  <si>
    <t>The company's auditors (KPMG and EY) have been in place for 29 years and 25 years respectively. The company has already confirmed that Deloitte will replace KPMG when its term expires in 2025. It has also confirmed it will tender for EY’s replacement in 2025.</t>
  </si>
  <si>
    <t>a5da700000059OXAAY</t>
  </si>
  <si>
    <t>Consideration of circularity in fossil fuel demand outlook</t>
  </si>
  <si>
    <t>Our objective is for the company to demonstrate that its fossil fuel demand outlook and/or scenario analysis consider changes in demand for virgin plastics that are derived from fossil fuels due to the transition towards a circular plastics economy.</t>
  </si>
  <si>
    <t>a5da700000059MnAAI</t>
  </si>
  <si>
    <t>Plastics scenario analysis</t>
  </si>
  <si>
    <t>The company demonstrates that its scenario analyses consider changes in demand for plastics that are derived from fossil fuels due to the transition towards a circular plastics economy.</t>
  </si>
  <si>
    <t>a5da700000059OaAAI</t>
  </si>
  <si>
    <t>Health and Nutrition</t>
  </si>
  <si>
    <t>Our objective is for the company to demonstrate during engagement and in its public disclosures that it is achieving its 2030 nutrition target by meaningfully investing in growing its healthier food and beverage sales. This therefore capitalises on the demand for healthier options rather than solely increasing sales from other products such as coffee or baby food.</t>
  </si>
  <si>
    <t>a5da700000059OSAAY</t>
  </si>
  <si>
    <t>The company has robust policies, controls and checks in place with regard to limiting the risk of its products being involved in human rights abuses in occupied territories, particularly the West Bank.</t>
  </si>
  <si>
    <t>a5da700000059OmAAI</t>
  </si>
  <si>
    <t>The company's auditor has been in place since 1932 (an excessive auditor tenure). We are engaging for the company to commit to rotating the auditor.</t>
  </si>
  <si>
    <t>a5da700000059OdAAI</t>
  </si>
  <si>
    <t>We have long engaged the company on labour issues and corporate culture stemming from its unlawful sales practices scandal. More recently, we have become concerned by the quantity and veracity of allegations related to discrimination, unpaid overtime, freedom of association, and other human capital concerns, at various company branches and locations. The quantity and veracity of these claims appear outsized relative to other large US banks. It indicates that internal grievance mechanisms may not be functioning effectively. A limited selection of these allegations are discussed in the “outstanding legal proceedings” sections of the annual report, leaving investors with incomplete disclosure of risks. We recognise the actions taken by the company, including commissioning a third-party racial equity audit and a third-party human rights assessment, and will continue engagement on these topics.</t>
  </si>
  <si>
    <t>a5da700000059OjAAI</t>
  </si>
  <si>
    <t>We would like AIA Group to improve its approach to share buy-backs to generate greater value for shareholders.</t>
  </si>
  <si>
    <t>a5da700000059OfAAI</t>
  </si>
  <si>
    <t>Lack of shareholding requirements</t>
  </si>
  <si>
    <t>The remuneration policy only includes a requirement to retain at least 20% of the shares vested under the long-term incentive plan. Given the variable pay opportunity (380%) at Rexel, we find it would be appropriate to see a minimum shareholding requirement of 300% of salary as this aligns with the pay opportunity. Our voting policy would expect a minimum shareholding requirement for the CEO of 200% of base salary</t>
  </si>
  <si>
    <t>a5da700000059OpAAI</t>
  </si>
  <si>
    <t>The company respects human rights throughout its value chain and has a responsible approach to managing risks from high-risk regions.</t>
  </si>
  <si>
    <t>a5da700000059P0AAI</t>
  </si>
  <si>
    <t>Svitzer Demerger</t>
  </si>
  <si>
    <t>The company held an EGM to approve the demerger of the Svitzer business. This included some issues with the authority to issue significant new capital without pre-emptive right and executive remuneration for the management of the new entity.</t>
  </si>
  <si>
    <t>a5da700000059P2AAI</t>
  </si>
  <si>
    <t>Overboarding</t>
  </si>
  <si>
    <t>It is important that members of the supervisory board do not over extend themselves by sitting on too many boards and taking on additional responsibilities</t>
  </si>
  <si>
    <t>a5da700000059P8AAI</t>
  </si>
  <si>
    <t>Supervisory Board Diversity</t>
  </si>
  <si>
    <t>We expect supervisory boards to be diverse and represent diverse and inclusive views. This means having at least 30% of elected shareholder representatives should be women.</t>
  </si>
  <si>
    <t>a5da700000059P7AAI</t>
  </si>
  <si>
    <t>Our objective is for the company to improve the efficiency and effectiveness of its public policy advocacy strategy in line with its corporate goals.</t>
  </si>
  <si>
    <t>a5da700000059P1AAI</t>
  </si>
  <si>
    <t xml:space="preserve">As a utility, the company could benefit from the opportunity of increased diversity of technology base and carefully manage its exposure to assets impairment under global low-carbon scenarios.
In our view, the company can further develop its strategy and related targets to include cost analysis for the retirement of coal assets. This will help better identify and prepare for opportunities and risks related to the energy transition, including under global lower carbon scenarios, in the interests of the company and long-term shareholder value.</t>
  </si>
  <si>
    <t>a5da700000059IvAAI</t>
  </si>
  <si>
    <t>a5da700000059JGAAY</t>
  </si>
  <si>
    <t>Our objective is for the company to have robust policies, controls and checks in place with regard to limiting the risk of its products being involved in human rights abuses in occupied territories, particularly the West Bank.</t>
  </si>
  <si>
    <t>a5da700000059PKAAY</t>
  </si>
  <si>
    <t>Improvements to code of ethics</t>
  </si>
  <si>
    <t>Our objective is for the company to improve its code of ethics and demonstrate that it has been well implemented. We are seeking improvements that include making the code of ethics a practical guide for employees, including contributions from the CEO, and being clearly dated and regularly updated.</t>
  </si>
  <si>
    <t>a5da700000059PMAAY</t>
  </si>
  <si>
    <t>Human rights: high-risk regions</t>
  </si>
  <si>
    <t>a5da700000059PTAAY</t>
  </si>
  <si>
    <t>Biodiversity reporting and targets</t>
  </si>
  <si>
    <t>TSMC should report under the TNFD framework, with details regarding timebound targets for both its direct operations and supply chain.</t>
  </si>
  <si>
    <t>a5da700000059PRAAY</t>
  </si>
  <si>
    <t>Avoided Emissions and Low Carbon Fuels</t>
  </si>
  <si>
    <t>Valero is a leader in the low carbon fuels space. The company is challenging investors to account for its contribution toward the energy transition via avoided emissions or Scope 4, given the need for such fuels in almost all climate scenarios in the medium term. It currently faces calls from some investors for the business to exclude its renewable fuels and carbon capture investments from emissions reduction efforts.</t>
  </si>
  <si>
    <t>a5da700000059PSAAY</t>
  </si>
  <si>
    <t>The company produces metrics and data to evaluate the financial and social impacts of training leading to the socioeconomic mobility of underrepresented, particularly racial and ethnic, groups.</t>
  </si>
  <si>
    <t>a5da700000059PXAAY</t>
  </si>
  <si>
    <t>Combined chair/CEO role</t>
  </si>
  <si>
    <t>The company has a combined chair/CEO role and we have experienced difficulty in accessing the lead independent director (LID) separately from the chair/CEO. This raises concerns about whether the LID is sufficiently strong to represent shareholder views and challenge the chair/CEO.</t>
  </si>
  <si>
    <t>a5da700000059PbAAI</t>
  </si>
  <si>
    <t>Living wage monitoring and reporting</t>
  </si>
  <si>
    <t>The company reports annually on pay gaps, benefit gaps and/or its achievement of living wage accreditation; as well as any concerns regarding pay/benefits elevated through its employee survey.</t>
  </si>
  <si>
    <t>a5da700000059PWAAY</t>
  </si>
  <si>
    <t xml:space="preserve">The company develops and discloses a credible strategy [including its capital allocation strategy] to take advantage of climate-related opportunities and the benefits of reduced risks, addressing a range of global scenarios, including if the company considers feasible and appropriate and consistent with long-term financial value, those consistent with limiting climate change to below 2?C in line with the Paris Goals.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</si>
  <si>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a5da700000059PdAAI</t>
  </si>
  <si>
    <t>Third-party audits of higher-risk tier-1 suppliers</t>
  </si>
  <si>
    <t>Our objective is for the company to conduct third-party audits of higher-risk tier one suppliers, with some details provided regarding adverse findings.</t>
  </si>
  <si>
    <t>a5da7000000598HAAQ</t>
  </si>
  <si>
    <t>Disclosure of tax</t>
  </si>
  <si>
    <t>Our objective is for the company to update its tax policy to include confirmation that it does not engage in tax avoidance and explains the purpose of the holding companies in tax havens where the company does not have any economic activity.</t>
  </si>
  <si>
    <t>a5da7000000595EAAQ</t>
  </si>
  <si>
    <t>To improve the efficiency and effectiveness of the company's public policy advocacy strategy in line with its corporate goals, the company should review the stated positions and policy advocacy activities of its industry associations for alignment to its own positions and activities. It should disclose a summary of the results, including any proposed actions.</t>
  </si>
  <si>
    <t>a5da700000059OvAAI</t>
  </si>
  <si>
    <t>Mental health</t>
  </si>
  <si>
    <t>Our objective is for the company to develop a mental health workplace policy where senior management take a leadership role to create a culture that encourages openness and dialogue on mental health.</t>
  </si>
  <si>
    <t>a5da700000059PYAAY</t>
  </si>
  <si>
    <t>Sustainable feedstocks plan</t>
  </si>
  <si>
    <t>Our objective is for the company to set targets on its sustainable and alternative feedstocks as part of a plan for developing a competitive position in the circular economy, while also reducing upstream Scope 3 emissions. Targets should be supported by a clear action plan, including clear policies governing the definition of sustainable feedstocks.</t>
  </si>
  <si>
    <t>a5da700000059Q3AAI</t>
  </si>
  <si>
    <t>Combined CEO and Chairman</t>
  </si>
  <si>
    <t>The company maintains a combined CEO and chair structure. We will continue to encourage the company to establish an independent chair structure.</t>
  </si>
  <si>
    <t>a5da700000059Q4AAI</t>
  </si>
  <si>
    <t>Our objective is for the company to increase transparency around taxes paid, for example by providing additional disclosure against the Global Reporting Initiative (GRI) tax criteria (207), enhancing its country-level disclosure and/or reporting on markets where tax is a material issue.</t>
  </si>
  <si>
    <t>a5da7000000599FAAQ</t>
  </si>
  <si>
    <t>a5da700000059PFAAY</t>
  </si>
  <si>
    <t>Gender diversity of the board of management</t>
  </si>
  <si>
    <t>Companies should ensure that the senior management team is well represented by a diverse group of individuals to ensure decisions represent the interests of the stakeholders.</t>
  </si>
  <si>
    <t>a5da700000059QFAAY</t>
  </si>
  <si>
    <t>We view the company as a leader among peers on human capital strategy and will challenge it to produce metrics and data to evaluate financial and social impacts of its programmes and partnerships to promote job-readiness that leads to socioeconomic mobility of underrepresented, particularly racial and ethnic groups.</t>
  </si>
  <si>
    <t>a5da700000059QIAAY</t>
  </si>
  <si>
    <t>We are encouraging the bank to demonstrate that it has integrated just transition considerations into its broader approach to decarbonisation and its financing activities. The bank should also provide evidence of this via case studies and/or clear and specific policies.</t>
  </si>
  <si>
    <t>a5da700000059Q8AAI</t>
  </si>
  <si>
    <t>The company has highly problematic executive remuneration practices. Rather than participating in shor- or long-term incentive plans, the CEO received $26 million, most of which is allotted to a “personal security program.” The CEO’s large ownership stake in the company does not exempt him from our expectation that he is paid mostly in long-term shareholdings. Additionally, the pay plan for non-CEO executive officers has significant issues. Award determinations remain discretionary, and incentive programmes lack disclosed performance metrics and quantified goals. Disclosure around individual performance assessments is also poor, and the design allows for such considerations to have a potentially large impact on annual bonuses. The company does not disclose a sufficient compensation clawback policy, sufficient stock ownership guidelines, or holding period requirements for executives. We relayed our many concerns with say-on-pay and urged the compensation committee to consider broader societal inequality when setting executive compensation.</t>
  </si>
  <si>
    <t>a5da700000059QXAAY</t>
  </si>
  <si>
    <t>Multiclass share structure</t>
  </si>
  <si>
    <t>The company has a multi-class common stock with unequal voting rights and issues three classes of shares. Class A shares are listed on the NYSE and on TSX. The B-class restricted voting shares and founder shares are not listed on any exchange. The founder shares when combined with votes attached to certain other voting shares of the company beneficially owned or controlled by Tobias Lutke provide at least 40% of the aggregate voting power, but which do not exceed 49.9%. The Canadian company has adopted a “coat-tail” provision (a feature largely absent in the USA), which ensures that all classes of shareholders will receive the same price for their shares, should the controlling shareholders decide to sell out and as such removed most of the potential “private benefits of control” through a dual-class of shares.</t>
  </si>
  <si>
    <t>a5da700000059QOAAY</t>
  </si>
  <si>
    <t>Indigenous rights</t>
  </si>
  <si>
    <t>There is a gap between the company's strong indigenous rights policies and commitments and the way it is acting in practice. This is evidenced by the lawsuit the company is currently involved in. The company should aim to mitigate the potential for infliction upon indigenous rights.</t>
  </si>
  <si>
    <t>a5da700000059QcAAI</t>
  </si>
  <si>
    <t>Circularity</t>
  </si>
  <si>
    <t>The company has developed a proprietary tool to assess the circularity of its products and solutions, and has reported on the proportion that has been assessed but not on the outcome of these assessments. The objective is for the company to provide more transparency on the circularity of its products and solutions, with information on the criteria used in the assessment.</t>
  </si>
  <si>
    <t>a5da700000059QCAAY</t>
  </si>
  <si>
    <t>Decarbonisation Levers</t>
  </si>
  <si>
    <t>Our objective is for the company to publish a decarbonisation strategy that collates all its initiatives for emissions reductions into a clear transition plan that demonstrates the levers that will achieve the published emissions targets. This should approximately quantify the expected emissions reductions from each lever while articulating any dependencies (for example technology or policy). The transition plan should also include an R&amp;D roadmap and disclosure against it (at a high level) to allow investors to assess progress.</t>
  </si>
  <si>
    <t>a5da700000059QaAAI</t>
  </si>
  <si>
    <t>Our objective is for the company to produce a sustainability report or disclosure outlining the company's approach and sustainability strategy, as well as long-term targets and data trends, setting goals and metrics in appropriate areas.</t>
  </si>
  <si>
    <t>a5da700000059PnAAI</t>
  </si>
  <si>
    <t>Tax Transparency Report</t>
  </si>
  <si>
    <t>Our objective is for the company to commit to a tax reporting approach that includes the use of incentives, transfer pricing and country-by-country reporting in line with the majority of expectations set out in EOS’ statement of engagement and/or the Global Reporting Initiative tax criteria 207.</t>
  </si>
  <si>
    <t>a5da70000005902AAA</t>
  </si>
  <si>
    <t>Our objective is for the bank to discuss the impact of its climate risk exposure in the notes to the financial statements, consistent with the company's sustainability and Taskforce on Climate-related Financial Disclosures (TCFD) reporting. The company should quantify the impacts of both physical and transition climate risks, specifically on the forward-looking financial metrics, such as credit loss provisioning, expected credit losses, and customer credit assessments. It is likely that future economic conditions will be impacted by climate change, so investors would expect assumptions to change to reflect this.</t>
  </si>
  <si>
    <t>a5da700000059MAAAY</t>
  </si>
  <si>
    <t>Company achieves 2025 zero deforestation</t>
  </si>
  <si>
    <t>Our objective is for the company to achieve its 2025 zero deforestation and zero land conversion target, which was previously a zero deforestation target by 2023.</t>
  </si>
  <si>
    <t>a5da700000059QtAAI</t>
  </si>
  <si>
    <t>The company to demonstrate board effectiveness by appointing independent director with business backgrounds.</t>
  </si>
  <si>
    <t>a5da700000059RPAAY</t>
  </si>
  <si>
    <t>Nature-Related Risks and Opportunities</t>
  </si>
  <si>
    <t>The bank has set a continuous target for zero financing of specific activities harming species diversity, habitats and waterbodies, and integrates exclusions related to environmental harm in its Group Environmental and Social Risk Management Policy on Legal Entities Lending. It can improve its disclosure regarding the types of nature-related risks, dependencies and impacts to which it is exposed, as well as on the specific actions taken to mitigate these. It may consider reporting this information against a best-practice framework, such as the TNFD.</t>
  </si>
  <si>
    <t>a5da700000059RTAAY</t>
  </si>
  <si>
    <t>Physical Climate Risk Strategy &amp; Disclosures</t>
  </si>
  <si>
    <t>The bank is increasing its focus on helping its customers cope with the increasing frequency of natural disasters that Greece is experiencing as a result of climate change. During the flooding and wildfires experienced in 2023, the bank responded by offering interest freezes, bridge loans for recovery and customer impact assessments to assist customers experiencing losses from these disasters. We believe the bank has the potential to become a key partner to its clients for building resilience to these events through innovative product development and best-practice risk management systems.</t>
  </si>
  <si>
    <t>a5da700000059RUAAY</t>
  </si>
  <si>
    <t>Independence of chairman</t>
  </si>
  <si>
    <t>The company should explain how it ensures the independence of the chairman.</t>
  </si>
  <si>
    <t>a5da700000059NPAAY</t>
  </si>
  <si>
    <t>a5da700000058yCAAQ</t>
  </si>
  <si>
    <t xml:space="preserve">The company develops and discloses a credible strategy including its capital allocation strategy to take advantage of climate-related opportunities and the benefits of reduced risks, addressing a range of global scenarios, including if the company considers feasible and appropriate and consistent with long-term financial value, those consistent with limiting climate change with the Paris Goals.
In our view, further development of the company's strategy and related targets will help better identify and prepare for opportunities and risks related to the energy transition, including under global lower carbon scenarios, in the interests of the company and long-term shareholder value.</t>
  </si>
  <si>
    <t>a5da700000059PyAAI</t>
  </si>
  <si>
    <t>Shareholding Requirement</t>
  </si>
  <si>
    <t>The shareholding requirement is equivalent to 150% of salary which is below our minimum expectation of 300% of salary for large companies. This issue is combined with the absence of a holding requirement, a bonus that only pays in the form of cash and a long-term incentive plan delivering virtual shares.</t>
  </si>
  <si>
    <t>a5da700000059QQAAY</t>
  </si>
  <si>
    <t>Lobbying on Nature</t>
  </si>
  <si>
    <t>Our objective is for the company to demonstrate that its lobbying activities support the development and implementation of public policies enhancing the transition towards regenerative farming systems.</t>
  </si>
  <si>
    <t>a5da700000059RhAAI</t>
  </si>
  <si>
    <t>The company has a combined chair and CEO role. We are encouraging the company to separate these roles because, despite the presence of a lead independent director on the board, the CEO remains dominant. This has raised concerns over the strength of the lead independent director to provide sufficient counterbalance to the CEO, especially on the oversight of the climate strategy and human rights issues.</t>
  </si>
  <si>
    <t>a5da700000059LmAAI</t>
  </si>
  <si>
    <t>As of the 2024 annual meeting, four out of 10 board members have tenures longer than 20 years. We are looking for the company to prioritise board refreshment to mitigate the risk of groupthink and complacency and introduce new and diverse perspectives.</t>
  </si>
  <si>
    <t>a5da700000059RiAAI</t>
  </si>
  <si>
    <t>Gas capex compatible with 1.5C.</t>
  </si>
  <si>
    <t>Our objective is for the company to demonstrate that its current and planned gas capital expenditure is compatible with 1.5-degrees. This includes a direct comparison of the anticipated production and forecast costs against 1.5-degree scenarios.</t>
  </si>
  <si>
    <t>a5da700000059RrAAI</t>
  </si>
  <si>
    <t>Our objective is for the company to increase its disclosure of human rights policies and practices. This should include progress and outcomes of human rights due diligence to implement its commitments, data and key metrics used to measure the effectiveness of its strategy, and information on how it provides access to remedy.</t>
  </si>
  <si>
    <t>High Risk Region - OPT</t>
  </si>
  <si>
    <t>a5da700000059QmAAI</t>
  </si>
  <si>
    <t>Medium-term Scope 3 target</t>
  </si>
  <si>
    <t>Our objective is for the company to publicly disclose a medium-target for reducing its greenhouse gas emissions by between 2026 and 2035 that the most relevant Scope 3 emissions. The company should provide evidence that this target is aligned with the goal of limiting global warming to 1.5°C.</t>
  </si>
  <si>
    <t>a5da700000059QbAAI</t>
  </si>
  <si>
    <t>Scope 3 emission disclosure</t>
  </si>
  <si>
    <t>Our aim is for the company to disclose Scope 3 carbon emissions data annually, starting from material categories breakdown, in accordance with the greenhouse gas protocol. The company should also appoint third party auditor to give assurance on the data provided.</t>
  </si>
  <si>
    <t>a5da700000059QrAAI</t>
  </si>
  <si>
    <t>Biodiversity in Tilenga and EACOP</t>
  </si>
  <si>
    <t>The company should manage the biodiversity impacts at Tilenga and EACOP to agreed international standards (IFC PS6).</t>
  </si>
  <si>
    <t>a5da700000059RtAAI</t>
  </si>
  <si>
    <t>Director time committment</t>
  </si>
  <si>
    <t>We expect all directors to be able to dedicate sufficient time to board and committee meetings, ensuring that they do not have too many outside commitments.</t>
  </si>
  <si>
    <t>a5da700000059RsAAI</t>
  </si>
  <si>
    <t>Climate Lobbying Disclosure</t>
  </si>
  <si>
    <t>To align with best practice, the bank should disclose an explicit commitment to align its lobbying activities with its climate goals, give its assessment of the extent of the alignment with the organisations it engages through, and the actions it takes when misalignment is discovered.</t>
  </si>
  <si>
    <t>a5da700000059S3AAI</t>
  </si>
  <si>
    <t>Our objective is for the company to identify, assess, measure and disclose its impacts and dependencies on biodiversity, including the associated risks and opportunities. The company should disclose the number of operational mining sites that are located close to biodiversity conservation areas or exposed to high risks. It should also demonstrate understanding and action plans to mitigate relevant regulatory risks, as well as outline the conservation practices at those high-risk mine sites.</t>
  </si>
  <si>
    <t>a5da700000059S6AAI</t>
  </si>
  <si>
    <t>The company should increase transparency on the nature and governance of its use of artificial intelligence and commit to using the technology in accordance with a set of published ethical principles.</t>
  </si>
  <si>
    <t>a5da700000059QfAAI</t>
  </si>
  <si>
    <t>Our objective is for the company to increase transparency around its involvement in animal testing and how it manages related risks and alternatives opportunities. This should include evidence of governance and due diligence structures in place, outcomes created by its policy of "replacement, reduction, and refinement," and peer and regulatory engagement in favour of alternatives.</t>
  </si>
  <si>
    <t>a5da700000059SSAAY</t>
  </si>
  <si>
    <t>Scaling regenerative agriculture</t>
  </si>
  <si>
    <t>Our objective is for the company to further integrate regenerative agriculture into its crop science department strategy, as recommended by its Sustainability Council. It should demonstrate an acceleration of regenerative agriculture and take other steps towards positive environmental outcomes.</t>
  </si>
  <si>
    <t>a5da700000059D7AAI</t>
  </si>
  <si>
    <t>Our objective is for the company to define its work on regenerative agriculture clearly and determine key performance indicators (KPIs) to measure progress and demonstrate positive environmental impacts.</t>
  </si>
  <si>
    <t>a5da700000059SWAAY</t>
  </si>
  <si>
    <t>Gender diversity on Senior Leadership Team</t>
  </si>
  <si>
    <t>Our objective is for the company to increase gender diversity in its senior leadership team.</t>
  </si>
  <si>
    <t>a5da700000059SXAAY</t>
  </si>
  <si>
    <t>Our objective is for the company to disclose a credible strategy to take advantage of climate-related opportunities and the benefits of reduced risks, including if the company considers the strategy to be consistent with long-term financial value and the Paris goals.</t>
  </si>
  <si>
    <t>a5da700000059QAAAY</t>
  </si>
  <si>
    <t>The company should increase transparency around its involvement in animal testing and how it manages the related risks and alternatives opportunities. This should include evidence of governance and due diligence structures in place, outcomes created by its policy of "replacement, reduction, and refinement," and peer and regulatory engagement in favour of alternatives.</t>
  </si>
  <si>
    <t>a5da700000059StAAI</t>
  </si>
  <si>
    <t>1.5C-aligned agriculture sector targets and identified levers</t>
  </si>
  <si>
    <t>Our objective is for the bank to set a 1.5-degrees Celsius-aligned sector-level near-term target for its agriculture portfolio. If the bank adopts a regional benchmark, it provides compelling evidence for the alignment with 1.5 degrees, using a methodology such as the Science-Based Targets initiative’s FLAG (forest, land and agriculture) guidance for companies in land-intensive sectors. The bank also identifies levers for decarbonising its agricultural loan book, including how much these will contribute to emissions reductions.</t>
  </si>
  <si>
    <t>a5da700000059SpAAI</t>
  </si>
  <si>
    <t>Gender diversity at the supervisory level</t>
  </si>
  <si>
    <t>Based on its 2022 reporting, female representation at the supervisory level at its largest site in Ningbo is at around 3.9%. This falls short of the proportion of female employees (25.7%) at the same site.</t>
  </si>
  <si>
    <t>a5da700000059TGAAY</t>
  </si>
  <si>
    <t>Paychex Inc</t>
  </si>
  <si>
    <t>Corporate governance</t>
  </si>
  <si>
    <t>We want the company to continually enhance its corporate governance practices to ensure proper protections are put in place for minority shareholders.</t>
  </si>
  <si>
    <t>a5da700000059TaAAI</t>
  </si>
  <si>
    <t>Our objective is for the board to develop AI governance principles to manage the potential AI-related risks.</t>
  </si>
  <si>
    <t>a5da700000059ShAAI</t>
  </si>
  <si>
    <t>The board should develop AI governance principles to manage the potential AI-related risks.</t>
  </si>
  <si>
    <t>a5da700000059SiAAI</t>
  </si>
  <si>
    <t>The company should improve board gender diversity by appointing an additional female director or by achieving a composition of at least 20%.</t>
  </si>
  <si>
    <t>a5da700000059SqAAI</t>
  </si>
  <si>
    <t>Return on investment (ROI) of training/career development for people from different socioeconomic backgrounds.</t>
  </si>
  <si>
    <t>a5da700000059TjAAI</t>
  </si>
  <si>
    <t>Asset Retirement Obligations</t>
  </si>
  <si>
    <t>Disclosure of asset retirement obligation sensitivity to different scenarios.</t>
  </si>
  <si>
    <t>a5da700000059TkAAI</t>
  </si>
  <si>
    <t>Nature strategy and targets</t>
  </si>
  <si>
    <t>Our objective is for the company to develop a company-wide strategy on nature, and to set time-bound, context-specific, science-based targets informed by risk assessments on nature-related dependencies, impacts, risks, and opportunities. The company should disclose its annual progress against its nature strategy and targets.</t>
  </si>
  <si>
    <t>a5da700000059T9AAI</t>
  </si>
  <si>
    <t>Sustainability strategy development</t>
  </si>
  <si>
    <t>InPost has an ambitious sustainability strategy in place, particularly around decarbonisation. We are engaging with the company to ensure the strategy is appropriately scaled as it expands its geographic footprint, and looks to refresh its five-year sustainability roadmap in 2026.</t>
  </si>
  <si>
    <t>a5da700000059U1AAI</t>
  </si>
  <si>
    <t>We are engaging with the company on the implementation of its sustainability strategy, in particular around cleaner and safer mining equipment offerings and their uptake. The company's offerings can have a material influence on the broader sustainability of the industry.</t>
  </si>
  <si>
    <t>a5da700000059U3AAI</t>
  </si>
  <si>
    <t>Global Safety Report</t>
  </si>
  <si>
    <t>Our objective is for the company to extend its current safety reporting to cover the scope of its global business.</t>
  </si>
  <si>
    <t>a5da7000000591KAAQ</t>
  </si>
  <si>
    <t>Our objective is for the company to achieve living wage accreditation or demonstrate that it offers a package that is equivalent in value and equivalently valued by employees.</t>
  </si>
  <si>
    <t>a5da700000059TwAAI</t>
  </si>
  <si>
    <t>Seafood Traceability</t>
  </si>
  <si>
    <t>Engagement on group-wide policy, procedures and systems to implement full chain seafood traceability.</t>
  </si>
  <si>
    <t>a5da700000059UCAAY</t>
  </si>
  <si>
    <t>Employee turnover</t>
  </si>
  <si>
    <t>The company has reported high attrition amongst junior employees partly driven by the industry (with high levels of rotation at junior levels) but also potentially by working conditions and satisfaction rates amongst frontline employees. The company needs a plan to tackle the issue.</t>
  </si>
  <si>
    <t>a5da700000059UEAAY</t>
  </si>
  <si>
    <t>Utilities challenge EPA on carbon capture and sequestration technology</t>
  </si>
  <si>
    <t xml:space="preserve">The company is a member of the Electric Generators for a Sensible Transition. This industry association has decided to take legal action and challenge the US Environmental Protection Agency’s (EPA) strengthened emissions regulation for the power generation sector, specifically the New Source Performance Standards for Greenhouse Gas Emissions From New, Modified, and Reconstructed Fossil Fuel-Fired Electric Generating Units; Emission Guidelines for Greenhouse Gas Emissions From Existing Fossil Fuel-Fired Electric Generating Units; and Repeal of the Affordable Clean Energy Rule. 
We are engaging the company on whether it endorses the push back and, if so, what alternative pathway to net zero it deems feasible and credible. We are asking companies to: demonstrate alignment of all their advocacy activities with the decarbonisation of the power system in line with the Paris Agreement; and share their perspective of the feasibility of carbon capture and sequestration (CCS) technology.</t>
  </si>
  <si>
    <t>a5da700000059UTAAY</t>
  </si>
  <si>
    <t xml:space="preserve">The company is a member of the Edison Electric Institute and the Electric Generators for a Sensible Transition. These industry associations have decided to take legal action and challenge the US Environmental Protection Agency’s (EPA) strengthened emissions regulation for the power generation sector, specifically the New Source Performance Standards for Greenhouse Gas Emissions From New, Modified, and Reconstructed Fossil Fuel-Fired Electric Generating Units; Emission Guidelines for Greenhouse Gas Emissions From Existing Fossil Fuel-Fired Electric Generating Units; and Repeal of the Affordable Clean Energy Rule. 
We are engaging the company on whether it endorses the push back and, if so, what alternative pathway to net zero it deems feasible and credible. We are asking companies to: demonstrate alignment of all their advocacy activities with the decarbonisation of the power system in line with the Paris Agreement; and share their perspective of the feasibility of carbon capture and sequestration (CCS) technology.</t>
  </si>
  <si>
    <t>a5da700000059USAAY</t>
  </si>
  <si>
    <t>a5da700000059UUAAY</t>
  </si>
  <si>
    <t>The company has a goal to implement Biodiversity Management Plans (BMPs) at 100% of its sensitive locations by 2030. Our objective is for the company to provide public examples of what factors are considered as part of a BMP, how they are measured and for progress to be disclosed.</t>
  </si>
  <si>
    <t>to be done</t>
  </si>
  <si>
    <t>a5da700000059RpAAI</t>
  </si>
  <si>
    <t>Implementation of action plans in high water stress regions</t>
  </si>
  <si>
    <t>The company has developed water action plans for its tier three (high stress) areas. We want the company to disclose its progress in implementing these action plans.</t>
  </si>
  <si>
    <t>a5da700000059UYAAY</t>
  </si>
  <si>
    <t>Updated plastics disclosure</t>
  </si>
  <si>
    <t>We are seeking updated detailed performance reporting on reduced plastics demand, which will enable investors to assess the company's resilience against changing plastics demand in a clean energy economy. This should include a detailed plastics footprint, broken down by polymer type, with an indication of what is sustainably managed, and how this changes over time.</t>
  </si>
  <si>
    <t>a5da700000059UPAAY</t>
  </si>
  <si>
    <t>Decarbonisation strategy</t>
  </si>
  <si>
    <t>The real estate sector is estimated to contribute around 30-40% of global emissions. As part of our real estate sector work, we engage with real estate companies to understand their commitments to decarbonising the built sector and the challenges they face.</t>
  </si>
  <si>
    <t>a5da700000059V2AAI</t>
  </si>
  <si>
    <t xml:space="preserve">The company is a member of the Edison Electric Institute. This industry association has decided to take legal action and challenge the US Environmental Protection Agency’s (EPA) strengthened emissions regulation for the power generation sector, specifically the New Source Performance Standards for Greenhouse Gas Emissions From New, Modified, and Reconstructed Fossil Fuel-Fired Electric Generating Units; Emission Guidelines for Greenhouse Gas Emissions From Existing Fossil Fuel-Fired Electric Generating Units; and Repeal of the Affordable Clean Energy Rule.
We are engaging the company on whether it endorses the pushback and, if so, what alternative pathway to net zero it deems feasible and credible. We are asking companies to: demonstrate alignment of all their advocacy activities with the decarbonisation of the power system in line with the Paris Agreement; and share their perspective of the feasibility of carbon capture and sequestration (CCS) technology.</t>
  </si>
  <si>
    <t>a5da700000059V9AAI</t>
  </si>
  <si>
    <t>Our expectation if for companies to have fully independent audit committees to strengthen oversight functions. The company has a non-independent director who is a promoter, as a member of the audit committee.</t>
  </si>
  <si>
    <t>a5da700000059VSAAY</t>
  </si>
  <si>
    <t>We are engaging with the company on various aspects of its climate strategy to ensure it is aligned with the goals of the Paris Agreement.</t>
  </si>
  <si>
    <t>a5da700000059VTAAY</t>
  </si>
  <si>
    <t>The board has a substantial representation of executives on the board, leading to a 38% board independence level. (Q3 2024)</t>
  </si>
  <si>
    <t>a5da700000059VjAAI</t>
  </si>
  <si>
    <t>Align country-by-country tax reporting with GRI</t>
  </si>
  <si>
    <t>Barclays GRI report only addresses GRI Tax criteria 207-1 to 207-3. Currently it does not provide a report or link against GRI 207-4 which is the country-by-country reporting requirements. Our objective is for Barclays to address this criteria within its GRI report with either a reference to the information it produces to meet the Capital Requirements Directive (CRD) IV or an explanation as to why this is not required.</t>
  </si>
  <si>
    <t>a5da700000059LaAAI</t>
  </si>
  <si>
    <t>Elimination of hazardous chemicals in plastics</t>
  </si>
  <si>
    <t>With plastic production expected to triple by 2060, lifecycle emissions expected to double, and with the proliferation of plastic polymers containing toxic and hazardous chemicals, we are concerned about the associated risks. Investors and their representatives expect the following from companies: transparent disclosure, definition of strategies, and clear target setting to transition to the production of safe, environmentally sound and sustainable plastic. Companies should also address polymers and chemicals of concern in their products; build a suitable infrastructure for the production of sustainable materials; establish dedicated governance; and publicly support an ambitious, international, legally-binding instrument for ending plastic pollution.</t>
  </si>
  <si>
    <t>a5da700000059VoAAI</t>
  </si>
  <si>
    <t>Paris-aligned Capital Allocation</t>
  </si>
  <si>
    <t>The company commits to ensuring that all material capital expenditures are consistent with, and economically resilient under, 1.5°C-aligned scenarios and achieving net-zero emissions by 2050. This should include a published explanation, including quantitative thresholds where relevant, of how the board evaluates the consistency of investment decisions with this commitment. There should be no evidence of continued material capital expenditure inconsistent with this commitment, including investments that risk becoming stranded assets or causing carbon lock-in incompatible with a 1.5°C-aligned transition.</t>
  </si>
  <si>
    <t>a5da700000059ViAAI</t>
  </si>
  <si>
    <t>Critical Minerals Policy</t>
  </si>
  <si>
    <t>Our objective is for the company to develop a critical minerals policy (or expands its responsible mineral policy to include relevant critical minerals) that aligns with a globally recognised responsible mineral sourcing framework. Examples would include the Organisation for Economic Co-operation and Development (OECD), Responsible Minerals Initiative (RMI), World Bank and International Finance Corporation (IFC).</t>
  </si>
  <si>
    <t>a5da700000059UQAAY</t>
  </si>
  <si>
    <t>Climate lobbying disclosure</t>
  </si>
  <si>
    <t>To achieve a level 4 score on the Transition Pathway Initiative (TPI) framework, the company needs to improve it's climate lobbying disclosures, striving for best practice outlined in the global standard for responsible climate lobbying.</t>
  </si>
  <si>
    <t>a5da700000059VfAAI</t>
  </si>
  <si>
    <t>Emissions reduction targets</t>
  </si>
  <si>
    <t>Our objective is for HDFC to disclose its financed emissions and set a robust reduction target, ideally validated by the Science-Based Targets initiative or similar.</t>
  </si>
  <si>
    <t>a5da700000059UFAAY</t>
  </si>
  <si>
    <t>Chair</t>
  </si>
  <si>
    <t>We have identified that the chair, who was appointed in 2024, comes from a primarily public sector background. While we recognise and appreciate his vast experience, we question what specific industry skills he brings to the board. This is especially important considering the rapid market changes and complexities in the banking sector. We will continue to monitor this aspect of board effectiveness.</t>
  </si>
  <si>
    <t>a5da700000059WJAAY</t>
  </si>
  <si>
    <t>Employee turnover, especially at the junior level, has been a challenge in the Indian banking sector. While it’s good to see the employee turnover rate decreasing at the bank (36.2% in 2022, 30.9% in 2023, 24.5% in 2024), the rate remains relatively high. We expect the bank to continue to take steps to ensure effective attraction and retention of employees at all levels of the organisation.</t>
  </si>
  <si>
    <t>a5da700000059WHAAY</t>
  </si>
  <si>
    <t>Climate change metric linking with executive pay structure</t>
  </si>
  <si>
    <t>Our objective is for the company to set stretching sustainability metrics in its remuneration that reflect performance against its new sustainability goals, in particular for climate.</t>
  </si>
  <si>
    <t>a5da700000059VpAAI</t>
  </si>
  <si>
    <t>Managing plastics related risks</t>
  </si>
  <si>
    <t>The company should demonstrate that its scenario analyses consider changes in demand for plastics that are derived from fossil fuels due to the transition towards a circular plastics economy, and that its lobbying efforts are aligned with a transition towards a circular plastics economy.</t>
  </si>
  <si>
    <t>a5da700000059WkAAI</t>
  </si>
  <si>
    <t>Plastics production</t>
  </si>
  <si>
    <t>a5da700000059WeAAI</t>
  </si>
  <si>
    <t>a5da700000059WgAAI</t>
  </si>
  <si>
    <t>a5da700000059WfAAI</t>
  </si>
  <si>
    <t>The company should reduce its dependence on fossil fuel feedstocks for the production of plastics by developing alternatives such as bio-based or recycled material. These new products should not contain hazardous chemicals. In addition, we encourage the company to demonstrate that its lobbying efforts are aligned with a transition towards a circular plastics economy.</t>
  </si>
  <si>
    <t>a5da700000059WhAAI</t>
  </si>
  <si>
    <t>a5da700000059WlAAI</t>
  </si>
  <si>
    <t>Report on de-stocking investigation</t>
  </si>
  <si>
    <t>In November 2023, the company announced a profit warning on its South American business, reportedly prompted by a sudden de-stocking issue. It unexpectedly faced declining demand in these markets, raising concerns about whether it had intentionally or unintentionally sought to achieve short-term targets at the detriment of subsequent reporting periods. We are engaging with the company to report clearly on its internal investigation into its risk management practices, conduct, and culture surrounding the issue.</t>
  </si>
  <si>
    <t>Remedial improvements to customer demand monitoring could help reduce the risk of future operational missteps, enabling the company to efficiently manage its supply chain and remain competitive, particularly in a sector where operational efficiency underpins revenue growth and long-term profitability.</t>
  </si>
  <si>
    <t>a5da700000059WuAAI</t>
  </si>
  <si>
    <t>Worker voice and corporate culture</t>
  </si>
  <si>
    <t>Our objective is for the company to demonstrate evidence of sufficient avenues for worker voice that enable effective management and board oversight of corporate culture. These avenues, which might include employee surveys, grievance mechanisms, and site visits, should provide data that enables the company and its stakeholders to measure positive corporate culture across the business.</t>
  </si>
  <si>
    <t>a5da700000059WxAAI</t>
  </si>
  <si>
    <t>High-Risk Regions</t>
  </si>
  <si>
    <t>The company was identified by the United Nations as engaging in the transfer of military equipment to Israel. We are engaging with the company on its management of human rights in high-risk regions including Occupied Palestinian Territories.</t>
  </si>
  <si>
    <t>a5da700000059X1AAI</t>
  </si>
  <si>
    <t>Our objective is for the company to publish a decarbonisation strategy that collates all its initiatives for emissions reductions into a clear transition plan, that demonstrates the levers that will achieve the published emissions targets. This should approximately quantify the expected emissions reductions from each lever while articulating any dependencies (for example technology or policy). The transition plan should also include an research and development (R&amp;D) roadmap and disclosure against it (at a high level) to allow investors to assess progress.</t>
  </si>
  <si>
    <t>a5da700000059WwAAI</t>
  </si>
  <si>
    <t>Investor Expectations on Ethics and Compliance</t>
  </si>
  <si>
    <t>Presentation to the ethics and trust team on investor expectations in this area.</t>
  </si>
  <si>
    <t>a5da700000059XBAAY</t>
  </si>
  <si>
    <t>Our objective is for the bank to align with our expectations related to shareholder rights. In 2024, the company requested our input on the format of its annual meetings following the passing of a shareholder resolution, which received 53% support, to always maintain an in-person option. We stated our view that the bank should put a policy in place to make every effort to maintain an in-person annual meeting option and set out clear boundaries and definitions for what extraordinary circumstances might warrant otherwise.</t>
  </si>
  <si>
    <t>a5da700000059X8AAI</t>
  </si>
  <si>
    <t>The company commits to publishing a lobbying disclosure in which it lays out how it conducts its climate-related public policy engagement in line with its climate strategy and regularly conducts a review of its direct and indirect lobbying activities to assess and demonstrate this alignment. It also commits to explaining any misalignment identified, and outlines actions, with timeframes, to resolve the misalignment.</t>
  </si>
  <si>
    <t>a5da700000059XEAAY</t>
  </si>
  <si>
    <t>Green steel purchasing</t>
  </si>
  <si>
    <t>Stellantis is a significant user of steel and therefore will need a clear strategy to change its supply to green steel in order to reduce its emissions and meet its Scope 3 carbon emission reduction targets.</t>
  </si>
  <si>
    <t>a5da700000059XUAAY</t>
  </si>
  <si>
    <t>IIGCC low-emissions chemicals value chain engagement</t>
  </si>
  <si>
    <t>We are members of a working group led by the Institutional Investors Group on Climate Change (IIGCC), which is focused on the development of a low-emissions chemicals value chain framework.</t>
  </si>
  <si>
    <t>a5da700000059XRAAY</t>
  </si>
  <si>
    <t>BMW is a significant user of steel and this has a material impact on its Scope 3 carbon emissions. Without adopting green steel it will be difficult for the company to achieve its carbon reduction targets.</t>
  </si>
  <si>
    <t>a5da700000059XSAAY</t>
  </si>
  <si>
    <t>Natural resource stewardship</t>
  </si>
  <si>
    <t xml:space="preserve">Automotive companies have large and complicated supply chains, with a significant risk of doing harm to natural resources  and biodiversity.</t>
  </si>
  <si>
    <t>a5da700000059XVAAY</t>
  </si>
  <si>
    <t>Volkswagen is a significant user of steel and without developing a strategy for purchasing green steel it will have difficulty meeting its Scope 3 carbon reduction targets.</t>
  </si>
  <si>
    <t>a5da700000059XTAAY</t>
  </si>
  <si>
    <t>Our objective is for the company to demonstrate evidence of sufficient avenues for workers to voice their opinions. These avenues, which might include employee surveys, grievance mechanisms, and site visits, should provide data that enables the company and its stakeholders to measure positive corporate culture across the business.</t>
  </si>
  <si>
    <t>a5da700000059XIAAY</t>
  </si>
  <si>
    <t>a5da700000059WzAAI</t>
  </si>
  <si>
    <t>a5da700000059X0AAI</t>
  </si>
  <si>
    <t>Disclosure of environmental management strategy</t>
  </si>
  <si>
    <t>The company discloses that all of its owned sites are assessed against an Environmental Management Standard (EMS), which seeks to identify and address the key risks that sites may pose to their local environment, including potential impacts on ecosystems and/or risks to biodiversity. Our objective is for the company to provide some public examples of what factors might be considered as part of the EMS, how they are measured and how progress is tracked.</t>
  </si>
  <si>
    <t>a5da700000059XQAAY</t>
  </si>
  <si>
    <t>Expansion of fossil fuel exclusion policy</t>
  </si>
  <si>
    <t>Our objective is for the company to expand its oil and gas investments policy, through the inclusion of an absolute coal production threshold and a commitment to no new investment in greenfield/brownfield sites as part of its exclusion policy.</t>
  </si>
  <si>
    <t>a5da700000059XAAAY</t>
  </si>
  <si>
    <t>Our objective is for the company to publish a responsible taxation policy in line with the Global Reporting Initiative Tax Fairness Standard, and to disclose itemised payments to governments at the national, state, and local levels.</t>
  </si>
  <si>
    <t>a5da7000000597HAAQ</t>
  </si>
  <si>
    <t>Business in high-risk regions</t>
  </si>
  <si>
    <t>Airbus has ties to the Aviation Industry Corporation of China which has been found to be a key supplier of airplanes and weapons to Myanmar's military in the past. Myanmar is considered to be a high-risk region since the military coup d'etat with much of the violence in the country being a direct result of military violence. Airbus should map its business activities, relationships and/or investments across the value chain in Myanmar to identify and assess human rights risks and harms that it may be contributing to; assess and address all identified actual and potential human rights impacts; design and implement processes to enable remediation; regularly publicly report on due diligence efforts and procedures; use leverage to initiate collective action by business in support of human rights; and discuss any leverage than can be used to influence the cessation of human rights harms.</t>
  </si>
  <si>
    <t>a5da700000059XnAAI</t>
  </si>
  <si>
    <t>Median gender and pay gap disclosure</t>
  </si>
  <si>
    <t>The company discloses its unadjusted median gender and racial pay gap and implements strategies to reduce this gap.</t>
  </si>
  <si>
    <t>a5da700000059XlAAI</t>
  </si>
  <si>
    <t>Expressing concerns about the growing environmental cost of AI, we asked whether energy efficiency was being incorporated into governance of model development, hardware procurement, and/or data centres. The company said it is still on track to meet its Science Based Targets initiative commitment and that AI was actually helping energy efficiency by enabling a more efficient grid.</t>
  </si>
  <si>
    <t>a5da700000059XmAAI</t>
  </si>
  <si>
    <t>Improved disclosures on climate aligned lobbying</t>
  </si>
  <si>
    <t>Our objective is for the bank to undertake and publish a review of its direct climate change lobbying activities and indirect activities through its member associations, alliances and coalitions, and commits to taking action in situations where misalignment has been identified between lobbying activities and the goals of the Paris Agreement. The bank regularly discloses where such action has been taken or that no misalignment has been identified.</t>
  </si>
  <si>
    <t>a5da700000059XpAAI</t>
  </si>
  <si>
    <t>Engagement with the company on its access to medicine strategy.</t>
  </si>
  <si>
    <t>a5da700000059XqAAI</t>
  </si>
  <si>
    <t>Our objective is for the company to develop a critical minerals policy (or expand its responsible mineral policy to include relevant critical minerals) that aligns with a globally recognised responsible mineral sourcing framework. Examples would include the Organisation for Economic Co-operation and Development (OECD), Responsible Minerals Initiative (RMI), World Bank and International Finance Corporation (IFC).</t>
  </si>
  <si>
    <t>a5da700000059XxAAI</t>
  </si>
  <si>
    <t>a5da700000059S9AAI</t>
  </si>
  <si>
    <t xml:space="preserve">Good board governance is critical for the successful direction and management of companies and relies on having independent  non-executive board members.</t>
  </si>
  <si>
    <t>a5da700000059YCAAY</t>
  </si>
  <si>
    <t>Increase Long Term Focus of Remuneration Practices</t>
  </si>
  <si>
    <t>Our objective is for the company to improve its compensation practices to better align with the interests of long-term shareholders. This should include amending its long-term executive compensation plan to exclude performance periods shorter than three years and strengthening its executive stock ownership policy to exclude unvested awards.</t>
  </si>
  <si>
    <t>a5da700000059Y2AAI</t>
  </si>
  <si>
    <t>a5da700000059XYAAY</t>
  </si>
  <si>
    <t>Reduce air pollutants</t>
  </si>
  <si>
    <t>Our objective is for the company to consistently improve its performance on air emissions.</t>
  </si>
  <si>
    <t>a5da700000059YQAAY</t>
  </si>
  <si>
    <t>Improve water risk assessment</t>
  </si>
  <si>
    <t>CF's current water risk assessment is based on the World Resources Institute Aqueduct Water Risk Atlas. Given that water is crucial to its processes, we would like it to analyse water risk in greater detail.</t>
  </si>
  <si>
    <t>a5da700000059YRAAY</t>
  </si>
  <si>
    <t>Air pollutants</t>
  </si>
  <si>
    <t>CF Industries’ fertiliser manufacturing process results in emissions of hazardous air pollutants, especially from the use of nitric acid. This includes nitrogen oxides and sulphur oxides, which can pose human health risks and contribute to nutrient pollution. There is also particulate matter from combustion and from the granulation process for granulated urea.</t>
  </si>
  <si>
    <t>a5da700000059YOAAY</t>
  </si>
  <si>
    <t>Water quality</t>
  </si>
  <si>
    <t>CF is dependent on water withdrawals for steam and cooling and some is consumed due to evaporation. A small amount is also used as an ingredient in liquid fertiliser. CF withdraws a significant volume of water, which could contribute to water stress. It also uses additives to soften water and prevent algae growth, which are present in the water it discharges. The quality of the water it discharges is unlikely to cause significant problems.</t>
  </si>
  <si>
    <t>a5da700000059YPAAY</t>
  </si>
  <si>
    <t>Improve gender diversity on management level</t>
  </si>
  <si>
    <t>The company to improve its gender diveristy at management level including senior management</t>
  </si>
  <si>
    <t>a5da700000059YUAAY</t>
  </si>
  <si>
    <t>The company should demonstrate that its safety strategy, focused on eliminating ‘stuff that kills you’ is contributing to improving safety outcomes and creating a strong safety culture. This could include reporting on standardised predictive safety metrics and information on fatalities and injury rates.</t>
  </si>
  <si>
    <t>a5da700000059SKAAY</t>
  </si>
  <si>
    <t>Tesla has allegedly interfered with workers’ rights to freedom of association and collective bargaining at several of the company’s facilities in the US and Europe. Tesla has been accused of racial harassment and discrimination at its Fremont plant in California.</t>
  </si>
  <si>
    <t>a5da700000059YeAAI</t>
  </si>
  <si>
    <t>a5da700000059VMAAY</t>
  </si>
  <si>
    <t>The company should consider AMR in its product development pipeline and marketing.</t>
  </si>
  <si>
    <t>a5da700000059YkAAI</t>
  </si>
  <si>
    <t>Anti-money laundering controls</t>
  </si>
  <si>
    <t>The bank needs to implement strong anti-money laundering controls.</t>
  </si>
  <si>
    <t>a5da700000059YuAAI</t>
  </si>
  <si>
    <t>Update Artificial Intelligence framework</t>
  </si>
  <si>
    <t>Our objective is for the company to update its Artificial Intelligence (AI) framework, which was originally published in 2019, to account for developments in AI and increased adoption. The updated framework should provide increased disclosure on the steps that the company is taking to use AI responsibly, including disclosure around the range of uses and how unintended bias is being eliminated.</t>
  </si>
  <si>
    <t>a5da700000059SMAAY</t>
  </si>
  <si>
    <t>Our objective is for Deutsche Bank to publish an updated human rights policy to strengthen its approach to due diligence. It should provide detailed reporting that describes how the application of this policy has contributed to better outcomes for those impacted by its operations and financing.</t>
  </si>
  <si>
    <t>a5da700000058xrAAA</t>
  </si>
  <si>
    <t xml:space="preserve">The company enhances the scope of its climate-related strategy and targets, to include opportunities and risks posed by facilitated emissions through its capital market activities. 
In our view, further development of the company's strategy and related targets and disclosure will help better identify and prepare for opportunities and risks related to the energy transition, including under global lower carbon scenarios, in the interests of the company and long-term shareholder value.</t>
  </si>
  <si>
    <t>a5da700000059YrAAI</t>
  </si>
  <si>
    <t xml:space="preserve">Engagement with clients has been identified by the company as central to its strategy to take advantage of climate-related opportunities and the benefits of reduced risks, addressing a range of global scenarios. To provide investors with clarity, the company should define what constitutes a credible transition plan from clients. The company should give examples of questions asked during due diligence with clients, metrics and targets used to evaluate clients, and data showing outcomes of engagement with clients.
In our view, a clear methodology and disclosure of this client engagement aspect of the company's strategy will help better identify and prepare for opportunities and risks related to the energy transition, including under global lower carbon scenarios, in the interests of the company and long-term shareholder value.</t>
  </si>
  <si>
    <t>a5da700000059YsAAI</t>
  </si>
  <si>
    <t>The company discloses its position and increases transparency and ambition on its approach to hazardous chemicals. Currently, the company does not follow the list of minimum required or banned substances for hazardous substances in all jurisdictions. Its policies are locally driven, and we expect it to go beyond local regulation and set overarching polices at group level.</t>
  </si>
  <si>
    <t>a5da700000059YvAAI</t>
  </si>
  <si>
    <t>Our objective is for the company to identify what a good corporate culture looks like in relation to raising concerns, putting customers first, giving due regard to ethics and compliance.</t>
  </si>
  <si>
    <t>a5da700000059YaAAI</t>
  </si>
  <si>
    <t>Scope 1 and 2 emissions</t>
  </si>
  <si>
    <t>The company has a Scope 1 and 2 emissions reduction target explicitly aligned with 'well below’ 2°C pathways. The company should consider quantification of its potential or sated ambition to improve under the indicated ‘range of uncertainty'.</t>
  </si>
  <si>
    <t>a5da700000059YwAAI</t>
  </si>
  <si>
    <t>The company should reduce emissions in line with its science based emission targets.</t>
  </si>
  <si>
    <t>a5da700000059Z5AAI</t>
  </si>
  <si>
    <t>Water scarcity</t>
  </si>
  <si>
    <t>The company should consider the projected level of water stress in its different locations.</t>
  </si>
  <si>
    <t>a5da700000059Z4AAI</t>
  </si>
  <si>
    <t>We continue to engage with the company on human capital management topics in light of skills gaps in the sector.</t>
  </si>
  <si>
    <t>a5da700000059Z2AAI</t>
  </si>
  <si>
    <t>Methane disclosure and reduction</t>
  </si>
  <si>
    <t>Given the company's exposure to metallurgical coal through its BHP Mitsubishi Alliance (BMA) assets, our objective is for the company to improve its measurement of methane emissions produced by its activities, set a target around reducing these methane emissions and disclose steps for abatement.</t>
  </si>
  <si>
    <t>a5da700000059VKAAY</t>
  </si>
  <si>
    <t>Sustainability transparency</t>
  </si>
  <si>
    <t>The company shall have a robust ESG reporting system that links with internal audit. It should consider having a third party assurance on key metrics.</t>
  </si>
  <si>
    <t>a5da700000059YtAAI</t>
  </si>
  <si>
    <t>The company develops a plan to rotate its auditor or demonstrate that it has taken steps to mitigate independence concerns.</t>
  </si>
  <si>
    <t>a5da700000059Z1AAI</t>
  </si>
  <si>
    <t>Improved disclosures on climate in accounts and audit report</t>
  </si>
  <si>
    <t>Our objective is for HSBC to improve its disclosures related to climate in its accounts, including through improved climate-scenario planning and improved forward-looking assessments of expected credit losses from climate change.</t>
  </si>
  <si>
    <t>a5da700000059YWAAY</t>
  </si>
  <si>
    <t>Access to Medicine Methodology</t>
  </si>
  <si>
    <t>Our objective is for the company to develop and disclose a robust impact evaluation methodology to underlie its access to medicine efforts for lower income countries. It should establish clearly defined metrics reflecting its strategic priorities and report against time-bound objectives.</t>
  </si>
  <si>
    <t>a5da700000059XFAAY</t>
  </si>
  <si>
    <t>Potential factory closures in Germany</t>
  </si>
  <si>
    <t>Companies need to manage the balance between cost effective and efficient production and the cost of labour. If this becomes unbalanced the company may become uncompetitive or face labour disputes that disrupt production.</t>
  </si>
  <si>
    <t>a5da700000059Z9AAI</t>
  </si>
  <si>
    <t xml:space="preserve">The company is a member of the Edison Electric Institute. This industry association has decided to take legal action and challenge the US Environmental Protection Agency’s (EPA's) strengthened emissions regulations for the power generation sector. Specifically, these are: the New Source Performance Standards for Greenhouse Gas Emissions From New, Modified, and Reconstructed Fossil Fuel-Fired Electric Generating Units; Emission Guidelines for Greenhouse Gas Emissions From Existing Fossil Fuel-Fired Electric Generating Units; and the Repeal of the Affordable Clean Energy Rule. 
We are engaging the company on whether it endorses the push back and, if so, what alternative pathway to net zero it deems feasible and credible. We are asking companies to: demonstrate alignment of all their advocacy activities with the decarbonisation of the power system in line with the Paris Agreement; and share their perspective of the feasibility of carbon capture and sequestration (CCS) technology.</t>
  </si>
  <si>
    <t>a5da700000059ZKAAY</t>
  </si>
  <si>
    <t>Supply chain human and labour rights policy and due diligence</t>
  </si>
  <si>
    <t>The company acknowledges the importance of human rights due diligence in identifying and mitigating human rights issues in operations and / or supply chain. The company to adopt a policy commitment to considering supply chain worker rights in its due diligence processes, including forced labour, child labour, worker conditions, gender issues, and other relevant topics.</t>
  </si>
  <si>
    <t>a5da700000059YqAAI</t>
  </si>
  <si>
    <t>The company introduces a formal assessment of wages to ensure that it pays at least living wages to its workforce, including contract workers.</t>
  </si>
  <si>
    <t>a5da700000059ZcAAI</t>
  </si>
  <si>
    <t>Health and safety policy and performance</t>
  </si>
  <si>
    <t>The company introduces a comprehensive health and safety policy that is aligned with 3rd party standards, ensures a level of consistency across the group and includes contractors as well as full-time employees.</t>
  </si>
  <si>
    <t>a5da700000059ZbAAI</t>
  </si>
  <si>
    <t>Scope 3 emissions action plan</t>
  </si>
  <si>
    <t>Our objective is for the company to develop and publish a clear set of actions and KPIs by which to track progress towards reducing its Scope 3 emissions in the steel supply chain, focused on the actions within its control or material influence.</t>
  </si>
  <si>
    <t>a5da700000059VJAAY</t>
  </si>
  <si>
    <t>Supply chain methane emissions</t>
  </si>
  <si>
    <t>Develop a strategy with performance criteria to monitor and address upstream methane emissions.</t>
  </si>
  <si>
    <t>a5da700000059WyAAI</t>
  </si>
  <si>
    <t>Company to continue enhance its protection of biodiversity</t>
  </si>
  <si>
    <t>Company to enhance its supply chain management and its commitment around regenerative agriculture and prevention of deforestation, and water management, including soil health.</t>
  </si>
  <si>
    <t>a5da700000059ZmAAI</t>
  </si>
  <si>
    <t>Reduction of allegiant (strategic or cross) shareholdings</t>
  </si>
  <si>
    <t>The company should reduce its allegiant shareholdings (also known as strategic or cross-shareholdings).</t>
  </si>
  <si>
    <t>a5da700000059ZlAAI</t>
  </si>
  <si>
    <t>Remuneration policy redesign</t>
  </si>
  <si>
    <t>Our objective is for the company to develop a new remuneration policy that is better aligned with the interests of long-term shareholders. The company should consider aligning the new policy more closely with our remuneration principles, and it should look to implement an alternative structure to the current bonus and long-term incentive plan (LTIP) model, such as a restricted share scheme.</t>
  </si>
  <si>
    <t>a5da700000059ZpAAI</t>
  </si>
  <si>
    <t>Gender pay gap analysis</t>
  </si>
  <si>
    <t>In 2023, we emailed the company an explanation of the differences between adjusted and unadjusted gender pay gap analysis, and our interest in seeing both methodologies. In 2024, the company shared that it completed an unadjusted gender pay gap analysis and is now working on an adjusted version.</t>
  </si>
  <si>
    <t>a5da700000059a0AAA</t>
  </si>
  <si>
    <t>Cyber regulations</t>
  </si>
  <si>
    <t>a5da700000059a4AAA</t>
  </si>
  <si>
    <t>Water risk</t>
  </si>
  <si>
    <t>The company demonstrates that it is adequately managing its impact and dependency on water resources, especially for the ability to cool nuclear generation plants.</t>
  </si>
  <si>
    <t>a5da700000059a6AAA</t>
  </si>
  <si>
    <t>ABF Lobbying and advocacy report</t>
  </si>
  <si>
    <t>We expect companies that have a material impact on climate change to confirm their commitment to supporting public policy for mitigating climate change. They should also publish a report on the activity of the associations of which they are members.</t>
  </si>
  <si>
    <t>a5da700000059a3AAA</t>
  </si>
  <si>
    <t xml:space="preserve">The company to disclose further information on the composition of its Workforce such as turnover data, skills, experience and any other relevant dimensions, in line with the guidelines of the Human Capital Management Coalition guidelines and all applicable laws and regulations.
In our view, improved reporting of human capital management data could help yield valuable insights into the effectiveness of its talent management, in the interests of the company and long-term shareholder value.</t>
  </si>
  <si>
    <t>a5da700000059ZUAAY</t>
  </si>
  <si>
    <t>Improved biodiversity targets for Uganda operations</t>
  </si>
  <si>
    <t>Our objective is for the company to outline what its net biodiversity positive by 2040 target means at a more granular level; for example, in terms of landscapes and species, with interim milestones, against which progress can be tracked.</t>
  </si>
  <si>
    <t>a5da700000059ZyAAI</t>
  </si>
  <si>
    <t>Decarbonisation Strategy - Biofuels</t>
  </si>
  <si>
    <t>Our objective is for the company to outline, in its decarbonisation strategy, the relative contribution of the investments it makes in biofuels.</t>
  </si>
  <si>
    <t>a5da700000059a7AAA</t>
  </si>
  <si>
    <t>Human rights risk assessment</t>
  </si>
  <si>
    <t>The company conducts a human rights risk assessment to identify salient human rights risks within its supply chain. This could be a preparatory step to establishing a human rights policy aligned with the UN Guiding Principles for Business and Human Rights.</t>
  </si>
  <si>
    <t>a5da700000059ZdAAI</t>
  </si>
  <si>
    <t>The company evidences that it has an effective pay and benefits approach, which serves as a level for upward mobility for its workforce, reducing costs of unwanted turnover.</t>
  </si>
  <si>
    <t>a5da700000059ZeAAI</t>
  </si>
  <si>
    <t>Board governance on climate change and biodiversity</t>
  </si>
  <si>
    <t>The company should demonstrate the board's competency and expertise on climate change and biodiversity.</t>
  </si>
  <si>
    <t>a5da700000059aOAAQ</t>
  </si>
  <si>
    <t>a5da700000059a5AAA</t>
  </si>
  <si>
    <t>Caterpillar is a long-standing supplier of the Israeli military and provides it with a variety of heavy engineering machinery including the D9 dozer. Caterpillar branded machinery has been widely used for demolition, mine detonation and settlement construction in the Occupied Palestinian Territories (OPT). The company was identified by the United Nations as engaging in the transfer of equipment to Israel. We are engaging with the company on its management of human rights in high-risk regions including OPT.</t>
  </si>
  <si>
    <t>a5da700000059amAAA</t>
  </si>
  <si>
    <t>Risk assessment for potential work in disputed territories</t>
  </si>
  <si>
    <t>Companies considering doing work in disputed territories need to ensure they have a clear policy, rigorous risk assessment process with clear disclosure of outcomes to stakeholders.</t>
  </si>
  <si>
    <t>a5da700000059awAAA</t>
  </si>
  <si>
    <t>Improving the independence of the board</t>
  </si>
  <si>
    <t>The company introduces at least one independent member of the board with appropriate skills and experience reflecting the current challenges and issues it is facing.</t>
  </si>
  <si>
    <t>a5da700000059b3AAA</t>
  </si>
  <si>
    <t>The company should disclose details relating to how its supply chain assessments and due diligence activities are having a positive impact on reducing human rights risks, and the efforts it is taking to mitigate the abuses found.</t>
  </si>
  <si>
    <t>a5da700000059b2AAA</t>
  </si>
  <si>
    <t>AI and human capital mangement</t>
  </si>
  <si>
    <t>Our objective is for the company to disclose data showing the positive and negative impacts of AI on workers, along with an explanation of its strategy to maximise positive impacts and mitigate negative impacts of AI on workers.</t>
  </si>
  <si>
    <t>a5da700000059b0AAA</t>
  </si>
  <si>
    <t>Reduced usage and increased recyclability and recycling of packaging</t>
  </si>
  <si>
    <t>As a leading e-commerce player in China, Alibaba is in a strong position to adopt and promote circular economy practices.</t>
  </si>
  <si>
    <t>a5da700000059azAAA</t>
  </si>
  <si>
    <t>We seek for the company manage climate-related risks and opportunities, including in its value chain. The company already reports several categories of its value chain emissions, including those associated with company branded products, consistent with the GHG Protocol Corporate Accounting and Reporting Standard. Additional reporting of value chain emissions would cover all product sales. We acknowledge the company’s concerns about the calculability and reliability of this measure. However, given its large dependency on a broad range of supply chains and stated aim to lead the low-carbon transition, in order to seize opportunities and minimise risks, we see the value in this measure.</t>
  </si>
  <si>
    <t>a5da700000059bMAAQ</t>
  </si>
  <si>
    <t>Executive Remuneration - LTIP with no vesting period</t>
  </si>
  <si>
    <t>The company is proposing a move from an LTIP with a three-year vesting period plus two-year holding period to a three-year vesting period with no holding period. This is against our voting principles and poses a concern for long-term shareholder interests.</t>
  </si>
  <si>
    <t>a5da700000059bPAAQ</t>
  </si>
  <si>
    <t xml:space="preserve">The company enhances the scope of its climate-related strategy and targets, and related disclosures to include opportunities and risks in its supply chain and use of its products.
In our view, further development of the company's strategy and related targets and disclosure will help better identify and prepare for opportunities and risks related to the energy transition, including under global lower carbon scenarios, in the interests of the company and long-term shareholder value.</t>
  </si>
  <si>
    <t>a5da700000059bTAAQ</t>
  </si>
  <si>
    <t>Financial inclusion - gender</t>
  </si>
  <si>
    <t>Given the lower adoption of financial services by women in Peru we engaged on financial inclusion, such as increasing the offer of loans and savings products designed for this market segment.</t>
  </si>
  <si>
    <t>a5da700000059bRAAQ</t>
  </si>
  <si>
    <t>Changing regulation like the EU's Corporate Sustainability Reporting Directive (CSRD) has implications for North American companies. The upcoming CSRD disclosure might prove to be a catalyst for change.</t>
  </si>
  <si>
    <t>a5da700000059bUAAQ</t>
  </si>
  <si>
    <t>The company discloses evidence that its safety strategy, focused on eliminating ‘stuff that kills you’ is contributing to improving safety outcomes and creating a strong safety culture. This could include reporting progress on standardised predictive safety metrics and information on fatalities, injury rates and issues related to health, safety and wellbeing identified via employee surveys.</t>
  </si>
  <si>
    <t>a5da700000059SLAAY</t>
  </si>
  <si>
    <t>Our objective is for the company to publish a report outlining the associations it is a member of, an assessment of the alignment with the company's climate goals, and actions taken to close any gaps.</t>
  </si>
  <si>
    <t>a5da700000059MaAAI</t>
  </si>
  <si>
    <t>Renewable supply chain - renewably sourced feedstocks</t>
  </si>
  <si>
    <t>We want the company to set an overarching and comprehensive responsible sourcing strategy for non-waste feedstocks that addresses its most material impacts and dependencies. This sourcing strategy should outline how the company is not contributing to deforestation, or causing new agricultural impacts. The strategy should include an ambitious goal for nature, such as a net-positive by 2030 goal or at least a no negative impact goal.</t>
  </si>
  <si>
    <t>a5da700000059WRAAY</t>
  </si>
  <si>
    <t>Increase Low-Carbon Hydrogen Production Capacity</t>
  </si>
  <si>
    <t>Our objective is for the company to stick to its near-term target to increase the production of renewable hydrogen as a proportion of overall hydrogen production and disclose a long-term target.</t>
  </si>
  <si>
    <t>a5da700000059a8AAA</t>
  </si>
  <si>
    <t>Electrification of remaining steam-powered Air Separation Units</t>
  </si>
  <si>
    <t>The company has electrified 95% of Air Separation Units (ASU) to date. Air Liquide has also committed to electrify half of its remaining steam-powered ASUs by 2035 (2.5% of ASUs). However, the other half has not been committed to. Steam-powered ASUs use coal as an energy input. Our objective is for the company to reduce its exposure to coal and use renewable energy as an energy input in the operation of ASUs.</t>
  </si>
  <si>
    <t>a5da700000059aDAAQ</t>
  </si>
  <si>
    <t>Carbon Capture, Utilisation and Storage (CCUS)</t>
  </si>
  <si>
    <t>In 2018, Anhui Conch, one of China’s largest cement producers, commenced full operation of the country’s first integrated cement carbon capture, usage and storage project (CCUS), with a capacity of 50 kilotonne per annum. This project uses an amine-based approach to capture CO2 from the cement kiln at its Baimashan cement plant. In 2024, we had a site visit to its CCUS plant.</t>
  </si>
  <si>
    <t>a5da700000059bZAAQ</t>
  </si>
  <si>
    <t>Avoided Emissions and Reputational Risk</t>
  </si>
  <si>
    <t>The company reports avoided emissions as a result of the use of its products by customers. The company also claims that it has helped decarbonise other sectors through the use of its products. The methodology for measuring avoided emissions is subjective in nature, which may present greenwashing risk if not reported clearly.</t>
  </si>
  <si>
    <t>a5da700000059c7AAA</t>
  </si>
  <si>
    <t>The company should adequately demonstrate and evaluate its board effectiveness on biodiversity and nature governance.</t>
  </si>
  <si>
    <t>a5da700000059boAAA</t>
  </si>
  <si>
    <t>UnitedHealth Group has admitted to gaps in its data security, which led to a major cybersecurity breach potentially involving the sensitive data of more than 100 million US citizens.</t>
  </si>
  <si>
    <t>a5da700000059U8AAI</t>
  </si>
  <si>
    <t>Controversy linked to UNGC Principle 4: Forced and compulsory labour</t>
  </si>
  <si>
    <t>Amazon has continued to experience serious health and safety issues at its operations, resulting in a wide range of negative impacts on its employees and other stakeholders over the past few years. Amazon has been accused of interfering with its workers’ rights to organise or join unions at several of the company’s facilities in the US. Amazon has been linked, through a third-party labour supply vendor, to allegations of labour rights violations in Saudi Arabia.</t>
  </si>
  <si>
    <t>a5da700000059OqAAI</t>
  </si>
  <si>
    <t>Wells Fargo has faced multiple fines and lawsuits for alleged mismanagement of its financial products and abusive practices, affecting over 16 million US customers.</t>
  </si>
  <si>
    <t>a5da700000059UAAAY</t>
  </si>
  <si>
    <t>Credit Suisse Group AG, which was acquired by UBS Group, has been accused of involvement in multiple business ethics controversies over the past few years, including market manipulation, money laundering and fraud.</t>
  </si>
  <si>
    <t>a5da700000059U9AAI</t>
  </si>
  <si>
    <t>A long-standing shareholder representative sits on the audit committee, which we expect to be fully independent. We seek to understand how he is able to oversee the company’s financial and audit practices in the interest of minority shareholders and ensure fresh challenge, as appropriate, on the committee.</t>
  </si>
  <si>
    <t>a5da700000059cHAAQ</t>
  </si>
  <si>
    <t>Indigenous Peoples policy</t>
  </si>
  <si>
    <t>Our objective is for the company to adopt a group-wide Indigenous Peoples’ rights policy that references the UN Declaration on the Rights of Indigenous Peoples and free, prior and informed consent (FPIC), and to enhance disclosure of its approach to engaging with Indigenous Peoples.</t>
  </si>
  <si>
    <t>a5da700000059bEAAQ</t>
  </si>
  <si>
    <t>AI Value Chain Methane Emissions Reduction convening</t>
  </si>
  <si>
    <t>We want the company to lead, and bring together AI value chain participants (eg data centre providers, utilities, upstream gas producers) to drive down methane emissions despite increased fossil fuel energy demand, and to develop a market best practice approach.</t>
  </si>
  <si>
    <t>a5da700000059cPAAQ</t>
  </si>
  <si>
    <t xml:space="preserve">The company takes appropriate steps to capitalise on the opportunity to improve its methane emissions performance management and disclosures in line with good industry practices, by disclosing basin by basin methane intensity.
In our view, such actions can help better identify and prepare for opportunities and risks related to the energy transition, including under global lower carbon scenarios, in the interests of the company and long-term shareholder value.</t>
  </si>
  <si>
    <t>a5da700000059cLAAQ</t>
  </si>
  <si>
    <t>a5da700000059cNAAQ</t>
  </si>
  <si>
    <t>a5da700000059cOAAQ</t>
  </si>
  <si>
    <t>Sexual Harassment</t>
  </si>
  <si>
    <t>Given the history of sexual harassment in the industry and recent allegations, the company should assess the effectiveness of its processes to eliminate sexual harassment, and implement the necessary cultural change.</t>
  </si>
  <si>
    <t>a5da700000059cRAAQ</t>
  </si>
  <si>
    <t>Diversity in leadership</t>
  </si>
  <si>
    <t>Low gender diversity on the management board.</t>
  </si>
  <si>
    <t>a5da700000059cUAAQ</t>
  </si>
  <si>
    <t>Supervisory board composition and expertise</t>
  </si>
  <si>
    <t>The company would benefit from more agribusiness expertise on the supervisory board to adequately oversee management.</t>
  </si>
  <si>
    <t>a5da700000059cVAAQ</t>
  </si>
  <si>
    <t>Company culture &amp; talent</t>
  </si>
  <si>
    <t>The company is changing its operating model to drive efficiency, and is expecting substantial headcount reductions in the workforce. It should monitor and assess the impact on retention/attraction of talent and the company culture.</t>
  </si>
  <si>
    <t>a5da700000059cXAAQ</t>
  </si>
  <si>
    <t>Board oversight of risk and strategy implementation</t>
  </si>
  <si>
    <t>Bayer is facing a challenging environment, having cut its earnings forecast in November 2024. There is a costly litigation and debt burden from the Monsanto acquisition, lower than expected growth in the crop science division and a need for a good pharmaceuticals pipeline. Bayer has begun a multi-year restructuring of its business, posing turnaround risk, pipeline management risk, financial risk and litigation risk.</t>
  </si>
  <si>
    <t>a5da700000059cTAAQ</t>
  </si>
  <si>
    <t>Product pipeline</t>
  </si>
  <si>
    <t>The company must balance the need to invest in R&amp;D to develop a sustainable and profitable product pipeline with the cost cutting needed.</t>
  </si>
  <si>
    <t>a5da700000059cYAAQ</t>
  </si>
  <si>
    <t xml:space="preserve">Remuneration structure has multiple points of concern, including over-reliance on a total shareholder return metric and vesting below median performance in the long-term incentive plan. 
.</t>
  </si>
  <si>
    <t>a5da700000059cWAAQ</t>
  </si>
  <si>
    <t>Nickel Supply Chain Management</t>
  </si>
  <si>
    <t>As the energy transition gathers pace, companies involved in the manufacture, supply and use of battery technology need to take responsibility for ensuring that the extraction operation minimises the biodiversity impact in the area and that the local communities are involved in the use of their resources.</t>
  </si>
  <si>
    <t>a5da700000059cbAAA</t>
  </si>
  <si>
    <t>Management of Biodiversity impact of Nickel Supply Chain</t>
  </si>
  <si>
    <t>The company publishes disclosures demonstrating its targets and the progress made towards these targets, along with the actions taken to ensure policy implementation, showing that this is having the desired effect on improving biodiversity in the supply chain.</t>
  </si>
  <si>
    <t>a5da700000059cSAAQ</t>
  </si>
  <si>
    <t>Responsible coal ash treatment</t>
  </si>
  <si>
    <t>The company should ensure that all non-recycled coal ash is treated responsibly to avoid environmental and social risks.</t>
  </si>
  <si>
    <t>a5da700000059cxAAA</t>
  </si>
  <si>
    <t>Succession Planning</t>
  </si>
  <si>
    <t>Our objective is for the company to clearly disclose details of its succession planning efforts, including planned succession options and lead time, the use of search firms, and other related efforts.</t>
  </si>
  <si>
    <t>a5da700000059bXAAQ</t>
  </si>
  <si>
    <t>Cooling-off Period</t>
  </si>
  <si>
    <t>The company previously had a combined CEO/chair role. This was then separated and the former CEO and chair is now just chair. There was no cooling period between him being the CEO and his continuation as chair. The chair is currently in a transition period that will end in 2026 after which we expect a cooling-off period of at least two years, or the introduction of a policy that enforces this in the future.</t>
  </si>
  <si>
    <t>a5da700000059bYAAQ</t>
  </si>
  <si>
    <t>Methane Emissions Measurement and Disclosure</t>
  </si>
  <si>
    <t>To encourage the company to improve its management and reduction of methane emissions and to strengthen disclosure of its progress. The company should also encourage its upstream producers to do the same.</t>
  </si>
  <si>
    <t>a5da700000059cAAAQ</t>
  </si>
  <si>
    <t>Executive pay misaligned with EOS principles</t>
  </si>
  <si>
    <t>We are concerned by the pay structure, which appears excessive and misaligned with company performance. The chair also has a salary comparable to that of the CEO, with high perquisites for which there is not a robust rationale.</t>
  </si>
  <si>
    <t>a5da700000059dHAAQ</t>
  </si>
  <si>
    <t>Phasing out the e-cigarette business</t>
  </si>
  <si>
    <t>We have been engaging with BYD Ltd on this topic, although the business operation is under BYD Electronics. Our aim is to influence the company to phase out its e-cigarette component business at the sister company level.</t>
  </si>
  <si>
    <t>a5da700000059dEAAQ</t>
  </si>
  <si>
    <t>a5da700000059cuAAA</t>
  </si>
  <si>
    <t>Spring initiative on natural resource stewardship</t>
  </si>
  <si>
    <t>The company commits to having a net-positive impact on biodiversity throughout its operations and the supply chain (potentially with a date – 2030 or before).</t>
  </si>
  <si>
    <t>a5da700000059YxAAI</t>
  </si>
  <si>
    <t>Amend Bylaws</t>
  </si>
  <si>
    <t>We want the company to amend its bylaws to eliminate the supermajority vote requirement. This bylaw has hindered the ability of the company to declassify its board, and it restricts shareholder rights.</t>
  </si>
  <si>
    <t>a5da700000059daAAA</t>
  </si>
  <si>
    <t>Board oversight of company culture following change in operating model</t>
  </si>
  <si>
    <t>Our objective is for the company to have robust board oversight of the employee culture following the transition to a 'dynamic shared ownership'. The company should provide key indicators on employee sentiment on the emerging culture to provide assurances to investors.</t>
  </si>
  <si>
    <t>a5da700000059dJAAQ</t>
  </si>
  <si>
    <t>Finance Expertise in the Audit Committee</t>
  </si>
  <si>
    <t>The company should nominate at least one additional independent audit committee member with a finance or audit background.</t>
  </si>
  <si>
    <t>a5da700000059dpAAA</t>
  </si>
  <si>
    <t>Senior Management Experience on the Board of Directors</t>
  </si>
  <si>
    <t>Company to nominate at least one additional independent board member with senior management experience.</t>
  </si>
  <si>
    <t>a5da700000059dqAAA</t>
  </si>
  <si>
    <t>Our objective is for the company to develop a succession plan for three long-tenure directors.</t>
  </si>
  <si>
    <t>a5da700000059dxAAA</t>
  </si>
  <si>
    <t>Health &amp; Safety</t>
  </si>
  <si>
    <t>We want the company to show evidence of cultural change in support of its health and safety approach and how this is embedded in its overall culture in additional avenues other than training. We want the company to disclose data on best practice examples indicative of future performance, which can include anonymized trends, workforce concerns and case studies, to reduce possible health and safety incidents.</t>
  </si>
  <si>
    <t>a5da700000059dzAAA</t>
  </si>
  <si>
    <t>Climate (including water) impacts of AI and data center growth</t>
  </si>
  <si>
    <t>Magnificent Seven stocks/Big Tech driving electricity demand growth due to AI.</t>
  </si>
  <si>
    <t>a5da700000059e0AAA</t>
  </si>
  <si>
    <t>Critical Minerals approach</t>
  </si>
  <si>
    <t>The company has 11million acres of land with mineral deposits and is actively looking for entities to lease and extract these minerals. We want to ensure the company has specific requirements for potential lessees to ensure responsible mineral extraction to minimize negative impacts.</t>
  </si>
  <si>
    <t>a5da700000059dyAAA</t>
  </si>
  <si>
    <t>Policy Advocacy Strategy</t>
  </si>
  <si>
    <t>In response to the company's impairments in the US, in part as a result of policy changes, we have identified enhancing its policy advocacy strategy as an area for the company to improve.</t>
  </si>
  <si>
    <t>a5da700000059e5AAA</t>
  </si>
  <si>
    <t>AI Datacenter good emissions and water practices</t>
  </si>
  <si>
    <t>Commitment and transparency around AI Datacenter good emissions and water practices</t>
  </si>
  <si>
    <t>a5da700000059eDAAQ</t>
  </si>
  <si>
    <t>AI chip / data center energy demand</t>
  </si>
  <si>
    <t>Understand AI impacts on computer and energy demand.</t>
  </si>
  <si>
    <t>a5da700000059eFAAQ</t>
  </si>
  <si>
    <t>Employee recruitment, motivation and retention</t>
  </si>
  <si>
    <t>Work the bank is doing to promote effective recruitment, employee motivation and retention to best serve its global customer base.</t>
  </si>
  <si>
    <t>a5da700000059egAAA</t>
  </si>
  <si>
    <t>AI/Data Centre Power</t>
  </si>
  <si>
    <t>Best practice AI/data centre power provision.</t>
  </si>
  <si>
    <t>a5da700000059ehAAA</t>
  </si>
  <si>
    <t>Samsung Life Insurance Co Ltd</t>
  </si>
  <si>
    <t>Board Composition - diversity of backgrounds</t>
  </si>
  <si>
    <t>Engagement on board background diversity, as half of the outside directors are former government officials.</t>
  </si>
  <si>
    <t>a5da700000059efAAA</t>
  </si>
  <si>
    <t>Lobbying disclosures related to biodiversity impacts in its supply chain</t>
  </si>
  <si>
    <t>The company assesses and discloses the alignment of its direct and indirect nature-related lobbying with the Global Biodiversity Framework (GBF) and its commitments on nature and biodiversity and takes appropriate action in cases of misalignment.</t>
  </si>
  <si>
    <t>a5da700000059eRAAQ</t>
  </si>
  <si>
    <t>Pricing Principles</t>
  </si>
  <si>
    <t>Our objective is for the company to establish and disclose a set of principles or guidelines for pricing its products.</t>
  </si>
  <si>
    <t>a5da700000059erAAA</t>
  </si>
  <si>
    <t>Impact-focused KPIs on Human Rights</t>
  </si>
  <si>
    <t>In February 2023, Nestle launched action plans for 10 salient issues, and in 2025 it will report on the progress made. Nestle is demonstrating best practice by setting an impact-focused indicator to track its impact on people. It will report the number of individuals who benefited from its interventions, and it should provide detailed reporting on the types of interventions made and benefits to individuals.</t>
  </si>
  <si>
    <t>a5da70000005934AAA</t>
  </si>
  <si>
    <t>Successful merger and integration of Three</t>
  </si>
  <si>
    <t>The company has agreed to a merger with Three, a competitor in the UK telecoms space. Our objective is to ensure that the company executes this merger successfully and has a positive integration of the acquired business, which can be measured by its adherence to the conditions outlined by the Competition Markets Authority (CMA) in its approval of the merger, improved company performance and maintenance of good company culture.</t>
  </si>
  <si>
    <t>a5da700000059ejAAA</t>
  </si>
  <si>
    <t>a5da700000059f1AAA</t>
  </si>
  <si>
    <t>a5da700000059f0AAA</t>
  </si>
  <si>
    <t>The company is rapidly increasing its AI deployment.</t>
  </si>
  <si>
    <t>a5da700000059ezAAA</t>
  </si>
  <si>
    <t>Our objective is for the company to refresh the board and improve board diversity, in particular gender diversity. The company currently has 5/15 women on the board, making it 33% gender representation. In this particular market, we would expect at least 40% female representation on the board.</t>
  </si>
  <si>
    <t>The company reached 40% board gender diversity and has continued to maintain this level for 2 consecutive years despite board changes.</t>
  </si>
  <si>
    <t>a5da700000059dWAAQ</t>
  </si>
  <si>
    <t>Independent Board Evaluation</t>
  </si>
  <si>
    <t>Our objective is for the company to undergo an independent board evaluation.</t>
  </si>
  <si>
    <t>a5da700000059esAAA</t>
  </si>
  <si>
    <t>Public policy advocacy</t>
  </si>
  <si>
    <t>The company should demonstrate how it advocates for public policy that is supportive of its strategy including its climate approach.</t>
  </si>
  <si>
    <t>a5da700000059f6AAA</t>
  </si>
  <si>
    <t>Mental Health and Wellbeing</t>
  </si>
  <si>
    <t>The company already has some initiatives to address mental health and monitor this within its workforce. Its approach is tailored to different markets, but it lacks an overall holistic approach. We see an opportunity for senior leaders to be more involved - currently there is no standalone mental health workplace policy. We encourage the company to keep evolving its approach to workplace mental well-being, recognising that there is a strong economic case for doing so.</t>
  </si>
  <si>
    <t>a5da700000059f8AAA</t>
  </si>
  <si>
    <t>Nature and Biodiversity</t>
  </si>
  <si>
    <t>The company committed to net-zero biodiversity loss from its operations by 2030. The Taskforce on Nature-related Financial Disclosures (TNFD) recommendations provide a framework to enable companies and investors to assess and disclose their nature-related impacts, dependencies, risks and opportunities. We expect companies to follow the TNFD recommendations and use the insights from the TNFD assessment to develop a strategy, with time-bound targets, to address their most material nature-related risks and impacts.</t>
  </si>
  <si>
    <t>a5da700000059fAAAQ</t>
  </si>
  <si>
    <t>a5da700000059fLAAQ</t>
  </si>
  <si>
    <t>Board oversight and governance of AI-related technologies</t>
  </si>
  <si>
    <t>The company will provide adequate disclosures on the board's oversight and governance of AI-related technologies and initiatives, including its capacity and capabilities. This should include update to the relevant committee charter to include AI oversight and to review and evaluate AI strategies and oversee AI risks and opportunities as part of the board's core fiduciary responsibilities.</t>
  </si>
  <si>
    <t>a5da700000059fKAAQ</t>
  </si>
  <si>
    <t>Labour Relations</t>
  </si>
  <si>
    <t>Engagement on labour relations, given the recent history of conflict between the labour union and the management, including the nomination of a board candidate by the labour union.</t>
  </si>
  <si>
    <t>a5da700000059fJAAQ</t>
  </si>
  <si>
    <t>Engagement on product responsibility, given recent controversies related to the misselling of risky financial products to retail investors.</t>
  </si>
  <si>
    <t>a5da700000059fIAAQ</t>
  </si>
  <si>
    <t>a5da700000059WSAAY</t>
  </si>
  <si>
    <t>Implementation of the TNFD recommendations - LEAP assessment</t>
  </si>
  <si>
    <t>Implementation of the LEAP (locate, evaluate, assess, prepare) methodology recommended by the TNFD to assess the company's nature-related issues.</t>
  </si>
  <si>
    <t>a5da700000059fWAAQ</t>
  </si>
  <si>
    <t>Auditor Rotation</t>
  </si>
  <si>
    <t>a5da700000059faAAA</t>
  </si>
  <si>
    <t>Board access and effectiveness</t>
  </si>
  <si>
    <t>Company to demonstrate adequate board effectiveness and conduct constructive dialogue between the independent directors and the investors.</t>
  </si>
  <si>
    <t>a5da700000059feAAA</t>
  </si>
  <si>
    <t>Board and senior management talent progression</t>
  </si>
  <si>
    <t>Company to progress on its Female Development Plan through board and senior management level.</t>
  </si>
  <si>
    <t>a5da700000059ffAAA</t>
  </si>
  <si>
    <t>The bank has a low level of independence on its key committees.</t>
  </si>
  <si>
    <t>a5da700000059fbAAA</t>
  </si>
  <si>
    <t>Coal Ash Management</t>
  </si>
  <si>
    <t>Our objective is for the company to demonstrate that it has effective plans for the management of coal ash at all of its sites.</t>
  </si>
  <si>
    <t>a5da700000059dVAAQ</t>
  </si>
  <si>
    <t>Our objective is for the company to develop a strategy with performance criteria to monitor and address upstream methane emissions.</t>
  </si>
  <si>
    <t>a5da700000059cvAAA</t>
  </si>
  <si>
    <t>Data centre opportunity &amp; risk management</t>
  </si>
  <si>
    <t>Our objective is for the company to publish an assessment and strategy for managing community-level impacts that could be related to increased data centre developments.</t>
  </si>
  <si>
    <t>a5da700000059cwAAA</t>
  </si>
  <si>
    <t>Shareholder rights at AGM</t>
  </si>
  <si>
    <t>As the company considers holding in person and virtual AGMs, it should ensure that shareholder rights are safeguarded.</t>
  </si>
  <si>
    <t>a5da700000059fiAAA</t>
  </si>
  <si>
    <t>Board composition and effectiveness</t>
  </si>
  <si>
    <t>The company should ensure the appropriate board composition to oversee management, effective working relationships with employee representatives and early succession planning.</t>
  </si>
  <si>
    <t>a5da700000059fhAAA</t>
  </si>
  <si>
    <t>Circularity strategy</t>
  </si>
  <si>
    <t>Our objective is for the company to demonstrate value from embracing circular product design and increasing its use of recycled content in its products.</t>
  </si>
  <si>
    <t>a5da700000059f9AAA</t>
  </si>
  <si>
    <t>Independent director access</t>
  </si>
  <si>
    <t>Our objective is for the company to facilitate a dialogue between independent directors and minority shareholders, either one-on-one or in a group meeting. To establish effective and meaningful dialogue between independent directors and minority shareholders.</t>
  </si>
  <si>
    <t>a5da700000059dnAAA</t>
  </si>
  <si>
    <t>Engagement on the level of board and fiscal council independence</t>
  </si>
  <si>
    <t>a5da700000059fzAAA</t>
  </si>
  <si>
    <t>Demonstrate financial resilience of LNG strategy</t>
  </si>
  <si>
    <t>Our objective is for the company to demonstrate the economic and financial resilience of its gas and LNG pipeline of projects under different energy transition scenarios, and explains how these are commercially attractive opportunities.</t>
  </si>
  <si>
    <t>a5da700000059eoAAA</t>
  </si>
  <si>
    <t>US regulators have identified severe shortcomings in the bank's anti-money laundering systems. Our objective is for the bank to effectively manage the financial, operational, and reputational risks impacting the long-term value of the business.</t>
  </si>
  <si>
    <t>M2, M3, M4</t>
  </si>
  <si>
    <t>M2 -&gt; Complete</t>
  </si>
  <si>
    <t>a5da700000059d5AAA</t>
  </si>
  <si>
    <t>a5da700000059dZAAQ</t>
  </si>
  <si>
    <t>Maintain Sustainability Strategy post spin-off</t>
  </si>
  <si>
    <t>The company is in the process of spinning off into two companies and replicating its current business structures. We want the company to ensure that its current sustainability strategy and long-term trajectory is replicated in the new business.</t>
  </si>
  <si>
    <t>a5da700000059gAAAQ</t>
  </si>
  <si>
    <t>Climate impacts of data center growth</t>
  </si>
  <si>
    <t>15/11/25</t>
  </si>
  <si>
    <t>a5da700000059gBAAQ</t>
  </si>
  <si>
    <t>Board governance of CEO performance</t>
  </si>
  <si>
    <t>We are engaging the board on its effectiveness at monitoring and managing the performance of the CEO and wider executive management team. The company is confronting organisational and sector challenges, which complicate the assessment of executive management performance.</t>
  </si>
  <si>
    <t>a5da700000059gDAAQ</t>
  </si>
  <si>
    <t>Employee Engagement</t>
  </si>
  <si>
    <t>Our objective is for the company to establish structured avenues for workers to voice their feedback and opinions, such as employee engagement surveys and grievance mechanisms. This should include an anonymous option.</t>
  </si>
  <si>
    <t>a5da700000059g6AAA</t>
  </si>
  <si>
    <t>Responsiveness to Shareholder Votes</t>
  </si>
  <si>
    <t>We are monitoring the company's responsiveness to shareholder concerns and vote outcomes.</t>
  </si>
  <si>
    <t>a5da700000059gJAAQ</t>
  </si>
  <si>
    <t>Clawback Policy</t>
  </si>
  <si>
    <t>Our objective is for the company to adopt a more robust clawback policy which applies in cases of misconduct leading to material damage to the company, regardless of whether an accounting restatement occurs.</t>
  </si>
  <si>
    <t>a5da700000059gFAAQ</t>
  </si>
  <si>
    <t>Child-safe AI</t>
  </si>
  <si>
    <t>Baidu is deploying AI that children interact with (for example, its Ernie Bot virtual assistant and AI educational tablets). We aim to understand the steps that Baidu is taking to protect young users of its products and services.</t>
  </si>
  <si>
    <t>a5da700000059gMAAQ</t>
  </si>
  <si>
    <t>Alibaba is deploying AI that children interact with (for example, AliGenie in children’s mode, and an AI tool that generates narrated picture books for autistic children) and we aim to understand the steps that Alibaba is taking to protect young users of its products.</t>
  </si>
  <si>
    <t>a5da700000059gKAAQ</t>
  </si>
  <si>
    <t>Board size</t>
  </si>
  <si>
    <t>Following a restructuring, the company merged two boards in 2024 resulting in a board that is oversized. We are concerned as the board is large relative to those of peers in the market.</t>
  </si>
  <si>
    <t>a5da700000059gcAAA</t>
  </si>
  <si>
    <t>Inappropriate committee membership</t>
  </si>
  <si>
    <t>Although the compensation committee is majority independent with an independent chair, the company chair ("kaicho") is a member. We are concerned by his membership given his influence as the company chair and board chair.</t>
  </si>
  <si>
    <t>a5da700000059ghAAA</t>
  </si>
  <si>
    <t>Third-party board effectiveness assessment</t>
  </si>
  <si>
    <t>We told the company that using a third-party board effectiveness assessment and disclosing the results and actions would enhance transparency on the board's functionality for investors.</t>
  </si>
  <si>
    <t>a5da700000059giAAA</t>
  </si>
  <si>
    <t>The company has retained Ernst &amp; Young as its auditor since 1940, significantly exceeding EOS's guidelines for tenure.</t>
  </si>
  <si>
    <t>a5da700000059gjAAA</t>
  </si>
  <si>
    <t>Potential over-commitment of board members</t>
  </si>
  <si>
    <t>Companies need to ensure that board members have sufficient capacity to deal with all the mandates they have before accepting them onto their own board.</t>
  </si>
  <si>
    <t>a5da700000059gnAAA</t>
  </si>
  <si>
    <t>Board Evaluations</t>
  </si>
  <si>
    <t>Discussions around board culture, board evaluation and feedback implementation, director education, board refreshment and succession planning to understand how effective the board is.</t>
  </si>
  <si>
    <t>a5da700000059goAAA</t>
  </si>
  <si>
    <t>We are monitoring the company's efforts to declassify its board, as it has yet to achieve shareholder approval due to supermajority provisions.</t>
  </si>
  <si>
    <t>a5da700000059gmAAA</t>
  </si>
  <si>
    <t>Our objective is for the company to expand its supply chain mapping and traceability efforts beyond its current efforts for its fruit and baby formula products.</t>
  </si>
  <si>
    <t>a5da7000000594BAAQ</t>
  </si>
  <si>
    <t>Community Consultation Disclosures - datacenters</t>
  </si>
  <si>
    <t>Our objective is for Dominion Energy to provide comprehensive disclosure around its efforts and outcomes related to data centre infrastructure activities. This should include community-impact considerations. These disclosures should include specific information on community-consultation activities, a balance of feedback, resolutions, and outcomes, presented through both relevant narrative and quantitative formats.</t>
  </si>
  <si>
    <t>a5da700000059gzAAA</t>
  </si>
  <si>
    <t>Independent directors' views on takeover bid</t>
  </si>
  <si>
    <t>The company received a takeover bid from its Canadian competitor in 2024 and a committee of independent directors was tasked with reviewing the deal. In our engagements we sought to understand the committee's view, and encouraged the company to publish the committee's assessment. This would demonstrate that independent directors are appropriately considering minority shareholder rights.</t>
  </si>
  <si>
    <t>a5da700000059h0AAA</t>
  </si>
  <si>
    <t>Appointment of Lead Independent Director</t>
  </si>
  <si>
    <t>Our objective is for the company to appoint a lead independent director to act as sounding board to the non-independent chair and be the main point of contact for investor engagement with the board.</t>
  </si>
  <si>
    <t>a5da700000059hBAAQ</t>
  </si>
  <si>
    <t>Whistleblowing Report</t>
  </si>
  <si>
    <t>The company should disclose a whistleblowing report that identifies how many calls it gets, the types of issues, the root causes and the actions taken.</t>
  </si>
  <si>
    <t>a5da700000059h9AAA</t>
  </si>
  <si>
    <t>Cybersecurity issue with plug in chargers</t>
  </si>
  <si>
    <t>It was reported in the media that car companies had not done enough to make public chargers secure from a cybersecurity point of view.</t>
  </si>
  <si>
    <t>a5da700000059hHAAQ</t>
  </si>
  <si>
    <t>Companies need to consider the impact of their energy transition strategy on both their people and the societies in which they operate.</t>
  </si>
  <si>
    <t>a5da700000059hIAAQ</t>
  </si>
  <si>
    <t>Independence of the Supervisory Board</t>
  </si>
  <si>
    <t>Our objective is for the supervisory board to have a sufficient level of independence to provide confidence to investors that the oversight of the board is sufficiently broad and is subject to challenge from a wide set of perspectives. Key outcomes should be the appointment of a Lead Independent Director with appropriate responsibilities, the improvement of transparency around what actions the company has taken to resolve the issues, and disclosure of its whistleblowing report to demonstrate the process is working</t>
  </si>
  <si>
    <t>a5da700000059h8AAA</t>
  </si>
  <si>
    <t>Establish physical risk adaptation plan</t>
  </si>
  <si>
    <t>Our objective is for the company to improve its scenario analysis to demonstrate it comprehensively assesses its exposure and vulnerability to material physical climate risks. It should develop a plan to mitigate the risks and ensure resilience of operations and assets. This plan should include short- and medium-term actions.</t>
  </si>
  <si>
    <t>a5da700000059hPAAQ</t>
  </si>
  <si>
    <t>Adopt best practices in management of cyber security risks</t>
  </si>
  <si>
    <t>As a utility, the company owns and operates several critical energy infrastructure assets. These assets have increasingly become targets for cyber attacks and are consequently more vulnerable to more severe cyber threats. We are engaging the company on significantly improving its governance of and preparedness for cyber security risks, including establishing a clear governance structure (such as a dedicated below-board committee reporting to the board), developing and regularly conducting simulations to prepare management teams, regularly training directors on evolving cyber security risks, and public collaboration with public security bodies.</t>
  </si>
  <si>
    <t>a5da700000059gCAAQ</t>
  </si>
  <si>
    <t>Charles River Laboratories International Inc</t>
  </si>
  <si>
    <t>Animal Testing Alternatives Transition</t>
  </si>
  <si>
    <t>Both the United States and European Union have announced plans to eliminate requirements for animal testing. We are engaging with the company on the business opportunities and risks this transition creates, and how its capital allocation strategy aligns with increasing demand for alternative testing methods.</t>
  </si>
  <si>
    <t>a5da700000059hRAAQ</t>
  </si>
  <si>
    <t>third-party board effectiveness disclosure</t>
  </si>
  <si>
    <t>We want the company to disclose the outcome of its third-party board effectiveness assessments, including disclosing the results and actions it has taken to improve the board, as this would enhance transparency on the board's functionality for investors.</t>
  </si>
  <si>
    <t>a5da700000059hWAAQ</t>
  </si>
  <si>
    <t>Pollution at Colombian wetlands</t>
  </si>
  <si>
    <t xml:space="preserve">Global Witness released a report accusing Veolia of dumping toxic waste, including untreated leachate
containing high levels of heavy metals such as mercury, into the San Silvestre wetlands. The report included video footage taken from 2023 showing a Veolia employee allegedly using electric pumps to discharge untreated leachate directly into the wetlands. Veolia have denied all claims (via email).</t>
  </si>
  <si>
    <t>a5da700000059hVAAQ</t>
  </si>
  <si>
    <t>The level of board gender diversity generally hovers around the 20% mark. It fell to 17% in 2025 because a female director, Jane Sun, left the board after just three years. We expect to see some board refreshment in the coming years to strengthen the quality and diversity of thought on the board.</t>
  </si>
  <si>
    <t>a5da700000055HqAAI</t>
  </si>
  <si>
    <t>Artificial Intelligence (AI)</t>
  </si>
  <si>
    <t>The company should consider the implications of using artificial intelligence.</t>
  </si>
  <si>
    <t>a5da700000059hvAAA</t>
  </si>
  <si>
    <t>Forward-looking assumptions in financial statements</t>
  </si>
  <si>
    <t>Our objective is for the bank to discuss the impact of its climate risk exposure in the notes to the financial statements, consistent with the company's sustainability and TCFD reporting. The bank should quantify the impacts of physical and transition climate risks, specifically on the forward-looking financial metrics, such as credit loss provisioning, expected credit losses, and customer credit assessments. It is likely that future economic conditions will be impacted by climate change, so investors would expect assumptions to change to reflect this.</t>
  </si>
  <si>
    <t>a5da700000059ioAAA</t>
  </si>
  <si>
    <t>Tech platform age verification</t>
  </si>
  <si>
    <t>There’s a potential opportunity for Equifax to support age verification on tech platforms. Context is the ban coming into force re social media for under-16s in Australia and discussions around similar Australia-style bans for under-16s in the UK and other European countries as well as the more general pressure on those platforms (and mobile companies) to toughen their restrictions beyond the current box-tick approach.</t>
  </si>
  <si>
    <t>a5da700000059itAAA</t>
  </si>
  <si>
    <t>Rather than using a conventional pay program, the company has awarded its CEO "mega grants" roughly every five years since its IPO in 2013, which are concerning in both their magnitude and structure. We are monitoring and encouraging improvements across several aspects of its pay practices.</t>
  </si>
  <si>
    <t>a5da700000059j1AAA</t>
  </si>
  <si>
    <t>Business Resilience and Succession Planning</t>
  </si>
  <si>
    <t>The company has faced significant challenges in recent years and recently underwent a sudden CEO transition. We are engaging with the company on its strategy, leadership, and business resilience during this time of change.</t>
  </si>
  <si>
    <t>a5da700000059jMAAQ</t>
  </si>
  <si>
    <t>Strengthening cyber security and data privacy</t>
  </si>
  <si>
    <t>We are engaging with the bank to understand its governance structure and mechanisms to strengthen cybersecurity and data privacy. We note that any breaches could lead to a loss in confidence among customers and prospects, alongside litigation risks and regulatory fines. Cybersecurity risks are material across India, especially in the financial sector.</t>
  </si>
  <si>
    <t>a5da700000059jLAAQ</t>
  </si>
  <si>
    <t>Remuneration committee independence</t>
  </si>
  <si>
    <t>We would expect the remuneration committee to be majority independent and its chair to be independent.</t>
  </si>
  <si>
    <t>a5da700000059jSAAQ</t>
  </si>
  <si>
    <t>We would expect the company to conduct and publish the results of its due diligence and enhanced due diligence assessments for its operations in high-risk regions.</t>
  </si>
  <si>
    <t>a5da700000059jTAAQ</t>
  </si>
  <si>
    <t>Health and safety concerns</t>
  </si>
  <si>
    <t>The factory tour in 2025 June highlighted deficiencies in the company’s safety practices, raising concerns about the effectiveness of the safety management system currently implemented across its production network. We recommend that the company adopt a globally recognized safety management framework, such as ISO 45001 (formerly OHSAS 18001), to ensure consistent and comprehensive occupational health and safety standards</t>
  </si>
  <si>
    <t>a5da700000059igAAA</t>
  </si>
  <si>
    <t>Interim Scope 1 and 2 emissions reduction target</t>
  </si>
  <si>
    <t>The company sets an interim target for reducing its greenhouse gas emissions between 2026 and 2035 that covers at least 95% of Scope 1 and 2 emissions. The company provides evidence that this target is aligned with the goals of the Paris Agreement.</t>
  </si>
  <si>
    <t>a5da700000055G1AAI</t>
  </si>
  <si>
    <t>Appoint independent chair or lead independent director on the board</t>
  </si>
  <si>
    <t>The company should appoint an independent director as the board chair or appoint a lead independent director.</t>
  </si>
  <si>
    <t>a5da700000059hTAAQ</t>
  </si>
  <si>
    <t>The company has been steadily reducing its listed strategic shareholdings, getting down to 40 companies at the end of FY2023. Our objective is for the company to consistently reduce its strategic shareholdings not held purely for investment purposes, by halving the number of listed companies in which it holds such stakes versus the FY2023 figure.</t>
  </si>
  <si>
    <t>a5da700000059ggAAA</t>
  </si>
  <si>
    <t>Methane mitigation strategy</t>
  </si>
  <si>
    <t>The company should take appropriate steps to capitalise on the opportunity to improve its methane emissions performance management and disclosures in line with good industry practices.</t>
  </si>
  <si>
    <t>a5da700000059hCAAQ</t>
  </si>
  <si>
    <t>Labour rights controversy</t>
  </si>
  <si>
    <t>Kawaguchi Manufacturing, a plastic parts supplier to Sony and others, allegedly withheld wages from around 280 Bangladeshi migrant workers in Malaysia for up to eight months before shutting down operations in late 2024.</t>
  </si>
  <si>
    <t>a5da700000059iDAAQ</t>
  </si>
  <si>
    <t>Executive remuneration - excessive pay ratio</t>
  </si>
  <si>
    <t>The company should demonstrate the alignment of its long-term value creation with its remuneration policy.</t>
  </si>
  <si>
    <t>a5da700000059iEAAQ</t>
  </si>
  <si>
    <t>Executive remuneration - performance-linked variable remuneration</t>
  </si>
  <si>
    <t>The company has implemented a new remuneration policy that shifts the focus from fixed pay to performance-linked variable remuneration, which exceeds our expectations of alignment with shareholder interests and long-term value creation.</t>
  </si>
  <si>
    <t>a5da700000059i2AAA</t>
  </si>
  <si>
    <t>Living wage and culture</t>
  </si>
  <si>
    <t>The company has terminated its living wage standard accreditation. We encourage the company to continue its commitment on human capital management and company culture.</t>
  </si>
  <si>
    <t>a5da700000059i3AAA</t>
  </si>
  <si>
    <t>a5da700000059iCAAQ</t>
  </si>
  <si>
    <t>Company to establish comprehensive governance practices around the ethical use of artificial intelligence that are approved by the board. This also includes outlining the process in place for AI use cases and deployment and establishing ethical AI principles.</t>
  </si>
  <si>
    <t>a5da700000059iUAAQ</t>
  </si>
  <si>
    <t>The company should show how it is protecting nature in its supply chain via its sourcing strategy.</t>
  </si>
  <si>
    <t>a5da700000059iTAAQ</t>
  </si>
  <si>
    <t>PFAS and hazardous chemical management</t>
  </si>
  <si>
    <t>The company should commit to and disclose its policy and progress on the management of hazardous chemicals and PFAS-related substances.</t>
  </si>
  <si>
    <t>a5da700000059jqAAA</t>
  </si>
  <si>
    <t>Given the company's use of metal in its products, we see significant opportunities in circularity for the company. Refurbishing, repairing and recycling parts from products could also extend the life of useful products and materials. We would like to see relevant targets and strategy in place to demonstrate its progress in this area.</t>
  </si>
  <si>
    <t>a5da700000059iIAAQ</t>
  </si>
  <si>
    <t>Gap analysis on AI Governance principles</t>
  </si>
  <si>
    <t xml:space="preserve">During our inquiry into the company’s approach to AI governance, particularly in the context of adopting AI for research and development across various product applications, we identified a lack of awareness regarding the risks associated with AI and digitalisation.
Rather than immediately recommending the adoption of a formal AI policy, we encouraged the company to first conduct a gap analysis to assess its current IT practices in relation to AI management. As a result, a specific objective has been established to support this initiative.</t>
  </si>
  <si>
    <t>a5da700000059jHAAQ</t>
  </si>
  <si>
    <t>Building and portfolio resilience against physical climate risks</t>
  </si>
  <si>
    <t>We engage with the company on the strategy for building and portfolio resilience against physical climate risks.</t>
  </si>
  <si>
    <t>a5da700000059k7AAA</t>
  </si>
  <si>
    <t>The company has significant impacts and dependencies on water throughout its value chain. It published a water strategy in 2025. We will engage on the company’s approach to managing its impacts on water quality and quantity, how it contributes to improving the watersheds in which it operates, and how its water strategy links to its work on nature, regenerative agriculture, and climate change.</t>
  </si>
  <si>
    <t>a5da700000059kKAAQ</t>
  </si>
  <si>
    <t>AI datacentre methane reduction</t>
  </si>
  <si>
    <t>AI datacentre methane reduction.</t>
  </si>
  <si>
    <t>a5da700000059kNAAQ</t>
  </si>
  <si>
    <t>Workforce engagement</t>
  </si>
  <si>
    <t>Company has a history of workforce challenges.</t>
  </si>
  <si>
    <t>a5da700000059kOAAQ</t>
  </si>
  <si>
    <t>Safety</t>
  </si>
  <si>
    <t>Safety practices</t>
  </si>
  <si>
    <t>a5da700000059kGAAQ</t>
  </si>
  <si>
    <t>director tenure cap</t>
  </si>
  <si>
    <t>Tenure cap</t>
  </si>
  <si>
    <t>a5da700000059kLAAQ</t>
  </si>
  <si>
    <t>AI and wildfire</t>
  </si>
  <si>
    <t>Use of AI in firefire risk mitigation</t>
  </si>
  <si>
    <t>a5da700000059kMAAQ</t>
  </si>
  <si>
    <t>Tyler Technologies Inc</t>
  </si>
  <si>
    <t>Eco software design</t>
  </si>
  <si>
    <t>Our objective is for the company to integrate sustainability principles into the software design process.</t>
  </si>
  <si>
    <t>a5da700000059kcAAA</t>
  </si>
  <si>
    <t>Data governance and ethical AI</t>
  </si>
  <si>
    <t>Company adopts, sustains and demonstrates a prudent, privacy-by-design approach with respect to data privacy</t>
  </si>
  <si>
    <t>a5da700000059keAAA</t>
  </si>
  <si>
    <t>Mental wellbeing support</t>
  </si>
  <si>
    <t>In today's fast-paced and highly pressurised tech industry, where innovation and productivity are paramount, the significance of mental health should be at the forefront of any business agenda. Looking after the mental well-being of employees is critical to avoiding burnout</t>
  </si>
  <si>
    <t>a5da700000059kaAAA</t>
  </si>
  <si>
    <t>Talent development</t>
  </si>
  <si>
    <t>Sustaining the pace of growth and innovation requires a requisite level of cognitive diversity and employee engagement. To this end, we are seeking dialogue to understand more about Tyler's hiring practices, as well the training and development provided to facilitate and provide equitable employment opportunities and career development pathways</t>
  </si>
  <si>
    <t>a5da700000059kbAAA</t>
  </si>
  <si>
    <t>We emailed the EOS Digital Governance Principles. We said that as banks increase their investments in AI, we are monitoring implementation to ensure robust oversight. We pointed the bank to relevant excerpts from the EOS Digital Governance Principles related to AI governance, the impacts of AI on workers, and financial services use cases.</t>
  </si>
  <si>
    <t>a5da700000059kZAAQ</t>
  </si>
  <si>
    <t>AI impact on oil sands operations</t>
  </si>
  <si>
    <t>AI impacts on oil sands operations including from a profitability, safety, and emissions perspective.</t>
  </si>
  <si>
    <t>a5da700000059kXAAQ</t>
  </si>
  <si>
    <t>We seek evidence that indicates the board is effective, including but not limited to third-party facilitation of a board effectiveness process, quality feedback to chair or lead independent director, director education, and board leadership succession planning.</t>
  </si>
  <si>
    <t>a5da700000059kjAAA</t>
  </si>
  <si>
    <t>We seek evidence that indicates the board is effective, including but not limited to third-party facilitation of the board effectiveness process, quality feedback to chair or lead independent director, director education, and board leadership succession planning.</t>
  </si>
  <si>
    <t>a5da700000059kkAAA</t>
  </si>
  <si>
    <t>We seek evidence that indicates the board is effective, including but not limited to third-party facilitation of a board effectiveness process, quality feedback to the chair or lead independent director, director education, and board leadership succession planning.</t>
  </si>
  <si>
    <t>a5da700000059koAAA</t>
  </si>
  <si>
    <t>The succession of long-serving CEO Jamie Dimon will have a material impact on the company's future performance.</t>
  </si>
  <si>
    <t>a5da700000059kpAAA</t>
  </si>
  <si>
    <t>Transparency on client ESG risk assessments</t>
  </si>
  <si>
    <t>The bank has started disclosing some information on ESG considerations in loan origination. We now want to see the bank increase transparency on due diligence with clients and how this translates into credit risk improvements. This could include more detail on its internal ratings models, examples of questions asked in questionnaires-noting how these differ by sector-, what metrics clients are scored against, as well as outcomes of its assessments showing the distribution of client risk levels on a sector-level.</t>
  </si>
  <si>
    <t>a5da700000059l6AAA</t>
  </si>
  <si>
    <t>The company should ensure that the supervisory board has an adequate level of independence, a good mix of skills and experience and gender balance.</t>
  </si>
  <si>
    <t>a5da700000059l3AAA</t>
  </si>
  <si>
    <t>Company Separation</t>
  </si>
  <si>
    <t>In 2025, the company announced its plans to separate into two: WBD Streaming &amp; Studios and WBD Global Networks. We are engaging with it on the coming changes.</t>
  </si>
  <si>
    <t>a5da700000059l8AAA</t>
  </si>
  <si>
    <t>Our objective is for the company to align its business with the goals of the Paris Agreement, including net-zero emissions by 2050, and build resilience against climate-related risks.</t>
  </si>
  <si>
    <t>a5da700000059j7AAA</t>
  </si>
  <si>
    <t>Demonstrate continued alignment to emissions reduction targets</t>
  </si>
  <si>
    <t>Our objective is for Tencent to demonstrate continued alignment to emissions reduction targets, despite AI-driven data centre capital expenditure (capex) increases.</t>
  </si>
  <si>
    <t>a5da700000059ifAAA</t>
  </si>
  <si>
    <t>The company aligns its business with the goals of the Paris Agreement, including net-zero emissions by 2050, and builds resilience against climate-related risks.</t>
  </si>
  <si>
    <t>a5da700000059jkAAA</t>
  </si>
  <si>
    <t>All chemical companies face the risk that products could lead to unknown negative environmental and biological impacts. The production of hazardous chemicals is a key risk for the company and sector. According to the WHO, 2 million people died due to exposure to hazardous chemicals in 2019, compared to 1.6 million in 2016. Hazardous chemicals are also key drivers of biodiversity loss. We want to support a transition towards safer chemicals, and yet 75% of all chemicals used and manufactured in Europe are hazardous to human health and/or the environment (EU 2019). The regulatory, as well as the market pressure, to transition towards less hazardous chemicals is strong and will increase even more following implementation of the European Green Deal. In the US, the EPA in October 2021 released its roadmap for tackling per- and polyfluoroalkyl substances (PFAS). This multi-agency approach with increased disclosure and tighter restrictions is expected to impact companies in the near term. In recent years the financial implications for company liability for past and current production of pollution of persistent chemicals, especially PFAS, have been clear. The company was added to the ChemScore benchmark in 2025.</t>
  </si>
  <si>
    <t>a5da700000059lOAAQ</t>
  </si>
  <si>
    <t>Management of biodiversity in the supply chain</t>
  </si>
  <si>
    <t>Our objective is for the company to make significant improvements to its Spring assessment, to identify priority areas for action, and to implement these in a substantial way which demonstrates to investors that it is looking to enhance the biodiversity as a result of its (or its suppliers) activities.</t>
  </si>
  <si>
    <t>a5da700000059lBAAQ</t>
  </si>
  <si>
    <t>Employee sentiment</t>
  </si>
  <si>
    <t>Our objective is for the bank to demonstrate how it evaluates the effectiveness of its human capital management programs and policies through data collected from employees.</t>
  </si>
  <si>
    <t>a5da700000059lbAAA</t>
  </si>
  <si>
    <t>The company has been steadily reducing its listed strategic shareholdings, getting down to 49 listed companies at the end of FY2023. Our objective is for the company to consistently reduce its strategic shareholdings not held purely for investment purposes, by halving the number of listed companies in which it holds such stakes versus the FY2023 figure.</t>
  </si>
  <si>
    <t>a5da700000059leAAA</t>
  </si>
  <si>
    <t>sunset classified board structure</t>
  </si>
  <si>
    <t>We want the company to sunset its classified board structure.</t>
  </si>
  <si>
    <t>a5da700000059DYAAY</t>
  </si>
  <si>
    <t>a5da700000059jNAAQ</t>
  </si>
  <si>
    <t>The company should clearly disclose its key climate change-related assumptions in its financial statements (for example, asset impairment, carbon prices, impact on asset value on its balance sheet) and describe how it has considered climate change-related factors in the preparation of its financial statements in reasonable detail, beyond asserting that no material impact is expected. The auditor's report should also articulate how these factors have been considered in the audit. The auditor should also confirm in the audit report it agreed with how the company has assessed climate in the financial statements, and that the company’s approach is consistent with disclosures elsewhere.</t>
  </si>
  <si>
    <t>a5da700000059kgAAA</t>
  </si>
  <si>
    <t>The board has undergone significant changes in the past 2 years. We seek evidence that there is an independent board evaluation in place to ensure that the company has the right mixture of skills and experiences and that there is regular assessment of the board's effectiveness, including but not limited to: to third-party facilitation of the board effectiveness process, quality feedback to chair or lead independent director, director education, and board leadership succession planning.</t>
  </si>
  <si>
    <t>a5da700000059DfAAI</t>
  </si>
  <si>
    <t>Water scarcity and flood risk</t>
  </si>
  <si>
    <t>Retail food companies use a lot of water in the areas where they operate, and in their food supply chains. This may pose problems in areas of water scarcity or at risk of flooding. Companies should assess the materiality of these risks and put in place a strategy to minimise water use and ensure resilience.</t>
  </si>
  <si>
    <t>a5da700000059DZAAY</t>
  </si>
  <si>
    <t>SBTi FLAG approval</t>
  </si>
  <si>
    <t>Consumer goods companies should seek to minimise the carbon emissions from the impact of their activities on forestry, land and agriculture (FLAG) and set a science-based target.</t>
  </si>
  <si>
    <t>a5da700000059DaAAI</t>
  </si>
  <si>
    <t>Talent retention</t>
  </si>
  <si>
    <t>Companies with a high turnover have to invest more in recruitment, training and development of people, with a lag in quality, and a drain on resources while supervising and bringing them up to speed.</t>
  </si>
  <si>
    <t>a5da700000059DbAAI</t>
  </si>
  <si>
    <t>Cybersecurity Governance and Oversight</t>
  </si>
  <si>
    <t>The company should provide comprehensive disclosures on the board's oversight and governance of cybersecurity and related initiatives, including its capacity and capabilities. This can be housed within the annual report. The company should confirm how its cybersecurity strategy is operationalized within the organization and detail the level of scenario modelling deployed. Cybersecurity should be included in the board skills and expertise matrix, and it should be apparent from reviewing director bios that there is sufficient expertise on the topic.</t>
  </si>
  <si>
    <t>a5da700000059DmAAI</t>
  </si>
  <si>
    <t>Cybersecurity Risk Management</t>
  </si>
  <si>
    <t>The company integrates cybersecurity risk management with overall business strategy and financial planning, including the allocation of resources and investment in cybersecurity initiatives and provides disclosure on this. At minimum, the company should be compliant with the NIST standard and outline what the escalation process looks like, which may include various layers of defence.</t>
  </si>
  <si>
    <t>a5da700000059DnAAI</t>
  </si>
  <si>
    <t>Methane Reduction Strategy</t>
  </si>
  <si>
    <t>Our objective is for the company to take action to reduce methane emissions within its financed emissions portfolio, through a strategy that covers the areas of client engagement, enhanced reporting, and public support. The company should consider the Environmental Defense Fund recommendations to banks on methane, which include encouraging clients to join the Oil and Gas Methane Partnership 2.0 (OGMP 2.0), disclosing how methane emissions factor into 2030 targets, and publicly supporting OGMP 2.0 and strong methane policies.</t>
  </si>
  <si>
    <t>a5da700000059DVAAY</t>
  </si>
  <si>
    <t>Compliance enhancements and risk management</t>
  </si>
  <si>
    <t>Our aim is for the company to issue a public disclosure of the steps taken to enhance risk management including compensation in light of the consent orders and 2024 fine by federal regulators for deficiencies in risk management, internal controls and data governance. Such a disclosure would include a presentation on its website talking about board actions to address this.</t>
  </si>
  <si>
    <t>a5da700000059DUAAY</t>
  </si>
  <si>
    <t>Waste management</t>
  </si>
  <si>
    <t xml:space="preserve">Modern cruise ships produce high amounts of various wastes. They operate in valuable but often vulnerable marine ecosystems.  We seek to understand how the company is assessing and mitigating the costs associated with the waste it produces.</t>
  </si>
  <si>
    <t>a5da700000059DtAAI</t>
  </si>
  <si>
    <t>Our objective is for the company to increase its disclosure of human rights policies and practices. This should include progress and outcomes of human rights due diligence to implement its commitments, and data and key metrics used to measure the effectiveness of its strategy.</t>
  </si>
  <si>
    <t>a5da700000059ksAAA</t>
  </si>
  <si>
    <t>Our objective is for the company to set and work towards science-based targets for reducing greenhouse gas emissions. The company currently has a Scope 1–2 emissions reduction target of 30% by 2030 (from a 2018 baseline) but has only achieved 15% as of 2024. The company now expects to revise its target. Also, the company does not yet disclose Scope 3 emissions or have related targets.</t>
  </si>
  <si>
    <t>a5da700000059EBAAY</t>
  </si>
  <si>
    <t>Supply Chain Management</t>
  </si>
  <si>
    <t>WEG to disclose the relevant metrics related to its supply chain management framework, allowing stakeholders to assess its effectiveness.</t>
  </si>
  <si>
    <t>a5da700000059EeAAI</t>
  </si>
  <si>
    <t>Novo Mercado listing rules revision</t>
  </si>
  <si>
    <t>WEG rejected all the governance improvements proposed by the B3 Stock Exchange to the Novo Mercado listing rules in the 2025 revision.</t>
  </si>
  <si>
    <t>a5da700000059EdAAI</t>
  </si>
  <si>
    <t>Carbon neutrality</t>
  </si>
  <si>
    <t>The company has reduced its absolute emissions or emissions intensity over the years since setting it carbon neutrality in facilities and operations by 2035 targets in line with or exceeding the rate necessary to achieve its Scope 1 and 2 emissions. The company comprehensively details the factors that affected its performance, including the impact of the planned split of the business into three independent, publicly traded companies: aerospace, automation and advanced materials.</t>
  </si>
  <si>
    <t>a5da700000059lVAAQ</t>
  </si>
  <si>
    <t>Circularity Strategy</t>
  </si>
  <si>
    <t>a5da700000059EoAAI</t>
  </si>
  <si>
    <t>Management of climate-related financial risks and opportunities</t>
  </si>
  <si>
    <t>We are engaging the company on its practices to adequately manage climate-related financial risks and opportunities.</t>
  </si>
  <si>
    <t>a5da700000059ExAAI</t>
  </si>
  <si>
    <t>Adopting the IASB's illustrative examples</t>
  </si>
  <si>
    <t>Our objective is for the company to sufficiently demonstrate that it has adopted the International Accountancy Standards Board (IASB)'s illustrative examples on how climate uncertainties should be included in the financial statements and the auditor confirms it supports the company's approach.</t>
  </si>
  <si>
    <t>a5da700000059EpAAI</t>
  </si>
  <si>
    <t>a5da700000059EqAAI</t>
  </si>
  <si>
    <t>a5da700000059F0AAI</t>
  </si>
  <si>
    <t>Adopting the IASB's illustrative examples on climate uncertainties</t>
  </si>
  <si>
    <t>The company sufficiently demonstrates that it has adopted the International Accountancy Standards Board (IASB)'s illustrative examples on how climate uncertainties should be included in the financial statements and the auditor confirms it supports the company's approach.</t>
  </si>
  <si>
    <t>a5da700000059EuAAI</t>
  </si>
  <si>
    <t>Labour strikes</t>
  </si>
  <si>
    <t xml:space="preserve">Republic Services workers in Boston, Massachusetts, went on strike on 1 July, over pay and benefits. 
The strike began in the Greater Boston area and has spread to several other cities in the US where employees have stopped work in solidarity. 
At its peak, more than 2,000 garbage collectors across the country were refusing to work. 
As at August 2025, Republic Services workers remain on strike.</t>
  </si>
  <si>
    <t>a5da700000055DrAAI</t>
  </si>
  <si>
    <t>Mitsubishi Corp does not provide access to independent directors for a one-on-one dialogue.</t>
  </si>
  <si>
    <t>a5da700000059EfAAI</t>
  </si>
  <si>
    <t>Climate impacts of AI-driven data centre expansion</t>
  </si>
  <si>
    <t>We are encouraging Alibaba to demonstrate continued alignment to emissions reduction targets, despite AI-driven data centre capital expenditure increases.</t>
  </si>
  <si>
    <t>a5da700000059EYAAY</t>
  </si>
  <si>
    <t>Supply Chain Engagement</t>
  </si>
  <si>
    <t xml:space="preserve">As part of Orsted's decarbonisation strategy, the company has identified supply chain engagement as an area of focus as it seeks to reduce its Scope 3 emissions (in line with its recently validated SBTi targets which include reducing Scope 3 absolute emissions by 50% in 2030 vs. 2018). The company has a supplier engagement programme, which asks suppliers to align with Orsted procurement principles (e.g. SBTi, climate reporting through the Carbon Disclosure Project (CDP),  and a transition to renewable energy). However, there remains a  lack of measurable performance metrics that illustrate how the company is progressing in its supplier engagement programme.</t>
  </si>
  <si>
    <t>a5da700000059F3AAI</t>
  </si>
  <si>
    <t>Outcomes of Human Rights Strategy</t>
  </si>
  <si>
    <t>Our objective is for the company to report on the outcomes of its human rights strategy for its supply chain to demonstrate its effectiveness. This may include data on grievances raised, audit findings, and/or suppliers compliant with its code of conduct.</t>
  </si>
  <si>
    <t>a5da700000059E6AAI</t>
  </si>
  <si>
    <t>Cybersecurity</t>
  </si>
  <si>
    <t>The bank is exposed to cybersecurity risks. We are engaging to understand its approach to governance, risk management and culture.</t>
  </si>
  <si>
    <t>a5da700000059FHAAY</t>
  </si>
  <si>
    <t>Adopting the IASB's illustrative examples on climate uncertainties in accounts</t>
  </si>
  <si>
    <t>a5da700000055DvAAI</t>
  </si>
  <si>
    <t>Our objective is for the company to report on the outcomes of its human rights strategy for its supply chain. This may include data on grievances raised, audit findings, and/or suppliers compliant with its code of conduct.</t>
  </si>
  <si>
    <t>a5da700000059lcAAA</t>
  </si>
  <si>
    <t>Adopting the IASB's illustrative examples on climate in the accounts</t>
  </si>
  <si>
    <t>a5da700000055HoAAI</t>
  </si>
  <si>
    <t>AI and Climate</t>
  </si>
  <si>
    <t>a5da700000059DpAAI</t>
  </si>
  <si>
    <t>AI Risk</t>
  </si>
  <si>
    <t>The company establishes a comprehensive strategy to address AI-related risks, particularly those stemming from cybersecurity threats such as data leakage, oversharing, and vulnerabilities introduced by agentic AI systems. It ensures robust governance and technical safeguards are in place to mitigate these risks, while maintaining compliance with evolving regulations like the EU AI Act and updates to the GDPR.</t>
  </si>
  <si>
    <t>a5da700000059E1AAI</t>
  </si>
  <si>
    <t>Impact of AI on Human Capital Management</t>
  </si>
  <si>
    <t>Our objective is for the company to disclose data showing the positive and negative impacts of AI on workers, along with an explanation of its strategy to maximise the positive impacts and mitigate the negative impacts of AI on workers.</t>
  </si>
  <si>
    <t>a5da700000059DoAAI</t>
  </si>
  <si>
    <t>Product Life Cycle Assessment</t>
  </si>
  <si>
    <t>Our objective is for the company to publish the product life cycle assessment for its chip development process. This should include a full-scale cradle to grave life cycle assessment that includes water impacts. It quantifies environmental impacts like energy consumption, resource depletion, emissions to air, water, and soil, and waste generation.</t>
  </si>
  <si>
    <t>a5da700000059DqAAI</t>
  </si>
  <si>
    <t>Strengthen Stock Ownership Guidelines</t>
  </si>
  <si>
    <t>Our objective is for the company to strengthen its stock ownership guidelines for executives. This may include raising its minimum ownership thresholds and/or establishing mandatory retention periods for equity awards.</t>
  </si>
  <si>
    <t>a5da700000059EzAAI</t>
  </si>
  <si>
    <t>3rd party board effectiveness facilitation</t>
  </si>
  <si>
    <t>Our goal is for the company to disclose that it uses a third party facilitator and is implementing practices, including providing feedback to the lead independent director.</t>
  </si>
  <si>
    <t>a5da700000059F6AAI</t>
  </si>
  <si>
    <t>We consider the director Harald Thorstein to be to be over-committed, as he chairs the audit and sustainability committees at this company, and is the board chair at two other companies. In 2025 he was involved in the boards of six companies overall, although two of them are part of the same group.</t>
  </si>
  <si>
    <t>a5da700000059FIAAY</t>
  </si>
  <si>
    <t>Adopting the IASB's illustrative examples on climate uncertainties in the accoun</t>
  </si>
  <si>
    <t>a5da700000059FGAAY</t>
  </si>
  <si>
    <t>Climate adaptation</t>
  </si>
  <si>
    <t>We seek to understand how the company assesses the impacts and opportunities of climate physical risks in relation to its assets and business operations.</t>
  </si>
  <si>
    <t>a5da700000055HnAAI</t>
  </si>
  <si>
    <t>The company's operations are at risk of disruption from physical climate risks. Appropriate risk mitigation and risk response procedures are necessary to minimise business disruption and financial impact.</t>
  </si>
  <si>
    <t>a5da700000059FPAAY</t>
  </si>
  <si>
    <t>Fleet management strategy</t>
  </si>
  <si>
    <t>The company is currently exploring opportunities to integrate new vehicle technologies into their delivery fleets.</t>
  </si>
  <si>
    <t>a5da700000059FQAAY</t>
  </si>
  <si>
    <t>Board Oversight of the Workforce</t>
  </si>
  <si>
    <t>Our objective is for the company to explain how the board oversees its workforce and human capital strategy. This should include annual disclosure on the processes in place, and a description of what workforce issues were in focus for the year in review.</t>
  </si>
  <si>
    <t>a5da700000059FWAAY</t>
  </si>
  <si>
    <t>Capex oversight</t>
  </si>
  <si>
    <t>The company does not disclose in its proxy if its executive committee or board oversees its capital allocation. The company should disclose this information in its proxy statement.</t>
  </si>
  <si>
    <t>a5da700000059FSAAY</t>
  </si>
  <si>
    <t>The company should ensure the board has good oversight of its human capital management strategy to attract top talent.</t>
  </si>
  <si>
    <t>a5da700000059FVAAY</t>
  </si>
  <si>
    <t>Aritifcal intelligence</t>
  </si>
  <si>
    <t>The company should consider risks and opportunities of using artificial intelligence and ensure this is well governed.</t>
  </si>
  <si>
    <t>a5da700000059FUAAY</t>
  </si>
  <si>
    <t>Adopting the IASB's guidance on climate uncertainties in the accounts</t>
  </si>
  <si>
    <t>a5da700000059FdAAI</t>
  </si>
  <si>
    <t>a5da700000059FXAAY</t>
  </si>
  <si>
    <t>a5da700000059FaAAI</t>
  </si>
  <si>
    <t>Biodiversity Measurement Disclosure</t>
  </si>
  <si>
    <t>The company has consulted stakeholders on its biodiversity framework which has formed the basis for implementation. One of the goals in relation to biodiversity is for all new renewable energy projects that Orsted commissions from 2030 onwards to deliver a net-positive biodiversity impact. Whilst the company reports on some biodiversity projects and initiatives sponsored by its blue bond, disclosure in this area lacks structure and specificity with relevant performance metrics.</t>
  </si>
  <si>
    <t>a5da700000059F2AAI</t>
  </si>
  <si>
    <t>Plans for adoption of EPRI methodology</t>
  </si>
  <si>
    <t xml:space="preserve">The company has indicated that it plans to update its climate strategy in line with the Electric Power Research Institute (EPRI) SMARTargets methodology. The methodology is to help utilities set actionable climate strategies that are science aligned, actionable in terms of considering company opportunities, constraints, and risks, and aligned with the global goals of limiting warming to well below 2°C, and pursuing efforts to limit warming to 1.5°C. 
We are engaging with companies to explain that we have submitted feedback to the EPRI methodology consultation and to understand what resources and processes the company is establishing to ensure internal validation of its climate strategy in line with EPRI’s methodology.</t>
  </si>
  <si>
    <t>a5da700000059FfAAI</t>
  </si>
  <si>
    <t>Scope 3 emission target</t>
  </si>
  <si>
    <t>The company sets a target covering its most material Scope 3 categories of emissions and has these validated by an independent third party, such as the Science-Based Targets initiative or in the absence of a standardised methodology, published comprehensive and credible evidence of alignment with its climate neutrality by 2050 commitment.</t>
  </si>
  <si>
    <t>a5da700000059FJAAY</t>
  </si>
  <si>
    <t>Chair Independence</t>
  </si>
  <si>
    <t>The company should introduce an independent chair to ensure independent and objective oversight of the board of management.</t>
  </si>
  <si>
    <t>a5da700000059FqAAI</t>
  </si>
  <si>
    <t>The company should improve its executive remuneration structure. This includes removing the possibility for the relative total shareholder return metric under the long-term incentive to allow for vesting in case the company performs below median compared to peers. Additionally, the company should take steps over time to fully align executives' relative pension contributions with those of the wider workforce.</t>
  </si>
  <si>
    <t>a5da700000059FrAAI</t>
  </si>
  <si>
    <t>Strategy and Risk</t>
  </si>
  <si>
    <t>Our objective is for the company to publish detailed disclosures on its governance of environmental risk factors, including board and management accountability, integration into enterprise risk management, and how these risks are factored into long-term capital allocation and product strategy. As a global AI market leader, NVIDIA faces sustainability risks—such as customer energy constraints, supply chain climate vulnerabilities, and stranded asset exposure—that could materially impact its future growth and competitive positioning.</t>
  </si>
  <si>
    <t>a5da700000059E0AAI</t>
  </si>
  <si>
    <t>Board Education</t>
  </si>
  <si>
    <t>Our objective is for the company to provide meaningful evidence of continuous board director education, ideally by person and topic, such as in the proxy as seen in some Canadian proxies. Directors who continuously self-educate are better equipped to oversee strategy and risks that impact financial performance.</t>
  </si>
  <si>
    <t>a5da700000059FTAAY</t>
  </si>
  <si>
    <t xml:space="preserve">The company has indicated that it plans to update its climate strategy in line with the Electric Power Research Institute (EPRI) SMARTargets methodology. The methodology is to help utilities set actionable climate strategies that are science aligned, actionable in terms of considering company opportunities, constraints, and risks, and aligned with the global goals of limiting warming to well below 2°C, and pursuing efforts to limit warming to 1.5°C.
We are engaging with companies to explain that we have submitted feedback to the EPRI methodology consultation and to understand what resources and processes the company is establishing to ensure internal validation of its climate strategy in line with EPRI’s methodology.</t>
  </si>
  <si>
    <t>a5da700000059FsAAI</t>
  </si>
  <si>
    <t>China Mengniu Dairy Co Ltd</t>
  </si>
  <si>
    <t>Zero deforestation strategy and disclosure</t>
  </si>
  <si>
    <t>The company should disclose its strategy and plan to achieve the zero-deforestation target across its supply chain by 2030, including supplier engagement and progress tracking.</t>
  </si>
  <si>
    <t>a5da700000059FzAAI</t>
  </si>
  <si>
    <t>Energy Efficiency Ratings for Chips</t>
  </si>
  <si>
    <t>Our objective is for the company to publish standardised energy efficiency ratings for all AI chips and disclose the total lifecycle energy impact—from manufacturing through operational use—recognising that energy efficiency is financially material to NVIDIA.</t>
  </si>
  <si>
    <t>a5da700000059DrAAI</t>
  </si>
  <si>
    <t>SBTi validated targets</t>
  </si>
  <si>
    <t>Companies setting net zero and carbon emission reduction targets should validate that their approach aligns with the Paris Agreement goals.</t>
  </si>
  <si>
    <t>a5da700000059GaAAI</t>
  </si>
  <si>
    <t>Board skills matrix</t>
  </si>
  <si>
    <t>Companies should clearly identify the skills needed to successfully operate now and in the future.</t>
  </si>
  <si>
    <t>a5da700000059GbAAI</t>
  </si>
  <si>
    <t>Third party board evaluation</t>
  </si>
  <si>
    <t>The company considers conducting a third-party board evaluation at a regular cadence and publishes a summary of findings.</t>
  </si>
  <si>
    <t>a5da700000059GfAAI</t>
  </si>
  <si>
    <t>a5da700000059GeAAI</t>
  </si>
  <si>
    <t>Carbon intensity standards</t>
  </si>
  <si>
    <t>Determine the merits of the company's support for global carbon accounting standards, against which, product carbon intensity could be audited to a level of reasonable assurance.</t>
  </si>
  <si>
    <t>a5da700000055DyAAI</t>
  </si>
  <si>
    <t>We are monitoring concerns about excessive auditor tenure.</t>
  </si>
  <si>
    <t>a5da700000055DxAAI</t>
  </si>
  <si>
    <t xml:space="preserve">Our objective is for the bank to discuss the impact of its climate risk exposure in the notes to the financial statements, consistent with the company's sustainability and TCFD reporting. The bank should quantify the impacts of physical and transition climate risks, specifically on  forward-looking financial metrics, such as credit loss provisioning, expected credit losses, and customer credit assessments. It is likely that future economic conditions will be impacted by climate change, so investors would expect assumptions to change to reflect this.</t>
  </si>
  <si>
    <t>a5da700000059GgAAI</t>
  </si>
  <si>
    <t>Our objective is for the company to develop enhanced disclosure on grievances, which may include: grievances by type; a plan to reduce grievances over time and increase the proportion of grievances resolved and closed; updating its grievance processes to reflect how high-severity cases are escalated to senior management; and effectiveness of remedy offered.</t>
  </si>
  <si>
    <t>a5da700000059GUAAY</t>
  </si>
  <si>
    <t>US retail investor default voting</t>
  </si>
  <si>
    <t>The company has started a programme that allows US retail investors to automatically vote their proxies in support of management's recommendations, which could be a threat to shareholder rights.</t>
  </si>
  <si>
    <t>a5da700000059GsAAI</t>
  </si>
  <si>
    <t>a5da700000059GuAAI</t>
  </si>
  <si>
    <t>Engaging with board of directors</t>
  </si>
  <si>
    <t>Our objective is for the company to facilitate a dialogue between board members, especially with independent directors and minority shareholders.</t>
  </si>
  <si>
    <t>2025-07-21 Formal correspondence – private letter, collaborative;</t>
  </si>
  <si>
    <t>a5da700000059G0AAI</t>
  </si>
  <si>
    <t>Deforestation risk management and due diligence</t>
  </si>
  <si>
    <t xml:space="preserve">A report published by Global Witness has accused Santander of supporting extensive deforestation in South America. The report claims that Santander is the largest EU-headquartered financier of Cresud, an Argentinean agricultural real estate company, with $1.3 billion jointly underwritten by Santander and multiple Argentinean and international banks. Global Witness' analysis, which used satellite data and public information from Cresud and the Brazilian land registry, suggests that the company has deforested 170,000 hectares on its farms over the last two decades. The report argues that such financing contradicts the bank's stated commitment to net zero, and puts into question the robustness of the bank’s deforestation policies in high-risk regions. _x000D_
We are engaging the bank to gain more information on its approach to lending and underwriting in high-deforestation-risk regions.</t>
  </si>
  <si>
    <t>a5da700000059GxAAI</t>
  </si>
  <si>
    <t>Our objective is for the company to align its remuneration policy with the interests of long-term investors.</t>
  </si>
  <si>
    <t>a5da700000059GtAAI</t>
  </si>
  <si>
    <t>The company separated the chair and CEO roles in 2025. The chair, François-Henri Pinault, remains non-independent and a new, external CEO has been brought in. We are engaging on how the company is ensuring a smooth transition and an effective board with this new board and leadership structure.</t>
  </si>
  <si>
    <t>a5da700000059HEAAY</t>
  </si>
  <si>
    <t>The company has nominated Maxine Brenner as a director to the board. Maxine previously served on the board of Qantas for ten years, including as a member of the remuneration committee. As Qantas faced significant governance issues during her tenure, we are engaging with the company on how her past experience was assessed and taken into consideration in her board nomination. Furthermore, she currently serves on four boards of Australia's top 50 companies, meaning that she may be over-committed.</t>
  </si>
  <si>
    <t>a5da700000059HFAAY</t>
  </si>
  <si>
    <t>Our objective is for the company to increase the CEO's shareholding requirements to eight-to-10 times base salary.</t>
  </si>
  <si>
    <t>New -&gt; M2</t>
  </si>
  <si>
    <t>a5da700000059HKAAY</t>
  </si>
  <si>
    <t>Goldman Sachs Group Inc/The</t>
  </si>
  <si>
    <t>a5da700000059DWAAY</t>
  </si>
  <si>
    <t>a5da700000059WPAAY</t>
  </si>
  <si>
    <t>autonomous vehicle (AV) board oversight</t>
  </si>
  <si>
    <t xml:space="preserve">Our objective is for the company to enhance its board-level oversight of autonomous vehicle (AV) safety by publicly disclosing relevant governance mechanisms used to monitor AV partner performance. This includes transparency around  safety operator protocols, incident reporting frameworks and transition plans to driverless operations, ensuring alignment with systemic risk management and accountability to stakeholders.</t>
  </si>
  <si>
    <t>a5da700000059GPAAY</t>
  </si>
  <si>
    <t>The company acquired AZEK and obtained a waiver from the ASX, allowing it to issue shares to fund the acquisition without requiring shareholder approval. Following the transaction, the company lowered return on capital employed performance targets under its long-term incentive programme.</t>
  </si>
  <si>
    <t>a5da700000059HQAAY</t>
  </si>
  <si>
    <t>Corporate Reporting and Audit</t>
  </si>
  <si>
    <t>Companies need to report clearly and without any room for confusion particularly when disclosing their financial statements and accounts.</t>
  </si>
  <si>
    <t>a5da700000059HRAAY</t>
  </si>
  <si>
    <t>We aim for the insurer to disclose the impact of climate risk exposure within its financial statements, aligning with its broader sustainability reporting. The company should quantify the effects of both physical and transition climate risks, particularly in relation to forward-looking financial metrics such as underwriting assumptions, claims projections, reserving practices, and asset valuation. As climate change is expected to influence future economic conditions, investors will anticipate that key assumptions evolve to reflect these risks.</t>
  </si>
  <si>
    <t>M1, M2</t>
  </si>
  <si>
    <t>New -&gt; M3</t>
  </si>
  <si>
    <t>a5da700000059HiAAI</t>
  </si>
  <si>
    <t>Public policy engagement</t>
  </si>
  <si>
    <t xml:space="preserve">To improve the efficiency and effectiveness of the company's public policy advocacy strategy in line with its corporate goals, the company should review the stated positions and policy advocacy activities of its industry associations for alignment to its own positions and activities and disclose a summary of the results, including any proposed actions. 
In our view, such actions can help better improve the legal and regulatory environment in order for the company to take advantage of the opportunities and risks related to the energy transition, including under lower carbon scenarios, in the interests of the company and long-term shareholder value, and ensure the company is receiving an appropriate benefit for the costs of its membership in key associations.</t>
  </si>
  <si>
    <t>a5da700000059HjAAI</t>
  </si>
  <si>
    <t>Due diligence for BMP implementation</t>
  </si>
  <si>
    <t>The company should establish an appropriate due diligence process for the sustainability committee to evaluate the implementation progress towards the outcomes of the BMPs in order to demonstrate that any issues will be addressed and that expected outcomes will be delivered over time. This might include a common set of company KPIs, a robust reporting process and an appropriate auditing process to validate compliance.</t>
  </si>
  <si>
    <t>a5da700000059HSAAY</t>
  </si>
  <si>
    <t>AI and human capital impact</t>
  </si>
  <si>
    <t>a5da700000059INAAY</t>
  </si>
  <si>
    <t>Methane reduction strategy</t>
  </si>
  <si>
    <t>a5da700000059EPAAY</t>
  </si>
  <si>
    <t>Ethical AI Principles and HCM</t>
  </si>
  <si>
    <t>Our objective is for the company to publish its ethical AI principles, which demonstrate that it is developing and using AI within a responsible/ethical framework. The framework should address how the company is managing the impacts of AI on its workforce, including an explanation of its strategy to maximise positive impacts and mitigate negative impacts.</t>
  </si>
  <si>
    <t>a5da700000059EQAAY</t>
  </si>
  <si>
    <t>Robust board oversight and monitoring of advocacy plan</t>
  </si>
  <si>
    <t>After the publication of the company's 2025 climate transition plan, its policy dependencies, and policy positions, we are engaging the company on establishing and strengthening board oversight and monitoring of the advocacy plan.</t>
  </si>
  <si>
    <t>a5da700000059HpAAI</t>
  </si>
  <si>
    <t>Retrospective disclosure of executive pay incentives</t>
  </si>
  <si>
    <t>Our objective is for the company to demonstrate the appropriateness of awards through transparent reporting. At a minimum, the company should provide retrospective disclosure of performance metrics, including threshold and maximums used for each metric in the previous year's incentive programme.</t>
  </si>
  <si>
    <t>a5da700000059HoAAI</t>
  </si>
  <si>
    <t>Circular design and retrofit</t>
  </si>
  <si>
    <t>a5da70000005IfRAAU</t>
  </si>
  <si>
    <t>Sustainable transport fuels</t>
  </si>
  <si>
    <t>Our objective is for the company to demonstrate how it is taking specific actions to mitigate environmental and social risks and impacts resulting from the switch to sustainable transport fuels.</t>
  </si>
  <si>
    <t>a5da700000059HdAAI</t>
  </si>
  <si>
    <t>Our objective is for the company to enhance its climate lobbying disclosure to include direct and indirect lobbying.</t>
  </si>
  <si>
    <t>a5da700000059HeAAI</t>
  </si>
  <si>
    <t>a5da70000005M4jAAE</t>
  </si>
  <si>
    <t>The company should improve its executive remuneration structure. This includes introducing a higher shareholding requirement, disclosing threshold and target values under the short-term incentive, introducing more quantitative metrics in the long-term incentive's strategic objectives, and granting performance rights at the end of the performance period rather than at the beginning.</t>
  </si>
  <si>
    <t>M1, M2, M3</t>
  </si>
  <si>
    <t>New -&gt; M4</t>
  </si>
  <si>
    <t>a5da700000059HyAAI</t>
  </si>
  <si>
    <t>a5da70000005IYzAAM</t>
  </si>
  <si>
    <t>In order to retain the independence of the auditor there should be rotation at least every 20 years</t>
  </si>
  <si>
    <t>a5da700000059HfAAI</t>
  </si>
  <si>
    <t>The company should ensure that there is an adequate level of independence on the board.</t>
  </si>
  <si>
    <t>a5da700000059HxAAI</t>
  </si>
  <si>
    <t>Board composition - overboarding</t>
  </si>
  <si>
    <t>Monitoring possible over-boarding in relation to Ms. Foufopoulos-De Ridder having 5 board positions at time of AGM, although noting that she intends to resign from one position prior to that company's AGM.</t>
  </si>
  <si>
    <t>a5da700000059I3AAI</t>
  </si>
  <si>
    <t>Engagement on the governance of the use of AI at Sony Group, including the issues of child safety and intellectual property.</t>
  </si>
  <si>
    <t>a5da700000059HqAAI</t>
  </si>
  <si>
    <t>Artificial Intelligence Governance</t>
  </si>
  <si>
    <t>We are engaging with the company on AI governance.</t>
  </si>
  <si>
    <t>a5da700000059HuAAI</t>
  </si>
  <si>
    <t>External Validation of Targets</t>
  </si>
  <si>
    <t>The company withdrew its commitment to have its target externally validated by the Science Based Targets initiative.</t>
  </si>
  <si>
    <t>a5da70000005IabAAE</t>
  </si>
  <si>
    <t>Belimo's ability to attract, retain and develop a broad range of talent is critical for sustained success. We hope to engage to understand more about their hiring practices, as well the training and development provided to facilitate and provide equitable employment opportunities and career development pathways.</t>
  </si>
  <si>
    <t>a5da70000005Ih3AAE</t>
  </si>
  <si>
    <t>Company and ecosystem risk and resiilence</t>
  </si>
  <si>
    <t>We want to understand the company's key risks and mitigation approaches.</t>
  </si>
  <si>
    <t>a5da700000059IEAAY</t>
  </si>
  <si>
    <t>Medibank Pvt Ltd</t>
  </si>
  <si>
    <t>The company has nominated Jacqueline Hey as a director to the board. Jacqueline previously served on the board of Qantas. As Qantas faced significant governance issues during her tenure, we are engaging with the company on how her past experience was assessed and taken into consideration in her board nomination.</t>
  </si>
  <si>
    <t>a5da700000059I1AAI</t>
  </si>
  <si>
    <t>The company's shareholding requirement at 100% is considered low for an ASX100 company. Disclosure under the short-term incentive is limited which makes it difficult for shareholders to assess whether pay outcomes are justified. The short-term incentive deferral at 40% is considered to be comparatively low and the board has decided to reduce this further to 30% in 2026.</t>
  </si>
  <si>
    <t>a5da700000059I2AAI</t>
  </si>
  <si>
    <t>Physical risk</t>
  </si>
  <si>
    <t>We are engaging with the company on its role in supporting stakeholders manage physical climate risks.</t>
  </si>
  <si>
    <t>a5da70000005IFdAAM</t>
  </si>
  <si>
    <t>AI-related workforce impact</t>
  </si>
  <si>
    <t>While AI adoption remains in its early innings, the implications for workforce planning and organisation design are rapidly emerging. We wish to understand how the company is appraising the implication for headcount and skills requirements as enterprise AI adoption progresses and how they are responding accordingly evolving HR strategies and governance oversight and engaging with appropriately with their employees to manage the transition collaboratively.</t>
  </si>
  <si>
    <t>a5da70000005Lv3AAE</t>
  </si>
  <si>
    <t>We are engaging with the company on its adoption of AI and related governance.</t>
  </si>
  <si>
    <t>a5da700000059IFAAY</t>
  </si>
  <si>
    <t>Long-term Strategy</t>
  </si>
  <si>
    <t xml:space="preserve">The company does not provide visibility on its growth plan post 2028. In light of recent regulatory and legal challenges that have led to delays for US offshore wind farm projects, we would like to see the company provide more clarity on its growth strategy  and project pipeline post 2028.</t>
  </si>
  <si>
    <t>a5da70000005G8zAAE</t>
  </si>
  <si>
    <t>Accounting treatment of Samsung Electronics shares</t>
  </si>
  <si>
    <t xml:space="preserve">The company account for the Samsung Electronics shares it holds at the acquisition price.  Regulatory changes may require the shares to be revalued at market price,</t>
  </si>
  <si>
    <t>a5da700000059IGAAY</t>
  </si>
  <si>
    <t>Board effectiveness and LID role</t>
  </si>
  <si>
    <t>We are engaging the company on its board effectiveness after the CEO was appointed chair and the former chair appointed lead independent director (LID). The long tenure of the LID could warrant a robust succession plan to ensure that independent challenge of the joint chair and CEO is robust and contributes to the board's effectiveness.</t>
  </si>
  <si>
    <t>a5da700000059HnAAI</t>
  </si>
  <si>
    <t>Regenerative and precision agriculture</t>
  </si>
  <si>
    <t>The company has a position paper on regenerative agriculture and a range of product and service offerings for customers, including digital tools for measuring improvements in yield and environmental outcomes. We are engaging on how it plans to scale up regenerative and precision agriculture.</t>
  </si>
  <si>
    <t>a5da700000059I8AAI</t>
  </si>
  <si>
    <t>Climate and nature aligned lobbying</t>
  </si>
  <si>
    <t>We expect the company to improve transparency about its approach to direct and indirect policy engagement on climate and nature-related issues. We would like to see the company outline a structured approach to assessing the alignment of its lobbying activities with the Paris Agreement and the Global Biodiversity Framework, including explaining the approach and action being taken in cases of misalignment.</t>
  </si>
  <si>
    <t>a5da700000059I9AAI</t>
  </si>
  <si>
    <t>Independent audit committee</t>
  </si>
  <si>
    <t>The company should ensure that the audit committee is made up of adequately independent directors.</t>
  </si>
  <si>
    <t>a5da700000059HzAAI</t>
  </si>
  <si>
    <t>The company should ensure that the board is made of directors with appropriate expertise, diversity and independence.</t>
  </si>
  <si>
    <t>a5da700000059I0AAI</t>
  </si>
  <si>
    <t>Ethical AI governance</t>
  </si>
  <si>
    <t>In 2022 the company's AI Ethics Board disbanded following mass resignations and was subsequently replaced with an Ethics and Equity Council. Given the sensitivities associated with the end-uses of the company's products, including as they expand use-cases, it is important that ethical considerations are given adequate weight within strategy and product development</t>
  </si>
  <si>
    <t>a5da70000005MeDAAU</t>
  </si>
  <si>
    <t>The company's products have a 2 1/2 year (body cameras) or 5y lifecycle (tasers) thus generate a reasonable degree of material waste which needs responsible management and disposal - not least battery and other electrical components. At the same time, there may be opportunities associated product refurbishment.</t>
  </si>
  <si>
    <t>a5da70000005MfpAAE</t>
  </si>
  <si>
    <t>Company culture and organisation</t>
  </si>
  <si>
    <t>The company should foster a positive and inclusive culture to encourage cooperation between employees, especially in the face of numerous acquisitions.</t>
  </si>
  <si>
    <t>a5da70000005LmzAAE</t>
  </si>
  <si>
    <t>Access and affordability reporting</t>
  </si>
  <si>
    <t>Our objective is for the company to provide more granular detail on its access and affordability approach by separating out targets for lower and middle income countries and developed markets, rather only reporting on an aggregate of “vulnerable patients”. This would enable investor understand progress in different markets.</t>
  </si>
  <si>
    <t>a5da700000059inAAA</t>
  </si>
  <si>
    <t>Water strategy</t>
  </si>
  <si>
    <t>Localiza is a material water user within their car-washing business; they do use dry cleaning to some extent to help offset this. We are engaging on how their water strategy is developing over time.</t>
  </si>
  <si>
    <t>a5da70000005N7FAAU</t>
  </si>
  <si>
    <t>Our objective is for Deutsche Bank to consider the risks and opportunities of artificial intelligence and create governance structures to manage these.</t>
  </si>
  <si>
    <t>a5da70000005N2PAAU</t>
  </si>
  <si>
    <t>Just AI Transition</t>
  </si>
  <si>
    <t xml:space="preserve">Our objective is for the company to disclose the anticipated impacts of artificial intelligence (AI) deployment and the retraining/reskilling initiatives it has in place to support a 'just AI transition'. _x000D_
_x000D_
To better inform investors, companies should disclose the types of skills its workforce will need to deliver the value of its investment in AI and automation/robotics tools to customers. This will require companies to evaluate whether the existing employee base has such skillsets, whether retraining is needed, or whether it anticipates cutting jobs, scaling back full-time opportunities, or prioritising hiring for new skillsets.</t>
  </si>
  <si>
    <t>a5da700000059IDAAY</t>
  </si>
  <si>
    <t>FirstRand Ltd</t>
  </si>
  <si>
    <t>The company made a one-off restricted share award to its CEO. We do not wish to see one-off awards become a regular feature of the company's approach to executive remuneration.</t>
  </si>
  <si>
    <t>South Africa</t>
  </si>
  <si>
    <t>a5da70000005PaTAAU</t>
  </si>
  <si>
    <t>Access to independent directors</t>
  </si>
  <si>
    <t>The company provides investors with access to its independent directors to enable a board-level dialogue about board effectiveness, risk management, strategic oversight and other critical issues related to the board.</t>
  </si>
  <si>
    <t>a5da70000005PnNAAU</t>
  </si>
  <si>
    <t>Emission reductions reporting and targets</t>
  </si>
  <si>
    <t>FirstRand reports financed emissions using the PCAF standard with a net zero 2050 commitment and emissions reduction targets for high impact sectors in the pipeline. Its targets are not SBTI validated. While FirstRand is a strong performer, we are monitoring progress.</t>
  </si>
  <si>
    <t>a5da70000005PllAAE</t>
  </si>
  <si>
    <t>Impact of AI on workforce</t>
  </si>
  <si>
    <t>The transition to an AI-enhanced workplace is not a one-off project – it is a systemic shift in the way that companies organise work and govern human capital. Infosys needs to have a strategy in place to manage the transition responsibly, strategically and with fairness to all stakeholders.</t>
  </si>
  <si>
    <t>a5da70000005PfJAAU</t>
  </si>
  <si>
    <t>We are engaging with the bank to understand its governance structure and mechanisms to strengthen cyber security and data privacy. We note that any breaches could lead to a loss in confidence among customers and prospects, alongside litigation risks and regulatory fines. Cyber security risks are material across India, especially in the financial sector.</t>
  </si>
  <si>
    <t>a5da70000005PozAAE</t>
  </si>
  <si>
    <t>AI and Energy Demand</t>
  </si>
  <si>
    <t>Our objective is for the company to publish comprehensive energy efficiency roadmaps for AI servers, including quantified targets for reducing per-computation energy consumption, aligned with its existing energy goals. Additionally, the company should consider publishing standardized energy efficiency ratings for its servers to enhance transparency and comparability.</t>
  </si>
  <si>
    <t>a5da700000059EAAAY</t>
  </si>
  <si>
    <t>We are engaging with the company on AI deployment and related governance.</t>
  </si>
  <si>
    <t>a5da70000005R9FAAU</t>
  </si>
  <si>
    <t>We are engaging with the company on its deployment and governance of AI technologies.</t>
  </si>
  <si>
    <t>a5da70000005RArAAM</t>
  </si>
  <si>
    <t>While AI adoption remains at an early stage, the implications for workforce planning and organisation design are rapidly emerging. We wish to understand how the company is appraising the implication for headcount and skills requirements as enterprise AI adoption progresses. Also, how is the company responding by evolving its HR strategies and governance oversight, and engaging appropriately with its employees to manage the transition collaboratively.</t>
  </si>
  <si>
    <t>a5da70000005QebAAE</t>
  </si>
  <si>
    <t>As automotive companies move to more software-developed vehicles with fly-by-wire technology, AI and computer-controlled systems, connected apps and over-the-air updates, they are more exposed to cybersecurity risks.</t>
  </si>
  <si>
    <t>a5da70000005RKXAA2</t>
  </si>
  <si>
    <t>Management board gender diversity</t>
  </si>
  <si>
    <t>It is important for a company to have a management team with a diverse set of skills and backgrounds to ensure it is adequately prepared for future challenges.</t>
  </si>
  <si>
    <t>a5da70000005RM9AAM</t>
  </si>
  <si>
    <t>While AI adoption is at an early stage, the implications for workforce planning and organisation design are emerging. We wish to understand how the company is appraising the implications for headcount and skills requirements as enterprise AI adoption progresses. Also, how is it evolving its HR strategies and governance oversight, and engaging with employees to manage the transition collaboratively?</t>
  </si>
  <si>
    <t>a5da70000005RijAAE</t>
  </si>
  <si>
    <t>AI risk and opportunities</t>
  </si>
  <si>
    <t>Discussion on the opportunities and the risk of using artificial intelligence.</t>
  </si>
  <si>
    <t>a5da70000005RqnAAE</t>
  </si>
  <si>
    <t>a5da70000005RdtAAE</t>
  </si>
  <si>
    <t>a5da70000005RafAAE</t>
  </si>
  <si>
    <t>a5da70000005RVpAAM</t>
  </si>
  <si>
    <t>a5da70000005RXRAA2</t>
  </si>
  <si>
    <t>a5da70000005Rh7AAE</t>
  </si>
  <si>
    <t>a5da70000005RSbAAM</t>
  </si>
  <si>
    <t>Employee Satisfaction</t>
  </si>
  <si>
    <t>We engaged with the company on overall employee satisfaction and attrition following its acquisition of VMware.</t>
  </si>
  <si>
    <t>a5da70000005S25AAE</t>
  </si>
  <si>
    <t>Supply Chain Labour Rights</t>
  </si>
  <si>
    <t>We engaged with the company to understand how it assesses human rights risks in its supply chain.</t>
  </si>
  <si>
    <t>a5da70000005S8XAAU</t>
  </si>
  <si>
    <t>Methane in AI value chain</t>
  </si>
  <si>
    <t>We engaged with the company on how it is working with its suppliers to reduce methane emissions given its involvement with datacentres.</t>
  </si>
  <si>
    <t>a5da70000005SgPAAU</t>
  </si>
  <si>
    <t>We want the company to publish standardised energy efficiency ratings for all AI chips and disclose the total lifecycle energy impact, from manufacturing through to operational use, recognising that energy efficiency is financially material to Broadcom.</t>
  </si>
  <si>
    <t>a5da70000005T6DAAU</t>
  </si>
  <si>
    <t>Companies where climate is material and who have set ambitions climate targets and commitments should disclose in the financial statements how they have incorporate climate and what the impact on the accounts has been</t>
  </si>
  <si>
    <t>a5da70000005VPlAAM</t>
  </si>
  <si>
    <t>a5da70000005V9dAAE</t>
  </si>
  <si>
    <t>Companies are expected to set out how they have handled uncertainties, such as their climate commitments and targets, in the financial statements.</t>
  </si>
  <si>
    <t>a5da70000005VKvAAM</t>
  </si>
  <si>
    <t>While AI adoption is at an early stage, the implications for workforce planning and organisation design are rapidly emerging. We wish to understand how the company is appraising the implication for headcount and skills requirements as enterprise AI adoption progresses. Also, how is the company responding by evolving its HR strategies and governance oversight, and engaging appropriately with its employees to manage the transition collaboratively.</t>
  </si>
  <si>
    <t>a5da70000005Wk1AAE</t>
  </si>
  <si>
    <t>AI-related workforce impacts</t>
  </si>
  <si>
    <t>While AI adoption is at an early stage, the implications for workforce planning and organisation design are rapidly emerging. We wish to understand how the company is appraising the implication for headcount and skills requirements as enterprise AI adoption progresses. Also, how is the company responding by evolving its HR strategies and governance oversight, and engaging appropriately with its employees to manage the transition collaboratively and equitably.</t>
  </si>
  <si>
    <t>a5da70000005XD3AAM</t>
  </si>
  <si>
    <t>Seafood sourcing policy</t>
  </si>
  <si>
    <t>The company’s 2025 sustainability report disclosed its seafood sourcing practices and nature-related risk assessment, noting that most risks stem from farmed or wild-caught sources. A shareholder resolution in 2025 called the company to align its seafood sourcing policy with global best-practice standards, such as those set by the Conservation Alliance for Seafood Solutions (CASS).</t>
  </si>
  <si>
    <t>a5da70000005XubAAE</t>
  </si>
  <si>
    <t>Seafood sourcing</t>
  </si>
  <si>
    <t>The company's current Group Seafood Sourcing Policy emphasises on third-party certifications for own-brand seafood sold in Australia. Two shareholder resolutions in 2025 called the company to publish its farmed seafood reporting, and align its seafood sourcing policy with global best-practice standards, such as those set by the Conservation Alliance for Seafood Solutions (CASS).</t>
  </si>
  <si>
    <t>a5da70000005XxpAAE</t>
  </si>
  <si>
    <t>There are inconsistencies between the company's 'no-deforestation; and 'net-zero deforestation' goals, and its reactive approach to allegations raises concerns about supply chain oversight. The financial materiality of deforestation in Australia is increasing, meaning that the company could be exposed to physical, reputational and financial risks. We expect companies to develop a comprehensive approach to deforestation, covering all commodities and regions.</t>
  </si>
  <si>
    <t>a5da70000005XzRAAU</t>
  </si>
  <si>
    <t>Hazardous Chemicals Management</t>
  </si>
  <si>
    <t xml:space="preserve">o_x0009_All chemical companies face the risk that products could lead to unknown negative environmental and biological impacts. The production of hazardous chemicals is a key risk for the company and sector. Hazardous chemicals are also key drivers of biodiversity loss. We seek to support a transition towards safer chemicals._x000D_
o_x0009_The regulatory, and the market pressure to transition towards less hazardous chemicals is strong and will increase even more with the EU’s corporate sustainability reporting initiative CSRD. In China, India, and Russia there are similar attempts to understand the implications of sustainability metrics. Per- and polyfluoroalkyl substances (PFAS) have become an increasing priority for investors due to the financial materiality of the health and environmental risks.</t>
  </si>
  <si>
    <t>a5da70000005YU5AAM</t>
  </si>
  <si>
    <t>Natural capital credit ratings</t>
  </si>
  <si>
    <t>Discussions around the credit implications of natural capitals such as biodiversity loss and water stress.</t>
  </si>
  <si>
    <t>a5da70000005XrNAAU</t>
  </si>
  <si>
    <t>Our objective is for the company to adopt the Taskforce on Nature-related Financial Disclosures (TNFD) recommendations for identifying, assessing, and disclosing its nature-related impacts, dependencies, risks and opportunities. The disclosure highlights the relationship between regenerative agriculture, water, climate change and other relevant issues.</t>
  </si>
  <si>
    <t>a5da700000059IHAAY</t>
  </si>
  <si>
    <t>Share Buyback Governance</t>
  </si>
  <si>
    <t>Ensure good governance practice of the company's share buyback programme that seeks to minimise costs for shareholders.</t>
  </si>
  <si>
    <t>a5da70000005aE9AAI</t>
  </si>
  <si>
    <t>Shareholder return policy</t>
  </si>
  <si>
    <t>The company should articulate a clear capital allocation strategy and/or shareholder return policy to provide reassurance to investors that it will be run with an efficient balance sheet and in a way that aligns with minority shareholders interests.</t>
  </si>
  <si>
    <t>a5da70000005bVBAAY</t>
  </si>
  <si>
    <t>The International Accounting Standards Board (IASB) has recently released its official publication on how companies should handle uncertainties such as climate in their financial statements. Companies are expected to improve their disclosures to align with these examples.</t>
  </si>
  <si>
    <t>a5da70000005b0XAAQ</t>
  </si>
  <si>
    <t>a5da70000005b8bAAA</t>
  </si>
  <si>
    <t>HCM Practices</t>
  </si>
  <si>
    <t>We noted various articles citing Shopify’s strong human capital practices; however, we did not see any public disclosures from the company regarding these practices. Some things we look for in the disclosure include but are not limited to a strategy and action plan to hire from the widest talent pool, ensuring equal pay for equal work and enabling merit-based, upward mobility to enhance productivity, deliver customer satisfaction and innovate for long-term value creation, and board ownership of, and accountability for, human capital management and inclusion outcomes.</t>
  </si>
  <si>
    <t>a5da70000005bLVAAY</t>
  </si>
  <si>
    <t>a5da70000005bRxAAI</t>
  </si>
  <si>
    <t>Enhanced circularity disclosures</t>
  </si>
  <si>
    <t>Introducing waste-related metrics into its disclosures will better inform the company's circularity strategy, allowing it to track its progress on reducing waste, and set targets related to waste and use of plastic.</t>
  </si>
  <si>
    <t>a5da70000005dVNAAY</t>
  </si>
  <si>
    <t>Enhance reporting and strategy with metrics</t>
  </si>
  <si>
    <t>The company continues to oppose the disclosure of financed emissions, citing the need for greater consensus on a methodology for accurately calculating emissions before providing them in public reporting. In response to this stance, an alternative is for the company to disclose alternative metrics that can still indicate progress on climate-related topics for its lending and asset management portfolios. These can include the percentage of clients in high-carbon sectors with science-based targets or with emissions calculated and validated by 3rd parties. This would allow the company to demonstrate progress driven in part by its efforts through engagement.</t>
  </si>
  <si>
    <t>a5da70000005dQXAAY</t>
  </si>
  <si>
    <t>The company should conduct a comprehensive assessment of the physical risks it is exposed to under different climate scenarios, highlight assets that are at particular risk, and the adaptation and resilience measures that are being introduced to mitigate these risks.</t>
  </si>
  <si>
    <t>a5da70000005daDAAQ</t>
  </si>
  <si>
    <t>The risks related to antimicrobial resistance are increasing in healthcare and Eurofins has indirect exposure to these risks through its provision of tests for effective antibiotic residues and medical devices.</t>
  </si>
  <si>
    <t>a5da70000005dTlAAI</t>
  </si>
  <si>
    <t xml:space="preserve">The company demonstrates progress towards meeting its chosen targets and KPIs under its transition plan covering climate-related opportunities and risks._x000D_
_x000D_
In our view, improved reporting of such progress, together with a both quantitative and qualitative explanation of the drivers of recent emissions performance, including an explanation of the impact of factors such as organic growth, acquisitions/divestments, a changing product portfolio, or macroeconomic/regulatory drivers, and the identification of the cause of any underperformance could help yield valuable insights into the effectiveness of its strategy, in the interests of the company and long-term shareholder value.</t>
  </si>
  <si>
    <t>a5da70000005hCPAAY</t>
  </si>
  <si>
    <t>a5da700000059SDAAY</t>
  </si>
  <si>
    <t>While AI adoption remains at an early stage, the implications for workforce planning and organisation design are rapidly emerging. We wish to understand how the company is appraising the implication for headcount and skills requirements as enterprise AI adoption progresses. Also, how is the company responding by evolving its HR strategies and governance oversight and engaging appropriately with its employees to manage the transition collaboratively.</t>
  </si>
  <si>
    <t>a5da70000005dn7AAA</t>
  </si>
  <si>
    <t>Phase out of all PFAS from the manufacturing process</t>
  </si>
  <si>
    <t>TSMC is looking to phase out long-chain PFAS by 2030. However, the company has not yet set a target for phasing out the use of short-chain PFAS, which are less concerning but do still bioaccumulate.</t>
  </si>
  <si>
    <t>a5da70000005geXAAQ</t>
  </si>
  <si>
    <t>a5da70000005hQvAAI</t>
  </si>
  <si>
    <t>China Resources Beer Holdings Co Ltd</t>
  </si>
  <si>
    <t>Water intensity</t>
  </si>
  <si>
    <t>CR Beer has already established a target though they may need to revise it as the current target may not be achievable.</t>
  </si>
  <si>
    <t>a5da70000005k73AAA</t>
  </si>
  <si>
    <t>Emissions reduction</t>
  </si>
  <si>
    <t>Following full disclosure of all three scope of GHG emissions, the company sets an emission target that is aligned with the Paris Agreement. The target should be accompanied by a decarbonisation strategy and a timeline of each milestone. This target will help highlight how the company's business transition strategy will help mitigate climate change.</t>
  </si>
  <si>
    <t>a5da70000005k8fAAA</t>
  </si>
  <si>
    <t>Our objective is for the company to establish a comprehensive strategy to address climate-related risks and opportunities linked to its growing AI energy demands. This includes integrating energy efficiency and emissions awareness at the model and firmware levels, promoting the reduction of water usage in data centres, and prioritising environmentally and socially responsible data centre design and site selection.</t>
  </si>
  <si>
    <t>a5da70000005iZtAAI</t>
  </si>
  <si>
    <t>Independent board evaluation</t>
  </si>
  <si>
    <t>Our objective is for the company to increase disclosure around the process and outcomes of its internal board evaluations, and consider engaging with a third party to provide an independent board evaluation.</t>
  </si>
  <si>
    <t>a5da70000005iQDAAY</t>
  </si>
  <si>
    <t>AI-related human capital impacts</t>
  </si>
  <si>
    <t>a5da70000005jZBAAY</t>
  </si>
  <si>
    <t>a5da7000000598OAAQ</t>
  </si>
  <si>
    <t>Artificial Intelligence Principles</t>
  </si>
  <si>
    <t>Our objective is for the company to develop and disclose a set of principles underlying its use of artificial intelligence.</t>
  </si>
  <si>
    <t>a5da700000059g1AAA</t>
  </si>
  <si>
    <t>Enterprise AI workforce impact</t>
  </si>
  <si>
    <t>a5da70000005n4vAAA</t>
  </si>
  <si>
    <t>Living Wage Gap Assessment</t>
  </si>
  <si>
    <t>Our objective is for the company to develop and implement a comprehensive strategy to assess living wage gaps across the supply chains of its priority commodities.</t>
  </si>
  <si>
    <t>a5da70000005kNBAAY</t>
  </si>
  <si>
    <t>Establish Regenerative Agriculture Target</t>
  </si>
  <si>
    <t>Our objective is for the company to establish clear target(s) and timeline(s) to significantly increase the adoption of regenerative agriculture practices across its direct and indirect supply chains of its priority commodities, aiming for a substantial share of total ingredients sourced (e.g., by tonnes, sales, or volume)</t>
  </si>
  <si>
    <t>a5da70000005lfpAAA</t>
  </si>
  <si>
    <t>Implement deforestation and conversion-free strategy</t>
  </si>
  <si>
    <t>Our objective is for the company to implement its comprehensive strategy to achieve deforestation and conversion-free production/sourcing by 2030 at the latest. Direct and indirect suppliers are monitored, including through credible external verification, to demonstrate that they are deforestation and conversion free.</t>
  </si>
  <si>
    <t>a5da70000005lhRAAQ</t>
  </si>
  <si>
    <t>a5da70000005mwrAAA</t>
  </si>
  <si>
    <t>a5da70000005mYfAAI</t>
  </si>
  <si>
    <t>a5da70000005mf7AAA</t>
  </si>
  <si>
    <t>a5da70000005lxZAAQ</t>
  </si>
  <si>
    <t>AI-related environmental/social opportunities and risks</t>
  </si>
  <si>
    <t>The company discloses sufficient information to demonstrate how it is capturing opportunities and managing risks from AI-driven data centre energy demand. This may include verifying demand to reduce the risk of speculative overbuilding; proactive community engagement to address energy affordability and other environmental or social concerns and identifying energy diversification opportunities aligned with low-emissions scenarios and enhancing energy security.</t>
  </si>
  <si>
    <t>a5da70000005lntAAA</t>
  </si>
  <si>
    <t>a5da70000005m5dAAA</t>
  </si>
  <si>
    <t>a5da70000005mqPAAQ</t>
  </si>
  <si>
    <t>a5da70000005mgjAAA</t>
  </si>
  <si>
    <t>Disclosure on workforce safety and wellbeing</t>
  </si>
  <si>
    <t>Our objective is for the company to consider additional safety disclosures, such as the standardised data for fatalities and proactive metrics for near misses. It could also disclose its progress with regards to eliminating exposure to high-risk situations or hazards.</t>
  </si>
  <si>
    <t>a5da70000005lJFAAY</t>
  </si>
  <si>
    <t>While AI adoption remains in its early stages, there are significant implications for workforce planning and organisation design. We wish to understand how the company is considering the implications on headcount, skills requirements and governance oversight as enterprise AI adoption progresses.</t>
  </si>
  <si>
    <t>a5da70000005lHdAAI</t>
  </si>
  <si>
    <t>Nature strategy</t>
  </si>
  <si>
    <t>Discussing the company's strategy for managing nature risks and opportunity, particularly deforestation risk in their operations and supply chain.</t>
  </si>
  <si>
    <t>a5da70000005pEnAAI</t>
  </si>
  <si>
    <t>Financed emissions</t>
  </si>
  <si>
    <t>Scope 3 financed emissions represent the largest source of emissions for Samsung Life Insurance, compared with its Scope 1 and Scope 2 emissions. The company has committed to achieving net-zero financed emissions (Scope 3) by 2050.</t>
  </si>
  <si>
    <t>a5da70000005ruvAAA</t>
  </si>
  <si>
    <t>While AI adoption remains in its early stages, there are significant implications for workforce planning and organisation design. We wish to understand how the company is considering the implications for headcount and skills requirements as enterprise AI adoption progresses. Also, how is it responding, by evolving human resource strategies and governance oversight, and engaging with employees to manage the transition collaboratively.</t>
  </si>
  <si>
    <t>a5da70000005lCnAAI</t>
  </si>
  <si>
    <t>CVS Health Corp</t>
  </si>
  <si>
    <t>a5da70000005kBtAAI</t>
  </si>
  <si>
    <t>a5da70000005ms1AAA</t>
  </si>
  <si>
    <t>a5da70000005miLAAQ</t>
  </si>
  <si>
    <t>We are engaging with the company on its development, deployment, and governance of artificial intelligence.</t>
  </si>
  <si>
    <t>a5da70000005lZNAAY</t>
  </si>
  <si>
    <t>a5da70000005mOzAAI</t>
  </si>
  <si>
    <t>a5da70000005mX3AAI</t>
  </si>
  <si>
    <t>a5da70000005monAAA</t>
  </si>
  <si>
    <t>All chemical companies face the risk that their products could cause unknown negative environmental and biological impacts. The production of hazardous chemicals is a key risk for the company and sector. Hazardous chemicals are also key drivers of biodiversity loss. We seek to support a transition towards safer chemicals.</t>
  </si>
  <si>
    <t>a5da70000005oYrAAI</t>
  </si>
  <si>
    <t>a5da70000005oXFAAY</t>
  </si>
  <si>
    <t>a5da70000005lmHAAQ</t>
  </si>
  <si>
    <t xml:space="preserve">The company discloses sufficient information to demonstrate how it is capturing opportunities and managing risks from AI-driven data centre energy demand. This may  include verifying demand to reduce the risk of speculative overbuilding; proactive community engagement to address energy affordability and other environmental or social concerns and identifying energy diversification opportunities aligned with low-emissions scenarios and enhancing energy security.</t>
  </si>
  <si>
    <t>a5da70000005leDAAQ</t>
  </si>
  <si>
    <t>The company discloses sufficient information to demonstrate how it is capturing opportunities and managing risks from AI-driven data centre energy demand growth. This may include verifying demand to reduce the risk of speculative overbuilding; proactive community engagement to address energy affordability and other environmental or social concerns; and identifying energy diversification opportunities aligned with low-emissions scenarios and enhancing energy security.</t>
  </si>
  <si>
    <t>a5da70000005lcbAAA</t>
  </si>
  <si>
    <t>a5da70000005mTpAAI</t>
  </si>
  <si>
    <t>Our objective is for the company to conduct and disclose an analysis of pay differences between different groups of employees ('pay gaps') across its workforce and identify any cases of non-merit-based rewards and publish the results, all in line with all applicable laws and regulations, including the opportunity to pay a living wage, as defined by the Living Wage coalition.</t>
  </si>
  <si>
    <t>a5da70000005osDAAQ</t>
  </si>
  <si>
    <t>Workforce disclosure metrics</t>
  </si>
  <si>
    <t>To help enhance and protect long-term shareholder value, our objective is for the company to disclose the cost of its workforce, turnover data, and workforce composition data, in line with all applicable laws and regulations.</t>
  </si>
  <si>
    <t>a5da70000005otpAAA</t>
  </si>
  <si>
    <t>a5da70000005kDVAAY</t>
  </si>
  <si>
    <t>Enhanced HRIA Transparency</t>
  </si>
  <si>
    <t>Our objective is for the company to increase its engagement with stakeholders on human rights and increase the transparency of its human rights impact assessments (HRIAs), especially with respect to privacy and freedom of expression. In particular, the company should regularly meet with regional and in-country human rights activists and experts to discuss approaches to specific privacy and freedom of expression challenges; establish metrics for meaningful engagement with regional human rights activists and experts; and provide local stakeholders with appropriate regional and products points of contact. Additionally, the company should publish high-level findings, recommendations, and learnings from its HRIAs and engage with stakeholders about practices and experiences regarding enhancing transparency around HRIAs for the benefit of public awareness.</t>
  </si>
  <si>
    <t>a5da70000005ovRAAQ</t>
  </si>
  <si>
    <t>Our objective is to ensure that the board undergoes periodic performance evaluations conducted by an independent consultant. The company should provide a summary of the key findings, along with actions taken and those planned for implementation.</t>
  </si>
  <si>
    <t>a5da70000005MkfAAE</t>
  </si>
  <si>
    <t>To help enhance and protect long-term shareholder value, the company to disclose more information on its number of workforce, cost of its workforce, turnover data, and workforce composition data, in line with all applicable laws and regulations.</t>
  </si>
  <si>
    <t>a5da70000005lG1AAI</t>
  </si>
  <si>
    <t>Responsible AI governance</t>
  </si>
  <si>
    <t>Our objective is for the bank to establish robust and transparent AI and data governance structures, ensuring appropriate expertise and clear lines of accountability. These structures should be underlined with responsible AI and data governance policies and principles that explain how the bank is capturing AI-related opportunities, while mitigating risks that could result from unintended impacts of AI adoption on the business or from unintended harms to individuals or society.</t>
  </si>
  <si>
    <t>a5da70000005uKvAAI</t>
  </si>
  <si>
    <t>The company's chair has been on the board since 1996. His tenure on the board is over 29 years. The chair is also advancing in age - currently 78 years old, with his tenure due to be reviewed in 2027. The company has not provided clarity on the succession plan post 2027.</t>
  </si>
  <si>
    <t>a5da70000005VMXAA2</t>
  </si>
  <si>
    <t>Climate resilience</t>
  </si>
  <si>
    <t>The company has been a frontrunner in the implementation of climate-adaptation measures at its properties, in collaboration with the insurance industry. It is also a thought leader and has been actively sharing its innovation on this front with the real estate sector and wider financial industry.</t>
  </si>
  <si>
    <t>a5da70000005tjpAAA</t>
  </si>
  <si>
    <t>Following the abrupt departure of the company's CEO due to ethical conduct concerns, the company has taken steps to identify a new CEO. The company should disclose the steps it is taking to manage succession and build a robust talent pipeline so that investors can monitor its progress.</t>
  </si>
  <si>
    <t>a5da70000005scTAAQ</t>
  </si>
  <si>
    <t>Scope 3 disclosure</t>
  </si>
  <si>
    <t>The company has high emitting subsidiaries such as united tractors with coal exposure, but does not disclose scope 3 emissions data as of 2025. We are encouraging the company to disclose material scope 3 emissions.</t>
  </si>
  <si>
    <t>a5da70000005FxhAAE</t>
  </si>
  <si>
    <t>Our objective is for the company to demonstrate that its ethical conduct and compliance processes are effective. It should do this by, for example, enhancing the disclosure around the number and types of whistleblowing cases, and resolutions.</t>
  </si>
  <si>
    <t>M1, M3</t>
  </si>
  <si>
    <t>a5da70000005PgvAAE</t>
  </si>
  <si>
    <t>Board skills assessment</t>
  </si>
  <si>
    <t>Our objective is for the company to review its board composition to ensure it is accessing the necessary skills, and range of sector and industry experience appropriate to being able to address the strategic challenges faced by the business. As part of this, the company should provide enhanced disclosure on which board members cover which specific areas of expertise.</t>
  </si>
  <si>
    <t>a5da70000005Pk9AAE</t>
  </si>
  <si>
    <t>Renewable Energy Use</t>
  </si>
  <si>
    <t>The company has set a procurement target for sourcing renewable energy that only covers the company's existing assets. The renewable energy procurement target is not ambitious enough nor does it cover new projects or assets.</t>
  </si>
  <si>
    <t>a5da700000059aAAAQ</t>
  </si>
  <si>
    <t>Our objective is to encourage stronger alignment between executives and shareholders by introducing a minimum shareholding requirement.</t>
  </si>
  <si>
    <t>a5da70000005no5AAA</t>
  </si>
  <si>
    <t>Disclosure of PFAS in company's products</t>
  </si>
  <si>
    <t>The company increases transparency by disclosing the share of revenue and production volume of products that are or contain PFAS (per- and polyfluoroalkyl substances known as “forever chemicals”).</t>
  </si>
  <si>
    <t>a5da700000059chAAA</t>
  </si>
  <si>
    <t>Plastics / Packaging target</t>
  </si>
  <si>
    <t>Following the failure to meet its 2025 target on plastics packaging, the company should work on a practicable but ambitious approach to address its impact. This should be linked to a timebound target the company reports against and could be more specific and focussed on where the company has control. For instance, focussing on a pure plastics reduction target.</t>
  </si>
  <si>
    <t>a5da700000059ipAAA</t>
  </si>
  <si>
    <t>Water target</t>
  </si>
  <si>
    <t>The company sets time bound, science or contextual goals, targets and/or policies to address impacts on water availability and quality in water scarce areas across its value chain.</t>
  </si>
  <si>
    <t>a5da700000059iqAAA</t>
  </si>
  <si>
    <t>The company enhances its reporting around employee sentiment, which could include engagement on pay and benefits, as well as examples of how grievances are raised and addressed.</t>
  </si>
  <si>
    <t>2026 Q1</t>
  </si>
  <si>
    <t>a5da70000005yd3AAA</t>
  </si>
  <si>
    <t>Board level responsibility for climate</t>
  </si>
  <si>
    <t>At companies where the energy transition and carbon emissions reduction are material to their future sustainable financial performance, an executive board member should be responsible for the delivery of the climate change objectives.</t>
  </si>
  <si>
    <t>a5da700000065D7AAI</t>
  </si>
  <si>
    <t>DATA DISCLAIMER: The engagement data contained in this report is for the date range selected. However, the data is based on the most recent available holdings at the time the report was generated, it does not reflect your historical holdings for the date range.</t>
  </si>
  <si>
    <t>Issues and Objectives Engaged</t>
  </si>
  <si>
    <t>Meta-theme</t>
  </si>
  <si>
    <t>Global</t>
  </si>
  <si>
    <t>Total</t>
  </si>
  <si>
    <t>Objectives Engaged</t>
  </si>
  <si>
    <t>Objectives with Progress</t>
  </si>
  <si>
    <t>Issues and Objectives Engaged - Environmental</t>
  </si>
  <si>
    <t>Issues and Objectives Engaged - Social</t>
  </si>
  <si>
    <t>Issues and Objectives Engaged - Governance</t>
  </si>
  <si>
    <t>Issues and Objectives Engaged - Strategy, Risk &amp; Communication</t>
  </si>
  <si>
    <t>Objectives Engaged - Environmental</t>
  </si>
  <si>
    <t>Objectives Engaged - Social</t>
  </si>
  <si>
    <t>Objectives Engaged - Governance</t>
  </si>
  <si>
    <t>Objectives Engaged - Strategy, Risk &amp; Communication</t>
  </si>
  <si>
    <t>Objectives with Progress - Environmental</t>
  </si>
  <si>
    <t>Objectives with Progress - Social</t>
  </si>
  <si>
    <t>Objectives with Progress - Governance</t>
  </si>
  <si>
    <t>Objectives with Progress - Strategy, Risk &amp; Communication</t>
  </si>
  <si>
    <t>Issues and Objectives Engaged - Circular Economy &amp; Zero Pollution</t>
  </si>
  <si>
    <t>Sub-Theme</t>
  </si>
  <si>
    <t>Issues and Objectives Engaged - Climate Change</t>
  </si>
  <si>
    <t>Issues and Objectives Engaged - Natural Resource Stewardship</t>
  </si>
  <si>
    <t>Issues and Objectives Engaged - Human &amp; Labour Rights</t>
  </si>
  <si>
    <t>Issues and Objectives Engaged - Human Capital</t>
  </si>
  <si>
    <t xml:space="preserve">Issues and Objectives Engaged - Wider Societal Impacts </t>
  </si>
  <si>
    <t>Issues and Objectives Engaged - Board Effectiveness</t>
  </si>
  <si>
    <t>Issues and Objectives Engaged - Executive Remuneration</t>
  </si>
  <si>
    <t>Issues and Objectives Engaged - Investor Protection &amp; Rights</t>
  </si>
  <si>
    <t>Debtholder Rights</t>
  </si>
  <si>
    <t>Issues and Objectives Engaged - Corporate Reporting</t>
  </si>
  <si>
    <t>Issues and Objectives Engaged - Purpose, Strategy &amp; Policies</t>
  </si>
  <si>
    <t>Issues and Objectives Engaged - Risk Management</t>
  </si>
  <si>
    <t>Objectives Engaged - Circular Economy &amp; Zero Pollution</t>
  </si>
  <si>
    <t>Objectives Engaged - Climate Change</t>
  </si>
  <si>
    <t>Objectives Engaged - Natural Resource Stewardship</t>
  </si>
  <si>
    <t>Objectives Engaged - Human &amp; Labour Rights</t>
  </si>
  <si>
    <t>Objectives Engaged - Human Capital</t>
  </si>
  <si>
    <t xml:space="preserve">Objectives Engaged - Wider Societal Impacts </t>
  </si>
  <si>
    <t>Objectives Engaged - Board Effectiveness</t>
  </si>
  <si>
    <t>Objectives Engaged - Executive Remuneration</t>
  </si>
  <si>
    <t>Objectives Engaged - Investor Protection &amp; Rights</t>
  </si>
  <si>
    <t>Objectives Engaged - Corporate Reporting</t>
  </si>
  <si>
    <t>Objectives Engaged - Purpose, Strategy &amp; Policies</t>
  </si>
  <si>
    <t>Objectives Engaged - Risk Management</t>
  </si>
  <si>
    <t>Objectives with Progress - Circular Economy &amp; Zero Pollution</t>
  </si>
  <si>
    <t>Objectives with Progress - Climate Change</t>
  </si>
  <si>
    <t>Objectives with Progress - Natural Resource Stewardship</t>
  </si>
  <si>
    <t>Objectives with Progress - Human &amp; Labour Rights</t>
  </si>
  <si>
    <t>Objectives with Progress - Human Capital</t>
  </si>
  <si>
    <t xml:space="preserve">Objectives with Progress - Wider Societal Impacts </t>
  </si>
  <si>
    <t>Objectives with Progress - Board Effectiveness</t>
  </si>
  <si>
    <t>Objectives with Progress - Executive Remuneration</t>
  </si>
  <si>
    <t>Objectives with Progress - Investor Protection &amp; Rights</t>
  </si>
  <si>
    <t>Objectives with Progress - Corporate Reporting</t>
  </si>
  <si>
    <t>Objectives with Progress - Purpose, Strategy &amp; Policies</t>
  </si>
  <si>
    <t>Objectives with Progress - Risk Management</t>
  </si>
  <si>
    <t>companies overview</t>
  </si>
  <si>
    <t>Item</t>
  </si>
  <si>
    <t>companies engaged (issues and objectives)</t>
  </si>
  <si>
    <t>All Meta-themes</t>
  </si>
  <si>
    <t>companies engaged (objectives)</t>
  </si>
  <si>
    <t>companies with progress (objectives)</t>
  </si>
  <si>
    <t># actions for companies engaged (issues and objectives)</t>
  </si>
  <si>
    <t># actions for companies engaged (objectives)</t>
  </si>
  <si>
    <t># actions for companies with progress (objectives)</t>
  </si>
  <si>
    <t>AUA engaged (issues and objectives)</t>
  </si>
  <si>
    <t>AUA engaged (objectives)</t>
  </si>
  <si>
    <t>AUA with progress (objectives)</t>
  </si>
  <si>
    <t>Total AUA</t>
  </si>
  <si>
    <t>% AUA engaged (issues and objectives)</t>
  </si>
  <si>
    <t>% AUA engaged (objectives)</t>
  </si>
  <si>
    <t>% AUA with progress (objectives)</t>
  </si>
  <si>
    <t>companies engaged</t>
  </si>
  <si>
    <t># actions for companies engaged</t>
  </si>
  <si>
    <t>Total Engagement Objectives</t>
  </si>
  <si>
    <t>Total Objectives Engaged</t>
  </si>
  <si>
    <t>Without progress</t>
  </si>
  <si>
    <t>With progress</t>
  </si>
  <si>
    <t>Progress %</t>
  </si>
  <si>
    <t>% proportion of all objectives</t>
  </si>
  <si>
    <t>Total Engagement</t>
  </si>
  <si>
    <t>% of Total Engagement Objectives</t>
  </si>
  <si>
    <t>Total Engagement Objectives (column B)</t>
  </si>
  <si>
    <t>The number of corporate objectives linked to engaged companies</t>
  </si>
  <si>
    <t xml:space="preserve">Total Objectives Engaged  (column C)</t>
  </si>
  <si>
    <t>The number of corporate objectives that have been tagged to an action</t>
  </si>
  <si>
    <t xml:space="preserve">Progress %  (column F)</t>
  </si>
  <si>
    <t>The percentage of objectives with progress against the Total Engagement Objectives</t>
  </si>
  <si>
    <t>Report Parameters</t>
  </si>
  <si>
    <t>Date Created</t>
  </si>
  <si>
    <t>From</t>
  </si>
  <si>
    <t>01/10/2025</t>
  </si>
  <si>
    <t>To</t>
  </si>
  <si>
    <t>31/12/2025</t>
  </si>
  <si>
    <t>User</t>
  </si>
  <si>
    <t>System</t>
  </si>
  <si>
    <t>Client</t>
  </si>
  <si>
    <t>Coal Pension Trustees Service Ltd</t>
  </si>
  <si>
    <t>All Universe</t>
  </si>
  <si>
    <t>SubClients</t>
  </si>
  <si>
    <t>Mineworkers' Pension Scheme</t>
  </si>
  <si>
    <t>Accounts</t>
  </si>
  <si>
    <t>All</t>
  </si>
  <si>
    <t>Fund Managers</t>
  </si>
</sst>
</file>

<file path=xl/styles.xml><?xml version="1.0" encoding="utf-8"?>
<styleSheet xmlns="http://schemas.openxmlformats.org/spreadsheetml/2006/main">
  <numFmts count="0"/>
  <fonts count="6">
    <font>
      <sz val="11"/>
      <name val="Calibri"/>
    </font>
    <font>
      <u/>
      <sz val="11"/>
      <color rgb="FF0000FF" tint="0"/>
      <name val="Calibri"/>
    </font>
    <font>
      <b/>
      <sz val="11"/>
      <name val="Calibri"/>
    </font>
    <font>
      <b/>
      <sz val="14"/>
      <name val="Calibri"/>
    </font>
    <font>
      <u/>
      <sz val="11"/>
      <color rgb="FFFF0000" tint="0"/>
      <name val="Calibri"/>
    </font>
    <font>
      <b/>
      <sz val="11"/>
      <color rgb="FFFFFFFF" tint="0"/>
      <name val="Calibri"/>
    </font>
  </fonts>
  <fills count="7">
    <fill>
      <patternFill patternType="none"/>
    </fill>
    <fill>
      <patternFill patternType="gray125"/>
    </fill>
    <fill>
      <patternFill patternType="solid">
        <fgColor rgb="FFFD9A7F" tint="0"/>
      </patternFill>
    </fill>
    <fill>
      <patternFill patternType="solid">
        <fgColor rgb="FFE7E6E6" tint="0"/>
      </patternFill>
    </fill>
    <fill>
      <patternFill patternType="solid">
        <fgColor rgb="FFFA4616" tint="0"/>
      </patternFill>
    </fill>
    <fill>
      <patternFill patternType="solid">
        <fgColor rgb="FF012169" tint="0"/>
      </patternFill>
    </fill>
    <fill>
      <patternFill patternType="solid">
        <fgColor rgb="FF00A3E0" tint="0"/>
      </patternFill>
    </fill>
  </fills>
  <borders count="9">
    <border>
      <left/>
      <right/>
      <top/>
      <bottom/>
      <diagonal/>
    </border>
    <border>
      <left/>
      <right/>
      <top style="medium"/>
      <bottom/>
      <diagonal/>
    </border>
    <border>
      <left/>
      <right/>
      <top/>
      <bottom style="medium"/>
      <diagonal/>
    </border>
    <border>
      <left style="medium"/>
      <right/>
      <top style="medium"/>
      <bottom/>
      <diagonal/>
    </border>
    <border>
      <left style="medium"/>
      <right/>
      <top/>
      <bottom style="medium"/>
      <diagonal/>
    </border>
    <border>
      <left/>
      <right style="medium"/>
      <top style="medium"/>
      <bottom/>
      <diagonal/>
    </border>
    <border>
      <left/>
      <right style="medium"/>
      <top/>
      <bottom style="medium"/>
      <diagonal/>
    </border>
    <border>
      <left style="medium"/>
      <right/>
      <top/>
      <bottom/>
      <diagonal/>
    </border>
    <border>
      <left/>
      <right style="medium"/>
      <top/>
      <bottom/>
      <diagonal/>
    </border>
  </borders>
  <cellStyleXfs count="3">
    <xf numFmtId="0" fontId="0"/>
    <xf numFmtId="0" fontId="1"/>
    <xf numFmtId="0" fontId="1" fillId="2"/>
  </cellStyleXfs>
  <cellXfs count="3">
    <xf numFmtId="0" applyNumberFormat="1" fontId="0" applyFont="1" xfId="0" applyProtection="1"/>
    <xf numFmtId="0" fontId="2"/>
    <xf numFmtId="0" fontId="3">
      <alignment horizontal="center"/>
    </xf>
    <xf numFmtId="0" fontId="4">
      <alignment horizontal="center"/>
    </xf>
    <xf numFmtId="0" fontId="0" borderId="1"/>
    <xf numFmtId="0" fontId="0" borderId="2"/>
    <xf numFmtId="0" fontId="2" fillId="3" borderId="3">
      <alignment horizontal="center"/>
    </xf>
    <xf numFmtId="0" fontId="2" borderId="4">
      <alignment wrapText="1"/>
    </xf>
    <xf numFmtId="0" fontId="0" borderId="5"/>
    <xf numFmtId="0" fontId="0" borderId="6"/>
    <xf numFmtId="0" fontId="2" borderId="7">
      <alignment wrapText="1"/>
    </xf>
    <xf numFmtId="0" fontId="0" borderId="8"/>
    <xf numFmtId="0" fontId="0">
      <alignment horizontal="left" wrapText="1"/>
    </xf>
    <xf numFmtId="0" fontId="5" fillId="4"/>
    <xf numFmtId="0" fontId="0" fillId="2"/>
    <xf numFmtId="0" fontId="5" fillId="5"/>
    <xf numFmtId="0" applyNumberFormat="1" fontId="1" applyFont="1" fillId="2" applyFill="1" xfId="2" applyProtection="1"/>
    <xf numFmtId="0" fontId="5" fillId="6"/>
    <xf numFmtId="10" fontId="0"/>
    <xf numFmtId="0" applyNumberFormat="1" fontId="2" applyFont="1" xfId="0" applyProtection="1"/>
    <xf numFmtId="4" fontId="0"/>
    <xf numFmtId="0" applyNumberFormat="1" fontId="5" applyFont="1" fillId="5" applyFill="1" xfId="0" applyProtection="1"/>
    <xf numFmtId="10" applyNumberFormat="1" fontId="0" applyFont="1" xfId="0" applyProtection="1"/>
    <xf numFmtId="10" applyNumberFormat="1" fontId="2" applyFont="1" xfId="0" applyProtection="1"/>
  </cellXfs>
  <cellStyles count="3">
    <cellStyle name="Normal" xfId="0" builtinId="0"/>
    <cellStyle name="Hyperlink" xfId="1"/>
    <cellStyle name="HyperlinkIsConfidential" xfId="2"/>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Relationships>
</file>

<file path=xl/tables/table1.xml><?xml version="1.0" encoding="utf-8"?>
<table xmlns="http://schemas.openxmlformats.org/spreadsheetml/2006/main" id="1" name="EngagementDetail" displayName="EngagementDetail" ref="A1:CT3088" headerRowCount="1">
  <autoFilter ref="A1:CT3088"/>
  <tableColumns count="118">
    <tableColumn id="1" name="CONFIDENTIAL - Company Issuer Code"/>
    <tableColumn id="3" name="Company Name"/>
    <tableColumn id="4" name="CONFIDENTIAL - Link to Company Page in Portal"/>
    <tableColumn id="5" name="Engagement Type"/>
    <tableColumn id="6" name="Engagement Name"/>
    <tableColumn id="8" name="CONFIDENTIAL - Link to Engagement Page in Portal"/>
    <tableColumn id="9" name="CONFIDENTIAL - Engagement Description"/>
    <tableColumn id="10" name="Company in Core Engagement Programme"/>
    <tableColumn id="11" name="CONFIDENTIAL - Engagement Tier (1-3)"/>
    <tableColumn id="13" name="MetaTheme"/>
    <tableColumn id="14" name="Theme"/>
    <tableColumn id="15" name="Sub-theme"/>
    <tableColumn id="16" name="Region"/>
    <tableColumn id="17" name="Country"/>
    <tableColumn id="18" name="Sector"/>
    <tableColumn id="19" name="Engagement Special Category"/>
    <tableColumn id="20" name="Engaged in Period"/>
    <tableColumn id="21" name="Objective With Progress During Period"/>
    <tableColumn id="22" name="CONFIDENTIAL - Number Actions During Period"/>
    <tableColumn id="23" name="Engagement Start Date"/>
    <tableColumn id="25" name="M1 - Raising Concerns: Status"/>
    <tableColumn id="26" name="CONFIDENTIAL - M1 Completed/Discontinued Date"/>
    <tableColumn id="28" name="M2 - Acknowledging Concerns: Status"/>
    <tableColumn id="29" name="CONFIDENTIAL - M2 Completed/Discontinued Date"/>
    <tableColumn id="31" name="M3 - Planning: Status"/>
    <tableColumn id="32" name="CONFIDENTIAL - M3 Completed/Discontinued Date"/>
    <tableColumn id="34" name="M4 Implementing: Status"/>
    <tableColumn id="35" name="CONFIDENTIAL - M4 Completed/Discontinued Date"/>
    <tableColumn id="41" name="Milestones Completed"/>
    <tableColumn id="42" name="Corporate Objective Stage at Report Period End"/>
    <tableColumn id="43" name="Progress During Period"/>
    <tableColumn id="44" name="Milestones Completed During Period"/>
    <tableColumn id="51" name="Number of Escalations"/>
    <tableColumn id="52" name="Escalation Detail"/>
    <tableColumn id="53" name="Momentum"/>
    <tableColumn id="54" name="Closure Rationale"/>
    <tableColumn id="55" name="Last Action Date"/>
    <tableColumn id="56" name="CONFIDENTIAL - Outcome Statement"/>
    <tableColumn id="57" name="Outcome Status"/>
    <tableColumn id="58" name="CONFIDENTIAL - Outcome Status Rationale"/>
    <tableColumn id="59" name="Outcome Next Steps"/>
    <tableColumn id="60" name="Outcome Last Updated"/>
    <tableColumn id="62" name="SDG 01: No poverty"/>
    <tableColumn id="63" name="SDG 02: Zero hunger"/>
    <tableColumn id="64" name="SDG 03: Good health and well-being"/>
    <tableColumn id="65" name="SDG 04: Quality education"/>
    <tableColumn id="66" name="SDG 05: Gender equality"/>
    <tableColumn id="67" name="SDG 06: Clean water and sanitation"/>
    <tableColumn id="68" name="SDG 07: Affordable and clean energy"/>
    <tableColumn id="69" name="SDG 08: Decent work and economic growth"/>
    <tableColumn id="70" name="SDG 09: Industry, innovation and infrastructure"/>
    <tableColumn id="71" name="SDG 10: Reduced inequalities"/>
    <tableColumn id="72" name="SDG 11: Sustainable cities and communities"/>
    <tableColumn id="73" name="SDG 12: Responsible consumption and production"/>
    <tableColumn id="74" name="SDG 13: Climate action"/>
    <tableColumn id="75" name="SDG 14: Life below water"/>
    <tableColumn id="76" name="SDG 15: Life on land"/>
    <tableColumn id="77" name="SDG 16: Peace, justice and strong institutions"/>
    <tableColumn id="78" name="SDG 17: Partnerships for the goals"/>
    <tableColumn id="80" name="PAI M1. GHG emissions"/>
    <tableColumn id="81" name="PAI M2. Carbon footprint"/>
    <tableColumn id="82" name="PAI M3. GHG intensity "/>
    <tableColumn id="83" name="PAI M5. Share of non-renewable energy"/>
    <tableColumn id="84" name="PAI M6. Energy consumption intensity"/>
    <tableColumn id="85" name="PAI M7. Negative effects on biodiversity"/>
    <tableColumn id="86" name="PAI M8. Emissions to water"/>
    <tableColumn id="87" name="PAI M9. Hazardous waste ratio"/>
    <tableColumn id="88" name="PAI M10. Violations of UNGCP &amp; OECD"/>
    <tableColumn id="89" name="PAI M13. Board gender diversity"/>
    <tableColumn id="90" name="PAI M14. Exposure to controversial weapons"/>
    <tableColumn id="91" name="PAI VE1. Emissions of inorganic pollutants"/>
    <tableColumn id="92" name="PAI VE2. Emissions of air pollutants"/>
    <tableColumn id="93" name="PAI VE3. Ozone depletion"/>
    <tableColumn id="94" name="PAI VE4. No carbon reduction initiatives"/>
    <tableColumn id="95" name="PAI VE5. Energy consumption by non-renewables"/>
    <tableColumn id="96" name="PAI VE6. Water usage and recycling"/>
    <tableColumn id="97" name="PAI VE7. Lack water management policy"/>
    <tableColumn id="98" name="PAI VE8. Water stress"/>
    <tableColumn id="99" name="PAI VE10. Land &amp; soil degradation, deforestation"/>
    <tableColumn id="100" name="PAI VE11. Lack sustainable agriculture"/>
    <tableColumn id="101" name="PAI VE12. Lack sustainable oceans practice"/>
    <tableColumn id="102" name="PAI VE13. Non-recycled waste ratio"/>
    <tableColumn id="103" name="PAI VE14. Natural species, protected areas"/>
    <tableColumn id="104" name="PAI VE15. Deforestation"/>
    <tableColumn id="105" name="PAI VS1. No workplace accident policies"/>
    <tableColumn id="106" name="PAI VS2. Rate of accidents"/>
    <tableColumn id="107" name="PAI VS3. Number of days lost to injuries, accidents, fatalities or illness"/>
    <tableColumn id="108" name="PAI VS5. Lack employee grievance mechanism"/>
    <tableColumn id="109" name="PAI VS7. Incidents of discrimination"/>
    <tableColumn id="110" name="PAI VS8. Excessive CEO pay ratio"/>
    <tableColumn id="111" name="PAI VS9. Lack human rights policy"/>
    <tableColumn id="112" name="PAI VS10. Lack due diligence"/>
    <tableColumn id="113" name="PAI VS11. Lack human trafficking controls"/>
    <tableColumn id="114" name="PAI VS14. Number of severe human rights issues &amp; incidents"/>
    <tableColumn id="115" name="PAI VS15. Lack controls around bribery &amp; corruption"/>
    <tableColumn id="116" name="PAI VS16. Lack action to address bribery &amp; corruption"/>
    <tableColumn id="117" name="PAI VS17. Number of convictions &amp; cost of fines re bribery &amp; corruption"/>
    <tableColumn id="118" name="Engagement ID"/>
  </tableColumns>
  <tableStyleInfo name="TableStyleMedium2" showFirstColumn="0" showLastColumn="0" showRowStripes="1" showColumnStripes="0"/>
</table>
</file>

<file path=xl/worksheets/_rels/sheet2.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32"/>
  <sheetViews>
    <sheetView workbookViewId="0" showGridLines="0"/>
  </sheetViews>
  <sheetFormatPr defaultRowHeight="15"/>
  <cols>
    <col min="1" max="1" width="3" customWidth="1"/>
    <col min="4" max="4" width="13.57" customWidth="1"/>
    <col min="7" max="7" width="86.57" customWidth="1"/>
  </cols>
  <sheetData>
    <row r="1">
      <c r="B1" s="2" t="s">
        <v>0</v>
      </c>
    </row>
    <row r="3">
      <c r="B3" s="3" t="s">
        <v>1</v>
      </c>
    </row>
    <row r="5">
      <c r="B5" s="6" t="s">
        <v>2</v>
      </c>
      <c r="C5" s="4"/>
      <c r="D5" s="4"/>
      <c r="E5" s="4"/>
      <c r="F5" s="4"/>
      <c r="G5" s="8"/>
    </row>
    <row r="6" ht="46.5" customHeight="1">
      <c r="B6" s="7" t="s">
        <v>3</v>
      </c>
      <c r="C6" s="5"/>
      <c r="D6" s="5"/>
      <c r="E6" s="5"/>
      <c r="F6" s="5"/>
      <c r="G6" s="9"/>
    </row>
    <row r="8">
      <c r="B8" s="6" t="s">
        <v>4</v>
      </c>
      <c r="C8" s="4"/>
      <c r="D8" s="4"/>
      <c r="E8" s="4"/>
      <c r="F8" s="4"/>
      <c r="G8" s="8"/>
    </row>
    <row r="9" ht="30.75" customHeight="1">
      <c r="B9" s="10" t="s">
        <v>5</v>
      </c>
      <c r="G9" s="11"/>
    </row>
    <row r="10">
      <c r="B10" s="7" t="s">
        <v>6</v>
      </c>
      <c r="C10" s="5"/>
      <c r="D10" s="5"/>
      <c r="E10" s="5"/>
      <c r="F10" s="5"/>
      <c r="G10" s="9"/>
    </row>
    <row r="12">
      <c r="B12" s="1" t="s">
        <v>7</v>
      </c>
      <c r="D12" s="1" t="s">
        <v>8</v>
      </c>
    </row>
    <row r="14">
      <c r="B14" s="1" t="s">
        <v>9</v>
      </c>
    </row>
    <row r="16">
      <c r="B16" s="1" t="s">
        <v>10</v>
      </c>
    </row>
    <row r="17">
      <c r="B17" s="0" t="s">
        <v>11</v>
      </c>
      <c r="C17" s="0" t="s">
        <v>12</v>
      </c>
      <c r="G17" s="0" t="s">
        <v>13</v>
      </c>
    </row>
    <row r="18">
      <c r="B18" s="0" t="s">
        <v>14</v>
      </c>
      <c r="C18" s="0" t="s">
        <v>15</v>
      </c>
      <c r="G18" s="0" t="s">
        <v>16</v>
      </c>
    </row>
    <row r="19">
      <c r="B19" s="0" t="s">
        <v>17</v>
      </c>
      <c r="C19" s="0" t="s">
        <v>18</v>
      </c>
      <c r="G19" s="0" t="s">
        <v>19</v>
      </c>
    </row>
    <row r="20">
      <c r="B20" s="0" t="s">
        <v>20</v>
      </c>
      <c r="C20" s="0" t="s">
        <v>21</v>
      </c>
      <c r="G20" s="0" t="s">
        <v>22</v>
      </c>
    </row>
    <row r="22">
      <c r="B22" s="1" t="s">
        <v>23</v>
      </c>
    </row>
    <row r="24" ht="102" customHeight="1">
      <c r="B24" s="12" t="s">
        <v>24</v>
      </c>
    </row>
    <row r="26">
      <c r="B26" s="1" t="s">
        <v>25</v>
      </c>
    </row>
    <row r="28" ht="90.75" customHeight="1">
      <c r="B28" s="12" t="s">
        <v>26</v>
      </c>
    </row>
    <row r="30">
      <c r="B30" s="1" t="s">
        <v>27</v>
      </c>
    </row>
    <row r="32" ht="31.5" customHeight="1">
      <c r="B32" s="12" t="s">
        <v>28</v>
      </c>
    </row>
  </sheetData>
  <mergeCells>
    <mergeCell ref="B1:G1"/>
    <mergeCell ref="B3:G3"/>
    <mergeCell ref="B5:G5"/>
    <mergeCell ref="B6:G6"/>
    <mergeCell ref="B8:G8"/>
    <mergeCell ref="B9:G9"/>
    <mergeCell ref="B10:G10"/>
    <mergeCell ref="B24:G24"/>
    <mergeCell ref="B28:G28"/>
    <mergeCell ref="B32:G32"/>
  </mergeCells>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T3092"/>
  <sheetViews>
    <sheetView workbookViewId="0"/>
  </sheetViews>
  <sheetFormatPr defaultRowHeight="15"/>
  <cols>
    <col min="1" max="1" width="47.53571319580078" customWidth="1"/>
    <col min="2" max="2" width="47.28571319580078" customWidth="1"/>
    <col min="3" max="3" width="58.96428680419922" customWidth="1"/>
    <col min="4" max="4" width="23.678571701049805" customWidth="1"/>
    <col min="5" max="5" width="92.28571319580078" customWidth="1"/>
    <col min="6" max="6" width="62.67856979370117" customWidth="1"/>
    <col min="7" max="7" width="90" customWidth="1"/>
    <col min="8" max="8" width="52.39285659790039" customWidth="1"/>
    <col min="9" max="9" width="48.53571319580078" customWidth="1"/>
    <col min="10" max="10" width="34.71428680419922" customWidth="1"/>
    <col min="11" max="11" width="36.42856979370117" customWidth="1"/>
    <col min="12" max="12" width="46" customWidth="1"/>
    <col min="13" max="13" width="34.42856979370117" customWidth="1"/>
    <col min="14" max="14" width="56.71428680419922" customWidth="1"/>
    <col min="15" max="15" width="38.85714340209961" customWidth="1"/>
    <col min="16" max="16" width="137.7142791748047" customWidth="1"/>
    <col min="17" max="17" width="24.10714340209961" customWidth="1"/>
    <col min="18" max="18" width="48.10714340209961" customWidth="1"/>
    <col min="19" max="19" width="57.53571319580078" customWidth="1"/>
    <col min="20" max="20" width="30.535715103149414" customWidth="1"/>
    <col min="21" max="21" width="38.25" customWidth="1"/>
    <col min="22" max="22" width="61.39285659790039" customWidth="1"/>
    <col min="23" max="23" width="47.39285659790039" customWidth="1"/>
    <col min="24" max="24" width="61.39285659790039" customWidth="1"/>
    <col min="25" max="25" width="28.25" customWidth="1"/>
    <col min="26" max="26" width="61.39285659790039" customWidth="1"/>
    <col min="27" max="27" width="32.535715103149414" customWidth="1"/>
    <col min="28" max="28" width="61.39285659790039" customWidth="1"/>
    <col min="29" max="29" width="29.10714340209961" customWidth="1"/>
    <col min="30" max="30" width="59.10714340209961" customWidth="1"/>
    <col min="31" max="31" width="30.10714340209961" customWidth="1"/>
    <col min="32" max="32" width="45.82143020629883" customWidth="1"/>
    <col min="33" max="33" width="29.25" customWidth="1"/>
    <col min="34" max="34" width="90" customWidth="1"/>
    <col min="35" max="35" width="20.428571701049805" customWidth="1"/>
    <col min="36" max="36" width="46.85714340209961" customWidth="1"/>
    <col min="37" max="37" width="22.39285659790039" customWidth="1"/>
    <col min="38" max="38" width="90" customWidth="1"/>
    <col min="39" max="39" width="21.821428298950195" customWidth="1"/>
    <col min="40" max="40" width="52.96428680419922" customWidth="1"/>
    <col min="41" max="41" width="26.964284896850586" customWidth="1"/>
    <col min="42" max="42" width="29.678571701049805" customWidth="1"/>
    <col min="43" max="43" width="26.10714340209961" customWidth="1"/>
    <col min="44" max="44" width="27.39285659790039" customWidth="1"/>
    <col min="45" max="45" width="45.10714340209961" customWidth="1"/>
    <col min="46" max="46" width="33.821428298950195" customWidth="1"/>
    <col min="47" max="47" width="31.821428298950195" customWidth="1"/>
    <col min="48" max="48" width="44.82143020629883" customWidth="1"/>
    <col min="49" max="49" width="46.10714340209961" customWidth="1"/>
    <col min="50" max="50" width="53.82143020629883" customWidth="1"/>
    <col min="51" max="51" width="58.53571319580078" customWidth="1"/>
    <col min="52" max="52" width="37.53571319580078" customWidth="1"/>
    <col min="53" max="53" width="54.82143020629883" customWidth="1"/>
    <col min="54" max="54" width="61.25" customWidth="1"/>
    <col min="55" max="55" width="30.10714340209961" customWidth="1"/>
    <col min="56" max="56" width="32.678571701049805" customWidth="1"/>
    <col min="57" max="57" width="26.678571701049805" customWidth="1"/>
    <col min="58" max="58" width="57.10714340209961" customWidth="1"/>
    <col min="59" max="59" width="43.53571319580078" customWidth="1"/>
    <col min="60" max="60" width="29.964284896850586" customWidth="1"/>
    <col min="61" max="61" width="31.678571701049805" customWidth="1"/>
    <col min="62" max="62" width="28.678571701049805" customWidth="1"/>
    <col min="63" max="63" width="49.25" customWidth="1"/>
    <col min="64" max="64" width="47.39285659790039" customWidth="1"/>
    <col min="65" max="65" width="50.10714340209961" customWidth="1"/>
    <col min="66" max="66" width="34.82143020629883" customWidth="1"/>
    <col min="67" max="67" width="38.96428680419922" customWidth="1"/>
    <col min="68" max="68" width="47.25" customWidth="1"/>
    <col min="69" max="69" width="40.67856979370117" customWidth="1"/>
    <col min="70" max="70" width="55.10714340209961" customWidth="1"/>
    <col min="71" max="71" width="52.10714340209961" customWidth="1"/>
    <col min="72" max="72" width="44.39285659790039" customWidth="1"/>
    <col min="73" max="73" width="32.25" customWidth="1"/>
    <col min="74" max="74" width="49.53571319580078" customWidth="1"/>
    <col min="75" max="75" width="60.10714340209961" customWidth="1"/>
    <col min="76" max="76" width="44.53571319580078" customWidth="1"/>
    <col min="77" max="77" width="49.96428680419922" customWidth="1"/>
    <col min="78" max="78" width="28.39285659790039" customWidth="1"/>
    <col min="79" max="79" width="59.96428680419922" customWidth="1"/>
    <col min="80" max="80" width="47.96428680419922" customWidth="1"/>
    <col min="81" max="81" width="53.67856979370117" customWidth="1"/>
    <col min="82" max="82" width="44.25" customWidth="1"/>
    <col min="83" max="83" width="53.25" customWidth="1"/>
    <col min="84" max="84" width="30.821428298950195" customWidth="1"/>
    <col min="85" max="85" width="49.82143020629883" customWidth="1"/>
    <col min="86" max="86" width="33.821428298950195" customWidth="1"/>
    <col min="87" max="87" width="85.82142639160156" customWidth="1"/>
    <col min="88" max="88" width="57.25" customWidth="1"/>
    <col min="89" max="89" width="44.53571319580078" customWidth="1"/>
    <col min="90" max="90" width="41.53571319580078" customWidth="1"/>
    <col min="91" max="91" width="42.67856979370117" customWidth="1"/>
    <col min="92" max="92" width="36.53571319580078" customWidth="1"/>
    <col min="93" max="93" width="51.82143020629883" customWidth="1"/>
    <col min="94" max="94" width="73.96428680419922" customWidth="1"/>
    <col min="95" max="95" width="63.96428680419922" customWidth="1"/>
    <col min="96" max="96" width="65.96428680419922" customWidth="1"/>
    <col min="97" max="97" width="86.53571319580078" customWidth="1"/>
    <col min="98" max="98" width="26" customWidth="1"/>
  </cols>
  <sheetData>
    <row r="1">
      <c r="A1" s="13" t="s">
        <v>29</v>
      </c>
      <c r="B1" s="15" t="s">
        <v>30</v>
      </c>
      <c r="C1" s="13" t="s">
        <v>31</v>
      </c>
      <c r="D1" s="15" t="s">
        <v>32</v>
      </c>
      <c r="E1" s="15" t="s">
        <v>33</v>
      </c>
      <c r="F1" s="13" t="s">
        <v>34</v>
      </c>
      <c r="G1" s="13" t="s">
        <v>35</v>
      </c>
      <c r="H1" s="15" t="s">
        <v>36</v>
      </c>
      <c r="I1" s="13" t="s">
        <v>37</v>
      </c>
      <c r="J1" s="15" t="s">
        <v>38</v>
      </c>
      <c r="K1" s="15" t="s">
        <v>39</v>
      </c>
      <c r="L1" s="15" t="s">
        <v>40</v>
      </c>
      <c r="M1" s="15" t="s">
        <v>41</v>
      </c>
      <c r="N1" s="15" t="s">
        <v>42</v>
      </c>
      <c r="O1" s="15" t="s">
        <v>43</v>
      </c>
      <c r="P1" s="15" t="s">
        <v>44</v>
      </c>
      <c r="Q1" s="15" t="s">
        <v>45</v>
      </c>
      <c r="R1" s="15" t="s">
        <v>46</v>
      </c>
      <c r="S1" s="13" t="s">
        <v>47</v>
      </c>
      <c r="T1" s="15" t="s">
        <v>48</v>
      </c>
      <c r="U1" s="15" t="s">
        <v>49</v>
      </c>
      <c r="V1" s="13" t="s">
        <v>50</v>
      </c>
      <c r="W1" s="15" t="s">
        <v>51</v>
      </c>
      <c r="X1" s="13" t="s">
        <v>52</v>
      </c>
      <c r="Y1" s="15" t="s">
        <v>53</v>
      </c>
      <c r="Z1" s="13" t="s">
        <v>54</v>
      </c>
      <c r="AA1" s="15" t="s">
        <v>55</v>
      </c>
      <c r="AB1" s="13" t="s">
        <v>56</v>
      </c>
      <c r="AC1" s="15" t="s">
        <v>57</v>
      </c>
      <c r="AD1" s="15" t="s">
        <v>58</v>
      </c>
      <c r="AE1" s="15" t="s">
        <v>59</v>
      </c>
      <c r="AF1" s="15" t="s">
        <v>60</v>
      </c>
      <c r="AG1" s="15" t="s">
        <v>61</v>
      </c>
      <c r="AH1" s="15" t="s">
        <v>62</v>
      </c>
      <c r="AI1" s="15" t="s">
        <v>63</v>
      </c>
      <c r="AJ1" s="15" t="s">
        <v>64</v>
      </c>
      <c r="AK1" s="15" t="s">
        <v>65</v>
      </c>
      <c r="AL1" s="13" t="s">
        <v>66</v>
      </c>
      <c r="AM1" s="15" t="s">
        <v>67</v>
      </c>
      <c r="AN1" s="13" t="s">
        <v>68</v>
      </c>
      <c r="AO1" s="15" t="s">
        <v>69</v>
      </c>
      <c r="AP1" s="15" t="s">
        <v>70</v>
      </c>
      <c r="AQ1" s="15" t="s">
        <v>71</v>
      </c>
      <c r="AR1" s="15" t="s">
        <v>72</v>
      </c>
      <c r="AS1" s="15" t="s">
        <v>73</v>
      </c>
      <c r="AT1" s="15" t="s">
        <v>74</v>
      </c>
      <c r="AU1" s="15" t="s">
        <v>75</v>
      </c>
      <c r="AV1" s="15" t="s">
        <v>76</v>
      </c>
      <c r="AW1" s="15" t="s">
        <v>77</v>
      </c>
      <c r="AX1" s="15" t="s">
        <v>78</v>
      </c>
      <c r="AY1" s="15" t="s">
        <v>79</v>
      </c>
      <c r="AZ1" s="15" t="s">
        <v>80</v>
      </c>
      <c r="BA1" s="15" t="s">
        <v>81</v>
      </c>
      <c r="BB1" s="15" t="s">
        <v>82</v>
      </c>
      <c r="BC1" s="15" t="s">
        <v>83</v>
      </c>
      <c r="BD1" s="15" t="s">
        <v>84</v>
      </c>
      <c r="BE1" s="15" t="s">
        <v>85</v>
      </c>
      <c r="BF1" s="15" t="s">
        <v>86</v>
      </c>
      <c r="BG1" s="15" t="s">
        <v>87</v>
      </c>
      <c r="BH1" s="15" t="s">
        <v>88</v>
      </c>
      <c r="BI1" s="15" t="s">
        <v>89</v>
      </c>
      <c r="BJ1" s="15" t="s">
        <v>90</v>
      </c>
      <c r="BK1" s="15" t="s">
        <v>91</v>
      </c>
      <c r="BL1" s="15" t="s">
        <v>92</v>
      </c>
      <c r="BM1" s="15" t="s">
        <v>93</v>
      </c>
      <c r="BN1" s="15" t="s">
        <v>94</v>
      </c>
      <c r="BO1" s="15" t="s">
        <v>95</v>
      </c>
      <c r="BP1" s="15" t="s">
        <v>96</v>
      </c>
      <c r="BQ1" s="15" t="s">
        <v>97</v>
      </c>
      <c r="BR1" s="15" t="s">
        <v>98</v>
      </c>
      <c r="BS1" s="15" t="s">
        <v>99</v>
      </c>
      <c r="BT1" s="15" t="s">
        <v>100</v>
      </c>
      <c r="BU1" s="15" t="s">
        <v>101</v>
      </c>
      <c r="BV1" s="15" t="s">
        <v>102</v>
      </c>
      <c r="BW1" s="15" t="s">
        <v>103</v>
      </c>
      <c r="BX1" s="15" t="s">
        <v>104</v>
      </c>
      <c r="BY1" s="15" t="s">
        <v>105</v>
      </c>
      <c r="BZ1" s="15" t="s">
        <v>106</v>
      </c>
      <c r="CA1" s="15" t="s">
        <v>107</v>
      </c>
      <c r="CB1" s="15" t="s">
        <v>108</v>
      </c>
      <c r="CC1" s="15" t="s">
        <v>109</v>
      </c>
      <c r="CD1" s="15" t="s">
        <v>110</v>
      </c>
      <c r="CE1" s="15" t="s">
        <v>111</v>
      </c>
      <c r="CF1" s="15" t="s">
        <v>112</v>
      </c>
      <c r="CG1" s="15" t="s">
        <v>113</v>
      </c>
      <c r="CH1" s="15" t="s">
        <v>114</v>
      </c>
      <c r="CI1" s="15" t="s">
        <v>115</v>
      </c>
      <c r="CJ1" s="15" t="s">
        <v>116</v>
      </c>
      <c r="CK1" s="15" t="s">
        <v>117</v>
      </c>
      <c r="CL1" s="15" t="s">
        <v>118</v>
      </c>
      <c r="CM1" s="15" t="s">
        <v>119</v>
      </c>
      <c r="CN1" s="15" t="s">
        <v>120</v>
      </c>
      <c r="CO1" s="15" t="s">
        <v>121</v>
      </c>
      <c r="CP1" s="15" t="s">
        <v>122</v>
      </c>
      <c r="CQ1" s="15" t="s">
        <v>123</v>
      </c>
      <c r="CR1" s="15" t="s">
        <v>124</v>
      </c>
      <c r="CS1" s="15" t="s">
        <v>125</v>
      </c>
      <c r="CT1" s="15" t="s">
        <v>126</v>
      </c>
    </row>
    <row r="2">
      <c r="A2" s="14">
        <v>9545052</v>
      </c>
      <c r="B2" s="0" t="s">
        <v>127</v>
      </c>
      <c r="C2" s="16">
        <f>HYPERLINK("https://eosportal.federatedhermes.com/companies/Q29tcGFueQppODM4MjI=", "Warner Bros Discovery Inc")</f>
      </c>
      <c r="D2" s="0" t="s">
        <v>25</v>
      </c>
      <c r="E2" s="0" t="s">
        <v>128</v>
      </c>
      <c r="F2" s="16">
        <f>HYPERLINK("https://eosportal.federatedhermes.com/engagements/RW5nYWdlbWVudAppMTgwMjQ=", "Purpose")</f>
      </c>
      <c r="G2" s="14" t="s">
        <v>129</v>
      </c>
      <c r="H2" s="0" t="s">
        <v>130</v>
      </c>
      <c r="I2" s="14" t="s">
        <v>131</v>
      </c>
      <c r="J2" s="0" t="s">
        <v>132</v>
      </c>
      <c r="K2" s="0" t="s">
        <v>133</v>
      </c>
      <c r="L2" s="0" t="s">
        <v>134</v>
      </c>
      <c r="M2" s="0" t="s">
        <v>135</v>
      </c>
      <c r="N2" s="0" t="s">
        <v>136</v>
      </c>
      <c r="O2" s="0" t="s">
        <v>137</v>
      </c>
      <c r="Q2" s="0" t="s">
        <v>130</v>
      </c>
      <c r="R2" s="0" t="s">
        <v>138</v>
      </c>
      <c r="S2" s="14">
        <v>0</v>
      </c>
      <c r="T2" s="0" t="s">
        <v>139</v>
      </c>
      <c r="U2" s="0" t="s">
        <v>138</v>
      </c>
      <c r="V2" s="14" t="s">
        <v>138</v>
      </c>
      <c r="W2" s="0" t="s">
        <v>138</v>
      </c>
      <c r="X2" s="14" t="s">
        <v>138</v>
      </c>
      <c r="Y2" s="0" t="s">
        <v>138</v>
      </c>
      <c r="Z2" s="14" t="s">
        <v>138</v>
      </c>
      <c r="AA2" s="0" t="s">
        <v>138</v>
      </c>
      <c r="AB2" s="14" t="s">
        <v>138</v>
      </c>
      <c r="AD2" s="0" t="s">
        <v>138</v>
      </c>
      <c r="AF2" s="0">
        <v>0</v>
      </c>
      <c r="AG2" s="0">
        <v>0</v>
      </c>
      <c r="AH2" s="0" t="s">
        <v>140</v>
      </c>
      <c r="AI2" s="0" t="s">
        <v>138</v>
      </c>
      <c r="AL2" s="14"/>
      <c r="AN2" s="14"/>
      <c r="AQ2" s="0" t="s">
        <v>130</v>
      </c>
      <c r="AR2" s="0" t="s">
        <v>130</v>
      </c>
      <c r="AS2" s="0" t="s">
        <v>130</v>
      </c>
      <c r="AT2" s="0" t="s">
        <v>130</v>
      </c>
      <c r="AU2" s="0" t="s">
        <v>130</v>
      </c>
      <c r="AV2" s="0" t="s">
        <v>130</v>
      </c>
      <c r="AW2" s="0" t="s">
        <v>130</v>
      </c>
      <c r="AX2" s="0" t="s">
        <v>130</v>
      </c>
      <c r="AY2" s="0" t="s">
        <v>130</v>
      </c>
      <c r="AZ2" s="0" t="s">
        <v>130</v>
      </c>
      <c r="BA2" s="0" t="s">
        <v>130</v>
      </c>
      <c r="BB2" s="0" t="s">
        <v>141</v>
      </c>
      <c r="BC2" s="0" t="s">
        <v>130</v>
      </c>
      <c r="BD2" s="0" t="s">
        <v>130</v>
      </c>
      <c r="BE2" s="0" t="s">
        <v>130</v>
      </c>
      <c r="BF2" s="0" t="s">
        <v>130</v>
      </c>
      <c r="BG2" s="0" t="s">
        <v>130</v>
      </c>
      <c r="BH2" s="0" t="s">
        <v>130</v>
      </c>
      <c r="BI2" s="0" t="s">
        <v>130</v>
      </c>
      <c r="BJ2" s="0" t="s">
        <v>130</v>
      </c>
      <c r="BK2" s="0" t="s">
        <v>130</v>
      </c>
      <c r="BL2" s="0" t="s">
        <v>130</v>
      </c>
      <c r="BM2" s="0" t="s">
        <v>130</v>
      </c>
      <c r="BN2" s="0" t="s">
        <v>130</v>
      </c>
      <c r="BO2" s="0" t="s">
        <v>130</v>
      </c>
      <c r="BP2" s="0" t="s">
        <v>130</v>
      </c>
      <c r="BQ2" s="0" t="s">
        <v>130</v>
      </c>
      <c r="BR2" s="0" t="s">
        <v>130</v>
      </c>
      <c r="BS2" s="0" t="s">
        <v>130</v>
      </c>
      <c r="BT2" s="0" t="s">
        <v>130</v>
      </c>
      <c r="BU2" s="0" t="s">
        <v>130</v>
      </c>
      <c r="BV2" s="0" t="s">
        <v>130</v>
      </c>
      <c r="BW2" s="0" t="s">
        <v>130</v>
      </c>
      <c r="BX2" s="0" t="s">
        <v>130</v>
      </c>
      <c r="BY2" s="0" t="s">
        <v>130</v>
      </c>
      <c r="BZ2" s="0" t="s">
        <v>130</v>
      </c>
      <c r="CA2" s="0" t="s">
        <v>130</v>
      </c>
      <c r="CB2" s="0" t="s">
        <v>130</v>
      </c>
      <c r="CC2" s="0" t="s">
        <v>130</v>
      </c>
      <c r="CD2" s="0" t="s">
        <v>130</v>
      </c>
      <c r="CE2" s="0" t="s">
        <v>130</v>
      </c>
      <c r="CF2" s="0" t="s">
        <v>130</v>
      </c>
      <c r="CG2" s="0" t="s">
        <v>130</v>
      </c>
      <c r="CH2" s="0" t="s">
        <v>130</v>
      </c>
      <c r="CI2" s="0" t="s">
        <v>130</v>
      </c>
      <c r="CJ2" s="0" t="s">
        <v>130</v>
      </c>
      <c r="CK2" s="0" t="s">
        <v>130</v>
      </c>
      <c r="CL2" s="0" t="s">
        <v>130</v>
      </c>
      <c r="CM2" s="0" t="s">
        <v>130</v>
      </c>
      <c r="CN2" s="0" t="s">
        <v>130</v>
      </c>
      <c r="CO2" s="0" t="s">
        <v>130</v>
      </c>
      <c r="CP2" s="0" t="s">
        <v>130</v>
      </c>
      <c r="CQ2" s="0" t="s">
        <v>130</v>
      </c>
      <c r="CR2" s="0" t="s">
        <v>130</v>
      </c>
      <c r="CS2" s="0" t="s">
        <v>130</v>
      </c>
      <c r="CT2" s="0" t="s">
        <v>142</v>
      </c>
    </row>
    <row r="3">
      <c r="A3" s="14">
        <v>9545052</v>
      </c>
      <c r="B3" s="0" t="s">
        <v>127</v>
      </c>
      <c r="C3" s="16">
        <f>HYPERLINK("https://eosportal.federatedhermes.com/companies/Q29tcGFueQppODM4MjI=", "Warner Bros Discovery Inc")</f>
      </c>
      <c r="D3" s="0" t="s">
        <v>25</v>
      </c>
      <c r="E3" s="0" t="s">
        <v>143</v>
      </c>
      <c r="F3" s="16">
        <f>HYPERLINK("https://eosportal.federatedhermes.com/engagements/RW5nYWdlbWVudAppMTgwMjU=", "Executive compensation")</f>
      </c>
      <c r="G3" s="14" t="s">
        <v>144</v>
      </c>
      <c r="H3" s="0" t="s">
        <v>130</v>
      </c>
      <c r="I3" s="14" t="s">
        <v>131</v>
      </c>
      <c r="J3" s="0" t="s">
        <v>145</v>
      </c>
      <c r="K3" s="0" t="s">
        <v>146</v>
      </c>
      <c r="L3" s="0" t="s">
        <v>147</v>
      </c>
      <c r="M3" s="0" t="s">
        <v>135</v>
      </c>
      <c r="N3" s="0" t="s">
        <v>136</v>
      </c>
      <c r="O3" s="0" t="s">
        <v>137</v>
      </c>
      <c r="Q3" s="0" t="s">
        <v>141</v>
      </c>
      <c r="R3" s="0" t="s">
        <v>138</v>
      </c>
      <c r="S3" s="14">
        <v>1</v>
      </c>
      <c r="T3" s="0" t="s">
        <v>148</v>
      </c>
      <c r="U3" s="0" t="s">
        <v>138</v>
      </c>
      <c r="V3" s="14" t="s">
        <v>138</v>
      </c>
      <c r="W3" s="0" t="s">
        <v>138</v>
      </c>
      <c r="X3" s="14" t="s">
        <v>138</v>
      </c>
      <c r="Y3" s="0" t="s">
        <v>138</v>
      </c>
      <c r="Z3" s="14" t="s">
        <v>138</v>
      </c>
      <c r="AA3" s="0" t="s">
        <v>138</v>
      </c>
      <c r="AB3" s="14" t="s">
        <v>138</v>
      </c>
      <c r="AD3" s="0" t="s">
        <v>138</v>
      </c>
      <c r="AF3" s="0">
        <v>0</v>
      </c>
      <c r="AG3" s="0">
        <v>0</v>
      </c>
      <c r="AH3" s="0" t="s">
        <v>140</v>
      </c>
      <c r="AI3" s="0" t="s">
        <v>138</v>
      </c>
      <c r="AK3" s="0" t="s">
        <v>149</v>
      </c>
      <c r="AL3" s="14"/>
      <c r="AN3" s="14"/>
      <c r="AQ3" s="0" t="s">
        <v>130</v>
      </c>
      <c r="AR3" s="0" t="s">
        <v>130</v>
      </c>
      <c r="AS3" s="0" t="s">
        <v>130</v>
      </c>
      <c r="AT3" s="0" t="s">
        <v>130</v>
      </c>
      <c r="AU3" s="0" t="s">
        <v>130</v>
      </c>
      <c r="AV3" s="0" t="s">
        <v>130</v>
      </c>
      <c r="AW3" s="0" t="s">
        <v>130</v>
      </c>
      <c r="AX3" s="0" t="s">
        <v>130</v>
      </c>
      <c r="AY3" s="0" t="s">
        <v>130</v>
      </c>
      <c r="AZ3" s="0" t="s">
        <v>130</v>
      </c>
      <c r="BA3" s="0" t="s">
        <v>130</v>
      </c>
      <c r="BB3" s="0" t="s">
        <v>130</v>
      </c>
      <c r="BC3" s="0" t="s">
        <v>130</v>
      </c>
      <c r="BD3" s="0" t="s">
        <v>130</v>
      </c>
      <c r="BE3" s="0" t="s">
        <v>130</v>
      </c>
      <c r="BF3" s="0" t="s">
        <v>130</v>
      </c>
      <c r="BG3" s="0" t="s">
        <v>130</v>
      </c>
      <c r="BH3" s="0" t="s">
        <v>130</v>
      </c>
      <c r="BI3" s="0" t="s">
        <v>130</v>
      </c>
      <c r="BJ3" s="0" t="s">
        <v>130</v>
      </c>
      <c r="BK3" s="0" t="s">
        <v>130</v>
      </c>
      <c r="BL3" s="0" t="s">
        <v>130</v>
      </c>
      <c r="BM3" s="0" t="s">
        <v>130</v>
      </c>
      <c r="BN3" s="0" t="s">
        <v>130</v>
      </c>
      <c r="BO3" s="0" t="s">
        <v>130</v>
      </c>
      <c r="BP3" s="0" t="s">
        <v>130</v>
      </c>
      <c r="BQ3" s="0" t="s">
        <v>130</v>
      </c>
      <c r="BR3" s="0" t="s">
        <v>130</v>
      </c>
      <c r="BS3" s="0" t="s">
        <v>130</v>
      </c>
      <c r="BT3" s="0" t="s">
        <v>130</v>
      </c>
      <c r="BU3" s="0" t="s">
        <v>130</v>
      </c>
      <c r="BV3" s="0" t="s">
        <v>130</v>
      </c>
      <c r="BW3" s="0" t="s">
        <v>130</v>
      </c>
      <c r="BX3" s="0" t="s">
        <v>130</v>
      </c>
      <c r="BY3" s="0" t="s">
        <v>130</v>
      </c>
      <c r="BZ3" s="0" t="s">
        <v>130</v>
      </c>
      <c r="CA3" s="0" t="s">
        <v>130</v>
      </c>
      <c r="CB3" s="0" t="s">
        <v>130</v>
      </c>
      <c r="CC3" s="0" t="s">
        <v>130</v>
      </c>
      <c r="CD3" s="0" t="s">
        <v>130</v>
      </c>
      <c r="CE3" s="0" t="s">
        <v>130</v>
      </c>
      <c r="CF3" s="0" t="s">
        <v>130</v>
      </c>
      <c r="CG3" s="0" t="s">
        <v>130</v>
      </c>
      <c r="CH3" s="0" t="s">
        <v>130</v>
      </c>
      <c r="CI3" s="0" t="s">
        <v>130</v>
      </c>
      <c r="CJ3" s="0" t="s">
        <v>130</v>
      </c>
      <c r="CK3" s="0" t="s">
        <v>130</v>
      </c>
      <c r="CL3" s="0" t="s">
        <v>130</v>
      </c>
      <c r="CM3" s="0" t="s">
        <v>130</v>
      </c>
      <c r="CN3" s="0" t="s">
        <v>130</v>
      </c>
      <c r="CO3" s="0" t="s">
        <v>130</v>
      </c>
      <c r="CP3" s="0" t="s">
        <v>130</v>
      </c>
      <c r="CQ3" s="0" t="s">
        <v>130</v>
      </c>
      <c r="CR3" s="0" t="s">
        <v>130</v>
      </c>
      <c r="CS3" s="0" t="s">
        <v>130</v>
      </c>
      <c r="CT3" s="0" t="s">
        <v>150</v>
      </c>
    </row>
    <row r="4">
      <c r="A4" s="14">
        <v>9545052</v>
      </c>
      <c r="B4" s="0" t="s">
        <v>127</v>
      </c>
      <c r="C4" s="16">
        <f>HYPERLINK("https://eosportal.federatedhermes.com/companies/Q29tcGFueQppODM4MjI=", "Warner Bros Discovery Inc")</f>
      </c>
      <c r="D4" s="0" t="s">
        <v>25</v>
      </c>
      <c r="E4" s="0" t="s">
        <v>151</v>
      </c>
      <c r="F4" s="16">
        <f>HYPERLINK("https://eosportal.federatedhermes.com/engagements/RW5nYWdlbWVudAppMTgwMjY=", "Coronavirus response")</f>
      </c>
      <c r="G4" s="14" t="s">
        <v>152</v>
      </c>
      <c r="H4" s="0" t="s">
        <v>130</v>
      </c>
      <c r="I4" s="14" t="s">
        <v>131</v>
      </c>
      <c r="J4" s="0" t="s">
        <v>153</v>
      </c>
      <c r="K4" s="0" t="s">
        <v>154</v>
      </c>
      <c r="L4" s="0" t="s">
        <v>155</v>
      </c>
      <c r="M4" s="0" t="s">
        <v>135</v>
      </c>
      <c r="N4" s="0" t="s">
        <v>136</v>
      </c>
      <c r="O4" s="0" t="s">
        <v>137</v>
      </c>
      <c r="Q4" s="0" t="s">
        <v>130</v>
      </c>
      <c r="R4" s="0" t="s">
        <v>138</v>
      </c>
      <c r="S4" s="14">
        <v>0</v>
      </c>
      <c r="T4" s="0" t="s">
        <v>156</v>
      </c>
      <c r="U4" s="0" t="s">
        <v>138</v>
      </c>
      <c r="V4" s="14" t="s">
        <v>138</v>
      </c>
      <c r="W4" s="0" t="s">
        <v>138</v>
      </c>
      <c r="X4" s="14" t="s">
        <v>138</v>
      </c>
      <c r="Y4" s="0" t="s">
        <v>138</v>
      </c>
      <c r="Z4" s="14" t="s">
        <v>138</v>
      </c>
      <c r="AA4" s="0" t="s">
        <v>138</v>
      </c>
      <c r="AB4" s="14" t="s">
        <v>138</v>
      </c>
      <c r="AD4" s="0" t="s">
        <v>138</v>
      </c>
      <c r="AF4" s="0">
        <v>0</v>
      </c>
      <c r="AG4" s="0">
        <v>0</v>
      </c>
      <c r="AH4" s="0" t="s">
        <v>140</v>
      </c>
      <c r="AI4" s="0" t="s">
        <v>138</v>
      </c>
      <c r="AL4" s="14"/>
      <c r="AN4" s="14"/>
      <c r="AQ4" s="0" t="s">
        <v>130</v>
      </c>
      <c r="AR4" s="0" t="s">
        <v>130</v>
      </c>
      <c r="AS4" s="0" t="s">
        <v>130</v>
      </c>
      <c r="AT4" s="0" t="s">
        <v>130</v>
      </c>
      <c r="AU4" s="0" t="s">
        <v>130</v>
      </c>
      <c r="AV4" s="0" t="s">
        <v>130</v>
      </c>
      <c r="AW4" s="0" t="s">
        <v>130</v>
      </c>
      <c r="AX4" s="0" t="s">
        <v>130</v>
      </c>
      <c r="AY4" s="0" t="s">
        <v>130</v>
      </c>
      <c r="AZ4" s="0" t="s">
        <v>130</v>
      </c>
      <c r="BA4" s="0" t="s">
        <v>130</v>
      </c>
      <c r="BB4" s="0" t="s">
        <v>130</v>
      </c>
      <c r="BC4" s="0" t="s">
        <v>130</v>
      </c>
      <c r="BD4" s="0" t="s">
        <v>130</v>
      </c>
      <c r="BE4" s="0" t="s">
        <v>130</v>
      </c>
      <c r="BF4" s="0" t="s">
        <v>130</v>
      </c>
      <c r="BG4" s="0" t="s">
        <v>130</v>
      </c>
      <c r="BH4" s="0" t="s">
        <v>130</v>
      </c>
      <c r="BI4" s="0" t="s">
        <v>130</v>
      </c>
      <c r="BJ4" s="0" t="s">
        <v>130</v>
      </c>
      <c r="BK4" s="0" t="s">
        <v>130</v>
      </c>
      <c r="BL4" s="0" t="s">
        <v>130</v>
      </c>
      <c r="BM4" s="0" t="s">
        <v>130</v>
      </c>
      <c r="BN4" s="0" t="s">
        <v>130</v>
      </c>
      <c r="BO4" s="0" t="s">
        <v>130</v>
      </c>
      <c r="BP4" s="0" t="s">
        <v>130</v>
      </c>
      <c r="BQ4" s="0" t="s">
        <v>130</v>
      </c>
      <c r="BR4" s="0" t="s">
        <v>130</v>
      </c>
      <c r="BS4" s="0" t="s">
        <v>130</v>
      </c>
      <c r="BT4" s="0" t="s">
        <v>130</v>
      </c>
      <c r="BU4" s="0" t="s">
        <v>130</v>
      </c>
      <c r="BV4" s="0" t="s">
        <v>130</v>
      </c>
      <c r="BW4" s="0" t="s">
        <v>130</v>
      </c>
      <c r="BX4" s="0" t="s">
        <v>130</v>
      </c>
      <c r="BY4" s="0" t="s">
        <v>130</v>
      </c>
      <c r="BZ4" s="0" t="s">
        <v>130</v>
      </c>
      <c r="CA4" s="0" t="s">
        <v>130</v>
      </c>
      <c r="CB4" s="0" t="s">
        <v>130</v>
      </c>
      <c r="CC4" s="0" t="s">
        <v>130</v>
      </c>
      <c r="CD4" s="0" t="s">
        <v>130</v>
      </c>
      <c r="CE4" s="0" t="s">
        <v>130</v>
      </c>
      <c r="CF4" s="0" t="s">
        <v>130</v>
      </c>
      <c r="CG4" s="0" t="s">
        <v>130</v>
      </c>
      <c r="CH4" s="0" t="s">
        <v>130</v>
      </c>
      <c r="CI4" s="0" t="s">
        <v>141</v>
      </c>
      <c r="CJ4" s="0" t="s">
        <v>130</v>
      </c>
      <c r="CK4" s="0" t="s">
        <v>130</v>
      </c>
      <c r="CL4" s="0" t="s">
        <v>130</v>
      </c>
      <c r="CM4" s="0" t="s">
        <v>130</v>
      </c>
      <c r="CN4" s="0" t="s">
        <v>130</v>
      </c>
      <c r="CO4" s="0" t="s">
        <v>130</v>
      </c>
      <c r="CP4" s="0" t="s">
        <v>130</v>
      </c>
      <c r="CQ4" s="0" t="s">
        <v>130</v>
      </c>
      <c r="CR4" s="0" t="s">
        <v>130</v>
      </c>
      <c r="CS4" s="0" t="s">
        <v>130</v>
      </c>
      <c r="CT4" s="0" t="s">
        <v>157</v>
      </c>
    </row>
    <row r="5">
      <c r="A5" s="14">
        <v>9545052</v>
      </c>
      <c r="B5" s="0" t="s">
        <v>127</v>
      </c>
      <c r="C5" s="16">
        <f>HYPERLINK("https://eosportal.federatedhermes.com/companies/Q29tcGFueQppODM4MjI=", "Warner Bros Discovery Inc")</f>
      </c>
      <c r="D5" s="0" t="s">
        <v>25</v>
      </c>
      <c r="E5" s="0" t="s">
        <v>158</v>
      </c>
      <c r="F5" s="16">
        <f>HYPERLINK("https://eosportal.federatedhermes.com/engagements/RW5nYWdlbWVudAppMTgwMjc=", "Racism/George Floyd/Black Lives Matter response")</f>
      </c>
      <c r="G5" s="14" t="s">
        <v>159</v>
      </c>
      <c r="H5" s="0" t="s">
        <v>130</v>
      </c>
      <c r="I5" s="14" t="s">
        <v>131</v>
      </c>
      <c r="J5" s="0" t="s">
        <v>132</v>
      </c>
      <c r="K5" s="0" t="s">
        <v>133</v>
      </c>
      <c r="L5" s="0" t="s">
        <v>160</v>
      </c>
      <c r="M5" s="0" t="s">
        <v>135</v>
      </c>
      <c r="N5" s="0" t="s">
        <v>136</v>
      </c>
      <c r="O5" s="0" t="s">
        <v>137</v>
      </c>
      <c r="Q5" s="0" t="s">
        <v>130</v>
      </c>
      <c r="R5" s="0" t="s">
        <v>138</v>
      </c>
      <c r="S5" s="14">
        <v>0</v>
      </c>
      <c r="T5" s="0" t="s">
        <v>156</v>
      </c>
      <c r="U5" s="0" t="s">
        <v>138</v>
      </c>
      <c r="V5" s="14" t="s">
        <v>138</v>
      </c>
      <c r="W5" s="0" t="s">
        <v>138</v>
      </c>
      <c r="X5" s="14" t="s">
        <v>138</v>
      </c>
      <c r="Y5" s="0" t="s">
        <v>138</v>
      </c>
      <c r="Z5" s="14" t="s">
        <v>138</v>
      </c>
      <c r="AA5" s="0" t="s">
        <v>138</v>
      </c>
      <c r="AB5" s="14" t="s">
        <v>138</v>
      </c>
      <c r="AD5" s="0" t="s">
        <v>138</v>
      </c>
      <c r="AF5" s="0">
        <v>0</v>
      </c>
      <c r="AG5" s="0">
        <v>0</v>
      </c>
      <c r="AH5" s="0" t="s">
        <v>140</v>
      </c>
      <c r="AI5" s="0" t="s">
        <v>138</v>
      </c>
      <c r="AL5" s="14"/>
      <c r="AN5" s="14"/>
      <c r="AQ5" s="0" t="s">
        <v>130</v>
      </c>
      <c r="AR5" s="0" t="s">
        <v>130</v>
      </c>
      <c r="AS5" s="0" t="s">
        <v>130</v>
      </c>
      <c r="AT5" s="0" t="s">
        <v>130</v>
      </c>
      <c r="AU5" s="0" t="s">
        <v>130</v>
      </c>
      <c r="AV5" s="0" t="s">
        <v>130</v>
      </c>
      <c r="AW5" s="0" t="s">
        <v>130</v>
      </c>
      <c r="AX5" s="0" t="s">
        <v>130</v>
      </c>
      <c r="AY5" s="0" t="s">
        <v>130</v>
      </c>
      <c r="AZ5" s="0" t="s">
        <v>130</v>
      </c>
      <c r="BA5" s="0" t="s">
        <v>130</v>
      </c>
      <c r="BB5" s="0" t="s">
        <v>130</v>
      </c>
      <c r="BC5" s="0" t="s">
        <v>130</v>
      </c>
      <c r="BD5" s="0" t="s">
        <v>130</v>
      </c>
      <c r="BE5" s="0" t="s">
        <v>130</v>
      </c>
      <c r="BF5" s="0" t="s">
        <v>130</v>
      </c>
      <c r="BG5" s="0" t="s">
        <v>130</v>
      </c>
      <c r="BH5" s="0" t="s">
        <v>130</v>
      </c>
      <c r="BI5" s="0" t="s">
        <v>130</v>
      </c>
      <c r="BJ5" s="0" t="s">
        <v>130</v>
      </c>
      <c r="BK5" s="0" t="s">
        <v>130</v>
      </c>
      <c r="BL5" s="0" t="s">
        <v>130</v>
      </c>
      <c r="BM5" s="0" t="s">
        <v>130</v>
      </c>
      <c r="BN5" s="0" t="s">
        <v>130</v>
      </c>
      <c r="BO5" s="0" t="s">
        <v>130</v>
      </c>
      <c r="BP5" s="0" t="s">
        <v>130</v>
      </c>
      <c r="BQ5" s="0" t="s">
        <v>130</v>
      </c>
      <c r="BR5" s="0" t="s">
        <v>130</v>
      </c>
      <c r="BS5" s="0" t="s">
        <v>130</v>
      </c>
      <c r="BT5" s="0" t="s">
        <v>130</v>
      </c>
      <c r="BU5" s="0" t="s">
        <v>130</v>
      </c>
      <c r="BV5" s="0" t="s">
        <v>130</v>
      </c>
      <c r="BW5" s="0" t="s">
        <v>130</v>
      </c>
      <c r="BX5" s="0" t="s">
        <v>130</v>
      </c>
      <c r="BY5" s="0" t="s">
        <v>130</v>
      </c>
      <c r="BZ5" s="0" t="s">
        <v>130</v>
      </c>
      <c r="CA5" s="0" t="s">
        <v>130</v>
      </c>
      <c r="CB5" s="0" t="s">
        <v>130</v>
      </c>
      <c r="CC5" s="0" t="s">
        <v>130</v>
      </c>
      <c r="CD5" s="0" t="s">
        <v>130</v>
      </c>
      <c r="CE5" s="0" t="s">
        <v>130</v>
      </c>
      <c r="CF5" s="0" t="s">
        <v>130</v>
      </c>
      <c r="CG5" s="0" t="s">
        <v>130</v>
      </c>
      <c r="CH5" s="0" t="s">
        <v>130</v>
      </c>
      <c r="CI5" s="0" t="s">
        <v>130</v>
      </c>
      <c r="CJ5" s="0" t="s">
        <v>130</v>
      </c>
      <c r="CK5" s="0" t="s">
        <v>130</v>
      </c>
      <c r="CL5" s="0" t="s">
        <v>130</v>
      </c>
      <c r="CM5" s="0" t="s">
        <v>130</v>
      </c>
      <c r="CN5" s="0" t="s">
        <v>130</v>
      </c>
      <c r="CO5" s="0" t="s">
        <v>130</v>
      </c>
      <c r="CP5" s="0" t="s">
        <v>130</v>
      </c>
      <c r="CQ5" s="0" t="s">
        <v>130</v>
      </c>
      <c r="CR5" s="0" t="s">
        <v>130</v>
      </c>
      <c r="CS5" s="0" t="s">
        <v>130</v>
      </c>
      <c r="CT5" s="0" t="s">
        <v>161</v>
      </c>
    </row>
    <row r="6">
      <c r="A6" s="14">
        <v>9545052</v>
      </c>
      <c r="B6" s="0" t="s">
        <v>127</v>
      </c>
      <c r="C6" s="16">
        <f>HYPERLINK("https://eosportal.federatedhermes.com/companies/Q29tcGFueQppODM4MjI=", "Warner Bros Discovery Inc")</f>
      </c>
      <c r="D6" s="0" t="s">
        <v>25</v>
      </c>
      <c r="E6" s="0" t="s">
        <v>162</v>
      </c>
      <c r="F6" s="16">
        <f>HYPERLINK("https://eosportal.federatedhermes.com/engagements/RW5nYWdlbWVudAppMTgwMjg=", "Lack of director independence and other governance issues")</f>
      </c>
      <c r="G6" s="14" t="s">
        <v>163</v>
      </c>
      <c r="H6" s="0" t="s">
        <v>130</v>
      </c>
      <c r="I6" s="14" t="s">
        <v>131</v>
      </c>
      <c r="J6" s="0" t="s">
        <v>145</v>
      </c>
      <c r="K6" s="0" t="s">
        <v>164</v>
      </c>
      <c r="L6" s="0" t="s">
        <v>165</v>
      </c>
      <c r="M6" s="0" t="s">
        <v>135</v>
      </c>
      <c r="N6" s="0" t="s">
        <v>136</v>
      </c>
      <c r="O6" s="0" t="s">
        <v>137</v>
      </c>
      <c r="Q6" s="0" t="s">
        <v>130</v>
      </c>
      <c r="R6" s="0" t="s">
        <v>138</v>
      </c>
      <c r="S6" s="14">
        <v>0</v>
      </c>
      <c r="T6" s="0" t="s">
        <v>166</v>
      </c>
      <c r="U6" s="0" t="s">
        <v>138</v>
      </c>
      <c r="V6" s="14" t="s">
        <v>138</v>
      </c>
      <c r="W6" s="0" t="s">
        <v>138</v>
      </c>
      <c r="X6" s="14" t="s">
        <v>138</v>
      </c>
      <c r="Y6" s="0" t="s">
        <v>138</v>
      </c>
      <c r="Z6" s="14" t="s">
        <v>138</v>
      </c>
      <c r="AA6" s="0" t="s">
        <v>138</v>
      </c>
      <c r="AB6" s="14" t="s">
        <v>138</v>
      </c>
      <c r="AD6" s="0" t="s">
        <v>138</v>
      </c>
      <c r="AF6" s="0">
        <v>0</v>
      </c>
      <c r="AG6" s="0">
        <v>0</v>
      </c>
      <c r="AH6" s="0" t="s">
        <v>140</v>
      </c>
      <c r="AI6" s="0" t="s">
        <v>138</v>
      </c>
      <c r="AL6" s="14"/>
      <c r="AN6" s="14"/>
      <c r="AQ6" s="0" t="s">
        <v>130</v>
      </c>
      <c r="AR6" s="0" t="s">
        <v>130</v>
      </c>
      <c r="AS6" s="0" t="s">
        <v>130</v>
      </c>
      <c r="AT6" s="0" t="s">
        <v>130</v>
      </c>
      <c r="AU6" s="0" t="s">
        <v>130</v>
      </c>
      <c r="AV6" s="0" t="s">
        <v>130</v>
      </c>
      <c r="AW6" s="0" t="s">
        <v>130</v>
      </c>
      <c r="AX6" s="0" t="s">
        <v>130</v>
      </c>
      <c r="AY6" s="0" t="s">
        <v>130</v>
      </c>
      <c r="AZ6" s="0" t="s">
        <v>130</v>
      </c>
      <c r="BA6" s="0" t="s">
        <v>130</v>
      </c>
      <c r="BB6" s="0" t="s">
        <v>130</v>
      </c>
      <c r="BC6" s="0" t="s">
        <v>130</v>
      </c>
      <c r="BD6" s="0" t="s">
        <v>130</v>
      </c>
      <c r="BE6" s="0" t="s">
        <v>130</v>
      </c>
      <c r="BF6" s="0" t="s">
        <v>130</v>
      </c>
      <c r="BG6" s="0" t="s">
        <v>130</v>
      </c>
      <c r="BH6" s="0" t="s">
        <v>130</v>
      </c>
      <c r="BI6" s="0" t="s">
        <v>130</v>
      </c>
      <c r="BJ6" s="0" t="s">
        <v>130</v>
      </c>
      <c r="BK6" s="0" t="s">
        <v>130</v>
      </c>
      <c r="BL6" s="0" t="s">
        <v>130</v>
      </c>
      <c r="BM6" s="0" t="s">
        <v>130</v>
      </c>
      <c r="BN6" s="0" t="s">
        <v>130</v>
      </c>
      <c r="BO6" s="0" t="s">
        <v>130</v>
      </c>
      <c r="BP6" s="0" t="s">
        <v>130</v>
      </c>
      <c r="BQ6" s="0" t="s">
        <v>130</v>
      </c>
      <c r="BR6" s="0" t="s">
        <v>130</v>
      </c>
      <c r="BS6" s="0" t="s">
        <v>130</v>
      </c>
      <c r="BT6" s="0" t="s">
        <v>130</v>
      </c>
      <c r="BU6" s="0" t="s">
        <v>130</v>
      </c>
      <c r="BV6" s="0" t="s">
        <v>130</v>
      </c>
      <c r="BW6" s="0" t="s">
        <v>130</v>
      </c>
      <c r="BX6" s="0" t="s">
        <v>130</v>
      </c>
      <c r="BY6" s="0" t="s">
        <v>130</v>
      </c>
      <c r="BZ6" s="0" t="s">
        <v>130</v>
      </c>
      <c r="CA6" s="0" t="s">
        <v>130</v>
      </c>
      <c r="CB6" s="0" t="s">
        <v>130</v>
      </c>
      <c r="CC6" s="0" t="s">
        <v>130</v>
      </c>
      <c r="CD6" s="0" t="s">
        <v>130</v>
      </c>
      <c r="CE6" s="0" t="s">
        <v>130</v>
      </c>
      <c r="CF6" s="0" t="s">
        <v>130</v>
      </c>
      <c r="CG6" s="0" t="s">
        <v>130</v>
      </c>
      <c r="CH6" s="0" t="s">
        <v>130</v>
      </c>
      <c r="CI6" s="0" t="s">
        <v>130</v>
      </c>
      <c r="CJ6" s="0" t="s">
        <v>130</v>
      </c>
      <c r="CK6" s="0" t="s">
        <v>130</v>
      </c>
      <c r="CL6" s="0" t="s">
        <v>130</v>
      </c>
      <c r="CM6" s="0" t="s">
        <v>130</v>
      </c>
      <c r="CN6" s="0" t="s">
        <v>130</v>
      </c>
      <c r="CO6" s="0" t="s">
        <v>130</v>
      </c>
      <c r="CP6" s="0" t="s">
        <v>130</v>
      </c>
      <c r="CQ6" s="0" t="s">
        <v>130</v>
      </c>
      <c r="CR6" s="0" t="s">
        <v>130</v>
      </c>
      <c r="CS6" s="0" t="s">
        <v>130</v>
      </c>
      <c r="CT6" s="0" t="s">
        <v>167</v>
      </c>
    </row>
    <row r="7">
      <c r="A7" s="14">
        <v>9545052</v>
      </c>
      <c r="B7" s="0" t="s">
        <v>127</v>
      </c>
      <c r="C7" s="16">
        <f>HYPERLINK("https://eosportal.federatedhermes.com/companies/Q29tcGFueQppODM4MjI=", "Warner Bros Discovery Inc")</f>
      </c>
      <c r="D7" s="0" t="s">
        <v>25</v>
      </c>
      <c r="E7" s="0" t="s">
        <v>168</v>
      </c>
      <c r="F7" s="16">
        <f>HYPERLINK("https://eosportal.federatedhermes.com/engagements/RW5nYWdlbWVudAppMTgwMjk=", "ESG report")</f>
      </c>
      <c r="G7" s="14" t="s">
        <v>169</v>
      </c>
      <c r="H7" s="0" t="s">
        <v>130</v>
      </c>
      <c r="I7" s="14" t="s">
        <v>131</v>
      </c>
      <c r="J7" s="0" t="s">
        <v>132</v>
      </c>
      <c r="K7" s="0" t="s">
        <v>170</v>
      </c>
      <c r="L7" s="0" t="s">
        <v>171</v>
      </c>
      <c r="M7" s="0" t="s">
        <v>135</v>
      </c>
      <c r="N7" s="0" t="s">
        <v>136</v>
      </c>
      <c r="O7" s="0" t="s">
        <v>137</v>
      </c>
      <c r="Q7" s="0" t="s">
        <v>141</v>
      </c>
      <c r="R7" s="0" t="s">
        <v>138</v>
      </c>
      <c r="S7" s="14">
        <v>1</v>
      </c>
      <c r="T7" s="0" t="s">
        <v>139</v>
      </c>
      <c r="U7" s="0" t="s">
        <v>138</v>
      </c>
      <c r="V7" s="14" t="s">
        <v>138</v>
      </c>
      <c r="W7" s="0" t="s">
        <v>138</v>
      </c>
      <c r="X7" s="14" t="s">
        <v>138</v>
      </c>
      <c r="Y7" s="0" t="s">
        <v>138</v>
      </c>
      <c r="Z7" s="14" t="s">
        <v>138</v>
      </c>
      <c r="AA7" s="0" t="s">
        <v>138</v>
      </c>
      <c r="AB7" s="14" t="s">
        <v>138</v>
      </c>
      <c r="AD7" s="0" t="s">
        <v>138</v>
      </c>
      <c r="AF7" s="0">
        <v>0</v>
      </c>
      <c r="AG7" s="0">
        <v>0</v>
      </c>
      <c r="AH7" s="0" t="s">
        <v>140</v>
      </c>
      <c r="AI7" s="0" t="s">
        <v>138</v>
      </c>
      <c r="AK7" s="0" t="s">
        <v>149</v>
      </c>
      <c r="AL7" s="14"/>
      <c r="AN7" s="14"/>
      <c r="AQ7" s="0" t="s">
        <v>130</v>
      </c>
      <c r="AR7" s="0" t="s">
        <v>130</v>
      </c>
      <c r="AS7" s="0" t="s">
        <v>130</v>
      </c>
      <c r="AT7" s="0" t="s">
        <v>130</v>
      </c>
      <c r="AU7" s="0" t="s">
        <v>130</v>
      </c>
      <c r="AV7" s="0" t="s">
        <v>130</v>
      </c>
      <c r="AW7" s="0" t="s">
        <v>130</v>
      </c>
      <c r="AX7" s="0" t="s">
        <v>130</v>
      </c>
      <c r="AY7" s="0" t="s">
        <v>130</v>
      </c>
      <c r="AZ7" s="0" t="s">
        <v>130</v>
      </c>
      <c r="BA7" s="0" t="s">
        <v>130</v>
      </c>
      <c r="BB7" s="0" t="s">
        <v>141</v>
      </c>
      <c r="BC7" s="0" t="s">
        <v>130</v>
      </c>
      <c r="BD7" s="0" t="s">
        <v>130</v>
      </c>
      <c r="BE7" s="0" t="s">
        <v>130</v>
      </c>
      <c r="BF7" s="0" t="s">
        <v>130</v>
      </c>
      <c r="BG7" s="0" t="s">
        <v>130</v>
      </c>
      <c r="BH7" s="0" t="s">
        <v>130</v>
      </c>
      <c r="BI7" s="0" t="s">
        <v>130</v>
      </c>
      <c r="BJ7" s="0" t="s">
        <v>130</v>
      </c>
      <c r="BK7" s="0" t="s">
        <v>130</v>
      </c>
      <c r="BL7" s="0" t="s">
        <v>130</v>
      </c>
      <c r="BM7" s="0" t="s">
        <v>130</v>
      </c>
      <c r="BN7" s="0" t="s">
        <v>130</v>
      </c>
      <c r="BO7" s="0" t="s">
        <v>130</v>
      </c>
      <c r="BP7" s="0" t="s">
        <v>130</v>
      </c>
      <c r="BQ7" s="0" t="s">
        <v>130</v>
      </c>
      <c r="BR7" s="0" t="s">
        <v>130</v>
      </c>
      <c r="BS7" s="0" t="s">
        <v>130</v>
      </c>
      <c r="BT7" s="0" t="s">
        <v>130</v>
      </c>
      <c r="BU7" s="0" t="s">
        <v>130</v>
      </c>
      <c r="BV7" s="0" t="s">
        <v>130</v>
      </c>
      <c r="BW7" s="0" t="s">
        <v>130</v>
      </c>
      <c r="BX7" s="0" t="s">
        <v>130</v>
      </c>
      <c r="BY7" s="0" t="s">
        <v>130</v>
      </c>
      <c r="BZ7" s="0" t="s">
        <v>130</v>
      </c>
      <c r="CA7" s="0" t="s">
        <v>130</v>
      </c>
      <c r="CB7" s="0" t="s">
        <v>130</v>
      </c>
      <c r="CC7" s="0" t="s">
        <v>130</v>
      </c>
      <c r="CD7" s="0" t="s">
        <v>130</v>
      </c>
      <c r="CE7" s="0" t="s">
        <v>130</v>
      </c>
      <c r="CF7" s="0" t="s">
        <v>130</v>
      </c>
      <c r="CG7" s="0" t="s">
        <v>130</v>
      </c>
      <c r="CH7" s="0" t="s">
        <v>130</v>
      </c>
      <c r="CI7" s="0" t="s">
        <v>130</v>
      </c>
      <c r="CJ7" s="0" t="s">
        <v>130</v>
      </c>
      <c r="CK7" s="0" t="s">
        <v>130</v>
      </c>
      <c r="CL7" s="0" t="s">
        <v>130</v>
      </c>
      <c r="CM7" s="0" t="s">
        <v>130</v>
      </c>
      <c r="CN7" s="0" t="s">
        <v>130</v>
      </c>
      <c r="CO7" s="0" t="s">
        <v>130</v>
      </c>
      <c r="CP7" s="0" t="s">
        <v>130</v>
      </c>
      <c r="CQ7" s="0" t="s">
        <v>130</v>
      </c>
      <c r="CR7" s="0" t="s">
        <v>130</v>
      </c>
      <c r="CS7" s="0" t="s">
        <v>130</v>
      </c>
      <c r="CT7" s="0" t="s">
        <v>172</v>
      </c>
    </row>
    <row r="8">
      <c r="A8" s="14">
        <v>100043</v>
      </c>
      <c r="B8" s="0" t="s">
        <v>173</v>
      </c>
      <c r="C8" s="16">
        <f>HYPERLINK("https://eosportal.federatedhermes.com/companies/Q29tcGFueQppNDgxNjg=", "Honeywell International Inc")</f>
      </c>
      <c r="D8" s="0" t="s">
        <v>25</v>
      </c>
      <c r="E8" s="0" t="s">
        <v>174</v>
      </c>
      <c r="F8" s="16">
        <f>HYPERLINK("https://eosportal.federatedhermes.com/engagements/RW5nYWdlbWVudAppMTgwNDM=", "Sustainability Strategy &amp; Targets")</f>
      </c>
      <c r="G8" s="14" t="s">
        <v>175</v>
      </c>
      <c r="H8" s="0" t="s">
        <v>130</v>
      </c>
      <c r="I8" s="14" t="s">
        <v>131</v>
      </c>
      <c r="J8" s="0" t="s">
        <v>132</v>
      </c>
      <c r="K8" s="0" t="s">
        <v>170</v>
      </c>
      <c r="L8" s="0" t="s">
        <v>171</v>
      </c>
      <c r="M8" s="0" t="s">
        <v>135</v>
      </c>
      <c r="N8" s="0" t="s">
        <v>136</v>
      </c>
      <c r="O8" s="0" t="s">
        <v>176</v>
      </c>
      <c r="Q8" s="0" t="s">
        <v>141</v>
      </c>
      <c r="R8" s="0" t="s">
        <v>138</v>
      </c>
      <c r="S8" s="14">
        <v>1</v>
      </c>
      <c r="T8" s="0" t="s">
        <v>166</v>
      </c>
      <c r="U8" s="0" t="s">
        <v>138</v>
      </c>
      <c r="V8" s="14" t="s">
        <v>138</v>
      </c>
      <c r="W8" s="0" t="s">
        <v>138</v>
      </c>
      <c r="X8" s="14" t="s">
        <v>138</v>
      </c>
      <c r="Y8" s="0" t="s">
        <v>138</v>
      </c>
      <c r="Z8" s="14" t="s">
        <v>138</v>
      </c>
      <c r="AA8" s="0" t="s">
        <v>138</v>
      </c>
      <c r="AB8" s="14" t="s">
        <v>138</v>
      </c>
      <c r="AD8" s="0" t="s">
        <v>138</v>
      </c>
      <c r="AF8" s="0">
        <v>0</v>
      </c>
      <c r="AG8" s="0">
        <v>0</v>
      </c>
      <c r="AH8" s="0" t="s">
        <v>140</v>
      </c>
      <c r="AI8" s="0" t="s">
        <v>138</v>
      </c>
      <c r="AK8" s="0" t="s">
        <v>177</v>
      </c>
      <c r="AL8" s="14"/>
      <c r="AN8" s="14"/>
      <c r="AQ8" s="0" t="s">
        <v>130</v>
      </c>
      <c r="AR8" s="0" t="s">
        <v>130</v>
      </c>
      <c r="AS8" s="0" t="s">
        <v>130</v>
      </c>
      <c r="AT8" s="0" t="s">
        <v>130</v>
      </c>
      <c r="AU8" s="0" t="s">
        <v>130</v>
      </c>
      <c r="AV8" s="0" t="s">
        <v>130</v>
      </c>
      <c r="AW8" s="0" t="s">
        <v>130</v>
      </c>
      <c r="AX8" s="0" t="s">
        <v>130</v>
      </c>
      <c r="AY8" s="0" t="s">
        <v>130</v>
      </c>
      <c r="AZ8" s="0" t="s">
        <v>130</v>
      </c>
      <c r="BA8" s="0" t="s">
        <v>130</v>
      </c>
      <c r="BB8" s="0" t="s">
        <v>141</v>
      </c>
      <c r="BC8" s="0" t="s">
        <v>130</v>
      </c>
      <c r="BD8" s="0" t="s">
        <v>130</v>
      </c>
      <c r="BE8" s="0" t="s">
        <v>130</v>
      </c>
      <c r="BF8" s="0" t="s">
        <v>130</v>
      </c>
      <c r="BG8" s="0" t="s">
        <v>130</v>
      </c>
      <c r="BH8" s="0" t="s">
        <v>130</v>
      </c>
      <c r="BI8" s="0" t="s">
        <v>130</v>
      </c>
      <c r="BJ8" s="0" t="s">
        <v>130</v>
      </c>
      <c r="BK8" s="0" t="s">
        <v>130</v>
      </c>
      <c r="BL8" s="0" t="s">
        <v>130</v>
      </c>
      <c r="BM8" s="0" t="s">
        <v>130</v>
      </c>
      <c r="BN8" s="0" t="s">
        <v>130</v>
      </c>
      <c r="BO8" s="0" t="s">
        <v>130</v>
      </c>
      <c r="BP8" s="0" t="s">
        <v>130</v>
      </c>
      <c r="BQ8" s="0" t="s">
        <v>130</v>
      </c>
      <c r="BR8" s="0" t="s">
        <v>130</v>
      </c>
      <c r="BS8" s="0" t="s">
        <v>130</v>
      </c>
      <c r="BT8" s="0" t="s">
        <v>130</v>
      </c>
      <c r="BU8" s="0" t="s">
        <v>130</v>
      </c>
      <c r="BV8" s="0" t="s">
        <v>130</v>
      </c>
      <c r="BW8" s="0" t="s">
        <v>130</v>
      </c>
      <c r="BX8" s="0" t="s">
        <v>130</v>
      </c>
      <c r="BY8" s="0" t="s">
        <v>130</v>
      </c>
      <c r="BZ8" s="0" t="s">
        <v>130</v>
      </c>
      <c r="CA8" s="0" t="s">
        <v>130</v>
      </c>
      <c r="CB8" s="0" t="s">
        <v>130</v>
      </c>
      <c r="CC8" s="0" t="s">
        <v>130</v>
      </c>
      <c r="CD8" s="0" t="s">
        <v>130</v>
      </c>
      <c r="CE8" s="0" t="s">
        <v>130</v>
      </c>
      <c r="CF8" s="0" t="s">
        <v>130</v>
      </c>
      <c r="CG8" s="0" t="s">
        <v>130</v>
      </c>
      <c r="CH8" s="0" t="s">
        <v>130</v>
      </c>
      <c r="CI8" s="0" t="s">
        <v>130</v>
      </c>
      <c r="CJ8" s="0" t="s">
        <v>130</v>
      </c>
      <c r="CK8" s="0" t="s">
        <v>130</v>
      </c>
      <c r="CL8" s="0" t="s">
        <v>130</v>
      </c>
      <c r="CM8" s="0" t="s">
        <v>130</v>
      </c>
      <c r="CN8" s="0" t="s">
        <v>130</v>
      </c>
      <c r="CO8" s="0" t="s">
        <v>130</v>
      </c>
      <c r="CP8" s="0" t="s">
        <v>130</v>
      </c>
      <c r="CQ8" s="0" t="s">
        <v>130</v>
      </c>
      <c r="CR8" s="0" t="s">
        <v>130</v>
      </c>
      <c r="CS8" s="0" t="s">
        <v>130</v>
      </c>
      <c r="CT8" s="0" t="s">
        <v>178</v>
      </c>
    </row>
    <row r="9">
      <c r="A9" s="14">
        <v>100043</v>
      </c>
      <c r="B9" s="0" t="s">
        <v>173</v>
      </c>
      <c r="C9" s="16">
        <f>HYPERLINK("https://eosportal.federatedhermes.com/companies/Q29tcGFueQppNDgxNjg=", "Honeywell International Inc")</f>
      </c>
      <c r="D9" s="0" t="s">
        <v>25</v>
      </c>
      <c r="E9" s="0" t="s">
        <v>179</v>
      </c>
      <c r="F9" s="16">
        <f>HYPERLINK("https://eosportal.federatedhermes.com/engagements/RW5nYWdlbWVudAppMTgwNDQ=", "Improve overall governance policies &amp; disclosures")</f>
      </c>
      <c r="G9" s="14" t="s">
        <v>180</v>
      </c>
      <c r="H9" s="0" t="s">
        <v>130</v>
      </c>
      <c r="I9" s="14" t="s">
        <v>131</v>
      </c>
      <c r="J9" s="0" t="s">
        <v>145</v>
      </c>
      <c r="K9" s="0" t="s">
        <v>146</v>
      </c>
      <c r="L9" s="0" t="s">
        <v>147</v>
      </c>
      <c r="M9" s="0" t="s">
        <v>135</v>
      </c>
      <c r="N9" s="0" t="s">
        <v>136</v>
      </c>
      <c r="O9" s="0" t="s">
        <v>176</v>
      </c>
      <c r="Q9" s="0" t="s">
        <v>130</v>
      </c>
      <c r="R9" s="0" t="s">
        <v>138</v>
      </c>
      <c r="S9" s="14">
        <v>0</v>
      </c>
      <c r="T9" s="0" t="s">
        <v>181</v>
      </c>
      <c r="U9" s="0" t="s">
        <v>138</v>
      </c>
      <c r="V9" s="14" t="s">
        <v>138</v>
      </c>
      <c r="W9" s="0" t="s">
        <v>138</v>
      </c>
      <c r="X9" s="14" t="s">
        <v>138</v>
      </c>
      <c r="Y9" s="0" t="s">
        <v>138</v>
      </c>
      <c r="Z9" s="14" t="s">
        <v>138</v>
      </c>
      <c r="AA9" s="0" t="s">
        <v>138</v>
      </c>
      <c r="AB9" s="14" t="s">
        <v>138</v>
      </c>
      <c r="AD9" s="0" t="s">
        <v>138</v>
      </c>
      <c r="AF9" s="0">
        <v>0</v>
      </c>
      <c r="AG9" s="0">
        <v>0</v>
      </c>
      <c r="AH9" s="0" t="s">
        <v>140</v>
      </c>
      <c r="AI9" s="0" t="s">
        <v>138</v>
      </c>
      <c r="AL9" s="14"/>
      <c r="AN9" s="14"/>
      <c r="AQ9" s="0" t="s">
        <v>130</v>
      </c>
      <c r="AR9" s="0" t="s">
        <v>130</v>
      </c>
      <c r="AS9" s="0" t="s">
        <v>130</v>
      </c>
      <c r="AT9" s="0" t="s">
        <v>130</v>
      </c>
      <c r="AU9" s="0" t="s">
        <v>130</v>
      </c>
      <c r="AV9" s="0" t="s">
        <v>130</v>
      </c>
      <c r="AW9" s="0" t="s">
        <v>130</v>
      </c>
      <c r="AX9" s="0" t="s">
        <v>130</v>
      </c>
      <c r="AY9" s="0" t="s">
        <v>130</v>
      </c>
      <c r="AZ9" s="0" t="s">
        <v>130</v>
      </c>
      <c r="BA9" s="0" t="s">
        <v>130</v>
      </c>
      <c r="BB9" s="0" t="s">
        <v>130</v>
      </c>
      <c r="BC9" s="0" t="s">
        <v>130</v>
      </c>
      <c r="BD9" s="0" t="s">
        <v>130</v>
      </c>
      <c r="BE9" s="0" t="s">
        <v>130</v>
      </c>
      <c r="BF9" s="0" t="s">
        <v>130</v>
      </c>
      <c r="BG9" s="0" t="s">
        <v>130</v>
      </c>
      <c r="BH9" s="0" t="s">
        <v>130</v>
      </c>
      <c r="BI9" s="0" t="s">
        <v>130</v>
      </c>
      <c r="BJ9" s="0" t="s">
        <v>130</v>
      </c>
      <c r="BK9" s="0" t="s">
        <v>130</v>
      </c>
      <c r="BL9" s="0" t="s">
        <v>130</v>
      </c>
      <c r="BM9" s="0" t="s">
        <v>130</v>
      </c>
      <c r="BN9" s="0" t="s">
        <v>130</v>
      </c>
      <c r="BO9" s="0" t="s">
        <v>130</v>
      </c>
      <c r="BP9" s="0" t="s">
        <v>130</v>
      </c>
      <c r="BQ9" s="0" t="s">
        <v>130</v>
      </c>
      <c r="BR9" s="0" t="s">
        <v>130</v>
      </c>
      <c r="BS9" s="0" t="s">
        <v>130</v>
      </c>
      <c r="BT9" s="0" t="s">
        <v>130</v>
      </c>
      <c r="BU9" s="0" t="s">
        <v>130</v>
      </c>
      <c r="BV9" s="0" t="s">
        <v>130</v>
      </c>
      <c r="BW9" s="0" t="s">
        <v>130</v>
      </c>
      <c r="BX9" s="0" t="s">
        <v>130</v>
      </c>
      <c r="BY9" s="0" t="s">
        <v>130</v>
      </c>
      <c r="BZ9" s="0" t="s">
        <v>130</v>
      </c>
      <c r="CA9" s="0" t="s">
        <v>130</v>
      </c>
      <c r="CB9" s="0" t="s">
        <v>130</v>
      </c>
      <c r="CC9" s="0" t="s">
        <v>130</v>
      </c>
      <c r="CD9" s="0" t="s">
        <v>130</v>
      </c>
      <c r="CE9" s="0" t="s">
        <v>130</v>
      </c>
      <c r="CF9" s="0" t="s">
        <v>130</v>
      </c>
      <c r="CG9" s="0" t="s">
        <v>130</v>
      </c>
      <c r="CH9" s="0" t="s">
        <v>130</v>
      </c>
      <c r="CI9" s="0" t="s">
        <v>130</v>
      </c>
      <c r="CJ9" s="0" t="s">
        <v>130</v>
      </c>
      <c r="CK9" s="0" t="s">
        <v>130</v>
      </c>
      <c r="CL9" s="0" t="s">
        <v>130</v>
      </c>
      <c r="CM9" s="0" t="s">
        <v>130</v>
      </c>
      <c r="CN9" s="0" t="s">
        <v>130</v>
      </c>
      <c r="CO9" s="0" t="s">
        <v>130</v>
      </c>
      <c r="CP9" s="0" t="s">
        <v>130</v>
      </c>
      <c r="CQ9" s="0" t="s">
        <v>130</v>
      </c>
      <c r="CR9" s="0" t="s">
        <v>130</v>
      </c>
      <c r="CS9" s="0" t="s">
        <v>130</v>
      </c>
      <c r="CT9" s="0" t="s">
        <v>182</v>
      </c>
    </row>
    <row r="10">
      <c r="A10" s="14">
        <v>100043</v>
      </c>
      <c r="B10" s="0" t="s">
        <v>173</v>
      </c>
      <c r="C10" s="16">
        <f>HYPERLINK("https://eosportal.federatedhermes.com/companies/Q29tcGFueQppNDgxNjg=", "Honeywell International Inc")</f>
      </c>
      <c r="D10" s="0" t="s">
        <v>25</v>
      </c>
      <c r="E10" s="0" t="s">
        <v>183</v>
      </c>
      <c r="F10" s="16">
        <f>HYPERLINK("https://eosportal.federatedhermes.com/engagements/RW5nYWdlbWVudAppMTgwNDU=", "Best Practice in Lobbying &amp; Political Contributions Disclosure")</f>
      </c>
      <c r="G10" s="14" t="s">
        <v>184</v>
      </c>
      <c r="H10" s="0" t="s">
        <v>130</v>
      </c>
      <c r="I10" s="14" t="s">
        <v>131</v>
      </c>
      <c r="J10" s="0" t="s">
        <v>153</v>
      </c>
      <c r="K10" s="0" t="s">
        <v>185</v>
      </c>
      <c r="L10" s="0" t="s">
        <v>186</v>
      </c>
      <c r="M10" s="0" t="s">
        <v>135</v>
      </c>
      <c r="N10" s="0" t="s">
        <v>136</v>
      </c>
      <c r="O10" s="0" t="s">
        <v>176</v>
      </c>
      <c r="Q10" s="0" t="s">
        <v>130</v>
      </c>
      <c r="R10" s="0" t="s">
        <v>138</v>
      </c>
      <c r="S10" s="14">
        <v>0</v>
      </c>
      <c r="T10" s="0" t="s">
        <v>166</v>
      </c>
      <c r="U10" s="0" t="s">
        <v>138</v>
      </c>
      <c r="V10" s="14" t="s">
        <v>138</v>
      </c>
      <c r="W10" s="0" t="s">
        <v>138</v>
      </c>
      <c r="X10" s="14" t="s">
        <v>138</v>
      </c>
      <c r="Y10" s="0" t="s">
        <v>138</v>
      </c>
      <c r="Z10" s="14" t="s">
        <v>138</v>
      </c>
      <c r="AA10" s="0" t="s">
        <v>138</v>
      </c>
      <c r="AB10" s="14" t="s">
        <v>138</v>
      </c>
      <c r="AD10" s="0" t="s">
        <v>138</v>
      </c>
      <c r="AF10" s="0">
        <v>0</v>
      </c>
      <c r="AG10" s="0">
        <v>0</v>
      </c>
      <c r="AH10" s="0" t="s">
        <v>140</v>
      </c>
      <c r="AI10" s="0" t="s">
        <v>138</v>
      </c>
      <c r="AL10" s="14"/>
      <c r="AN10" s="14"/>
      <c r="AQ10" s="0" t="s">
        <v>130</v>
      </c>
      <c r="AR10" s="0" t="s">
        <v>130</v>
      </c>
      <c r="AS10" s="0" t="s">
        <v>130</v>
      </c>
      <c r="AT10" s="0" t="s">
        <v>130</v>
      </c>
      <c r="AU10" s="0" t="s">
        <v>130</v>
      </c>
      <c r="AV10" s="0" t="s">
        <v>130</v>
      </c>
      <c r="AW10" s="0" t="s">
        <v>130</v>
      </c>
      <c r="AX10" s="0" t="s">
        <v>130</v>
      </c>
      <c r="AY10" s="0" t="s">
        <v>130</v>
      </c>
      <c r="AZ10" s="0" t="s">
        <v>130</v>
      </c>
      <c r="BA10" s="0" t="s">
        <v>130</v>
      </c>
      <c r="BB10" s="0" t="s">
        <v>130</v>
      </c>
      <c r="BC10" s="0" t="s">
        <v>130</v>
      </c>
      <c r="BD10" s="0" t="s">
        <v>130</v>
      </c>
      <c r="BE10" s="0" t="s">
        <v>130</v>
      </c>
      <c r="BF10" s="0" t="s">
        <v>130</v>
      </c>
      <c r="BG10" s="0" t="s">
        <v>130</v>
      </c>
      <c r="BH10" s="0" t="s">
        <v>130</v>
      </c>
      <c r="BI10" s="0" t="s">
        <v>130</v>
      </c>
      <c r="BJ10" s="0" t="s">
        <v>130</v>
      </c>
      <c r="BK10" s="0" t="s">
        <v>130</v>
      </c>
      <c r="BL10" s="0" t="s">
        <v>130</v>
      </c>
      <c r="BM10" s="0" t="s">
        <v>130</v>
      </c>
      <c r="BN10" s="0" t="s">
        <v>130</v>
      </c>
      <c r="BO10" s="0" t="s">
        <v>130</v>
      </c>
      <c r="BP10" s="0" t="s">
        <v>130</v>
      </c>
      <c r="BQ10" s="0" t="s">
        <v>130</v>
      </c>
      <c r="BR10" s="0" t="s">
        <v>130</v>
      </c>
      <c r="BS10" s="0" t="s">
        <v>130</v>
      </c>
      <c r="BT10" s="0" t="s">
        <v>130</v>
      </c>
      <c r="BU10" s="0" t="s">
        <v>130</v>
      </c>
      <c r="BV10" s="0" t="s">
        <v>130</v>
      </c>
      <c r="BW10" s="0" t="s">
        <v>130</v>
      </c>
      <c r="BX10" s="0" t="s">
        <v>130</v>
      </c>
      <c r="BY10" s="0" t="s">
        <v>130</v>
      </c>
      <c r="BZ10" s="0" t="s">
        <v>130</v>
      </c>
      <c r="CA10" s="0" t="s">
        <v>130</v>
      </c>
      <c r="CB10" s="0" t="s">
        <v>130</v>
      </c>
      <c r="CC10" s="0" t="s">
        <v>130</v>
      </c>
      <c r="CD10" s="0" t="s">
        <v>130</v>
      </c>
      <c r="CE10" s="0" t="s">
        <v>130</v>
      </c>
      <c r="CF10" s="0" t="s">
        <v>130</v>
      </c>
      <c r="CG10" s="0" t="s">
        <v>130</v>
      </c>
      <c r="CH10" s="0" t="s">
        <v>130</v>
      </c>
      <c r="CI10" s="0" t="s">
        <v>130</v>
      </c>
      <c r="CJ10" s="0" t="s">
        <v>130</v>
      </c>
      <c r="CK10" s="0" t="s">
        <v>130</v>
      </c>
      <c r="CL10" s="0" t="s">
        <v>130</v>
      </c>
      <c r="CM10" s="0" t="s">
        <v>130</v>
      </c>
      <c r="CN10" s="0" t="s">
        <v>130</v>
      </c>
      <c r="CO10" s="0" t="s">
        <v>130</v>
      </c>
      <c r="CP10" s="0" t="s">
        <v>130</v>
      </c>
      <c r="CQ10" s="0" t="s">
        <v>130</v>
      </c>
      <c r="CR10" s="0" t="s">
        <v>130</v>
      </c>
      <c r="CS10" s="0" t="s">
        <v>130</v>
      </c>
      <c r="CT10" s="0" t="s">
        <v>187</v>
      </c>
    </row>
    <row r="11">
      <c r="A11" s="14">
        <v>100060</v>
      </c>
      <c r="B11" s="0" t="s">
        <v>188</v>
      </c>
      <c r="C11" s="16">
        <f>HYPERLINK("https://eosportal.federatedhermes.com/companies/Q29tcGFueQppNjI0OTY=", "American Electric Power Co Inc")</f>
      </c>
      <c r="D11" s="0" t="s">
        <v>25</v>
      </c>
      <c r="E11" s="0" t="s">
        <v>189</v>
      </c>
      <c r="F11" s="16">
        <f>HYPERLINK("https://eosportal.federatedhermes.com/engagements/RW5nYWdlbWVudAppMTgwNTg=", "Lobbying &amp; Political Expenditure Disclosures")</f>
      </c>
      <c r="G11" s="14" t="s">
        <v>190</v>
      </c>
      <c r="H11" s="0" t="s">
        <v>141</v>
      </c>
      <c r="I11" s="14" t="s">
        <v>191</v>
      </c>
      <c r="J11" s="0" t="s">
        <v>153</v>
      </c>
      <c r="K11" s="0" t="s">
        <v>185</v>
      </c>
      <c r="L11" s="0" t="s">
        <v>186</v>
      </c>
      <c r="M11" s="0" t="s">
        <v>135</v>
      </c>
      <c r="N11" s="0" t="s">
        <v>136</v>
      </c>
      <c r="O11" s="0" t="s">
        <v>192</v>
      </c>
      <c r="Q11" s="0" t="s">
        <v>130</v>
      </c>
      <c r="R11" s="0" t="s">
        <v>138</v>
      </c>
      <c r="S11" s="14">
        <v>0</v>
      </c>
      <c r="T11" s="0" t="s">
        <v>193</v>
      </c>
      <c r="U11" s="0" t="s">
        <v>138</v>
      </c>
      <c r="V11" s="14" t="s">
        <v>138</v>
      </c>
      <c r="W11" s="0" t="s">
        <v>138</v>
      </c>
      <c r="X11" s="14" t="s">
        <v>138</v>
      </c>
      <c r="Y11" s="0" t="s">
        <v>138</v>
      </c>
      <c r="Z11" s="14" t="s">
        <v>138</v>
      </c>
      <c r="AA11" s="0" t="s">
        <v>138</v>
      </c>
      <c r="AB11" s="14" t="s">
        <v>138</v>
      </c>
      <c r="AD11" s="0" t="s">
        <v>138</v>
      </c>
      <c r="AF11" s="0">
        <v>0</v>
      </c>
      <c r="AG11" s="0">
        <v>0</v>
      </c>
      <c r="AH11" s="0" t="s">
        <v>140</v>
      </c>
      <c r="AI11" s="0" t="s">
        <v>138</v>
      </c>
      <c r="AL11" s="14"/>
      <c r="AN11" s="14"/>
      <c r="AQ11" s="0" t="s">
        <v>130</v>
      </c>
      <c r="AR11" s="0" t="s">
        <v>130</v>
      </c>
      <c r="AS11" s="0" t="s">
        <v>130</v>
      </c>
      <c r="AT11" s="0" t="s">
        <v>130</v>
      </c>
      <c r="AU11" s="0" t="s">
        <v>130</v>
      </c>
      <c r="AV11" s="0" t="s">
        <v>130</v>
      </c>
      <c r="AW11" s="0" t="s">
        <v>130</v>
      </c>
      <c r="AX11" s="0" t="s">
        <v>130</v>
      </c>
      <c r="AY11" s="0" t="s">
        <v>130</v>
      </c>
      <c r="AZ11" s="0" t="s">
        <v>130</v>
      </c>
      <c r="BA11" s="0" t="s">
        <v>130</v>
      </c>
      <c r="BB11" s="0" t="s">
        <v>130</v>
      </c>
      <c r="BC11" s="0" t="s">
        <v>130</v>
      </c>
      <c r="BD11" s="0" t="s">
        <v>130</v>
      </c>
      <c r="BE11" s="0" t="s">
        <v>130</v>
      </c>
      <c r="BF11" s="0" t="s">
        <v>130</v>
      </c>
      <c r="BG11" s="0" t="s">
        <v>130</v>
      </c>
      <c r="BH11" s="0" t="s">
        <v>130</v>
      </c>
      <c r="BI11" s="0" t="s">
        <v>130</v>
      </c>
      <c r="BJ11" s="0" t="s">
        <v>130</v>
      </c>
      <c r="BK11" s="0" t="s">
        <v>130</v>
      </c>
      <c r="BL11" s="0" t="s">
        <v>130</v>
      </c>
      <c r="BM11" s="0" t="s">
        <v>130</v>
      </c>
      <c r="BN11" s="0" t="s">
        <v>130</v>
      </c>
      <c r="BO11" s="0" t="s">
        <v>130</v>
      </c>
      <c r="BP11" s="0" t="s">
        <v>130</v>
      </c>
      <c r="BQ11" s="0" t="s">
        <v>130</v>
      </c>
      <c r="BR11" s="0" t="s">
        <v>130</v>
      </c>
      <c r="BS11" s="0" t="s">
        <v>130</v>
      </c>
      <c r="BT11" s="0" t="s">
        <v>130</v>
      </c>
      <c r="BU11" s="0" t="s">
        <v>130</v>
      </c>
      <c r="BV11" s="0" t="s">
        <v>130</v>
      </c>
      <c r="BW11" s="0" t="s">
        <v>130</v>
      </c>
      <c r="BX11" s="0" t="s">
        <v>130</v>
      </c>
      <c r="BY11" s="0" t="s">
        <v>130</v>
      </c>
      <c r="BZ11" s="0" t="s">
        <v>130</v>
      </c>
      <c r="CA11" s="0" t="s">
        <v>130</v>
      </c>
      <c r="CB11" s="0" t="s">
        <v>130</v>
      </c>
      <c r="CC11" s="0" t="s">
        <v>130</v>
      </c>
      <c r="CD11" s="0" t="s">
        <v>130</v>
      </c>
      <c r="CE11" s="0" t="s">
        <v>130</v>
      </c>
      <c r="CF11" s="0" t="s">
        <v>130</v>
      </c>
      <c r="CG11" s="0" t="s">
        <v>130</v>
      </c>
      <c r="CH11" s="0" t="s">
        <v>130</v>
      </c>
      <c r="CI11" s="0" t="s">
        <v>130</v>
      </c>
      <c r="CJ11" s="0" t="s">
        <v>130</v>
      </c>
      <c r="CK11" s="0" t="s">
        <v>130</v>
      </c>
      <c r="CL11" s="0" t="s">
        <v>130</v>
      </c>
      <c r="CM11" s="0" t="s">
        <v>130</v>
      </c>
      <c r="CN11" s="0" t="s">
        <v>130</v>
      </c>
      <c r="CO11" s="0" t="s">
        <v>130</v>
      </c>
      <c r="CP11" s="0" t="s">
        <v>130</v>
      </c>
      <c r="CQ11" s="0" t="s">
        <v>130</v>
      </c>
      <c r="CR11" s="0" t="s">
        <v>130</v>
      </c>
      <c r="CS11" s="0" t="s">
        <v>130</v>
      </c>
      <c r="CT11" s="0" t="s">
        <v>194</v>
      </c>
    </row>
    <row r="12">
      <c r="A12" s="14">
        <v>100060</v>
      </c>
      <c r="B12" s="0" t="s">
        <v>188</v>
      </c>
      <c r="C12" s="16">
        <f>HYPERLINK("https://eosportal.federatedhermes.com/companies/Q29tcGFueQppNjI0OTY=", "American Electric Power Co Inc")</f>
      </c>
      <c r="D12" s="0" t="s">
        <v>25</v>
      </c>
      <c r="E12" s="0" t="s">
        <v>195</v>
      </c>
      <c r="F12" s="16">
        <f>HYPERLINK("https://eosportal.federatedhermes.com/engagements/RW5nYWdlbWVudAppMTgwNTk=", "Climate change risk to coal operations")</f>
      </c>
      <c r="G12" s="14" t="s">
        <v>196</v>
      </c>
      <c r="H12" s="0" t="s">
        <v>141</v>
      </c>
      <c r="I12" s="14" t="s">
        <v>191</v>
      </c>
      <c r="J12" s="0" t="s">
        <v>197</v>
      </c>
      <c r="K12" s="0" t="s">
        <v>198</v>
      </c>
      <c r="L12" s="0" t="s">
        <v>199</v>
      </c>
      <c r="M12" s="0" t="s">
        <v>135</v>
      </c>
      <c r="N12" s="0" t="s">
        <v>136</v>
      </c>
      <c r="O12" s="0" t="s">
        <v>192</v>
      </c>
      <c r="Q12" s="0" t="s">
        <v>130</v>
      </c>
      <c r="R12" s="0" t="s">
        <v>138</v>
      </c>
      <c r="S12" s="14">
        <v>0</v>
      </c>
      <c r="T12" s="0" t="s">
        <v>200</v>
      </c>
      <c r="U12" s="0" t="s">
        <v>138</v>
      </c>
      <c r="V12" s="14" t="s">
        <v>138</v>
      </c>
      <c r="W12" s="0" t="s">
        <v>138</v>
      </c>
      <c r="X12" s="14" t="s">
        <v>138</v>
      </c>
      <c r="Y12" s="0" t="s">
        <v>138</v>
      </c>
      <c r="Z12" s="14" t="s">
        <v>138</v>
      </c>
      <c r="AA12" s="0" t="s">
        <v>138</v>
      </c>
      <c r="AB12" s="14" t="s">
        <v>138</v>
      </c>
      <c r="AD12" s="0" t="s">
        <v>138</v>
      </c>
      <c r="AF12" s="0">
        <v>0</v>
      </c>
      <c r="AG12" s="0">
        <v>0</v>
      </c>
      <c r="AH12" s="0" t="s">
        <v>140</v>
      </c>
      <c r="AI12" s="0" t="s">
        <v>138</v>
      </c>
      <c r="AL12" s="14"/>
      <c r="AN12" s="14"/>
      <c r="AQ12" s="0" t="s">
        <v>130</v>
      </c>
      <c r="AR12" s="0" t="s">
        <v>130</v>
      </c>
      <c r="AS12" s="0" t="s">
        <v>130</v>
      </c>
      <c r="AT12" s="0" t="s">
        <v>130</v>
      </c>
      <c r="AU12" s="0" t="s">
        <v>130</v>
      </c>
      <c r="AV12" s="0" t="s">
        <v>130</v>
      </c>
      <c r="AW12" s="0" t="s">
        <v>130</v>
      </c>
      <c r="AX12" s="0" t="s">
        <v>130</v>
      </c>
      <c r="AY12" s="0" t="s">
        <v>130</v>
      </c>
      <c r="AZ12" s="0" t="s">
        <v>130</v>
      </c>
      <c r="BA12" s="0" t="s">
        <v>130</v>
      </c>
      <c r="BB12" s="0" t="s">
        <v>141</v>
      </c>
      <c r="BC12" s="0" t="s">
        <v>130</v>
      </c>
      <c r="BD12" s="0" t="s">
        <v>130</v>
      </c>
      <c r="BE12" s="0" t="s">
        <v>130</v>
      </c>
      <c r="BF12" s="0" t="s">
        <v>130</v>
      </c>
      <c r="BG12" s="0" t="s">
        <v>130</v>
      </c>
      <c r="BH12" s="0" t="s">
        <v>130</v>
      </c>
      <c r="BI12" s="0" t="s">
        <v>130</v>
      </c>
      <c r="BJ12" s="0" t="s">
        <v>130</v>
      </c>
      <c r="BK12" s="0" t="s">
        <v>130</v>
      </c>
      <c r="BL12" s="0" t="s">
        <v>130</v>
      </c>
      <c r="BM12" s="0" t="s">
        <v>130</v>
      </c>
      <c r="BN12" s="0" t="s">
        <v>130</v>
      </c>
      <c r="BO12" s="0" t="s">
        <v>130</v>
      </c>
      <c r="BP12" s="0" t="s">
        <v>130</v>
      </c>
      <c r="BQ12" s="0" t="s">
        <v>130</v>
      </c>
      <c r="BR12" s="0" t="s">
        <v>130</v>
      </c>
      <c r="BS12" s="0" t="s">
        <v>130</v>
      </c>
      <c r="BT12" s="0" t="s">
        <v>130</v>
      </c>
      <c r="BU12" s="0" t="s">
        <v>130</v>
      </c>
      <c r="BV12" s="0" t="s">
        <v>130</v>
      </c>
      <c r="BW12" s="0" t="s">
        <v>130</v>
      </c>
      <c r="BX12" s="0" t="s">
        <v>130</v>
      </c>
      <c r="BY12" s="0" t="s">
        <v>130</v>
      </c>
      <c r="BZ12" s="0" t="s">
        <v>130</v>
      </c>
      <c r="CA12" s="0" t="s">
        <v>130</v>
      </c>
      <c r="CB12" s="0" t="s">
        <v>130</v>
      </c>
      <c r="CC12" s="0" t="s">
        <v>130</v>
      </c>
      <c r="CD12" s="0" t="s">
        <v>130</v>
      </c>
      <c r="CE12" s="0" t="s">
        <v>130</v>
      </c>
      <c r="CF12" s="0" t="s">
        <v>130</v>
      </c>
      <c r="CG12" s="0" t="s">
        <v>130</v>
      </c>
      <c r="CH12" s="0" t="s">
        <v>130</v>
      </c>
      <c r="CI12" s="0" t="s">
        <v>130</v>
      </c>
      <c r="CJ12" s="0" t="s">
        <v>130</v>
      </c>
      <c r="CK12" s="0" t="s">
        <v>130</v>
      </c>
      <c r="CL12" s="0" t="s">
        <v>130</v>
      </c>
      <c r="CM12" s="0" t="s">
        <v>130</v>
      </c>
      <c r="CN12" s="0" t="s">
        <v>130</v>
      </c>
      <c r="CO12" s="0" t="s">
        <v>130</v>
      </c>
      <c r="CP12" s="0" t="s">
        <v>130</v>
      </c>
      <c r="CQ12" s="0" t="s">
        <v>130</v>
      </c>
      <c r="CR12" s="0" t="s">
        <v>130</v>
      </c>
      <c r="CS12" s="0" t="s">
        <v>130</v>
      </c>
      <c r="CT12" s="0" t="s">
        <v>201</v>
      </c>
    </row>
    <row r="13">
      <c r="A13" s="14">
        <v>100060</v>
      </c>
      <c r="B13" s="0" t="s">
        <v>188</v>
      </c>
      <c r="C13" s="16">
        <f>HYPERLINK("https://eosportal.federatedhermes.com/companies/Q29tcGFueQppNjI0OTY=", "American Electric Power Co Inc")</f>
      </c>
      <c r="D13" s="0" t="s">
        <v>25</v>
      </c>
      <c r="E13" s="0" t="s">
        <v>143</v>
      </c>
      <c r="F13" s="16">
        <f>HYPERLINK("https://eosportal.federatedhermes.com/engagements/RW5nYWdlbWVudAppMTgwNjA=", "Executive compensation")</f>
      </c>
      <c r="G13" s="14" t="s">
        <v>202</v>
      </c>
      <c r="H13" s="0" t="s">
        <v>141</v>
      </c>
      <c r="I13" s="14" t="s">
        <v>191</v>
      </c>
      <c r="J13" s="0" t="s">
        <v>145</v>
      </c>
      <c r="K13" s="0" t="s">
        <v>146</v>
      </c>
      <c r="L13" s="0" t="s">
        <v>147</v>
      </c>
      <c r="M13" s="0" t="s">
        <v>135</v>
      </c>
      <c r="N13" s="0" t="s">
        <v>136</v>
      </c>
      <c r="O13" s="0" t="s">
        <v>192</v>
      </c>
      <c r="Q13" s="0" t="s">
        <v>130</v>
      </c>
      <c r="R13" s="0" t="s">
        <v>138</v>
      </c>
      <c r="S13" s="14">
        <v>0</v>
      </c>
      <c r="T13" s="0" t="s">
        <v>148</v>
      </c>
      <c r="U13" s="0" t="s">
        <v>138</v>
      </c>
      <c r="V13" s="14" t="s">
        <v>138</v>
      </c>
      <c r="W13" s="0" t="s">
        <v>138</v>
      </c>
      <c r="X13" s="14" t="s">
        <v>138</v>
      </c>
      <c r="Y13" s="0" t="s">
        <v>138</v>
      </c>
      <c r="Z13" s="14" t="s">
        <v>138</v>
      </c>
      <c r="AA13" s="0" t="s">
        <v>138</v>
      </c>
      <c r="AB13" s="14" t="s">
        <v>138</v>
      </c>
      <c r="AD13" s="0" t="s">
        <v>138</v>
      </c>
      <c r="AF13" s="0">
        <v>0</v>
      </c>
      <c r="AG13" s="0">
        <v>0</v>
      </c>
      <c r="AH13" s="0" t="s">
        <v>140</v>
      </c>
      <c r="AI13" s="0" t="s">
        <v>138</v>
      </c>
      <c r="AL13" s="14"/>
      <c r="AN13" s="14"/>
      <c r="AQ13" s="0" t="s">
        <v>130</v>
      </c>
      <c r="AR13" s="0" t="s">
        <v>130</v>
      </c>
      <c r="AS13" s="0" t="s">
        <v>130</v>
      </c>
      <c r="AT13" s="0" t="s">
        <v>130</v>
      </c>
      <c r="AU13" s="0" t="s">
        <v>130</v>
      </c>
      <c r="AV13" s="0" t="s">
        <v>130</v>
      </c>
      <c r="AW13" s="0" t="s">
        <v>130</v>
      </c>
      <c r="AX13" s="0" t="s">
        <v>130</v>
      </c>
      <c r="AY13" s="0" t="s">
        <v>130</v>
      </c>
      <c r="AZ13" s="0" t="s">
        <v>130</v>
      </c>
      <c r="BA13" s="0" t="s">
        <v>130</v>
      </c>
      <c r="BB13" s="0" t="s">
        <v>130</v>
      </c>
      <c r="BC13" s="0" t="s">
        <v>130</v>
      </c>
      <c r="BD13" s="0" t="s">
        <v>130</v>
      </c>
      <c r="BE13" s="0" t="s">
        <v>130</v>
      </c>
      <c r="BF13" s="0" t="s">
        <v>130</v>
      </c>
      <c r="BG13" s="0" t="s">
        <v>130</v>
      </c>
      <c r="BH13" s="0" t="s">
        <v>130</v>
      </c>
      <c r="BI13" s="0" t="s">
        <v>130</v>
      </c>
      <c r="BJ13" s="0" t="s">
        <v>130</v>
      </c>
      <c r="BK13" s="0" t="s">
        <v>130</v>
      </c>
      <c r="BL13" s="0" t="s">
        <v>130</v>
      </c>
      <c r="BM13" s="0" t="s">
        <v>130</v>
      </c>
      <c r="BN13" s="0" t="s">
        <v>130</v>
      </c>
      <c r="BO13" s="0" t="s">
        <v>130</v>
      </c>
      <c r="BP13" s="0" t="s">
        <v>130</v>
      </c>
      <c r="BQ13" s="0" t="s">
        <v>130</v>
      </c>
      <c r="BR13" s="0" t="s">
        <v>130</v>
      </c>
      <c r="BS13" s="0" t="s">
        <v>130</v>
      </c>
      <c r="BT13" s="0" t="s">
        <v>130</v>
      </c>
      <c r="BU13" s="0" t="s">
        <v>130</v>
      </c>
      <c r="BV13" s="0" t="s">
        <v>130</v>
      </c>
      <c r="BW13" s="0" t="s">
        <v>130</v>
      </c>
      <c r="BX13" s="0" t="s">
        <v>130</v>
      </c>
      <c r="BY13" s="0" t="s">
        <v>130</v>
      </c>
      <c r="BZ13" s="0" t="s">
        <v>130</v>
      </c>
      <c r="CA13" s="0" t="s">
        <v>130</v>
      </c>
      <c r="CB13" s="0" t="s">
        <v>130</v>
      </c>
      <c r="CC13" s="0" t="s">
        <v>130</v>
      </c>
      <c r="CD13" s="0" t="s">
        <v>130</v>
      </c>
      <c r="CE13" s="0" t="s">
        <v>130</v>
      </c>
      <c r="CF13" s="0" t="s">
        <v>130</v>
      </c>
      <c r="CG13" s="0" t="s">
        <v>130</v>
      </c>
      <c r="CH13" s="0" t="s">
        <v>130</v>
      </c>
      <c r="CI13" s="0" t="s">
        <v>130</v>
      </c>
      <c r="CJ13" s="0" t="s">
        <v>130</v>
      </c>
      <c r="CK13" s="0" t="s">
        <v>130</v>
      </c>
      <c r="CL13" s="0" t="s">
        <v>130</v>
      </c>
      <c r="CM13" s="0" t="s">
        <v>130</v>
      </c>
      <c r="CN13" s="0" t="s">
        <v>130</v>
      </c>
      <c r="CO13" s="0" t="s">
        <v>130</v>
      </c>
      <c r="CP13" s="0" t="s">
        <v>130</v>
      </c>
      <c r="CQ13" s="0" t="s">
        <v>130</v>
      </c>
      <c r="CR13" s="0" t="s">
        <v>130</v>
      </c>
      <c r="CS13" s="0" t="s">
        <v>130</v>
      </c>
      <c r="CT13" s="0" t="s">
        <v>203</v>
      </c>
    </row>
    <row r="14">
      <c r="A14" s="14">
        <v>100060</v>
      </c>
      <c r="B14" s="0" t="s">
        <v>188</v>
      </c>
      <c r="C14" s="16">
        <f>HYPERLINK("https://eosportal.federatedhermes.com/companies/Q29tcGFueQppNjI0OTY=", "American Electric Power Co Inc")</f>
      </c>
      <c r="D14" s="0" t="s">
        <v>25</v>
      </c>
      <c r="E14" s="0" t="s">
        <v>204</v>
      </c>
      <c r="F14" s="16">
        <f>HYPERLINK("https://eosportal.federatedhermes.com/engagements/RW5nYWdlbWVudAppMTgwNjE=", "Coal Ash Remediation")</f>
      </c>
      <c r="G14" s="14" t="s">
        <v>205</v>
      </c>
      <c r="H14" s="0" t="s">
        <v>141</v>
      </c>
      <c r="I14" s="14" t="s">
        <v>191</v>
      </c>
      <c r="J14" s="0" t="s">
        <v>132</v>
      </c>
      <c r="K14" s="0" t="s">
        <v>133</v>
      </c>
      <c r="L14" s="0" t="s">
        <v>160</v>
      </c>
      <c r="M14" s="0" t="s">
        <v>135</v>
      </c>
      <c r="N14" s="0" t="s">
        <v>136</v>
      </c>
      <c r="O14" s="0" t="s">
        <v>192</v>
      </c>
      <c r="Q14" s="0" t="s">
        <v>130</v>
      </c>
      <c r="R14" s="0" t="s">
        <v>138</v>
      </c>
      <c r="S14" s="14">
        <v>0</v>
      </c>
      <c r="T14" s="0" t="s">
        <v>206</v>
      </c>
      <c r="U14" s="0" t="s">
        <v>138</v>
      </c>
      <c r="V14" s="14" t="s">
        <v>138</v>
      </c>
      <c r="W14" s="0" t="s">
        <v>138</v>
      </c>
      <c r="X14" s="14" t="s">
        <v>138</v>
      </c>
      <c r="Y14" s="0" t="s">
        <v>138</v>
      </c>
      <c r="Z14" s="14" t="s">
        <v>138</v>
      </c>
      <c r="AA14" s="0" t="s">
        <v>138</v>
      </c>
      <c r="AB14" s="14" t="s">
        <v>138</v>
      </c>
      <c r="AD14" s="0" t="s">
        <v>138</v>
      </c>
      <c r="AF14" s="0">
        <v>0</v>
      </c>
      <c r="AG14" s="0">
        <v>0</v>
      </c>
      <c r="AH14" s="0" t="s">
        <v>140</v>
      </c>
      <c r="AI14" s="0" t="s">
        <v>138</v>
      </c>
      <c r="AL14" s="14"/>
      <c r="AN14" s="14"/>
      <c r="AQ14" s="0" t="s">
        <v>130</v>
      </c>
      <c r="AR14" s="0" t="s">
        <v>130</v>
      </c>
      <c r="AS14" s="0" t="s">
        <v>130</v>
      </c>
      <c r="AT14" s="0" t="s">
        <v>130</v>
      </c>
      <c r="AU14" s="0" t="s">
        <v>130</v>
      </c>
      <c r="AV14" s="0" t="s">
        <v>130</v>
      </c>
      <c r="AW14" s="0" t="s">
        <v>130</v>
      </c>
      <c r="AX14" s="0" t="s">
        <v>130</v>
      </c>
      <c r="AY14" s="0" t="s">
        <v>130</v>
      </c>
      <c r="AZ14" s="0" t="s">
        <v>130</v>
      </c>
      <c r="BA14" s="0" t="s">
        <v>130</v>
      </c>
      <c r="BB14" s="0" t="s">
        <v>130</v>
      </c>
      <c r="BC14" s="0" t="s">
        <v>130</v>
      </c>
      <c r="BD14" s="0" t="s">
        <v>130</v>
      </c>
      <c r="BE14" s="0" t="s">
        <v>141</v>
      </c>
      <c r="BF14" s="0" t="s">
        <v>130</v>
      </c>
      <c r="BG14" s="0" t="s">
        <v>130</v>
      </c>
      <c r="BH14" s="0" t="s">
        <v>130</v>
      </c>
      <c r="BI14" s="0" t="s">
        <v>130</v>
      </c>
      <c r="BJ14" s="0" t="s">
        <v>130</v>
      </c>
      <c r="BK14" s="0" t="s">
        <v>130</v>
      </c>
      <c r="BL14" s="0" t="s">
        <v>130</v>
      </c>
      <c r="BM14" s="0" t="s">
        <v>130</v>
      </c>
      <c r="BN14" s="0" t="s">
        <v>130</v>
      </c>
      <c r="BO14" s="0" t="s">
        <v>130</v>
      </c>
      <c r="BP14" s="0" t="s">
        <v>130</v>
      </c>
      <c r="BQ14" s="0" t="s">
        <v>130</v>
      </c>
      <c r="BR14" s="0" t="s">
        <v>130</v>
      </c>
      <c r="BS14" s="0" t="s">
        <v>130</v>
      </c>
      <c r="BT14" s="0" t="s">
        <v>130</v>
      </c>
      <c r="BU14" s="0" t="s">
        <v>130</v>
      </c>
      <c r="BV14" s="0" t="s">
        <v>130</v>
      </c>
      <c r="BW14" s="0" t="s">
        <v>130</v>
      </c>
      <c r="BX14" s="0" t="s">
        <v>130</v>
      </c>
      <c r="BY14" s="0" t="s">
        <v>130</v>
      </c>
      <c r="BZ14" s="0" t="s">
        <v>130</v>
      </c>
      <c r="CA14" s="0" t="s">
        <v>130</v>
      </c>
      <c r="CB14" s="0" t="s">
        <v>130</v>
      </c>
      <c r="CC14" s="0" t="s">
        <v>130</v>
      </c>
      <c r="CD14" s="0" t="s">
        <v>130</v>
      </c>
      <c r="CE14" s="0" t="s">
        <v>130</v>
      </c>
      <c r="CF14" s="0" t="s">
        <v>130</v>
      </c>
      <c r="CG14" s="0" t="s">
        <v>130</v>
      </c>
      <c r="CH14" s="0" t="s">
        <v>130</v>
      </c>
      <c r="CI14" s="0" t="s">
        <v>130</v>
      </c>
      <c r="CJ14" s="0" t="s">
        <v>130</v>
      </c>
      <c r="CK14" s="0" t="s">
        <v>130</v>
      </c>
      <c r="CL14" s="0" t="s">
        <v>130</v>
      </c>
      <c r="CM14" s="0" t="s">
        <v>130</v>
      </c>
      <c r="CN14" s="0" t="s">
        <v>130</v>
      </c>
      <c r="CO14" s="0" t="s">
        <v>130</v>
      </c>
      <c r="CP14" s="0" t="s">
        <v>130</v>
      </c>
      <c r="CQ14" s="0" t="s">
        <v>130</v>
      </c>
      <c r="CR14" s="0" t="s">
        <v>130</v>
      </c>
      <c r="CS14" s="0" t="s">
        <v>130</v>
      </c>
      <c r="CT14" s="0" t="s">
        <v>207</v>
      </c>
    </row>
    <row r="15">
      <c r="A15" s="14">
        <v>100060</v>
      </c>
      <c r="B15" s="0" t="s">
        <v>188</v>
      </c>
      <c r="C15" s="16">
        <f>HYPERLINK("https://eosportal.federatedhermes.com/companies/Q29tcGFueQppNjI0OTY=", "American Electric Power Co Inc")</f>
      </c>
      <c r="D15" s="0" t="s">
        <v>25</v>
      </c>
      <c r="E15" s="0" t="s">
        <v>208</v>
      </c>
      <c r="F15" s="16">
        <f>HYPERLINK("https://eosportal.federatedhermes.com/engagements/RW5nYWdlbWVudAppMTgwNjI=", "Just Transition")</f>
      </c>
      <c r="G15" s="14" t="s">
        <v>209</v>
      </c>
      <c r="H15" s="0" t="s">
        <v>141</v>
      </c>
      <c r="I15" s="14" t="s">
        <v>191</v>
      </c>
      <c r="J15" s="0" t="s">
        <v>197</v>
      </c>
      <c r="K15" s="0" t="s">
        <v>198</v>
      </c>
      <c r="L15" s="0" t="s">
        <v>199</v>
      </c>
      <c r="M15" s="0" t="s">
        <v>135</v>
      </c>
      <c r="N15" s="0" t="s">
        <v>136</v>
      </c>
      <c r="O15" s="0" t="s">
        <v>192</v>
      </c>
      <c r="Q15" s="0" t="s">
        <v>130</v>
      </c>
      <c r="R15" s="0" t="s">
        <v>138</v>
      </c>
      <c r="S15" s="14">
        <v>0</v>
      </c>
      <c r="T15" s="0" t="s">
        <v>156</v>
      </c>
      <c r="U15" s="0" t="s">
        <v>138</v>
      </c>
      <c r="V15" s="14" t="s">
        <v>138</v>
      </c>
      <c r="W15" s="0" t="s">
        <v>138</v>
      </c>
      <c r="X15" s="14" t="s">
        <v>138</v>
      </c>
      <c r="Y15" s="0" t="s">
        <v>138</v>
      </c>
      <c r="Z15" s="14" t="s">
        <v>138</v>
      </c>
      <c r="AA15" s="0" t="s">
        <v>138</v>
      </c>
      <c r="AB15" s="14" t="s">
        <v>138</v>
      </c>
      <c r="AD15" s="0" t="s">
        <v>138</v>
      </c>
      <c r="AF15" s="0">
        <v>0</v>
      </c>
      <c r="AG15" s="0">
        <v>0</v>
      </c>
      <c r="AH15" s="0" t="s">
        <v>140</v>
      </c>
      <c r="AI15" s="0" t="s">
        <v>138</v>
      </c>
      <c r="AL15" s="14"/>
      <c r="AN15" s="14"/>
      <c r="AQ15" s="0" t="s">
        <v>130</v>
      </c>
      <c r="AR15" s="0" t="s">
        <v>130</v>
      </c>
      <c r="AS15" s="0" t="s">
        <v>130</v>
      </c>
      <c r="AT15" s="0" t="s">
        <v>130</v>
      </c>
      <c r="AU15" s="0" t="s">
        <v>130</v>
      </c>
      <c r="AV15" s="0" t="s">
        <v>130</v>
      </c>
      <c r="AW15" s="0" t="s">
        <v>130</v>
      </c>
      <c r="AX15" s="0" t="s">
        <v>130</v>
      </c>
      <c r="AY15" s="0" t="s">
        <v>130</v>
      </c>
      <c r="AZ15" s="0" t="s">
        <v>130</v>
      </c>
      <c r="BA15" s="0" t="s">
        <v>130</v>
      </c>
      <c r="BB15" s="0" t="s">
        <v>141</v>
      </c>
      <c r="BC15" s="0" t="s">
        <v>130</v>
      </c>
      <c r="BD15" s="0" t="s">
        <v>130</v>
      </c>
      <c r="BE15" s="0" t="s">
        <v>130</v>
      </c>
      <c r="BF15" s="0" t="s">
        <v>130</v>
      </c>
      <c r="BG15" s="0" t="s">
        <v>130</v>
      </c>
      <c r="BH15" s="0" t="s">
        <v>130</v>
      </c>
      <c r="BI15" s="0" t="s">
        <v>130</v>
      </c>
      <c r="BJ15" s="0" t="s">
        <v>130</v>
      </c>
      <c r="BK15" s="0" t="s">
        <v>130</v>
      </c>
      <c r="BL15" s="0" t="s">
        <v>130</v>
      </c>
      <c r="BM15" s="0" t="s">
        <v>130</v>
      </c>
      <c r="BN15" s="0" t="s">
        <v>130</v>
      </c>
      <c r="BO15" s="0" t="s">
        <v>130</v>
      </c>
      <c r="BP15" s="0" t="s">
        <v>130</v>
      </c>
      <c r="BQ15" s="0" t="s">
        <v>130</v>
      </c>
      <c r="BR15" s="0" t="s">
        <v>130</v>
      </c>
      <c r="BS15" s="0" t="s">
        <v>130</v>
      </c>
      <c r="BT15" s="0" t="s">
        <v>130</v>
      </c>
      <c r="BU15" s="0" t="s">
        <v>130</v>
      </c>
      <c r="BV15" s="0" t="s">
        <v>130</v>
      </c>
      <c r="BW15" s="0" t="s">
        <v>130</v>
      </c>
      <c r="BX15" s="0" t="s">
        <v>130</v>
      </c>
      <c r="BY15" s="0" t="s">
        <v>130</v>
      </c>
      <c r="BZ15" s="0" t="s">
        <v>130</v>
      </c>
      <c r="CA15" s="0" t="s">
        <v>130</v>
      </c>
      <c r="CB15" s="0" t="s">
        <v>130</v>
      </c>
      <c r="CC15" s="0" t="s">
        <v>130</v>
      </c>
      <c r="CD15" s="0" t="s">
        <v>130</v>
      </c>
      <c r="CE15" s="0" t="s">
        <v>130</v>
      </c>
      <c r="CF15" s="0" t="s">
        <v>130</v>
      </c>
      <c r="CG15" s="0" t="s">
        <v>130</v>
      </c>
      <c r="CH15" s="0" t="s">
        <v>130</v>
      </c>
      <c r="CI15" s="0" t="s">
        <v>130</v>
      </c>
      <c r="CJ15" s="0" t="s">
        <v>130</v>
      </c>
      <c r="CK15" s="0" t="s">
        <v>130</v>
      </c>
      <c r="CL15" s="0" t="s">
        <v>130</v>
      </c>
      <c r="CM15" s="0" t="s">
        <v>130</v>
      </c>
      <c r="CN15" s="0" t="s">
        <v>130</v>
      </c>
      <c r="CO15" s="0" t="s">
        <v>130</v>
      </c>
      <c r="CP15" s="0" t="s">
        <v>130</v>
      </c>
      <c r="CQ15" s="0" t="s">
        <v>130</v>
      </c>
      <c r="CR15" s="0" t="s">
        <v>130</v>
      </c>
      <c r="CS15" s="0" t="s">
        <v>130</v>
      </c>
      <c r="CT15" s="0" t="s">
        <v>210</v>
      </c>
    </row>
    <row r="16">
      <c r="A16" s="14">
        <v>100060</v>
      </c>
      <c r="B16" s="0" t="s">
        <v>188</v>
      </c>
      <c r="C16" s="16">
        <f>HYPERLINK("https://eosportal.federatedhermes.com/companies/Q29tcGFueQppNjI0OTY=", "American Electric Power Co Inc")</f>
      </c>
      <c r="D16" s="0" t="s">
        <v>25</v>
      </c>
      <c r="E16" s="0" t="s">
        <v>211</v>
      </c>
      <c r="F16" s="16">
        <f>HYPERLINK("https://eosportal.federatedhermes.com/engagements/RW5nYWdlbWVudAppMTgwNjM=", "Succession Risks &amp; Remuneration")</f>
      </c>
      <c r="G16" s="14" t="s">
        <v>212</v>
      </c>
      <c r="H16" s="0" t="s">
        <v>141</v>
      </c>
      <c r="I16" s="14" t="s">
        <v>191</v>
      </c>
      <c r="J16" s="0" t="s">
        <v>145</v>
      </c>
      <c r="K16" s="0" t="s">
        <v>146</v>
      </c>
      <c r="L16" s="0" t="s">
        <v>147</v>
      </c>
      <c r="M16" s="0" t="s">
        <v>135</v>
      </c>
      <c r="N16" s="0" t="s">
        <v>136</v>
      </c>
      <c r="O16" s="0" t="s">
        <v>192</v>
      </c>
      <c r="Q16" s="0" t="s">
        <v>130</v>
      </c>
      <c r="R16" s="0" t="s">
        <v>138</v>
      </c>
      <c r="S16" s="14">
        <v>0</v>
      </c>
      <c r="T16" s="0" t="s">
        <v>166</v>
      </c>
      <c r="U16" s="0" t="s">
        <v>138</v>
      </c>
      <c r="V16" s="14" t="s">
        <v>138</v>
      </c>
      <c r="W16" s="0" t="s">
        <v>138</v>
      </c>
      <c r="X16" s="14" t="s">
        <v>138</v>
      </c>
      <c r="Y16" s="0" t="s">
        <v>138</v>
      </c>
      <c r="Z16" s="14" t="s">
        <v>138</v>
      </c>
      <c r="AA16" s="0" t="s">
        <v>138</v>
      </c>
      <c r="AB16" s="14" t="s">
        <v>138</v>
      </c>
      <c r="AD16" s="0" t="s">
        <v>138</v>
      </c>
      <c r="AF16" s="0">
        <v>0</v>
      </c>
      <c r="AG16" s="0">
        <v>0</v>
      </c>
      <c r="AH16" s="0" t="s">
        <v>140</v>
      </c>
      <c r="AI16" s="0" t="s">
        <v>138</v>
      </c>
      <c r="AL16" s="14"/>
      <c r="AN16" s="14"/>
      <c r="AQ16" s="0" t="s">
        <v>130</v>
      </c>
      <c r="AR16" s="0" t="s">
        <v>130</v>
      </c>
      <c r="AS16" s="0" t="s">
        <v>130</v>
      </c>
      <c r="AT16" s="0" t="s">
        <v>130</v>
      </c>
      <c r="AU16" s="0" t="s">
        <v>130</v>
      </c>
      <c r="AV16" s="0" t="s">
        <v>130</v>
      </c>
      <c r="AW16" s="0" t="s">
        <v>130</v>
      </c>
      <c r="AX16" s="0" t="s">
        <v>130</v>
      </c>
      <c r="AY16" s="0" t="s">
        <v>130</v>
      </c>
      <c r="AZ16" s="0" t="s">
        <v>130</v>
      </c>
      <c r="BA16" s="0" t="s">
        <v>130</v>
      </c>
      <c r="BB16" s="0" t="s">
        <v>130</v>
      </c>
      <c r="BC16" s="0" t="s">
        <v>130</v>
      </c>
      <c r="BD16" s="0" t="s">
        <v>130</v>
      </c>
      <c r="BE16" s="0" t="s">
        <v>130</v>
      </c>
      <c r="BF16" s="0" t="s">
        <v>130</v>
      </c>
      <c r="BG16" s="0" t="s">
        <v>130</v>
      </c>
      <c r="BH16" s="0" t="s">
        <v>130</v>
      </c>
      <c r="BI16" s="0" t="s">
        <v>130</v>
      </c>
      <c r="BJ16" s="0" t="s">
        <v>130</v>
      </c>
      <c r="BK16" s="0" t="s">
        <v>130</v>
      </c>
      <c r="BL16" s="0" t="s">
        <v>130</v>
      </c>
      <c r="BM16" s="0" t="s">
        <v>130</v>
      </c>
      <c r="BN16" s="0" t="s">
        <v>130</v>
      </c>
      <c r="BO16" s="0" t="s">
        <v>130</v>
      </c>
      <c r="BP16" s="0" t="s">
        <v>130</v>
      </c>
      <c r="BQ16" s="0" t="s">
        <v>130</v>
      </c>
      <c r="BR16" s="0" t="s">
        <v>130</v>
      </c>
      <c r="BS16" s="0" t="s">
        <v>130</v>
      </c>
      <c r="BT16" s="0" t="s">
        <v>130</v>
      </c>
      <c r="BU16" s="0" t="s">
        <v>130</v>
      </c>
      <c r="BV16" s="0" t="s">
        <v>130</v>
      </c>
      <c r="BW16" s="0" t="s">
        <v>130</v>
      </c>
      <c r="BX16" s="0" t="s">
        <v>130</v>
      </c>
      <c r="BY16" s="0" t="s">
        <v>130</v>
      </c>
      <c r="BZ16" s="0" t="s">
        <v>130</v>
      </c>
      <c r="CA16" s="0" t="s">
        <v>130</v>
      </c>
      <c r="CB16" s="0" t="s">
        <v>130</v>
      </c>
      <c r="CC16" s="0" t="s">
        <v>130</v>
      </c>
      <c r="CD16" s="0" t="s">
        <v>130</v>
      </c>
      <c r="CE16" s="0" t="s">
        <v>130</v>
      </c>
      <c r="CF16" s="0" t="s">
        <v>130</v>
      </c>
      <c r="CG16" s="0" t="s">
        <v>130</v>
      </c>
      <c r="CH16" s="0" t="s">
        <v>130</v>
      </c>
      <c r="CI16" s="0" t="s">
        <v>130</v>
      </c>
      <c r="CJ16" s="0" t="s">
        <v>130</v>
      </c>
      <c r="CK16" s="0" t="s">
        <v>130</v>
      </c>
      <c r="CL16" s="0" t="s">
        <v>130</v>
      </c>
      <c r="CM16" s="0" t="s">
        <v>130</v>
      </c>
      <c r="CN16" s="0" t="s">
        <v>130</v>
      </c>
      <c r="CO16" s="0" t="s">
        <v>130</v>
      </c>
      <c r="CP16" s="0" t="s">
        <v>130</v>
      </c>
      <c r="CQ16" s="0" t="s">
        <v>130</v>
      </c>
      <c r="CR16" s="0" t="s">
        <v>130</v>
      </c>
      <c r="CS16" s="0" t="s">
        <v>130</v>
      </c>
      <c r="CT16" s="0" t="s">
        <v>213</v>
      </c>
    </row>
    <row r="17">
      <c r="A17" s="14">
        <v>100060</v>
      </c>
      <c r="B17" s="0" t="s">
        <v>188</v>
      </c>
      <c r="C17" s="16">
        <f>HYPERLINK("https://eosportal.federatedhermes.com/companies/Q29tcGFueQppNjI0OTY=", "American Electric Power Co Inc")</f>
      </c>
      <c r="D17" s="0" t="s">
        <v>25</v>
      </c>
      <c r="E17" s="0" t="s">
        <v>214</v>
      </c>
      <c r="F17" s="16">
        <f>HYPERLINK("https://eosportal.federatedhermes.com/engagements/RW5nYWdlbWVudAppMTgwNjQ=", "Set Science-based Target")</f>
      </c>
      <c r="G17" s="14" t="s">
        <v>215</v>
      </c>
      <c r="H17" s="0" t="s">
        <v>141</v>
      </c>
      <c r="I17" s="14" t="s">
        <v>191</v>
      </c>
      <c r="J17" s="0" t="s">
        <v>197</v>
      </c>
      <c r="K17" s="0" t="s">
        <v>198</v>
      </c>
      <c r="L17" s="0" t="s">
        <v>216</v>
      </c>
      <c r="M17" s="0" t="s">
        <v>135</v>
      </c>
      <c r="N17" s="0" t="s">
        <v>136</v>
      </c>
      <c r="O17" s="0" t="s">
        <v>192</v>
      </c>
      <c r="Q17" s="0" t="s">
        <v>130</v>
      </c>
      <c r="R17" s="0" t="s">
        <v>138</v>
      </c>
      <c r="S17" s="14">
        <v>0</v>
      </c>
      <c r="T17" s="0" t="s">
        <v>193</v>
      </c>
      <c r="U17" s="0" t="s">
        <v>138</v>
      </c>
      <c r="V17" s="14" t="s">
        <v>138</v>
      </c>
      <c r="W17" s="0" t="s">
        <v>138</v>
      </c>
      <c r="X17" s="14" t="s">
        <v>138</v>
      </c>
      <c r="Y17" s="0" t="s">
        <v>138</v>
      </c>
      <c r="Z17" s="14" t="s">
        <v>138</v>
      </c>
      <c r="AA17" s="0" t="s">
        <v>138</v>
      </c>
      <c r="AB17" s="14" t="s">
        <v>138</v>
      </c>
      <c r="AD17" s="0" t="s">
        <v>138</v>
      </c>
      <c r="AF17" s="0">
        <v>0</v>
      </c>
      <c r="AG17" s="0">
        <v>0</v>
      </c>
      <c r="AH17" s="0" t="s">
        <v>140</v>
      </c>
      <c r="AI17" s="0" t="s">
        <v>138</v>
      </c>
      <c r="AL17" s="14"/>
      <c r="AN17" s="14"/>
      <c r="AQ17" s="0" t="s">
        <v>130</v>
      </c>
      <c r="AR17" s="0" t="s">
        <v>130</v>
      </c>
      <c r="AS17" s="0" t="s">
        <v>130</v>
      </c>
      <c r="AT17" s="0" t="s">
        <v>130</v>
      </c>
      <c r="AU17" s="0" t="s">
        <v>130</v>
      </c>
      <c r="AV17" s="0" t="s">
        <v>130</v>
      </c>
      <c r="AW17" s="0" t="s">
        <v>141</v>
      </c>
      <c r="AX17" s="0" t="s">
        <v>130</v>
      </c>
      <c r="AY17" s="0" t="s">
        <v>130</v>
      </c>
      <c r="AZ17" s="0" t="s">
        <v>130</v>
      </c>
      <c r="BA17" s="0" t="s">
        <v>130</v>
      </c>
      <c r="BB17" s="0" t="s">
        <v>130</v>
      </c>
      <c r="BC17" s="0" t="s">
        <v>141</v>
      </c>
      <c r="BD17" s="0" t="s">
        <v>130</v>
      </c>
      <c r="BE17" s="0" t="s">
        <v>130</v>
      </c>
      <c r="BF17" s="0" t="s">
        <v>130</v>
      </c>
      <c r="BG17" s="0" t="s">
        <v>130</v>
      </c>
      <c r="BH17" s="0" t="s">
        <v>141</v>
      </c>
      <c r="BI17" s="0" t="s">
        <v>141</v>
      </c>
      <c r="BJ17" s="0" t="s">
        <v>141</v>
      </c>
      <c r="BK17" s="0" t="s">
        <v>130</v>
      </c>
      <c r="BL17" s="0" t="s">
        <v>130</v>
      </c>
      <c r="BM17" s="0" t="s">
        <v>130</v>
      </c>
      <c r="BN17" s="0" t="s">
        <v>130</v>
      </c>
      <c r="BO17" s="0" t="s">
        <v>130</v>
      </c>
      <c r="BP17" s="0" t="s">
        <v>130</v>
      </c>
      <c r="BQ17" s="0" t="s">
        <v>130</v>
      </c>
      <c r="BR17" s="0" t="s">
        <v>130</v>
      </c>
      <c r="BS17" s="0" t="s">
        <v>130</v>
      </c>
      <c r="BT17" s="0" t="s">
        <v>130</v>
      </c>
      <c r="BU17" s="0" t="s">
        <v>130</v>
      </c>
      <c r="BV17" s="0" t="s">
        <v>141</v>
      </c>
      <c r="BW17" s="0" t="s">
        <v>141</v>
      </c>
      <c r="BX17" s="0" t="s">
        <v>130</v>
      </c>
      <c r="BY17" s="0" t="s">
        <v>130</v>
      </c>
      <c r="BZ17" s="0" t="s">
        <v>130</v>
      </c>
      <c r="CA17" s="0" t="s">
        <v>130</v>
      </c>
      <c r="CB17" s="0" t="s">
        <v>130</v>
      </c>
      <c r="CC17" s="0" t="s">
        <v>130</v>
      </c>
      <c r="CD17" s="0" t="s">
        <v>130</v>
      </c>
      <c r="CE17" s="0" t="s">
        <v>130</v>
      </c>
      <c r="CF17" s="0" t="s">
        <v>130</v>
      </c>
      <c r="CG17" s="0" t="s">
        <v>130</v>
      </c>
      <c r="CH17" s="0" t="s">
        <v>130</v>
      </c>
      <c r="CI17" s="0" t="s">
        <v>130</v>
      </c>
      <c r="CJ17" s="0" t="s">
        <v>130</v>
      </c>
      <c r="CK17" s="0" t="s">
        <v>130</v>
      </c>
      <c r="CL17" s="0" t="s">
        <v>130</v>
      </c>
      <c r="CM17" s="0" t="s">
        <v>130</v>
      </c>
      <c r="CN17" s="0" t="s">
        <v>130</v>
      </c>
      <c r="CO17" s="0" t="s">
        <v>130</v>
      </c>
      <c r="CP17" s="0" t="s">
        <v>130</v>
      </c>
      <c r="CQ17" s="0" t="s">
        <v>130</v>
      </c>
      <c r="CR17" s="0" t="s">
        <v>130</v>
      </c>
      <c r="CS17" s="0" t="s">
        <v>130</v>
      </c>
      <c r="CT17" s="0" t="s">
        <v>217</v>
      </c>
    </row>
    <row r="18">
      <c r="A18" s="14">
        <v>100060</v>
      </c>
      <c r="B18" s="0" t="s">
        <v>188</v>
      </c>
      <c r="C18" s="16">
        <f>HYPERLINK("https://eosportal.federatedhermes.com/companies/Q29tcGFueQppNjI0OTY=", "American Electric Power Co Inc")</f>
      </c>
      <c r="D18" s="0" t="s">
        <v>23</v>
      </c>
      <c r="E18" s="0" t="s">
        <v>218</v>
      </c>
      <c r="F18" s="16">
        <f>HYPERLINK("https://eosportal.federatedhermes.com/engagements/RW5nYWdlbWVudAppMTgwNjk=", "Validation of sufficiency of climate strategy")</f>
      </c>
      <c r="G18" s="14" t="s">
        <v>219</v>
      </c>
      <c r="H18" s="0" t="s">
        <v>141</v>
      </c>
      <c r="I18" s="14" t="s">
        <v>191</v>
      </c>
      <c r="J18" s="0" t="s">
        <v>197</v>
      </c>
      <c r="K18" s="0" t="s">
        <v>198</v>
      </c>
      <c r="L18" s="0" t="s">
        <v>220</v>
      </c>
      <c r="M18" s="0" t="s">
        <v>135</v>
      </c>
      <c r="N18" s="0" t="s">
        <v>136</v>
      </c>
      <c r="O18" s="0" t="s">
        <v>192</v>
      </c>
      <c r="Q18" s="0" t="s">
        <v>141</v>
      </c>
      <c r="R18" s="0" t="s">
        <v>130</v>
      </c>
      <c r="S18" s="14">
        <v>1</v>
      </c>
      <c r="T18" s="0" t="s">
        <v>148</v>
      </c>
      <c r="U18" s="0" t="s">
        <v>221</v>
      </c>
      <c r="V18" s="14" t="s">
        <v>148</v>
      </c>
      <c r="W18" s="0" t="s">
        <v>221</v>
      </c>
      <c r="X18" s="14" t="s">
        <v>222</v>
      </c>
      <c r="Y18" s="0" t="s">
        <v>223</v>
      </c>
      <c r="Z18" s="14" t="s">
        <v>138</v>
      </c>
      <c r="AA18" s="0" t="s">
        <v>224</v>
      </c>
      <c r="AB18" s="14" t="s">
        <v>138</v>
      </c>
      <c r="AD18" s="0" t="s">
        <v>17</v>
      </c>
      <c r="AF18" s="0">
        <v>0</v>
      </c>
      <c r="AG18" s="0">
        <v>0</v>
      </c>
      <c r="AH18" s="0" t="s">
        <v>140</v>
      </c>
      <c r="AI18" s="0" t="s">
        <v>225</v>
      </c>
      <c r="AK18" s="0" t="s">
        <v>226</v>
      </c>
      <c r="AL18" s="14"/>
      <c r="AN18" s="14"/>
      <c r="AQ18" s="0" t="s">
        <v>130</v>
      </c>
      <c r="AR18" s="0" t="s">
        <v>130</v>
      </c>
      <c r="AS18" s="0" t="s">
        <v>130</v>
      </c>
      <c r="AT18" s="0" t="s">
        <v>130</v>
      </c>
      <c r="AU18" s="0" t="s">
        <v>130</v>
      </c>
      <c r="AV18" s="0" t="s">
        <v>130</v>
      </c>
      <c r="AW18" s="0" t="s">
        <v>141</v>
      </c>
      <c r="AX18" s="0" t="s">
        <v>130</v>
      </c>
      <c r="AY18" s="0" t="s">
        <v>141</v>
      </c>
      <c r="AZ18" s="0" t="s">
        <v>130</v>
      </c>
      <c r="BA18" s="0" t="s">
        <v>130</v>
      </c>
      <c r="BB18" s="0" t="s">
        <v>130</v>
      </c>
      <c r="BC18" s="0" t="s">
        <v>141</v>
      </c>
      <c r="BD18" s="0" t="s">
        <v>130</v>
      </c>
      <c r="BE18" s="0" t="s">
        <v>130</v>
      </c>
      <c r="BF18" s="0" t="s">
        <v>130</v>
      </c>
      <c r="BG18" s="0" t="s">
        <v>130</v>
      </c>
      <c r="BH18" s="0" t="s">
        <v>141</v>
      </c>
      <c r="BI18" s="0" t="s">
        <v>141</v>
      </c>
      <c r="BJ18" s="0" t="s">
        <v>141</v>
      </c>
      <c r="BK18" s="0" t="s">
        <v>130</v>
      </c>
      <c r="BL18" s="0" t="s">
        <v>130</v>
      </c>
      <c r="BM18" s="0" t="s">
        <v>130</v>
      </c>
      <c r="BN18" s="0" t="s">
        <v>130</v>
      </c>
      <c r="BO18" s="0" t="s">
        <v>130</v>
      </c>
      <c r="BP18" s="0" t="s">
        <v>130</v>
      </c>
      <c r="BQ18" s="0" t="s">
        <v>130</v>
      </c>
      <c r="BR18" s="0" t="s">
        <v>130</v>
      </c>
      <c r="BS18" s="0" t="s">
        <v>130</v>
      </c>
      <c r="BT18" s="0" t="s">
        <v>130</v>
      </c>
      <c r="BU18" s="0" t="s">
        <v>130</v>
      </c>
      <c r="BV18" s="0" t="s">
        <v>141</v>
      </c>
      <c r="BW18" s="0" t="s">
        <v>141</v>
      </c>
      <c r="BX18" s="0" t="s">
        <v>130</v>
      </c>
      <c r="BY18" s="0" t="s">
        <v>130</v>
      </c>
      <c r="BZ18" s="0" t="s">
        <v>130</v>
      </c>
      <c r="CA18" s="0" t="s">
        <v>130</v>
      </c>
      <c r="CB18" s="0" t="s">
        <v>130</v>
      </c>
      <c r="CC18" s="0" t="s">
        <v>130</v>
      </c>
      <c r="CD18" s="0" t="s">
        <v>130</v>
      </c>
      <c r="CE18" s="0" t="s">
        <v>130</v>
      </c>
      <c r="CF18" s="0" t="s">
        <v>130</v>
      </c>
      <c r="CG18" s="0" t="s">
        <v>130</v>
      </c>
      <c r="CH18" s="0" t="s">
        <v>130</v>
      </c>
      <c r="CI18" s="0" t="s">
        <v>130</v>
      </c>
      <c r="CJ18" s="0" t="s">
        <v>130</v>
      </c>
      <c r="CK18" s="0" t="s">
        <v>130</v>
      </c>
      <c r="CL18" s="0" t="s">
        <v>130</v>
      </c>
      <c r="CM18" s="0" t="s">
        <v>130</v>
      </c>
      <c r="CN18" s="0" t="s">
        <v>130</v>
      </c>
      <c r="CO18" s="0" t="s">
        <v>130</v>
      </c>
      <c r="CP18" s="0" t="s">
        <v>130</v>
      </c>
      <c r="CQ18" s="0" t="s">
        <v>130</v>
      </c>
      <c r="CR18" s="0" t="s">
        <v>130</v>
      </c>
      <c r="CS18" s="0" t="s">
        <v>130</v>
      </c>
      <c r="CT18" s="0" t="s">
        <v>227</v>
      </c>
    </row>
    <row r="19">
      <c r="A19" s="14">
        <v>100060</v>
      </c>
      <c r="B19" s="0" t="s">
        <v>188</v>
      </c>
      <c r="C19" s="16">
        <f>HYPERLINK("https://eosportal.federatedhermes.com/companies/Q29tcGFueQppNjI0OTY=", "American Electric Power Co Inc")</f>
      </c>
      <c r="D19" s="0" t="s">
        <v>23</v>
      </c>
      <c r="E19" s="0" t="s">
        <v>228</v>
      </c>
      <c r="F19" s="16">
        <f>HYPERLINK("https://eosportal.federatedhermes.com/engagements/RW5nYWdlbWVudAppMTgwNzA=", "Climate strategy")</f>
      </c>
      <c r="G19" s="14" t="s">
        <v>229</v>
      </c>
      <c r="H19" s="0" t="s">
        <v>141</v>
      </c>
      <c r="I19" s="14" t="s">
        <v>191</v>
      </c>
      <c r="J19" s="0" t="s">
        <v>197</v>
      </c>
      <c r="K19" s="0" t="s">
        <v>198</v>
      </c>
      <c r="L19" s="0" t="s">
        <v>220</v>
      </c>
      <c r="M19" s="0" t="s">
        <v>135</v>
      </c>
      <c r="N19" s="0" t="s">
        <v>136</v>
      </c>
      <c r="O19" s="0" t="s">
        <v>192</v>
      </c>
      <c r="Q19" s="0" t="s">
        <v>141</v>
      </c>
      <c r="R19" s="0" t="s">
        <v>130</v>
      </c>
      <c r="S19" s="14">
        <v>2</v>
      </c>
      <c r="T19" s="0" t="s">
        <v>230</v>
      </c>
      <c r="U19" s="0" t="s">
        <v>221</v>
      </c>
      <c r="V19" s="14" t="s">
        <v>230</v>
      </c>
      <c r="W19" s="0" t="s">
        <v>221</v>
      </c>
      <c r="X19" s="14" t="s">
        <v>231</v>
      </c>
      <c r="Y19" s="0" t="s">
        <v>223</v>
      </c>
      <c r="Z19" s="14" t="s">
        <v>138</v>
      </c>
      <c r="AA19" s="0" t="s">
        <v>224</v>
      </c>
      <c r="AB19" s="14" t="s">
        <v>138</v>
      </c>
      <c r="AD19" s="0" t="s">
        <v>17</v>
      </c>
      <c r="AF19" s="0">
        <v>0</v>
      </c>
      <c r="AG19" s="0">
        <v>0</v>
      </c>
      <c r="AH19" s="0" t="s">
        <v>140</v>
      </c>
      <c r="AI19" s="0" t="s">
        <v>232</v>
      </c>
      <c r="AK19" s="0" t="s">
        <v>233</v>
      </c>
      <c r="AL19" s="14"/>
      <c r="AN19" s="14"/>
      <c r="AQ19" s="0" t="s">
        <v>130</v>
      </c>
      <c r="AR19" s="0" t="s">
        <v>130</v>
      </c>
      <c r="AS19" s="0" t="s">
        <v>130</v>
      </c>
      <c r="AT19" s="0" t="s">
        <v>130</v>
      </c>
      <c r="AU19" s="0" t="s">
        <v>130</v>
      </c>
      <c r="AV19" s="0" t="s">
        <v>130</v>
      </c>
      <c r="AW19" s="0" t="s">
        <v>141</v>
      </c>
      <c r="AX19" s="0" t="s">
        <v>130</v>
      </c>
      <c r="AY19" s="0" t="s">
        <v>141</v>
      </c>
      <c r="AZ19" s="0" t="s">
        <v>130</v>
      </c>
      <c r="BA19" s="0" t="s">
        <v>130</v>
      </c>
      <c r="BB19" s="0" t="s">
        <v>130</v>
      </c>
      <c r="BC19" s="0" t="s">
        <v>141</v>
      </c>
      <c r="BD19" s="0" t="s">
        <v>130</v>
      </c>
      <c r="BE19" s="0" t="s">
        <v>130</v>
      </c>
      <c r="BF19" s="0" t="s">
        <v>130</v>
      </c>
      <c r="BG19" s="0" t="s">
        <v>130</v>
      </c>
      <c r="BH19" s="0" t="s">
        <v>141</v>
      </c>
      <c r="BI19" s="0" t="s">
        <v>141</v>
      </c>
      <c r="BJ19" s="0" t="s">
        <v>141</v>
      </c>
      <c r="BK19" s="0" t="s">
        <v>130</v>
      </c>
      <c r="BL19" s="0" t="s">
        <v>130</v>
      </c>
      <c r="BM19" s="0" t="s">
        <v>130</v>
      </c>
      <c r="BN19" s="0" t="s">
        <v>130</v>
      </c>
      <c r="BO19" s="0" t="s">
        <v>130</v>
      </c>
      <c r="BP19" s="0" t="s">
        <v>130</v>
      </c>
      <c r="BQ19" s="0" t="s">
        <v>130</v>
      </c>
      <c r="BR19" s="0" t="s">
        <v>130</v>
      </c>
      <c r="BS19" s="0" t="s">
        <v>130</v>
      </c>
      <c r="BT19" s="0" t="s">
        <v>130</v>
      </c>
      <c r="BU19" s="0" t="s">
        <v>130</v>
      </c>
      <c r="BV19" s="0" t="s">
        <v>141</v>
      </c>
      <c r="BW19" s="0" t="s">
        <v>141</v>
      </c>
      <c r="BX19" s="0" t="s">
        <v>130</v>
      </c>
      <c r="BY19" s="0" t="s">
        <v>130</v>
      </c>
      <c r="BZ19" s="0" t="s">
        <v>130</v>
      </c>
      <c r="CA19" s="0" t="s">
        <v>130</v>
      </c>
      <c r="CB19" s="0" t="s">
        <v>130</v>
      </c>
      <c r="CC19" s="0" t="s">
        <v>130</v>
      </c>
      <c r="CD19" s="0" t="s">
        <v>130</v>
      </c>
      <c r="CE19" s="0" t="s">
        <v>130</v>
      </c>
      <c r="CF19" s="0" t="s">
        <v>130</v>
      </c>
      <c r="CG19" s="0" t="s">
        <v>130</v>
      </c>
      <c r="CH19" s="0" t="s">
        <v>130</v>
      </c>
      <c r="CI19" s="0" t="s">
        <v>130</v>
      </c>
      <c r="CJ19" s="0" t="s">
        <v>130</v>
      </c>
      <c r="CK19" s="0" t="s">
        <v>130</v>
      </c>
      <c r="CL19" s="0" t="s">
        <v>130</v>
      </c>
      <c r="CM19" s="0" t="s">
        <v>130</v>
      </c>
      <c r="CN19" s="0" t="s">
        <v>130</v>
      </c>
      <c r="CO19" s="0" t="s">
        <v>130</v>
      </c>
      <c r="CP19" s="0" t="s">
        <v>130</v>
      </c>
      <c r="CQ19" s="0" t="s">
        <v>130</v>
      </c>
      <c r="CR19" s="0" t="s">
        <v>130</v>
      </c>
      <c r="CS19" s="0" t="s">
        <v>130</v>
      </c>
      <c r="CT19" s="0" t="s">
        <v>234</v>
      </c>
    </row>
    <row r="20">
      <c r="A20" s="14">
        <v>100061</v>
      </c>
      <c r="B20" s="0" t="s">
        <v>235</v>
      </c>
      <c r="C20" s="16">
        <f>HYPERLINK("https://eosportal.federatedhermes.com/companies/Q29tcGFueQppNDgyODA=", "American Express Co")</f>
      </c>
      <c r="D20" s="0" t="s">
        <v>25</v>
      </c>
      <c r="E20" s="0" t="s">
        <v>236</v>
      </c>
      <c r="F20" s="16">
        <f>HYPERLINK("https://eosportal.federatedhermes.com/engagements/RW5nYWdlbWVudAppMTgwNzM=", "Executive pay")</f>
      </c>
      <c r="G20" s="14" t="s">
        <v>237</v>
      </c>
      <c r="H20" s="0" t="s">
        <v>141</v>
      </c>
      <c r="I20" s="14" t="s">
        <v>131</v>
      </c>
      <c r="J20" s="0" t="s">
        <v>145</v>
      </c>
      <c r="K20" s="0" t="s">
        <v>146</v>
      </c>
      <c r="L20" s="0" t="s">
        <v>147</v>
      </c>
      <c r="M20" s="0" t="s">
        <v>135</v>
      </c>
      <c r="N20" s="0" t="s">
        <v>136</v>
      </c>
      <c r="O20" s="0" t="s">
        <v>238</v>
      </c>
      <c r="Q20" s="0" t="s">
        <v>130</v>
      </c>
      <c r="R20" s="0" t="s">
        <v>138</v>
      </c>
      <c r="S20" s="14">
        <v>0</v>
      </c>
      <c r="T20" s="0" t="s">
        <v>239</v>
      </c>
      <c r="U20" s="0" t="s">
        <v>138</v>
      </c>
      <c r="V20" s="14" t="s">
        <v>138</v>
      </c>
      <c r="W20" s="0" t="s">
        <v>138</v>
      </c>
      <c r="X20" s="14" t="s">
        <v>138</v>
      </c>
      <c r="Y20" s="0" t="s">
        <v>138</v>
      </c>
      <c r="Z20" s="14" t="s">
        <v>138</v>
      </c>
      <c r="AA20" s="0" t="s">
        <v>138</v>
      </c>
      <c r="AB20" s="14" t="s">
        <v>138</v>
      </c>
      <c r="AD20" s="0" t="s">
        <v>138</v>
      </c>
      <c r="AF20" s="0">
        <v>0</v>
      </c>
      <c r="AG20" s="0">
        <v>0</v>
      </c>
      <c r="AH20" s="0" t="s">
        <v>140</v>
      </c>
      <c r="AI20" s="0" t="s">
        <v>138</v>
      </c>
      <c r="AL20" s="14"/>
      <c r="AN20" s="14"/>
      <c r="AQ20" s="0" t="s">
        <v>130</v>
      </c>
      <c r="AR20" s="0" t="s">
        <v>130</v>
      </c>
      <c r="AS20" s="0" t="s">
        <v>130</v>
      </c>
      <c r="AT20" s="0" t="s">
        <v>130</v>
      </c>
      <c r="AU20" s="0" t="s">
        <v>130</v>
      </c>
      <c r="AV20" s="0" t="s">
        <v>130</v>
      </c>
      <c r="AW20" s="0" t="s">
        <v>130</v>
      </c>
      <c r="AX20" s="0" t="s">
        <v>130</v>
      </c>
      <c r="AY20" s="0" t="s">
        <v>130</v>
      </c>
      <c r="AZ20" s="0" t="s">
        <v>130</v>
      </c>
      <c r="BA20" s="0" t="s">
        <v>130</v>
      </c>
      <c r="BB20" s="0" t="s">
        <v>130</v>
      </c>
      <c r="BC20" s="0" t="s">
        <v>130</v>
      </c>
      <c r="BD20" s="0" t="s">
        <v>130</v>
      </c>
      <c r="BE20" s="0" t="s">
        <v>130</v>
      </c>
      <c r="BF20" s="0" t="s">
        <v>130</v>
      </c>
      <c r="BG20" s="0" t="s">
        <v>130</v>
      </c>
      <c r="BH20" s="0" t="s">
        <v>130</v>
      </c>
      <c r="BI20" s="0" t="s">
        <v>130</v>
      </c>
      <c r="BJ20" s="0" t="s">
        <v>130</v>
      </c>
      <c r="BK20" s="0" t="s">
        <v>130</v>
      </c>
      <c r="BL20" s="0" t="s">
        <v>130</v>
      </c>
      <c r="BM20" s="0" t="s">
        <v>130</v>
      </c>
      <c r="BN20" s="0" t="s">
        <v>130</v>
      </c>
      <c r="BO20" s="0" t="s">
        <v>130</v>
      </c>
      <c r="BP20" s="0" t="s">
        <v>130</v>
      </c>
      <c r="BQ20" s="0" t="s">
        <v>130</v>
      </c>
      <c r="BR20" s="0" t="s">
        <v>130</v>
      </c>
      <c r="BS20" s="0" t="s">
        <v>130</v>
      </c>
      <c r="BT20" s="0" t="s">
        <v>130</v>
      </c>
      <c r="BU20" s="0" t="s">
        <v>130</v>
      </c>
      <c r="BV20" s="0" t="s">
        <v>130</v>
      </c>
      <c r="BW20" s="0" t="s">
        <v>130</v>
      </c>
      <c r="BX20" s="0" t="s">
        <v>130</v>
      </c>
      <c r="BY20" s="0" t="s">
        <v>130</v>
      </c>
      <c r="BZ20" s="0" t="s">
        <v>130</v>
      </c>
      <c r="CA20" s="0" t="s">
        <v>130</v>
      </c>
      <c r="CB20" s="0" t="s">
        <v>130</v>
      </c>
      <c r="CC20" s="0" t="s">
        <v>130</v>
      </c>
      <c r="CD20" s="0" t="s">
        <v>130</v>
      </c>
      <c r="CE20" s="0" t="s">
        <v>130</v>
      </c>
      <c r="CF20" s="0" t="s">
        <v>130</v>
      </c>
      <c r="CG20" s="0" t="s">
        <v>130</v>
      </c>
      <c r="CH20" s="0" t="s">
        <v>130</v>
      </c>
      <c r="CI20" s="0" t="s">
        <v>130</v>
      </c>
      <c r="CJ20" s="0" t="s">
        <v>130</v>
      </c>
      <c r="CK20" s="0" t="s">
        <v>130</v>
      </c>
      <c r="CL20" s="0" t="s">
        <v>130</v>
      </c>
      <c r="CM20" s="0" t="s">
        <v>130</v>
      </c>
      <c r="CN20" s="0" t="s">
        <v>130</v>
      </c>
      <c r="CO20" s="0" t="s">
        <v>130</v>
      </c>
      <c r="CP20" s="0" t="s">
        <v>130</v>
      </c>
      <c r="CQ20" s="0" t="s">
        <v>130</v>
      </c>
      <c r="CR20" s="0" t="s">
        <v>130</v>
      </c>
      <c r="CS20" s="0" t="s">
        <v>130</v>
      </c>
      <c r="CT20" s="0" t="s">
        <v>240</v>
      </c>
    </row>
    <row r="21">
      <c r="A21" s="14">
        <v>100061</v>
      </c>
      <c r="B21" s="0" t="s">
        <v>235</v>
      </c>
      <c r="C21" s="16">
        <f>HYPERLINK("https://eosportal.federatedhermes.com/companies/Q29tcGFueQppNDgyODA=", "American Express Co")</f>
      </c>
      <c r="D21" s="0" t="s">
        <v>25</v>
      </c>
      <c r="E21" s="0" t="s">
        <v>241</v>
      </c>
      <c r="F21" s="16">
        <f>HYPERLINK("https://eosportal.federatedhermes.com/engagements/RW5nYWdlbWVudAppMTgwNzg=", "Risk management and strategy")</f>
      </c>
      <c r="G21" s="14" t="s">
        <v>242</v>
      </c>
      <c r="H21" s="0" t="s">
        <v>141</v>
      </c>
      <c r="I21" s="14" t="s">
        <v>131</v>
      </c>
      <c r="J21" s="0" t="s">
        <v>153</v>
      </c>
      <c r="K21" s="0" t="s">
        <v>243</v>
      </c>
      <c r="L21" s="0" t="s">
        <v>244</v>
      </c>
      <c r="M21" s="0" t="s">
        <v>135</v>
      </c>
      <c r="N21" s="0" t="s">
        <v>136</v>
      </c>
      <c r="O21" s="0" t="s">
        <v>238</v>
      </c>
      <c r="Q21" s="0" t="s">
        <v>130</v>
      </c>
      <c r="R21" s="0" t="s">
        <v>138</v>
      </c>
      <c r="S21" s="14">
        <v>0</v>
      </c>
      <c r="T21" s="0" t="s">
        <v>245</v>
      </c>
      <c r="U21" s="0" t="s">
        <v>138</v>
      </c>
      <c r="V21" s="14" t="s">
        <v>138</v>
      </c>
      <c r="W21" s="0" t="s">
        <v>138</v>
      </c>
      <c r="X21" s="14" t="s">
        <v>138</v>
      </c>
      <c r="Y21" s="0" t="s">
        <v>138</v>
      </c>
      <c r="Z21" s="14" t="s">
        <v>138</v>
      </c>
      <c r="AA21" s="0" t="s">
        <v>138</v>
      </c>
      <c r="AB21" s="14" t="s">
        <v>138</v>
      </c>
      <c r="AD21" s="0" t="s">
        <v>138</v>
      </c>
      <c r="AF21" s="0">
        <v>0</v>
      </c>
      <c r="AG21" s="0">
        <v>0</v>
      </c>
      <c r="AH21" s="0" t="s">
        <v>140</v>
      </c>
      <c r="AI21" s="0" t="s">
        <v>138</v>
      </c>
      <c r="AL21" s="14"/>
      <c r="AN21" s="14"/>
      <c r="AQ21" s="0" t="s">
        <v>130</v>
      </c>
      <c r="AR21" s="0" t="s">
        <v>130</v>
      </c>
      <c r="AS21" s="0" t="s">
        <v>130</v>
      </c>
      <c r="AT21" s="0" t="s">
        <v>130</v>
      </c>
      <c r="AU21" s="0" t="s">
        <v>130</v>
      </c>
      <c r="AV21" s="0" t="s">
        <v>130</v>
      </c>
      <c r="AW21" s="0" t="s">
        <v>130</v>
      </c>
      <c r="AX21" s="0" t="s">
        <v>130</v>
      </c>
      <c r="AY21" s="0" t="s">
        <v>130</v>
      </c>
      <c r="AZ21" s="0" t="s">
        <v>130</v>
      </c>
      <c r="BA21" s="0" t="s">
        <v>130</v>
      </c>
      <c r="BB21" s="0" t="s">
        <v>130</v>
      </c>
      <c r="BC21" s="0" t="s">
        <v>130</v>
      </c>
      <c r="BD21" s="0" t="s">
        <v>130</v>
      </c>
      <c r="BE21" s="0" t="s">
        <v>130</v>
      </c>
      <c r="BF21" s="0" t="s">
        <v>130</v>
      </c>
      <c r="BG21" s="0" t="s">
        <v>130</v>
      </c>
      <c r="BH21" s="0" t="s">
        <v>130</v>
      </c>
      <c r="BI21" s="0" t="s">
        <v>130</v>
      </c>
      <c r="BJ21" s="0" t="s">
        <v>130</v>
      </c>
      <c r="BK21" s="0" t="s">
        <v>130</v>
      </c>
      <c r="BL21" s="0" t="s">
        <v>130</v>
      </c>
      <c r="BM21" s="0" t="s">
        <v>130</v>
      </c>
      <c r="BN21" s="0" t="s">
        <v>130</v>
      </c>
      <c r="BO21" s="0" t="s">
        <v>130</v>
      </c>
      <c r="BP21" s="0" t="s">
        <v>130</v>
      </c>
      <c r="BQ21" s="0" t="s">
        <v>130</v>
      </c>
      <c r="BR21" s="0" t="s">
        <v>130</v>
      </c>
      <c r="BS21" s="0" t="s">
        <v>130</v>
      </c>
      <c r="BT21" s="0" t="s">
        <v>130</v>
      </c>
      <c r="BU21" s="0" t="s">
        <v>130</v>
      </c>
      <c r="BV21" s="0" t="s">
        <v>130</v>
      </c>
      <c r="BW21" s="0" t="s">
        <v>130</v>
      </c>
      <c r="BX21" s="0" t="s">
        <v>130</v>
      </c>
      <c r="BY21" s="0" t="s">
        <v>130</v>
      </c>
      <c r="BZ21" s="0" t="s">
        <v>130</v>
      </c>
      <c r="CA21" s="0" t="s">
        <v>130</v>
      </c>
      <c r="CB21" s="0" t="s">
        <v>130</v>
      </c>
      <c r="CC21" s="0" t="s">
        <v>130</v>
      </c>
      <c r="CD21" s="0" t="s">
        <v>130</v>
      </c>
      <c r="CE21" s="0" t="s">
        <v>130</v>
      </c>
      <c r="CF21" s="0" t="s">
        <v>130</v>
      </c>
      <c r="CG21" s="0" t="s">
        <v>130</v>
      </c>
      <c r="CH21" s="0" t="s">
        <v>130</v>
      </c>
      <c r="CI21" s="0" t="s">
        <v>130</v>
      </c>
      <c r="CJ21" s="0" t="s">
        <v>130</v>
      </c>
      <c r="CK21" s="0" t="s">
        <v>130</v>
      </c>
      <c r="CL21" s="0" t="s">
        <v>130</v>
      </c>
      <c r="CM21" s="0" t="s">
        <v>130</v>
      </c>
      <c r="CN21" s="0" t="s">
        <v>130</v>
      </c>
      <c r="CO21" s="0" t="s">
        <v>130</v>
      </c>
      <c r="CP21" s="0" t="s">
        <v>130</v>
      </c>
      <c r="CQ21" s="0" t="s">
        <v>130</v>
      </c>
      <c r="CR21" s="0" t="s">
        <v>130</v>
      </c>
      <c r="CS21" s="0" t="s">
        <v>130</v>
      </c>
      <c r="CT21" s="0" t="s">
        <v>246</v>
      </c>
    </row>
    <row r="22">
      <c r="A22" s="14">
        <v>100061</v>
      </c>
      <c r="B22" s="0" t="s">
        <v>235</v>
      </c>
      <c r="C22" s="16">
        <f>HYPERLINK("https://eosportal.federatedhermes.com/companies/Q29tcGFueQppNDgyODA=", "American Express Co")</f>
      </c>
      <c r="D22" s="0" t="s">
        <v>25</v>
      </c>
      <c r="E22" s="0" t="s">
        <v>247</v>
      </c>
      <c r="F22" s="16">
        <f>HYPERLINK("https://eosportal.federatedhermes.com/engagements/RW5nYWdlbWVudAppMTgwNzk=", "Stakeholder perspective and governance")</f>
      </c>
      <c r="G22" s="14" t="s">
        <v>248</v>
      </c>
      <c r="H22" s="0" t="s">
        <v>141</v>
      </c>
      <c r="I22" s="14" t="s">
        <v>131</v>
      </c>
      <c r="J22" s="0" t="s">
        <v>153</v>
      </c>
      <c r="K22" s="0" t="s">
        <v>243</v>
      </c>
      <c r="L22" s="0" t="s">
        <v>244</v>
      </c>
      <c r="M22" s="0" t="s">
        <v>135</v>
      </c>
      <c r="N22" s="0" t="s">
        <v>136</v>
      </c>
      <c r="O22" s="0" t="s">
        <v>238</v>
      </c>
      <c r="Q22" s="0" t="s">
        <v>130</v>
      </c>
      <c r="R22" s="0" t="s">
        <v>138</v>
      </c>
      <c r="S22" s="14">
        <v>0</v>
      </c>
      <c r="T22" s="0" t="s">
        <v>249</v>
      </c>
      <c r="U22" s="0" t="s">
        <v>138</v>
      </c>
      <c r="V22" s="14" t="s">
        <v>138</v>
      </c>
      <c r="W22" s="0" t="s">
        <v>138</v>
      </c>
      <c r="X22" s="14" t="s">
        <v>138</v>
      </c>
      <c r="Y22" s="0" t="s">
        <v>138</v>
      </c>
      <c r="Z22" s="14" t="s">
        <v>138</v>
      </c>
      <c r="AA22" s="0" t="s">
        <v>138</v>
      </c>
      <c r="AB22" s="14" t="s">
        <v>138</v>
      </c>
      <c r="AD22" s="0" t="s">
        <v>138</v>
      </c>
      <c r="AF22" s="0">
        <v>0</v>
      </c>
      <c r="AG22" s="0">
        <v>0</v>
      </c>
      <c r="AH22" s="0" t="s">
        <v>140</v>
      </c>
      <c r="AI22" s="0" t="s">
        <v>138</v>
      </c>
      <c r="AL22" s="14"/>
      <c r="AN22" s="14"/>
      <c r="AQ22" s="0" t="s">
        <v>130</v>
      </c>
      <c r="AR22" s="0" t="s">
        <v>130</v>
      </c>
      <c r="AS22" s="0" t="s">
        <v>130</v>
      </c>
      <c r="AT22" s="0" t="s">
        <v>130</v>
      </c>
      <c r="AU22" s="0" t="s">
        <v>130</v>
      </c>
      <c r="AV22" s="0" t="s">
        <v>130</v>
      </c>
      <c r="AW22" s="0" t="s">
        <v>130</v>
      </c>
      <c r="AX22" s="0" t="s">
        <v>130</v>
      </c>
      <c r="AY22" s="0" t="s">
        <v>130</v>
      </c>
      <c r="AZ22" s="0" t="s">
        <v>130</v>
      </c>
      <c r="BA22" s="0" t="s">
        <v>130</v>
      </c>
      <c r="BB22" s="0" t="s">
        <v>130</v>
      </c>
      <c r="BC22" s="0" t="s">
        <v>130</v>
      </c>
      <c r="BD22" s="0" t="s">
        <v>130</v>
      </c>
      <c r="BE22" s="0" t="s">
        <v>130</v>
      </c>
      <c r="BF22" s="0" t="s">
        <v>130</v>
      </c>
      <c r="BG22" s="0" t="s">
        <v>130</v>
      </c>
      <c r="BH22" s="0" t="s">
        <v>130</v>
      </c>
      <c r="BI22" s="0" t="s">
        <v>130</v>
      </c>
      <c r="BJ22" s="0" t="s">
        <v>130</v>
      </c>
      <c r="BK22" s="0" t="s">
        <v>130</v>
      </c>
      <c r="BL22" s="0" t="s">
        <v>130</v>
      </c>
      <c r="BM22" s="0" t="s">
        <v>130</v>
      </c>
      <c r="BN22" s="0" t="s">
        <v>130</v>
      </c>
      <c r="BO22" s="0" t="s">
        <v>130</v>
      </c>
      <c r="BP22" s="0" t="s">
        <v>130</v>
      </c>
      <c r="BQ22" s="0" t="s">
        <v>130</v>
      </c>
      <c r="BR22" s="0" t="s">
        <v>130</v>
      </c>
      <c r="BS22" s="0" t="s">
        <v>130</v>
      </c>
      <c r="BT22" s="0" t="s">
        <v>130</v>
      </c>
      <c r="BU22" s="0" t="s">
        <v>130</v>
      </c>
      <c r="BV22" s="0" t="s">
        <v>130</v>
      </c>
      <c r="BW22" s="0" t="s">
        <v>130</v>
      </c>
      <c r="BX22" s="0" t="s">
        <v>130</v>
      </c>
      <c r="BY22" s="0" t="s">
        <v>130</v>
      </c>
      <c r="BZ22" s="0" t="s">
        <v>130</v>
      </c>
      <c r="CA22" s="0" t="s">
        <v>130</v>
      </c>
      <c r="CB22" s="0" t="s">
        <v>130</v>
      </c>
      <c r="CC22" s="0" t="s">
        <v>130</v>
      </c>
      <c r="CD22" s="0" t="s">
        <v>130</v>
      </c>
      <c r="CE22" s="0" t="s">
        <v>130</v>
      </c>
      <c r="CF22" s="0" t="s">
        <v>130</v>
      </c>
      <c r="CG22" s="0" t="s">
        <v>130</v>
      </c>
      <c r="CH22" s="0" t="s">
        <v>130</v>
      </c>
      <c r="CI22" s="0" t="s">
        <v>130</v>
      </c>
      <c r="CJ22" s="0" t="s">
        <v>130</v>
      </c>
      <c r="CK22" s="0" t="s">
        <v>130</v>
      </c>
      <c r="CL22" s="0" t="s">
        <v>130</v>
      </c>
      <c r="CM22" s="0" t="s">
        <v>130</v>
      </c>
      <c r="CN22" s="0" t="s">
        <v>130</v>
      </c>
      <c r="CO22" s="0" t="s">
        <v>130</v>
      </c>
      <c r="CP22" s="0" t="s">
        <v>130</v>
      </c>
      <c r="CQ22" s="0" t="s">
        <v>130</v>
      </c>
      <c r="CR22" s="0" t="s">
        <v>130</v>
      </c>
      <c r="CS22" s="0" t="s">
        <v>130</v>
      </c>
      <c r="CT22" s="0" t="s">
        <v>250</v>
      </c>
    </row>
    <row r="23">
      <c r="A23" s="14">
        <v>100061</v>
      </c>
      <c r="B23" s="0" t="s">
        <v>235</v>
      </c>
      <c r="C23" s="16">
        <f>HYPERLINK("https://eosportal.federatedhermes.com/companies/Q29tcGFueQppNDgyODA=", "American Express Co")</f>
      </c>
      <c r="D23" s="0" t="s">
        <v>25</v>
      </c>
      <c r="E23" s="0" t="s">
        <v>251</v>
      </c>
      <c r="F23" s="16">
        <f>HYPERLINK("https://eosportal.federatedhermes.com/engagements/RW5nYWdlbWVudAppMTgwODA=", "Climate change opportunity")</f>
      </c>
      <c r="G23" s="14" t="s">
        <v>252</v>
      </c>
      <c r="H23" s="0" t="s">
        <v>141</v>
      </c>
      <c r="I23" s="14" t="s">
        <v>131</v>
      </c>
      <c r="J23" s="0" t="s">
        <v>132</v>
      </c>
      <c r="K23" s="0" t="s">
        <v>133</v>
      </c>
      <c r="L23" s="0" t="s">
        <v>160</v>
      </c>
      <c r="M23" s="0" t="s">
        <v>135</v>
      </c>
      <c r="N23" s="0" t="s">
        <v>136</v>
      </c>
      <c r="O23" s="0" t="s">
        <v>238</v>
      </c>
      <c r="Q23" s="0" t="s">
        <v>141</v>
      </c>
      <c r="R23" s="0" t="s">
        <v>138</v>
      </c>
      <c r="S23" s="14">
        <v>1</v>
      </c>
      <c r="T23" s="0" t="s">
        <v>239</v>
      </c>
      <c r="U23" s="0" t="s">
        <v>138</v>
      </c>
      <c r="V23" s="14" t="s">
        <v>138</v>
      </c>
      <c r="W23" s="0" t="s">
        <v>138</v>
      </c>
      <c r="X23" s="14" t="s">
        <v>138</v>
      </c>
      <c r="Y23" s="0" t="s">
        <v>138</v>
      </c>
      <c r="Z23" s="14" t="s">
        <v>138</v>
      </c>
      <c r="AA23" s="0" t="s">
        <v>138</v>
      </c>
      <c r="AB23" s="14" t="s">
        <v>138</v>
      </c>
      <c r="AD23" s="0" t="s">
        <v>138</v>
      </c>
      <c r="AF23" s="0">
        <v>0</v>
      </c>
      <c r="AG23" s="0">
        <v>0</v>
      </c>
      <c r="AH23" s="0" t="s">
        <v>140</v>
      </c>
      <c r="AI23" s="0" t="s">
        <v>138</v>
      </c>
      <c r="AK23" s="0" t="s">
        <v>253</v>
      </c>
      <c r="AL23" s="14"/>
      <c r="AN23" s="14"/>
      <c r="AQ23" s="0" t="s">
        <v>130</v>
      </c>
      <c r="AR23" s="0" t="s">
        <v>130</v>
      </c>
      <c r="AS23" s="0" t="s">
        <v>130</v>
      </c>
      <c r="AT23" s="0" t="s">
        <v>130</v>
      </c>
      <c r="AU23" s="0" t="s">
        <v>130</v>
      </c>
      <c r="AV23" s="0" t="s">
        <v>130</v>
      </c>
      <c r="AW23" s="0" t="s">
        <v>141</v>
      </c>
      <c r="AX23" s="0" t="s">
        <v>130</v>
      </c>
      <c r="AY23" s="0" t="s">
        <v>130</v>
      </c>
      <c r="AZ23" s="0" t="s">
        <v>130</v>
      </c>
      <c r="BA23" s="0" t="s">
        <v>130</v>
      </c>
      <c r="BB23" s="0" t="s">
        <v>141</v>
      </c>
      <c r="BC23" s="0" t="s">
        <v>141</v>
      </c>
      <c r="BD23" s="0" t="s">
        <v>130</v>
      </c>
      <c r="BE23" s="0" t="s">
        <v>130</v>
      </c>
      <c r="BF23" s="0" t="s">
        <v>130</v>
      </c>
      <c r="BG23" s="0" t="s">
        <v>130</v>
      </c>
      <c r="BH23" s="0" t="s">
        <v>130</v>
      </c>
      <c r="BI23" s="0" t="s">
        <v>130</v>
      </c>
      <c r="BJ23" s="0" t="s">
        <v>130</v>
      </c>
      <c r="BK23" s="0" t="s">
        <v>130</v>
      </c>
      <c r="BL23" s="0" t="s">
        <v>130</v>
      </c>
      <c r="BM23" s="0" t="s">
        <v>130</v>
      </c>
      <c r="BN23" s="0" t="s">
        <v>130</v>
      </c>
      <c r="BO23" s="0" t="s">
        <v>130</v>
      </c>
      <c r="BP23" s="0" t="s">
        <v>130</v>
      </c>
      <c r="BQ23" s="0" t="s">
        <v>130</v>
      </c>
      <c r="BR23" s="0" t="s">
        <v>130</v>
      </c>
      <c r="BS23" s="0" t="s">
        <v>130</v>
      </c>
      <c r="BT23" s="0" t="s">
        <v>130</v>
      </c>
      <c r="BU23" s="0" t="s">
        <v>130</v>
      </c>
      <c r="BV23" s="0" t="s">
        <v>130</v>
      </c>
      <c r="BW23" s="0" t="s">
        <v>130</v>
      </c>
      <c r="BX23" s="0" t="s">
        <v>130</v>
      </c>
      <c r="BY23" s="0" t="s">
        <v>130</v>
      </c>
      <c r="BZ23" s="0" t="s">
        <v>130</v>
      </c>
      <c r="CA23" s="0" t="s">
        <v>130</v>
      </c>
      <c r="CB23" s="0" t="s">
        <v>130</v>
      </c>
      <c r="CC23" s="0" t="s">
        <v>130</v>
      </c>
      <c r="CD23" s="0" t="s">
        <v>130</v>
      </c>
      <c r="CE23" s="0" t="s">
        <v>130</v>
      </c>
      <c r="CF23" s="0" t="s">
        <v>130</v>
      </c>
      <c r="CG23" s="0" t="s">
        <v>130</v>
      </c>
      <c r="CH23" s="0" t="s">
        <v>130</v>
      </c>
      <c r="CI23" s="0" t="s">
        <v>130</v>
      </c>
      <c r="CJ23" s="0" t="s">
        <v>130</v>
      </c>
      <c r="CK23" s="0" t="s">
        <v>130</v>
      </c>
      <c r="CL23" s="0" t="s">
        <v>130</v>
      </c>
      <c r="CM23" s="0" t="s">
        <v>130</v>
      </c>
      <c r="CN23" s="0" t="s">
        <v>130</v>
      </c>
      <c r="CO23" s="0" t="s">
        <v>130</v>
      </c>
      <c r="CP23" s="0" t="s">
        <v>130</v>
      </c>
      <c r="CQ23" s="0" t="s">
        <v>130</v>
      </c>
      <c r="CR23" s="0" t="s">
        <v>130</v>
      </c>
      <c r="CS23" s="0" t="s">
        <v>130</v>
      </c>
      <c r="CT23" s="0" t="s">
        <v>254</v>
      </c>
    </row>
    <row r="24">
      <c r="A24" s="14">
        <v>100061</v>
      </c>
      <c r="B24" s="0" t="s">
        <v>235</v>
      </c>
      <c r="C24" s="16">
        <f>HYPERLINK("https://eosportal.federatedhermes.com/companies/Q29tcGFueQppNDgyODA=", "American Express Co")</f>
      </c>
      <c r="D24" s="0" t="s">
        <v>25</v>
      </c>
      <c r="E24" s="0" t="s">
        <v>255</v>
      </c>
      <c r="F24" s="16">
        <f>HYPERLINK("https://eosportal.federatedhermes.com/engagements/RW5nYWdlbWVudAppMTgwODE=", "Mis-selling")</f>
      </c>
      <c r="G24" s="14" t="s">
        <v>256</v>
      </c>
      <c r="H24" s="0" t="s">
        <v>141</v>
      </c>
      <c r="I24" s="14" t="s">
        <v>131</v>
      </c>
      <c r="J24" s="0" t="s">
        <v>153</v>
      </c>
      <c r="K24" s="0" t="s">
        <v>185</v>
      </c>
      <c r="L24" s="0" t="s">
        <v>186</v>
      </c>
      <c r="M24" s="0" t="s">
        <v>135</v>
      </c>
      <c r="N24" s="0" t="s">
        <v>136</v>
      </c>
      <c r="O24" s="0" t="s">
        <v>238</v>
      </c>
      <c r="Q24" s="0" t="s">
        <v>130</v>
      </c>
      <c r="R24" s="0" t="s">
        <v>138</v>
      </c>
      <c r="S24" s="14">
        <v>0</v>
      </c>
      <c r="T24" s="0" t="s">
        <v>239</v>
      </c>
      <c r="U24" s="0" t="s">
        <v>138</v>
      </c>
      <c r="V24" s="14" t="s">
        <v>138</v>
      </c>
      <c r="W24" s="0" t="s">
        <v>138</v>
      </c>
      <c r="X24" s="14" t="s">
        <v>138</v>
      </c>
      <c r="Y24" s="0" t="s">
        <v>138</v>
      </c>
      <c r="Z24" s="14" t="s">
        <v>138</v>
      </c>
      <c r="AA24" s="0" t="s">
        <v>138</v>
      </c>
      <c r="AB24" s="14" t="s">
        <v>138</v>
      </c>
      <c r="AD24" s="0" t="s">
        <v>138</v>
      </c>
      <c r="AF24" s="0">
        <v>0</v>
      </c>
      <c r="AG24" s="0">
        <v>0</v>
      </c>
      <c r="AH24" s="0" t="s">
        <v>140</v>
      </c>
      <c r="AI24" s="0" t="s">
        <v>138</v>
      </c>
      <c r="AL24" s="14"/>
      <c r="AN24" s="14"/>
      <c r="AQ24" s="0" t="s">
        <v>130</v>
      </c>
      <c r="AR24" s="0" t="s">
        <v>130</v>
      </c>
      <c r="AS24" s="0" t="s">
        <v>130</v>
      </c>
      <c r="AT24" s="0" t="s">
        <v>130</v>
      </c>
      <c r="AU24" s="0" t="s">
        <v>130</v>
      </c>
      <c r="AV24" s="0" t="s">
        <v>130</v>
      </c>
      <c r="AW24" s="0" t="s">
        <v>130</v>
      </c>
      <c r="AX24" s="0" t="s">
        <v>130</v>
      </c>
      <c r="AY24" s="0" t="s">
        <v>130</v>
      </c>
      <c r="AZ24" s="0" t="s">
        <v>130</v>
      </c>
      <c r="BA24" s="0" t="s">
        <v>130</v>
      </c>
      <c r="BB24" s="0" t="s">
        <v>130</v>
      </c>
      <c r="BC24" s="0" t="s">
        <v>130</v>
      </c>
      <c r="BD24" s="0" t="s">
        <v>130</v>
      </c>
      <c r="BE24" s="0" t="s">
        <v>130</v>
      </c>
      <c r="BF24" s="0" t="s">
        <v>141</v>
      </c>
      <c r="BG24" s="0" t="s">
        <v>130</v>
      </c>
      <c r="BH24" s="0" t="s">
        <v>130</v>
      </c>
      <c r="BI24" s="0" t="s">
        <v>130</v>
      </c>
      <c r="BJ24" s="0" t="s">
        <v>130</v>
      </c>
      <c r="BK24" s="0" t="s">
        <v>130</v>
      </c>
      <c r="BL24" s="0" t="s">
        <v>130</v>
      </c>
      <c r="BM24" s="0" t="s">
        <v>130</v>
      </c>
      <c r="BN24" s="0" t="s">
        <v>130</v>
      </c>
      <c r="BO24" s="0" t="s">
        <v>130</v>
      </c>
      <c r="BP24" s="0" t="s">
        <v>130</v>
      </c>
      <c r="BQ24" s="0" t="s">
        <v>130</v>
      </c>
      <c r="BR24" s="0" t="s">
        <v>130</v>
      </c>
      <c r="BS24" s="0" t="s">
        <v>130</v>
      </c>
      <c r="BT24" s="0" t="s">
        <v>130</v>
      </c>
      <c r="BU24" s="0" t="s">
        <v>130</v>
      </c>
      <c r="BV24" s="0" t="s">
        <v>130</v>
      </c>
      <c r="BW24" s="0" t="s">
        <v>130</v>
      </c>
      <c r="BX24" s="0" t="s">
        <v>130</v>
      </c>
      <c r="BY24" s="0" t="s">
        <v>130</v>
      </c>
      <c r="BZ24" s="0" t="s">
        <v>130</v>
      </c>
      <c r="CA24" s="0" t="s">
        <v>130</v>
      </c>
      <c r="CB24" s="0" t="s">
        <v>130</v>
      </c>
      <c r="CC24" s="0" t="s">
        <v>130</v>
      </c>
      <c r="CD24" s="0" t="s">
        <v>130</v>
      </c>
      <c r="CE24" s="0" t="s">
        <v>130</v>
      </c>
      <c r="CF24" s="0" t="s">
        <v>130</v>
      </c>
      <c r="CG24" s="0" t="s">
        <v>130</v>
      </c>
      <c r="CH24" s="0" t="s">
        <v>130</v>
      </c>
      <c r="CI24" s="0" t="s">
        <v>130</v>
      </c>
      <c r="CJ24" s="0" t="s">
        <v>130</v>
      </c>
      <c r="CK24" s="0" t="s">
        <v>130</v>
      </c>
      <c r="CL24" s="0" t="s">
        <v>130</v>
      </c>
      <c r="CM24" s="0" t="s">
        <v>130</v>
      </c>
      <c r="CN24" s="0" t="s">
        <v>130</v>
      </c>
      <c r="CO24" s="0" t="s">
        <v>130</v>
      </c>
      <c r="CP24" s="0" t="s">
        <v>130</v>
      </c>
      <c r="CQ24" s="0" t="s">
        <v>130</v>
      </c>
      <c r="CR24" s="0" t="s">
        <v>130</v>
      </c>
      <c r="CS24" s="0" t="s">
        <v>130</v>
      </c>
      <c r="CT24" s="0" t="s">
        <v>257</v>
      </c>
    </row>
    <row r="25">
      <c r="A25" s="14">
        <v>100061</v>
      </c>
      <c r="B25" s="0" t="s">
        <v>235</v>
      </c>
      <c r="C25" s="16">
        <f>HYPERLINK("https://eosportal.federatedhermes.com/companies/Q29tcGFueQppNDgyODA=", "American Express Co")</f>
      </c>
      <c r="D25" s="0" t="s">
        <v>25</v>
      </c>
      <c r="E25" s="0" t="s">
        <v>258</v>
      </c>
      <c r="F25" s="16">
        <f>HYPERLINK("https://eosportal.federatedhermes.com/engagements/RW5nYWdlbWVudAppMTgwODI=", "AI leadership")</f>
      </c>
      <c r="G25" s="14" t="s">
        <v>259</v>
      </c>
      <c r="H25" s="0" t="s">
        <v>141</v>
      </c>
      <c r="I25" s="14" t="s">
        <v>131</v>
      </c>
      <c r="J25" s="0" t="s">
        <v>132</v>
      </c>
      <c r="K25" s="0" t="s">
        <v>260</v>
      </c>
      <c r="L25" s="0" t="s">
        <v>261</v>
      </c>
      <c r="M25" s="0" t="s">
        <v>135</v>
      </c>
      <c r="N25" s="0" t="s">
        <v>136</v>
      </c>
      <c r="O25" s="0" t="s">
        <v>238</v>
      </c>
      <c r="Q25" s="0" t="s">
        <v>130</v>
      </c>
      <c r="R25" s="0" t="s">
        <v>138</v>
      </c>
      <c r="S25" s="14">
        <v>0</v>
      </c>
      <c r="T25" s="0" t="s">
        <v>148</v>
      </c>
      <c r="U25" s="0" t="s">
        <v>138</v>
      </c>
      <c r="V25" s="14" t="s">
        <v>138</v>
      </c>
      <c r="W25" s="0" t="s">
        <v>138</v>
      </c>
      <c r="X25" s="14" t="s">
        <v>138</v>
      </c>
      <c r="Y25" s="0" t="s">
        <v>138</v>
      </c>
      <c r="Z25" s="14" t="s">
        <v>138</v>
      </c>
      <c r="AA25" s="0" t="s">
        <v>138</v>
      </c>
      <c r="AB25" s="14" t="s">
        <v>138</v>
      </c>
      <c r="AD25" s="0" t="s">
        <v>138</v>
      </c>
      <c r="AF25" s="0">
        <v>0</v>
      </c>
      <c r="AG25" s="0">
        <v>0</v>
      </c>
      <c r="AH25" s="0" t="s">
        <v>140</v>
      </c>
      <c r="AI25" s="0" t="s">
        <v>138</v>
      </c>
      <c r="AL25" s="14"/>
      <c r="AN25" s="14"/>
      <c r="AQ25" s="0" t="s">
        <v>130</v>
      </c>
      <c r="AR25" s="0" t="s">
        <v>130</v>
      </c>
      <c r="AS25" s="0" t="s">
        <v>130</v>
      </c>
      <c r="AT25" s="0" t="s">
        <v>130</v>
      </c>
      <c r="AU25" s="0" t="s">
        <v>130</v>
      </c>
      <c r="AV25" s="0" t="s">
        <v>130</v>
      </c>
      <c r="AW25" s="0" t="s">
        <v>130</v>
      </c>
      <c r="AX25" s="0" t="s">
        <v>130</v>
      </c>
      <c r="AY25" s="0" t="s">
        <v>130</v>
      </c>
      <c r="AZ25" s="0" t="s">
        <v>130</v>
      </c>
      <c r="BA25" s="0" t="s">
        <v>130</v>
      </c>
      <c r="BB25" s="0" t="s">
        <v>130</v>
      </c>
      <c r="BC25" s="0" t="s">
        <v>130</v>
      </c>
      <c r="BD25" s="0" t="s">
        <v>130</v>
      </c>
      <c r="BE25" s="0" t="s">
        <v>130</v>
      </c>
      <c r="BF25" s="0" t="s">
        <v>130</v>
      </c>
      <c r="BG25" s="0" t="s">
        <v>130</v>
      </c>
      <c r="BH25" s="0" t="s">
        <v>130</v>
      </c>
      <c r="BI25" s="0" t="s">
        <v>130</v>
      </c>
      <c r="BJ25" s="0" t="s">
        <v>130</v>
      </c>
      <c r="BK25" s="0" t="s">
        <v>130</v>
      </c>
      <c r="BL25" s="0" t="s">
        <v>130</v>
      </c>
      <c r="BM25" s="0" t="s">
        <v>130</v>
      </c>
      <c r="BN25" s="0" t="s">
        <v>130</v>
      </c>
      <c r="BO25" s="0" t="s">
        <v>130</v>
      </c>
      <c r="BP25" s="0" t="s">
        <v>130</v>
      </c>
      <c r="BQ25" s="0" t="s">
        <v>130</v>
      </c>
      <c r="BR25" s="0" t="s">
        <v>130</v>
      </c>
      <c r="BS25" s="0" t="s">
        <v>130</v>
      </c>
      <c r="BT25" s="0" t="s">
        <v>130</v>
      </c>
      <c r="BU25" s="0" t="s">
        <v>130</v>
      </c>
      <c r="BV25" s="0" t="s">
        <v>130</v>
      </c>
      <c r="BW25" s="0" t="s">
        <v>130</v>
      </c>
      <c r="BX25" s="0" t="s">
        <v>130</v>
      </c>
      <c r="BY25" s="0" t="s">
        <v>130</v>
      </c>
      <c r="BZ25" s="0" t="s">
        <v>130</v>
      </c>
      <c r="CA25" s="0" t="s">
        <v>130</v>
      </c>
      <c r="CB25" s="0" t="s">
        <v>130</v>
      </c>
      <c r="CC25" s="0" t="s">
        <v>130</v>
      </c>
      <c r="CD25" s="0" t="s">
        <v>130</v>
      </c>
      <c r="CE25" s="0" t="s">
        <v>130</v>
      </c>
      <c r="CF25" s="0" t="s">
        <v>130</v>
      </c>
      <c r="CG25" s="0" t="s">
        <v>130</v>
      </c>
      <c r="CH25" s="0" t="s">
        <v>130</v>
      </c>
      <c r="CI25" s="0" t="s">
        <v>130</v>
      </c>
      <c r="CJ25" s="0" t="s">
        <v>130</v>
      </c>
      <c r="CK25" s="0" t="s">
        <v>130</v>
      </c>
      <c r="CL25" s="0" t="s">
        <v>130</v>
      </c>
      <c r="CM25" s="0" t="s">
        <v>130</v>
      </c>
      <c r="CN25" s="0" t="s">
        <v>130</v>
      </c>
      <c r="CO25" s="0" t="s">
        <v>130</v>
      </c>
      <c r="CP25" s="0" t="s">
        <v>130</v>
      </c>
      <c r="CQ25" s="0" t="s">
        <v>130</v>
      </c>
      <c r="CR25" s="0" t="s">
        <v>130</v>
      </c>
      <c r="CS25" s="0" t="s">
        <v>130</v>
      </c>
      <c r="CT25" s="0" t="s">
        <v>262</v>
      </c>
    </row>
    <row r="26">
      <c r="A26" s="14">
        <v>100061</v>
      </c>
      <c r="B26" s="0" t="s">
        <v>235</v>
      </c>
      <c r="C26" s="16">
        <f>HYPERLINK("https://eosportal.federatedhermes.com/companies/Q29tcGFueQppNDgyODA=", "American Express Co")</f>
      </c>
      <c r="D26" s="0" t="s">
        <v>25</v>
      </c>
      <c r="E26" s="0" t="s">
        <v>263</v>
      </c>
      <c r="F26" s="16">
        <f>HYPERLINK("https://eosportal.federatedhermes.com/engagements/RW5nYWdlbWVudAppMTgwODM=", "Human capital management -- COVID-19")</f>
      </c>
      <c r="G26" s="14" t="s">
        <v>264</v>
      </c>
      <c r="H26" s="0" t="s">
        <v>141</v>
      </c>
      <c r="I26" s="14" t="s">
        <v>131</v>
      </c>
      <c r="J26" s="0" t="s">
        <v>153</v>
      </c>
      <c r="K26" s="0" t="s">
        <v>154</v>
      </c>
      <c r="L26" s="0" t="s">
        <v>155</v>
      </c>
      <c r="M26" s="0" t="s">
        <v>135</v>
      </c>
      <c r="N26" s="0" t="s">
        <v>136</v>
      </c>
      <c r="O26" s="0" t="s">
        <v>238</v>
      </c>
      <c r="Q26" s="0" t="s">
        <v>130</v>
      </c>
      <c r="R26" s="0" t="s">
        <v>138</v>
      </c>
      <c r="S26" s="14">
        <v>0</v>
      </c>
      <c r="T26" s="0" t="s">
        <v>148</v>
      </c>
      <c r="U26" s="0" t="s">
        <v>138</v>
      </c>
      <c r="V26" s="14" t="s">
        <v>138</v>
      </c>
      <c r="W26" s="0" t="s">
        <v>138</v>
      </c>
      <c r="X26" s="14" t="s">
        <v>138</v>
      </c>
      <c r="Y26" s="0" t="s">
        <v>138</v>
      </c>
      <c r="Z26" s="14" t="s">
        <v>138</v>
      </c>
      <c r="AA26" s="0" t="s">
        <v>138</v>
      </c>
      <c r="AB26" s="14" t="s">
        <v>138</v>
      </c>
      <c r="AD26" s="0" t="s">
        <v>138</v>
      </c>
      <c r="AF26" s="0">
        <v>0</v>
      </c>
      <c r="AG26" s="0">
        <v>0</v>
      </c>
      <c r="AH26" s="0" t="s">
        <v>140</v>
      </c>
      <c r="AI26" s="0" t="s">
        <v>138</v>
      </c>
      <c r="AL26" s="14"/>
      <c r="AN26" s="14"/>
      <c r="AQ26" s="0" t="s">
        <v>130</v>
      </c>
      <c r="AR26" s="0" t="s">
        <v>130</v>
      </c>
      <c r="AS26" s="0" t="s">
        <v>130</v>
      </c>
      <c r="AT26" s="0" t="s">
        <v>130</v>
      </c>
      <c r="AU26" s="0" t="s">
        <v>130</v>
      </c>
      <c r="AV26" s="0" t="s">
        <v>130</v>
      </c>
      <c r="AW26" s="0" t="s">
        <v>130</v>
      </c>
      <c r="AX26" s="0" t="s">
        <v>141</v>
      </c>
      <c r="AY26" s="0" t="s">
        <v>130</v>
      </c>
      <c r="AZ26" s="0" t="s">
        <v>130</v>
      </c>
      <c r="BA26" s="0" t="s">
        <v>130</v>
      </c>
      <c r="BB26" s="0" t="s">
        <v>130</v>
      </c>
      <c r="BC26" s="0" t="s">
        <v>130</v>
      </c>
      <c r="BD26" s="0" t="s">
        <v>130</v>
      </c>
      <c r="BE26" s="0" t="s">
        <v>130</v>
      </c>
      <c r="BF26" s="0" t="s">
        <v>130</v>
      </c>
      <c r="BG26" s="0" t="s">
        <v>130</v>
      </c>
      <c r="BH26" s="0" t="s">
        <v>130</v>
      </c>
      <c r="BI26" s="0" t="s">
        <v>130</v>
      </c>
      <c r="BJ26" s="0" t="s">
        <v>130</v>
      </c>
      <c r="BK26" s="0" t="s">
        <v>130</v>
      </c>
      <c r="BL26" s="0" t="s">
        <v>130</v>
      </c>
      <c r="BM26" s="0" t="s">
        <v>130</v>
      </c>
      <c r="BN26" s="0" t="s">
        <v>130</v>
      </c>
      <c r="BO26" s="0" t="s">
        <v>130</v>
      </c>
      <c r="BP26" s="0" t="s">
        <v>130</v>
      </c>
      <c r="BQ26" s="0" t="s">
        <v>130</v>
      </c>
      <c r="BR26" s="0" t="s">
        <v>130</v>
      </c>
      <c r="BS26" s="0" t="s">
        <v>130</v>
      </c>
      <c r="BT26" s="0" t="s">
        <v>130</v>
      </c>
      <c r="BU26" s="0" t="s">
        <v>130</v>
      </c>
      <c r="BV26" s="0" t="s">
        <v>130</v>
      </c>
      <c r="BW26" s="0" t="s">
        <v>130</v>
      </c>
      <c r="BX26" s="0" t="s">
        <v>130</v>
      </c>
      <c r="BY26" s="0" t="s">
        <v>130</v>
      </c>
      <c r="BZ26" s="0" t="s">
        <v>130</v>
      </c>
      <c r="CA26" s="0" t="s">
        <v>130</v>
      </c>
      <c r="CB26" s="0" t="s">
        <v>130</v>
      </c>
      <c r="CC26" s="0" t="s">
        <v>130</v>
      </c>
      <c r="CD26" s="0" t="s">
        <v>130</v>
      </c>
      <c r="CE26" s="0" t="s">
        <v>130</v>
      </c>
      <c r="CF26" s="0" t="s">
        <v>130</v>
      </c>
      <c r="CG26" s="0" t="s">
        <v>130</v>
      </c>
      <c r="CH26" s="0" t="s">
        <v>130</v>
      </c>
      <c r="CI26" s="0" t="s">
        <v>141</v>
      </c>
      <c r="CJ26" s="0" t="s">
        <v>130</v>
      </c>
      <c r="CK26" s="0" t="s">
        <v>130</v>
      </c>
      <c r="CL26" s="0" t="s">
        <v>130</v>
      </c>
      <c r="CM26" s="0" t="s">
        <v>130</v>
      </c>
      <c r="CN26" s="0" t="s">
        <v>130</v>
      </c>
      <c r="CO26" s="0" t="s">
        <v>130</v>
      </c>
      <c r="CP26" s="0" t="s">
        <v>130</v>
      </c>
      <c r="CQ26" s="0" t="s">
        <v>130</v>
      </c>
      <c r="CR26" s="0" t="s">
        <v>130</v>
      </c>
      <c r="CS26" s="0" t="s">
        <v>130</v>
      </c>
      <c r="CT26" s="0" t="s">
        <v>265</v>
      </c>
    </row>
    <row r="27">
      <c r="A27" s="14">
        <v>100061</v>
      </c>
      <c r="B27" s="0" t="s">
        <v>235</v>
      </c>
      <c r="C27" s="16">
        <f>HYPERLINK("https://eosportal.federatedhermes.com/companies/Q29tcGFueQppNDgyODA=", "American Express Co")</f>
      </c>
      <c r="D27" s="0" t="s">
        <v>25</v>
      </c>
      <c r="E27" s="0" t="s">
        <v>266</v>
      </c>
      <c r="F27" s="16">
        <f>HYPERLINK("https://eosportal.federatedhermes.com/engagements/RW5nYWdlbWVudAppMTgwODQ=", "Diversity &amp; Inclusion Strategy")</f>
      </c>
      <c r="G27" s="14" t="s">
        <v>267</v>
      </c>
      <c r="H27" s="0" t="s">
        <v>141</v>
      </c>
      <c r="I27" s="14" t="s">
        <v>131</v>
      </c>
      <c r="J27" s="0" t="s">
        <v>153</v>
      </c>
      <c r="K27" s="0" t="s">
        <v>154</v>
      </c>
      <c r="L27" s="0" t="s">
        <v>268</v>
      </c>
      <c r="M27" s="0" t="s">
        <v>135</v>
      </c>
      <c r="N27" s="0" t="s">
        <v>136</v>
      </c>
      <c r="O27" s="0" t="s">
        <v>238</v>
      </c>
      <c r="Q27" s="0" t="s">
        <v>130</v>
      </c>
      <c r="R27" s="0" t="s">
        <v>138</v>
      </c>
      <c r="S27" s="14">
        <v>0</v>
      </c>
      <c r="T27" s="0" t="s">
        <v>193</v>
      </c>
      <c r="U27" s="0" t="s">
        <v>138</v>
      </c>
      <c r="V27" s="14" t="s">
        <v>138</v>
      </c>
      <c r="W27" s="0" t="s">
        <v>138</v>
      </c>
      <c r="X27" s="14" t="s">
        <v>138</v>
      </c>
      <c r="Y27" s="0" t="s">
        <v>138</v>
      </c>
      <c r="Z27" s="14" t="s">
        <v>138</v>
      </c>
      <c r="AA27" s="0" t="s">
        <v>138</v>
      </c>
      <c r="AB27" s="14" t="s">
        <v>138</v>
      </c>
      <c r="AD27" s="0" t="s">
        <v>138</v>
      </c>
      <c r="AF27" s="0">
        <v>0</v>
      </c>
      <c r="AG27" s="0">
        <v>0</v>
      </c>
      <c r="AH27" s="0" t="s">
        <v>140</v>
      </c>
      <c r="AI27" s="0" t="s">
        <v>138</v>
      </c>
      <c r="AL27" s="14"/>
      <c r="AN27" s="14"/>
      <c r="AQ27" s="0" t="s">
        <v>130</v>
      </c>
      <c r="AR27" s="0" t="s">
        <v>130</v>
      </c>
      <c r="AS27" s="0" t="s">
        <v>130</v>
      </c>
      <c r="AT27" s="0" t="s">
        <v>130</v>
      </c>
      <c r="AU27" s="0" t="s">
        <v>130</v>
      </c>
      <c r="AV27" s="0" t="s">
        <v>130</v>
      </c>
      <c r="AW27" s="0" t="s">
        <v>130</v>
      </c>
      <c r="AX27" s="0" t="s">
        <v>130</v>
      </c>
      <c r="AY27" s="0" t="s">
        <v>130</v>
      </c>
      <c r="AZ27" s="0" t="s">
        <v>130</v>
      </c>
      <c r="BA27" s="0" t="s">
        <v>130</v>
      </c>
      <c r="BB27" s="0" t="s">
        <v>130</v>
      </c>
      <c r="BC27" s="0" t="s">
        <v>130</v>
      </c>
      <c r="BD27" s="0" t="s">
        <v>130</v>
      </c>
      <c r="BE27" s="0" t="s">
        <v>130</v>
      </c>
      <c r="BF27" s="0" t="s">
        <v>130</v>
      </c>
      <c r="BG27" s="0" t="s">
        <v>130</v>
      </c>
      <c r="BH27" s="0" t="s">
        <v>130</v>
      </c>
      <c r="BI27" s="0" t="s">
        <v>130</v>
      </c>
      <c r="BJ27" s="0" t="s">
        <v>130</v>
      </c>
      <c r="BK27" s="0" t="s">
        <v>130</v>
      </c>
      <c r="BL27" s="0" t="s">
        <v>130</v>
      </c>
      <c r="BM27" s="0" t="s">
        <v>130</v>
      </c>
      <c r="BN27" s="0" t="s">
        <v>130</v>
      </c>
      <c r="BO27" s="0" t="s">
        <v>130</v>
      </c>
      <c r="BP27" s="0" t="s">
        <v>130</v>
      </c>
      <c r="BQ27" s="0" t="s">
        <v>130</v>
      </c>
      <c r="BR27" s="0" t="s">
        <v>130</v>
      </c>
      <c r="BS27" s="0" t="s">
        <v>130</v>
      </c>
      <c r="BT27" s="0" t="s">
        <v>130</v>
      </c>
      <c r="BU27" s="0" t="s">
        <v>130</v>
      </c>
      <c r="BV27" s="0" t="s">
        <v>130</v>
      </c>
      <c r="BW27" s="0" t="s">
        <v>130</v>
      </c>
      <c r="BX27" s="0" t="s">
        <v>130</v>
      </c>
      <c r="BY27" s="0" t="s">
        <v>130</v>
      </c>
      <c r="BZ27" s="0" t="s">
        <v>130</v>
      </c>
      <c r="CA27" s="0" t="s">
        <v>130</v>
      </c>
      <c r="CB27" s="0" t="s">
        <v>130</v>
      </c>
      <c r="CC27" s="0" t="s">
        <v>130</v>
      </c>
      <c r="CD27" s="0" t="s">
        <v>130</v>
      </c>
      <c r="CE27" s="0" t="s">
        <v>130</v>
      </c>
      <c r="CF27" s="0" t="s">
        <v>130</v>
      </c>
      <c r="CG27" s="0" t="s">
        <v>130</v>
      </c>
      <c r="CH27" s="0" t="s">
        <v>130</v>
      </c>
      <c r="CI27" s="0" t="s">
        <v>130</v>
      </c>
      <c r="CJ27" s="0" t="s">
        <v>130</v>
      </c>
      <c r="CK27" s="0" t="s">
        <v>141</v>
      </c>
      <c r="CL27" s="0" t="s">
        <v>130</v>
      </c>
      <c r="CM27" s="0" t="s">
        <v>130</v>
      </c>
      <c r="CN27" s="0" t="s">
        <v>130</v>
      </c>
      <c r="CO27" s="0" t="s">
        <v>130</v>
      </c>
      <c r="CP27" s="0" t="s">
        <v>130</v>
      </c>
      <c r="CQ27" s="0" t="s">
        <v>130</v>
      </c>
      <c r="CR27" s="0" t="s">
        <v>130</v>
      </c>
      <c r="CS27" s="0" t="s">
        <v>130</v>
      </c>
      <c r="CT27" s="0" t="s">
        <v>269</v>
      </c>
    </row>
    <row r="28">
      <c r="A28" s="14">
        <v>111093</v>
      </c>
      <c r="B28" s="0" t="s">
        <v>270</v>
      </c>
      <c r="C28" s="16">
        <f>HYPERLINK("https://eosportal.federatedhermes.com/companies/Q29tcGFueQppNzY2OTg=", "AstraZeneca PLC")</f>
      </c>
      <c r="D28" s="0" t="s">
        <v>25</v>
      </c>
      <c r="E28" s="0" t="s">
        <v>271</v>
      </c>
      <c r="F28" s="16">
        <f>HYPERLINK("https://eosportal.federatedhermes.com/engagements/RW5nYWdlbWVudAppMTgxNDg=", "Remuneration practices")</f>
      </c>
      <c r="G28" s="14" t="s">
        <v>271</v>
      </c>
      <c r="H28" s="0" t="s">
        <v>141</v>
      </c>
      <c r="I28" s="14" t="s">
        <v>131</v>
      </c>
      <c r="J28" s="0" t="s">
        <v>145</v>
      </c>
      <c r="K28" s="0" t="s">
        <v>146</v>
      </c>
      <c r="L28" s="0" t="s">
        <v>147</v>
      </c>
      <c r="M28" s="0" t="s">
        <v>272</v>
      </c>
      <c r="N28" s="0" t="s">
        <v>273</v>
      </c>
      <c r="O28" s="0" t="s">
        <v>274</v>
      </c>
      <c r="Q28" s="0" t="s">
        <v>130</v>
      </c>
      <c r="R28" s="0" t="s">
        <v>138</v>
      </c>
      <c r="S28" s="14">
        <v>0</v>
      </c>
      <c r="T28" s="0" t="s">
        <v>166</v>
      </c>
      <c r="U28" s="0" t="s">
        <v>138</v>
      </c>
      <c r="V28" s="14" t="s">
        <v>138</v>
      </c>
      <c r="W28" s="0" t="s">
        <v>138</v>
      </c>
      <c r="X28" s="14" t="s">
        <v>138</v>
      </c>
      <c r="Y28" s="0" t="s">
        <v>138</v>
      </c>
      <c r="Z28" s="14" t="s">
        <v>138</v>
      </c>
      <c r="AA28" s="0" t="s">
        <v>138</v>
      </c>
      <c r="AB28" s="14" t="s">
        <v>138</v>
      </c>
      <c r="AD28" s="0" t="s">
        <v>138</v>
      </c>
      <c r="AF28" s="0">
        <v>0</v>
      </c>
      <c r="AG28" s="0">
        <v>0</v>
      </c>
      <c r="AH28" s="0" t="s">
        <v>140</v>
      </c>
      <c r="AI28" s="0" t="s">
        <v>138</v>
      </c>
      <c r="AL28" s="14"/>
      <c r="AN28" s="14"/>
      <c r="AQ28" s="0" t="s">
        <v>130</v>
      </c>
      <c r="AR28" s="0" t="s">
        <v>130</v>
      </c>
      <c r="AS28" s="0" t="s">
        <v>130</v>
      </c>
      <c r="AT28" s="0" t="s">
        <v>130</v>
      </c>
      <c r="AU28" s="0" t="s">
        <v>130</v>
      </c>
      <c r="AV28" s="0" t="s">
        <v>130</v>
      </c>
      <c r="AW28" s="0" t="s">
        <v>130</v>
      </c>
      <c r="AX28" s="0" t="s">
        <v>130</v>
      </c>
      <c r="AY28" s="0" t="s">
        <v>130</v>
      </c>
      <c r="AZ28" s="0" t="s">
        <v>130</v>
      </c>
      <c r="BA28" s="0" t="s">
        <v>130</v>
      </c>
      <c r="BB28" s="0" t="s">
        <v>130</v>
      </c>
      <c r="BC28" s="0" t="s">
        <v>130</v>
      </c>
      <c r="BD28" s="0" t="s">
        <v>130</v>
      </c>
      <c r="BE28" s="0" t="s">
        <v>130</v>
      </c>
      <c r="BF28" s="0" t="s">
        <v>130</v>
      </c>
      <c r="BG28" s="0" t="s">
        <v>130</v>
      </c>
      <c r="BH28" s="0" t="s">
        <v>130</v>
      </c>
      <c r="BI28" s="0" t="s">
        <v>130</v>
      </c>
      <c r="BJ28" s="0" t="s">
        <v>130</v>
      </c>
      <c r="BK28" s="0" t="s">
        <v>130</v>
      </c>
      <c r="BL28" s="0" t="s">
        <v>130</v>
      </c>
      <c r="BM28" s="0" t="s">
        <v>130</v>
      </c>
      <c r="BN28" s="0" t="s">
        <v>130</v>
      </c>
      <c r="BO28" s="0" t="s">
        <v>130</v>
      </c>
      <c r="BP28" s="0" t="s">
        <v>130</v>
      </c>
      <c r="BQ28" s="0" t="s">
        <v>130</v>
      </c>
      <c r="BR28" s="0" t="s">
        <v>130</v>
      </c>
      <c r="BS28" s="0" t="s">
        <v>130</v>
      </c>
      <c r="BT28" s="0" t="s">
        <v>130</v>
      </c>
      <c r="BU28" s="0" t="s">
        <v>130</v>
      </c>
      <c r="BV28" s="0" t="s">
        <v>130</v>
      </c>
      <c r="BW28" s="0" t="s">
        <v>130</v>
      </c>
      <c r="BX28" s="0" t="s">
        <v>130</v>
      </c>
      <c r="BY28" s="0" t="s">
        <v>130</v>
      </c>
      <c r="BZ28" s="0" t="s">
        <v>130</v>
      </c>
      <c r="CA28" s="0" t="s">
        <v>130</v>
      </c>
      <c r="CB28" s="0" t="s">
        <v>130</v>
      </c>
      <c r="CC28" s="0" t="s">
        <v>130</v>
      </c>
      <c r="CD28" s="0" t="s">
        <v>130</v>
      </c>
      <c r="CE28" s="0" t="s">
        <v>130</v>
      </c>
      <c r="CF28" s="0" t="s">
        <v>130</v>
      </c>
      <c r="CG28" s="0" t="s">
        <v>130</v>
      </c>
      <c r="CH28" s="0" t="s">
        <v>130</v>
      </c>
      <c r="CI28" s="0" t="s">
        <v>130</v>
      </c>
      <c r="CJ28" s="0" t="s">
        <v>130</v>
      </c>
      <c r="CK28" s="0" t="s">
        <v>130</v>
      </c>
      <c r="CL28" s="0" t="s">
        <v>130</v>
      </c>
      <c r="CM28" s="0" t="s">
        <v>130</v>
      </c>
      <c r="CN28" s="0" t="s">
        <v>130</v>
      </c>
      <c r="CO28" s="0" t="s">
        <v>130</v>
      </c>
      <c r="CP28" s="0" t="s">
        <v>130</v>
      </c>
      <c r="CQ28" s="0" t="s">
        <v>130</v>
      </c>
      <c r="CR28" s="0" t="s">
        <v>130</v>
      </c>
      <c r="CS28" s="0" t="s">
        <v>130</v>
      </c>
      <c r="CT28" s="0" t="s">
        <v>275</v>
      </c>
    </row>
    <row r="29">
      <c r="A29" s="14">
        <v>111093</v>
      </c>
      <c r="B29" s="0" t="s">
        <v>270</v>
      </c>
      <c r="C29" s="16">
        <f>HYPERLINK("https://eosportal.federatedhermes.com/companies/Q29tcGFueQppNzY2OTg=", "AstraZeneca PLC")</f>
      </c>
      <c r="D29" s="0" t="s">
        <v>25</v>
      </c>
      <c r="E29" s="0" t="s">
        <v>276</v>
      </c>
      <c r="F29" s="16">
        <f>HYPERLINK("https://eosportal.federatedhermes.com/engagements/RW5nYWdlbWVudAppMTgxNDk=", "Succession planning")</f>
      </c>
      <c r="G29" s="14"/>
      <c r="H29" s="0" t="s">
        <v>141</v>
      </c>
      <c r="I29" s="14" t="s">
        <v>131</v>
      </c>
      <c r="J29" s="0" t="s">
        <v>145</v>
      </c>
      <c r="K29" s="0" t="s">
        <v>164</v>
      </c>
      <c r="L29" s="0" t="s">
        <v>277</v>
      </c>
      <c r="M29" s="0" t="s">
        <v>272</v>
      </c>
      <c r="N29" s="0" t="s">
        <v>273</v>
      </c>
      <c r="O29" s="0" t="s">
        <v>274</v>
      </c>
      <c r="Q29" s="0" t="s">
        <v>130</v>
      </c>
      <c r="R29" s="0" t="s">
        <v>138</v>
      </c>
      <c r="S29" s="14">
        <v>0</v>
      </c>
      <c r="T29" s="0" t="s">
        <v>278</v>
      </c>
      <c r="U29" s="0" t="s">
        <v>138</v>
      </c>
      <c r="V29" s="14" t="s">
        <v>138</v>
      </c>
      <c r="W29" s="0" t="s">
        <v>138</v>
      </c>
      <c r="X29" s="14" t="s">
        <v>138</v>
      </c>
      <c r="Y29" s="0" t="s">
        <v>138</v>
      </c>
      <c r="Z29" s="14" t="s">
        <v>138</v>
      </c>
      <c r="AA29" s="0" t="s">
        <v>138</v>
      </c>
      <c r="AB29" s="14" t="s">
        <v>138</v>
      </c>
      <c r="AD29" s="0" t="s">
        <v>138</v>
      </c>
      <c r="AF29" s="0">
        <v>0</v>
      </c>
      <c r="AG29" s="0">
        <v>0</v>
      </c>
      <c r="AH29" s="0" t="s">
        <v>140</v>
      </c>
      <c r="AI29" s="0" t="s">
        <v>138</v>
      </c>
      <c r="AL29" s="14"/>
      <c r="AN29" s="14"/>
      <c r="AQ29" s="0" t="s">
        <v>130</v>
      </c>
      <c r="AR29" s="0" t="s">
        <v>130</v>
      </c>
      <c r="AS29" s="0" t="s">
        <v>130</v>
      </c>
      <c r="AT29" s="0" t="s">
        <v>130</v>
      </c>
      <c r="AU29" s="0" t="s">
        <v>130</v>
      </c>
      <c r="AV29" s="0" t="s">
        <v>130</v>
      </c>
      <c r="AW29" s="0" t="s">
        <v>130</v>
      </c>
      <c r="AX29" s="0" t="s">
        <v>130</v>
      </c>
      <c r="AY29" s="0" t="s">
        <v>130</v>
      </c>
      <c r="AZ29" s="0" t="s">
        <v>130</v>
      </c>
      <c r="BA29" s="0" t="s">
        <v>130</v>
      </c>
      <c r="BB29" s="0" t="s">
        <v>130</v>
      </c>
      <c r="BC29" s="0" t="s">
        <v>130</v>
      </c>
      <c r="BD29" s="0" t="s">
        <v>130</v>
      </c>
      <c r="BE29" s="0" t="s">
        <v>130</v>
      </c>
      <c r="BF29" s="0" t="s">
        <v>130</v>
      </c>
      <c r="BG29" s="0" t="s">
        <v>130</v>
      </c>
      <c r="BH29" s="0" t="s">
        <v>130</v>
      </c>
      <c r="BI29" s="0" t="s">
        <v>130</v>
      </c>
      <c r="BJ29" s="0" t="s">
        <v>130</v>
      </c>
      <c r="BK29" s="0" t="s">
        <v>130</v>
      </c>
      <c r="BL29" s="0" t="s">
        <v>130</v>
      </c>
      <c r="BM29" s="0" t="s">
        <v>130</v>
      </c>
      <c r="BN29" s="0" t="s">
        <v>130</v>
      </c>
      <c r="BO29" s="0" t="s">
        <v>130</v>
      </c>
      <c r="BP29" s="0" t="s">
        <v>130</v>
      </c>
      <c r="BQ29" s="0" t="s">
        <v>130</v>
      </c>
      <c r="BR29" s="0" t="s">
        <v>130</v>
      </c>
      <c r="BS29" s="0" t="s">
        <v>130</v>
      </c>
      <c r="BT29" s="0" t="s">
        <v>130</v>
      </c>
      <c r="BU29" s="0" t="s">
        <v>130</v>
      </c>
      <c r="BV29" s="0" t="s">
        <v>130</v>
      </c>
      <c r="BW29" s="0" t="s">
        <v>130</v>
      </c>
      <c r="BX29" s="0" t="s">
        <v>130</v>
      </c>
      <c r="BY29" s="0" t="s">
        <v>130</v>
      </c>
      <c r="BZ29" s="0" t="s">
        <v>130</v>
      </c>
      <c r="CA29" s="0" t="s">
        <v>130</v>
      </c>
      <c r="CB29" s="0" t="s">
        <v>130</v>
      </c>
      <c r="CC29" s="0" t="s">
        <v>130</v>
      </c>
      <c r="CD29" s="0" t="s">
        <v>130</v>
      </c>
      <c r="CE29" s="0" t="s">
        <v>130</v>
      </c>
      <c r="CF29" s="0" t="s">
        <v>130</v>
      </c>
      <c r="CG29" s="0" t="s">
        <v>130</v>
      </c>
      <c r="CH29" s="0" t="s">
        <v>130</v>
      </c>
      <c r="CI29" s="0" t="s">
        <v>130</v>
      </c>
      <c r="CJ29" s="0" t="s">
        <v>130</v>
      </c>
      <c r="CK29" s="0" t="s">
        <v>130</v>
      </c>
      <c r="CL29" s="0" t="s">
        <v>130</v>
      </c>
      <c r="CM29" s="0" t="s">
        <v>130</v>
      </c>
      <c r="CN29" s="0" t="s">
        <v>130</v>
      </c>
      <c r="CO29" s="0" t="s">
        <v>130</v>
      </c>
      <c r="CP29" s="0" t="s">
        <v>130</v>
      </c>
      <c r="CQ29" s="0" t="s">
        <v>130</v>
      </c>
      <c r="CR29" s="0" t="s">
        <v>130</v>
      </c>
      <c r="CS29" s="0" t="s">
        <v>130</v>
      </c>
      <c r="CT29" s="0" t="s">
        <v>279</v>
      </c>
    </row>
    <row r="30">
      <c r="A30" s="14">
        <v>111093</v>
      </c>
      <c r="B30" s="0" t="s">
        <v>270</v>
      </c>
      <c r="C30" s="16">
        <f>HYPERLINK("https://eosportal.federatedhermes.com/companies/Q29tcGFueQppNzY2OTg=", "AstraZeneca PLC")</f>
      </c>
      <c r="D30" s="0" t="s">
        <v>25</v>
      </c>
      <c r="E30" s="0" t="s">
        <v>280</v>
      </c>
      <c r="F30" s="16">
        <f>HYPERLINK("https://eosportal.federatedhermes.com/engagements/RW5nYWdlbWVudAppMTgxNTA=", "Director over boarding")</f>
      </c>
      <c r="G30" s="14" t="s">
        <v>281</v>
      </c>
      <c r="H30" s="0" t="s">
        <v>141</v>
      </c>
      <c r="I30" s="14" t="s">
        <v>131</v>
      </c>
      <c r="J30" s="0" t="s">
        <v>145</v>
      </c>
      <c r="K30" s="0" t="s">
        <v>164</v>
      </c>
      <c r="L30" s="0" t="s">
        <v>165</v>
      </c>
      <c r="M30" s="0" t="s">
        <v>272</v>
      </c>
      <c r="N30" s="0" t="s">
        <v>273</v>
      </c>
      <c r="O30" s="0" t="s">
        <v>274</v>
      </c>
      <c r="Q30" s="0" t="s">
        <v>130</v>
      </c>
      <c r="R30" s="0" t="s">
        <v>138</v>
      </c>
      <c r="S30" s="14">
        <v>0</v>
      </c>
      <c r="T30" s="0" t="s">
        <v>166</v>
      </c>
      <c r="U30" s="0" t="s">
        <v>138</v>
      </c>
      <c r="V30" s="14" t="s">
        <v>138</v>
      </c>
      <c r="W30" s="0" t="s">
        <v>138</v>
      </c>
      <c r="X30" s="14" t="s">
        <v>138</v>
      </c>
      <c r="Y30" s="0" t="s">
        <v>138</v>
      </c>
      <c r="Z30" s="14" t="s">
        <v>138</v>
      </c>
      <c r="AA30" s="0" t="s">
        <v>138</v>
      </c>
      <c r="AB30" s="14" t="s">
        <v>138</v>
      </c>
      <c r="AD30" s="0" t="s">
        <v>138</v>
      </c>
      <c r="AF30" s="0">
        <v>0</v>
      </c>
      <c r="AG30" s="0">
        <v>0</v>
      </c>
      <c r="AH30" s="0" t="s">
        <v>140</v>
      </c>
      <c r="AI30" s="0" t="s">
        <v>138</v>
      </c>
      <c r="AL30" s="14"/>
      <c r="AN30" s="14"/>
      <c r="AQ30" s="0" t="s">
        <v>130</v>
      </c>
      <c r="AR30" s="0" t="s">
        <v>130</v>
      </c>
      <c r="AS30" s="0" t="s">
        <v>130</v>
      </c>
      <c r="AT30" s="0" t="s">
        <v>130</v>
      </c>
      <c r="AU30" s="0" t="s">
        <v>130</v>
      </c>
      <c r="AV30" s="0" t="s">
        <v>130</v>
      </c>
      <c r="AW30" s="0" t="s">
        <v>130</v>
      </c>
      <c r="AX30" s="0" t="s">
        <v>130</v>
      </c>
      <c r="AY30" s="0" t="s">
        <v>130</v>
      </c>
      <c r="AZ30" s="0" t="s">
        <v>130</v>
      </c>
      <c r="BA30" s="0" t="s">
        <v>130</v>
      </c>
      <c r="BB30" s="0" t="s">
        <v>130</v>
      </c>
      <c r="BC30" s="0" t="s">
        <v>130</v>
      </c>
      <c r="BD30" s="0" t="s">
        <v>130</v>
      </c>
      <c r="BE30" s="0" t="s">
        <v>130</v>
      </c>
      <c r="BF30" s="0" t="s">
        <v>130</v>
      </c>
      <c r="BG30" s="0" t="s">
        <v>130</v>
      </c>
      <c r="BH30" s="0" t="s">
        <v>130</v>
      </c>
      <c r="BI30" s="0" t="s">
        <v>130</v>
      </c>
      <c r="BJ30" s="0" t="s">
        <v>130</v>
      </c>
      <c r="BK30" s="0" t="s">
        <v>130</v>
      </c>
      <c r="BL30" s="0" t="s">
        <v>130</v>
      </c>
      <c r="BM30" s="0" t="s">
        <v>130</v>
      </c>
      <c r="BN30" s="0" t="s">
        <v>130</v>
      </c>
      <c r="BO30" s="0" t="s">
        <v>130</v>
      </c>
      <c r="BP30" s="0" t="s">
        <v>130</v>
      </c>
      <c r="BQ30" s="0" t="s">
        <v>130</v>
      </c>
      <c r="BR30" s="0" t="s">
        <v>130</v>
      </c>
      <c r="BS30" s="0" t="s">
        <v>130</v>
      </c>
      <c r="BT30" s="0" t="s">
        <v>130</v>
      </c>
      <c r="BU30" s="0" t="s">
        <v>130</v>
      </c>
      <c r="BV30" s="0" t="s">
        <v>130</v>
      </c>
      <c r="BW30" s="0" t="s">
        <v>130</v>
      </c>
      <c r="BX30" s="0" t="s">
        <v>130</v>
      </c>
      <c r="BY30" s="0" t="s">
        <v>130</v>
      </c>
      <c r="BZ30" s="0" t="s">
        <v>130</v>
      </c>
      <c r="CA30" s="0" t="s">
        <v>130</v>
      </c>
      <c r="CB30" s="0" t="s">
        <v>130</v>
      </c>
      <c r="CC30" s="0" t="s">
        <v>130</v>
      </c>
      <c r="CD30" s="0" t="s">
        <v>130</v>
      </c>
      <c r="CE30" s="0" t="s">
        <v>130</v>
      </c>
      <c r="CF30" s="0" t="s">
        <v>130</v>
      </c>
      <c r="CG30" s="0" t="s">
        <v>130</v>
      </c>
      <c r="CH30" s="0" t="s">
        <v>130</v>
      </c>
      <c r="CI30" s="0" t="s">
        <v>130</v>
      </c>
      <c r="CJ30" s="0" t="s">
        <v>130</v>
      </c>
      <c r="CK30" s="0" t="s">
        <v>130</v>
      </c>
      <c r="CL30" s="0" t="s">
        <v>130</v>
      </c>
      <c r="CM30" s="0" t="s">
        <v>130</v>
      </c>
      <c r="CN30" s="0" t="s">
        <v>130</v>
      </c>
      <c r="CO30" s="0" t="s">
        <v>130</v>
      </c>
      <c r="CP30" s="0" t="s">
        <v>130</v>
      </c>
      <c r="CQ30" s="0" t="s">
        <v>130</v>
      </c>
      <c r="CR30" s="0" t="s">
        <v>130</v>
      </c>
      <c r="CS30" s="0" t="s">
        <v>130</v>
      </c>
      <c r="CT30" s="0" t="s">
        <v>282</v>
      </c>
    </row>
    <row r="31">
      <c r="A31" s="14">
        <v>111093</v>
      </c>
      <c r="B31" s="0" t="s">
        <v>270</v>
      </c>
      <c r="C31" s="16">
        <f>HYPERLINK("https://eosportal.federatedhermes.com/companies/Q29tcGFueQppNzY2OTg=", "AstraZeneca PLC")</f>
      </c>
      <c r="D31" s="0" t="s">
        <v>25</v>
      </c>
      <c r="E31" s="0" t="s">
        <v>283</v>
      </c>
      <c r="F31" s="16">
        <f>HYPERLINK("https://eosportal.federatedhermes.com/engagements/RW5nYWdlbWVudAppMTgxNTE=", "Response to Coronavirus")</f>
      </c>
      <c r="G31" s="14" t="s">
        <v>284</v>
      </c>
      <c r="H31" s="0" t="s">
        <v>141</v>
      </c>
      <c r="I31" s="14" t="s">
        <v>131</v>
      </c>
      <c r="J31" s="0" t="s">
        <v>153</v>
      </c>
      <c r="K31" s="0" t="s">
        <v>154</v>
      </c>
      <c r="L31" s="0" t="s">
        <v>155</v>
      </c>
      <c r="M31" s="0" t="s">
        <v>272</v>
      </c>
      <c r="N31" s="0" t="s">
        <v>273</v>
      </c>
      <c r="O31" s="0" t="s">
        <v>274</v>
      </c>
      <c r="Q31" s="0" t="s">
        <v>130</v>
      </c>
      <c r="R31" s="0" t="s">
        <v>138</v>
      </c>
      <c r="S31" s="14">
        <v>0</v>
      </c>
      <c r="T31" s="0" t="s">
        <v>148</v>
      </c>
      <c r="U31" s="0" t="s">
        <v>138</v>
      </c>
      <c r="V31" s="14" t="s">
        <v>138</v>
      </c>
      <c r="W31" s="0" t="s">
        <v>138</v>
      </c>
      <c r="X31" s="14" t="s">
        <v>138</v>
      </c>
      <c r="Y31" s="0" t="s">
        <v>138</v>
      </c>
      <c r="Z31" s="14" t="s">
        <v>138</v>
      </c>
      <c r="AA31" s="0" t="s">
        <v>138</v>
      </c>
      <c r="AB31" s="14" t="s">
        <v>138</v>
      </c>
      <c r="AD31" s="0" t="s">
        <v>138</v>
      </c>
      <c r="AF31" s="0">
        <v>0</v>
      </c>
      <c r="AG31" s="0">
        <v>0</v>
      </c>
      <c r="AH31" s="0" t="s">
        <v>140</v>
      </c>
      <c r="AI31" s="0" t="s">
        <v>138</v>
      </c>
      <c r="AL31" s="14"/>
      <c r="AN31" s="14"/>
      <c r="AQ31" s="0" t="s">
        <v>130</v>
      </c>
      <c r="AR31" s="0" t="s">
        <v>130</v>
      </c>
      <c r="AS31" s="0" t="s">
        <v>130</v>
      </c>
      <c r="AT31" s="0" t="s">
        <v>130</v>
      </c>
      <c r="AU31" s="0" t="s">
        <v>130</v>
      </c>
      <c r="AV31" s="0" t="s">
        <v>130</v>
      </c>
      <c r="AW31" s="0" t="s">
        <v>130</v>
      </c>
      <c r="AX31" s="0" t="s">
        <v>130</v>
      </c>
      <c r="AY31" s="0" t="s">
        <v>130</v>
      </c>
      <c r="AZ31" s="0" t="s">
        <v>130</v>
      </c>
      <c r="BA31" s="0" t="s">
        <v>130</v>
      </c>
      <c r="BB31" s="0" t="s">
        <v>130</v>
      </c>
      <c r="BC31" s="0" t="s">
        <v>130</v>
      </c>
      <c r="BD31" s="0" t="s">
        <v>130</v>
      </c>
      <c r="BE31" s="0" t="s">
        <v>130</v>
      </c>
      <c r="BF31" s="0" t="s">
        <v>130</v>
      </c>
      <c r="BG31" s="0" t="s">
        <v>130</v>
      </c>
      <c r="BH31" s="0" t="s">
        <v>130</v>
      </c>
      <c r="BI31" s="0" t="s">
        <v>130</v>
      </c>
      <c r="BJ31" s="0" t="s">
        <v>130</v>
      </c>
      <c r="BK31" s="0" t="s">
        <v>130</v>
      </c>
      <c r="BL31" s="0" t="s">
        <v>130</v>
      </c>
      <c r="BM31" s="0" t="s">
        <v>130</v>
      </c>
      <c r="BN31" s="0" t="s">
        <v>130</v>
      </c>
      <c r="BO31" s="0" t="s">
        <v>130</v>
      </c>
      <c r="BP31" s="0" t="s">
        <v>130</v>
      </c>
      <c r="BQ31" s="0" t="s">
        <v>130</v>
      </c>
      <c r="BR31" s="0" t="s">
        <v>130</v>
      </c>
      <c r="BS31" s="0" t="s">
        <v>130</v>
      </c>
      <c r="BT31" s="0" t="s">
        <v>130</v>
      </c>
      <c r="BU31" s="0" t="s">
        <v>130</v>
      </c>
      <c r="BV31" s="0" t="s">
        <v>130</v>
      </c>
      <c r="BW31" s="0" t="s">
        <v>130</v>
      </c>
      <c r="BX31" s="0" t="s">
        <v>130</v>
      </c>
      <c r="BY31" s="0" t="s">
        <v>130</v>
      </c>
      <c r="BZ31" s="0" t="s">
        <v>130</v>
      </c>
      <c r="CA31" s="0" t="s">
        <v>130</v>
      </c>
      <c r="CB31" s="0" t="s">
        <v>130</v>
      </c>
      <c r="CC31" s="0" t="s">
        <v>130</v>
      </c>
      <c r="CD31" s="0" t="s">
        <v>130</v>
      </c>
      <c r="CE31" s="0" t="s">
        <v>130</v>
      </c>
      <c r="CF31" s="0" t="s">
        <v>130</v>
      </c>
      <c r="CG31" s="0" t="s">
        <v>130</v>
      </c>
      <c r="CH31" s="0" t="s">
        <v>130</v>
      </c>
      <c r="CI31" s="0" t="s">
        <v>141</v>
      </c>
      <c r="CJ31" s="0" t="s">
        <v>130</v>
      </c>
      <c r="CK31" s="0" t="s">
        <v>130</v>
      </c>
      <c r="CL31" s="0" t="s">
        <v>130</v>
      </c>
      <c r="CM31" s="0" t="s">
        <v>130</v>
      </c>
      <c r="CN31" s="0" t="s">
        <v>130</v>
      </c>
      <c r="CO31" s="0" t="s">
        <v>130</v>
      </c>
      <c r="CP31" s="0" t="s">
        <v>130</v>
      </c>
      <c r="CQ31" s="0" t="s">
        <v>130</v>
      </c>
      <c r="CR31" s="0" t="s">
        <v>130</v>
      </c>
      <c r="CS31" s="0" t="s">
        <v>130</v>
      </c>
      <c r="CT31" s="0" t="s">
        <v>285</v>
      </c>
    </row>
    <row r="32">
      <c r="A32" s="14">
        <v>111093</v>
      </c>
      <c r="B32" s="0" t="s">
        <v>270</v>
      </c>
      <c r="C32" s="16">
        <f>HYPERLINK("https://eosportal.federatedhermes.com/companies/Q29tcGFueQppNzY2OTg=", "AstraZeneca PLC")</f>
      </c>
      <c r="D32" s="0" t="s">
        <v>25</v>
      </c>
      <c r="E32" s="0" t="s">
        <v>286</v>
      </c>
      <c r="F32" s="16">
        <f>HYPERLINK("https://eosportal.federatedhermes.com/engagements/RW5nYWdlbWVudAppMTgxNTI=", "Director serving as remuneration committee chair and SID")</f>
      </c>
      <c r="G32" s="14" t="s">
        <v>287</v>
      </c>
      <c r="H32" s="0" t="s">
        <v>141</v>
      </c>
      <c r="I32" s="14" t="s">
        <v>131</v>
      </c>
      <c r="J32" s="0" t="s">
        <v>145</v>
      </c>
      <c r="K32" s="0" t="s">
        <v>164</v>
      </c>
      <c r="L32" s="0" t="s">
        <v>165</v>
      </c>
      <c r="M32" s="0" t="s">
        <v>272</v>
      </c>
      <c r="N32" s="0" t="s">
        <v>273</v>
      </c>
      <c r="O32" s="0" t="s">
        <v>274</v>
      </c>
      <c r="Q32" s="0" t="s">
        <v>130</v>
      </c>
      <c r="R32" s="0" t="s">
        <v>138</v>
      </c>
      <c r="S32" s="14">
        <v>0</v>
      </c>
      <c r="T32" s="0" t="s">
        <v>288</v>
      </c>
      <c r="U32" s="0" t="s">
        <v>138</v>
      </c>
      <c r="V32" s="14" t="s">
        <v>138</v>
      </c>
      <c r="W32" s="0" t="s">
        <v>138</v>
      </c>
      <c r="X32" s="14" t="s">
        <v>138</v>
      </c>
      <c r="Y32" s="0" t="s">
        <v>138</v>
      </c>
      <c r="Z32" s="14" t="s">
        <v>138</v>
      </c>
      <c r="AA32" s="0" t="s">
        <v>138</v>
      </c>
      <c r="AB32" s="14" t="s">
        <v>138</v>
      </c>
      <c r="AD32" s="0" t="s">
        <v>138</v>
      </c>
      <c r="AF32" s="0">
        <v>0</v>
      </c>
      <c r="AG32" s="0">
        <v>0</v>
      </c>
      <c r="AH32" s="0" t="s">
        <v>140</v>
      </c>
      <c r="AI32" s="0" t="s">
        <v>138</v>
      </c>
      <c r="AL32" s="14"/>
      <c r="AN32" s="14"/>
      <c r="AQ32" s="0" t="s">
        <v>130</v>
      </c>
      <c r="AR32" s="0" t="s">
        <v>130</v>
      </c>
      <c r="AS32" s="0" t="s">
        <v>130</v>
      </c>
      <c r="AT32" s="0" t="s">
        <v>130</v>
      </c>
      <c r="AU32" s="0" t="s">
        <v>130</v>
      </c>
      <c r="AV32" s="0" t="s">
        <v>130</v>
      </c>
      <c r="AW32" s="0" t="s">
        <v>130</v>
      </c>
      <c r="AX32" s="0" t="s">
        <v>130</v>
      </c>
      <c r="AY32" s="0" t="s">
        <v>130</v>
      </c>
      <c r="AZ32" s="0" t="s">
        <v>130</v>
      </c>
      <c r="BA32" s="0" t="s">
        <v>130</v>
      </c>
      <c r="BB32" s="0" t="s">
        <v>130</v>
      </c>
      <c r="BC32" s="0" t="s">
        <v>130</v>
      </c>
      <c r="BD32" s="0" t="s">
        <v>130</v>
      </c>
      <c r="BE32" s="0" t="s">
        <v>130</v>
      </c>
      <c r="BF32" s="0" t="s">
        <v>130</v>
      </c>
      <c r="BG32" s="0" t="s">
        <v>130</v>
      </c>
      <c r="BH32" s="0" t="s">
        <v>130</v>
      </c>
      <c r="BI32" s="0" t="s">
        <v>130</v>
      </c>
      <c r="BJ32" s="0" t="s">
        <v>130</v>
      </c>
      <c r="BK32" s="0" t="s">
        <v>130</v>
      </c>
      <c r="BL32" s="0" t="s">
        <v>130</v>
      </c>
      <c r="BM32" s="0" t="s">
        <v>130</v>
      </c>
      <c r="BN32" s="0" t="s">
        <v>130</v>
      </c>
      <c r="BO32" s="0" t="s">
        <v>130</v>
      </c>
      <c r="BP32" s="0" t="s">
        <v>130</v>
      </c>
      <c r="BQ32" s="0" t="s">
        <v>130</v>
      </c>
      <c r="BR32" s="0" t="s">
        <v>130</v>
      </c>
      <c r="BS32" s="0" t="s">
        <v>130</v>
      </c>
      <c r="BT32" s="0" t="s">
        <v>130</v>
      </c>
      <c r="BU32" s="0" t="s">
        <v>130</v>
      </c>
      <c r="BV32" s="0" t="s">
        <v>130</v>
      </c>
      <c r="BW32" s="0" t="s">
        <v>130</v>
      </c>
      <c r="BX32" s="0" t="s">
        <v>130</v>
      </c>
      <c r="BY32" s="0" t="s">
        <v>130</v>
      </c>
      <c r="BZ32" s="0" t="s">
        <v>130</v>
      </c>
      <c r="CA32" s="0" t="s">
        <v>130</v>
      </c>
      <c r="CB32" s="0" t="s">
        <v>130</v>
      </c>
      <c r="CC32" s="0" t="s">
        <v>130</v>
      </c>
      <c r="CD32" s="0" t="s">
        <v>130</v>
      </c>
      <c r="CE32" s="0" t="s">
        <v>130</v>
      </c>
      <c r="CF32" s="0" t="s">
        <v>130</v>
      </c>
      <c r="CG32" s="0" t="s">
        <v>130</v>
      </c>
      <c r="CH32" s="0" t="s">
        <v>130</v>
      </c>
      <c r="CI32" s="0" t="s">
        <v>130</v>
      </c>
      <c r="CJ32" s="0" t="s">
        <v>130</v>
      </c>
      <c r="CK32" s="0" t="s">
        <v>130</v>
      </c>
      <c r="CL32" s="0" t="s">
        <v>130</v>
      </c>
      <c r="CM32" s="0" t="s">
        <v>130</v>
      </c>
      <c r="CN32" s="0" t="s">
        <v>130</v>
      </c>
      <c r="CO32" s="0" t="s">
        <v>130</v>
      </c>
      <c r="CP32" s="0" t="s">
        <v>130</v>
      </c>
      <c r="CQ32" s="0" t="s">
        <v>130</v>
      </c>
      <c r="CR32" s="0" t="s">
        <v>130</v>
      </c>
      <c r="CS32" s="0" t="s">
        <v>130</v>
      </c>
      <c r="CT32" s="0" t="s">
        <v>289</v>
      </c>
    </row>
    <row r="33">
      <c r="A33" s="14">
        <v>111093</v>
      </c>
      <c r="B33" s="0" t="s">
        <v>270</v>
      </c>
      <c r="C33" s="16">
        <f>HYPERLINK("https://eosportal.federatedhermes.com/companies/Q29tcGFueQppNzY2OTg=", "AstraZeneca PLC")</f>
      </c>
      <c r="D33" s="0" t="s">
        <v>25</v>
      </c>
      <c r="E33" s="0" t="s">
        <v>290</v>
      </c>
      <c r="F33" s="16">
        <f>HYPERLINK("https://eosportal.federatedhermes.com/engagements/RW5nYWdlbWVudAppMTgxNTM=", "Access to medicines")</f>
      </c>
      <c r="G33" s="14" t="s">
        <v>291</v>
      </c>
      <c r="H33" s="0" t="s">
        <v>141</v>
      </c>
      <c r="I33" s="14" t="s">
        <v>131</v>
      </c>
      <c r="J33" s="0" t="s">
        <v>153</v>
      </c>
      <c r="K33" s="0" t="s">
        <v>243</v>
      </c>
      <c r="L33" s="0" t="s">
        <v>292</v>
      </c>
      <c r="M33" s="0" t="s">
        <v>272</v>
      </c>
      <c r="N33" s="0" t="s">
        <v>273</v>
      </c>
      <c r="O33" s="0" t="s">
        <v>274</v>
      </c>
      <c r="Q33" s="0" t="s">
        <v>130</v>
      </c>
      <c r="R33" s="0" t="s">
        <v>138</v>
      </c>
      <c r="S33" s="14">
        <v>0</v>
      </c>
      <c r="T33" s="0" t="s">
        <v>293</v>
      </c>
      <c r="U33" s="0" t="s">
        <v>138</v>
      </c>
      <c r="V33" s="14" t="s">
        <v>138</v>
      </c>
      <c r="W33" s="0" t="s">
        <v>138</v>
      </c>
      <c r="X33" s="14" t="s">
        <v>138</v>
      </c>
      <c r="Y33" s="0" t="s">
        <v>138</v>
      </c>
      <c r="Z33" s="14" t="s">
        <v>138</v>
      </c>
      <c r="AA33" s="0" t="s">
        <v>138</v>
      </c>
      <c r="AB33" s="14" t="s">
        <v>138</v>
      </c>
      <c r="AD33" s="0" t="s">
        <v>138</v>
      </c>
      <c r="AF33" s="0">
        <v>0</v>
      </c>
      <c r="AG33" s="0">
        <v>0</v>
      </c>
      <c r="AH33" s="0" t="s">
        <v>140</v>
      </c>
      <c r="AI33" s="0" t="s">
        <v>138</v>
      </c>
      <c r="AL33" s="14"/>
      <c r="AN33" s="14"/>
      <c r="AQ33" s="0" t="s">
        <v>130</v>
      </c>
      <c r="AR33" s="0" t="s">
        <v>130</v>
      </c>
      <c r="AS33" s="0" t="s">
        <v>141</v>
      </c>
      <c r="AT33" s="0" t="s">
        <v>130</v>
      </c>
      <c r="AU33" s="0" t="s">
        <v>130</v>
      </c>
      <c r="AV33" s="0" t="s">
        <v>130</v>
      </c>
      <c r="AW33" s="0" t="s">
        <v>130</v>
      </c>
      <c r="AX33" s="0" t="s">
        <v>130</v>
      </c>
      <c r="AY33" s="0" t="s">
        <v>130</v>
      </c>
      <c r="AZ33" s="0" t="s">
        <v>130</v>
      </c>
      <c r="BA33" s="0" t="s">
        <v>130</v>
      </c>
      <c r="BB33" s="0" t="s">
        <v>130</v>
      </c>
      <c r="BC33" s="0" t="s">
        <v>130</v>
      </c>
      <c r="BD33" s="0" t="s">
        <v>130</v>
      </c>
      <c r="BE33" s="0" t="s">
        <v>130</v>
      </c>
      <c r="BF33" s="0" t="s">
        <v>130</v>
      </c>
      <c r="BG33" s="0" t="s">
        <v>130</v>
      </c>
      <c r="BH33" s="0" t="s">
        <v>130</v>
      </c>
      <c r="BI33" s="0" t="s">
        <v>130</v>
      </c>
      <c r="BJ33" s="0" t="s">
        <v>130</v>
      </c>
      <c r="BK33" s="0" t="s">
        <v>130</v>
      </c>
      <c r="BL33" s="0" t="s">
        <v>130</v>
      </c>
      <c r="BM33" s="0" t="s">
        <v>130</v>
      </c>
      <c r="BN33" s="0" t="s">
        <v>130</v>
      </c>
      <c r="BO33" s="0" t="s">
        <v>130</v>
      </c>
      <c r="BP33" s="0" t="s">
        <v>130</v>
      </c>
      <c r="BQ33" s="0" t="s">
        <v>130</v>
      </c>
      <c r="BR33" s="0" t="s">
        <v>130</v>
      </c>
      <c r="BS33" s="0" t="s">
        <v>130</v>
      </c>
      <c r="BT33" s="0" t="s">
        <v>130</v>
      </c>
      <c r="BU33" s="0" t="s">
        <v>130</v>
      </c>
      <c r="BV33" s="0" t="s">
        <v>130</v>
      </c>
      <c r="BW33" s="0" t="s">
        <v>130</v>
      </c>
      <c r="BX33" s="0" t="s">
        <v>130</v>
      </c>
      <c r="BY33" s="0" t="s">
        <v>130</v>
      </c>
      <c r="BZ33" s="0" t="s">
        <v>130</v>
      </c>
      <c r="CA33" s="0" t="s">
        <v>130</v>
      </c>
      <c r="CB33" s="0" t="s">
        <v>130</v>
      </c>
      <c r="CC33" s="0" t="s">
        <v>130</v>
      </c>
      <c r="CD33" s="0" t="s">
        <v>130</v>
      </c>
      <c r="CE33" s="0" t="s">
        <v>130</v>
      </c>
      <c r="CF33" s="0" t="s">
        <v>130</v>
      </c>
      <c r="CG33" s="0" t="s">
        <v>130</v>
      </c>
      <c r="CH33" s="0" t="s">
        <v>130</v>
      </c>
      <c r="CI33" s="0" t="s">
        <v>130</v>
      </c>
      <c r="CJ33" s="0" t="s">
        <v>130</v>
      </c>
      <c r="CK33" s="0" t="s">
        <v>130</v>
      </c>
      <c r="CL33" s="0" t="s">
        <v>130</v>
      </c>
      <c r="CM33" s="0" t="s">
        <v>130</v>
      </c>
      <c r="CN33" s="0" t="s">
        <v>130</v>
      </c>
      <c r="CO33" s="0" t="s">
        <v>130</v>
      </c>
      <c r="CP33" s="0" t="s">
        <v>130</v>
      </c>
      <c r="CQ33" s="0" t="s">
        <v>130</v>
      </c>
      <c r="CR33" s="0" t="s">
        <v>130</v>
      </c>
      <c r="CS33" s="0" t="s">
        <v>130</v>
      </c>
      <c r="CT33" s="0" t="s">
        <v>294</v>
      </c>
    </row>
    <row r="34">
      <c r="A34" s="14">
        <v>111093</v>
      </c>
      <c r="B34" s="0" t="s">
        <v>270</v>
      </c>
      <c r="C34" s="16">
        <f>HYPERLINK("https://eosportal.federatedhermes.com/companies/Q29tcGFueQppNzY2OTg=", "AstraZeneca PLC")</f>
      </c>
      <c r="D34" s="0" t="s">
        <v>25</v>
      </c>
      <c r="E34" s="0" t="s">
        <v>295</v>
      </c>
      <c r="F34" s="16">
        <f>HYPERLINK("https://eosportal.federatedhermes.com/engagements/RW5nYWdlbWVudAppMTgxNTQ=", "Board structure")</f>
      </c>
      <c r="G34" s="14" t="s">
        <v>291</v>
      </c>
      <c r="H34" s="0" t="s">
        <v>141</v>
      </c>
      <c r="I34" s="14" t="s">
        <v>131</v>
      </c>
      <c r="J34" s="0" t="s">
        <v>145</v>
      </c>
      <c r="K34" s="0" t="s">
        <v>164</v>
      </c>
      <c r="L34" s="0" t="s">
        <v>165</v>
      </c>
      <c r="M34" s="0" t="s">
        <v>272</v>
      </c>
      <c r="N34" s="0" t="s">
        <v>273</v>
      </c>
      <c r="O34" s="0" t="s">
        <v>274</v>
      </c>
      <c r="Q34" s="0" t="s">
        <v>130</v>
      </c>
      <c r="R34" s="0" t="s">
        <v>138</v>
      </c>
      <c r="S34" s="14">
        <v>0</v>
      </c>
      <c r="T34" s="0" t="s">
        <v>296</v>
      </c>
      <c r="U34" s="0" t="s">
        <v>138</v>
      </c>
      <c r="V34" s="14" t="s">
        <v>138</v>
      </c>
      <c r="W34" s="0" t="s">
        <v>138</v>
      </c>
      <c r="X34" s="14" t="s">
        <v>138</v>
      </c>
      <c r="Y34" s="0" t="s">
        <v>138</v>
      </c>
      <c r="Z34" s="14" t="s">
        <v>138</v>
      </c>
      <c r="AA34" s="0" t="s">
        <v>138</v>
      </c>
      <c r="AB34" s="14" t="s">
        <v>138</v>
      </c>
      <c r="AD34" s="0" t="s">
        <v>138</v>
      </c>
      <c r="AF34" s="0">
        <v>0</v>
      </c>
      <c r="AG34" s="0">
        <v>0</v>
      </c>
      <c r="AH34" s="0" t="s">
        <v>140</v>
      </c>
      <c r="AI34" s="0" t="s">
        <v>138</v>
      </c>
      <c r="AL34" s="14"/>
      <c r="AN34" s="14"/>
      <c r="AQ34" s="0" t="s">
        <v>130</v>
      </c>
      <c r="AR34" s="0" t="s">
        <v>130</v>
      </c>
      <c r="AS34" s="0" t="s">
        <v>130</v>
      </c>
      <c r="AT34" s="0" t="s">
        <v>130</v>
      </c>
      <c r="AU34" s="0" t="s">
        <v>130</v>
      </c>
      <c r="AV34" s="0" t="s">
        <v>130</v>
      </c>
      <c r="AW34" s="0" t="s">
        <v>130</v>
      </c>
      <c r="AX34" s="0" t="s">
        <v>130</v>
      </c>
      <c r="AY34" s="0" t="s">
        <v>130</v>
      </c>
      <c r="AZ34" s="0" t="s">
        <v>130</v>
      </c>
      <c r="BA34" s="0" t="s">
        <v>130</v>
      </c>
      <c r="BB34" s="0" t="s">
        <v>130</v>
      </c>
      <c r="BC34" s="0" t="s">
        <v>130</v>
      </c>
      <c r="BD34" s="0" t="s">
        <v>130</v>
      </c>
      <c r="BE34" s="0" t="s">
        <v>130</v>
      </c>
      <c r="BF34" s="0" t="s">
        <v>130</v>
      </c>
      <c r="BG34" s="0" t="s">
        <v>130</v>
      </c>
      <c r="BH34" s="0" t="s">
        <v>130</v>
      </c>
      <c r="BI34" s="0" t="s">
        <v>130</v>
      </c>
      <c r="BJ34" s="0" t="s">
        <v>130</v>
      </c>
      <c r="BK34" s="0" t="s">
        <v>130</v>
      </c>
      <c r="BL34" s="0" t="s">
        <v>130</v>
      </c>
      <c r="BM34" s="0" t="s">
        <v>130</v>
      </c>
      <c r="BN34" s="0" t="s">
        <v>130</v>
      </c>
      <c r="BO34" s="0" t="s">
        <v>130</v>
      </c>
      <c r="BP34" s="0" t="s">
        <v>130</v>
      </c>
      <c r="BQ34" s="0" t="s">
        <v>130</v>
      </c>
      <c r="BR34" s="0" t="s">
        <v>130</v>
      </c>
      <c r="BS34" s="0" t="s">
        <v>130</v>
      </c>
      <c r="BT34" s="0" t="s">
        <v>130</v>
      </c>
      <c r="BU34" s="0" t="s">
        <v>130</v>
      </c>
      <c r="BV34" s="0" t="s">
        <v>130</v>
      </c>
      <c r="BW34" s="0" t="s">
        <v>130</v>
      </c>
      <c r="BX34" s="0" t="s">
        <v>130</v>
      </c>
      <c r="BY34" s="0" t="s">
        <v>130</v>
      </c>
      <c r="BZ34" s="0" t="s">
        <v>130</v>
      </c>
      <c r="CA34" s="0" t="s">
        <v>130</v>
      </c>
      <c r="CB34" s="0" t="s">
        <v>130</v>
      </c>
      <c r="CC34" s="0" t="s">
        <v>130</v>
      </c>
      <c r="CD34" s="0" t="s">
        <v>130</v>
      </c>
      <c r="CE34" s="0" t="s">
        <v>130</v>
      </c>
      <c r="CF34" s="0" t="s">
        <v>130</v>
      </c>
      <c r="CG34" s="0" t="s">
        <v>130</v>
      </c>
      <c r="CH34" s="0" t="s">
        <v>130</v>
      </c>
      <c r="CI34" s="0" t="s">
        <v>130</v>
      </c>
      <c r="CJ34" s="0" t="s">
        <v>130</v>
      </c>
      <c r="CK34" s="0" t="s">
        <v>130</v>
      </c>
      <c r="CL34" s="0" t="s">
        <v>130</v>
      </c>
      <c r="CM34" s="0" t="s">
        <v>130</v>
      </c>
      <c r="CN34" s="0" t="s">
        <v>130</v>
      </c>
      <c r="CO34" s="0" t="s">
        <v>130</v>
      </c>
      <c r="CP34" s="0" t="s">
        <v>130</v>
      </c>
      <c r="CQ34" s="0" t="s">
        <v>130</v>
      </c>
      <c r="CR34" s="0" t="s">
        <v>130</v>
      </c>
      <c r="CS34" s="0" t="s">
        <v>130</v>
      </c>
      <c r="CT34" s="0" t="s">
        <v>297</v>
      </c>
    </row>
    <row r="35">
      <c r="A35" s="14">
        <v>111093</v>
      </c>
      <c r="B35" s="0" t="s">
        <v>270</v>
      </c>
      <c r="C35" s="16">
        <f>HYPERLINK("https://eosportal.federatedhermes.com/companies/Q29tcGFueQppNzY2OTg=", "AstraZeneca PLC")</f>
      </c>
      <c r="D35" s="0" t="s">
        <v>25</v>
      </c>
      <c r="E35" s="0" t="s">
        <v>298</v>
      </c>
      <c r="F35" s="16">
        <f>HYPERLINK("https://eosportal.federatedhermes.com/engagements/RW5nYWdlbWVudAppMTgxNTU=", "Corporate culture")</f>
      </c>
      <c r="G35" s="14" t="s">
        <v>291</v>
      </c>
      <c r="H35" s="0" t="s">
        <v>141</v>
      </c>
      <c r="I35" s="14" t="s">
        <v>131</v>
      </c>
      <c r="J35" s="0" t="s">
        <v>153</v>
      </c>
      <c r="K35" s="0" t="s">
        <v>185</v>
      </c>
      <c r="L35" s="0" t="s">
        <v>186</v>
      </c>
      <c r="M35" s="0" t="s">
        <v>272</v>
      </c>
      <c r="N35" s="0" t="s">
        <v>273</v>
      </c>
      <c r="O35" s="0" t="s">
        <v>274</v>
      </c>
      <c r="Q35" s="0" t="s">
        <v>141</v>
      </c>
      <c r="R35" s="0" t="s">
        <v>138</v>
      </c>
      <c r="S35" s="14">
        <v>1</v>
      </c>
      <c r="T35" s="0" t="s">
        <v>299</v>
      </c>
      <c r="U35" s="0" t="s">
        <v>138</v>
      </c>
      <c r="V35" s="14" t="s">
        <v>138</v>
      </c>
      <c r="W35" s="0" t="s">
        <v>138</v>
      </c>
      <c r="X35" s="14" t="s">
        <v>138</v>
      </c>
      <c r="Y35" s="0" t="s">
        <v>138</v>
      </c>
      <c r="Z35" s="14" t="s">
        <v>138</v>
      </c>
      <c r="AA35" s="0" t="s">
        <v>138</v>
      </c>
      <c r="AB35" s="14" t="s">
        <v>138</v>
      </c>
      <c r="AD35" s="0" t="s">
        <v>138</v>
      </c>
      <c r="AF35" s="0">
        <v>0</v>
      </c>
      <c r="AG35" s="0">
        <v>0</v>
      </c>
      <c r="AH35" s="0" t="s">
        <v>140</v>
      </c>
      <c r="AI35" s="0" t="s">
        <v>138</v>
      </c>
      <c r="AK35" s="0" t="s">
        <v>300</v>
      </c>
      <c r="AL35" s="14"/>
      <c r="AN35" s="14"/>
      <c r="AQ35" s="0" t="s">
        <v>130</v>
      </c>
      <c r="AR35" s="0" t="s">
        <v>130</v>
      </c>
      <c r="AS35" s="0" t="s">
        <v>130</v>
      </c>
      <c r="AT35" s="0" t="s">
        <v>130</v>
      </c>
      <c r="AU35" s="0" t="s">
        <v>130</v>
      </c>
      <c r="AV35" s="0" t="s">
        <v>130</v>
      </c>
      <c r="AW35" s="0" t="s">
        <v>130</v>
      </c>
      <c r="AX35" s="0" t="s">
        <v>130</v>
      </c>
      <c r="AY35" s="0" t="s">
        <v>130</v>
      </c>
      <c r="AZ35" s="0" t="s">
        <v>130</v>
      </c>
      <c r="BA35" s="0" t="s">
        <v>130</v>
      </c>
      <c r="BB35" s="0" t="s">
        <v>130</v>
      </c>
      <c r="BC35" s="0" t="s">
        <v>130</v>
      </c>
      <c r="BD35" s="0" t="s">
        <v>130</v>
      </c>
      <c r="BE35" s="0" t="s">
        <v>130</v>
      </c>
      <c r="BF35" s="0" t="s">
        <v>130</v>
      </c>
      <c r="BG35" s="0" t="s">
        <v>130</v>
      </c>
      <c r="BH35" s="0" t="s">
        <v>130</v>
      </c>
      <c r="BI35" s="0" t="s">
        <v>130</v>
      </c>
      <c r="BJ35" s="0" t="s">
        <v>130</v>
      </c>
      <c r="BK35" s="0" t="s">
        <v>130</v>
      </c>
      <c r="BL35" s="0" t="s">
        <v>130</v>
      </c>
      <c r="BM35" s="0" t="s">
        <v>130</v>
      </c>
      <c r="BN35" s="0" t="s">
        <v>130</v>
      </c>
      <c r="BO35" s="0" t="s">
        <v>130</v>
      </c>
      <c r="BP35" s="0" t="s">
        <v>130</v>
      </c>
      <c r="BQ35" s="0" t="s">
        <v>130</v>
      </c>
      <c r="BR35" s="0" t="s">
        <v>130</v>
      </c>
      <c r="BS35" s="0" t="s">
        <v>130</v>
      </c>
      <c r="BT35" s="0" t="s">
        <v>130</v>
      </c>
      <c r="BU35" s="0" t="s">
        <v>130</v>
      </c>
      <c r="BV35" s="0" t="s">
        <v>130</v>
      </c>
      <c r="BW35" s="0" t="s">
        <v>130</v>
      </c>
      <c r="BX35" s="0" t="s">
        <v>130</v>
      </c>
      <c r="BY35" s="0" t="s">
        <v>130</v>
      </c>
      <c r="BZ35" s="0" t="s">
        <v>130</v>
      </c>
      <c r="CA35" s="0" t="s">
        <v>130</v>
      </c>
      <c r="CB35" s="0" t="s">
        <v>130</v>
      </c>
      <c r="CC35" s="0" t="s">
        <v>130</v>
      </c>
      <c r="CD35" s="0" t="s">
        <v>130</v>
      </c>
      <c r="CE35" s="0" t="s">
        <v>130</v>
      </c>
      <c r="CF35" s="0" t="s">
        <v>130</v>
      </c>
      <c r="CG35" s="0" t="s">
        <v>130</v>
      </c>
      <c r="CH35" s="0" t="s">
        <v>130</v>
      </c>
      <c r="CI35" s="0" t="s">
        <v>130</v>
      </c>
      <c r="CJ35" s="0" t="s">
        <v>130</v>
      </c>
      <c r="CK35" s="0" t="s">
        <v>130</v>
      </c>
      <c r="CL35" s="0" t="s">
        <v>130</v>
      </c>
      <c r="CM35" s="0" t="s">
        <v>130</v>
      </c>
      <c r="CN35" s="0" t="s">
        <v>130</v>
      </c>
      <c r="CO35" s="0" t="s">
        <v>130</v>
      </c>
      <c r="CP35" s="0" t="s">
        <v>130</v>
      </c>
      <c r="CQ35" s="0" t="s">
        <v>130</v>
      </c>
      <c r="CR35" s="0" t="s">
        <v>130</v>
      </c>
      <c r="CS35" s="0" t="s">
        <v>130</v>
      </c>
      <c r="CT35" s="0" t="s">
        <v>301</v>
      </c>
    </row>
    <row r="36">
      <c r="A36" s="14">
        <v>111093</v>
      </c>
      <c r="B36" s="0" t="s">
        <v>270</v>
      </c>
      <c r="C36" s="16">
        <f>HYPERLINK("https://eosportal.federatedhermes.com/companies/Q29tcGFueQppNzY2OTg=", "AstraZeneca PLC")</f>
      </c>
      <c r="D36" s="0" t="s">
        <v>25</v>
      </c>
      <c r="E36" s="0" t="s">
        <v>302</v>
      </c>
      <c r="F36" s="16">
        <f>HYPERLINK("https://eosportal.federatedhermes.com/engagements/RW5nYWdlbWVudAppMTgxNTY=", "Risk controls framework")</f>
      </c>
      <c r="G36" s="14" t="s">
        <v>291</v>
      </c>
      <c r="H36" s="0" t="s">
        <v>141</v>
      </c>
      <c r="I36" s="14" t="s">
        <v>131</v>
      </c>
      <c r="J36" s="0" t="s">
        <v>132</v>
      </c>
      <c r="K36" s="0" t="s">
        <v>260</v>
      </c>
      <c r="L36" s="0" t="s">
        <v>261</v>
      </c>
      <c r="M36" s="0" t="s">
        <v>272</v>
      </c>
      <c r="N36" s="0" t="s">
        <v>273</v>
      </c>
      <c r="O36" s="0" t="s">
        <v>274</v>
      </c>
      <c r="Q36" s="0" t="s">
        <v>130</v>
      </c>
      <c r="R36" s="0" t="s">
        <v>138</v>
      </c>
      <c r="S36" s="14">
        <v>0</v>
      </c>
      <c r="T36" s="0" t="s">
        <v>303</v>
      </c>
      <c r="U36" s="0" t="s">
        <v>138</v>
      </c>
      <c r="V36" s="14" t="s">
        <v>138</v>
      </c>
      <c r="W36" s="0" t="s">
        <v>138</v>
      </c>
      <c r="X36" s="14" t="s">
        <v>138</v>
      </c>
      <c r="Y36" s="0" t="s">
        <v>138</v>
      </c>
      <c r="Z36" s="14" t="s">
        <v>138</v>
      </c>
      <c r="AA36" s="0" t="s">
        <v>138</v>
      </c>
      <c r="AB36" s="14" t="s">
        <v>138</v>
      </c>
      <c r="AD36" s="0" t="s">
        <v>138</v>
      </c>
      <c r="AF36" s="0">
        <v>0</v>
      </c>
      <c r="AG36" s="0">
        <v>0</v>
      </c>
      <c r="AH36" s="0" t="s">
        <v>140</v>
      </c>
      <c r="AI36" s="0" t="s">
        <v>138</v>
      </c>
      <c r="AL36" s="14"/>
      <c r="AN36" s="14"/>
      <c r="AQ36" s="0" t="s">
        <v>130</v>
      </c>
      <c r="AR36" s="0" t="s">
        <v>130</v>
      </c>
      <c r="AS36" s="0" t="s">
        <v>130</v>
      </c>
      <c r="AT36" s="0" t="s">
        <v>130</v>
      </c>
      <c r="AU36" s="0" t="s">
        <v>130</v>
      </c>
      <c r="AV36" s="0" t="s">
        <v>130</v>
      </c>
      <c r="AW36" s="0" t="s">
        <v>130</v>
      </c>
      <c r="AX36" s="0" t="s">
        <v>130</v>
      </c>
      <c r="AY36" s="0" t="s">
        <v>130</v>
      </c>
      <c r="AZ36" s="0" t="s">
        <v>130</v>
      </c>
      <c r="BA36" s="0" t="s">
        <v>130</v>
      </c>
      <c r="BB36" s="0" t="s">
        <v>130</v>
      </c>
      <c r="BC36" s="0" t="s">
        <v>130</v>
      </c>
      <c r="BD36" s="0" t="s">
        <v>130</v>
      </c>
      <c r="BE36" s="0" t="s">
        <v>130</v>
      </c>
      <c r="BF36" s="0" t="s">
        <v>130</v>
      </c>
      <c r="BG36" s="0" t="s">
        <v>130</v>
      </c>
      <c r="BH36" s="0" t="s">
        <v>130</v>
      </c>
      <c r="BI36" s="0" t="s">
        <v>130</v>
      </c>
      <c r="BJ36" s="0" t="s">
        <v>130</v>
      </c>
      <c r="BK36" s="0" t="s">
        <v>130</v>
      </c>
      <c r="BL36" s="0" t="s">
        <v>130</v>
      </c>
      <c r="BM36" s="0" t="s">
        <v>130</v>
      </c>
      <c r="BN36" s="0" t="s">
        <v>130</v>
      </c>
      <c r="BO36" s="0" t="s">
        <v>130</v>
      </c>
      <c r="BP36" s="0" t="s">
        <v>130</v>
      </c>
      <c r="BQ36" s="0" t="s">
        <v>130</v>
      </c>
      <c r="BR36" s="0" t="s">
        <v>130</v>
      </c>
      <c r="BS36" s="0" t="s">
        <v>130</v>
      </c>
      <c r="BT36" s="0" t="s">
        <v>130</v>
      </c>
      <c r="BU36" s="0" t="s">
        <v>130</v>
      </c>
      <c r="BV36" s="0" t="s">
        <v>130</v>
      </c>
      <c r="BW36" s="0" t="s">
        <v>130</v>
      </c>
      <c r="BX36" s="0" t="s">
        <v>130</v>
      </c>
      <c r="BY36" s="0" t="s">
        <v>130</v>
      </c>
      <c r="BZ36" s="0" t="s">
        <v>130</v>
      </c>
      <c r="CA36" s="0" t="s">
        <v>130</v>
      </c>
      <c r="CB36" s="0" t="s">
        <v>130</v>
      </c>
      <c r="CC36" s="0" t="s">
        <v>130</v>
      </c>
      <c r="CD36" s="0" t="s">
        <v>130</v>
      </c>
      <c r="CE36" s="0" t="s">
        <v>130</v>
      </c>
      <c r="CF36" s="0" t="s">
        <v>130</v>
      </c>
      <c r="CG36" s="0" t="s">
        <v>130</v>
      </c>
      <c r="CH36" s="0" t="s">
        <v>130</v>
      </c>
      <c r="CI36" s="0" t="s">
        <v>130</v>
      </c>
      <c r="CJ36" s="0" t="s">
        <v>130</v>
      </c>
      <c r="CK36" s="0" t="s">
        <v>130</v>
      </c>
      <c r="CL36" s="0" t="s">
        <v>130</v>
      </c>
      <c r="CM36" s="0" t="s">
        <v>130</v>
      </c>
      <c r="CN36" s="0" t="s">
        <v>130</v>
      </c>
      <c r="CO36" s="0" t="s">
        <v>130</v>
      </c>
      <c r="CP36" s="0" t="s">
        <v>130</v>
      </c>
      <c r="CQ36" s="0" t="s">
        <v>130</v>
      </c>
      <c r="CR36" s="0" t="s">
        <v>130</v>
      </c>
      <c r="CS36" s="0" t="s">
        <v>130</v>
      </c>
      <c r="CT36" s="0" t="s">
        <v>304</v>
      </c>
    </row>
    <row r="37">
      <c r="A37" s="14">
        <v>111093</v>
      </c>
      <c r="B37" s="0" t="s">
        <v>270</v>
      </c>
      <c r="C37" s="16">
        <f>HYPERLINK("https://eosportal.federatedhermes.com/companies/Q29tcGFueQppNzY2OTg=", "AstraZeneca PLC")</f>
      </c>
      <c r="D37" s="0" t="s">
        <v>25</v>
      </c>
      <c r="E37" s="0" t="s">
        <v>305</v>
      </c>
      <c r="F37" s="16">
        <f>HYPERLINK("https://eosportal.federatedhermes.com/engagements/RW5nYWdlbWVudAppMTgxNTc=", "Discuss long-term strategic challenges faced by the pharmaceutical industry")</f>
      </c>
      <c r="G37" s="14"/>
      <c r="H37" s="0" t="s">
        <v>141</v>
      </c>
      <c r="I37" s="14" t="s">
        <v>131</v>
      </c>
      <c r="J37" s="0" t="s">
        <v>153</v>
      </c>
      <c r="K37" s="0" t="s">
        <v>154</v>
      </c>
      <c r="L37" s="0" t="s">
        <v>306</v>
      </c>
      <c r="M37" s="0" t="s">
        <v>272</v>
      </c>
      <c r="N37" s="0" t="s">
        <v>273</v>
      </c>
      <c r="O37" s="0" t="s">
        <v>274</v>
      </c>
      <c r="Q37" s="0" t="s">
        <v>141</v>
      </c>
      <c r="R37" s="0" t="s">
        <v>138</v>
      </c>
      <c r="S37" s="14">
        <v>1</v>
      </c>
      <c r="T37" s="0" t="s">
        <v>307</v>
      </c>
      <c r="U37" s="0" t="s">
        <v>138</v>
      </c>
      <c r="V37" s="14" t="s">
        <v>138</v>
      </c>
      <c r="W37" s="0" t="s">
        <v>138</v>
      </c>
      <c r="X37" s="14" t="s">
        <v>138</v>
      </c>
      <c r="Y37" s="0" t="s">
        <v>138</v>
      </c>
      <c r="Z37" s="14" t="s">
        <v>138</v>
      </c>
      <c r="AA37" s="0" t="s">
        <v>138</v>
      </c>
      <c r="AB37" s="14" t="s">
        <v>138</v>
      </c>
      <c r="AD37" s="0" t="s">
        <v>138</v>
      </c>
      <c r="AF37" s="0">
        <v>0</v>
      </c>
      <c r="AG37" s="0">
        <v>0</v>
      </c>
      <c r="AH37" s="0" t="s">
        <v>140</v>
      </c>
      <c r="AI37" s="0" t="s">
        <v>138</v>
      </c>
      <c r="AK37" s="0" t="s">
        <v>300</v>
      </c>
      <c r="AL37" s="14"/>
      <c r="AN37" s="14"/>
      <c r="AQ37" s="0" t="s">
        <v>130</v>
      </c>
      <c r="AR37" s="0" t="s">
        <v>130</v>
      </c>
      <c r="AS37" s="0" t="s">
        <v>130</v>
      </c>
      <c r="AT37" s="0" t="s">
        <v>130</v>
      </c>
      <c r="AU37" s="0" t="s">
        <v>130</v>
      </c>
      <c r="AV37" s="0" t="s">
        <v>130</v>
      </c>
      <c r="AW37" s="0" t="s">
        <v>130</v>
      </c>
      <c r="AX37" s="0" t="s">
        <v>130</v>
      </c>
      <c r="AY37" s="0" t="s">
        <v>130</v>
      </c>
      <c r="AZ37" s="0" t="s">
        <v>130</v>
      </c>
      <c r="BA37" s="0" t="s">
        <v>130</v>
      </c>
      <c r="BB37" s="0" t="s">
        <v>130</v>
      </c>
      <c r="BC37" s="0" t="s">
        <v>130</v>
      </c>
      <c r="BD37" s="0" t="s">
        <v>130</v>
      </c>
      <c r="BE37" s="0" t="s">
        <v>130</v>
      </c>
      <c r="BF37" s="0" t="s">
        <v>130</v>
      </c>
      <c r="BG37" s="0" t="s">
        <v>130</v>
      </c>
      <c r="BH37" s="0" t="s">
        <v>130</v>
      </c>
      <c r="BI37" s="0" t="s">
        <v>130</v>
      </c>
      <c r="BJ37" s="0" t="s">
        <v>130</v>
      </c>
      <c r="BK37" s="0" t="s">
        <v>130</v>
      </c>
      <c r="BL37" s="0" t="s">
        <v>130</v>
      </c>
      <c r="BM37" s="0" t="s">
        <v>130</v>
      </c>
      <c r="BN37" s="0" t="s">
        <v>130</v>
      </c>
      <c r="BO37" s="0" t="s">
        <v>130</v>
      </c>
      <c r="BP37" s="0" t="s">
        <v>130</v>
      </c>
      <c r="BQ37" s="0" t="s">
        <v>130</v>
      </c>
      <c r="BR37" s="0" t="s">
        <v>130</v>
      </c>
      <c r="BS37" s="0" t="s">
        <v>130</v>
      </c>
      <c r="BT37" s="0" t="s">
        <v>130</v>
      </c>
      <c r="BU37" s="0" t="s">
        <v>130</v>
      </c>
      <c r="BV37" s="0" t="s">
        <v>130</v>
      </c>
      <c r="BW37" s="0" t="s">
        <v>130</v>
      </c>
      <c r="BX37" s="0" t="s">
        <v>130</v>
      </c>
      <c r="BY37" s="0" t="s">
        <v>130</v>
      </c>
      <c r="BZ37" s="0" t="s">
        <v>130</v>
      </c>
      <c r="CA37" s="0" t="s">
        <v>130</v>
      </c>
      <c r="CB37" s="0" t="s">
        <v>130</v>
      </c>
      <c r="CC37" s="0" t="s">
        <v>130</v>
      </c>
      <c r="CD37" s="0" t="s">
        <v>130</v>
      </c>
      <c r="CE37" s="0" t="s">
        <v>130</v>
      </c>
      <c r="CF37" s="0" t="s">
        <v>130</v>
      </c>
      <c r="CG37" s="0" t="s">
        <v>130</v>
      </c>
      <c r="CH37" s="0" t="s">
        <v>130</v>
      </c>
      <c r="CI37" s="0" t="s">
        <v>130</v>
      </c>
      <c r="CJ37" s="0" t="s">
        <v>130</v>
      </c>
      <c r="CK37" s="0" t="s">
        <v>130</v>
      </c>
      <c r="CL37" s="0" t="s">
        <v>130</v>
      </c>
      <c r="CM37" s="0" t="s">
        <v>130</v>
      </c>
      <c r="CN37" s="0" t="s">
        <v>130</v>
      </c>
      <c r="CO37" s="0" t="s">
        <v>130</v>
      </c>
      <c r="CP37" s="0" t="s">
        <v>130</v>
      </c>
      <c r="CQ37" s="0" t="s">
        <v>130</v>
      </c>
      <c r="CR37" s="0" t="s">
        <v>130</v>
      </c>
      <c r="CS37" s="0" t="s">
        <v>130</v>
      </c>
      <c r="CT37" s="0" t="s">
        <v>308</v>
      </c>
    </row>
    <row r="38">
      <c r="A38" s="14">
        <v>111093</v>
      </c>
      <c r="B38" s="0" t="s">
        <v>270</v>
      </c>
      <c r="C38" s="16">
        <f>HYPERLINK("https://eosportal.federatedhermes.com/companies/Q29tcGFueQppNzY2OTg=", "AstraZeneca PLC")</f>
      </c>
      <c r="D38" s="0" t="s">
        <v>25</v>
      </c>
      <c r="E38" s="0" t="s">
        <v>309</v>
      </c>
      <c r="F38" s="16">
        <f>HYPERLINK("https://eosportal.federatedhermes.com/engagements/RW5nYWdlbWVudAppMTgxNTg=", "Audit quality")</f>
      </c>
      <c r="G38" s="14" t="s">
        <v>291</v>
      </c>
      <c r="H38" s="0" t="s">
        <v>141</v>
      </c>
      <c r="I38" s="14" t="s">
        <v>131</v>
      </c>
      <c r="J38" s="0" t="s">
        <v>132</v>
      </c>
      <c r="K38" s="0" t="s">
        <v>170</v>
      </c>
      <c r="L38" s="0" t="s">
        <v>310</v>
      </c>
      <c r="M38" s="0" t="s">
        <v>272</v>
      </c>
      <c r="N38" s="0" t="s">
        <v>273</v>
      </c>
      <c r="O38" s="0" t="s">
        <v>274</v>
      </c>
      <c r="Q38" s="0" t="s">
        <v>130</v>
      </c>
      <c r="R38" s="0" t="s">
        <v>138</v>
      </c>
      <c r="S38" s="14">
        <v>0</v>
      </c>
      <c r="T38" s="0" t="s">
        <v>303</v>
      </c>
      <c r="U38" s="0" t="s">
        <v>138</v>
      </c>
      <c r="V38" s="14" t="s">
        <v>138</v>
      </c>
      <c r="W38" s="0" t="s">
        <v>138</v>
      </c>
      <c r="X38" s="14" t="s">
        <v>138</v>
      </c>
      <c r="Y38" s="0" t="s">
        <v>138</v>
      </c>
      <c r="Z38" s="14" t="s">
        <v>138</v>
      </c>
      <c r="AA38" s="0" t="s">
        <v>138</v>
      </c>
      <c r="AB38" s="14" t="s">
        <v>138</v>
      </c>
      <c r="AD38" s="0" t="s">
        <v>138</v>
      </c>
      <c r="AF38" s="0">
        <v>0</v>
      </c>
      <c r="AG38" s="0">
        <v>0</v>
      </c>
      <c r="AH38" s="0" t="s">
        <v>140</v>
      </c>
      <c r="AI38" s="0" t="s">
        <v>138</v>
      </c>
      <c r="AL38" s="14"/>
      <c r="AN38" s="14"/>
      <c r="AQ38" s="0" t="s">
        <v>130</v>
      </c>
      <c r="AR38" s="0" t="s">
        <v>130</v>
      </c>
      <c r="AS38" s="0" t="s">
        <v>130</v>
      </c>
      <c r="AT38" s="0" t="s">
        <v>130</v>
      </c>
      <c r="AU38" s="0" t="s">
        <v>130</v>
      </c>
      <c r="AV38" s="0" t="s">
        <v>130</v>
      </c>
      <c r="AW38" s="0" t="s">
        <v>130</v>
      </c>
      <c r="AX38" s="0" t="s">
        <v>130</v>
      </c>
      <c r="AY38" s="0" t="s">
        <v>130</v>
      </c>
      <c r="AZ38" s="0" t="s">
        <v>130</v>
      </c>
      <c r="BA38" s="0" t="s">
        <v>130</v>
      </c>
      <c r="BB38" s="0" t="s">
        <v>130</v>
      </c>
      <c r="BC38" s="0" t="s">
        <v>130</v>
      </c>
      <c r="BD38" s="0" t="s">
        <v>130</v>
      </c>
      <c r="BE38" s="0" t="s">
        <v>130</v>
      </c>
      <c r="BF38" s="0" t="s">
        <v>130</v>
      </c>
      <c r="BG38" s="0" t="s">
        <v>130</v>
      </c>
      <c r="BH38" s="0" t="s">
        <v>130</v>
      </c>
      <c r="BI38" s="0" t="s">
        <v>130</v>
      </c>
      <c r="BJ38" s="0" t="s">
        <v>130</v>
      </c>
      <c r="BK38" s="0" t="s">
        <v>130</v>
      </c>
      <c r="BL38" s="0" t="s">
        <v>130</v>
      </c>
      <c r="BM38" s="0" t="s">
        <v>130</v>
      </c>
      <c r="BN38" s="0" t="s">
        <v>130</v>
      </c>
      <c r="BO38" s="0" t="s">
        <v>130</v>
      </c>
      <c r="BP38" s="0" t="s">
        <v>130</v>
      </c>
      <c r="BQ38" s="0" t="s">
        <v>130</v>
      </c>
      <c r="BR38" s="0" t="s">
        <v>130</v>
      </c>
      <c r="BS38" s="0" t="s">
        <v>130</v>
      </c>
      <c r="BT38" s="0" t="s">
        <v>130</v>
      </c>
      <c r="BU38" s="0" t="s">
        <v>130</v>
      </c>
      <c r="BV38" s="0" t="s">
        <v>130</v>
      </c>
      <c r="BW38" s="0" t="s">
        <v>130</v>
      </c>
      <c r="BX38" s="0" t="s">
        <v>130</v>
      </c>
      <c r="BY38" s="0" t="s">
        <v>130</v>
      </c>
      <c r="BZ38" s="0" t="s">
        <v>130</v>
      </c>
      <c r="CA38" s="0" t="s">
        <v>130</v>
      </c>
      <c r="CB38" s="0" t="s">
        <v>130</v>
      </c>
      <c r="CC38" s="0" t="s">
        <v>130</v>
      </c>
      <c r="CD38" s="0" t="s">
        <v>130</v>
      </c>
      <c r="CE38" s="0" t="s">
        <v>130</v>
      </c>
      <c r="CF38" s="0" t="s">
        <v>130</v>
      </c>
      <c r="CG38" s="0" t="s">
        <v>130</v>
      </c>
      <c r="CH38" s="0" t="s">
        <v>130</v>
      </c>
      <c r="CI38" s="0" t="s">
        <v>130</v>
      </c>
      <c r="CJ38" s="0" t="s">
        <v>130</v>
      </c>
      <c r="CK38" s="0" t="s">
        <v>130</v>
      </c>
      <c r="CL38" s="0" t="s">
        <v>130</v>
      </c>
      <c r="CM38" s="0" t="s">
        <v>130</v>
      </c>
      <c r="CN38" s="0" t="s">
        <v>130</v>
      </c>
      <c r="CO38" s="0" t="s">
        <v>130</v>
      </c>
      <c r="CP38" s="0" t="s">
        <v>130</v>
      </c>
      <c r="CQ38" s="0" t="s">
        <v>130</v>
      </c>
      <c r="CR38" s="0" t="s">
        <v>130</v>
      </c>
      <c r="CS38" s="0" t="s">
        <v>130</v>
      </c>
      <c r="CT38" s="0" t="s">
        <v>311</v>
      </c>
    </row>
    <row r="39">
      <c r="A39" s="14">
        <v>111093</v>
      </c>
      <c r="B39" s="0" t="s">
        <v>270</v>
      </c>
      <c r="C39" s="16">
        <f>HYPERLINK("https://eosportal.federatedhermes.com/companies/Q29tcGFueQppNzY2OTg=", "AstraZeneca PLC")</f>
      </c>
      <c r="D39" s="0" t="s">
        <v>25</v>
      </c>
      <c r="E39" s="0" t="s">
        <v>312</v>
      </c>
      <c r="F39" s="16">
        <f>HYPERLINK("https://eosportal.federatedhermes.com/engagements/RW5nYWdlbWVudAppMTgxNTk=", "sustainability, innovation &amp;  conduct")</f>
      </c>
      <c r="G39" s="14" t="s">
        <v>313</v>
      </c>
      <c r="H39" s="0" t="s">
        <v>141</v>
      </c>
      <c r="I39" s="14" t="s">
        <v>131</v>
      </c>
      <c r="J39" s="0" t="s">
        <v>153</v>
      </c>
      <c r="K39" s="0" t="s">
        <v>185</v>
      </c>
      <c r="L39" s="0" t="s">
        <v>186</v>
      </c>
      <c r="M39" s="0" t="s">
        <v>272</v>
      </c>
      <c r="N39" s="0" t="s">
        <v>273</v>
      </c>
      <c r="O39" s="0" t="s">
        <v>274</v>
      </c>
      <c r="Q39" s="0" t="s">
        <v>130</v>
      </c>
      <c r="R39" s="0" t="s">
        <v>138</v>
      </c>
      <c r="S39" s="14">
        <v>0</v>
      </c>
      <c r="T39" s="0" t="s">
        <v>314</v>
      </c>
      <c r="U39" s="0" t="s">
        <v>138</v>
      </c>
      <c r="V39" s="14" t="s">
        <v>138</v>
      </c>
      <c r="W39" s="0" t="s">
        <v>138</v>
      </c>
      <c r="X39" s="14" t="s">
        <v>138</v>
      </c>
      <c r="Y39" s="0" t="s">
        <v>138</v>
      </c>
      <c r="Z39" s="14" t="s">
        <v>138</v>
      </c>
      <c r="AA39" s="0" t="s">
        <v>138</v>
      </c>
      <c r="AB39" s="14" t="s">
        <v>138</v>
      </c>
      <c r="AD39" s="0" t="s">
        <v>138</v>
      </c>
      <c r="AF39" s="0">
        <v>0</v>
      </c>
      <c r="AG39" s="0">
        <v>0</v>
      </c>
      <c r="AH39" s="0" t="s">
        <v>140</v>
      </c>
      <c r="AI39" s="0" t="s">
        <v>138</v>
      </c>
      <c r="AL39" s="14"/>
      <c r="AN39" s="14"/>
      <c r="AQ39" s="0" t="s">
        <v>130</v>
      </c>
      <c r="AR39" s="0" t="s">
        <v>130</v>
      </c>
      <c r="AS39" s="0" t="s">
        <v>130</v>
      </c>
      <c r="AT39" s="0" t="s">
        <v>130</v>
      </c>
      <c r="AU39" s="0" t="s">
        <v>130</v>
      </c>
      <c r="AV39" s="0" t="s">
        <v>130</v>
      </c>
      <c r="AW39" s="0" t="s">
        <v>130</v>
      </c>
      <c r="AX39" s="0" t="s">
        <v>130</v>
      </c>
      <c r="AY39" s="0" t="s">
        <v>130</v>
      </c>
      <c r="AZ39" s="0" t="s">
        <v>130</v>
      </c>
      <c r="BA39" s="0" t="s">
        <v>130</v>
      </c>
      <c r="BB39" s="0" t="s">
        <v>130</v>
      </c>
      <c r="BC39" s="0" t="s">
        <v>130</v>
      </c>
      <c r="BD39" s="0" t="s">
        <v>130</v>
      </c>
      <c r="BE39" s="0" t="s">
        <v>130</v>
      </c>
      <c r="BF39" s="0" t="s">
        <v>130</v>
      </c>
      <c r="BG39" s="0" t="s">
        <v>130</v>
      </c>
      <c r="BH39" s="0" t="s">
        <v>130</v>
      </c>
      <c r="BI39" s="0" t="s">
        <v>130</v>
      </c>
      <c r="BJ39" s="0" t="s">
        <v>130</v>
      </c>
      <c r="BK39" s="0" t="s">
        <v>130</v>
      </c>
      <c r="BL39" s="0" t="s">
        <v>130</v>
      </c>
      <c r="BM39" s="0" t="s">
        <v>130</v>
      </c>
      <c r="BN39" s="0" t="s">
        <v>130</v>
      </c>
      <c r="BO39" s="0" t="s">
        <v>130</v>
      </c>
      <c r="BP39" s="0" t="s">
        <v>130</v>
      </c>
      <c r="BQ39" s="0" t="s">
        <v>130</v>
      </c>
      <c r="BR39" s="0" t="s">
        <v>130</v>
      </c>
      <c r="BS39" s="0" t="s">
        <v>130</v>
      </c>
      <c r="BT39" s="0" t="s">
        <v>130</v>
      </c>
      <c r="BU39" s="0" t="s">
        <v>130</v>
      </c>
      <c r="BV39" s="0" t="s">
        <v>130</v>
      </c>
      <c r="BW39" s="0" t="s">
        <v>130</v>
      </c>
      <c r="BX39" s="0" t="s">
        <v>130</v>
      </c>
      <c r="BY39" s="0" t="s">
        <v>130</v>
      </c>
      <c r="BZ39" s="0" t="s">
        <v>130</v>
      </c>
      <c r="CA39" s="0" t="s">
        <v>130</v>
      </c>
      <c r="CB39" s="0" t="s">
        <v>130</v>
      </c>
      <c r="CC39" s="0" t="s">
        <v>130</v>
      </c>
      <c r="CD39" s="0" t="s">
        <v>130</v>
      </c>
      <c r="CE39" s="0" t="s">
        <v>130</v>
      </c>
      <c r="CF39" s="0" t="s">
        <v>130</v>
      </c>
      <c r="CG39" s="0" t="s">
        <v>130</v>
      </c>
      <c r="CH39" s="0" t="s">
        <v>130</v>
      </c>
      <c r="CI39" s="0" t="s">
        <v>130</v>
      </c>
      <c r="CJ39" s="0" t="s">
        <v>130</v>
      </c>
      <c r="CK39" s="0" t="s">
        <v>130</v>
      </c>
      <c r="CL39" s="0" t="s">
        <v>130</v>
      </c>
      <c r="CM39" s="0" t="s">
        <v>130</v>
      </c>
      <c r="CN39" s="0" t="s">
        <v>130</v>
      </c>
      <c r="CO39" s="0" t="s">
        <v>130</v>
      </c>
      <c r="CP39" s="0" t="s">
        <v>130</v>
      </c>
      <c r="CQ39" s="0" t="s">
        <v>130</v>
      </c>
      <c r="CR39" s="0" t="s">
        <v>130</v>
      </c>
      <c r="CS39" s="0" t="s">
        <v>130</v>
      </c>
      <c r="CT39" s="0" t="s">
        <v>315</v>
      </c>
    </row>
    <row r="40">
      <c r="A40" s="14">
        <v>111124</v>
      </c>
      <c r="B40" s="0" t="s">
        <v>316</v>
      </c>
      <c r="C40" s="16">
        <f>HYPERLINK("https://eosportal.federatedhermes.com/companies/Q29tcGFueQppNzY3MDM=", "Ashtead Group PLC")</f>
      </c>
      <c r="D40" s="0" t="s">
        <v>25</v>
      </c>
      <c r="E40" s="0" t="s">
        <v>317</v>
      </c>
      <c r="F40" s="16">
        <f>HYPERLINK("https://eosportal.federatedhermes.com/engagements/RW5nYWdlbWVudAppMTgxOTU=", "Remuneration policy")</f>
      </c>
      <c r="G40" s="14" t="s">
        <v>318</v>
      </c>
      <c r="H40" s="0" t="s">
        <v>130</v>
      </c>
      <c r="I40" s="14" t="s">
        <v>319</v>
      </c>
      <c r="J40" s="0" t="s">
        <v>145</v>
      </c>
      <c r="K40" s="0" t="s">
        <v>146</v>
      </c>
      <c r="L40" s="0" t="s">
        <v>147</v>
      </c>
      <c r="M40" s="0" t="s">
        <v>272</v>
      </c>
      <c r="N40" s="0" t="s">
        <v>273</v>
      </c>
      <c r="O40" s="0" t="s">
        <v>176</v>
      </c>
      <c r="Q40" s="0" t="s">
        <v>130</v>
      </c>
      <c r="R40" s="0" t="s">
        <v>138</v>
      </c>
      <c r="S40" s="14">
        <v>0</v>
      </c>
      <c r="T40" s="0" t="s">
        <v>320</v>
      </c>
      <c r="U40" s="0" t="s">
        <v>138</v>
      </c>
      <c r="V40" s="14" t="s">
        <v>138</v>
      </c>
      <c r="W40" s="0" t="s">
        <v>138</v>
      </c>
      <c r="X40" s="14" t="s">
        <v>138</v>
      </c>
      <c r="Y40" s="0" t="s">
        <v>138</v>
      </c>
      <c r="Z40" s="14" t="s">
        <v>138</v>
      </c>
      <c r="AA40" s="0" t="s">
        <v>138</v>
      </c>
      <c r="AB40" s="14" t="s">
        <v>138</v>
      </c>
      <c r="AD40" s="0" t="s">
        <v>138</v>
      </c>
      <c r="AF40" s="0">
        <v>0</v>
      </c>
      <c r="AG40" s="0">
        <v>0</v>
      </c>
      <c r="AH40" s="0" t="s">
        <v>140</v>
      </c>
      <c r="AI40" s="0" t="s">
        <v>138</v>
      </c>
      <c r="AL40" s="14"/>
      <c r="AN40" s="14"/>
      <c r="AQ40" s="0" t="s">
        <v>130</v>
      </c>
      <c r="AR40" s="0" t="s">
        <v>130</v>
      </c>
      <c r="AS40" s="0" t="s">
        <v>130</v>
      </c>
      <c r="AT40" s="0" t="s">
        <v>130</v>
      </c>
      <c r="AU40" s="0" t="s">
        <v>130</v>
      </c>
      <c r="AV40" s="0" t="s">
        <v>130</v>
      </c>
      <c r="AW40" s="0" t="s">
        <v>130</v>
      </c>
      <c r="AX40" s="0" t="s">
        <v>130</v>
      </c>
      <c r="AY40" s="0" t="s">
        <v>130</v>
      </c>
      <c r="AZ40" s="0" t="s">
        <v>130</v>
      </c>
      <c r="BA40" s="0" t="s">
        <v>130</v>
      </c>
      <c r="BB40" s="0" t="s">
        <v>130</v>
      </c>
      <c r="BC40" s="0" t="s">
        <v>130</v>
      </c>
      <c r="BD40" s="0" t="s">
        <v>130</v>
      </c>
      <c r="BE40" s="0" t="s">
        <v>130</v>
      </c>
      <c r="BF40" s="0" t="s">
        <v>130</v>
      </c>
      <c r="BG40" s="0" t="s">
        <v>130</v>
      </c>
      <c r="BH40" s="0" t="s">
        <v>130</v>
      </c>
      <c r="BI40" s="0" t="s">
        <v>130</v>
      </c>
      <c r="BJ40" s="0" t="s">
        <v>130</v>
      </c>
      <c r="BK40" s="0" t="s">
        <v>130</v>
      </c>
      <c r="BL40" s="0" t="s">
        <v>130</v>
      </c>
      <c r="BM40" s="0" t="s">
        <v>130</v>
      </c>
      <c r="BN40" s="0" t="s">
        <v>130</v>
      </c>
      <c r="BO40" s="0" t="s">
        <v>130</v>
      </c>
      <c r="BP40" s="0" t="s">
        <v>130</v>
      </c>
      <c r="BQ40" s="0" t="s">
        <v>130</v>
      </c>
      <c r="BR40" s="0" t="s">
        <v>130</v>
      </c>
      <c r="BS40" s="0" t="s">
        <v>130</v>
      </c>
      <c r="BT40" s="0" t="s">
        <v>130</v>
      </c>
      <c r="BU40" s="0" t="s">
        <v>130</v>
      </c>
      <c r="BV40" s="0" t="s">
        <v>130</v>
      </c>
      <c r="BW40" s="0" t="s">
        <v>130</v>
      </c>
      <c r="BX40" s="0" t="s">
        <v>130</v>
      </c>
      <c r="BY40" s="0" t="s">
        <v>130</v>
      </c>
      <c r="BZ40" s="0" t="s">
        <v>130</v>
      </c>
      <c r="CA40" s="0" t="s">
        <v>130</v>
      </c>
      <c r="CB40" s="0" t="s">
        <v>130</v>
      </c>
      <c r="CC40" s="0" t="s">
        <v>130</v>
      </c>
      <c r="CD40" s="0" t="s">
        <v>130</v>
      </c>
      <c r="CE40" s="0" t="s">
        <v>130</v>
      </c>
      <c r="CF40" s="0" t="s">
        <v>130</v>
      </c>
      <c r="CG40" s="0" t="s">
        <v>130</v>
      </c>
      <c r="CH40" s="0" t="s">
        <v>130</v>
      </c>
      <c r="CI40" s="0" t="s">
        <v>130</v>
      </c>
      <c r="CJ40" s="0" t="s">
        <v>130</v>
      </c>
      <c r="CK40" s="0" t="s">
        <v>130</v>
      </c>
      <c r="CL40" s="0" t="s">
        <v>130</v>
      </c>
      <c r="CM40" s="0" t="s">
        <v>130</v>
      </c>
      <c r="CN40" s="0" t="s">
        <v>130</v>
      </c>
      <c r="CO40" s="0" t="s">
        <v>130</v>
      </c>
      <c r="CP40" s="0" t="s">
        <v>130</v>
      </c>
      <c r="CQ40" s="0" t="s">
        <v>130</v>
      </c>
      <c r="CR40" s="0" t="s">
        <v>130</v>
      </c>
      <c r="CS40" s="0" t="s">
        <v>130</v>
      </c>
      <c r="CT40" s="0" t="s">
        <v>321</v>
      </c>
    </row>
    <row r="41">
      <c r="A41" s="14">
        <v>111124</v>
      </c>
      <c r="B41" s="0" t="s">
        <v>316</v>
      </c>
      <c r="C41" s="16">
        <f>HYPERLINK("https://eosportal.federatedhermes.com/companies/Q29tcGFueQppNzY3MDM=", "Ashtead Group PLC")</f>
      </c>
      <c r="D41" s="0" t="s">
        <v>25</v>
      </c>
      <c r="E41" s="0" t="s">
        <v>322</v>
      </c>
      <c r="F41" s="16">
        <f>HYPERLINK("https://eosportal.federatedhermes.com/engagements/RW5nYWdlbWVudAppMTgxOTY=", "Gender diversity")</f>
      </c>
      <c r="G41" s="14" t="s">
        <v>323</v>
      </c>
      <c r="H41" s="0" t="s">
        <v>130</v>
      </c>
      <c r="I41" s="14" t="s">
        <v>319</v>
      </c>
      <c r="J41" s="0" t="s">
        <v>153</v>
      </c>
      <c r="K41" s="0" t="s">
        <v>154</v>
      </c>
      <c r="L41" s="0" t="s">
        <v>268</v>
      </c>
      <c r="M41" s="0" t="s">
        <v>272</v>
      </c>
      <c r="N41" s="0" t="s">
        <v>273</v>
      </c>
      <c r="O41" s="0" t="s">
        <v>176</v>
      </c>
      <c r="Q41" s="0" t="s">
        <v>130</v>
      </c>
      <c r="R41" s="0" t="s">
        <v>138</v>
      </c>
      <c r="S41" s="14">
        <v>0</v>
      </c>
      <c r="T41" s="0" t="s">
        <v>288</v>
      </c>
      <c r="U41" s="0" t="s">
        <v>138</v>
      </c>
      <c r="V41" s="14" t="s">
        <v>138</v>
      </c>
      <c r="W41" s="0" t="s">
        <v>138</v>
      </c>
      <c r="X41" s="14" t="s">
        <v>138</v>
      </c>
      <c r="Y41" s="0" t="s">
        <v>138</v>
      </c>
      <c r="Z41" s="14" t="s">
        <v>138</v>
      </c>
      <c r="AA41" s="0" t="s">
        <v>138</v>
      </c>
      <c r="AB41" s="14" t="s">
        <v>138</v>
      </c>
      <c r="AD41" s="0" t="s">
        <v>138</v>
      </c>
      <c r="AF41" s="0">
        <v>0</v>
      </c>
      <c r="AG41" s="0">
        <v>0</v>
      </c>
      <c r="AH41" s="0" t="s">
        <v>140</v>
      </c>
      <c r="AI41" s="0" t="s">
        <v>138</v>
      </c>
      <c r="AL41" s="14"/>
      <c r="AN41" s="14"/>
      <c r="AQ41" s="0" t="s">
        <v>130</v>
      </c>
      <c r="AR41" s="0" t="s">
        <v>130</v>
      </c>
      <c r="AS41" s="0" t="s">
        <v>130</v>
      </c>
      <c r="AT41" s="0" t="s">
        <v>130</v>
      </c>
      <c r="AU41" s="0" t="s">
        <v>141</v>
      </c>
      <c r="AV41" s="0" t="s">
        <v>130</v>
      </c>
      <c r="AW41" s="0" t="s">
        <v>130</v>
      </c>
      <c r="AX41" s="0" t="s">
        <v>130</v>
      </c>
      <c r="AY41" s="0" t="s">
        <v>130</v>
      </c>
      <c r="AZ41" s="0" t="s">
        <v>130</v>
      </c>
      <c r="BA41" s="0" t="s">
        <v>130</v>
      </c>
      <c r="BB41" s="0" t="s">
        <v>130</v>
      </c>
      <c r="BC41" s="0" t="s">
        <v>130</v>
      </c>
      <c r="BD41" s="0" t="s">
        <v>130</v>
      </c>
      <c r="BE41" s="0" t="s">
        <v>130</v>
      </c>
      <c r="BF41" s="0" t="s">
        <v>130</v>
      </c>
      <c r="BG41" s="0" t="s">
        <v>130</v>
      </c>
      <c r="BH41" s="0" t="s">
        <v>130</v>
      </c>
      <c r="BI41" s="0" t="s">
        <v>130</v>
      </c>
      <c r="BJ41" s="0" t="s">
        <v>130</v>
      </c>
      <c r="BK41" s="0" t="s">
        <v>130</v>
      </c>
      <c r="BL41" s="0" t="s">
        <v>130</v>
      </c>
      <c r="BM41" s="0" t="s">
        <v>130</v>
      </c>
      <c r="BN41" s="0" t="s">
        <v>130</v>
      </c>
      <c r="BO41" s="0" t="s">
        <v>130</v>
      </c>
      <c r="BP41" s="0" t="s">
        <v>130</v>
      </c>
      <c r="BQ41" s="0" t="s">
        <v>130</v>
      </c>
      <c r="BR41" s="0" t="s">
        <v>130</v>
      </c>
      <c r="BS41" s="0" t="s">
        <v>130</v>
      </c>
      <c r="BT41" s="0" t="s">
        <v>130</v>
      </c>
      <c r="BU41" s="0" t="s">
        <v>130</v>
      </c>
      <c r="BV41" s="0" t="s">
        <v>130</v>
      </c>
      <c r="BW41" s="0" t="s">
        <v>130</v>
      </c>
      <c r="BX41" s="0" t="s">
        <v>130</v>
      </c>
      <c r="BY41" s="0" t="s">
        <v>130</v>
      </c>
      <c r="BZ41" s="0" t="s">
        <v>130</v>
      </c>
      <c r="CA41" s="0" t="s">
        <v>130</v>
      </c>
      <c r="CB41" s="0" t="s">
        <v>130</v>
      </c>
      <c r="CC41" s="0" t="s">
        <v>130</v>
      </c>
      <c r="CD41" s="0" t="s">
        <v>130</v>
      </c>
      <c r="CE41" s="0" t="s">
        <v>130</v>
      </c>
      <c r="CF41" s="0" t="s">
        <v>130</v>
      </c>
      <c r="CG41" s="0" t="s">
        <v>130</v>
      </c>
      <c r="CH41" s="0" t="s">
        <v>130</v>
      </c>
      <c r="CI41" s="0" t="s">
        <v>130</v>
      </c>
      <c r="CJ41" s="0" t="s">
        <v>130</v>
      </c>
      <c r="CK41" s="0" t="s">
        <v>141</v>
      </c>
      <c r="CL41" s="0" t="s">
        <v>130</v>
      </c>
      <c r="CM41" s="0" t="s">
        <v>130</v>
      </c>
      <c r="CN41" s="0" t="s">
        <v>130</v>
      </c>
      <c r="CO41" s="0" t="s">
        <v>130</v>
      </c>
      <c r="CP41" s="0" t="s">
        <v>130</v>
      </c>
      <c r="CQ41" s="0" t="s">
        <v>130</v>
      </c>
      <c r="CR41" s="0" t="s">
        <v>130</v>
      </c>
      <c r="CS41" s="0" t="s">
        <v>130</v>
      </c>
      <c r="CT41" s="0" t="s">
        <v>324</v>
      </c>
    </row>
    <row r="42">
      <c r="A42" s="14">
        <v>111124</v>
      </c>
      <c r="B42" s="0" t="s">
        <v>316</v>
      </c>
      <c r="C42" s="16">
        <f>HYPERLINK("https://eosportal.federatedhermes.com/companies/Q29tcGFueQppNzY3MDM=", "Ashtead Group PLC")</f>
      </c>
      <c r="D42" s="0" t="s">
        <v>25</v>
      </c>
      <c r="E42" s="0" t="s">
        <v>325</v>
      </c>
      <c r="F42" s="16">
        <f>HYPERLINK("https://eosportal.federatedhermes.com/engagements/RW5nYWdlbWVudAppMTgxOTc=", "Ethnic Diversity")</f>
      </c>
      <c r="G42" s="14" t="s">
        <v>326</v>
      </c>
      <c r="H42" s="0" t="s">
        <v>130</v>
      </c>
      <c r="I42" s="14" t="s">
        <v>319</v>
      </c>
      <c r="J42" s="0" t="s">
        <v>145</v>
      </c>
      <c r="K42" s="0" t="s">
        <v>164</v>
      </c>
      <c r="L42" s="0" t="s">
        <v>165</v>
      </c>
      <c r="M42" s="0" t="s">
        <v>272</v>
      </c>
      <c r="N42" s="0" t="s">
        <v>273</v>
      </c>
      <c r="O42" s="0" t="s">
        <v>176</v>
      </c>
      <c r="Q42" s="0" t="s">
        <v>130</v>
      </c>
      <c r="R42" s="0" t="s">
        <v>138</v>
      </c>
      <c r="S42" s="14">
        <v>0</v>
      </c>
      <c r="T42" s="0" t="s">
        <v>327</v>
      </c>
      <c r="U42" s="0" t="s">
        <v>138</v>
      </c>
      <c r="V42" s="14" t="s">
        <v>138</v>
      </c>
      <c r="W42" s="0" t="s">
        <v>138</v>
      </c>
      <c r="X42" s="14" t="s">
        <v>138</v>
      </c>
      <c r="Y42" s="0" t="s">
        <v>138</v>
      </c>
      <c r="Z42" s="14" t="s">
        <v>138</v>
      </c>
      <c r="AA42" s="0" t="s">
        <v>138</v>
      </c>
      <c r="AB42" s="14" t="s">
        <v>138</v>
      </c>
      <c r="AD42" s="0" t="s">
        <v>138</v>
      </c>
      <c r="AF42" s="0">
        <v>0</v>
      </c>
      <c r="AG42" s="0">
        <v>0</v>
      </c>
      <c r="AH42" s="0" t="s">
        <v>140</v>
      </c>
      <c r="AI42" s="0" t="s">
        <v>138</v>
      </c>
      <c r="AL42" s="14"/>
      <c r="AN42" s="14"/>
      <c r="AQ42" s="0" t="s">
        <v>130</v>
      </c>
      <c r="AR42" s="0" t="s">
        <v>130</v>
      </c>
      <c r="AS42" s="0" t="s">
        <v>130</v>
      </c>
      <c r="AT42" s="0" t="s">
        <v>130</v>
      </c>
      <c r="AU42" s="0" t="s">
        <v>141</v>
      </c>
      <c r="AV42" s="0" t="s">
        <v>130</v>
      </c>
      <c r="AW42" s="0" t="s">
        <v>130</v>
      </c>
      <c r="AX42" s="0" t="s">
        <v>130</v>
      </c>
      <c r="AY42" s="0" t="s">
        <v>130</v>
      </c>
      <c r="AZ42" s="0" t="s">
        <v>141</v>
      </c>
      <c r="BA42" s="0" t="s">
        <v>130</v>
      </c>
      <c r="BB42" s="0" t="s">
        <v>130</v>
      </c>
      <c r="BC42" s="0" t="s">
        <v>130</v>
      </c>
      <c r="BD42" s="0" t="s">
        <v>130</v>
      </c>
      <c r="BE42" s="0" t="s">
        <v>130</v>
      </c>
      <c r="BF42" s="0" t="s">
        <v>130</v>
      </c>
      <c r="BG42" s="0" t="s">
        <v>130</v>
      </c>
      <c r="BH42" s="0" t="s">
        <v>130</v>
      </c>
      <c r="BI42" s="0" t="s">
        <v>130</v>
      </c>
      <c r="BJ42" s="0" t="s">
        <v>130</v>
      </c>
      <c r="BK42" s="0" t="s">
        <v>130</v>
      </c>
      <c r="BL42" s="0" t="s">
        <v>130</v>
      </c>
      <c r="BM42" s="0" t="s">
        <v>130</v>
      </c>
      <c r="BN42" s="0" t="s">
        <v>130</v>
      </c>
      <c r="BO42" s="0" t="s">
        <v>130</v>
      </c>
      <c r="BP42" s="0" t="s">
        <v>130</v>
      </c>
      <c r="BQ42" s="0" t="s">
        <v>130</v>
      </c>
      <c r="BR42" s="0" t="s">
        <v>130</v>
      </c>
      <c r="BS42" s="0" t="s">
        <v>130</v>
      </c>
      <c r="BT42" s="0" t="s">
        <v>130</v>
      </c>
      <c r="BU42" s="0" t="s">
        <v>130</v>
      </c>
      <c r="BV42" s="0" t="s">
        <v>130</v>
      </c>
      <c r="BW42" s="0" t="s">
        <v>130</v>
      </c>
      <c r="BX42" s="0" t="s">
        <v>130</v>
      </c>
      <c r="BY42" s="0" t="s">
        <v>130</v>
      </c>
      <c r="BZ42" s="0" t="s">
        <v>130</v>
      </c>
      <c r="CA42" s="0" t="s">
        <v>130</v>
      </c>
      <c r="CB42" s="0" t="s">
        <v>130</v>
      </c>
      <c r="CC42" s="0" t="s">
        <v>130</v>
      </c>
      <c r="CD42" s="0" t="s">
        <v>130</v>
      </c>
      <c r="CE42" s="0" t="s">
        <v>130</v>
      </c>
      <c r="CF42" s="0" t="s">
        <v>130</v>
      </c>
      <c r="CG42" s="0" t="s">
        <v>130</v>
      </c>
      <c r="CH42" s="0" t="s">
        <v>130</v>
      </c>
      <c r="CI42" s="0" t="s">
        <v>130</v>
      </c>
      <c r="CJ42" s="0" t="s">
        <v>130</v>
      </c>
      <c r="CK42" s="0" t="s">
        <v>130</v>
      </c>
      <c r="CL42" s="0" t="s">
        <v>130</v>
      </c>
      <c r="CM42" s="0" t="s">
        <v>130</v>
      </c>
      <c r="CN42" s="0" t="s">
        <v>130</v>
      </c>
      <c r="CO42" s="0" t="s">
        <v>130</v>
      </c>
      <c r="CP42" s="0" t="s">
        <v>130</v>
      </c>
      <c r="CQ42" s="0" t="s">
        <v>130</v>
      </c>
      <c r="CR42" s="0" t="s">
        <v>130</v>
      </c>
      <c r="CS42" s="0" t="s">
        <v>130</v>
      </c>
      <c r="CT42" s="0" t="s">
        <v>328</v>
      </c>
    </row>
    <row r="43">
      <c r="A43" s="14">
        <v>111129</v>
      </c>
      <c r="B43" s="0" t="s">
        <v>329</v>
      </c>
      <c r="C43" s="16">
        <f>HYPERLINK("https://eosportal.federatedhermes.com/companies/Q29tcGFueQppNzU3MjA=", "Associated British Foods PLC")</f>
      </c>
      <c r="D43" s="0" t="s">
        <v>25</v>
      </c>
      <c r="E43" s="0" t="s">
        <v>330</v>
      </c>
      <c r="F43" s="16">
        <f>HYPERLINK("https://eosportal.federatedhermes.com/engagements/RW5nYWdlbWVudAppMTgxOTg=", "Science-based Target Setting")</f>
      </c>
      <c r="G43" s="14" t="s">
        <v>331</v>
      </c>
      <c r="H43" s="0" t="s">
        <v>141</v>
      </c>
      <c r="I43" s="14" t="s">
        <v>191</v>
      </c>
      <c r="J43" s="0" t="s">
        <v>197</v>
      </c>
      <c r="K43" s="0" t="s">
        <v>198</v>
      </c>
      <c r="L43" s="0" t="s">
        <v>216</v>
      </c>
      <c r="M43" s="0" t="s">
        <v>272</v>
      </c>
      <c r="N43" s="0" t="s">
        <v>273</v>
      </c>
      <c r="O43" s="0" t="s">
        <v>332</v>
      </c>
      <c r="Q43" s="0" t="s">
        <v>130</v>
      </c>
      <c r="R43" s="0" t="s">
        <v>138</v>
      </c>
      <c r="S43" s="14">
        <v>0</v>
      </c>
      <c r="T43" s="0" t="s">
        <v>333</v>
      </c>
      <c r="U43" s="0" t="s">
        <v>138</v>
      </c>
      <c r="V43" s="14" t="s">
        <v>138</v>
      </c>
      <c r="W43" s="0" t="s">
        <v>138</v>
      </c>
      <c r="X43" s="14" t="s">
        <v>138</v>
      </c>
      <c r="Y43" s="0" t="s">
        <v>138</v>
      </c>
      <c r="Z43" s="14" t="s">
        <v>138</v>
      </c>
      <c r="AA43" s="0" t="s">
        <v>138</v>
      </c>
      <c r="AB43" s="14" t="s">
        <v>138</v>
      </c>
      <c r="AD43" s="0" t="s">
        <v>138</v>
      </c>
      <c r="AF43" s="0">
        <v>0</v>
      </c>
      <c r="AG43" s="0">
        <v>0</v>
      </c>
      <c r="AH43" s="0" t="s">
        <v>140</v>
      </c>
      <c r="AI43" s="0" t="s">
        <v>138</v>
      </c>
      <c r="AL43" s="14"/>
      <c r="AN43" s="14"/>
      <c r="AQ43" s="0" t="s">
        <v>130</v>
      </c>
      <c r="AR43" s="0" t="s">
        <v>130</v>
      </c>
      <c r="AS43" s="0" t="s">
        <v>130</v>
      </c>
      <c r="AT43" s="0" t="s">
        <v>130</v>
      </c>
      <c r="AU43" s="0" t="s">
        <v>130</v>
      </c>
      <c r="AV43" s="0" t="s">
        <v>130</v>
      </c>
      <c r="AW43" s="0" t="s">
        <v>141</v>
      </c>
      <c r="AX43" s="0" t="s">
        <v>130</v>
      </c>
      <c r="AY43" s="0" t="s">
        <v>130</v>
      </c>
      <c r="AZ43" s="0" t="s">
        <v>130</v>
      </c>
      <c r="BA43" s="0" t="s">
        <v>130</v>
      </c>
      <c r="BB43" s="0" t="s">
        <v>130</v>
      </c>
      <c r="BC43" s="0" t="s">
        <v>141</v>
      </c>
      <c r="BD43" s="0" t="s">
        <v>130</v>
      </c>
      <c r="BE43" s="0" t="s">
        <v>130</v>
      </c>
      <c r="BF43" s="0" t="s">
        <v>130</v>
      </c>
      <c r="BG43" s="0" t="s">
        <v>130</v>
      </c>
      <c r="BH43" s="0" t="s">
        <v>141</v>
      </c>
      <c r="BI43" s="0" t="s">
        <v>141</v>
      </c>
      <c r="BJ43" s="0" t="s">
        <v>141</v>
      </c>
      <c r="BK43" s="0" t="s">
        <v>130</v>
      </c>
      <c r="BL43" s="0" t="s">
        <v>130</v>
      </c>
      <c r="BM43" s="0" t="s">
        <v>130</v>
      </c>
      <c r="BN43" s="0" t="s">
        <v>130</v>
      </c>
      <c r="BO43" s="0" t="s">
        <v>130</v>
      </c>
      <c r="BP43" s="0" t="s">
        <v>130</v>
      </c>
      <c r="BQ43" s="0" t="s">
        <v>130</v>
      </c>
      <c r="BR43" s="0" t="s">
        <v>130</v>
      </c>
      <c r="BS43" s="0" t="s">
        <v>130</v>
      </c>
      <c r="BT43" s="0" t="s">
        <v>130</v>
      </c>
      <c r="BU43" s="0" t="s">
        <v>130</v>
      </c>
      <c r="BV43" s="0" t="s">
        <v>141</v>
      </c>
      <c r="BW43" s="0" t="s">
        <v>141</v>
      </c>
      <c r="BX43" s="0" t="s">
        <v>130</v>
      </c>
      <c r="BY43" s="0" t="s">
        <v>130</v>
      </c>
      <c r="BZ43" s="0" t="s">
        <v>130</v>
      </c>
      <c r="CA43" s="0" t="s">
        <v>130</v>
      </c>
      <c r="CB43" s="0" t="s">
        <v>130</v>
      </c>
      <c r="CC43" s="0" t="s">
        <v>130</v>
      </c>
      <c r="CD43" s="0" t="s">
        <v>130</v>
      </c>
      <c r="CE43" s="0" t="s">
        <v>130</v>
      </c>
      <c r="CF43" s="0" t="s">
        <v>130</v>
      </c>
      <c r="CG43" s="0" t="s">
        <v>130</v>
      </c>
      <c r="CH43" s="0" t="s">
        <v>130</v>
      </c>
      <c r="CI43" s="0" t="s">
        <v>130</v>
      </c>
      <c r="CJ43" s="0" t="s">
        <v>130</v>
      </c>
      <c r="CK43" s="0" t="s">
        <v>130</v>
      </c>
      <c r="CL43" s="0" t="s">
        <v>130</v>
      </c>
      <c r="CM43" s="0" t="s">
        <v>130</v>
      </c>
      <c r="CN43" s="0" t="s">
        <v>130</v>
      </c>
      <c r="CO43" s="0" t="s">
        <v>130</v>
      </c>
      <c r="CP43" s="0" t="s">
        <v>130</v>
      </c>
      <c r="CQ43" s="0" t="s">
        <v>130</v>
      </c>
      <c r="CR43" s="0" t="s">
        <v>130</v>
      </c>
      <c r="CS43" s="0" t="s">
        <v>130</v>
      </c>
      <c r="CT43" s="0" t="s">
        <v>334</v>
      </c>
    </row>
    <row r="44">
      <c r="A44" s="14">
        <v>111129</v>
      </c>
      <c r="B44" s="0" t="s">
        <v>329</v>
      </c>
      <c r="C44" s="16">
        <f>HYPERLINK("https://eosportal.federatedhermes.com/companies/Q29tcGFueQppNzU3MjA=", "Associated British Foods PLC")</f>
      </c>
      <c r="D44" s="0" t="s">
        <v>25</v>
      </c>
      <c r="E44" s="0" t="s">
        <v>335</v>
      </c>
      <c r="F44" s="16">
        <f>HYPERLINK("https://eosportal.federatedhermes.com/engagements/RW5nYWdlbWVudAppMTgxOTk=", "Water risks")</f>
      </c>
      <c r="G44" s="14" t="s">
        <v>336</v>
      </c>
      <c r="H44" s="0" t="s">
        <v>141</v>
      </c>
      <c r="I44" s="14" t="s">
        <v>191</v>
      </c>
      <c r="J44" s="0" t="s">
        <v>197</v>
      </c>
      <c r="K44" s="0" t="s">
        <v>337</v>
      </c>
      <c r="L44" s="0" t="s">
        <v>338</v>
      </c>
      <c r="M44" s="0" t="s">
        <v>272</v>
      </c>
      <c r="N44" s="0" t="s">
        <v>273</v>
      </c>
      <c r="O44" s="0" t="s">
        <v>332</v>
      </c>
      <c r="Q44" s="0" t="s">
        <v>141</v>
      </c>
      <c r="R44" s="0" t="s">
        <v>138</v>
      </c>
      <c r="S44" s="14">
        <v>1</v>
      </c>
      <c r="T44" s="0" t="s">
        <v>333</v>
      </c>
      <c r="U44" s="0" t="s">
        <v>138</v>
      </c>
      <c r="V44" s="14" t="s">
        <v>138</v>
      </c>
      <c r="W44" s="0" t="s">
        <v>138</v>
      </c>
      <c r="X44" s="14" t="s">
        <v>138</v>
      </c>
      <c r="Y44" s="0" t="s">
        <v>138</v>
      </c>
      <c r="Z44" s="14" t="s">
        <v>138</v>
      </c>
      <c r="AA44" s="0" t="s">
        <v>138</v>
      </c>
      <c r="AB44" s="14" t="s">
        <v>138</v>
      </c>
      <c r="AD44" s="0" t="s">
        <v>138</v>
      </c>
      <c r="AF44" s="0">
        <v>0</v>
      </c>
      <c r="AG44" s="0">
        <v>0</v>
      </c>
      <c r="AH44" s="0" t="s">
        <v>140</v>
      </c>
      <c r="AI44" s="0" t="s">
        <v>138</v>
      </c>
      <c r="AK44" s="0" t="s">
        <v>339</v>
      </c>
      <c r="AL44" s="14"/>
      <c r="AN44" s="14"/>
      <c r="AQ44" s="0" t="s">
        <v>130</v>
      </c>
      <c r="AR44" s="0" t="s">
        <v>141</v>
      </c>
      <c r="AS44" s="0" t="s">
        <v>130</v>
      </c>
      <c r="AT44" s="0" t="s">
        <v>130</v>
      </c>
      <c r="AU44" s="0" t="s">
        <v>130</v>
      </c>
      <c r="AV44" s="0" t="s">
        <v>141</v>
      </c>
      <c r="AW44" s="0" t="s">
        <v>130</v>
      </c>
      <c r="AX44" s="0" t="s">
        <v>130</v>
      </c>
      <c r="AY44" s="0" t="s">
        <v>130</v>
      </c>
      <c r="AZ44" s="0" t="s">
        <v>130</v>
      </c>
      <c r="BA44" s="0" t="s">
        <v>130</v>
      </c>
      <c r="BB44" s="0" t="s">
        <v>130</v>
      </c>
      <c r="BC44" s="0" t="s">
        <v>130</v>
      </c>
      <c r="BD44" s="0" t="s">
        <v>130</v>
      </c>
      <c r="BE44" s="0" t="s">
        <v>130</v>
      </c>
      <c r="BF44" s="0" t="s">
        <v>130</v>
      </c>
      <c r="BG44" s="0" t="s">
        <v>130</v>
      </c>
      <c r="BH44" s="0" t="s">
        <v>130</v>
      </c>
      <c r="BI44" s="0" t="s">
        <v>130</v>
      </c>
      <c r="BJ44" s="0" t="s">
        <v>130</v>
      </c>
      <c r="BK44" s="0" t="s">
        <v>130</v>
      </c>
      <c r="BL44" s="0" t="s">
        <v>130</v>
      </c>
      <c r="BM44" s="0" t="s">
        <v>130</v>
      </c>
      <c r="BN44" s="0" t="s">
        <v>130</v>
      </c>
      <c r="BO44" s="0" t="s">
        <v>130</v>
      </c>
      <c r="BP44" s="0" t="s">
        <v>130</v>
      </c>
      <c r="BQ44" s="0" t="s">
        <v>130</v>
      </c>
      <c r="BR44" s="0" t="s">
        <v>130</v>
      </c>
      <c r="BS44" s="0" t="s">
        <v>130</v>
      </c>
      <c r="BT44" s="0" t="s">
        <v>130</v>
      </c>
      <c r="BU44" s="0" t="s">
        <v>130</v>
      </c>
      <c r="BV44" s="0" t="s">
        <v>130</v>
      </c>
      <c r="BW44" s="0" t="s">
        <v>130</v>
      </c>
      <c r="BX44" s="0" t="s">
        <v>141</v>
      </c>
      <c r="BY44" s="0" t="s">
        <v>130</v>
      </c>
      <c r="BZ44" s="0" t="s">
        <v>130</v>
      </c>
      <c r="CA44" s="0" t="s">
        <v>130</v>
      </c>
      <c r="CB44" s="0" t="s">
        <v>130</v>
      </c>
      <c r="CC44" s="0" t="s">
        <v>130</v>
      </c>
      <c r="CD44" s="0" t="s">
        <v>130</v>
      </c>
      <c r="CE44" s="0" t="s">
        <v>130</v>
      </c>
      <c r="CF44" s="0" t="s">
        <v>130</v>
      </c>
      <c r="CG44" s="0" t="s">
        <v>130</v>
      </c>
      <c r="CH44" s="0" t="s">
        <v>130</v>
      </c>
      <c r="CI44" s="0" t="s">
        <v>130</v>
      </c>
      <c r="CJ44" s="0" t="s">
        <v>130</v>
      </c>
      <c r="CK44" s="0" t="s">
        <v>130</v>
      </c>
      <c r="CL44" s="0" t="s">
        <v>130</v>
      </c>
      <c r="CM44" s="0" t="s">
        <v>130</v>
      </c>
      <c r="CN44" s="0" t="s">
        <v>130</v>
      </c>
      <c r="CO44" s="0" t="s">
        <v>130</v>
      </c>
      <c r="CP44" s="0" t="s">
        <v>130</v>
      </c>
      <c r="CQ44" s="0" t="s">
        <v>130</v>
      </c>
      <c r="CR44" s="0" t="s">
        <v>130</v>
      </c>
      <c r="CS44" s="0" t="s">
        <v>130</v>
      </c>
      <c r="CT44" s="0" t="s">
        <v>340</v>
      </c>
    </row>
    <row r="45">
      <c r="A45" s="14">
        <v>111129</v>
      </c>
      <c r="B45" s="0" t="s">
        <v>329</v>
      </c>
      <c r="C45" s="16">
        <f>HYPERLINK("https://eosportal.federatedhermes.com/companies/Q29tcGFueQppNzU3MjA=", "Associated British Foods PLC")</f>
      </c>
      <c r="D45" s="0" t="s">
        <v>25</v>
      </c>
      <c r="E45" s="0" t="s">
        <v>341</v>
      </c>
      <c r="F45" s="16">
        <f>HYPERLINK("https://eosportal.federatedhermes.com/engagements/RW5nYWdlbWVudAppMTgyMDA=", "Remuneration")</f>
      </c>
      <c r="G45" s="14" t="s">
        <v>342</v>
      </c>
      <c r="H45" s="0" t="s">
        <v>141</v>
      </c>
      <c r="I45" s="14" t="s">
        <v>191</v>
      </c>
      <c r="J45" s="0" t="s">
        <v>145</v>
      </c>
      <c r="K45" s="0" t="s">
        <v>146</v>
      </c>
      <c r="L45" s="0" t="s">
        <v>147</v>
      </c>
      <c r="M45" s="0" t="s">
        <v>272</v>
      </c>
      <c r="N45" s="0" t="s">
        <v>273</v>
      </c>
      <c r="O45" s="0" t="s">
        <v>332</v>
      </c>
      <c r="Q45" s="0" t="s">
        <v>141</v>
      </c>
      <c r="R45" s="0" t="s">
        <v>138</v>
      </c>
      <c r="S45" s="14">
        <v>3</v>
      </c>
      <c r="T45" s="0" t="s">
        <v>343</v>
      </c>
      <c r="U45" s="0" t="s">
        <v>138</v>
      </c>
      <c r="V45" s="14" t="s">
        <v>138</v>
      </c>
      <c r="W45" s="0" t="s">
        <v>138</v>
      </c>
      <c r="X45" s="14" t="s">
        <v>138</v>
      </c>
      <c r="Y45" s="0" t="s">
        <v>138</v>
      </c>
      <c r="Z45" s="14" t="s">
        <v>138</v>
      </c>
      <c r="AA45" s="0" t="s">
        <v>138</v>
      </c>
      <c r="AB45" s="14" t="s">
        <v>138</v>
      </c>
      <c r="AD45" s="0" t="s">
        <v>138</v>
      </c>
      <c r="AF45" s="0">
        <v>0</v>
      </c>
      <c r="AG45" s="0">
        <v>0</v>
      </c>
      <c r="AH45" s="0" t="s">
        <v>140</v>
      </c>
      <c r="AI45" s="0" t="s">
        <v>138</v>
      </c>
      <c r="AK45" s="0" t="s">
        <v>344</v>
      </c>
      <c r="AL45" s="14"/>
      <c r="AN45" s="14"/>
      <c r="AQ45" s="0" t="s">
        <v>130</v>
      </c>
      <c r="AR45" s="0" t="s">
        <v>130</v>
      </c>
      <c r="AS45" s="0" t="s">
        <v>130</v>
      </c>
      <c r="AT45" s="0" t="s">
        <v>130</v>
      </c>
      <c r="AU45" s="0" t="s">
        <v>130</v>
      </c>
      <c r="AV45" s="0" t="s">
        <v>130</v>
      </c>
      <c r="AW45" s="0" t="s">
        <v>130</v>
      </c>
      <c r="AX45" s="0" t="s">
        <v>130</v>
      </c>
      <c r="AY45" s="0" t="s">
        <v>130</v>
      </c>
      <c r="AZ45" s="0" t="s">
        <v>130</v>
      </c>
      <c r="BA45" s="0" t="s">
        <v>130</v>
      </c>
      <c r="BB45" s="0" t="s">
        <v>130</v>
      </c>
      <c r="BC45" s="0" t="s">
        <v>130</v>
      </c>
      <c r="BD45" s="0" t="s">
        <v>130</v>
      </c>
      <c r="BE45" s="0" t="s">
        <v>130</v>
      </c>
      <c r="BF45" s="0" t="s">
        <v>130</v>
      </c>
      <c r="BG45" s="0" t="s">
        <v>130</v>
      </c>
      <c r="BH45" s="0" t="s">
        <v>130</v>
      </c>
      <c r="BI45" s="0" t="s">
        <v>130</v>
      </c>
      <c r="BJ45" s="0" t="s">
        <v>130</v>
      </c>
      <c r="BK45" s="0" t="s">
        <v>130</v>
      </c>
      <c r="BL45" s="0" t="s">
        <v>130</v>
      </c>
      <c r="BM45" s="0" t="s">
        <v>130</v>
      </c>
      <c r="BN45" s="0" t="s">
        <v>130</v>
      </c>
      <c r="BO45" s="0" t="s">
        <v>130</v>
      </c>
      <c r="BP45" s="0" t="s">
        <v>130</v>
      </c>
      <c r="BQ45" s="0" t="s">
        <v>130</v>
      </c>
      <c r="BR45" s="0" t="s">
        <v>130</v>
      </c>
      <c r="BS45" s="0" t="s">
        <v>130</v>
      </c>
      <c r="BT45" s="0" t="s">
        <v>130</v>
      </c>
      <c r="BU45" s="0" t="s">
        <v>130</v>
      </c>
      <c r="BV45" s="0" t="s">
        <v>130</v>
      </c>
      <c r="BW45" s="0" t="s">
        <v>130</v>
      </c>
      <c r="BX45" s="0" t="s">
        <v>130</v>
      </c>
      <c r="BY45" s="0" t="s">
        <v>130</v>
      </c>
      <c r="BZ45" s="0" t="s">
        <v>130</v>
      </c>
      <c r="CA45" s="0" t="s">
        <v>130</v>
      </c>
      <c r="CB45" s="0" t="s">
        <v>130</v>
      </c>
      <c r="CC45" s="0" t="s">
        <v>130</v>
      </c>
      <c r="CD45" s="0" t="s">
        <v>130</v>
      </c>
      <c r="CE45" s="0" t="s">
        <v>130</v>
      </c>
      <c r="CF45" s="0" t="s">
        <v>130</v>
      </c>
      <c r="CG45" s="0" t="s">
        <v>130</v>
      </c>
      <c r="CH45" s="0" t="s">
        <v>130</v>
      </c>
      <c r="CI45" s="0" t="s">
        <v>130</v>
      </c>
      <c r="CJ45" s="0" t="s">
        <v>130</v>
      </c>
      <c r="CK45" s="0" t="s">
        <v>130</v>
      </c>
      <c r="CL45" s="0" t="s">
        <v>130</v>
      </c>
      <c r="CM45" s="0" t="s">
        <v>130</v>
      </c>
      <c r="CN45" s="0" t="s">
        <v>130</v>
      </c>
      <c r="CO45" s="0" t="s">
        <v>130</v>
      </c>
      <c r="CP45" s="0" t="s">
        <v>130</v>
      </c>
      <c r="CQ45" s="0" t="s">
        <v>130</v>
      </c>
      <c r="CR45" s="0" t="s">
        <v>130</v>
      </c>
      <c r="CS45" s="0" t="s">
        <v>130</v>
      </c>
      <c r="CT45" s="0" t="s">
        <v>345</v>
      </c>
    </row>
    <row r="46">
      <c r="A46" s="14">
        <v>111129</v>
      </c>
      <c r="B46" s="0" t="s">
        <v>329</v>
      </c>
      <c r="C46" s="16">
        <f>HYPERLINK("https://eosportal.federatedhermes.com/companies/Q29tcGFueQppNzU3MjA=", "Associated British Foods PLC")</f>
      </c>
      <c r="D46" s="0" t="s">
        <v>25</v>
      </c>
      <c r="E46" s="0" t="s">
        <v>346</v>
      </c>
      <c r="F46" s="16">
        <f>HYPERLINK("https://eosportal.federatedhermes.com/engagements/RW5nYWdlbWVudAppMTgyMDU=", "Circular Economy")</f>
      </c>
      <c r="G46" s="14" t="s">
        <v>347</v>
      </c>
      <c r="H46" s="0" t="s">
        <v>141</v>
      </c>
      <c r="I46" s="14" t="s">
        <v>191</v>
      </c>
      <c r="J46" s="0" t="s">
        <v>197</v>
      </c>
      <c r="K46" s="0" t="s">
        <v>348</v>
      </c>
      <c r="L46" s="0" t="s">
        <v>349</v>
      </c>
      <c r="M46" s="0" t="s">
        <v>272</v>
      </c>
      <c r="N46" s="0" t="s">
        <v>273</v>
      </c>
      <c r="O46" s="0" t="s">
        <v>332</v>
      </c>
      <c r="Q46" s="0" t="s">
        <v>130</v>
      </c>
      <c r="R46" s="0" t="s">
        <v>138</v>
      </c>
      <c r="S46" s="14">
        <v>0</v>
      </c>
      <c r="T46" s="0" t="s">
        <v>166</v>
      </c>
      <c r="U46" s="0" t="s">
        <v>138</v>
      </c>
      <c r="V46" s="14" t="s">
        <v>138</v>
      </c>
      <c r="W46" s="0" t="s">
        <v>138</v>
      </c>
      <c r="X46" s="14" t="s">
        <v>138</v>
      </c>
      <c r="Y46" s="0" t="s">
        <v>138</v>
      </c>
      <c r="Z46" s="14" t="s">
        <v>138</v>
      </c>
      <c r="AA46" s="0" t="s">
        <v>138</v>
      </c>
      <c r="AB46" s="14" t="s">
        <v>138</v>
      </c>
      <c r="AD46" s="0" t="s">
        <v>138</v>
      </c>
      <c r="AF46" s="0">
        <v>0</v>
      </c>
      <c r="AG46" s="0">
        <v>0</v>
      </c>
      <c r="AH46" s="0" t="s">
        <v>140</v>
      </c>
      <c r="AI46" s="0" t="s">
        <v>138</v>
      </c>
      <c r="AL46" s="14"/>
      <c r="AN46" s="14"/>
      <c r="AQ46" s="0" t="s">
        <v>130</v>
      </c>
      <c r="AR46" s="0" t="s">
        <v>130</v>
      </c>
      <c r="AS46" s="0" t="s">
        <v>130</v>
      </c>
      <c r="AT46" s="0" t="s">
        <v>130</v>
      </c>
      <c r="AU46" s="0" t="s">
        <v>130</v>
      </c>
      <c r="AV46" s="0" t="s">
        <v>130</v>
      </c>
      <c r="AW46" s="0" t="s">
        <v>130</v>
      </c>
      <c r="AX46" s="0" t="s">
        <v>130</v>
      </c>
      <c r="AY46" s="0" t="s">
        <v>130</v>
      </c>
      <c r="AZ46" s="0" t="s">
        <v>130</v>
      </c>
      <c r="BA46" s="0" t="s">
        <v>130</v>
      </c>
      <c r="BB46" s="0" t="s">
        <v>141</v>
      </c>
      <c r="BC46" s="0" t="s">
        <v>130</v>
      </c>
      <c r="BD46" s="0" t="s">
        <v>130</v>
      </c>
      <c r="BE46" s="0" t="s">
        <v>130</v>
      </c>
      <c r="BF46" s="0" t="s">
        <v>130</v>
      </c>
      <c r="BG46" s="0" t="s">
        <v>130</v>
      </c>
      <c r="BH46" s="0" t="s">
        <v>130</v>
      </c>
      <c r="BI46" s="0" t="s">
        <v>130</v>
      </c>
      <c r="BJ46" s="0" t="s">
        <v>130</v>
      </c>
      <c r="BK46" s="0" t="s">
        <v>130</v>
      </c>
      <c r="BL46" s="0" t="s">
        <v>130</v>
      </c>
      <c r="BM46" s="0" t="s">
        <v>130</v>
      </c>
      <c r="BN46" s="0" t="s">
        <v>130</v>
      </c>
      <c r="BO46" s="0" t="s">
        <v>130</v>
      </c>
      <c r="BP46" s="0" t="s">
        <v>130</v>
      </c>
      <c r="BQ46" s="0" t="s">
        <v>130</v>
      </c>
      <c r="BR46" s="0" t="s">
        <v>130</v>
      </c>
      <c r="BS46" s="0" t="s">
        <v>130</v>
      </c>
      <c r="BT46" s="0" t="s">
        <v>130</v>
      </c>
      <c r="BU46" s="0" t="s">
        <v>130</v>
      </c>
      <c r="BV46" s="0" t="s">
        <v>130</v>
      </c>
      <c r="BW46" s="0" t="s">
        <v>130</v>
      </c>
      <c r="BX46" s="0" t="s">
        <v>130</v>
      </c>
      <c r="BY46" s="0" t="s">
        <v>130</v>
      </c>
      <c r="BZ46" s="0" t="s">
        <v>130</v>
      </c>
      <c r="CA46" s="0" t="s">
        <v>130</v>
      </c>
      <c r="CB46" s="0" t="s">
        <v>130</v>
      </c>
      <c r="CC46" s="0" t="s">
        <v>130</v>
      </c>
      <c r="CD46" s="0" t="s">
        <v>141</v>
      </c>
      <c r="CE46" s="0" t="s">
        <v>130</v>
      </c>
      <c r="CF46" s="0" t="s">
        <v>130</v>
      </c>
      <c r="CG46" s="0" t="s">
        <v>130</v>
      </c>
      <c r="CH46" s="0" t="s">
        <v>130</v>
      </c>
      <c r="CI46" s="0" t="s">
        <v>130</v>
      </c>
      <c r="CJ46" s="0" t="s">
        <v>130</v>
      </c>
      <c r="CK46" s="0" t="s">
        <v>130</v>
      </c>
      <c r="CL46" s="0" t="s">
        <v>130</v>
      </c>
      <c r="CM46" s="0" t="s">
        <v>130</v>
      </c>
      <c r="CN46" s="0" t="s">
        <v>130</v>
      </c>
      <c r="CO46" s="0" t="s">
        <v>130</v>
      </c>
      <c r="CP46" s="0" t="s">
        <v>130</v>
      </c>
      <c r="CQ46" s="0" t="s">
        <v>130</v>
      </c>
      <c r="CR46" s="0" t="s">
        <v>130</v>
      </c>
      <c r="CS46" s="0" t="s">
        <v>130</v>
      </c>
      <c r="CT46" s="0" t="s">
        <v>350</v>
      </c>
    </row>
    <row r="47">
      <c r="A47" s="14">
        <v>111129</v>
      </c>
      <c r="B47" s="0" t="s">
        <v>329</v>
      </c>
      <c r="C47" s="16">
        <f>HYPERLINK("https://eosportal.federatedhermes.com/companies/Q29tcGFueQppNzU3MjA=", "Associated British Foods PLC")</f>
      </c>
      <c r="D47" s="0" t="s">
        <v>25</v>
      </c>
      <c r="E47" s="0" t="s">
        <v>151</v>
      </c>
      <c r="F47" s="16">
        <f>HYPERLINK("https://eosportal.federatedhermes.com/engagements/RW5nYWdlbWVudAppMTgyMTU=", "Coronavirus response")</f>
      </c>
      <c r="G47" s="14" t="s">
        <v>351</v>
      </c>
      <c r="H47" s="0" t="s">
        <v>141</v>
      </c>
      <c r="I47" s="14" t="s">
        <v>191</v>
      </c>
      <c r="J47" s="0" t="s">
        <v>132</v>
      </c>
      <c r="K47" s="0" t="s">
        <v>260</v>
      </c>
      <c r="L47" s="0" t="s">
        <v>261</v>
      </c>
      <c r="M47" s="0" t="s">
        <v>272</v>
      </c>
      <c r="N47" s="0" t="s">
        <v>273</v>
      </c>
      <c r="O47" s="0" t="s">
        <v>332</v>
      </c>
      <c r="Q47" s="0" t="s">
        <v>130</v>
      </c>
      <c r="R47" s="0" t="s">
        <v>138</v>
      </c>
      <c r="S47" s="14">
        <v>0</v>
      </c>
      <c r="T47" s="0" t="s">
        <v>148</v>
      </c>
      <c r="U47" s="0" t="s">
        <v>138</v>
      </c>
      <c r="V47" s="14" t="s">
        <v>138</v>
      </c>
      <c r="W47" s="0" t="s">
        <v>138</v>
      </c>
      <c r="X47" s="14" t="s">
        <v>138</v>
      </c>
      <c r="Y47" s="0" t="s">
        <v>138</v>
      </c>
      <c r="Z47" s="14" t="s">
        <v>138</v>
      </c>
      <c r="AA47" s="0" t="s">
        <v>138</v>
      </c>
      <c r="AB47" s="14" t="s">
        <v>138</v>
      </c>
      <c r="AD47" s="0" t="s">
        <v>138</v>
      </c>
      <c r="AF47" s="0">
        <v>0</v>
      </c>
      <c r="AG47" s="0">
        <v>0</v>
      </c>
      <c r="AH47" s="0" t="s">
        <v>140</v>
      </c>
      <c r="AI47" s="0" t="s">
        <v>138</v>
      </c>
      <c r="AL47" s="14"/>
      <c r="AN47" s="14"/>
      <c r="AQ47" s="0" t="s">
        <v>130</v>
      </c>
      <c r="AR47" s="0" t="s">
        <v>130</v>
      </c>
      <c r="AS47" s="0" t="s">
        <v>141</v>
      </c>
      <c r="AT47" s="0" t="s">
        <v>130</v>
      </c>
      <c r="AU47" s="0" t="s">
        <v>130</v>
      </c>
      <c r="AV47" s="0" t="s">
        <v>130</v>
      </c>
      <c r="AW47" s="0" t="s">
        <v>130</v>
      </c>
      <c r="AX47" s="0" t="s">
        <v>130</v>
      </c>
      <c r="AY47" s="0" t="s">
        <v>130</v>
      </c>
      <c r="AZ47" s="0" t="s">
        <v>130</v>
      </c>
      <c r="BA47" s="0" t="s">
        <v>130</v>
      </c>
      <c r="BB47" s="0" t="s">
        <v>130</v>
      </c>
      <c r="BC47" s="0" t="s">
        <v>130</v>
      </c>
      <c r="BD47" s="0" t="s">
        <v>130</v>
      </c>
      <c r="BE47" s="0" t="s">
        <v>130</v>
      </c>
      <c r="BF47" s="0" t="s">
        <v>130</v>
      </c>
      <c r="BG47" s="0" t="s">
        <v>130</v>
      </c>
      <c r="BH47" s="0" t="s">
        <v>130</v>
      </c>
      <c r="BI47" s="0" t="s">
        <v>130</v>
      </c>
      <c r="BJ47" s="0" t="s">
        <v>130</v>
      </c>
      <c r="BK47" s="0" t="s">
        <v>130</v>
      </c>
      <c r="BL47" s="0" t="s">
        <v>130</v>
      </c>
      <c r="BM47" s="0" t="s">
        <v>130</v>
      </c>
      <c r="BN47" s="0" t="s">
        <v>130</v>
      </c>
      <c r="BO47" s="0" t="s">
        <v>130</v>
      </c>
      <c r="BP47" s="0" t="s">
        <v>130</v>
      </c>
      <c r="BQ47" s="0" t="s">
        <v>130</v>
      </c>
      <c r="BR47" s="0" t="s">
        <v>130</v>
      </c>
      <c r="BS47" s="0" t="s">
        <v>130</v>
      </c>
      <c r="BT47" s="0" t="s">
        <v>130</v>
      </c>
      <c r="BU47" s="0" t="s">
        <v>130</v>
      </c>
      <c r="BV47" s="0" t="s">
        <v>130</v>
      </c>
      <c r="BW47" s="0" t="s">
        <v>130</v>
      </c>
      <c r="BX47" s="0" t="s">
        <v>130</v>
      </c>
      <c r="BY47" s="0" t="s">
        <v>130</v>
      </c>
      <c r="BZ47" s="0" t="s">
        <v>130</v>
      </c>
      <c r="CA47" s="0" t="s">
        <v>130</v>
      </c>
      <c r="CB47" s="0" t="s">
        <v>130</v>
      </c>
      <c r="CC47" s="0" t="s">
        <v>130</v>
      </c>
      <c r="CD47" s="0" t="s">
        <v>130</v>
      </c>
      <c r="CE47" s="0" t="s">
        <v>130</v>
      </c>
      <c r="CF47" s="0" t="s">
        <v>130</v>
      </c>
      <c r="CG47" s="0" t="s">
        <v>130</v>
      </c>
      <c r="CH47" s="0" t="s">
        <v>130</v>
      </c>
      <c r="CI47" s="0" t="s">
        <v>130</v>
      </c>
      <c r="CJ47" s="0" t="s">
        <v>130</v>
      </c>
      <c r="CK47" s="0" t="s">
        <v>130</v>
      </c>
      <c r="CL47" s="0" t="s">
        <v>130</v>
      </c>
      <c r="CM47" s="0" t="s">
        <v>130</v>
      </c>
      <c r="CN47" s="0" t="s">
        <v>130</v>
      </c>
      <c r="CO47" s="0" t="s">
        <v>130</v>
      </c>
      <c r="CP47" s="0" t="s">
        <v>130</v>
      </c>
      <c r="CQ47" s="0" t="s">
        <v>130</v>
      </c>
      <c r="CR47" s="0" t="s">
        <v>130</v>
      </c>
      <c r="CS47" s="0" t="s">
        <v>130</v>
      </c>
      <c r="CT47" s="0" t="s">
        <v>352</v>
      </c>
    </row>
    <row r="48">
      <c r="A48" s="14">
        <v>111129</v>
      </c>
      <c r="B48" s="0" t="s">
        <v>329</v>
      </c>
      <c r="C48" s="16">
        <f>HYPERLINK("https://eosportal.federatedhermes.com/companies/Q29tcGFueQppNzU3MjA=", "Associated British Foods PLC")</f>
      </c>
      <c r="D48" s="0" t="s">
        <v>25</v>
      </c>
      <c r="E48" s="0" t="s">
        <v>353</v>
      </c>
      <c r="F48" s="16">
        <f>HYPERLINK("https://eosportal.federatedhermes.com/engagements/RW5nYWdlbWVudAppMTgyMTY=", "Supply chain human rights")</f>
      </c>
      <c r="G48" s="14" t="s">
        <v>354</v>
      </c>
      <c r="H48" s="0" t="s">
        <v>141</v>
      </c>
      <c r="I48" s="14" t="s">
        <v>191</v>
      </c>
      <c r="J48" s="0" t="s">
        <v>153</v>
      </c>
      <c r="K48" s="0" t="s">
        <v>243</v>
      </c>
      <c r="L48" s="0" t="s">
        <v>244</v>
      </c>
      <c r="M48" s="0" t="s">
        <v>272</v>
      </c>
      <c r="N48" s="0" t="s">
        <v>273</v>
      </c>
      <c r="O48" s="0" t="s">
        <v>332</v>
      </c>
      <c r="Q48" s="0" t="s">
        <v>141</v>
      </c>
      <c r="R48" s="0" t="s">
        <v>138</v>
      </c>
      <c r="S48" s="14">
        <v>1</v>
      </c>
      <c r="T48" s="0" t="s">
        <v>355</v>
      </c>
      <c r="U48" s="0" t="s">
        <v>138</v>
      </c>
      <c r="V48" s="14" t="s">
        <v>138</v>
      </c>
      <c r="W48" s="0" t="s">
        <v>138</v>
      </c>
      <c r="X48" s="14" t="s">
        <v>138</v>
      </c>
      <c r="Y48" s="0" t="s">
        <v>138</v>
      </c>
      <c r="Z48" s="14" t="s">
        <v>138</v>
      </c>
      <c r="AA48" s="0" t="s">
        <v>138</v>
      </c>
      <c r="AB48" s="14" t="s">
        <v>138</v>
      </c>
      <c r="AD48" s="0" t="s">
        <v>138</v>
      </c>
      <c r="AF48" s="0">
        <v>0</v>
      </c>
      <c r="AG48" s="0">
        <v>0</v>
      </c>
      <c r="AH48" s="0" t="s">
        <v>140</v>
      </c>
      <c r="AI48" s="0" t="s">
        <v>138</v>
      </c>
      <c r="AK48" s="0" t="s">
        <v>339</v>
      </c>
      <c r="AL48" s="14"/>
      <c r="AN48" s="14"/>
      <c r="AQ48" s="0" t="s">
        <v>130</v>
      </c>
      <c r="AR48" s="0" t="s">
        <v>130</v>
      </c>
      <c r="AS48" s="0" t="s">
        <v>130</v>
      </c>
      <c r="AT48" s="0" t="s">
        <v>130</v>
      </c>
      <c r="AU48" s="0" t="s">
        <v>130</v>
      </c>
      <c r="AV48" s="0" t="s">
        <v>130</v>
      </c>
      <c r="AW48" s="0" t="s">
        <v>130</v>
      </c>
      <c r="AX48" s="0" t="s">
        <v>141</v>
      </c>
      <c r="AY48" s="0" t="s">
        <v>130</v>
      </c>
      <c r="AZ48" s="0" t="s">
        <v>130</v>
      </c>
      <c r="BA48" s="0" t="s">
        <v>130</v>
      </c>
      <c r="BB48" s="0" t="s">
        <v>130</v>
      </c>
      <c r="BC48" s="0" t="s">
        <v>130</v>
      </c>
      <c r="BD48" s="0" t="s">
        <v>130</v>
      </c>
      <c r="BE48" s="0" t="s">
        <v>130</v>
      </c>
      <c r="BF48" s="0" t="s">
        <v>130</v>
      </c>
      <c r="BG48" s="0" t="s">
        <v>130</v>
      </c>
      <c r="BH48" s="0" t="s">
        <v>130</v>
      </c>
      <c r="BI48" s="0" t="s">
        <v>130</v>
      </c>
      <c r="BJ48" s="0" t="s">
        <v>130</v>
      </c>
      <c r="BK48" s="0" t="s">
        <v>130</v>
      </c>
      <c r="BL48" s="0" t="s">
        <v>130</v>
      </c>
      <c r="BM48" s="0" t="s">
        <v>130</v>
      </c>
      <c r="BN48" s="0" t="s">
        <v>130</v>
      </c>
      <c r="BO48" s="0" t="s">
        <v>130</v>
      </c>
      <c r="BP48" s="0" t="s">
        <v>130</v>
      </c>
      <c r="BQ48" s="0" t="s">
        <v>130</v>
      </c>
      <c r="BR48" s="0" t="s">
        <v>130</v>
      </c>
      <c r="BS48" s="0" t="s">
        <v>130</v>
      </c>
      <c r="BT48" s="0" t="s">
        <v>130</v>
      </c>
      <c r="BU48" s="0" t="s">
        <v>130</v>
      </c>
      <c r="BV48" s="0" t="s">
        <v>130</v>
      </c>
      <c r="BW48" s="0" t="s">
        <v>130</v>
      </c>
      <c r="BX48" s="0" t="s">
        <v>130</v>
      </c>
      <c r="BY48" s="0" t="s">
        <v>130</v>
      </c>
      <c r="BZ48" s="0" t="s">
        <v>130</v>
      </c>
      <c r="CA48" s="0" t="s">
        <v>130</v>
      </c>
      <c r="CB48" s="0" t="s">
        <v>130</v>
      </c>
      <c r="CC48" s="0" t="s">
        <v>130</v>
      </c>
      <c r="CD48" s="0" t="s">
        <v>130</v>
      </c>
      <c r="CE48" s="0" t="s">
        <v>130</v>
      </c>
      <c r="CF48" s="0" t="s">
        <v>130</v>
      </c>
      <c r="CG48" s="0" t="s">
        <v>130</v>
      </c>
      <c r="CH48" s="0" t="s">
        <v>130</v>
      </c>
      <c r="CI48" s="0" t="s">
        <v>130</v>
      </c>
      <c r="CJ48" s="0" t="s">
        <v>130</v>
      </c>
      <c r="CK48" s="0" t="s">
        <v>130</v>
      </c>
      <c r="CL48" s="0" t="s">
        <v>130</v>
      </c>
      <c r="CM48" s="0" t="s">
        <v>130</v>
      </c>
      <c r="CN48" s="0" t="s">
        <v>130</v>
      </c>
      <c r="CO48" s="0" t="s">
        <v>130</v>
      </c>
      <c r="CP48" s="0" t="s">
        <v>130</v>
      </c>
      <c r="CQ48" s="0" t="s">
        <v>130</v>
      </c>
      <c r="CR48" s="0" t="s">
        <v>130</v>
      </c>
      <c r="CS48" s="0" t="s">
        <v>130</v>
      </c>
      <c r="CT48" s="0" t="s">
        <v>356</v>
      </c>
    </row>
    <row r="49">
      <c r="A49" s="14">
        <v>111129</v>
      </c>
      <c r="B49" s="0" t="s">
        <v>329</v>
      </c>
      <c r="C49" s="16">
        <f>HYPERLINK("https://eosportal.federatedhermes.com/companies/Q29tcGFueQppNzU3MjA=", "Associated British Foods PLC")</f>
      </c>
      <c r="D49" s="0" t="s">
        <v>23</v>
      </c>
      <c r="E49" s="0" t="s">
        <v>357</v>
      </c>
      <c r="F49" s="16">
        <f>HYPERLINK("https://eosportal.federatedhermes.com/engagements/RW5nYWdlbWVudAppMTgyMTc=", "Primark Recycling Infrastructure")</f>
      </c>
      <c r="G49" s="14" t="s">
        <v>358</v>
      </c>
      <c r="H49" s="0" t="s">
        <v>141</v>
      </c>
      <c r="I49" s="14" t="s">
        <v>191</v>
      </c>
      <c r="J49" s="0" t="s">
        <v>197</v>
      </c>
      <c r="K49" s="0" t="s">
        <v>348</v>
      </c>
      <c r="L49" s="0" t="s">
        <v>349</v>
      </c>
      <c r="M49" s="0" t="s">
        <v>272</v>
      </c>
      <c r="N49" s="0" t="s">
        <v>273</v>
      </c>
      <c r="O49" s="0" t="s">
        <v>332</v>
      </c>
      <c r="Q49" s="0" t="s">
        <v>130</v>
      </c>
      <c r="R49" s="0" t="s">
        <v>141</v>
      </c>
      <c r="S49" s="14">
        <v>0</v>
      </c>
      <c r="T49" s="0" t="s">
        <v>359</v>
      </c>
      <c r="U49" s="0" t="s">
        <v>221</v>
      </c>
      <c r="V49" s="14" t="s">
        <v>359</v>
      </c>
      <c r="W49" s="0" t="s">
        <v>221</v>
      </c>
      <c r="X49" s="14" t="s">
        <v>327</v>
      </c>
      <c r="Y49" s="0" t="s">
        <v>221</v>
      </c>
      <c r="Z49" s="14" t="s">
        <v>360</v>
      </c>
      <c r="AA49" s="0" t="s">
        <v>221</v>
      </c>
      <c r="AB49" s="14" t="s">
        <v>361</v>
      </c>
      <c r="AC49" s="0" t="s">
        <v>20</v>
      </c>
      <c r="AD49" s="0" t="s">
        <v>362</v>
      </c>
      <c r="AE49" s="0" t="s">
        <v>363</v>
      </c>
      <c r="AF49" s="0">
        <v>1</v>
      </c>
      <c r="AG49" s="0">
        <v>0</v>
      </c>
      <c r="AH49" s="0" t="s">
        <v>140</v>
      </c>
      <c r="AI49" s="0" t="s">
        <v>221</v>
      </c>
      <c r="AJ49" s="0" t="s">
        <v>364</v>
      </c>
      <c r="AL49" s="14" t="s">
        <v>365</v>
      </c>
      <c r="AM49" s="0" t="s">
        <v>366</v>
      </c>
      <c r="AN49" s="14"/>
      <c r="AQ49" s="0" t="s">
        <v>130</v>
      </c>
      <c r="AR49" s="0" t="s">
        <v>130</v>
      </c>
      <c r="AS49" s="0" t="s">
        <v>130</v>
      </c>
      <c r="AT49" s="0" t="s">
        <v>130</v>
      </c>
      <c r="AU49" s="0" t="s">
        <v>130</v>
      </c>
      <c r="AV49" s="0" t="s">
        <v>130</v>
      </c>
      <c r="AW49" s="0" t="s">
        <v>130</v>
      </c>
      <c r="AX49" s="0" t="s">
        <v>130</v>
      </c>
      <c r="AY49" s="0" t="s">
        <v>130</v>
      </c>
      <c r="AZ49" s="0" t="s">
        <v>130</v>
      </c>
      <c r="BA49" s="0" t="s">
        <v>141</v>
      </c>
      <c r="BB49" s="0" t="s">
        <v>141</v>
      </c>
      <c r="BC49" s="0" t="s">
        <v>130</v>
      </c>
      <c r="BD49" s="0" t="s">
        <v>130</v>
      </c>
      <c r="BE49" s="0" t="s">
        <v>130</v>
      </c>
      <c r="BF49" s="0" t="s">
        <v>130</v>
      </c>
      <c r="BG49" s="0" t="s">
        <v>130</v>
      </c>
      <c r="BH49" s="0" t="s">
        <v>130</v>
      </c>
      <c r="BI49" s="0" t="s">
        <v>130</v>
      </c>
      <c r="BJ49" s="0" t="s">
        <v>130</v>
      </c>
      <c r="BK49" s="0" t="s">
        <v>130</v>
      </c>
      <c r="BL49" s="0" t="s">
        <v>130</v>
      </c>
      <c r="BM49" s="0" t="s">
        <v>130</v>
      </c>
      <c r="BN49" s="0" t="s">
        <v>130</v>
      </c>
      <c r="BO49" s="0" t="s">
        <v>130</v>
      </c>
      <c r="BP49" s="0" t="s">
        <v>130</v>
      </c>
      <c r="BQ49" s="0" t="s">
        <v>130</v>
      </c>
      <c r="BR49" s="0" t="s">
        <v>130</v>
      </c>
      <c r="BS49" s="0" t="s">
        <v>130</v>
      </c>
      <c r="BT49" s="0" t="s">
        <v>130</v>
      </c>
      <c r="BU49" s="0" t="s">
        <v>130</v>
      </c>
      <c r="BV49" s="0" t="s">
        <v>130</v>
      </c>
      <c r="BW49" s="0" t="s">
        <v>130</v>
      </c>
      <c r="BX49" s="0" t="s">
        <v>130</v>
      </c>
      <c r="BY49" s="0" t="s">
        <v>130</v>
      </c>
      <c r="BZ49" s="0" t="s">
        <v>130</v>
      </c>
      <c r="CA49" s="0" t="s">
        <v>130</v>
      </c>
      <c r="CB49" s="0" t="s">
        <v>130</v>
      </c>
      <c r="CC49" s="0" t="s">
        <v>130</v>
      </c>
      <c r="CD49" s="0" t="s">
        <v>141</v>
      </c>
      <c r="CE49" s="0" t="s">
        <v>130</v>
      </c>
      <c r="CF49" s="0" t="s">
        <v>130</v>
      </c>
      <c r="CG49" s="0" t="s">
        <v>130</v>
      </c>
      <c r="CH49" s="0" t="s">
        <v>130</v>
      </c>
      <c r="CI49" s="0" t="s">
        <v>130</v>
      </c>
      <c r="CJ49" s="0" t="s">
        <v>130</v>
      </c>
      <c r="CK49" s="0" t="s">
        <v>130</v>
      </c>
      <c r="CL49" s="0" t="s">
        <v>130</v>
      </c>
      <c r="CM49" s="0" t="s">
        <v>130</v>
      </c>
      <c r="CN49" s="0" t="s">
        <v>130</v>
      </c>
      <c r="CO49" s="0" t="s">
        <v>130</v>
      </c>
      <c r="CP49" s="0" t="s">
        <v>130</v>
      </c>
      <c r="CQ49" s="0" t="s">
        <v>130</v>
      </c>
      <c r="CR49" s="0" t="s">
        <v>130</v>
      </c>
      <c r="CS49" s="0" t="s">
        <v>130</v>
      </c>
      <c r="CT49" s="0" t="s">
        <v>367</v>
      </c>
    </row>
    <row r="50">
      <c r="A50" s="14">
        <v>100232</v>
      </c>
      <c r="B50" s="0" t="s">
        <v>368</v>
      </c>
      <c r="C50" s="16">
        <f>HYPERLINK("https://eosportal.federatedhermes.com/companies/Q29tcGFueQppNjQzODg=", "BHP Group Ltd")</f>
      </c>
      <c r="D50" s="0" t="s">
        <v>25</v>
      </c>
      <c r="E50" s="0" t="s">
        <v>369</v>
      </c>
      <c r="F50" s="16">
        <f>HYPERLINK("https://eosportal.federatedhermes.com/engagements/RW5nYWdlbWVudAppMTgzMzE=", "ACSI engagement activity on Climate Change - Strategy and targets")</f>
      </c>
      <c r="G50" s="14" t="s">
        <v>370</v>
      </c>
      <c r="H50" s="0" t="s">
        <v>141</v>
      </c>
      <c r="I50" s="14" t="s">
        <v>191</v>
      </c>
      <c r="J50" s="0" t="s">
        <v>197</v>
      </c>
      <c r="K50" s="0" t="s">
        <v>198</v>
      </c>
      <c r="L50" s="0" t="s">
        <v>216</v>
      </c>
      <c r="M50" s="0" t="s">
        <v>371</v>
      </c>
      <c r="N50" s="0" t="s">
        <v>372</v>
      </c>
      <c r="O50" s="0" t="s">
        <v>373</v>
      </c>
      <c r="Q50" s="0" t="s">
        <v>130</v>
      </c>
      <c r="R50" s="0" t="s">
        <v>138</v>
      </c>
      <c r="S50" s="14">
        <v>0</v>
      </c>
      <c r="T50" s="0" t="s">
        <v>355</v>
      </c>
      <c r="U50" s="0" t="s">
        <v>138</v>
      </c>
      <c r="V50" s="14" t="s">
        <v>138</v>
      </c>
      <c r="W50" s="0" t="s">
        <v>138</v>
      </c>
      <c r="X50" s="14" t="s">
        <v>138</v>
      </c>
      <c r="Y50" s="0" t="s">
        <v>138</v>
      </c>
      <c r="Z50" s="14" t="s">
        <v>138</v>
      </c>
      <c r="AA50" s="0" t="s">
        <v>138</v>
      </c>
      <c r="AB50" s="14" t="s">
        <v>138</v>
      </c>
      <c r="AD50" s="0" t="s">
        <v>138</v>
      </c>
      <c r="AF50" s="0">
        <v>0</v>
      </c>
      <c r="AG50" s="0">
        <v>0</v>
      </c>
      <c r="AH50" s="0" t="s">
        <v>140</v>
      </c>
      <c r="AI50" s="0" t="s">
        <v>138</v>
      </c>
      <c r="AL50" s="14"/>
      <c r="AN50" s="14"/>
      <c r="AQ50" s="0" t="s">
        <v>130</v>
      </c>
      <c r="AR50" s="0" t="s">
        <v>130</v>
      </c>
      <c r="AS50" s="0" t="s">
        <v>130</v>
      </c>
      <c r="AT50" s="0" t="s">
        <v>130</v>
      </c>
      <c r="AU50" s="0" t="s">
        <v>130</v>
      </c>
      <c r="AV50" s="0" t="s">
        <v>130</v>
      </c>
      <c r="AW50" s="0" t="s">
        <v>130</v>
      </c>
      <c r="AX50" s="0" t="s">
        <v>130</v>
      </c>
      <c r="AY50" s="0" t="s">
        <v>130</v>
      </c>
      <c r="AZ50" s="0" t="s">
        <v>130</v>
      </c>
      <c r="BA50" s="0" t="s">
        <v>130</v>
      </c>
      <c r="BB50" s="0" t="s">
        <v>130</v>
      </c>
      <c r="BC50" s="0" t="s">
        <v>141</v>
      </c>
      <c r="BD50" s="0" t="s">
        <v>130</v>
      </c>
      <c r="BE50" s="0" t="s">
        <v>130</v>
      </c>
      <c r="BF50" s="0" t="s">
        <v>130</v>
      </c>
      <c r="BG50" s="0" t="s">
        <v>130</v>
      </c>
      <c r="BH50" s="0" t="s">
        <v>141</v>
      </c>
      <c r="BI50" s="0" t="s">
        <v>141</v>
      </c>
      <c r="BJ50" s="0" t="s">
        <v>141</v>
      </c>
      <c r="BK50" s="0" t="s">
        <v>130</v>
      </c>
      <c r="BL50" s="0" t="s">
        <v>130</v>
      </c>
      <c r="BM50" s="0" t="s">
        <v>130</v>
      </c>
      <c r="BN50" s="0" t="s">
        <v>130</v>
      </c>
      <c r="BO50" s="0" t="s">
        <v>130</v>
      </c>
      <c r="BP50" s="0" t="s">
        <v>130</v>
      </c>
      <c r="BQ50" s="0" t="s">
        <v>130</v>
      </c>
      <c r="BR50" s="0" t="s">
        <v>130</v>
      </c>
      <c r="BS50" s="0" t="s">
        <v>130</v>
      </c>
      <c r="BT50" s="0" t="s">
        <v>130</v>
      </c>
      <c r="BU50" s="0" t="s">
        <v>130</v>
      </c>
      <c r="BV50" s="0" t="s">
        <v>141</v>
      </c>
      <c r="BW50" s="0" t="s">
        <v>141</v>
      </c>
      <c r="BX50" s="0" t="s">
        <v>130</v>
      </c>
      <c r="BY50" s="0" t="s">
        <v>130</v>
      </c>
      <c r="BZ50" s="0" t="s">
        <v>130</v>
      </c>
      <c r="CA50" s="0" t="s">
        <v>130</v>
      </c>
      <c r="CB50" s="0" t="s">
        <v>130</v>
      </c>
      <c r="CC50" s="0" t="s">
        <v>130</v>
      </c>
      <c r="CD50" s="0" t="s">
        <v>130</v>
      </c>
      <c r="CE50" s="0" t="s">
        <v>130</v>
      </c>
      <c r="CF50" s="0" t="s">
        <v>130</v>
      </c>
      <c r="CG50" s="0" t="s">
        <v>130</v>
      </c>
      <c r="CH50" s="0" t="s">
        <v>130</v>
      </c>
      <c r="CI50" s="0" t="s">
        <v>130</v>
      </c>
      <c r="CJ50" s="0" t="s">
        <v>130</v>
      </c>
      <c r="CK50" s="0" t="s">
        <v>130</v>
      </c>
      <c r="CL50" s="0" t="s">
        <v>130</v>
      </c>
      <c r="CM50" s="0" t="s">
        <v>130</v>
      </c>
      <c r="CN50" s="0" t="s">
        <v>130</v>
      </c>
      <c r="CO50" s="0" t="s">
        <v>130</v>
      </c>
      <c r="CP50" s="0" t="s">
        <v>130</v>
      </c>
      <c r="CQ50" s="0" t="s">
        <v>130</v>
      </c>
      <c r="CR50" s="0" t="s">
        <v>130</v>
      </c>
      <c r="CS50" s="0" t="s">
        <v>130</v>
      </c>
      <c r="CT50" s="0" t="s">
        <v>374</v>
      </c>
    </row>
    <row r="51">
      <c r="A51" s="14">
        <v>100158</v>
      </c>
      <c r="B51" s="0" t="s">
        <v>375</v>
      </c>
      <c r="C51" s="16">
        <f>HYPERLINK("https://eosportal.federatedhermes.com/companies/Q29tcGFueQppNDY5MDc=", "Banco Santander SA")</f>
      </c>
      <c r="D51" s="0" t="s">
        <v>25</v>
      </c>
      <c r="E51" s="0" t="s">
        <v>376</v>
      </c>
      <c r="F51" s="16">
        <f>HYPERLINK("https://eosportal.federatedhermes.com/engagements/RW5nYWdlbWVudAppMTgzMzM=", "Internal controls")</f>
      </c>
      <c r="G51" s="14" t="s">
        <v>377</v>
      </c>
      <c r="H51" s="0" t="s">
        <v>130</v>
      </c>
      <c r="I51" s="14" t="s">
        <v>319</v>
      </c>
      <c r="J51" s="0" t="s">
        <v>132</v>
      </c>
      <c r="K51" s="0" t="s">
        <v>260</v>
      </c>
      <c r="L51" s="0" t="s">
        <v>261</v>
      </c>
      <c r="M51" s="0" t="s">
        <v>378</v>
      </c>
      <c r="N51" s="0" t="s">
        <v>379</v>
      </c>
      <c r="O51" s="0" t="s">
        <v>238</v>
      </c>
      <c r="Q51" s="0" t="s">
        <v>130</v>
      </c>
      <c r="R51" s="0" t="s">
        <v>138</v>
      </c>
      <c r="S51" s="14">
        <v>0</v>
      </c>
      <c r="T51" s="0" t="s">
        <v>380</v>
      </c>
      <c r="U51" s="0" t="s">
        <v>138</v>
      </c>
      <c r="V51" s="14" t="s">
        <v>138</v>
      </c>
      <c r="W51" s="0" t="s">
        <v>138</v>
      </c>
      <c r="X51" s="14" t="s">
        <v>138</v>
      </c>
      <c r="Y51" s="0" t="s">
        <v>138</v>
      </c>
      <c r="Z51" s="14" t="s">
        <v>138</v>
      </c>
      <c r="AA51" s="0" t="s">
        <v>138</v>
      </c>
      <c r="AB51" s="14" t="s">
        <v>138</v>
      </c>
      <c r="AD51" s="0" t="s">
        <v>138</v>
      </c>
      <c r="AF51" s="0">
        <v>0</v>
      </c>
      <c r="AG51" s="0">
        <v>0</v>
      </c>
      <c r="AH51" s="0" t="s">
        <v>140</v>
      </c>
      <c r="AI51" s="0" t="s">
        <v>138</v>
      </c>
      <c r="AL51" s="14"/>
      <c r="AN51" s="14"/>
      <c r="AQ51" s="0" t="s">
        <v>130</v>
      </c>
      <c r="AR51" s="0" t="s">
        <v>130</v>
      </c>
      <c r="AS51" s="0" t="s">
        <v>130</v>
      </c>
      <c r="AT51" s="0" t="s">
        <v>130</v>
      </c>
      <c r="AU51" s="0" t="s">
        <v>130</v>
      </c>
      <c r="AV51" s="0" t="s">
        <v>130</v>
      </c>
      <c r="AW51" s="0" t="s">
        <v>130</v>
      </c>
      <c r="AX51" s="0" t="s">
        <v>130</v>
      </c>
      <c r="AY51" s="0" t="s">
        <v>130</v>
      </c>
      <c r="AZ51" s="0" t="s">
        <v>130</v>
      </c>
      <c r="BA51" s="0" t="s">
        <v>130</v>
      </c>
      <c r="BB51" s="0" t="s">
        <v>130</v>
      </c>
      <c r="BC51" s="0" t="s">
        <v>130</v>
      </c>
      <c r="BD51" s="0" t="s">
        <v>130</v>
      </c>
      <c r="BE51" s="0" t="s">
        <v>130</v>
      </c>
      <c r="BF51" s="0" t="s">
        <v>130</v>
      </c>
      <c r="BG51" s="0" t="s">
        <v>130</v>
      </c>
      <c r="BH51" s="0" t="s">
        <v>130</v>
      </c>
      <c r="BI51" s="0" t="s">
        <v>130</v>
      </c>
      <c r="BJ51" s="0" t="s">
        <v>130</v>
      </c>
      <c r="BK51" s="0" t="s">
        <v>130</v>
      </c>
      <c r="BL51" s="0" t="s">
        <v>130</v>
      </c>
      <c r="BM51" s="0" t="s">
        <v>130</v>
      </c>
      <c r="BN51" s="0" t="s">
        <v>130</v>
      </c>
      <c r="BO51" s="0" t="s">
        <v>130</v>
      </c>
      <c r="BP51" s="0" t="s">
        <v>130</v>
      </c>
      <c r="BQ51" s="0" t="s">
        <v>130</v>
      </c>
      <c r="BR51" s="0" t="s">
        <v>130</v>
      </c>
      <c r="BS51" s="0" t="s">
        <v>130</v>
      </c>
      <c r="BT51" s="0" t="s">
        <v>130</v>
      </c>
      <c r="BU51" s="0" t="s">
        <v>130</v>
      </c>
      <c r="BV51" s="0" t="s">
        <v>130</v>
      </c>
      <c r="BW51" s="0" t="s">
        <v>130</v>
      </c>
      <c r="BX51" s="0" t="s">
        <v>130</v>
      </c>
      <c r="BY51" s="0" t="s">
        <v>130</v>
      </c>
      <c r="BZ51" s="0" t="s">
        <v>130</v>
      </c>
      <c r="CA51" s="0" t="s">
        <v>130</v>
      </c>
      <c r="CB51" s="0" t="s">
        <v>130</v>
      </c>
      <c r="CC51" s="0" t="s">
        <v>130</v>
      </c>
      <c r="CD51" s="0" t="s">
        <v>130</v>
      </c>
      <c r="CE51" s="0" t="s">
        <v>130</v>
      </c>
      <c r="CF51" s="0" t="s">
        <v>130</v>
      </c>
      <c r="CG51" s="0" t="s">
        <v>130</v>
      </c>
      <c r="CH51" s="0" t="s">
        <v>130</v>
      </c>
      <c r="CI51" s="0" t="s">
        <v>130</v>
      </c>
      <c r="CJ51" s="0" t="s">
        <v>130</v>
      </c>
      <c r="CK51" s="0" t="s">
        <v>130</v>
      </c>
      <c r="CL51" s="0" t="s">
        <v>130</v>
      </c>
      <c r="CM51" s="0" t="s">
        <v>130</v>
      </c>
      <c r="CN51" s="0" t="s">
        <v>130</v>
      </c>
      <c r="CO51" s="0" t="s">
        <v>130</v>
      </c>
      <c r="CP51" s="0" t="s">
        <v>130</v>
      </c>
      <c r="CQ51" s="0" t="s">
        <v>130</v>
      </c>
      <c r="CR51" s="0" t="s">
        <v>130</v>
      </c>
      <c r="CS51" s="0" t="s">
        <v>130</v>
      </c>
      <c r="CT51" s="0" t="s">
        <v>381</v>
      </c>
    </row>
    <row r="52">
      <c r="A52" s="14">
        <v>100158</v>
      </c>
      <c r="B52" s="0" t="s">
        <v>375</v>
      </c>
      <c r="C52" s="16">
        <f>HYPERLINK("https://eosportal.federatedhermes.com/companies/Q29tcGFueQppNDY5MDc=", "Banco Santander SA")</f>
      </c>
      <c r="D52" s="0" t="s">
        <v>25</v>
      </c>
      <c r="E52" s="0" t="s">
        <v>382</v>
      </c>
      <c r="F52" s="16">
        <f>HYPERLINK("https://eosportal.federatedhermes.com/engagements/RW5nYWdlbWVudAppMTgzMzQ=", "diversity and human capital")</f>
      </c>
      <c r="G52" s="14" t="s">
        <v>383</v>
      </c>
      <c r="H52" s="0" t="s">
        <v>130</v>
      </c>
      <c r="I52" s="14" t="s">
        <v>319</v>
      </c>
      <c r="J52" s="0" t="s">
        <v>132</v>
      </c>
      <c r="K52" s="0" t="s">
        <v>133</v>
      </c>
      <c r="L52" s="0" t="s">
        <v>160</v>
      </c>
      <c r="M52" s="0" t="s">
        <v>378</v>
      </c>
      <c r="N52" s="0" t="s">
        <v>379</v>
      </c>
      <c r="O52" s="0" t="s">
        <v>238</v>
      </c>
      <c r="Q52" s="0" t="s">
        <v>130</v>
      </c>
      <c r="R52" s="0" t="s">
        <v>138</v>
      </c>
      <c r="S52" s="14">
        <v>0</v>
      </c>
      <c r="T52" s="0" t="s">
        <v>384</v>
      </c>
      <c r="U52" s="0" t="s">
        <v>138</v>
      </c>
      <c r="V52" s="14" t="s">
        <v>138</v>
      </c>
      <c r="W52" s="0" t="s">
        <v>138</v>
      </c>
      <c r="X52" s="14" t="s">
        <v>138</v>
      </c>
      <c r="Y52" s="0" t="s">
        <v>138</v>
      </c>
      <c r="Z52" s="14" t="s">
        <v>138</v>
      </c>
      <c r="AA52" s="0" t="s">
        <v>138</v>
      </c>
      <c r="AB52" s="14" t="s">
        <v>138</v>
      </c>
      <c r="AD52" s="0" t="s">
        <v>138</v>
      </c>
      <c r="AF52" s="0">
        <v>0</v>
      </c>
      <c r="AG52" s="0">
        <v>0</v>
      </c>
      <c r="AH52" s="0" t="s">
        <v>140</v>
      </c>
      <c r="AI52" s="0" t="s">
        <v>138</v>
      </c>
      <c r="AL52" s="14"/>
      <c r="AN52" s="14"/>
      <c r="AQ52" s="0" t="s">
        <v>130</v>
      </c>
      <c r="AR52" s="0" t="s">
        <v>130</v>
      </c>
      <c r="AS52" s="0" t="s">
        <v>130</v>
      </c>
      <c r="AT52" s="0" t="s">
        <v>130</v>
      </c>
      <c r="AU52" s="0" t="s">
        <v>130</v>
      </c>
      <c r="AV52" s="0" t="s">
        <v>130</v>
      </c>
      <c r="AW52" s="0" t="s">
        <v>130</v>
      </c>
      <c r="AX52" s="0" t="s">
        <v>130</v>
      </c>
      <c r="AY52" s="0" t="s">
        <v>130</v>
      </c>
      <c r="AZ52" s="0" t="s">
        <v>130</v>
      </c>
      <c r="BA52" s="0" t="s">
        <v>130</v>
      </c>
      <c r="BB52" s="0" t="s">
        <v>130</v>
      </c>
      <c r="BC52" s="0" t="s">
        <v>130</v>
      </c>
      <c r="BD52" s="0" t="s">
        <v>130</v>
      </c>
      <c r="BE52" s="0" t="s">
        <v>130</v>
      </c>
      <c r="BF52" s="0" t="s">
        <v>130</v>
      </c>
      <c r="BG52" s="0" t="s">
        <v>130</v>
      </c>
      <c r="BH52" s="0" t="s">
        <v>130</v>
      </c>
      <c r="BI52" s="0" t="s">
        <v>130</v>
      </c>
      <c r="BJ52" s="0" t="s">
        <v>130</v>
      </c>
      <c r="BK52" s="0" t="s">
        <v>130</v>
      </c>
      <c r="BL52" s="0" t="s">
        <v>130</v>
      </c>
      <c r="BM52" s="0" t="s">
        <v>130</v>
      </c>
      <c r="BN52" s="0" t="s">
        <v>130</v>
      </c>
      <c r="BO52" s="0" t="s">
        <v>130</v>
      </c>
      <c r="BP52" s="0" t="s">
        <v>130</v>
      </c>
      <c r="BQ52" s="0" t="s">
        <v>130</v>
      </c>
      <c r="BR52" s="0" t="s">
        <v>130</v>
      </c>
      <c r="BS52" s="0" t="s">
        <v>130</v>
      </c>
      <c r="BT52" s="0" t="s">
        <v>130</v>
      </c>
      <c r="BU52" s="0" t="s">
        <v>130</v>
      </c>
      <c r="BV52" s="0" t="s">
        <v>130</v>
      </c>
      <c r="BW52" s="0" t="s">
        <v>130</v>
      </c>
      <c r="BX52" s="0" t="s">
        <v>130</v>
      </c>
      <c r="BY52" s="0" t="s">
        <v>130</v>
      </c>
      <c r="BZ52" s="0" t="s">
        <v>130</v>
      </c>
      <c r="CA52" s="0" t="s">
        <v>130</v>
      </c>
      <c r="CB52" s="0" t="s">
        <v>130</v>
      </c>
      <c r="CC52" s="0" t="s">
        <v>130</v>
      </c>
      <c r="CD52" s="0" t="s">
        <v>130</v>
      </c>
      <c r="CE52" s="0" t="s">
        <v>130</v>
      </c>
      <c r="CF52" s="0" t="s">
        <v>130</v>
      </c>
      <c r="CG52" s="0" t="s">
        <v>130</v>
      </c>
      <c r="CH52" s="0" t="s">
        <v>130</v>
      </c>
      <c r="CI52" s="0" t="s">
        <v>130</v>
      </c>
      <c r="CJ52" s="0" t="s">
        <v>130</v>
      </c>
      <c r="CK52" s="0" t="s">
        <v>130</v>
      </c>
      <c r="CL52" s="0" t="s">
        <v>130</v>
      </c>
      <c r="CM52" s="0" t="s">
        <v>130</v>
      </c>
      <c r="CN52" s="0" t="s">
        <v>130</v>
      </c>
      <c r="CO52" s="0" t="s">
        <v>130</v>
      </c>
      <c r="CP52" s="0" t="s">
        <v>130</v>
      </c>
      <c r="CQ52" s="0" t="s">
        <v>130</v>
      </c>
      <c r="CR52" s="0" t="s">
        <v>130</v>
      </c>
      <c r="CS52" s="0" t="s">
        <v>130</v>
      </c>
      <c r="CT52" s="0" t="s">
        <v>385</v>
      </c>
    </row>
    <row r="53">
      <c r="A53" s="14">
        <v>100158</v>
      </c>
      <c r="B53" s="0" t="s">
        <v>375</v>
      </c>
      <c r="C53" s="16">
        <f>HYPERLINK("https://eosportal.federatedhermes.com/companies/Q29tcGFueQppNDY5MDc=", "Banco Santander SA")</f>
      </c>
      <c r="D53" s="0" t="s">
        <v>25</v>
      </c>
      <c r="E53" s="0" t="s">
        <v>386</v>
      </c>
      <c r="F53" s="16">
        <f>HYPERLINK("https://eosportal.federatedhermes.com/engagements/RW5nYWdlbWVudAppMTgzMzU=", "Board independence")</f>
      </c>
      <c r="G53" s="14" t="s">
        <v>386</v>
      </c>
      <c r="H53" s="0" t="s">
        <v>130</v>
      </c>
      <c r="I53" s="14" t="s">
        <v>319</v>
      </c>
      <c r="J53" s="0" t="s">
        <v>145</v>
      </c>
      <c r="K53" s="0" t="s">
        <v>164</v>
      </c>
      <c r="L53" s="0" t="s">
        <v>165</v>
      </c>
      <c r="M53" s="0" t="s">
        <v>378</v>
      </c>
      <c r="N53" s="0" t="s">
        <v>379</v>
      </c>
      <c r="O53" s="0" t="s">
        <v>238</v>
      </c>
      <c r="Q53" s="0" t="s">
        <v>130</v>
      </c>
      <c r="R53" s="0" t="s">
        <v>138</v>
      </c>
      <c r="S53" s="14">
        <v>0</v>
      </c>
      <c r="T53" s="0" t="s">
        <v>387</v>
      </c>
      <c r="U53" s="0" t="s">
        <v>138</v>
      </c>
      <c r="V53" s="14" t="s">
        <v>138</v>
      </c>
      <c r="W53" s="0" t="s">
        <v>138</v>
      </c>
      <c r="X53" s="14" t="s">
        <v>138</v>
      </c>
      <c r="Y53" s="0" t="s">
        <v>138</v>
      </c>
      <c r="Z53" s="14" t="s">
        <v>138</v>
      </c>
      <c r="AA53" s="0" t="s">
        <v>138</v>
      </c>
      <c r="AB53" s="14" t="s">
        <v>138</v>
      </c>
      <c r="AD53" s="0" t="s">
        <v>138</v>
      </c>
      <c r="AF53" s="0">
        <v>0</v>
      </c>
      <c r="AG53" s="0">
        <v>0</v>
      </c>
      <c r="AH53" s="0" t="s">
        <v>140</v>
      </c>
      <c r="AI53" s="0" t="s">
        <v>138</v>
      </c>
      <c r="AL53" s="14"/>
      <c r="AN53" s="14"/>
      <c r="AQ53" s="0" t="s">
        <v>130</v>
      </c>
      <c r="AR53" s="0" t="s">
        <v>130</v>
      </c>
      <c r="AS53" s="0" t="s">
        <v>130</v>
      </c>
      <c r="AT53" s="0" t="s">
        <v>130</v>
      </c>
      <c r="AU53" s="0" t="s">
        <v>130</v>
      </c>
      <c r="AV53" s="0" t="s">
        <v>130</v>
      </c>
      <c r="AW53" s="0" t="s">
        <v>130</v>
      </c>
      <c r="AX53" s="0" t="s">
        <v>130</v>
      </c>
      <c r="AY53" s="0" t="s">
        <v>130</v>
      </c>
      <c r="AZ53" s="0" t="s">
        <v>130</v>
      </c>
      <c r="BA53" s="0" t="s">
        <v>130</v>
      </c>
      <c r="BB53" s="0" t="s">
        <v>130</v>
      </c>
      <c r="BC53" s="0" t="s">
        <v>130</v>
      </c>
      <c r="BD53" s="0" t="s">
        <v>130</v>
      </c>
      <c r="BE53" s="0" t="s">
        <v>130</v>
      </c>
      <c r="BF53" s="0" t="s">
        <v>130</v>
      </c>
      <c r="BG53" s="0" t="s">
        <v>130</v>
      </c>
      <c r="BH53" s="0" t="s">
        <v>130</v>
      </c>
      <c r="BI53" s="0" t="s">
        <v>130</v>
      </c>
      <c r="BJ53" s="0" t="s">
        <v>130</v>
      </c>
      <c r="BK53" s="0" t="s">
        <v>130</v>
      </c>
      <c r="BL53" s="0" t="s">
        <v>130</v>
      </c>
      <c r="BM53" s="0" t="s">
        <v>130</v>
      </c>
      <c r="BN53" s="0" t="s">
        <v>130</v>
      </c>
      <c r="BO53" s="0" t="s">
        <v>130</v>
      </c>
      <c r="BP53" s="0" t="s">
        <v>130</v>
      </c>
      <c r="BQ53" s="0" t="s">
        <v>130</v>
      </c>
      <c r="BR53" s="0" t="s">
        <v>130</v>
      </c>
      <c r="BS53" s="0" t="s">
        <v>130</v>
      </c>
      <c r="BT53" s="0" t="s">
        <v>130</v>
      </c>
      <c r="BU53" s="0" t="s">
        <v>130</v>
      </c>
      <c r="BV53" s="0" t="s">
        <v>130</v>
      </c>
      <c r="BW53" s="0" t="s">
        <v>130</v>
      </c>
      <c r="BX53" s="0" t="s">
        <v>130</v>
      </c>
      <c r="BY53" s="0" t="s">
        <v>130</v>
      </c>
      <c r="BZ53" s="0" t="s">
        <v>130</v>
      </c>
      <c r="CA53" s="0" t="s">
        <v>130</v>
      </c>
      <c r="CB53" s="0" t="s">
        <v>130</v>
      </c>
      <c r="CC53" s="0" t="s">
        <v>130</v>
      </c>
      <c r="CD53" s="0" t="s">
        <v>130</v>
      </c>
      <c r="CE53" s="0" t="s">
        <v>130</v>
      </c>
      <c r="CF53" s="0" t="s">
        <v>130</v>
      </c>
      <c r="CG53" s="0" t="s">
        <v>130</v>
      </c>
      <c r="CH53" s="0" t="s">
        <v>130</v>
      </c>
      <c r="CI53" s="0" t="s">
        <v>130</v>
      </c>
      <c r="CJ53" s="0" t="s">
        <v>130</v>
      </c>
      <c r="CK53" s="0" t="s">
        <v>130</v>
      </c>
      <c r="CL53" s="0" t="s">
        <v>130</v>
      </c>
      <c r="CM53" s="0" t="s">
        <v>130</v>
      </c>
      <c r="CN53" s="0" t="s">
        <v>130</v>
      </c>
      <c r="CO53" s="0" t="s">
        <v>130</v>
      </c>
      <c r="CP53" s="0" t="s">
        <v>130</v>
      </c>
      <c r="CQ53" s="0" t="s">
        <v>130</v>
      </c>
      <c r="CR53" s="0" t="s">
        <v>130</v>
      </c>
      <c r="CS53" s="0" t="s">
        <v>130</v>
      </c>
      <c r="CT53" s="0" t="s">
        <v>388</v>
      </c>
    </row>
    <row r="54">
      <c r="A54" s="14">
        <v>100158</v>
      </c>
      <c r="B54" s="0" t="s">
        <v>375</v>
      </c>
      <c r="C54" s="16">
        <f>HYPERLINK("https://eosportal.federatedhermes.com/companies/Q29tcGFueQppNDY5MDc=", "Banco Santander SA")</f>
      </c>
      <c r="D54" s="0" t="s">
        <v>25</v>
      </c>
      <c r="E54" s="0" t="s">
        <v>389</v>
      </c>
      <c r="F54" s="16">
        <f>HYPERLINK("https://eosportal.federatedhermes.com/engagements/RW5nYWdlbWVudAppMTgzMzY=", "Responsible lending")</f>
      </c>
      <c r="G54" s="14" t="s">
        <v>389</v>
      </c>
      <c r="H54" s="0" t="s">
        <v>130</v>
      </c>
      <c r="I54" s="14" t="s">
        <v>319</v>
      </c>
      <c r="J54" s="0" t="s">
        <v>132</v>
      </c>
      <c r="K54" s="0" t="s">
        <v>133</v>
      </c>
      <c r="L54" s="0" t="s">
        <v>160</v>
      </c>
      <c r="M54" s="0" t="s">
        <v>378</v>
      </c>
      <c r="N54" s="0" t="s">
        <v>379</v>
      </c>
      <c r="O54" s="0" t="s">
        <v>238</v>
      </c>
      <c r="Q54" s="0" t="s">
        <v>130</v>
      </c>
      <c r="R54" s="0" t="s">
        <v>138</v>
      </c>
      <c r="S54" s="14">
        <v>0</v>
      </c>
      <c r="T54" s="0" t="s">
        <v>390</v>
      </c>
      <c r="U54" s="0" t="s">
        <v>138</v>
      </c>
      <c r="V54" s="14" t="s">
        <v>138</v>
      </c>
      <c r="W54" s="0" t="s">
        <v>138</v>
      </c>
      <c r="X54" s="14" t="s">
        <v>138</v>
      </c>
      <c r="Y54" s="0" t="s">
        <v>138</v>
      </c>
      <c r="Z54" s="14" t="s">
        <v>138</v>
      </c>
      <c r="AA54" s="0" t="s">
        <v>138</v>
      </c>
      <c r="AB54" s="14" t="s">
        <v>138</v>
      </c>
      <c r="AD54" s="0" t="s">
        <v>138</v>
      </c>
      <c r="AF54" s="0">
        <v>0</v>
      </c>
      <c r="AG54" s="0">
        <v>0</v>
      </c>
      <c r="AH54" s="0" t="s">
        <v>140</v>
      </c>
      <c r="AI54" s="0" t="s">
        <v>138</v>
      </c>
      <c r="AL54" s="14"/>
      <c r="AN54" s="14"/>
      <c r="AQ54" s="0" t="s">
        <v>130</v>
      </c>
      <c r="AR54" s="0" t="s">
        <v>130</v>
      </c>
      <c r="AS54" s="0" t="s">
        <v>130</v>
      </c>
      <c r="AT54" s="0" t="s">
        <v>130</v>
      </c>
      <c r="AU54" s="0" t="s">
        <v>130</v>
      </c>
      <c r="AV54" s="0" t="s">
        <v>130</v>
      </c>
      <c r="AW54" s="0" t="s">
        <v>130</v>
      </c>
      <c r="AX54" s="0" t="s">
        <v>130</v>
      </c>
      <c r="AY54" s="0" t="s">
        <v>130</v>
      </c>
      <c r="AZ54" s="0" t="s">
        <v>130</v>
      </c>
      <c r="BA54" s="0" t="s">
        <v>130</v>
      </c>
      <c r="BB54" s="0" t="s">
        <v>130</v>
      </c>
      <c r="BC54" s="0" t="s">
        <v>130</v>
      </c>
      <c r="BD54" s="0" t="s">
        <v>130</v>
      </c>
      <c r="BE54" s="0" t="s">
        <v>130</v>
      </c>
      <c r="BF54" s="0" t="s">
        <v>130</v>
      </c>
      <c r="BG54" s="0" t="s">
        <v>130</v>
      </c>
      <c r="BH54" s="0" t="s">
        <v>130</v>
      </c>
      <c r="BI54" s="0" t="s">
        <v>130</v>
      </c>
      <c r="BJ54" s="0" t="s">
        <v>130</v>
      </c>
      <c r="BK54" s="0" t="s">
        <v>130</v>
      </c>
      <c r="BL54" s="0" t="s">
        <v>130</v>
      </c>
      <c r="BM54" s="0" t="s">
        <v>130</v>
      </c>
      <c r="BN54" s="0" t="s">
        <v>130</v>
      </c>
      <c r="BO54" s="0" t="s">
        <v>130</v>
      </c>
      <c r="BP54" s="0" t="s">
        <v>130</v>
      </c>
      <c r="BQ54" s="0" t="s">
        <v>130</v>
      </c>
      <c r="BR54" s="0" t="s">
        <v>130</v>
      </c>
      <c r="BS54" s="0" t="s">
        <v>130</v>
      </c>
      <c r="BT54" s="0" t="s">
        <v>130</v>
      </c>
      <c r="BU54" s="0" t="s">
        <v>130</v>
      </c>
      <c r="BV54" s="0" t="s">
        <v>130</v>
      </c>
      <c r="BW54" s="0" t="s">
        <v>130</v>
      </c>
      <c r="BX54" s="0" t="s">
        <v>130</v>
      </c>
      <c r="BY54" s="0" t="s">
        <v>130</v>
      </c>
      <c r="BZ54" s="0" t="s">
        <v>130</v>
      </c>
      <c r="CA54" s="0" t="s">
        <v>130</v>
      </c>
      <c r="CB54" s="0" t="s">
        <v>130</v>
      </c>
      <c r="CC54" s="0" t="s">
        <v>130</v>
      </c>
      <c r="CD54" s="0" t="s">
        <v>130</v>
      </c>
      <c r="CE54" s="0" t="s">
        <v>130</v>
      </c>
      <c r="CF54" s="0" t="s">
        <v>130</v>
      </c>
      <c r="CG54" s="0" t="s">
        <v>130</v>
      </c>
      <c r="CH54" s="0" t="s">
        <v>130</v>
      </c>
      <c r="CI54" s="0" t="s">
        <v>130</v>
      </c>
      <c r="CJ54" s="0" t="s">
        <v>130</v>
      </c>
      <c r="CK54" s="0" t="s">
        <v>130</v>
      </c>
      <c r="CL54" s="0" t="s">
        <v>130</v>
      </c>
      <c r="CM54" s="0" t="s">
        <v>130</v>
      </c>
      <c r="CN54" s="0" t="s">
        <v>130</v>
      </c>
      <c r="CO54" s="0" t="s">
        <v>130</v>
      </c>
      <c r="CP54" s="0" t="s">
        <v>130</v>
      </c>
      <c r="CQ54" s="0" t="s">
        <v>130</v>
      </c>
      <c r="CR54" s="0" t="s">
        <v>130</v>
      </c>
      <c r="CS54" s="0" t="s">
        <v>130</v>
      </c>
      <c r="CT54" s="0" t="s">
        <v>391</v>
      </c>
    </row>
    <row r="55">
      <c r="A55" s="14">
        <v>100158</v>
      </c>
      <c r="B55" s="0" t="s">
        <v>375</v>
      </c>
      <c r="C55" s="16">
        <f>HYPERLINK("https://eosportal.federatedhermes.com/companies/Q29tcGFueQppNDY5MDc=", "Banco Santander SA")</f>
      </c>
      <c r="D55" s="0" t="s">
        <v>23</v>
      </c>
      <c r="E55" s="0" t="s">
        <v>392</v>
      </c>
      <c r="F55" s="16">
        <f>HYPERLINK("https://eosportal.federatedhermes.com/engagements/RW5nYWdlbWVudAppMTgzNDE=", "Group alignment on responsible business")</f>
      </c>
      <c r="G55" s="14" t="s">
        <v>393</v>
      </c>
      <c r="H55" s="0" t="s">
        <v>130</v>
      </c>
      <c r="I55" s="14" t="s">
        <v>319</v>
      </c>
      <c r="J55" s="0" t="s">
        <v>132</v>
      </c>
      <c r="K55" s="0" t="s">
        <v>133</v>
      </c>
      <c r="L55" s="0" t="s">
        <v>160</v>
      </c>
      <c r="M55" s="0" t="s">
        <v>378</v>
      </c>
      <c r="N55" s="0" t="s">
        <v>379</v>
      </c>
      <c r="O55" s="0" t="s">
        <v>238</v>
      </c>
      <c r="Q55" s="0" t="s">
        <v>130</v>
      </c>
      <c r="R55" s="0" t="s">
        <v>130</v>
      </c>
      <c r="S55" s="14">
        <v>0</v>
      </c>
      <c r="T55" s="0" t="s">
        <v>166</v>
      </c>
      <c r="U55" s="0" t="s">
        <v>221</v>
      </c>
      <c r="V55" s="14" t="s">
        <v>166</v>
      </c>
      <c r="W55" s="0" t="s">
        <v>221</v>
      </c>
      <c r="X55" s="14" t="s">
        <v>166</v>
      </c>
      <c r="Y55" s="0" t="s">
        <v>221</v>
      </c>
      <c r="Z55" s="14" t="s">
        <v>394</v>
      </c>
      <c r="AA55" s="0" t="s">
        <v>223</v>
      </c>
      <c r="AB55" s="14" t="s">
        <v>138</v>
      </c>
      <c r="AD55" s="0" t="s">
        <v>20</v>
      </c>
      <c r="AF55" s="0">
        <v>0</v>
      </c>
      <c r="AG55" s="0">
        <v>0</v>
      </c>
      <c r="AH55" s="0" t="s">
        <v>140</v>
      </c>
      <c r="AI55" s="0" t="s">
        <v>225</v>
      </c>
      <c r="AL55" s="14"/>
      <c r="AN55" s="14"/>
      <c r="AQ55" s="0" t="s">
        <v>130</v>
      </c>
      <c r="AR55" s="0" t="s">
        <v>130</v>
      </c>
      <c r="AS55" s="0" t="s">
        <v>130</v>
      </c>
      <c r="AT55" s="0" t="s">
        <v>130</v>
      </c>
      <c r="AU55" s="0" t="s">
        <v>130</v>
      </c>
      <c r="AV55" s="0" t="s">
        <v>130</v>
      </c>
      <c r="AW55" s="0" t="s">
        <v>130</v>
      </c>
      <c r="AX55" s="0" t="s">
        <v>130</v>
      </c>
      <c r="AY55" s="0" t="s">
        <v>130</v>
      </c>
      <c r="AZ55" s="0" t="s">
        <v>130</v>
      </c>
      <c r="BA55" s="0" t="s">
        <v>130</v>
      </c>
      <c r="BB55" s="0" t="s">
        <v>130</v>
      </c>
      <c r="BC55" s="0" t="s">
        <v>130</v>
      </c>
      <c r="BD55" s="0" t="s">
        <v>130</v>
      </c>
      <c r="BE55" s="0" t="s">
        <v>130</v>
      </c>
      <c r="BF55" s="0" t="s">
        <v>130</v>
      </c>
      <c r="BG55" s="0" t="s">
        <v>130</v>
      </c>
      <c r="BH55" s="0" t="s">
        <v>130</v>
      </c>
      <c r="BI55" s="0" t="s">
        <v>130</v>
      </c>
      <c r="BJ55" s="0" t="s">
        <v>130</v>
      </c>
      <c r="BK55" s="0" t="s">
        <v>130</v>
      </c>
      <c r="BL55" s="0" t="s">
        <v>130</v>
      </c>
      <c r="BM55" s="0" t="s">
        <v>130</v>
      </c>
      <c r="BN55" s="0" t="s">
        <v>130</v>
      </c>
      <c r="BO55" s="0" t="s">
        <v>130</v>
      </c>
      <c r="BP55" s="0" t="s">
        <v>130</v>
      </c>
      <c r="BQ55" s="0" t="s">
        <v>130</v>
      </c>
      <c r="BR55" s="0" t="s">
        <v>130</v>
      </c>
      <c r="BS55" s="0" t="s">
        <v>130</v>
      </c>
      <c r="BT55" s="0" t="s">
        <v>130</v>
      </c>
      <c r="BU55" s="0" t="s">
        <v>130</v>
      </c>
      <c r="BV55" s="0" t="s">
        <v>130</v>
      </c>
      <c r="BW55" s="0" t="s">
        <v>130</v>
      </c>
      <c r="BX55" s="0" t="s">
        <v>130</v>
      </c>
      <c r="BY55" s="0" t="s">
        <v>130</v>
      </c>
      <c r="BZ55" s="0" t="s">
        <v>130</v>
      </c>
      <c r="CA55" s="0" t="s">
        <v>130</v>
      </c>
      <c r="CB55" s="0" t="s">
        <v>130</v>
      </c>
      <c r="CC55" s="0" t="s">
        <v>130</v>
      </c>
      <c r="CD55" s="0" t="s">
        <v>130</v>
      </c>
      <c r="CE55" s="0" t="s">
        <v>130</v>
      </c>
      <c r="CF55" s="0" t="s">
        <v>130</v>
      </c>
      <c r="CG55" s="0" t="s">
        <v>130</v>
      </c>
      <c r="CH55" s="0" t="s">
        <v>130</v>
      </c>
      <c r="CI55" s="0" t="s">
        <v>130</v>
      </c>
      <c r="CJ55" s="0" t="s">
        <v>130</v>
      </c>
      <c r="CK55" s="0" t="s">
        <v>130</v>
      </c>
      <c r="CL55" s="0" t="s">
        <v>130</v>
      </c>
      <c r="CM55" s="0" t="s">
        <v>130</v>
      </c>
      <c r="CN55" s="0" t="s">
        <v>130</v>
      </c>
      <c r="CO55" s="0" t="s">
        <v>130</v>
      </c>
      <c r="CP55" s="0" t="s">
        <v>130</v>
      </c>
      <c r="CQ55" s="0" t="s">
        <v>130</v>
      </c>
      <c r="CR55" s="0" t="s">
        <v>130</v>
      </c>
      <c r="CS55" s="0" t="s">
        <v>130</v>
      </c>
      <c r="CT55" s="0" t="s">
        <v>395</v>
      </c>
    </row>
    <row r="56">
      <c r="A56" s="14">
        <v>100158</v>
      </c>
      <c r="B56" s="0" t="s">
        <v>375</v>
      </c>
      <c r="C56" s="16">
        <f>HYPERLINK("https://eosportal.federatedhermes.com/companies/Q29tcGFueQppNDY5MDc=", "Banco Santander SA")</f>
      </c>
      <c r="D56" s="0" t="s">
        <v>25</v>
      </c>
      <c r="E56" s="0" t="s">
        <v>396</v>
      </c>
      <c r="F56" s="16">
        <f>HYPERLINK("https://eosportal.federatedhermes.com/engagements/RW5nYWdlbWVudAppMTgzNTA=", "Remuneration structure")</f>
      </c>
      <c r="G56" s="14" t="s">
        <v>341</v>
      </c>
      <c r="H56" s="0" t="s">
        <v>130</v>
      </c>
      <c r="I56" s="14" t="s">
        <v>319</v>
      </c>
      <c r="J56" s="0" t="s">
        <v>145</v>
      </c>
      <c r="K56" s="0" t="s">
        <v>146</v>
      </c>
      <c r="L56" s="0" t="s">
        <v>147</v>
      </c>
      <c r="M56" s="0" t="s">
        <v>378</v>
      </c>
      <c r="N56" s="0" t="s">
        <v>379</v>
      </c>
      <c r="O56" s="0" t="s">
        <v>238</v>
      </c>
      <c r="Q56" s="0" t="s">
        <v>130</v>
      </c>
      <c r="R56" s="0" t="s">
        <v>138</v>
      </c>
      <c r="S56" s="14">
        <v>0</v>
      </c>
      <c r="T56" s="0" t="s">
        <v>387</v>
      </c>
      <c r="U56" s="0" t="s">
        <v>138</v>
      </c>
      <c r="V56" s="14" t="s">
        <v>138</v>
      </c>
      <c r="W56" s="0" t="s">
        <v>138</v>
      </c>
      <c r="X56" s="14" t="s">
        <v>138</v>
      </c>
      <c r="Y56" s="0" t="s">
        <v>138</v>
      </c>
      <c r="Z56" s="14" t="s">
        <v>138</v>
      </c>
      <c r="AA56" s="0" t="s">
        <v>138</v>
      </c>
      <c r="AB56" s="14" t="s">
        <v>138</v>
      </c>
      <c r="AD56" s="0" t="s">
        <v>138</v>
      </c>
      <c r="AF56" s="0">
        <v>0</v>
      </c>
      <c r="AG56" s="0">
        <v>0</v>
      </c>
      <c r="AH56" s="0" t="s">
        <v>140</v>
      </c>
      <c r="AI56" s="0" t="s">
        <v>138</v>
      </c>
      <c r="AL56" s="14"/>
      <c r="AN56" s="14"/>
      <c r="AQ56" s="0" t="s">
        <v>130</v>
      </c>
      <c r="AR56" s="0" t="s">
        <v>130</v>
      </c>
      <c r="AS56" s="0" t="s">
        <v>130</v>
      </c>
      <c r="AT56" s="0" t="s">
        <v>130</v>
      </c>
      <c r="AU56" s="0" t="s">
        <v>130</v>
      </c>
      <c r="AV56" s="0" t="s">
        <v>130</v>
      </c>
      <c r="AW56" s="0" t="s">
        <v>130</v>
      </c>
      <c r="AX56" s="0" t="s">
        <v>130</v>
      </c>
      <c r="AY56" s="0" t="s">
        <v>130</v>
      </c>
      <c r="AZ56" s="0" t="s">
        <v>130</v>
      </c>
      <c r="BA56" s="0" t="s">
        <v>130</v>
      </c>
      <c r="BB56" s="0" t="s">
        <v>130</v>
      </c>
      <c r="BC56" s="0" t="s">
        <v>130</v>
      </c>
      <c r="BD56" s="0" t="s">
        <v>130</v>
      </c>
      <c r="BE56" s="0" t="s">
        <v>130</v>
      </c>
      <c r="BF56" s="0" t="s">
        <v>130</v>
      </c>
      <c r="BG56" s="0" t="s">
        <v>130</v>
      </c>
      <c r="BH56" s="0" t="s">
        <v>130</v>
      </c>
      <c r="BI56" s="0" t="s">
        <v>130</v>
      </c>
      <c r="BJ56" s="0" t="s">
        <v>130</v>
      </c>
      <c r="BK56" s="0" t="s">
        <v>130</v>
      </c>
      <c r="BL56" s="0" t="s">
        <v>130</v>
      </c>
      <c r="BM56" s="0" t="s">
        <v>130</v>
      </c>
      <c r="BN56" s="0" t="s">
        <v>130</v>
      </c>
      <c r="BO56" s="0" t="s">
        <v>130</v>
      </c>
      <c r="BP56" s="0" t="s">
        <v>130</v>
      </c>
      <c r="BQ56" s="0" t="s">
        <v>130</v>
      </c>
      <c r="BR56" s="0" t="s">
        <v>130</v>
      </c>
      <c r="BS56" s="0" t="s">
        <v>130</v>
      </c>
      <c r="BT56" s="0" t="s">
        <v>130</v>
      </c>
      <c r="BU56" s="0" t="s">
        <v>130</v>
      </c>
      <c r="BV56" s="0" t="s">
        <v>130</v>
      </c>
      <c r="BW56" s="0" t="s">
        <v>130</v>
      </c>
      <c r="BX56" s="0" t="s">
        <v>130</v>
      </c>
      <c r="BY56" s="0" t="s">
        <v>130</v>
      </c>
      <c r="BZ56" s="0" t="s">
        <v>130</v>
      </c>
      <c r="CA56" s="0" t="s">
        <v>130</v>
      </c>
      <c r="CB56" s="0" t="s">
        <v>130</v>
      </c>
      <c r="CC56" s="0" t="s">
        <v>130</v>
      </c>
      <c r="CD56" s="0" t="s">
        <v>130</v>
      </c>
      <c r="CE56" s="0" t="s">
        <v>130</v>
      </c>
      <c r="CF56" s="0" t="s">
        <v>130</v>
      </c>
      <c r="CG56" s="0" t="s">
        <v>130</v>
      </c>
      <c r="CH56" s="0" t="s">
        <v>130</v>
      </c>
      <c r="CI56" s="0" t="s">
        <v>130</v>
      </c>
      <c r="CJ56" s="0" t="s">
        <v>130</v>
      </c>
      <c r="CK56" s="0" t="s">
        <v>130</v>
      </c>
      <c r="CL56" s="0" t="s">
        <v>130</v>
      </c>
      <c r="CM56" s="0" t="s">
        <v>130</v>
      </c>
      <c r="CN56" s="0" t="s">
        <v>130</v>
      </c>
      <c r="CO56" s="0" t="s">
        <v>130</v>
      </c>
      <c r="CP56" s="0" t="s">
        <v>130</v>
      </c>
      <c r="CQ56" s="0" t="s">
        <v>130</v>
      </c>
      <c r="CR56" s="0" t="s">
        <v>130</v>
      </c>
      <c r="CS56" s="0" t="s">
        <v>130</v>
      </c>
      <c r="CT56" s="0" t="s">
        <v>397</v>
      </c>
    </row>
    <row r="57">
      <c r="A57" s="14">
        <v>100158</v>
      </c>
      <c r="B57" s="0" t="s">
        <v>375</v>
      </c>
      <c r="C57" s="16">
        <f>HYPERLINK("https://eosportal.federatedhermes.com/companies/Q29tcGFueQppNDY5MDc=", "Banco Santander SA")</f>
      </c>
      <c r="D57" s="0" t="s">
        <v>25</v>
      </c>
      <c r="E57" s="0" t="s">
        <v>398</v>
      </c>
      <c r="F57" s="16">
        <f>HYPERLINK("https://eosportal.federatedhermes.com/engagements/RW5nYWdlbWVudAppMTgzNTE=", "Annual meeting good practice")</f>
      </c>
      <c r="G57" s="14" t="s">
        <v>399</v>
      </c>
      <c r="H57" s="0" t="s">
        <v>130</v>
      </c>
      <c r="I57" s="14" t="s">
        <v>319</v>
      </c>
      <c r="J57" s="0" t="s">
        <v>145</v>
      </c>
      <c r="K57" s="0" t="s">
        <v>400</v>
      </c>
      <c r="L57" s="0" t="s">
        <v>401</v>
      </c>
      <c r="M57" s="0" t="s">
        <v>378</v>
      </c>
      <c r="N57" s="0" t="s">
        <v>379</v>
      </c>
      <c r="O57" s="0" t="s">
        <v>238</v>
      </c>
      <c r="Q57" s="0" t="s">
        <v>130</v>
      </c>
      <c r="R57" s="0" t="s">
        <v>138</v>
      </c>
      <c r="S57" s="14">
        <v>0</v>
      </c>
      <c r="T57" s="0" t="s">
        <v>206</v>
      </c>
      <c r="U57" s="0" t="s">
        <v>138</v>
      </c>
      <c r="V57" s="14" t="s">
        <v>138</v>
      </c>
      <c r="W57" s="0" t="s">
        <v>138</v>
      </c>
      <c r="X57" s="14" t="s">
        <v>138</v>
      </c>
      <c r="Y57" s="0" t="s">
        <v>138</v>
      </c>
      <c r="Z57" s="14" t="s">
        <v>138</v>
      </c>
      <c r="AA57" s="0" t="s">
        <v>138</v>
      </c>
      <c r="AB57" s="14" t="s">
        <v>138</v>
      </c>
      <c r="AD57" s="0" t="s">
        <v>138</v>
      </c>
      <c r="AF57" s="0">
        <v>0</v>
      </c>
      <c r="AG57" s="0">
        <v>0</v>
      </c>
      <c r="AH57" s="0" t="s">
        <v>140</v>
      </c>
      <c r="AI57" s="0" t="s">
        <v>138</v>
      </c>
      <c r="AL57" s="14"/>
      <c r="AN57" s="14"/>
      <c r="AQ57" s="0" t="s">
        <v>130</v>
      </c>
      <c r="AR57" s="0" t="s">
        <v>130</v>
      </c>
      <c r="AS57" s="0" t="s">
        <v>130</v>
      </c>
      <c r="AT57" s="0" t="s">
        <v>130</v>
      </c>
      <c r="AU57" s="0" t="s">
        <v>130</v>
      </c>
      <c r="AV57" s="0" t="s">
        <v>130</v>
      </c>
      <c r="AW57" s="0" t="s">
        <v>130</v>
      </c>
      <c r="AX57" s="0" t="s">
        <v>130</v>
      </c>
      <c r="AY57" s="0" t="s">
        <v>130</v>
      </c>
      <c r="AZ57" s="0" t="s">
        <v>130</v>
      </c>
      <c r="BA57" s="0" t="s">
        <v>130</v>
      </c>
      <c r="BB57" s="0" t="s">
        <v>130</v>
      </c>
      <c r="BC57" s="0" t="s">
        <v>130</v>
      </c>
      <c r="BD57" s="0" t="s">
        <v>130</v>
      </c>
      <c r="BE57" s="0" t="s">
        <v>130</v>
      </c>
      <c r="BF57" s="0" t="s">
        <v>130</v>
      </c>
      <c r="BG57" s="0" t="s">
        <v>130</v>
      </c>
      <c r="BH57" s="0" t="s">
        <v>130</v>
      </c>
      <c r="BI57" s="0" t="s">
        <v>130</v>
      </c>
      <c r="BJ57" s="0" t="s">
        <v>130</v>
      </c>
      <c r="BK57" s="0" t="s">
        <v>130</v>
      </c>
      <c r="BL57" s="0" t="s">
        <v>130</v>
      </c>
      <c r="BM57" s="0" t="s">
        <v>130</v>
      </c>
      <c r="BN57" s="0" t="s">
        <v>130</v>
      </c>
      <c r="BO57" s="0" t="s">
        <v>130</v>
      </c>
      <c r="BP57" s="0" t="s">
        <v>130</v>
      </c>
      <c r="BQ57" s="0" t="s">
        <v>130</v>
      </c>
      <c r="BR57" s="0" t="s">
        <v>130</v>
      </c>
      <c r="BS57" s="0" t="s">
        <v>130</v>
      </c>
      <c r="BT57" s="0" t="s">
        <v>130</v>
      </c>
      <c r="BU57" s="0" t="s">
        <v>130</v>
      </c>
      <c r="BV57" s="0" t="s">
        <v>130</v>
      </c>
      <c r="BW57" s="0" t="s">
        <v>130</v>
      </c>
      <c r="BX57" s="0" t="s">
        <v>130</v>
      </c>
      <c r="BY57" s="0" t="s">
        <v>130</v>
      </c>
      <c r="BZ57" s="0" t="s">
        <v>130</v>
      </c>
      <c r="CA57" s="0" t="s">
        <v>130</v>
      </c>
      <c r="CB57" s="0" t="s">
        <v>130</v>
      </c>
      <c r="CC57" s="0" t="s">
        <v>130</v>
      </c>
      <c r="CD57" s="0" t="s">
        <v>130</v>
      </c>
      <c r="CE57" s="0" t="s">
        <v>130</v>
      </c>
      <c r="CF57" s="0" t="s">
        <v>130</v>
      </c>
      <c r="CG57" s="0" t="s">
        <v>130</v>
      </c>
      <c r="CH57" s="0" t="s">
        <v>130</v>
      </c>
      <c r="CI57" s="0" t="s">
        <v>130</v>
      </c>
      <c r="CJ57" s="0" t="s">
        <v>130</v>
      </c>
      <c r="CK57" s="0" t="s">
        <v>130</v>
      </c>
      <c r="CL57" s="0" t="s">
        <v>130</v>
      </c>
      <c r="CM57" s="0" t="s">
        <v>130</v>
      </c>
      <c r="CN57" s="0" t="s">
        <v>130</v>
      </c>
      <c r="CO57" s="0" t="s">
        <v>130</v>
      </c>
      <c r="CP57" s="0" t="s">
        <v>130</v>
      </c>
      <c r="CQ57" s="0" t="s">
        <v>130</v>
      </c>
      <c r="CR57" s="0" t="s">
        <v>130</v>
      </c>
      <c r="CS57" s="0" t="s">
        <v>130</v>
      </c>
      <c r="CT57" s="0" t="s">
        <v>402</v>
      </c>
    </row>
    <row r="58">
      <c r="A58" s="14">
        <v>100158</v>
      </c>
      <c r="B58" s="0" t="s">
        <v>375</v>
      </c>
      <c r="C58" s="16">
        <f>HYPERLINK("https://eosportal.federatedhermes.com/companies/Q29tcGFueQppNDY5MDc=", "Banco Santander SA")</f>
      </c>
      <c r="D58" s="0" t="s">
        <v>25</v>
      </c>
      <c r="E58" s="0" t="s">
        <v>403</v>
      </c>
      <c r="F58" s="16">
        <f>HYPERLINK("https://eosportal.federatedhermes.com/engagements/RW5nYWdlbWVudAppMTgzNTI=", "Financial inclusion")</f>
      </c>
      <c r="G58" s="14" t="s">
        <v>404</v>
      </c>
      <c r="H58" s="0" t="s">
        <v>130</v>
      </c>
      <c r="I58" s="14" t="s">
        <v>319</v>
      </c>
      <c r="J58" s="0" t="s">
        <v>153</v>
      </c>
      <c r="K58" s="0" t="s">
        <v>243</v>
      </c>
      <c r="L58" s="0" t="s">
        <v>292</v>
      </c>
      <c r="M58" s="0" t="s">
        <v>378</v>
      </c>
      <c r="N58" s="0" t="s">
        <v>379</v>
      </c>
      <c r="O58" s="0" t="s">
        <v>238</v>
      </c>
      <c r="Q58" s="0" t="s">
        <v>130</v>
      </c>
      <c r="R58" s="0" t="s">
        <v>138</v>
      </c>
      <c r="S58" s="14">
        <v>0</v>
      </c>
      <c r="T58" s="0" t="s">
        <v>327</v>
      </c>
      <c r="U58" s="0" t="s">
        <v>138</v>
      </c>
      <c r="V58" s="14" t="s">
        <v>138</v>
      </c>
      <c r="W58" s="0" t="s">
        <v>138</v>
      </c>
      <c r="X58" s="14" t="s">
        <v>138</v>
      </c>
      <c r="Y58" s="0" t="s">
        <v>138</v>
      </c>
      <c r="Z58" s="14" t="s">
        <v>138</v>
      </c>
      <c r="AA58" s="0" t="s">
        <v>138</v>
      </c>
      <c r="AB58" s="14" t="s">
        <v>138</v>
      </c>
      <c r="AD58" s="0" t="s">
        <v>138</v>
      </c>
      <c r="AF58" s="0">
        <v>0</v>
      </c>
      <c r="AG58" s="0">
        <v>0</v>
      </c>
      <c r="AH58" s="0" t="s">
        <v>140</v>
      </c>
      <c r="AI58" s="0" t="s">
        <v>138</v>
      </c>
      <c r="AL58" s="14"/>
      <c r="AN58" s="14"/>
      <c r="AQ58" s="0" t="s">
        <v>141</v>
      </c>
      <c r="AR58" s="0" t="s">
        <v>130</v>
      </c>
      <c r="AS58" s="0" t="s">
        <v>130</v>
      </c>
      <c r="AT58" s="0" t="s">
        <v>130</v>
      </c>
      <c r="AU58" s="0" t="s">
        <v>141</v>
      </c>
      <c r="AV58" s="0" t="s">
        <v>130</v>
      </c>
      <c r="AW58" s="0" t="s">
        <v>130</v>
      </c>
      <c r="AX58" s="0" t="s">
        <v>141</v>
      </c>
      <c r="AY58" s="0" t="s">
        <v>130</v>
      </c>
      <c r="AZ58" s="0" t="s">
        <v>130</v>
      </c>
      <c r="BA58" s="0" t="s">
        <v>130</v>
      </c>
      <c r="BB58" s="0" t="s">
        <v>130</v>
      </c>
      <c r="BC58" s="0" t="s">
        <v>130</v>
      </c>
      <c r="BD58" s="0" t="s">
        <v>130</v>
      </c>
      <c r="BE58" s="0" t="s">
        <v>130</v>
      </c>
      <c r="BF58" s="0" t="s">
        <v>130</v>
      </c>
      <c r="BG58" s="0" t="s">
        <v>130</v>
      </c>
      <c r="BH58" s="0" t="s">
        <v>130</v>
      </c>
      <c r="BI58" s="0" t="s">
        <v>130</v>
      </c>
      <c r="BJ58" s="0" t="s">
        <v>130</v>
      </c>
      <c r="BK58" s="0" t="s">
        <v>130</v>
      </c>
      <c r="BL58" s="0" t="s">
        <v>130</v>
      </c>
      <c r="BM58" s="0" t="s">
        <v>130</v>
      </c>
      <c r="BN58" s="0" t="s">
        <v>130</v>
      </c>
      <c r="BO58" s="0" t="s">
        <v>130</v>
      </c>
      <c r="BP58" s="0" t="s">
        <v>130</v>
      </c>
      <c r="BQ58" s="0" t="s">
        <v>130</v>
      </c>
      <c r="BR58" s="0" t="s">
        <v>130</v>
      </c>
      <c r="BS58" s="0" t="s">
        <v>130</v>
      </c>
      <c r="BT58" s="0" t="s">
        <v>130</v>
      </c>
      <c r="BU58" s="0" t="s">
        <v>130</v>
      </c>
      <c r="BV58" s="0" t="s">
        <v>130</v>
      </c>
      <c r="BW58" s="0" t="s">
        <v>130</v>
      </c>
      <c r="BX58" s="0" t="s">
        <v>130</v>
      </c>
      <c r="BY58" s="0" t="s">
        <v>130</v>
      </c>
      <c r="BZ58" s="0" t="s">
        <v>130</v>
      </c>
      <c r="CA58" s="0" t="s">
        <v>130</v>
      </c>
      <c r="CB58" s="0" t="s">
        <v>130</v>
      </c>
      <c r="CC58" s="0" t="s">
        <v>130</v>
      </c>
      <c r="CD58" s="0" t="s">
        <v>130</v>
      </c>
      <c r="CE58" s="0" t="s">
        <v>130</v>
      </c>
      <c r="CF58" s="0" t="s">
        <v>130</v>
      </c>
      <c r="CG58" s="0" t="s">
        <v>130</v>
      </c>
      <c r="CH58" s="0" t="s">
        <v>130</v>
      </c>
      <c r="CI58" s="0" t="s">
        <v>130</v>
      </c>
      <c r="CJ58" s="0" t="s">
        <v>130</v>
      </c>
      <c r="CK58" s="0" t="s">
        <v>130</v>
      </c>
      <c r="CL58" s="0" t="s">
        <v>130</v>
      </c>
      <c r="CM58" s="0" t="s">
        <v>130</v>
      </c>
      <c r="CN58" s="0" t="s">
        <v>130</v>
      </c>
      <c r="CO58" s="0" t="s">
        <v>130</v>
      </c>
      <c r="CP58" s="0" t="s">
        <v>130</v>
      </c>
      <c r="CQ58" s="0" t="s">
        <v>130</v>
      </c>
      <c r="CR58" s="0" t="s">
        <v>130</v>
      </c>
      <c r="CS58" s="0" t="s">
        <v>130</v>
      </c>
      <c r="CT58" s="0" t="s">
        <v>405</v>
      </c>
    </row>
    <row r="59">
      <c r="A59" s="14">
        <v>111435</v>
      </c>
      <c r="B59" s="0" t="s">
        <v>406</v>
      </c>
      <c r="C59" s="16">
        <f>HYPERLINK("https://eosportal.federatedhermes.com/companies/Q29tcGFueQppNzgyNjk=", "CRH PLC")</f>
      </c>
      <c r="D59" s="0" t="s">
        <v>25</v>
      </c>
      <c r="E59" s="0" t="s">
        <v>407</v>
      </c>
      <c r="F59" s="16">
        <f>HYPERLINK("https://eosportal.federatedhermes.com/engagements/RW5nYWdlbWVudAppMTg0NTA=", "Corporate lobbying")</f>
      </c>
      <c r="G59" s="14" t="s">
        <v>408</v>
      </c>
      <c r="H59" s="0" t="s">
        <v>141</v>
      </c>
      <c r="I59" s="14" t="s">
        <v>191</v>
      </c>
      <c r="J59" s="0" t="s">
        <v>197</v>
      </c>
      <c r="K59" s="0" t="s">
        <v>198</v>
      </c>
      <c r="L59" s="0" t="s">
        <v>199</v>
      </c>
      <c r="M59" s="0" t="s">
        <v>378</v>
      </c>
      <c r="N59" s="0" t="s">
        <v>409</v>
      </c>
      <c r="O59" s="0" t="s">
        <v>373</v>
      </c>
      <c r="Q59" s="0" t="s">
        <v>130</v>
      </c>
      <c r="R59" s="0" t="s">
        <v>138</v>
      </c>
      <c r="S59" s="14">
        <v>0</v>
      </c>
      <c r="T59" s="0" t="s">
        <v>148</v>
      </c>
      <c r="U59" s="0" t="s">
        <v>138</v>
      </c>
      <c r="V59" s="14" t="s">
        <v>138</v>
      </c>
      <c r="W59" s="0" t="s">
        <v>138</v>
      </c>
      <c r="X59" s="14" t="s">
        <v>138</v>
      </c>
      <c r="Y59" s="0" t="s">
        <v>138</v>
      </c>
      <c r="Z59" s="14" t="s">
        <v>138</v>
      </c>
      <c r="AA59" s="0" t="s">
        <v>138</v>
      </c>
      <c r="AB59" s="14" t="s">
        <v>138</v>
      </c>
      <c r="AD59" s="0" t="s">
        <v>138</v>
      </c>
      <c r="AF59" s="0">
        <v>0</v>
      </c>
      <c r="AG59" s="0">
        <v>0</v>
      </c>
      <c r="AH59" s="0" t="s">
        <v>140</v>
      </c>
      <c r="AI59" s="0" t="s">
        <v>138</v>
      </c>
      <c r="AL59" s="14"/>
      <c r="AN59" s="14"/>
      <c r="AQ59" s="0" t="s">
        <v>130</v>
      </c>
      <c r="AR59" s="0" t="s">
        <v>130</v>
      </c>
      <c r="AS59" s="0" t="s">
        <v>130</v>
      </c>
      <c r="AT59" s="0" t="s">
        <v>130</v>
      </c>
      <c r="AU59" s="0" t="s">
        <v>130</v>
      </c>
      <c r="AV59" s="0" t="s">
        <v>130</v>
      </c>
      <c r="AW59" s="0" t="s">
        <v>130</v>
      </c>
      <c r="AX59" s="0" t="s">
        <v>130</v>
      </c>
      <c r="AY59" s="0" t="s">
        <v>130</v>
      </c>
      <c r="AZ59" s="0" t="s">
        <v>130</v>
      </c>
      <c r="BA59" s="0" t="s">
        <v>130</v>
      </c>
      <c r="BB59" s="0" t="s">
        <v>141</v>
      </c>
      <c r="BC59" s="0" t="s">
        <v>141</v>
      </c>
      <c r="BD59" s="0" t="s">
        <v>130</v>
      </c>
      <c r="BE59" s="0" t="s">
        <v>130</v>
      </c>
      <c r="BF59" s="0" t="s">
        <v>130</v>
      </c>
      <c r="BG59" s="0" t="s">
        <v>130</v>
      </c>
      <c r="BH59" s="0" t="s">
        <v>130</v>
      </c>
      <c r="BI59" s="0" t="s">
        <v>130</v>
      </c>
      <c r="BJ59" s="0" t="s">
        <v>130</v>
      </c>
      <c r="BK59" s="0" t="s">
        <v>130</v>
      </c>
      <c r="BL59" s="0" t="s">
        <v>130</v>
      </c>
      <c r="BM59" s="0" t="s">
        <v>130</v>
      </c>
      <c r="BN59" s="0" t="s">
        <v>130</v>
      </c>
      <c r="BO59" s="0" t="s">
        <v>130</v>
      </c>
      <c r="BP59" s="0" t="s">
        <v>130</v>
      </c>
      <c r="BQ59" s="0" t="s">
        <v>130</v>
      </c>
      <c r="BR59" s="0" t="s">
        <v>130</v>
      </c>
      <c r="BS59" s="0" t="s">
        <v>130</v>
      </c>
      <c r="BT59" s="0" t="s">
        <v>130</v>
      </c>
      <c r="BU59" s="0" t="s">
        <v>130</v>
      </c>
      <c r="BV59" s="0" t="s">
        <v>130</v>
      </c>
      <c r="BW59" s="0" t="s">
        <v>130</v>
      </c>
      <c r="BX59" s="0" t="s">
        <v>130</v>
      </c>
      <c r="BY59" s="0" t="s">
        <v>130</v>
      </c>
      <c r="BZ59" s="0" t="s">
        <v>130</v>
      </c>
      <c r="CA59" s="0" t="s">
        <v>130</v>
      </c>
      <c r="CB59" s="0" t="s">
        <v>130</v>
      </c>
      <c r="CC59" s="0" t="s">
        <v>130</v>
      </c>
      <c r="CD59" s="0" t="s">
        <v>130</v>
      </c>
      <c r="CE59" s="0" t="s">
        <v>130</v>
      </c>
      <c r="CF59" s="0" t="s">
        <v>130</v>
      </c>
      <c r="CG59" s="0" t="s">
        <v>130</v>
      </c>
      <c r="CH59" s="0" t="s">
        <v>130</v>
      </c>
      <c r="CI59" s="0" t="s">
        <v>130</v>
      </c>
      <c r="CJ59" s="0" t="s">
        <v>130</v>
      </c>
      <c r="CK59" s="0" t="s">
        <v>130</v>
      </c>
      <c r="CL59" s="0" t="s">
        <v>130</v>
      </c>
      <c r="CM59" s="0" t="s">
        <v>130</v>
      </c>
      <c r="CN59" s="0" t="s">
        <v>130</v>
      </c>
      <c r="CO59" s="0" t="s">
        <v>130</v>
      </c>
      <c r="CP59" s="0" t="s">
        <v>130</v>
      </c>
      <c r="CQ59" s="0" t="s">
        <v>130</v>
      </c>
      <c r="CR59" s="0" t="s">
        <v>130</v>
      </c>
      <c r="CS59" s="0" t="s">
        <v>130</v>
      </c>
      <c r="CT59" s="0" t="s">
        <v>410</v>
      </c>
    </row>
    <row r="60">
      <c r="A60" s="14">
        <v>111435</v>
      </c>
      <c r="B60" s="0" t="s">
        <v>406</v>
      </c>
      <c r="C60" s="16">
        <f>HYPERLINK("https://eosportal.federatedhermes.com/companies/Q29tcGFueQppNzgyNjk=", "CRH PLC")</f>
      </c>
      <c r="D60" s="0" t="s">
        <v>25</v>
      </c>
      <c r="E60" s="0" t="s">
        <v>411</v>
      </c>
      <c r="F60" s="16">
        <f>HYPERLINK("https://eosportal.federatedhermes.com/engagements/RW5nYWdlbWVudAppMTg0NTE=", "Audit assumptions in line with Paris Goals")</f>
      </c>
      <c r="G60" s="14" t="s">
        <v>412</v>
      </c>
      <c r="H60" s="0" t="s">
        <v>141</v>
      </c>
      <c r="I60" s="14" t="s">
        <v>191</v>
      </c>
      <c r="J60" s="0" t="s">
        <v>197</v>
      </c>
      <c r="K60" s="0" t="s">
        <v>198</v>
      </c>
      <c r="L60" s="0" t="s">
        <v>199</v>
      </c>
      <c r="M60" s="0" t="s">
        <v>378</v>
      </c>
      <c r="N60" s="0" t="s">
        <v>409</v>
      </c>
      <c r="O60" s="0" t="s">
        <v>373</v>
      </c>
      <c r="Q60" s="0" t="s">
        <v>141</v>
      </c>
      <c r="R60" s="0" t="s">
        <v>138</v>
      </c>
      <c r="S60" s="14">
        <v>1</v>
      </c>
      <c r="T60" s="0" t="s">
        <v>394</v>
      </c>
      <c r="U60" s="0" t="s">
        <v>138</v>
      </c>
      <c r="V60" s="14" t="s">
        <v>138</v>
      </c>
      <c r="W60" s="0" t="s">
        <v>138</v>
      </c>
      <c r="X60" s="14" t="s">
        <v>138</v>
      </c>
      <c r="Y60" s="0" t="s">
        <v>138</v>
      </c>
      <c r="Z60" s="14" t="s">
        <v>138</v>
      </c>
      <c r="AA60" s="0" t="s">
        <v>138</v>
      </c>
      <c r="AB60" s="14" t="s">
        <v>138</v>
      </c>
      <c r="AD60" s="0" t="s">
        <v>138</v>
      </c>
      <c r="AF60" s="0">
        <v>0</v>
      </c>
      <c r="AG60" s="0">
        <v>0</v>
      </c>
      <c r="AH60" s="0" t="s">
        <v>140</v>
      </c>
      <c r="AI60" s="0" t="s">
        <v>138</v>
      </c>
      <c r="AK60" s="0" t="s">
        <v>413</v>
      </c>
      <c r="AL60" s="14"/>
      <c r="AN60" s="14"/>
      <c r="AQ60" s="0" t="s">
        <v>130</v>
      </c>
      <c r="AR60" s="0" t="s">
        <v>130</v>
      </c>
      <c r="AS60" s="0" t="s">
        <v>130</v>
      </c>
      <c r="AT60" s="0" t="s">
        <v>130</v>
      </c>
      <c r="AU60" s="0" t="s">
        <v>130</v>
      </c>
      <c r="AV60" s="0" t="s">
        <v>130</v>
      </c>
      <c r="AW60" s="0" t="s">
        <v>130</v>
      </c>
      <c r="AX60" s="0" t="s">
        <v>130</v>
      </c>
      <c r="AY60" s="0" t="s">
        <v>130</v>
      </c>
      <c r="AZ60" s="0" t="s">
        <v>130</v>
      </c>
      <c r="BA60" s="0" t="s">
        <v>130</v>
      </c>
      <c r="BB60" s="0" t="s">
        <v>141</v>
      </c>
      <c r="BC60" s="0" t="s">
        <v>130</v>
      </c>
      <c r="BD60" s="0" t="s">
        <v>130</v>
      </c>
      <c r="BE60" s="0" t="s">
        <v>130</v>
      </c>
      <c r="BF60" s="0" t="s">
        <v>130</v>
      </c>
      <c r="BG60" s="0" t="s">
        <v>130</v>
      </c>
      <c r="BH60" s="0" t="s">
        <v>130</v>
      </c>
      <c r="BI60" s="0" t="s">
        <v>130</v>
      </c>
      <c r="BJ60" s="0" t="s">
        <v>130</v>
      </c>
      <c r="BK60" s="0" t="s">
        <v>130</v>
      </c>
      <c r="BL60" s="0" t="s">
        <v>130</v>
      </c>
      <c r="BM60" s="0" t="s">
        <v>130</v>
      </c>
      <c r="BN60" s="0" t="s">
        <v>130</v>
      </c>
      <c r="BO60" s="0" t="s">
        <v>130</v>
      </c>
      <c r="BP60" s="0" t="s">
        <v>130</v>
      </c>
      <c r="BQ60" s="0" t="s">
        <v>130</v>
      </c>
      <c r="BR60" s="0" t="s">
        <v>130</v>
      </c>
      <c r="BS60" s="0" t="s">
        <v>130</v>
      </c>
      <c r="BT60" s="0" t="s">
        <v>130</v>
      </c>
      <c r="BU60" s="0" t="s">
        <v>130</v>
      </c>
      <c r="BV60" s="0" t="s">
        <v>130</v>
      </c>
      <c r="BW60" s="0" t="s">
        <v>130</v>
      </c>
      <c r="BX60" s="0" t="s">
        <v>130</v>
      </c>
      <c r="BY60" s="0" t="s">
        <v>130</v>
      </c>
      <c r="BZ60" s="0" t="s">
        <v>130</v>
      </c>
      <c r="CA60" s="0" t="s">
        <v>130</v>
      </c>
      <c r="CB60" s="0" t="s">
        <v>130</v>
      </c>
      <c r="CC60" s="0" t="s">
        <v>130</v>
      </c>
      <c r="CD60" s="0" t="s">
        <v>130</v>
      </c>
      <c r="CE60" s="0" t="s">
        <v>130</v>
      </c>
      <c r="CF60" s="0" t="s">
        <v>130</v>
      </c>
      <c r="CG60" s="0" t="s">
        <v>130</v>
      </c>
      <c r="CH60" s="0" t="s">
        <v>130</v>
      </c>
      <c r="CI60" s="0" t="s">
        <v>130</v>
      </c>
      <c r="CJ60" s="0" t="s">
        <v>130</v>
      </c>
      <c r="CK60" s="0" t="s">
        <v>130</v>
      </c>
      <c r="CL60" s="0" t="s">
        <v>130</v>
      </c>
      <c r="CM60" s="0" t="s">
        <v>130</v>
      </c>
      <c r="CN60" s="0" t="s">
        <v>130</v>
      </c>
      <c r="CO60" s="0" t="s">
        <v>130</v>
      </c>
      <c r="CP60" s="0" t="s">
        <v>130</v>
      </c>
      <c r="CQ60" s="0" t="s">
        <v>130</v>
      </c>
      <c r="CR60" s="0" t="s">
        <v>130</v>
      </c>
      <c r="CS60" s="0" t="s">
        <v>130</v>
      </c>
      <c r="CT60" s="0" t="s">
        <v>414</v>
      </c>
    </row>
    <row r="61">
      <c r="A61" s="14">
        <v>111435</v>
      </c>
      <c r="B61" s="0" t="s">
        <v>406</v>
      </c>
      <c r="C61" s="16">
        <f>HYPERLINK("https://eosportal.federatedhermes.com/companies/Q29tcGFueQppNzgyNjk=", "CRH PLC")</f>
      </c>
      <c r="D61" s="0" t="s">
        <v>25</v>
      </c>
      <c r="E61" s="0" t="s">
        <v>317</v>
      </c>
      <c r="F61" s="16">
        <f>HYPERLINK("https://eosportal.federatedhermes.com/engagements/RW5nYWdlbWVudAppMTg0NTI=", "Remuneration policy")</f>
      </c>
      <c r="G61" s="14" t="s">
        <v>415</v>
      </c>
      <c r="H61" s="0" t="s">
        <v>141</v>
      </c>
      <c r="I61" s="14" t="s">
        <v>191</v>
      </c>
      <c r="J61" s="0" t="s">
        <v>145</v>
      </c>
      <c r="K61" s="0" t="s">
        <v>146</v>
      </c>
      <c r="L61" s="0" t="s">
        <v>147</v>
      </c>
      <c r="M61" s="0" t="s">
        <v>378</v>
      </c>
      <c r="N61" s="0" t="s">
        <v>409</v>
      </c>
      <c r="O61" s="0" t="s">
        <v>373</v>
      </c>
      <c r="Q61" s="0" t="s">
        <v>130</v>
      </c>
      <c r="R61" s="0" t="s">
        <v>138</v>
      </c>
      <c r="S61" s="14">
        <v>0</v>
      </c>
      <c r="T61" s="0" t="s">
        <v>416</v>
      </c>
      <c r="U61" s="0" t="s">
        <v>138</v>
      </c>
      <c r="V61" s="14" t="s">
        <v>138</v>
      </c>
      <c r="W61" s="0" t="s">
        <v>138</v>
      </c>
      <c r="X61" s="14" t="s">
        <v>138</v>
      </c>
      <c r="Y61" s="0" t="s">
        <v>138</v>
      </c>
      <c r="Z61" s="14" t="s">
        <v>138</v>
      </c>
      <c r="AA61" s="0" t="s">
        <v>138</v>
      </c>
      <c r="AB61" s="14" t="s">
        <v>138</v>
      </c>
      <c r="AD61" s="0" t="s">
        <v>138</v>
      </c>
      <c r="AF61" s="0">
        <v>0</v>
      </c>
      <c r="AG61" s="0">
        <v>0</v>
      </c>
      <c r="AH61" s="0" t="s">
        <v>140</v>
      </c>
      <c r="AI61" s="0" t="s">
        <v>138</v>
      </c>
      <c r="AL61" s="14"/>
      <c r="AN61" s="14"/>
      <c r="AQ61" s="0" t="s">
        <v>130</v>
      </c>
      <c r="AR61" s="0" t="s">
        <v>130</v>
      </c>
      <c r="AS61" s="0" t="s">
        <v>130</v>
      </c>
      <c r="AT61" s="0" t="s">
        <v>130</v>
      </c>
      <c r="AU61" s="0" t="s">
        <v>130</v>
      </c>
      <c r="AV61" s="0" t="s">
        <v>130</v>
      </c>
      <c r="AW61" s="0" t="s">
        <v>130</v>
      </c>
      <c r="AX61" s="0" t="s">
        <v>130</v>
      </c>
      <c r="AY61" s="0" t="s">
        <v>130</v>
      </c>
      <c r="AZ61" s="0" t="s">
        <v>130</v>
      </c>
      <c r="BA61" s="0" t="s">
        <v>130</v>
      </c>
      <c r="BB61" s="0" t="s">
        <v>130</v>
      </c>
      <c r="BC61" s="0" t="s">
        <v>130</v>
      </c>
      <c r="BD61" s="0" t="s">
        <v>130</v>
      </c>
      <c r="BE61" s="0" t="s">
        <v>130</v>
      </c>
      <c r="BF61" s="0" t="s">
        <v>130</v>
      </c>
      <c r="BG61" s="0" t="s">
        <v>130</v>
      </c>
      <c r="BH61" s="0" t="s">
        <v>130</v>
      </c>
      <c r="BI61" s="0" t="s">
        <v>130</v>
      </c>
      <c r="BJ61" s="0" t="s">
        <v>130</v>
      </c>
      <c r="BK61" s="0" t="s">
        <v>130</v>
      </c>
      <c r="BL61" s="0" t="s">
        <v>130</v>
      </c>
      <c r="BM61" s="0" t="s">
        <v>130</v>
      </c>
      <c r="BN61" s="0" t="s">
        <v>130</v>
      </c>
      <c r="BO61" s="0" t="s">
        <v>130</v>
      </c>
      <c r="BP61" s="0" t="s">
        <v>130</v>
      </c>
      <c r="BQ61" s="0" t="s">
        <v>130</v>
      </c>
      <c r="BR61" s="0" t="s">
        <v>130</v>
      </c>
      <c r="BS61" s="0" t="s">
        <v>130</v>
      </c>
      <c r="BT61" s="0" t="s">
        <v>130</v>
      </c>
      <c r="BU61" s="0" t="s">
        <v>130</v>
      </c>
      <c r="BV61" s="0" t="s">
        <v>130</v>
      </c>
      <c r="BW61" s="0" t="s">
        <v>130</v>
      </c>
      <c r="BX61" s="0" t="s">
        <v>130</v>
      </c>
      <c r="BY61" s="0" t="s">
        <v>130</v>
      </c>
      <c r="BZ61" s="0" t="s">
        <v>130</v>
      </c>
      <c r="CA61" s="0" t="s">
        <v>130</v>
      </c>
      <c r="CB61" s="0" t="s">
        <v>130</v>
      </c>
      <c r="CC61" s="0" t="s">
        <v>130</v>
      </c>
      <c r="CD61" s="0" t="s">
        <v>130</v>
      </c>
      <c r="CE61" s="0" t="s">
        <v>130</v>
      </c>
      <c r="CF61" s="0" t="s">
        <v>130</v>
      </c>
      <c r="CG61" s="0" t="s">
        <v>130</v>
      </c>
      <c r="CH61" s="0" t="s">
        <v>130</v>
      </c>
      <c r="CI61" s="0" t="s">
        <v>130</v>
      </c>
      <c r="CJ61" s="0" t="s">
        <v>130</v>
      </c>
      <c r="CK61" s="0" t="s">
        <v>130</v>
      </c>
      <c r="CL61" s="0" t="s">
        <v>130</v>
      </c>
      <c r="CM61" s="0" t="s">
        <v>130</v>
      </c>
      <c r="CN61" s="0" t="s">
        <v>130</v>
      </c>
      <c r="CO61" s="0" t="s">
        <v>130</v>
      </c>
      <c r="CP61" s="0" t="s">
        <v>130</v>
      </c>
      <c r="CQ61" s="0" t="s">
        <v>130</v>
      </c>
      <c r="CR61" s="0" t="s">
        <v>130</v>
      </c>
      <c r="CS61" s="0" t="s">
        <v>130</v>
      </c>
      <c r="CT61" s="0" t="s">
        <v>417</v>
      </c>
    </row>
    <row r="62">
      <c r="A62" s="14">
        <v>111435</v>
      </c>
      <c r="B62" s="0" t="s">
        <v>406</v>
      </c>
      <c r="C62" s="16">
        <f>HYPERLINK("https://eosportal.federatedhermes.com/companies/Q29tcGFueQppNzgyNjk=", "CRH PLC")</f>
      </c>
      <c r="D62" s="0" t="s">
        <v>25</v>
      </c>
      <c r="E62" s="0" t="s">
        <v>418</v>
      </c>
      <c r="F62" s="16">
        <f>HYPERLINK("https://eosportal.federatedhermes.com/engagements/RW5nYWdlbWVudAppMTg0NTM=", "Living Wage")</f>
      </c>
      <c r="G62" s="14" t="s">
        <v>419</v>
      </c>
      <c r="H62" s="0" t="s">
        <v>141</v>
      </c>
      <c r="I62" s="14" t="s">
        <v>191</v>
      </c>
      <c r="J62" s="0" t="s">
        <v>153</v>
      </c>
      <c r="K62" s="0" t="s">
        <v>154</v>
      </c>
      <c r="L62" s="0" t="s">
        <v>306</v>
      </c>
      <c r="M62" s="0" t="s">
        <v>378</v>
      </c>
      <c r="N62" s="0" t="s">
        <v>409</v>
      </c>
      <c r="O62" s="0" t="s">
        <v>373</v>
      </c>
      <c r="Q62" s="0" t="s">
        <v>130</v>
      </c>
      <c r="R62" s="0" t="s">
        <v>138</v>
      </c>
      <c r="S62" s="14">
        <v>0</v>
      </c>
      <c r="T62" s="0" t="s">
        <v>355</v>
      </c>
      <c r="U62" s="0" t="s">
        <v>138</v>
      </c>
      <c r="V62" s="14" t="s">
        <v>138</v>
      </c>
      <c r="W62" s="0" t="s">
        <v>138</v>
      </c>
      <c r="X62" s="14" t="s">
        <v>138</v>
      </c>
      <c r="Y62" s="0" t="s">
        <v>138</v>
      </c>
      <c r="Z62" s="14" t="s">
        <v>138</v>
      </c>
      <c r="AA62" s="0" t="s">
        <v>138</v>
      </c>
      <c r="AB62" s="14" t="s">
        <v>138</v>
      </c>
      <c r="AD62" s="0" t="s">
        <v>138</v>
      </c>
      <c r="AF62" s="0">
        <v>0</v>
      </c>
      <c r="AG62" s="0">
        <v>0</v>
      </c>
      <c r="AH62" s="0" t="s">
        <v>140</v>
      </c>
      <c r="AI62" s="0" t="s">
        <v>138</v>
      </c>
      <c r="AL62" s="14"/>
      <c r="AN62" s="14"/>
      <c r="AQ62" s="0" t="s">
        <v>141</v>
      </c>
      <c r="AR62" s="0" t="s">
        <v>130</v>
      </c>
      <c r="AS62" s="0" t="s">
        <v>130</v>
      </c>
      <c r="AT62" s="0" t="s">
        <v>130</v>
      </c>
      <c r="AU62" s="0" t="s">
        <v>130</v>
      </c>
      <c r="AV62" s="0" t="s">
        <v>130</v>
      </c>
      <c r="AW62" s="0" t="s">
        <v>130</v>
      </c>
      <c r="AX62" s="0" t="s">
        <v>141</v>
      </c>
      <c r="AY62" s="0" t="s">
        <v>130</v>
      </c>
      <c r="AZ62" s="0" t="s">
        <v>141</v>
      </c>
      <c r="BA62" s="0" t="s">
        <v>130</v>
      </c>
      <c r="BB62" s="0" t="s">
        <v>130</v>
      </c>
      <c r="BC62" s="0" t="s">
        <v>130</v>
      </c>
      <c r="BD62" s="0" t="s">
        <v>130</v>
      </c>
      <c r="BE62" s="0" t="s">
        <v>130</v>
      </c>
      <c r="BF62" s="0" t="s">
        <v>130</v>
      </c>
      <c r="BG62" s="0" t="s">
        <v>130</v>
      </c>
      <c r="BH62" s="0" t="s">
        <v>130</v>
      </c>
      <c r="BI62" s="0" t="s">
        <v>130</v>
      </c>
      <c r="BJ62" s="0" t="s">
        <v>130</v>
      </c>
      <c r="BK62" s="0" t="s">
        <v>130</v>
      </c>
      <c r="BL62" s="0" t="s">
        <v>130</v>
      </c>
      <c r="BM62" s="0" t="s">
        <v>130</v>
      </c>
      <c r="BN62" s="0" t="s">
        <v>130</v>
      </c>
      <c r="BO62" s="0" t="s">
        <v>130</v>
      </c>
      <c r="BP62" s="0" t="s">
        <v>130</v>
      </c>
      <c r="BQ62" s="0" t="s">
        <v>130</v>
      </c>
      <c r="BR62" s="0" t="s">
        <v>130</v>
      </c>
      <c r="BS62" s="0" t="s">
        <v>130</v>
      </c>
      <c r="BT62" s="0" t="s">
        <v>130</v>
      </c>
      <c r="BU62" s="0" t="s">
        <v>130</v>
      </c>
      <c r="BV62" s="0" t="s">
        <v>130</v>
      </c>
      <c r="BW62" s="0" t="s">
        <v>130</v>
      </c>
      <c r="BX62" s="0" t="s">
        <v>130</v>
      </c>
      <c r="BY62" s="0" t="s">
        <v>130</v>
      </c>
      <c r="BZ62" s="0" t="s">
        <v>130</v>
      </c>
      <c r="CA62" s="0" t="s">
        <v>130</v>
      </c>
      <c r="CB62" s="0" t="s">
        <v>130</v>
      </c>
      <c r="CC62" s="0" t="s">
        <v>130</v>
      </c>
      <c r="CD62" s="0" t="s">
        <v>130</v>
      </c>
      <c r="CE62" s="0" t="s">
        <v>130</v>
      </c>
      <c r="CF62" s="0" t="s">
        <v>130</v>
      </c>
      <c r="CG62" s="0" t="s">
        <v>130</v>
      </c>
      <c r="CH62" s="0" t="s">
        <v>130</v>
      </c>
      <c r="CI62" s="0" t="s">
        <v>130</v>
      </c>
      <c r="CJ62" s="0" t="s">
        <v>130</v>
      </c>
      <c r="CK62" s="0" t="s">
        <v>130</v>
      </c>
      <c r="CL62" s="0" t="s">
        <v>130</v>
      </c>
      <c r="CM62" s="0" t="s">
        <v>130</v>
      </c>
      <c r="CN62" s="0" t="s">
        <v>130</v>
      </c>
      <c r="CO62" s="0" t="s">
        <v>130</v>
      </c>
      <c r="CP62" s="0" t="s">
        <v>130</v>
      </c>
      <c r="CQ62" s="0" t="s">
        <v>130</v>
      </c>
      <c r="CR62" s="0" t="s">
        <v>130</v>
      </c>
      <c r="CS62" s="0" t="s">
        <v>130</v>
      </c>
      <c r="CT62" s="0" t="s">
        <v>420</v>
      </c>
    </row>
    <row r="63">
      <c r="A63" s="14">
        <v>111435</v>
      </c>
      <c r="B63" s="0" t="s">
        <v>406</v>
      </c>
      <c r="C63" s="16">
        <f>HYPERLINK("https://eosportal.federatedhermes.com/companies/Q29tcGFueQppNzgyNjk=", "CRH PLC")</f>
      </c>
      <c r="D63" s="0" t="s">
        <v>25</v>
      </c>
      <c r="E63" s="0" t="s">
        <v>322</v>
      </c>
      <c r="F63" s="16">
        <f>HYPERLINK("https://eosportal.federatedhermes.com/engagements/RW5nYWdlbWVudAppMTg0NTQ=", "Gender diversity")</f>
      </c>
      <c r="G63" s="14" t="s">
        <v>421</v>
      </c>
      <c r="H63" s="0" t="s">
        <v>141</v>
      </c>
      <c r="I63" s="14" t="s">
        <v>191</v>
      </c>
      <c r="J63" s="0" t="s">
        <v>153</v>
      </c>
      <c r="K63" s="0" t="s">
        <v>154</v>
      </c>
      <c r="L63" s="0" t="s">
        <v>268</v>
      </c>
      <c r="M63" s="0" t="s">
        <v>378</v>
      </c>
      <c r="N63" s="0" t="s">
        <v>409</v>
      </c>
      <c r="O63" s="0" t="s">
        <v>373</v>
      </c>
      <c r="Q63" s="0" t="s">
        <v>130</v>
      </c>
      <c r="R63" s="0" t="s">
        <v>138</v>
      </c>
      <c r="S63" s="14">
        <v>0</v>
      </c>
      <c r="T63" s="0" t="s">
        <v>288</v>
      </c>
      <c r="U63" s="0" t="s">
        <v>138</v>
      </c>
      <c r="V63" s="14" t="s">
        <v>138</v>
      </c>
      <c r="W63" s="0" t="s">
        <v>138</v>
      </c>
      <c r="X63" s="14" t="s">
        <v>138</v>
      </c>
      <c r="Y63" s="0" t="s">
        <v>138</v>
      </c>
      <c r="Z63" s="14" t="s">
        <v>138</v>
      </c>
      <c r="AA63" s="0" t="s">
        <v>138</v>
      </c>
      <c r="AB63" s="14" t="s">
        <v>138</v>
      </c>
      <c r="AD63" s="0" t="s">
        <v>138</v>
      </c>
      <c r="AF63" s="0">
        <v>0</v>
      </c>
      <c r="AG63" s="0">
        <v>0</v>
      </c>
      <c r="AH63" s="0" t="s">
        <v>140</v>
      </c>
      <c r="AI63" s="0" t="s">
        <v>138</v>
      </c>
      <c r="AL63" s="14"/>
      <c r="AN63" s="14"/>
      <c r="AQ63" s="0" t="s">
        <v>130</v>
      </c>
      <c r="AR63" s="0" t="s">
        <v>130</v>
      </c>
      <c r="AS63" s="0" t="s">
        <v>130</v>
      </c>
      <c r="AT63" s="0" t="s">
        <v>130</v>
      </c>
      <c r="AU63" s="0" t="s">
        <v>141</v>
      </c>
      <c r="AV63" s="0" t="s">
        <v>130</v>
      </c>
      <c r="AW63" s="0" t="s">
        <v>130</v>
      </c>
      <c r="AX63" s="0" t="s">
        <v>130</v>
      </c>
      <c r="AY63" s="0" t="s">
        <v>130</v>
      </c>
      <c r="AZ63" s="0" t="s">
        <v>130</v>
      </c>
      <c r="BA63" s="0" t="s">
        <v>130</v>
      </c>
      <c r="BB63" s="0" t="s">
        <v>130</v>
      </c>
      <c r="BC63" s="0" t="s">
        <v>130</v>
      </c>
      <c r="BD63" s="0" t="s">
        <v>130</v>
      </c>
      <c r="BE63" s="0" t="s">
        <v>130</v>
      </c>
      <c r="BF63" s="0" t="s">
        <v>130</v>
      </c>
      <c r="BG63" s="0" t="s">
        <v>130</v>
      </c>
      <c r="BH63" s="0" t="s">
        <v>130</v>
      </c>
      <c r="BI63" s="0" t="s">
        <v>130</v>
      </c>
      <c r="BJ63" s="0" t="s">
        <v>130</v>
      </c>
      <c r="BK63" s="0" t="s">
        <v>130</v>
      </c>
      <c r="BL63" s="0" t="s">
        <v>130</v>
      </c>
      <c r="BM63" s="0" t="s">
        <v>130</v>
      </c>
      <c r="BN63" s="0" t="s">
        <v>130</v>
      </c>
      <c r="BO63" s="0" t="s">
        <v>130</v>
      </c>
      <c r="BP63" s="0" t="s">
        <v>130</v>
      </c>
      <c r="BQ63" s="0" t="s">
        <v>130</v>
      </c>
      <c r="BR63" s="0" t="s">
        <v>130</v>
      </c>
      <c r="BS63" s="0" t="s">
        <v>130</v>
      </c>
      <c r="BT63" s="0" t="s">
        <v>130</v>
      </c>
      <c r="BU63" s="0" t="s">
        <v>130</v>
      </c>
      <c r="BV63" s="0" t="s">
        <v>130</v>
      </c>
      <c r="BW63" s="0" t="s">
        <v>130</v>
      </c>
      <c r="BX63" s="0" t="s">
        <v>130</v>
      </c>
      <c r="BY63" s="0" t="s">
        <v>130</v>
      </c>
      <c r="BZ63" s="0" t="s">
        <v>130</v>
      </c>
      <c r="CA63" s="0" t="s">
        <v>130</v>
      </c>
      <c r="CB63" s="0" t="s">
        <v>130</v>
      </c>
      <c r="CC63" s="0" t="s">
        <v>130</v>
      </c>
      <c r="CD63" s="0" t="s">
        <v>130</v>
      </c>
      <c r="CE63" s="0" t="s">
        <v>130</v>
      </c>
      <c r="CF63" s="0" t="s">
        <v>130</v>
      </c>
      <c r="CG63" s="0" t="s">
        <v>130</v>
      </c>
      <c r="CH63" s="0" t="s">
        <v>130</v>
      </c>
      <c r="CI63" s="0" t="s">
        <v>130</v>
      </c>
      <c r="CJ63" s="0" t="s">
        <v>130</v>
      </c>
      <c r="CK63" s="0" t="s">
        <v>141</v>
      </c>
      <c r="CL63" s="0" t="s">
        <v>130</v>
      </c>
      <c r="CM63" s="0" t="s">
        <v>130</v>
      </c>
      <c r="CN63" s="0" t="s">
        <v>130</v>
      </c>
      <c r="CO63" s="0" t="s">
        <v>130</v>
      </c>
      <c r="CP63" s="0" t="s">
        <v>130</v>
      </c>
      <c r="CQ63" s="0" t="s">
        <v>130</v>
      </c>
      <c r="CR63" s="0" t="s">
        <v>130</v>
      </c>
      <c r="CS63" s="0" t="s">
        <v>130</v>
      </c>
      <c r="CT63" s="0" t="s">
        <v>422</v>
      </c>
    </row>
    <row r="64">
      <c r="A64" s="14">
        <v>100285</v>
      </c>
      <c r="B64" s="0" t="s">
        <v>423</v>
      </c>
      <c r="C64" s="16">
        <f>HYPERLINK("https://eosportal.federatedhermes.com/companies/Q29tcGFueQppNzM3OTg=", "Caterpillar Inc")</f>
      </c>
      <c r="D64" s="0" t="s">
        <v>25</v>
      </c>
      <c r="E64" s="0" t="s">
        <v>134</v>
      </c>
      <c r="F64" s="16">
        <f>HYPERLINK("https://eosportal.federatedhermes.com/engagements/RW5nYWdlbWVudAppMTg1MzE=", "Business Purpose")</f>
      </c>
      <c r="G64" s="14" t="s">
        <v>424</v>
      </c>
      <c r="H64" s="0" t="s">
        <v>141</v>
      </c>
      <c r="I64" s="14" t="s">
        <v>191</v>
      </c>
      <c r="J64" s="0" t="s">
        <v>132</v>
      </c>
      <c r="K64" s="0" t="s">
        <v>133</v>
      </c>
      <c r="L64" s="0" t="s">
        <v>134</v>
      </c>
      <c r="M64" s="0" t="s">
        <v>135</v>
      </c>
      <c r="N64" s="0" t="s">
        <v>136</v>
      </c>
      <c r="O64" s="0" t="s">
        <v>425</v>
      </c>
      <c r="Q64" s="0" t="s">
        <v>130</v>
      </c>
      <c r="R64" s="0" t="s">
        <v>138</v>
      </c>
      <c r="S64" s="14">
        <v>0</v>
      </c>
      <c r="T64" s="0" t="s">
        <v>156</v>
      </c>
      <c r="U64" s="0" t="s">
        <v>138</v>
      </c>
      <c r="V64" s="14" t="s">
        <v>138</v>
      </c>
      <c r="W64" s="0" t="s">
        <v>138</v>
      </c>
      <c r="X64" s="14" t="s">
        <v>138</v>
      </c>
      <c r="Y64" s="0" t="s">
        <v>138</v>
      </c>
      <c r="Z64" s="14" t="s">
        <v>138</v>
      </c>
      <c r="AA64" s="0" t="s">
        <v>138</v>
      </c>
      <c r="AB64" s="14" t="s">
        <v>138</v>
      </c>
      <c r="AD64" s="0" t="s">
        <v>138</v>
      </c>
      <c r="AF64" s="0">
        <v>0</v>
      </c>
      <c r="AG64" s="0">
        <v>0</v>
      </c>
      <c r="AH64" s="0" t="s">
        <v>140</v>
      </c>
      <c r="AI64" s="0" t="s">
        <v>138</v>
      </c>
      <c r="AL64" s="14"/>
      <c r="AN64" s="14"/>
      <c r="AQ64" s="0" t="s">
        <v>130</v>
      </c>
      <c r="AR64" s="0" t="s">
        <v>130</v>
      </c>
      <c r="AS64" s="0" t="s">
        <v>130</v>
      </c>
      <c r="AT64" s="0" t="s">
        <v>130</v>
      </c>
      <c r="AU64" s="0" t="s">
        <v>130</v>
      </c>
      <c r="AV64" s="0" t="s">
        <v>130</v>
      </c>
      <c r="AW64" s="0" t="s">
        <v>130</v>
      </c>
      <c r="AX64" s="0" t="s">
        <v>130</v>
      </c>
      <c r="AY64" s="0" t="s">
        <v>130</v>
      </c>
      <c r="AZ64" s="0" t="s">
        <v>130</v>
      </c>
      <c r="BA64" s="0" t="s">
        <v>130</v>
      </c>
      <c r="BB64" s="0" t="s">
        <v>141</v>
      </c>
      <c r="BC64" s="0" t="s">
        <v>130</v>
      </c>
      <c r="BD64" s="0" t="s">
        <v>130</v>
      </c>
      <c r="BE64" s="0" t="s">
        <v>130</v>
      </c>
      <c r="BF64" s="0" t="s">
        <v>130</v>
      </c>
      <c r="BG64" s="0" t="s">
        <v>130</v>
      </c>
      <c r="BH64" s="0" t="s">
        <v>130</v>
      </c>
      <c r="BI64" s="0" t="s">
        <v>130</v>
      </c>
      <c r="BJ64" s="0" t="s">
        <v>130</v>
      </c>
      <c r="BK64" s="0" t="s">
        <v>130</v>
      </c>
      <c r="BL64" s="0" t="s">
        <v>130</v>
      </c>
      <c r="BM64" s="0" t="s">
        <v>130</v>
      </c>
      <c r="BN64" s="0" t="s">
        <v>130</v>
      </c>
      <c r="BO64" s="0" t="s">
        <v>130</v>
      </c>
      <c r="BP64" s="0" t="s">
        <v>130</v>
      </c>
      <c r="BQ64" s="0" t="s">
        <v>130</v>
      </c>
      <c r="BR64" s="0" t="s">
        <v>130</v>
      </c>
      <c r="BS64" s="0" t="s">
        <v>130</v>
      </c>
      <c r="BT64" s="0" t="s">
        <v>130</v>
      </c>
      <c r="BU64" s="0" t="s">
        <v>130</v>
      </c>
      <c r="BV64" s="0" t="s">
        <v>130</v>
      </c>
      <c r="BW64" s="0" t="s">
        <v>130</v>
      </c>
      <c r="BX64" s="0" t="s">
        <v>130</v>
      </c>
      <c r="BY64" s="0" t="s">
        <v>130</v>
      </c>
      <c r="BZ64" s="0" t="s">
        <v>130</v>
      </c>
      <c r="CA64" s="0" t="s">
        <v>130</v>
      </c>
      <c r="CB64" s="0" t="s">
        <v>130</v>
      </c>
      <c r="CC64" s="0" t="s">
        <v>130</v>
      </c>
      <c r="CD64" s="0" t="s">
        <v>130</v>
      </c>
      <c r="CE64" s="0" t="s">
        <v>130</v>
      </c>
      <c r="CF64" s="0" t="s">
        <v>130</v>
      </c>
      <c r="CG64" s="0" t="s">
        <v>130</v>
      </c>
      <c r="CH64" s="0" t="s">
        <v>130</v>
      </c>
      <c r="CI64" s="0" t="s">
        <v>130</v>
      </c>
      <c r="CJ64" s="0" t="s">
        <v>130</v>
      </c>
      <c r="CK64" s="0" t="s">
        <v>130</v>
      </c>
      <c r="CL64" s="0" t="s">
        <v>130</v>
      </c>
      <c r="CM64" s="0" t="s">
        <v>130</v>
      </c>
      <c r="CN64" s="0" t="s">
        <v>130</v>
      </c>
      <c r="CO64" s="0" t="s">
        <v>130</v>
      </c>
      <c r="CP64" s="0" t="s">
        <v>130</v>
      </c>
      <c r="CQ64" s="0" t="s">
        <v>130</v>
      </c>
      <c r="CR64" s="0" t="s">
        <v>130</v>
      </c>
      <c r="CS64" s="0" t="s">
        <v>130</v>
      </c>
      <c r="CT64" s="0" t="s">
        <v>426</v>
      </c>
    </row>
    <row r="65">
      <c r="A65" s="14">
        <v>100285</v>
      </c>
      <c r="B65" s="0" t="s">
        <v>423</v>
      </c>
      <c r="C65" s="16">
        <f>HYPERLINK("https://eosportal.federatedhermes.com/companies/Q29tcGFueQppNzM3OTg=", "Caterpillar Inc")</f>
      </c>
      <c r="D65" s="0" t="s">
        <v>25</v>
      </c>
      <c r="E65" s="0" t="s">
        <v>427</v>
      </c>
      <c r="F65" s="16">
        <f>HYPERLINK("https://eosportal.federatedhermes.com/engagements/RW5nYWdlbWVudAppMTg1MzI=", "Circular economy")</f>
      </c>
      <c r="G65" s="14" t="s">
        <v>428</v>
      </c>
      <c r="H65" s="0" t="s">
        <v>141</v>
      </c>
      <c r="I65" s="14" t="s">
        <v>191</v>
      </c>
      <c r="J65" s="0" t="s">
        <v>132</v>
      </c>
      <c r="K65" s="0" t="s">
        <v>133</v>
      </c>
      <c r="L65" s="0" t="s">
        <v>160</v>
      </c>
      <c r="M65" s="0" t="s">
        <v>135</v>
      </c>
      <c r="N65" s="0" t="s">
        <v>136</v>
      </c>
      <c r="O65" s="0" t="s">
        <v>425</v>
      </c>
      <c r="Q65" s="0" t="s">
        <v>130</v>
      </c>
      <c r="R65" s="0" t="s">
        <v>138</v>
      </c>
      <c r="S65" s="14">
        <v>0</v>
      </c>
      <c r="T65" s="0" t="s">
        <v>288</v>
      </c>
      <c r="U65" s="0" t="s">
        <v>138</v>
      </c>
      <c r="V65" s="14" t="s">
        <v>138</v>
      </c>
      <c r="W65" s="0" t="s">
        <v>138</v>
      </c>
      <c r="X65" s="14" t="s">
        <v>138</v>
      </c>
      <c r="Y65" s="0" t="s">
        <v>138</v>
      </c>
      <c r="Z65" s="14" t="s">
        <v>138</v>
      </c>
      <c r="AA65" s="0" t="s">
        <v>138</v>
      </c>
      <c r="AB65" s="14" t="s">
        <v>138</v>
      </c>
      <c r="AD65" s="0" t="s">
        <v>138</v>
      </c>
      <c r="AF65" s="0">
        <v>0</v>
      </c>
      <c r="AG65" s="0">
        <v>0</v>
      </c>
      <c r="AH65" s="0" t="s">
        <v>140</v>
      </c>
      <c r="AI65" s="0" t="s">
        <v>138</v>
      </c>
      <c r="AL65" s="14"/>
      <c r="AN65" s="14"/>
      <c r="AQ65" s="0" t="s">
        <v>130</v>
      </c>
      <c r="AR65" s="0" t="s">
        <v>130</v>
      </c>
      <c r="AS65" s="0" t="s">
        <v>130</v>
      </c>
      <c r="AT65" s="0" t="s">
        <v>130</v>
      </c>
      <c r="AU65" s="0" t="s">
        <v>130</v>
      </c>
      <c r="AV65" s="0" t="s">
        <v>130</v>
      </c>
      <c r="AW65" s="0" t="s">
        <v>130</v>
      </c>
      <c r="AX65" s="0" t="s">
        <v>130</v>
      </c>
      <c r="AY65" s="0" t="s">
        <v>130</v>
      </c>
      <c r="AZ65" s="0" t="s">
        <v>130</v>
      </c>
      <c r="BA65" s="0" t="s">
        <v>130</v>
      </c>
      <c r="BB65" s="0" t="s">
        <v>141</v>
      </c>
      <c r="BC65" s="0" t="s">
        <v>130</v>
      </c>
      <c r="BD65" s="0" t="s">
        <v>130</v>
      </c>
      <c r="BE65" s="0" t="s">
        <v>130</v>
      </c>
      <c r="BF65" s="0" t="s">
        <v>130</v>
      </c>
      <c r="BG65" s="0" t="s">
        <v>130</v>
      </c>
      <c r="BH65" s="0" t="s">
        <v>130</v>
      </c>
      <c r="BI65" s="0" t="s">
        <v>130</v>
      </c>
      <c r="BJ65" s="0" t="s">
        <v>130</v>
      </c>
      <c r="BK65" s="0" t="s">
        <v>130</v>
      </c>
      <c r="BL65" s="0" t="s">
        <v>130</v>
      </c>
      <c r="BM65" s="0" t="s">
        <v>130</v>
      </c>
      <c r="BN65" s="0" t="s">
        <v>130</v>
      </c>
      <c r="BO65" s="0" t="s">
        <v>130</v>
      </c>
      <c r="BP65" s="0" t="s">
        <v>130</v>
      </c>
      <c r="BQ65" s="0" t="s">
        <v>130</v>
      </c>
      <c r="BR65" s="0" t="s">
        <v>130</v>
      </c>
      <c r="BS65" s="0" t="s">
        <v>130</v>
      </c>
      <c r="BT65" s="0" t="s">
        <v>130</v>
      </c>
      <c r="BU65" s="0" t="s">
        <v>130</v>
      </c>
      <c r="BV65" s="0" t="s">
        <v>130</v>
      </c>
      <c r="BW65" s="0" t="s">
        <v>130</v>
      </c>
      <c r="BX65" s="0" t="s">
        <v>130</v>
      </c>
      <c r="BY65" s="0" t="s">
        <v>130</v>
      </c>
      <c r="BZ65" s="0" t="s">
        <v>130</v>
      </c>
      <c r="CA65" s="0" t="s">
        <v>130</v>
      </c>
      <c r="CB65" s="0" t="s">
        <v>130</v>
      </c>
      <c r="CC65" s="0" t="s">
        <v>130</v>
      </c>
      <c r="CD65" s="0" t="s">
        <v>130</v>
      </c>
      <c r="CE65" s="0" t="s">
        <v>130</v>
      </c>
      <c r="CF65" s="0" t="s">
        <v>130</v>
      </c>
      <c r="CG65" s="0" t="s">
        <v>130</v>
      </c>
      <c r="CH65" s="0" t="s">
        <v>130</v>
      </c>
      <c r="CI65" s="0" t="s">
        <v>130</v>
      </c>
      <c r="CJ65" s="0" t="s">
        <v>130</v>
      </c>
      <c r="CK65" s="0" t="s">
        <v>130</v>
      </c>
      <c r="CL65" s="0" t="s">
        <v>130</v>
      </c>
      <c r="CM65" s="0" t="s">
        <v>130</v>
      </c>
      <c r="CN65" s="0" t="s">
        <v>130</v>
      </c>
      <c r="CO65" s="0" t="s">
        <v>130</v>
      </c>
      <c r="CP65" s="0" t="s">
        <v>130</v>
      </c>
      <c r="CQ65" s="0" t="s">
        <v>130</v>
      </c>
      <c r="CR65" s="0" t="s">
        <v>130</v>
      </c>
      <c r="CS65" s="0" t="s">
        <v>130</v>
      </c>
      <c r="CT65" s="0" t="s">
        <v>429</v>
      </c>
    </row>
    <row r="66">
      <c r="A66" s="14">
        <v>100285</v>
      </c>
      <c r="B66" s="0" t="s">
        <v>423</v>
      </c>
      <c r="C66" s="16">
        <f>HYPERLINK("https://eosportal.federatedhermes.com/companies/Q29tcGFueQppNzM3OTg=", "Caterpillar Inc")</f>
      </c>
      <c r="D66" s="0" t="s">
        <v>25</v>
      </c>
      <c r="E66" s="0" t="s">
        <v>430</v>
      </c>
      <c r="F66" s="16">
        <f>HYPERLINK("https://eosportal.federatedhermes.com/engagements/RW5nYWdlbWVudAppMTg1MzQ=", "E&amp;S Governance")</f>
      </c>
      <c r="G66" s="14" t="s">
        <v>431</v>
      </c>
      <c r="H66" s="0" t="s">
        <v>141</v>
      </c>
      <c r="I66" s="14" t="s">
        <v>191</v>
      </c>
      <c r="J66" s="0" t="s">
        <v>145</v>
      </c>
      <c r="K66" s="0" t="s">
        <v>164</v>
      </c>
      <c r="L66" s="0" t="s">
        <v>165</v>
      </c>
      <c r="M66" s="0" t="s">
        <v>135</v>
      </c>
      <c r="N66" s="0" t="s">
        <v>136</v>
      </c>
      <c r="O66" s="0" t="s">
        <v>425</v>
      </c>
      <c r="Q66" s="0" t="s">
        <v>130</v>
      </c>
      <c r="R66" s="0" t="s">
        <v>138</v>
      </c>
      <c r="S66" s="14">
        <v>0</v>
      </c>
      <c r="T66" s="0" t="s">
        <v>288</v>
      </c>
      <c r="U66" s="0" t="s">
        <v>138</v>
      </c>
      <c r="V66" s="14" t="s">
        <v>138</v>
      </c>
      <c r="W66" s="0" t="s">
        <v>138</v>
      </c>
      <c r="X66" s="14" t="s">
        <v>138</v>
      </c>
      <c r="Y66" s="0" t="s">
        <v>138</v>
      </c>
      <c r="Z66" s="14" t="s">
        <v>138</v>
      </c>
      <c r="AA66" s="0" t="s">
        <v>138</v>
      </c>
      <c r="AB66" s="14" t="s">
        <v>138</v>
      </c>
      <c r="AD66" s="0" t="s">
        <v>138</v>
      </c>
      <c r="AF66" s="0">
        <v>0</v>
      </c>
      <c r="AG66" s="0">
        <v>0</v>
      </c>
      <c r="AH66" s="0" t="s">
        <v>140</v>
      </c>
      <c r="AI66" s="0" t="s">
        <v>138</v>
      </c>
      <c r="AL66" s="14"/>
      <c r="AN66" s="14"/>
      <c r="AQ66" s="0" t="s">
        <v>130</v>
      </c>
      <c r="AR66" s="0" t="s">
        <v>130</v>
      </c>
      <c r="AS66" s="0" t="s">
        <v>130</v>
      </c>
      <c r="AT66" s="0" t="s">
        <v>130</v>
      </c>
      <c r="AU66" s="0" t="s">
        <v>130</v>
      </c>
      <c r="AV66" s="0" t="s">
        <v>130</v>
      </c>
      <c r="AW66" s="0" t="s">
        <v>130</v>
      </c>
      <c r="AX66" s="0" t="s">
        <v>130</v>
      </c>
      <c r="AY66" s="0" t="s">
        <v>130</v>
      </c>
      <c r="AZ66" s="0" t="s">
        <v>130</v>
      </c>
      <c r="BA66" s="0" t="s">
        <v>130</v>
      </c>
      <c r="BB66" s="0" t="s">
        <v>130</v>
      </c>
      <c r="BC66" s="0" t="s">
        <v>130</v>
      </c>
      <c r="BD66" s="0" t="s">
        <v>130</v>
      </c>
      <c r="BE66" s="0" t="s">
        <v>130</v>
      </c>
      <c r="BF66" s="0" t="s">
        <v>130</v>
      </c>
      <c r="BG66" s="0" t="s">
        <v>130</v>
      </c>
      <c r="BH66" s="0" t="s">
        <v>130</v>
      </c>
      <c r="BI66" s="0" t="s">
        <v>130</v>
      </c>
      <c r="BJ66" s="0" t="s">
        <v>130</v>
      </c>
      <c r="BK66" s="0" t="s">
        <v>130</v>
      </c>
      <c r="BL66" s="0" t="s">
        <v>130</v>
      </c>
      <c r="BM66" s="0" t="s">
        <v>130</v>
      </c>
      <c r="BN66" s="0" t="s">
        <v>130</v>
      </c>
      <c r="BO66" s="0" t="s">
        <v>130</v>
      </c>
      <c r="BP66" s="0" t="s">
        <v>130</v>
      </c>
      <c r="BQ66" s="0" t="s">
        <v>130</v>
      </c>
      <c r="BR66" s="0" t="s">
        <v>130</v>
      </c>
      <c r="BS66" s="0" t="s">
        <v>130</v>
      </c>
      <c r="BT66" s="0" t="s">
        <v>130</v>
      </c>
      <c r="BU66" s="0" t="s">
        <v>130</v>
      </c>
      <c r="BV66" s="0" t="s">
        <v>130</v>
      </c>
      <c r="BW66" s="0" t="s">
        <v>130</v>
      </c>
      <c r="BX66" s="0" t="s">
        <v>130</v>
      </c>
      <c r="BY66" s="0" t="s">
        <v>130</v>
      </c>
      <c r="BZ66" s="0" t="s">
        <v>130</v>
      </c>
      <c r="CA66" s="0" t="s">
        <v>130</v>
      </c>
      <c r="CB66" s="0" t="s">
        <v>130</v>
      </c>
      <c r="CC66" s="0" t="s">
        <v>130</v>
      </c>
      <c r="CD66" s="0" t="s">
        <v>130</v>
      </c>
      <c r="CE66" s="0" t="s">
        <v>130</v>
      </c>
      <c r="CF66" s="0" t="s">
        <v>130</v>
      </c>
      <c r="CG66" s="0" t="s">
        <v>130</v>
      </c>
      <c r="CH66" s="0" t="s">
        <v>130</v>
      </c>
      <c r="CI66" s="0" t="s">
        <v>130</v>
      </c>
      <c r="CJ66" s="0" t="s">
        <v>130</v>
      </c>
      <c r="CK66" s="0" t="s">
        <v>130</v>
      </c>
      <c r="CL66" s="0" t="s">
        <v>130</v>
      </c>
      <c r="CM66" s="0" t="s">
        <v>130</v>
      </c>
      <c r="CN66" s="0" t="s">
        <v>130</v>
      </c>
      <c r="CO66" s="0" t="s">
        <v>130</v>
      </c>
      <c r="CP66" s="0" t="s">
        <v>130</v>
      </c>
      <c r="CQ66" s="0" t="s">
        <v>130</v>
      </c>
      <c r="CR66" s="0" t="s">
        <v>130</v>
      </c>
      <c r="CS66" s="0" t="s">
        <v>130</v>
      </c>
      <c r="CT66" s="0" t="s">
        <v>432</v>
      </c>
    </row>
    <row r="67">
      <c r="A67" s="14">
        <v>100285</v>
      </c>
      <c r="B67" s="0" t="s">
        <v>423</v>
      </c>
      <c r="C67" s="16">
        <f>HYPERLINK("https://eosportal.federatedhermes.com/companies/Q29tcGFueQppNzM3OTg=", "Caterpillar Inc")</f>
      </c>
      <c r="D67" s="0" t="s">
        <v>25</v>
      </c>
      <c r="E67" s="0" t="s">
        <v>433</v>
      </c>
      <c r="F67" s="16">
        <f>HYPERLINK("https://eosportal.federatedhermes.com/engagements/RW5nYWdlbWVudAppMTg1MzU=", "Human rights policy")</f>
      </c>
      <c r="G67" s="14" t="s">
        <v>434</v>
      </c>
      <c r="H67" s="0" t="s">
        <v>141</v>
      </c>
      <c r="I67" s="14" t="s">
        <v>191</v>
      </c>
      <c r="J67" s="0" t="s">
        <v>153</v>
      </c>
      <c r="K67" s="0" t="s">
        <v>243</v>
      </c>
      <c r="L67" s="0" t="s">
        <v>244</v>
      </c>
      <c r="M67" s="0" t="s">
        <v>135</v>
      </c>
      <c r="N67" s="0" t="s">
        <v>136</v>
      </c>
      <c r="O67" s="0" t="s">
        <v>425</v>
      </c>
      <c r="Q67" s="0" t="s">
        <v>141</v>
      </c>
      <c r="R67" s="0" t="s">
        <v>138</v>
      </c>
      <c r="S67" s="14">
        <v>1</v>
      </c>
      <c r="T67" s="0" t="s">
        <v>435</v>
      </c>
      <c r="U67" s="0" t="s">
        <v>138</v>
      </c>
      <c r="V67" s="14" t="s">
        <v>138</v>
      </c>
      <c r="W67" s="0" t="s">
        <v>138</v>
      </c>
      <c r="X67" s="14" t="s">
        <v>138</v>
      </c>
      <c r="Y67" s="0" t="s">
        <v>138</v>
      </c>
      <c r="Z67" s="14" t="s">
        <v>138</v>
      </c>
      <c r="AA67" s="0" t="s">
        <v>138</v>
      </c>
      <c r="AB67" s="14" t="s">
        <v>138</v>
      </c>
      <c r="AD67" s="0" t="s">
        <v>138</v>
      </c>
      <c r="AF67" s="0">
        <v>0</v>
      </c>
      <c r="AG67" s="0">
        <v>0</v>
      </c>
      <c r="AH67" s="0" t="s">
        <v>140</v>
      </c>
      <c r="AI67" s="0" t="s">
        <v>138</v>
      </c>
      <c r="AK67" s="0" t="s">
        <v>436</v>
      </c>
      <c r="AL67" s="14"/>
      <c r="AN67" s="14"/>
      <c r="AQ67" s="0" t="s">
        <v>130</v>
      </c>
      <c r="AR67" s="0" t="s">
        <v>130</v>
      </c>
      <c r="AS67" s="0" t="s">
        <v>130</v>
      </c>
      <c r="AT67" s="0" t="s">
        <v>130</v>
      </c>
      <c r="AU67" s="0" t="s">
        <v>130</v>
      </c>
      <c r="AV67" s="0" t="s">
        <v>130</v>
      </c>
      <c r="AW67" s="0" t="s">
        <v>130</v>
      </c>
      <c r="AX67" s="0" t="s">
        <v>141</v>
      </c>
      <c r="AY67" s="0" t="s">
        <v>130</v>
      </c>
      <c r="AZ67" s="0" t="s">
        <v>130</v>
      </c>
      <c r="BA67" s="0" t="s">
        <v>130</v>
      </c>
      <c r="BB67" s="0" t="s">
        <v>130</v>
      </c>
      <c r="BC67" s="0" t="s">
        <v>130</v>
      </c>
      <c r="BD67" s="0" t="s">
        <v>130</v>
      </c>
      <c r="BE67" s="0" t="s">
        <v>130</v>
      </c>
      <c r="BF67" s="0" t="s">
        <v>130</v>
      </c>
      <c r="BG67" s="0" t="s">
        <v>130</v>
      </c>
      <c r="BH67" s="0" t="s">
        <v>130</v>
      </c>
      <c r="BI67" s="0" t="s">
        <v>130</v>
      </c>
      <c r="BJ67" s="0" t="s">
        <v>130</v>
      </c>
      <c r="BK67" s="0" t="s">
        <v>130</v>
      </c>
      <c r="BL67" s="0" t="s">
        <v>130</v>
      </c>
      <c r="BM67" s="0" t="s">
        <v>130</v>
      </c>
      <c r="BN67" s="0" t="s">
        <v>130</v>
      </c>
      <c r="BO67" s="0" t="s">
        <v>130</v>
      </c>
      <c r="BP67" s="0" t="s">
        <v>130</v>
      </c>
      <c r="BQ67" s="0" t="s">
        <v>130</v>
      </c>
      <c r="BR67" s="0" t="s">
        <v>130</v>
      </c>
      <c r="BS67" s="0" t="s">
        <v>130</v>
      </c>
      <c r="BT67" s="0" t="s">
        <v>130</v>
      </c>
      <c r="BU67" s="0" t="s">
        <v>130</v>
      </c>
      <c r="BV67" s="0" t="s">
        <v>130</v>
      </c>
      <c r="BW67" s="0" t="s">
        <v>130</v>
      </c>
      <c r="BX67" s="0" t="s">
        <v>130</v>
      </c>
      <c r="BY67" s="0" t="s">
        <v>130</v>
      </c>
      <c r="BZ67" s="0" t="s">
        <v>130</v>
      </c>
      <c r="CA67" s="0" t="s">
        <v>130</v>
      </c>
      <c r="CB67" s="0" t="s">
        <v>130</v>
      </c>
      <c r="CC67" s="0" t="s">
        <v>130</v>
      </c>
      <c r="CD67" s="0" t="s">
        <v>130</v>
      </c>
      <c r="CE67" s="0" t="s">
        <v>130</v>
      </c>
      <c r="CF67" s="0" t="s">
        <v>130</v>
      </c>
      <c r="CG67" s="0" t="s">
        <v>130</v>
      </c>
      <c r="CH67" s="0" t="s">
        <v>130</v>
      </c>
      <c r="CI67" s="0" t="s">
        <v>130</v>
      </c>
      <c r="CJ67" s="0" t="s">
        <v>130</v>
      </c>
      <c r="CK67" s="0" t="s">
        <v>130</v>
      </c>
      <c r="CL67" s="0" t="s">
        <v>130</v>
      </c>
      <c r="CM67" s="0" t="s">
        <v>130</v>
      </c>
      <c r="CN67" s="0" t="s">
        <v>130</v>
      </c>
      <c r="CO67" s="0" t="s">
        <v>130</v>
      </c>
      <c r="CP67" s="0" t="s">
        <v>130</v>
      </c>
      <c r="CQ67" s="0" t="s">
        <v>130</v>
      </c>
      <c r="CR67" s="0" t="s">
        <v>130</v>
      </c>
      <c r="CS67" s="0" t="s">
        <v>130</v>
      </c>
      <c r="CT67" s="0" t="s">
        <v>437</v>
      </c>
    </row>
    <row r="68">
      <c r="A68" s="14">
        <v>100285</v>
      </c>
      <c r="B68" s="0" t="s">
        <v>423</v>
      </c>
      <c r="C68" s="16">
        <f>HYPERLINK("https://eosportal.federatedhermes.com/companies/Q29tcGFueQppNzM3OTg=", "Caterpillar Inc")</f>
      </c>
      <c r="D68" s="0" t="s">
        <v>25</v>
      </c>
      <c r="E68" s="0" t="s">
        <v>438</v>
      </c>
      <c r="F68" s="16">
        <f>HYPERLINK("https://eosportal.federatedhermes.com/engagements/RW5nYWdlbWVudAppMTg1MzY=", "Lead independent director")</f>
      </c>
      <c r="G68" s="14" t="s">
        <v>439</v>
      </c>
      <c r="H68" s="0" t="s">
        <v>141</v>
      </c>
      <c r="I68" s="14" t="s">
        <v>191</v>
      </c>
      <c r="J68" s="0" t="s">
        <v>145</v>
      </c>
      <c r="K68" s="0" t="s">
        <v>164</v>
      </c>
      <c r="L68" s="0" t="s">
        <v>165</v>
      </c>
      <c r="M68" s="0" t="s">
        <v>135</v>
      </c>
      <c r="N68" s="0" t="s">
        <v>136</v>
      </c>
      <c r="O68" s="0" t="s">
        <v>425</v>
      </c>
      <c r="Q68" s="0" t="s">
        <v>130</v>
      </c>
      <c r="R68" s="0" t="s">
        <v>138</v>
      </c>
      <c r="S68" s="14">
        <v>0</v>
      </c>
      <c r="T68" s="0" t="s">
        <v>435</v>
      </c>
      <c r="U68" s="0" t="s">
        <v>138</v>
      </c>
      <c r="V68" s="14" t="s">
        <v>138</v>
      </c>
      <c r="W68" s="0" t="s">
        <v>138</v>
      </c>
      <c r="X68" s="14" t="s">
        <v>138</v>
      </c>
      <c r="Y68" s="0" t="s">
        <v>138</v>
      </c>
      <c r="Z68" s="14" t="s">
        <v>138</v>
      </c>
      <c r="AA68" s="0" t="s">
        <v>138</v>
      </c>
      <c r="AB68" s="14" t="s">
        <v>138</v>
      </c>
      <c r="AD68" s="0" t="s">
        <v>138</v>
      </c>
      <c r="AF68" s="0">
        <v>0</v>
      </c>
      <c r="AG68" s="0">
        <v>0</v>
      </c>
      <c r="AH68" s="0" t="s">
        <v>140</v>
      </c>
      <c r="AI68" s="0" t="s">
        <v>138</v>
      </c>
      <c r="AL68" s="14"/>
      <c r="AN68" s="14"/>
      <c r="AQ68" s="0" t="s">
        <v>130</v>
      </c>
      <c r="AR68" s="0" t="s">
        <v>130</v>
      </c>
      <c r="AS68" s="0" t="s">
        <v>130</v>
      </c>
      <c r="AT68" s="0" t="s">
        <v>130</v>
      </c>
      <c r="AU68" s="0" t="s">
        <v>130</v>
      </c>
      <c r="AV68" s="0" t="s">
        <v>130</v>
      </c>
      <c r="AW68" s="0" t="s">
        <v>130</v>
      </c>
      <c r="AX68" s="0" t="s">
        <v>130</v>
      </c>
      <c r="AY68" s="0" t="s">
        <v>130</v>
      </c>
      <c r="AZ68" s="0" t="s">
        <v>130</v>
      </c>
      <c r="BA68" s="0" t="s">
        <v>130</v>
      </c>
      <c r="BB68" s="0" t="s">
        <v>130</v>
      </c>
      <c r="BC68" s="0" t="s">
        <v>130</v>
      </c>
      <c r="BD68" s="0" t="s">
        <v>130</v>
      </c>
      <c r="BE68" s="0" t="s">
        <v>130</v>
      </c>
      <c r="BF68" s="0" t="s">
        <v>130</v>
      </c>
      <c r="BG68" s="0" t="s">
        <v>130</v>
      </c>
      <c r="BH68" s="0" t="s">
        <v>130</v>
      </c>
      <c r="BI68" s="0" t="s">
        <v>130</v>
      </c>
      <c r="BJ68" s="0" t="s">
        <v>130</v>
      </c>
      <c r="BK68" s="0" t="s">
        <v>130</v>
      </c>
      <c r="BL68" s="0" t="s">
        <v>130</v>
      </c>
      <c r="BM68" s="0" t="s">
        <v>130</v>
      </c>
      <c r="BN68" s="0" t="s">
        <v>130</v>
      </c>
      <c r="BO68" s="0" t="s">
        <v>130</v>
      </c>
      <c r="BP68" s="0" t="s">
        <v>130</v>
      </c>
      <c r="BQ68" s="0" t="s">
        <v>130</v>
      </c>
      <c r="BR68" s="0" t="s">
        <v>130</v>
      </c>
      <c r="BS68" s="0" t="s">
        <v>130</v>
      </c>
      <c r="BT68" s="0" t="s">
        <v>130</v>
      </c>
      <c r="BU68" s="0" t="s">
        <v>130</v>
      </c>
      <c r="BV68" s="0" t="s">
        <v>130</v>
      </c>
      <c r="BW68" s="0" t="s">
        <v>130</v>
      </c>
      <c r="BX68" s="0" t="s">
        <v>130</v>
      </c>
      <c r="BY68" s="0" t="s">
        <v>130</v>
      </c>
      <c r="BZ68" s="0" t="s">
        <v>130</v>
      </c>
      <c r="CA68" s="0" t="s">
        <v>130</v>
      </c>
      <c r="CB68" s="0" t="s">
        <v>130</v>
      </c>
      <c r="CC68" s="0" t="s">
        <v>130</v>
      </c>
      <c r="CD68" s="0" t="s">
        <v>130</v>
      </c>
      <c r="CE68" s="0" t="s">
        <v>130</v>
      </c>
      <c r="CF68" s="0" t="s">
        <v>130</v>
      </c>
      <c r="CG68" s="0" t="s">
        <v>130</v>
      </c>
      <c r="CH68" s="0" t="s">
        <v>130</v>
      </c>
      <c r="CI68" s="0" t="s">
        <v>130</v>
      </c>
      <c r="CJ68" s="0" t="s">
        <v>130</v>
      </c>
      <c r="CK68" s="0" t="s">
        <v>130</v>
      </c>
      <c r="CL68" s="0" t="s">
        <v>130</v>
      </c>
      <c r="CM68" s="0" t="s">
        <v>130</v>
      </c>
      <c r="CN68" s="0" t="s">
        <v>130</v>
      </c>
      <c r="CO68" s="0" t="s">
        <v>130</v>
      </c>
      <c r="CP68" s="0" t="s">
        <v>130</v>
      </c>
      <c r="CQ68" s="0" t="s">
        <v>130</v>
      </c>
      <c r="CR68" s="0" t="s">
        <v>130</v>
      </c>
      <c r="CS68" s="0" t="s">
        <v>130</v>
      </c>
      <c r="CT68" s="0" t="s">
        <v>440</v>
      </c>
    </row>
    <row r="69">
      <c r="A69" s="14">
        <v>100285</v>
      </c>
      <c r="B69" s="0" t="s">
        <v>423</v>
      </c>
      <c r="C69" s="16">
        <f>HYPERLINK("https://eosportal.federatedhermes.com/companies/Q29tcGFueQppNzM3OTg=", "Caterpillar Inc")</f>
      </c>
      <c r="D69" s="0" t="s">
        <v>23</v>
      </c>
      <c r="E69" s="0" t="s">
        <v>441</v>
      </c>
      <c r="F69" s="16">
        <f>HYPERLINK("https://eosportal.federatedhermes.com/engagements/RW5nYWdlbWVudAppMTg1Mzg=", "Auditor tenure")</f>
      </c>
      <c r="G69" s="14" t="s">
        <v>442</v>
      </c>
      <c r="H69" s="0" t="s">
        <v>141</v>
      </c>
      <c r="I69" s="14" t="s">
        <v>191</v>
      </c>
      <c r="J69" s="0" t="s">
        <v>132</v>
      </c>
      <c r="K69" s="0" t="s">
        <v>170</v>
      </c>
      <c r="L69" s="0" t="s">
        <v>310</v>
      </c>
      <c r="M69" s="0" t="s">
        <v>135</v>
      </c>
      <c r="N69" s="0" t="s">
        <v>136</v>
      </c>
      <c r="O69" s="0" t="s">
        <v>425</v>
      </c>
      <c r="Q69" s="0" t="s">
        <v>130</v>
      </c>
      <c r="R69" s="0" t="s">
        <v>130</v>
      </c>
      <c r="S69" s="14">
        <v>0</v>
      </c>
      <c r="T69" s="0" t="s">
        <v>355</v>
      </c>
      <c r="U69" s="0" t="s">
        <v>221</v>
      </c>
      <c r="V69" s="14" t="s">
        <v>355</v>
      </c>
      <c r="W69" s="0" t="s">
        <v>221</v>
      </c>
      <c r="X69" s="14" t="s">
        <v>231</v>
      </c>
      <c r="Y69" s="0" t="s">
        <v>223</v>
      </c>
      <c r="Z69" s="14" t="s">
        <v>138</v>
      </c>
      <c r="AA69" s="0" t="s">
        <v>224</v>
      </c>
      <c r="AB69" s="14" t="s">
        <v>138</v>
      </c>
      <c r="AD69" s="0" t="s">
        <v>17</v>
      </c>
      <c r="AF69" s="0">
        <v>0</v>
      </c>
      <c r="AG69" s="0">
        <v>0</v>
      </c>
      <c r="AH69" s="0" t="s">
        <v>140</v>
      </c>
      <c r="AI69" s="0" t="s">
        <v>225</v>
      </c>
      <c r="AL69" s="14"/>
      <c r="AN69" s="14"/>
      <c r="AQ69" s="0" t="s">
        <v>130</v>
      </c>
      <c r="AR69" s="0" t="s">
        <v>130</v>
      </c>
      <c r="AS69" s="0" t="s">
        <v>130</v>
      </c>
      <c r="AT69" s="0" t="s">
        <v>130</v>
      </c>
      <c r="AU69" s="0" t="s">
        <v>130</v>
      </c>
      <c r="AV69" s="0" t="s">
        <v>130</v>
      </c>
      <c r="AW69" s="0" t="s">
        <v>130</v>
      </c>
      <c r="AX69" s="0" t="s">
        <v>130</v>
      </c>
      <c r="AY69" s="0" t="s">
        <v>130</v>
      </c>
      <c r="AZ69" s="0" t="s">
        <v>130</v>
      </c>
      <c r="BA69" s="0" t="s">
        <v>130</v>
      </c>
      <c r="BB69" s="0" t="s">
        <v>130</v>
      </c>
      <c r="BC69" s="0" t="s">
        <v>130</v>
      </c>
      <c r="BD69" s="0" t="s">
        <v>130</v>
      </c>
      <c r="BE69" s="0" t="s">
        <v>130</v>
      </c>
      <c r="BF69" s="0" t="s">
        <v>130</v>
      </c>
      <c r="BG69" s="0" t="s">
        <v>130</v>
      </c>
      <c r="BH69" s="0" t="s">
        <v>130</v>
      </c>
      <c r="BI69" s="0" t="s">
        <v>130</v>
      </c>
      <c r="BJ69" s="0" t="s">
        <v>130</v>
      </c>
      <c r="BK69" s="0" t="s">
        <v>130</v>
      </c>
      <c r="BL69" s="0" t="s">
        <v>130</v>
      </c>
      <c r="BM69" s="0" t="s">
        <v>130</v>
      </c>
      <c r="BN69" s="0" t="s">
        <v>130</v>
      </c>
      <c r="BO69" s="0" t="s">
        <v>130</v>
      </c>
      <c r="BP69" s="0" t="s">
        <v>130</v>
      </c>
      <c r="BQ69" s="0" t="s">
        <v>130</v>
      </c>
      <c r="BR69" s="0" t="s">
        <v>130</v>
      </c>
      <c r="BS69" s="0" t="s">
        <v>130</v>
      </c>
      <c r="BT69" s="0" t="s">
        <v>130</v>
      </c>
      <c r="BU69" s="0" t="s">
        <v>130</v>
      </c>
      <c r="BV69" s="0" t="s">
        <v>130</v>
      </c>
      <c r="BW69" s="0" t="s">
        <v>130</v>
      </c>
      <c r="BX69" s="0" t="s">
        <v>130</v>
      </c>
      <c r="BY69" s="0" t="s">
        <v>130</v>
      </c>
      <c r="BZ69" s="0" t="s">
        <v>130</v>
      </c>
      <c r="CA69" s="0" t="s">
        <v>130</v>
      </c>
      <c r="CB69" s="0" t="s">
        <v>130</v>
      </c>
      <c r="CC69" s="0" t="s">
        <v>130</v>
      </c>
      <c r="CD69" s="0" t="s">
        <v>130</v>
      </c>
      <c r="CE69" s="0" t="s">
        <v>130</v>
      </c>
      <c r="CF69" s="0" t="s">
        <v>130</v>
      </c>
      <c r="CG69" s="0" t="s">
        <v>130</v>
      </c>
      <c r="CH69" s="0" t="s">
        <v>130</v>
      </c>
      <c r="CI69" s="0" t="s">
        <v>130</v>
      </c>
      <c r="CJ69" s="0" t="s">
        <v>130</v>
      </c>
      <c r="CK69" s="0" t="s">
        <v>130</v>
      </c>
      <c r="CL69" s="0" t="s">
        <v>130</v>
      </c>
      <c r="CM69" s="0" t="s">
        <v>130</v>
      </c>
      <c r="CN69" s="0" t="s">
        <v>130</v>
      </c>
      <c r="CO69" s="0" t="s">
        <v>130</v>
      </c>
      <c r="CP69" s="0" t="s">
        <v>130</v>
      </c>
      <c r="CQ69" s="0" t="s">
        <v>130</v>
      </c>
      <c r="CR69" s="0" t="s">
        <v>130</v>
      </c>
      <c r="CS69" s="0" t="s">
        <v>130</v>
      </c>
      <c r="CT69" s="0" t="s">
        <v>443</v>
      </c>
    </row>
    <row r="70">
      <c r="A70" s="14">
        <v>100285</v>
      </c>
      <c r="B70" s="0" t="s">
        <v>423</v>
      </c>
      <c r="C70" s="16">
        <f>HYPERLINK("https://eosportal.federatedhermes.com/companies/Q29tcGFueQppNzM3OTg=", "Caterpillar Inc")</f>
      </c>
      <c r="D70" s="0" t="s">
        <v>23</v>
      </c>
      <c r="E70" s="0" t="s">
        <v>444</v>
      </c>
      <c r="F70" s="16">
        <f>HYPERLINK("https://eosportal.federatedhermes.com/engagements/RW5nYWdlbWVudAppMTg1Mzk=", "Water management strategy")</f>
      </c>
      <c r="G70" s="14" t="s">
        <v>445</v>
      </c>
      <c r="H70" s="0" t="s">
        <v>141</v>
      </c>
      <c r="I70" s="14" t="s">
        <v>191</v>
      </c>
      <c r="J70" s="0" t="s">
        <v>197</v>
      </c>
      <c r="K70" s="0" t="s">
        <v>337</v>
      </c>
      <c r="L70" s="0" t="s">
        <v>338</v>
      </c>
      <c r="M70" s="0" t="s">
        <v>135</v>
      </c>
      <c r="N70" s="0" t="s">
        <v>136</v>
      </c>
      <c r="O70" s="0" t="s">
        <v>425</v>
      </c>
      <c r="Q70" s="0" t="s">
        <v>130</v>
      </c>
      <c r="R70" s="0" t="s">
        <v>130</v>
      </c>
      <c r="S70" s="14">
        <v>0</v>
      </c>
      <c r="T70" s="0" t="s">
        <v>355</v>
      </c>
      <c r="U70" s="0" t="s">
        <v>221</v>
      </c>
      <c r="V70" s="14" t="s">
        <v>355</v>
      </c>
      <c r="W70" s="0" t="s">
        <v>221</v>
      </c>
      <c r="X70" s="14" t="s">
        <v>355</v>
      </c>
      <c r="Y70" s="0" t="s">
        <v>221</v>
      </c>
      <c r="Z70" s="14" t="s">
        <v>446</v>
      </c>
      <c r="AA70" s="0" t="s">
        <v>223</v>
      </c>
      <c r="AB70" s="14" t="s">
        <v>138</v>
      </c>
      <c r="AD70" s="0" t="s">
        <v>20</v>
      </c>
      <c r="AF70" s="0">
        <v>0</v>
      </c>
      <c r="AG70" s="0">
        <v>0</v>
      </c>
      <c r="AH70" s="0" t="s">
        <v>140</v>
      </c>
      <c r="AI70" s="0" t="s">
        <v>232</v>
      </c>
      <c r="AL70" s="14"/>
      <c r="AN70" s="14"/>
      <c r="AQ70" s="0" t="s">
        <v>130</v>
      </c>
      <c r="AR70" s="0" t="s">
        <v>130</v>
      </c>
      <c r="AS70" s="0" t="s">
        <v>130</v>
      </c>
      <c r="AT70" s="0" t="s">
        <v>130</v>
      </c>
      <c r="AU70" s="0" t="s">
        <v>130</v>
      </c>
      <c r="AV70" s="0" t="s">
        <v>141</v>
      </c>
      <c r="AW70" s="0" t="s">
        <v>130</v>
      </c>
      <c r="AX70" s="0" t="s">
        <v>130</v>
      </c>
      <c r="AY70" s="0" t="s">
        <v>130</v>
      </c>
      <c r="AZ70" s="0" t="s">
        <v>130</v>
      </c>
      <c r="BA70" s="0" t="s">
        <v>130</v>
      </c>
      <c r="BB70" s="0" t="s">
        <v>130</v>
      </c>
      <c r="BC70" s="0" t="s">
        <v>130</v>
      </c>
      <c r="BD70" s="0" t="s">
        <v>130</v>
      </c>
      <c r="BE70" s="0" t="s">
        <v>130</v>
      </c>
      <c r="BF70" s="0" t="s">
        <v>130</v>
      </c>
      <c r="BG70" s="0" t="s">
        <v>130</v>
      </c>
      <c r="BH70" s="0" t="s">
        <v>130</v>
      </c>
      <c r="BI70" s="0" t="s">
        <v>130</v>
      </c>
      <c r="BJ70" s="0" t="s">
        <v>130</v>
      </c>
      <c r="BK70" s="0" t="s">
        <v>130</v>
      </c>
      <c r="BL70" s="0" t="s">
        <v>130</v>
      </c>
      <c r="BM70" s="0" t="s">
        <v>130</v>
      </c>
      <c r="BN70" s="0" t="s">
        <v>130</v>
      </c>
      <c r="BO70" s="0" t="s">
        <v>130</v>
      </c>
      <c r="BP70" s="0" t="s">
        <v>130</v>
      </c>
      <c r="BQ70" s="0" t="s">
        <v>130</v>
      </c>
      <c r="BR70" s="0" t="s">
        <v>130</v>
      </c>
      <c r="BS70" s="0" t="s">
        <v>130</v>
      </c>
      <c r="BT70" s="0" t="s">
        <v>130</v>
      </c>
      <c r="BU70" s="0" t="s">
        <v>130</v>
      </c>
      <c r="BV70" s="0" t="s">
        <v>130</v>
      </c>
      <c r="BW70" s="0" t="s">
        <v>130</v>
      </c>
      <c r="BX70" s="0" t="s">
        <v>141</v>
      </c>
      <c r="BY70" s="0" t="s">
        <v>130</v>
      </c>
      <c r="BZ70" s="0" t="s">
        <v>130</v>
      </c>
      <c r="CA70" s="0" t="s">
        <v>130</v>
      </c>
      <c r="CB70" s="0" t="s">
        <v>130</v>
      </c>
      <c r="CC70" s="0" t="s">
        <v>130</v>
      </c>
      <c r="CD70" s="0" t="s">
        <v>130</v>
      </c>
      <c r="CE70" s="0" t="s">
        <v>130</v>
      </c>
      <c r="CF70" s="0" t="s">
        <v>130</v>
      </c>
      <c r="CG70" s="0" t="s">
        <v>130</v>
      </c>
      <c r="CH70" s="0" t="s">
        <v>130</v>
      </c>
      <c r="CI70" s="0" t="s">
        <v>130</v>
      </c>
      <c r="CJ70" s="0" t="s">
        <v>130</v>
      </c>
      <c r="CK70" s="0" t="s">
        <v>130</v>
      </c>
      <c r="CL70" s="0" t="s">
        <v>130</v>
      </c>
      <c r="CM70" s="0" t="s">
        <v>130</v>
      </c>
      <c r="CN70" s="0" t="s">
        <v>130</v>
      </c>
      <c r="CO70" s="0" t="s">
        <v>130</v>
      </c>
      <c r="CP70" s="0" t="s">
        <v>130</v>
      </c>
      <c r="CQ70" s="0" t="s">
        <v>130</v>
      </c>
      <c r="CR70" s="0" t="s">
        <v>130</v>
      </c>
      <c r="CS70" s="0" t="s">
        <v>130</v>
      </c>
      <c r="CT70" s="0" t="s">
        <v>447</v>
      </c>
    </row>
    <row r="71">
      <c r="A71" s="14">
        <v>100285</v>
      </c>
      <c r="B71" s="0" t="s">
        <v>423</v>
      </c>
      <c r="C71" s="16">
        <f>HYPERLINK("https://eosportal.federatedhermes.com/companies/Q29tcGFueQppNzM3OTg=", "Caterpillar Inc")</f>
      </c>
      <c r="D71" s="0" t="s">
        <v>23</v>
      </c>
      <c r="E71" s="0" t="s">
        <v>228</v>
      </c>
      <c r="F71" s="16">
        <f>HYPERLINK("https://eosportal.federatedhermes.com/engagements/RW5nYWdlbWVudAppMTg1NDA=", "Climate strategy")</f>
      </c>
      <c r="G71" s="14" t="s">
        <v>448</v>
      </c>
      <c r="H71" s="0" t="s">
        <v>141</v>
      </c>
      <c r="I71" s="14" t="s">
        <v>191</v>
      </c>
      <c r="J71" s="0" t="s">
        <v>197</v>
      </c>
      <c r="K71" s="0" t="s">
        <v>198</v>
      </c>
      <c r="L71" s="0" t="s">
        <v>220</v>
      </c>
      <c r="M71" s="0" t="s">
        <v>135</v>
      </c>
      <c r="N71" s="0" t="s">
        <v>136</v>
      </c>
      <c r="O71" s="0" t="s">
        <v>425</v>
      </c>
      <c r="Q71" s="0" t="s">
        <v>130</v>
      </c>
      <c r="R71" s="0" t="s">
        <v>130</v>
      </c>
      <c r="S71" s="14">
        <v>0</v>
      </c>
      <c r="T71" s="0" t="s">
        <v>139</v>
      </c>
      <c r="U71" s="0" t="s">
        <v>221</v>
      </c>
      <c r="V71" s="14" t="s">
        <v>139</v>
      </c>
      <c r="W71" s="0" t="s">
        <v>221</v>
      </c>
      <c r="X71" s="14" t="s">
        <v>139</v>
      </c>
      <c r="Y71" s="0" t="s">
        <v>221</v>
      </c>
      <c r="Z71" s="14" t="s">
        <v>449</v>
      </c>
      <c r="AA71" s="0" t="s">
        <v>223</v>
      </c>
      <c r="AB71" s="14" t="s">
        <v>138</v>
      </c>
      <c r="AD71" s="0" t="s">
        <v>20</v>
      </c>
      <c r="AF71" s="0">
        <v>0</v>
      </c>
      <c r="AG71" s="0">
        <v>0</v>
      </c>
      <c r="AH71" s="0" t="s">
        <v>140</v>
      </c>
      <c r="AI71" s="0" t="s">
        <v>232</v>
      </c>
      <c r="AL71" s="14"/>
      <c r="AN71" s="14"/>
      <c r="AQ71" s="0" t="s">
        <v>130</v>
      </c>
      <c r="AR71" s="0" t="s">
        <v>130</v>
      </c>
      <c r="AS71" s="0" t="s">
        <v>130</v>
      </c>
      <c r="AT71" s="0" t="s">
        <v>130</v>
      </c>
      <c r="AU71" s="0" t="s">
        <v>130</v>
      </c>
      <c r="AV71" s="0" t="s">
        <v>130</v>
      </c>
      <c r="AW71" s="0" t="s">
        <v>141</v>
      </c>
      <c r="AX71" s="0" t="s">
        <v>130</v>
      </c>
      <c r="AY71" s="0" t="s">
        <v>141</v>
      </c>
      <c r="AZ71" s="0" t="s">
        <v>130</v>
      </c>
      <c r="BA71" s="0" t="s">
        <v>130</v>
      </c>
      <c r="BB71" s="0" t="s">
        <v>130</v>
      </c>
      <c r="BC71" s="0" t="s">
        <v>141</v>
      </c>
      <c r="BD71" s="0" t="s">
        <v>130</v>
      </c>
      <c r="BE71" s="0" t="s">
        <v>130</v>
      </c>
      <c r="BF71" s="0" t="s">
        <v>130</v>
      </c>
      <c r="BG71" s="0" t="s">
        <v>130</v>
      </c>
      <c r="BH71" s="0" t="s">
        <v>141</v>
      </c>
      <c r="BI71" s="0" t="s">
        <v>141</v>
      </c>
      <c r="BJ71" s="0" t="s">
        <v>141</v>
      </c>
      <c r="BK71" s="0" t="s">
        <v>130</v>
      </c>
      <c r="BL71" s="0" t="s">
        <v>130</v>
      </c>
      <c r="BM71" s="0" t="s">
        <v>130</v>
      </c>
      <c r="BN71" s="0" t="s">
        <v>130</v>
      </c>
      <c r="BO71" s="0" t="s">
        <v>130</v>
      </c>
      <c r="BP71" s="0" t="s">
        <v>130</v>
      </c>
      <c r="BQ71" s="0" t="s">
        <v>130</v>
      </c>
      <c r="BR71" s="0" t="s">
        <v>130</v>
      </c>
      <c r="BS71" s="0" t="s">
        <v>130</v>
      </c>
      <c r="BT71" s="0" t="s">
        <v>130</v>
      </c>
      <c r="BU71" s="0" t="s">
        <v>130</v>
      </c>
      <c r="BV71" s="0" t="s">
        <v>141</v>
      </c>
      <c r="BW71" s="0" t="s">
        <v>141</v>
      </c>
      <c r="BX71" s="0" t="s">
        <v>130</v>
      </c>
      <c r="BY71" s="0" t="s">
        <v>130</v>
      </c>
      <c r="BZ71" s="0" t="s">
        <v>130</v>
      </c>
      <c r="CA71" s="0" t="s">
        <v>130</v>
      </c>
      <c r="CB71" s="0" t="s">
        <v>130</v>
      </c>
      <c r="CC71" s="0" t="s">
        <v>130</v>
      </c>
      <c r="CD71" s="0" t="s">
        <v>130</v>
      </c>
      <c r="CE71" s="0" t="s">
        <v>130</v>
      </c>
      <c r="CF71" s="0" t="s">
        <v>130</v>
      </c>
      <c r="CG71" s="0" t="s">
        <v>130</v>
      </c>
      <c r="CH71" s="0" t="s">
        <v>130</v>
      </c>
      <c r="CI71" s="0" t="s">
        <v>130</v>
      </c>
      <c r="CJ71" s="0" t="s">
        <v>130</v>
      </c>
      <c r="CK71" s="0" t="s">
        <v>130</v>
      </c>
      <c r="CL71" s="0" t="s">
        <v>130</v>
      </c>
      <c r="CM71" s="0" t="s">
        <v>130</v>
      </c>
      <c r="CN71" s="0" t="s">
        <v>130</v>
      </c>
      <c r="CO71" s="0" t="s">
        <v>130</v>
      </c>
      <c r="CP71" s="0" t="s">
        <v>130</v>
      </c>
      <c r="CQ71" s="0" t="s">
        <v>130</v>
      </c>
      <c r="CR71" s="0" t="s">
        <v>130</v>
      </c>
      <c r="CS71" s="0" t="s">
        <v>130</v>
      </c>
      <c r="CT71" s="0" t="s">
        <v>450</v>
      </c>
    </row>
    <row r="72">
      <c r="A72" s="14">
        <v>100285</v>
      </c>
      <c r="B72" s="0" t="s">
        <v>423</v>
      </c>
      <c r="C72" s="16">
        <f>HYPERLINK("https://eosportal.federatedhermes.com/companies/Q29tcGFueQppNzM3OTg=", "Caterpillar Inc")</f>
      </c>
      <c r="D72" s="0" t="s">
        <v>25</v>
      </c>
      <c r="E72" s="0" t="s">
        <v>451</v>
      </c>
      <c r="F72" s="16">
        <f>HYPERLINK("https://eosportal.federatedhermes.com/engagements/RW5nYWdlbWVudAppMTg1NDI=", "Overcommitted Lead Independent Director")</f>
      </c>
      <c r="G72" s="14" t="s">
        <v>452</v>
      </c>
      <c r="H72" s="0" t="s">
        <v>141</v>
      </c>
      <c r="I72" s="14" t="s">
        <v>191</v>
      </c>
      <c r="J72" s="0" t="s">
        <v>145</v>
      </c>
      <c r="K72" s="0" t="s">
        <v>164</v>
      </c>
      <c r="L72" s="0" t="s">
        <v>165</v>
      </c>
      <c r="M72" s="0" t="s">
        <v>135</v>
      </c>
      <c r="N72" s="0" t="s">
        <v>136</v>
      </c>
      <c r="O72" s="0" t="s">
        <v>425</v>
      </c>
      <c r="Q72" s="0" t="s">
        <v>130</v>
      </c>
      <c r="R72" s="0" t="s">
        <v>138</v>
      </c>
      <c r="S72" s="14">
        <v>0</v>
      </c>
      <c r="T72" s="0" t="s">
        <v>355</v>
      </c>
      <c r="U72" s="0" t="s">
        <v>138</v>
      </c>
      <c r="V72" s="14" t="s">
        <v>138</v>
      </c>
      <c r="W72" s="0" t="s">
        <v>138</v>
      </c>
      <c r="X72" s="14" t="s">
        <v>138</v>
      </c>
      <c r="Y72" s="0" t="s">
        <v>138</v>
      </c>
      <c r="Z72" s="14" t="s">
        <v>138</v>
      </c>
      <c r="AA72" s="0" t="s">
        <v>138</v>
      </c>
      <c r="AB72" s="14" t="s">
        <v>138</v>
      </c>
      <c r="AD72" s="0" t="s">
        <v>138</v>
      </c>
      <c r="AF72" s="0">
        <v>0</v>
      </c>
      <c r="AG72" s="0">
        <v>0</v>
      </c>
      <c r="AH72" s="0" t="s">
        <v>140</v>
      </c>
      <c r="AI72" s="0" t="s">
        <v>138</v>
      </c>
      <c r="AL72" s="14"/>
      <c r="AN72" s="14"/>
      <c r="AQ72" s="0" t="s">
        <v>130</v>
      </c>
      <c r="AR72" s="0" t="s">
        <v>130</v>
      </c>
      <c r="AS72" s="0" t="s">
        <v>130</v>
      </c>
      <c r="AT72" s="0" t="s">
        <v>130</v>
      </c>
      <c r="AU72" s="0" t="s">
        <v>130</v>
      </c>
      <c r="AV72" s="0" t="s">
        <v>130</v>
      </c>
      <c r="AW72" s="0" t="s">
        <v>130</v>
      </c>
      <c r="AX72" s="0" t="s">
        <v>130</v>
      </c>
      <c r="AY72" s="0" t="s">
        <v>130</v>
      </c>
      <c r="AZ72" s="0" t="s">
        <v>130</v>
      </c>
      <c r="BA72" s="0" t="s">
        <v>130</v>
      </c>
      <c r="BB72" s="0" t="s">
        <v>130</v>
      </c>
      <c r="BC72" s="0" t="s">
        <v>130</v>
      </c>
      <c r="BD72" s="0" t="s">
        <v>130</v>
      </c>
      <c r="BE72" s="0" t="s">
        <v>130</v>
      </c>
      <c r="BF72" s="0" t="s">
        <v>130</v>
      </c>
      <c r="BG72" s="0" t="s">
        <v>130</v>
      </c>
      <c r="BH72" s="0" t="s">
        <v>130</v>
      </c>
      <c r="BI72" s="0" t="s">
        <v>130</v>
      </c>
      <c r="BJ72" s="0" t="s">
        <v>130</v>
      </c>
      <c r="BK72" s="0" t="s">
        <v>130</v>
      </c>
      <c r="BL72" s="0" t="s">
        <v>130</v>
      </c>
      <c r="BM72" s="0" t="s">
        <v>130</v>
      </c>
      <c r="BN72" s="0" t="s">
        <v>130</v>
      </c>
      <c r="BO72" s="0" t="s">
        <v>130</v>
      </c>
      <c r="BP72" s="0" t="s">
        <v>130</v>
      </c>
      <c r="BQ72" s="0" t="s">
        <v>130</v>
      </c>
      <c r="BR72" s="0" t="s">
        <v>130</v>
      </c>
      <c r="BS72" s="0" t="s">
        <v>130</v>
      </c>
      <c r="BT72" s="0" t="s">
        <v>130</v>
      </c>
      <c r="BU72" s="0" t="s">
        <v>130</v>
      </c>
      <c r="BV72" s="0" t="s">
        <v>130</v>
      </c>
      <c r="BW72" s="0" t="s">
        <v>130</v>
      </c>
      <c r="BX72" s="0" t="s">
        <v>130</v>
      </c>
      <c r="BY72" s="0" t="s">
        <v>130</v>
      </c>
      <c r="BZ72" s="0" t="s">
        <v>130</v>
      </c>
      <c r="CA72" s="0" t="s">
        <v>130</v>
      </c>
      <c r="CB72" s="0" t="s">
        <v>130</v>
      </c>
      <c r="CC72" s="0" t="s">
        <v>130</v>
      </c>
      <c r="CD72" s="0" t="s">
        <v>130</v>
      </c>
      <c r="CE72" s="0" t="s">
        <v>130</v>
      </c>
      <c r="CF72" s="0" t="s">
        <v>130</v>
      </c>
      <c r="CG72" s="0" t="s">
        <v>130</v>
      </c>
      <c r="CH72" s="0" t="s">
        <v>130</v>
      </c>
      <c r="CI72" s="0" t="s">
        <v>130</v>
      </c>
      <c r="CJ72" s="0" t="s">
        <v>130</v>
      </c>
      <c r="CK72" s="0" t="s">
        <v>130</v>
      </c>
      <c r="CL72" s="0" t="s">
        <v>130</v>
      </c>
      <c r="CM72" s="0" t="s">
        <v>130</v>
      </c>
      <c r="CN72" s="0" t="s">
        <v>130</v>
      </c>
      <c r="CO72" s="0" t="s">
        <v>130</v>
      </c>
      <c r="CP72" s="0" t="s">
        <v>130</v>
      </c>
      <c r="CQ72" s="0" t="s">
        <v>130</v>
      </c>
      <c r="CR72" s="0" t="s">
        <v>130</v>
      </c>
      <c r="CS72" s="0" t="s">
        <v>130</v>
      </c>
      <c r="CT72" s="0" t="s">
        <v>453</v>
      </c>
    </row>
    <row r="73">
      <c r="A73" s="14">
        <v>100285</v>
      </c>
      <c r="B73" s="0" t="s">
        <v>423</v>
      </c>
      <c r="C73" s="16">
        <f>HYPERLINK("https://eosportal.federatedhermes.com/companies/Q29tcGFueQppNzM3OTg=", "Caterpillar Inc")</f>
      </c>
      <c r="D73" s="0" t="s">
        <v>25</v>
      </c>
      <c r="E73" s="0" t="s">
        <v>454</v>
      </c>
      <c r="F73" s="16">
        <f>HYPERLINK("https://eosportal.federatedhermes.com/engagements/RW5nYWdlbWVudAppMTg1NDM=", "Controversy linked to UNGC Principle 2: Complicit in human rights abuses")</f>
      </c>
      <c r="G73" s="14" t="s">
        <v>455</v>
      </c>
      <c r="H73" s="0" t="s">
        <v>141</v>
      </c>
      <c r="I73" s="14" t="s">
        <v>191</v>
      </c>
      <c r="J73" s="0" t="s">
        <v>153</v>
      </c>
      <c r="K73" s="0" t="s">
        <v>243</v>
      </c>
      <c r="L73" s="0" t="s">
        <v>456</v>
      </c>
      <c r="M73" s="0" t="s">
        <v>135</v>
      </c>
      <c r="N73" s="0" t="s">
        <v>136</v>
      </c>
      <c r="O73" s="0" t="s">
        <v>425</v>
      </c>
      <c r="Q73" s="0" t="s">
        <v>130</v>
      </c>
      <c r="R73" s="0" t="s">
        <v>138</v>
      </c>
      <c r="S73" s="14">
        <v>0</v>
      </c>
      <c r="T73" s="0" t="s">
        <v>457</v>
      </c>
      <c r="U73" s="0" t="s">
        <v>138</v>
      </c>
      <c r="V73" s="14" t="s">
        <v>138</v>
      </c>
      <c r="W73" s="0" t="s">
        <v>138</v>
      </c>
      <c r="X73" s="14" t="s">
        <v>138</v>
      </c>
      <c r="Y73" s="0" t="s">
        <v>138</v>
      </c>
      <c r="Z73" s="14" t="s">
        <v>138</v>
      </c>
      <c r="AA73" s="0" t="s">
        <v>138</v>
      </c>
      <c r="AB73" s="14" t="s">
        <v>138</v>
      </c>
      <c r="AD73" s="0" t="s">
        <v>138</v>
      </c>
      <c r="AF73" s="0">
        <v>0</v>
      </c>
      <c r="AG73" s="0">
        <v>0</v>
      </c>
      <c r="AH73" s="0" t="s">
        <v>140</v>
      </c>
      <c r="AI73" s="0" t="s">
        <v>138</v>
      </c>
      <c r="AL73" s="14"/>
      <c r="AN73" s="14"/>
      <c r="AQ73" s="0" t="s">
        <v>130</v>
      </c>
      <c r="AR73" s="0" t="s">
        <v>130</v>
      </c>
      <c r="AS73" s="0" t="s">
        <v>130</v>
      </c>
      <c r="AT73" s="0" t="s">
        <v>130</v>
      </c>
      <c r="AU73" s="0" t="s">
        <v>130</v>
      </c>
      <c r="AV73" s="0" t="s">
        <v>130</v>
      </c>
      <c r="AW73" s="0" t="s">
        <v>130</v>
      </c>
      <c r="AX73" s="0" t="s">
        <v>141</v>
      </c>
      <c r="AY73" s="0" t="s">
        <v>130</v>
      </c>
      <c r="AZ73" s="0" t="s">
        <v>130</v>
      </c>
      <c r="BA73" s="0" t="s">
        <v>130</v>
      </c>
      <c r="BB73" s="0" t="s">
        <v>130</v>
      </c>
      <c r="BC73" s="0" t="s">
        <v>130</v>
      </c>
      <c r="BD73" s="0" t="s">
        <v>130</v>
      </c>
      <c r="BE73" s="0" t="s">
        <v>130</v>
      </c>
      <c r="BF73" s="0" t="s">
        <v>141</v>
      </c>
      <c r="BG73" s="0" t="s">
        <v>130</v>
      </c>
      <c r="BH73" s="0" t="s">
        <v>130</v>
      </c>
      <c r="BI73" s="0" t="s">
        <v>130</v>
      </c>
      <c r="BJ73" s="0" t="s">
        <v>130</v>
      </c>
      <c r="BK73" s="0" t="s">
        <v>130</v>
      </c>
      <c r="BL73" s="0" t="s">
        <v>130</v>
      </c>
      <c r="BM73" s="0" t="s">
        <v>130</v>
      </c>
      <c r="BN73" s="0" t="s">
        <v>130</v>
      </c>
      <c r="BO73" s="0" t="s">
        <v>130</v>
      </c>
      <c r="BP73" s="0" t="s">
        <v>141</v>
      </c>
      <c r="BQ73" s="0" t="s">
        <v>130</v>
      </c>
      <c r="BR73" s="0" t="s">
        <v>130</v>
      </c>
      <c r="BS73" s="0" t="s">
        <v>130</v>
      </c>
      <c r="BT73" s="0" t="s">
        <v>130</v>
      </c>
      <c r="BU73" s="0" t="s">
        <v>130</v>
      </c>
      <c r="BV73" s="0" t="s">
        <v>130</v>
      </c>
      <c r="BW73" s="0" t="s">
        <v>130</v>
      </c>
      <c r="BX73" s="0" t="s">
        <v>130</v>
      </c>
      <c r="BY73" s="0" t="s">
        <v>130</v>
      </c>
      <c r="BZ73" s="0" t="s">
        <v>130</v>
      </c>
      <c r="CA73" s="0" t="s">
        <v>130</v>
      </c>
      <c r="CB73" s="0" t="s">
        <v>130</v>
      </c>
      <c r="CC73" s="0" t="s">
        <v>130</v>
      </c>
      <c r="CD73" s="0" t="s">
        <v>130</v>
      </c>
      <c r="CE73" s="0" t="s">
        <v>130</v>
      </c>
      <c r="CF73" s="0" t="s">
        <v>130</v>
      </c>
      <c r="CG73" s="0" t="s">
        <v>130</v>
      </c>
      <c r="CH73" s="0" t="s">
        <v>130</v>
      </c>
      <c r="CI73" s="0" t="s">
        <v>130</v>
      </c>
      <c r="CJ73" s="0" t="s">
        <v>130</v>
      </c>
      <c r="CK73" s="0" t="s">
        <v>130</v>
      </c>
      <c r="CL73" s="0" t="s">
        <v>130</v>
      </c>
      <c r="CM73" s="0" t="s">
        <v>130</v>
      </c>
      <c r="CN73" s="0" t="s">
        <v>130</v>
      </c>
      <c r="CO73" s="0" t="s">
        <v>130</v>
      </c>
      <c r="CP73" s="0" t="s">
        <v>130</v>
      </c>
      <c r="CQ73" s="0" t="s">
        <v>130</v>
      </c>
      <c r="CR73" s="0" t="s">
        <v>130</v>
      </c>
      <c r="CS73" s="0" t="s">
        <v>130</v>
      </c>
      <c r="CT73" s="0" t="s">
        <v>458</v>
      </c>
    </row>
    <row r="74">
      <c r="A74" s="14">
        <v>100285</v>
      </c>
      <c r="B74" s="0" t="s">
        <v>423</v>
      </c>
      <c r="C74" s="16">
        <f>HYPERLINK("https://eosportal.federatedhermes.com/companies/Q29tcGFueQppNzM3OTg=", "Caterpillar Inc")</f>
      </c>
      <c r="D74" s="0" t="s">
        <v>25</v>
      </c>
      <c r="E74" s="0" t="s">
        <v>459</v>
      </c>
      <c r="F74" s="16">
        <f>HYPERLINK("https://eosportal.federatedhermes.com/engagements/RW5nYWdlbWVudAppMTg1NDQ=", "Human capital management")</f>
      </c>
      <c r="G74" s="14" t="s">
        <v>460</v>
      </c>
      <c r="H74" s="0" t="s">
        <v>141</v>
      </c>
      <c r="I74" s="14" t="s">
        <v>191</v>
      </c>
      <c r="J74" s="0" t="s">
        <v>153</v>
      </c>
      <c r="K74" s="0" t="s">
        <v>154</v>
      </c>
      <c r="L74" s="0" t="s">
        <v>306</v>
      </c>
      <c r="M74" s="0" t="s">
        <v>135</v>
      </c>
      <c r="N74" s="0" t="s">
        <v>136</v>
      </c>
      <c r="O74" s="0" t="s">
        <v>425</v>
      </c>
      <c r="Q74" s="0" t="s">
        <v>130</v>
      </c>
      <c r="R74" s="0" t="s">
        <v>138</v>
      </c>
      <c r="S74" s="14">
        <v>0</v>
      </c>
      <c r="T74" s="0" t="s">
        <v>288</v>
      </c>
      <c r="U74" s="0" t="s">
        <v>138</v>
      </c>
      <c r="V74" s="14" t="s">
        <v>138</v>
      </c>
      <c r="W74" s="0" t="s">
        <v>138</v>
      </c>
      <c r="X74" s="14" t="s">
        <v>138</v>
      </c>
      <c r="Y74" s="0" t="s">
        <v>138</v>
      </c>
      <c r="Z74" s="14" t="s">
        <v>138</v>
      </c>
      <c r="AA74" s="0" t="s">
        <v>138</v>
      </c>
      <c r="AB74" s="14" t="s">
        <v>138</v>
      </c>
      <c r="AD74" s="0" t="s">
        <v>138</v>
      </c>
      <c r="AF74" s="0">
        <v>0</v>
      </c>
      <c r="AG74" s="0">
        <v>0</v>
      </c>
      <c r="AH74" s="0" t="s">
        <v>140</v>
      </c>
      <c r="AI74" s="0" t="s">
        <v>138</v>
      </c>
      <c r="AL74" s="14"/>
      <c r="AN74" s="14"/>
      <c r="AQ74" s="0" t="s">
        <v>130</v>
      </c>
      <c r="AR74" s="0" t="s">
        <v>130</v>
      </c>
      <c r="AS74" s="0" t="s">
        <v>130</v>
      </c>
      <c r="AT74" s="0" t="s">
        <v>130</v>
      </c>
      <c r="AU74" s="0" t="s">
        <v>141</v>
      </c>
      <c r="AV74" s="0" t="s">
        <v>130</v>
      </c>
      <c r="AW74" s="0" t="s">
        <v>130</v>
      </c>
      <c r="AX74" s="0" t="s">
        <v>141</v>
      </c>
      <c r="AY74" s="0" t="s">
        <v>130</v>
      </c>
      <c r="AZ74" s="0" t="s">
        <v>141</v>
      </c>
      <c r="BA74" s="0" t="s">
        <v>130</v>
      </c>
      <c r="BB74" s="0" t="s">
        <v>130</v>
      </c>
      <c r="BC74" s="0" t="s">
        <v>130</v>
      </c>
      <c r="BD74" s="0" t="s">
        <v>130</v>
      </c>
      <c r="BE74" s="0" t="s">
        <v>130</v>
      </c>
      <c r="BF74" s="0" t="s">
        <v>130</v>
      </c>
      <c r="BG74" s="0" t="s">
        <v>130</v>
      </c>
      <c r="BH74" s="0" t="s">
        <v>130</v>
      </c>
      <c r="BI74" s="0" t="s">
        <v>130</v>
      </c>
      <c r="BJ74" s="0" t="s">
        <v>130</v>
      </c>
      <c r="BK74" s="0" t="s">
        <v>130</v>
      </c>
      <c r="BL74" s="0" t="s">
        <v>130</v>
      </c>
      <c r="BM74" s="0" t="s">
        <v>130</v>
      </c>
      <c r="BN74" s="0" t="s">
        <v>130</v>
      </c>
      <c r="BO74" s="0" t="s">
        <v>130</v>
      </c>
      <c r="BP74" s="0" t="s">
        <v>130</v>
      </c>
      <c r="BQ74" s="0" t="s">
        <v>130</v>
      </c>
      <c r="BR74" s="0" t="s">
        <v>130</v>
      </c>
      <c r="BS74" s="0" t="s">
        <v>130</v>
      </c>
      <c r="BT74" s="0" t="s">
        <v>130</v>
      </c>
      <c r="BU74" s="0" t="s">
        <v>130</v>
      </c>
      <c r="BV74" s="0" t="s">
        <v>130</v>
      </c>
      <c r="BW74" s="0" t="s">
        <v>130</v>
      </c>
      <c r="BX74" s="0" t="s">
        <v>130</v>
      </c>
      <c r="BY74" s="0" t="s">
        <v>130</v>
      </c>
      <c r="BZ74" s="0" t="s">
        <v>130</v>
      </c>
      <c r="CA74" s="0" t="s">
        <v>130</v>
      </c>
      <c r="CB74" s="0" t="s">
        <v>130</v>
      </c>
      <c r="CC74" s="0" t="s">
        <v>130</v>
      </c>
      <c r="CD74" s="0" t="s">
        <v>130</v>
      </c>
      <c r="CE74" s="0" t="s">
        <v>130</v>
      </c>
      <c r="CF74" s="0" t="s">
        <v>130</v>
      </c>
      <c r="CG74" s="0" t="s">
        <v>130</v>
      </c>
      <c r="CH74" s="0" t="s">
        <v>130</v>
      </c>
      <c r="CI74" s="0" t="s">
        <v>130</v>
      </c>
      <c r="CJ74" s="0" t="s">
        <v>130</v>
      </c>
      <c r="CK74" s="0" t="s">
        <v>130</v>
      </c>
      <c r="CL74" s="0" t="s">
        <v>130</v>
      </c>
      <c r="CM74" s="0" t="s">
        <v>130</v>
      </c>
      <c r="CN74" s="0" t="s">
        <v>130</v>
      </c>
      <c r="CO74" s="0" t="s">
        <v>130</v>
      </c>
      <c r="CP74" s="0" t="s">
        <v>130</v>
      </c>
      <c r="CQ74" s="0" t="s">
        <v>130</v>
      </c>
      <c r="CR74" s="0" t="s">
        <v>130</v>
      </c>
      <c r="CS74" s="0" t="s">
        <v>130</v>
      </c>
      <c r="CT74" s="0" t="s">
        <v>461</v>
      </c>
    </row>
    <row r="75">
      <c r="A75" s="14">
        <v>100285</v>
      </c>
      <c r="B75" s="0" t="s">
        <v>423</v>
      </c>
      <c r="C75" s="16">
        <f>HYPERLINK("https://eosportal.federatedhermes.com/companies/Q29tcGFueQppNzM3OTg=", "Caterpillar Inc")</f>
      </c>
      <c r="D75" s="0" t="s">
        <v>25</v>
      </c>
      <c r="E75" s="0" t="s">
        <v>462</v>
      </c>
      <c r="F75" s="16">
        <f>HYPERLINK("https://eosportal.federatedhermes.com/engagements/RW5nYWdlbWVudAppMTg1NDU=", "Climate Strategyand Targets")</f>
      </c>
      <c r="G75" s="14" t="s">
        <v>463</v>
      </c>
      <c r="H75" s="0" t="s">
        <v>141</v>
      </c>
      <c r="I75" s="14" t="s">
        <v>191</v>
      </c>
      <c r="J75" s="0" t="s">
        <v>197</v>
      </c>
      <c r="K75" s="0" t="s">
        <v>198</v>
      </c>
      <c r="L75" s="0" t="s">
        <v>216</v>
      </c>
      <c r="M75" s="0" t="s">
        <v>135</v>
      </c>
      <c r="N75" s="0" t="s">
        <v>136</v>
      </c>
      <c r="O75" s="0" t="s">
        <v>425</v>
      </c>
      <c r="Q75" s="0" t="s">
        <v>141</v>
      </c>
      <c r="R75" s="0" t="s">
        <v>138</v>
      </c>
      <c r="S75" s="14">
        <v>1</v>
      </c>
      <c r="T75" s="0" t="s">
        <v>139</v>
      </c>
      <c r="U75" s="0" t="s">
        <v>138</v>
      </c>
      <c r="V75" s="14" t="s">
        <v>138</v>
      </c>
      <c r="W75" s="0" t="s">
        <v>138</v>
      </c>
      <c r="X75" s="14" t="s">
        <v>138</v>
      </c>
      <c r="Y75" s="0" t="s">
        <v>138</v>
      </c>
      <c r="Z75" s="14" t="s">
        <v>138</v>
      </c>
      <c r="AA75" s="0" t="s">
        <v>138</v>
      </c>
      <c r="AB75" s="14" t="s">
        <v>138</v>
      </c>
      <c r="AD75" s="0" t="s">
        <v>138</v>
      </c>
      <c r="AF75" s="0">
        <v>0</v>
      </c>
      <c r="AG75" s="0">
        <v>0</v>
      </c>
      <c r="AH75" s="0" t="s">
        <v>140</v>
      </c>
      <c r="AI75" s="0" t="s">
        <v>138</v>
      </c>
      <c r="AK75" s="0" t="s">
        <v>436</v>
      </c>
      <c r="AL75" s="14"/>
      <c r="AN75" s="14"/>
      <c r="AQ75" s="0" t="s">
        <v>130</v>
      </c>
      <c r="AR75" s="0" t="s">
        <v>130</v>
      </c>
      <c r="AS75" s="0" t="s">
        <v>130</v>
      </c>
      <c r="AT75" s="0" t="s">
        <v>130</v>
      </c>
      <c r="AU75" s="0" t="s">
        <v>130</v>
      </c>
      <c r="AV75" s="0" t="s">
        <v>130</v>
      </c>
      <c r="AW75" s="0" t="s">
        <v>141</v>
      </c>
      <c r="AX75" s="0" t="s">
        <v>130</v>
      </c>
      <c r="AY75" s="0" t="s">
        <v>130</v>
      </c>
      <c r="AZ75" s="0" t="s">
        <v>130</v>
      </c>
      <c r="BA75" s="0" t="s">
        <v>130</v>
      </c>
      <c r="BB75" s="0" t="s">
        <v>130</v>
      </c>
      <c r="BC75" s="0" t="s">
        <v>141</v>
      </c>
      <c r="BD75" s="0" t="s">
        <v>130</v>
      </c>
      <c r="BE75" s="0" t="s">
        <v>130</v>
      </c>
      <c r="BF75" s="0" t="s">
        <v>130</v>
      </c>
      <c r="BG75" s="0" t="s">
        <v>130</v>
      </c>
      <c r="BH75" s="0" t="s">
        <v>141</v>
      </c>
      <c r="BI75" s="0" t="s">
        <v>141</v>
      </c>
      <c r="BJ75" s="0" t="s">
        <v>141</v>
      </c>
      <c r="BK75" s="0" t="s">
        <v>130</v>
      </c>
      <c r="BL75" s="0" t="s">
        <v>130</v>
      </c>
      <c r="BM75" s="0" t="s">
        <v>130</v>
      </c>
      <c r="BN75" s="0" t="s">
        <v>130</v>
      </c>
      <c r="BO75" s="0" t="s">
        <v>130</v>
      </c>
      <c r="BP75" s="0" t="s">
        <v>130</v>
      </c>
      <c r="BQ75" s="0" t="s">
        <v>130</v>
      </c>
      <c r="BR75" s="0" t="s">
        <v>130</v>
      </c>
      <c r="BS75" s="0" t="s">
        <v>130</v>
      </c>
      <c r="BT75" s="0" t="s">
        <v>130</v>
      </c>
      <c r="BU75" s="0" t="s">
        <v>130</v>
      </c>
      <c r="BV75" s="0" t="s">
        <v>141</v>
      </c>
      <c r="BW75" s="0" t="s">
        <v>141</v>
      </c>
      <c r="BX75" s="0" t="s">
        <v>130</v>
      </c>
      <c r="BY75" s="0" t="s">
        <v>130</v>
      </c>
      <c r="BZ75" s="0" t="s">
        <v>130</v>
      </c>
      <c r="CA75" s="0" t="s">
        <v>130</v>
      </c>
      <c r="CB75" s="0" t="s">
        <v>130</v>
      </c>
      <c r="CC75" s="0" t="s">
        <v>130</v>
      </c>
      <c r="CD75" s="0" t="s">
        <v>130</v>
      </c>
      <c r="CE75" s="0" t="s">
        <v>130</v>
      </c>
      <c r="CF75" s="0" t="s">
        <v>130</v>
      </c>
      <c r="CG75" s="0" t="s">
        <v>130</v>
      </c>
      <c r="CH75" s="0" t="s">
        <v>130</v>
      </c>
      <c r="CI75" s="0" t="s">
        <v>130</v>
      </c>
      <c r="CJ75" s="0" t="s">
        <v>130</v>
      </c>
      <c r="CK75" s="0" t="s">
        <v>130</v>
      </c>
      <c r="CL75" s="0" t="s">
        <v>130</v>
      </c>
      <c r="CM75" s="0" t="s">
        <v>130</v>
      </c>
      <c r="CN75" s="0" t="s">
        <v>130</v>
      </c>
      <c r="CO75" s="0" t="s">
        <v>130</v>
      </c>
      <c r="CP75" s="0" t="s">
        <v>130</v>
      </c>
      <c r="CQ75" s="0" t="s">
        <v>130</v>
      </c>
      <c r="CR75" s="0" t="s">
        <v>130</v>
      </c>
      <c r="CS75" s="0" t="s">
        <v>130</v>
      </c>
      <c r="CT75" s="0" t="s">
        <v>464</v>
      </c>
    </row>
    <row r="76">
      <c r="A76" s="14">
        <v>100285</v>
      </c>
      <c r="B76" s="0" t="s">
        <v>423</v>
      </c>
      <c r="C76" s="16">
        <f>HYPERLINK("https://eosportal.federatedhermes.com/companies/Q29tcGFueQppNzM3OTg=", "Caterpillar Inc")</f>
      </c>
      <c r="D76" s="0" t="s">
        <v>25</v>
      </c>
      <c r="E76" s="0" t="s">
        <v>465</v>
      </c>
      <c r="F76" s="16">
        <f>HYPERLINK("https://eosportal.federatedhermes.com/engagements/RW5nYWdlbWVudAppMTg1NDY=", "Lobbying policy")</f>
      </c>
      <c r="G76" s="14" t="s">
        <v>466</v>
      </c>
      <c r="H76" s="0" t="s">
        <v>141</v>
      </c>
      <c r="I76" s="14" t="s">
        <v>191</v>
      </c>
      <c r="J76" s="0" t="s">
        <v>153</v>
      </c>
      <c r="K76" s="0" t="s">
        <v>185</v>
      </c>
      <c r="L76" s="0" t="s">
        <v>186</v>
      </c>
      <c r="M76" s="0" t="s">
        <v>135</v>
      </c>
      <c r="N76" s="0" t="s">
        <v>136</v>
      </c>
      <c r="O76" s="0" t="s">
        <v>425</v>
      </c>
      <c r="Q76" s="0" t="s">
        <v>130</v>
      </c>
      <c r="R76" s="0" t="s">
        <v>138</v>
      </c>
      <c r="S76" s="14">
        <v>0</v>
      </c>
      <c r="T76" s="0" t="s">
        <v>416</v>
      </c>
      <c r="U76" s="0" t="s">
        <v>138</v>
      </c>
      <c r="V76" s="14" t="s">
        <v>138</v>
      </c>
      <c r="W76" s="0" t="s">
        <v>138</v>
      </c>
      <c r="X76" s="14" t="s">
        <v>138</v>
      </c>
      <c r="Y76" s="0" t="s">
        <v>138</v>
      </c>
      <c r="Z76" s="14" t="s">
        <v>138</v>
      </c>
      <c r="AA76" s="0" t="s">
        <v>138</v>
      </c>
      <c r="AB76" s="14" t="s">
        <v>138</v>
      </c>
      <c r="AD76" s="0" t="s">
        <v>138</v>
      </c>
      <c r="AF76" s="0">
        <v>0</v>
      </c>
      <c r="AG76" s="0">
        <v>0</v>
      </c>
      <c r="AH76" s="0" t="s">
        <v>140</v>
      </c>
      <c r="AI76" s="0" t="s">
        <v>138</v>
      </c>
      <c r="AL76" s="14"/>
      <c r="AN76" s="14"/>
      <c r="AQ76" s="0" t="s">
        <v>130</v>
      </c>
      <c r="AR76" s="0" t="s">
        <v>130</v>
      </c>
      <c r="AS76" s="0" t="s">
        <v>130</v>
      </c>
      <c r="AT76" s="0" t="s">
        <v>130</v>
      </c>
      <c r="AU76" s="0" t="s">
        <v>130</v>
      </c>
      <c r="AV76" s="0" t="s">
        <v>130</v>
      </c>
      <c r="AW76" s="0" t="s">
        <v>130</v>
      </c>
      <c r="AX76" s="0" t="s">
        <v>130</v>
      </c>
      <c r="AY76" s="0" t="s">
        <v>130</v>
      </c>
      <c r="AZ76" s="0" t="s">
        <v>130</v>
      </c>
      <c r="BA76" s="0" t="s">
        <v>130</v>
      </c>
      <c r="BB76" s="0" t="s">
        <v>130</v>
      </c>
      <c r="BC76" s="0" t="s">
        <v>130</v>
      </c>
      <c r="BD76" s="0" t="s">
        <v>130</v>
      </c>
      <c r="BE76" s="0" t="s">
        <v>130</v>
      </c>
      <c r="BF76" s="0" t="s">
        <v>130</v>
      </c>
      <c r="BG76" s="0" t="s">
        <v>130</v>
      </c>
      <c r="BH76" s="0" t="s">
        <v>130</v>
      </c>
      <c r="BI76" s="0" t="s">
        <v>130</v>
      </c>
      <c r="BJ76" s="0" t="s">
        <v>130</v>
      </c>
      <c r="BK76" s="0" t="s">
        <v>130</v>
      </c>
      <c r="BL76" s="0" t="s">
        <v>130</v>
      </c>
      <c r="BM76" s="0" t="s">
        <v>130</v>
      </c>
      <c r="BN76" s="0" t="s">
        <v>130</v>
      </c>
      <c r="BO76" s="0" t="s">
        <v>130</v>
      </c>
      <c r="BP76" s="0" t="s">
        <v>130</v>
      </c>
      <c r="BQ76" s="0" t="s">
        <v>130</v>
      </c>
      <c r="BR76" s="0" t="s">
        <v>130</v>
      </c>
      <c r="BS76" s="0" t="s">
        <v>130</v>
      </c>
      <c r="BT76" s="0" t="s">
        <v>130</v>
      </c>
      <c r="BU76" s="0" t="s">
        <v>130</v>
      </c>
      <c r="BV76" s="0" t="s">
        <v>130</v>
      </c>
      <c r="BW76" s="0" t="s">
        <v>130</v>
      </c>
      <c r="BX76" s="0" t="s">
        <v>130</v>
      </c>
      <c r="BY76" s="0" t="s">
        <v>130</v>
      </c>
      <c r="BZ76" s="0" t="s">
        <v>130</v>
      </c>
      <c r="CA76" s="0" t="s">
        <v>130</v>
      </c>
      <c r="CB76" s="0" t="s">
        <v>130</v>
      </c>
      <c r="CC76" s="0" t="s">
        <v>130</v>
      </c>
      <c r="CD76" s="0" t="s">
        <v>130</v>
      </c>
      <c r="CE76" s="0" t="s">
        <v>130</v>
      </c>
      <c r="CF76" s="0" t="s">
        <v>130</v>
      </c>
      <c r="CG76" s="0" t="s">
        <v>130</v>
      </c>
      <c r="CH76" s="0" t="s">
        <v>130</v>
      </c>
      <c r="CI76" s="0" t="s">
        <v>130</v>
      </c>
      <c r="CJ76" s="0" t="s">
        <v>130</v>
      </c>
      <c r="CK76" s="0" t="s">
        <v>130</v>
      </c>
      <c r="CL76" s="0" t="s">
        <v>130</v>
      </c>
      <c r="CM76" s="0" t="s">
        <v>130</v>
      </c>
      <c r="CN76" s="0" t="s">
        <v>130</v>
      </c>
      <c r="CO76" s="0" t="s">
        <v>130</v>
      </c>
      <c r="CP76" s="0" t="s">
        <v>130</v>
      </c>
      <c r="CQ76" s="0" t="s">
        <v>130</v>
      </c>
      <c r="CR76" s="0" t="s">
        <v>130</v>
      </c>
      <c r="CS76" s="0" t="s">
        <v>130</v>
      </c>
      <c r="CT76" s="0" t="s">
        <v>467</v>
      </c>
    </row>
    <row r="77">
      <c r="A77" s="14">
        <v>100285</v>
      </c>
      <c r="B77" s="0" t="s">
        <v>423</v>
      </c>
      <c r="C77" s="16">
        <f>HYPERLINK("https://eosportal.federatedhermes.com/companies/Q29tcGFueQppNzM3OTg=", "Caterpillar Inc")</f>
      </c>
      <c r="D77" s="0" t="s">
        <v>25</v>
      </c>
      <c r="E77" s="0" t="s">
        <v>468</v>
      </c>
      <c r="F77" s="16">
        <f>HYPERLINK("https://eosportal.federatedhermes.com/engagements/RW5nYWdlbWVudAppMTg1NDc=", "Combined chair/CEO")</f>
      </c>
      <c r="G77" s="14" t="s">
        <v>469</v>
      </c>
      <c r="H77" s="0" t="s">
        <v>141</v>
      </c>
      <c r="I77" s="14" t="s">
        <v>191</v>
      </c>
      <c r="J77" s="0" t="s">
        <v>145</v>
      </c>
      <c r="K77" s="0" t="s">
        <v>164</v>
      </c>
      <c r="L77" s="0" t="s">
        <v>165</v>
      </c>
      <c r="M77" s="0" t="s">
        <v>135</v>
      </c>
      <c r="N77" s="0" t="s">
        <v>136</v>
      </c>
      <c r="O77" s="0" t="s">
        <v>425</v>
      </c>
      <c r="Q77" s="0" t="s">
        <v>130</v>
      </c>
      <c r="R77" s="0" t="s">
        <v>138</v>
      </c>
      <c r="S77" s="14">
        <v>0</v>
      </c>
      <c r="T77" s="0" t="s">
        <v>288</v>
      </c>
      <c r="U77" s="0" t="s">
        <v>138</v>
      </c>
      <c r="V77" s="14" t="s">
        <v>138</v>
      </c>
      <c r="W77" s="0" t="s">
        <v>138</v>
      </c>
      <c r="X77" s="14" t="s">
        <v>138</v>
      </c>
      <c r="Y77" s="0" t="s">
        <v>138</v>
      </c>
      <c r="Z77" s="14" t="s">
        <v>138</v>
      </c>
      <c r="AA77" s="0" t="s">
        <v>138</v>
      </c>
      <c r="AB77" s="14" t="s">
        <v>138</v>
      </c>
      <c r="AD77" s="0" t="s">
        <v>138</v>
      </c>
      <c r="AF77" s="0">
        <v>0</v>
      </c>
      <c r="AG77" s="0">
        <v>0</v>
      </c>
      <c r="AH77" s="0" t="s">
        <v>140</v>
      </c>
      <c r="AI77" s="0" t="s">
        <v>138</v>
      </c>
      <c r="AL77" s="14"/>
      <c r="AN77" s="14"/>
      <c r="AQ77" s="0" t="s">
        <v>130</v>
      </c>
      <c r="AR77" s="0" t="s">
        <v>130</v>
      </c>
      <c r="AS77" s="0" t="s">
        <v>130</v>
      </c>
      <c r="AT77" s="0" t="s">
        <v>130</v>
      </c>
      <c r="AU77" s="0" t="s">
        <v>130</v>
      </c>
      <c r="AV77" s="0" t="s">
        <v>130</v>
      </c>
      <c r="AW77" s="0" t="s">
        <v>130</v>
      </c>
      <c r="AX77" s="0" t="s">
        <v>130</v>
      </c>
      <c r="AY77" s="0" t="s">
        <v>130</v>
      </c>
      <c r="AZ77" s="0" t="s">
        <v>130</v>
      </c>
      <c r="BA77" s="0" t="s">
        <v>130</v>
      </c>
      <c r="BB77" s="0" t="s">
        <v>130</v>
      </c>
      <c r="BC77" s="0" t="s">
        <v>130</v>
      </c>
      <c r="BD77" s="0" t="s">
        <v>130</v>
      </c>
      <c r="BE77" s="0" t="s">
        <v>130</v>
      </c>
      <c r="BF77" s="0" t="s">
        <v>130</v>
      </c>
      <c r="BG77" s="0" t="s">
        <v>130</v>
      </c>
      <c r="BH77" s="0" t="s">
        <v>130</v>
      </c>
      <c r="BI77" s="0" t="s">
        <v>130</v>
      </c>
      <c r="BJ77" s="0" t="s">
        <v>130</v>
      </c>
      <c r="BK77" s="0" t="s">
        <v>130</v>
      </c>
      <c r="BL77" s="0" t="s">
        <v>130</v>
      </c>
      <c r="BM77" s="0" t="s">
        <v>130</v>
      </c>
      <c r="BN77" s="0" t="s">
        <v>130</v>
      </c>
      <c r="BO77" s="0" t="s">
        <v>130</v>
      </c>
      <c r="BP77" s="0" t="s">
        <v>130</v>
      </c>
      <c r="BQ77" s="0" t="s">
        <v>130</v>
      </c>
      <c r="BR77" s="0" t="s">
        <v>130</v>
      </c>
      <c r="BS77" s="0" t="s">
        <v>130</v>
      </c>
      <c r="BT77" s="0" t="s">
        <v>130</v>
      </c>
      <c r="BU77" s="0" t="s">
        <v>130</v>
      </c>
      <c r="BV77" s="0" t="s">
        <v>130</v>
      </c>
      <c r="BW77" s="0" t="s">
        <v>130</v>
      </c>
      <c r="BX77" s="0" t="s">
        <v>130</v>
      </c>
      <c r="BY77" s="0" t="s">
        <v>130</v>
      </c>
      <c r="BZ77" s="0" t="s">
        <v>130</v>
      </c>
      <c r="CA77" s="0" t="s">
        <v>130</v>
      </c>
      <c r="CB77" s="0" t="s">
        <v>130</v>
      </c>
      <c r="CC77" s="0" t="s">
        <v>130</v>
      </c>
      <c r="CD77" s="0" t="s">
        <v>130</v>
      </c>
      <c r="CE77" s="0" t="s">
        <v>130</v>
      </c>
      <c r="CF77" s="0" t="s">
        <v>130</v>
      </c>
      <c r="CG77" s="0" t="s">
        <v>130</v>
      </c>
      <c r="CH77" s="0" t="s">
        <v>130</v>
      </c>
      <c r="CI77" s="0" t="s">
        <v>130</v>
      </c>
      <c r="CJ77" s="0" t="s">
        <v>130</v>
      </c>
      <c r="CK77" s="0" t="s">
        <v>130</v>
      </c>
      <c r="CL77" s="0" t="s">
        <v>130</v>
      </c>
      <c r="CM77" s="0" t="s">
        <v>130</v>
      </c>
      <c r="CN77" s="0" t="s">
        <v>130</v>
      </c>
      <c r="CO77" s="0" t="s">
        <v>130</v>
      </c>
      <c r="CP77" s="0" t="s">
        <v>130</v>
      </c>
      <c r="CQ77" s="0" t="s">
        <v>130</v>
      </c>
      <c r="CR77" s="0" t="s">
        <v>130</v>
      </c>
      <c r="CS77" s="0" t="s">
        <v>130</v>
      </c>
      <c r="CT77" s="0" t="s">
        <v>470</v>
      </c>
    </row>
    <row r="78">
      <c r="A78" s="14">
        <v>100285</v>
      </c>
      <c r="B78" s="0" t="s">
        <v>423</v>
      </c>
      <c r="C78" s="16">
        <f>HYPERLINK("https://eosportal.federatedhermes.com/companies/Q29tcGFueQppNzM3OTg=", "Caterpillar Inc")</f>
      </c>
      <c r="D78" s="0" t="s">
        <v>25</v>
      </c>
      <c r="E78" s="0" t="s">
        <v>341</v>
      </c>
      <c r="F78" s="16">
        <f>HYPERLINK("https://eosportal.federatedhermes.com/engagements/RW5nYWdlbWVudAppMTg1NDg=", "Remuneration")</f>
      </c>
      <c r="G78" s="14" t="s">
        <v>471</v>
      </c>
      <c r="H78" s="0" t="s">
        <v>141</v>
      </c>
      <c r="I78" s="14" t="s">
        <v>191</v>
      </c>
      <c r="J78" s="0" t="s">
        <v>145</v>
      </c>
      <c r="K78" s="0" t="s">
        <v>146</v>
      </c>
      <c r="L78" s="0" t="s">
        <v>147</v>
      </c>
      <c r="M78" s="0" t="s">
        <v>135</v>
      </c>
      <c r="N78" s="0" t="s">
        <v>136</v>
      </c>
      <c r="O78" s="0" t="s">
        <v>425</v>
      </c>
      <c r="Q78" s="0" t="s">
        <v>130</v>
      </c>
      <c r="R78" s="0" t="s">
        <v>138</v>
      </c>
      <c r="S78" s="14">
        <v>0</v>
      </c>
      <c r="T78" s="0" t="s">
        <v>435</v>
      </c>
      <c r="U78" s="0" t="s">
        <v>138</v>
      </c>
      <c r="V78" s="14" t="s">
        <v>138</v>
      </c>
      <c r="W78" s="0" t="s">
        <v>138</v>
      </c>
      <c r="X78" s="14" t="s">
        <v>138</v>
      </c>
      <c r="Y78" s="0" t="s">
        <v>138</v>
      </c>
      <c r="Z78" s="14" t="s">
        <v>138</v>
      </c>
      <c r="AA78" s="0" t="s">
        <v>138</v>
      </c>
      <c r="AB78" s="14" t="s">
        <v>138</v>
      </c>
      <c r="AD78" s="0" t="s">
        <v>138</v>
      </c>
      <c r="AF78" s="0">
        <v>0</v>
      </c>
      <c r="AG78" s="0">
        <v>0</v>
      </c>
      <c r="AH78" s="0" t="s">
        <v>140</v>
      </c>
      <c r="AI78" s="0" t="s">
        <v>138</v>
      </c>
      <c r="AL78" s="14"/>
      <c r="AN78" s="14"/>
      <c r="AQ78" s="0" t="s">
        <v>130</v>
      </c>
      <c r="AR78" s="0" t="s">
        <v>130</v>
      </c>
      <c r="AS78" s="0" t="s">
        <v>130</v>
      </c>
      <c r="AT78" s="0" t="s">
        <v>130</v>
      </c>
      <c r="AU78" s="0" t="s">
        <v>130</v>
      </c>
      <c r="AV78" s="0" t="s">
        <v>130</v>
      </c>
      <c r="AW78" s="0" t="s">
        <v>130</v>
      </c>
      <c r="AX78" s="0" t="s">
        <v>130</v>
      </c>
      <c r="AY78" s="0" t="s">
        <v>130</v>
      </c>
      <c r="AZ78" s="0" t="s">
        <v>130</v>
      </c>
      <c r="BA78" s="0" t="s">
        <v>130</v>
      </c>
      <c r="BB78" s="0" t="s">
        <v>130</v>
      </c>
      <c r="BC78" s="0" t="s">
        <v>130</v>
      </c>
      <c r="BD78" s="0" t="s">
        <v>130</v>
      </c>
      <c r="BE78" s="0" t="s">
        <v>130</v>
      </c>
      <c r="BF78" s="0" t="s">
        <v>130</v>
      </c>
      <c r="BG78" s="0" t="s">
        <v>130</v>
      </c>
      <c r="BH78" s="0" t="s">
        <v>130</v>
      </c>
      <c r="BI78" s="0" t="s">
        <v>130</v>
      </c>
      <c r="BJ78" s="0" t="s">
        <v>130</v>
      </c>
      <c r="BK78" s="0" t="s">
        <v>130</v>
      </c>
      <c r="BL78" s="0" t="s">
        <v>130</v>
      </c>
      <c r="BM78" s="0" t="s">
        <v>130</v>
      </c>
      <c r="BN78" s="0" t="s">
        <v>130</v>
      </c>
      <c r="BO78" s="0" t="s">
        <v>130</v>
      </c>
      <c r="BP78" s="0" t="s">
        <v>130</v>
      </c>
      <c r="BQ78" s="0" t="s">
        <v>130</v>
      </c>
      <c r="BR78" s="0" t="s">
        <v>130</v>
      </c>
      <c r="BS78" s="0" t="s">
        <v>130</v>
      </c>
      <c r="BT78" s="0" t="s">
        <v>130</v>
      </c>
      <c r="BU78" s="0" t="s">
        <v>130</v>
      </c>
      <c r="BV78" s="0" t="s">
        <v>130</v>
      </c>
      <c r="BW78" s="0" t="s">
        <v>130</v>
      </c>
      <c r="BX78" s="0" t="s">
        <v>130</v>
      </c>
      <c r="BY78" s="0" t="s">
        <v>130</v>
      </c>
      <c r="BZ78" s="0" t="s">
        <v>130</v>
      </c>
      <c r="CA78" s="0" t="s">
        <v>130</v>
      </c>
      <c r="CB78" s="0" t="s">
        <v>130</v>
      </c>
      <c r="CC78" s="0" t="s">
        <v>130</v>
      </c>
      <c r="CD78" s="0" t="s">
        <v>130</v>
      </c>
      <c r="CE78" s="0" t="s">
        <v>130</v>
      </c>
      <c r="CF78" s="0" t="s">
        <v>130</v>
      </c>
      <c r="CG78" s="0" t="s">
        <v>130</v>
      </c>
      <c r="CH78" s="0" t="s">
        <v>130</v>
      </c>
      <c r="CI78" s="0" t="s">
        <v>130</v>
      </c>
      <c r="CJ78" s="0" t="s">
        <v>130</v>
      </c>
      <c r="CK78" s="0" t="s">
        <v>130</v>
      </c>
      <c r="CL78" s="0" t="s">
        <v>130</v>
      </c>
      <c r="CM78" s="0" t="s">
        <v>130</v>
      </c>
      <c r="CN78" s="0" t="s">
        <v>130</v>
      </c>
      <c r="CO78" s="0" t="s">
        <v>130</v>
      </c>
      <c r="CP78" s="0" t="s">
        <v>130</v>
      </c>
      <c r="CQ78" s="0" t="s">
        <v>130</v>
      </c>
      <c r="CR78" s="0" t="s">
        <v>130</v>
      </c>
      <c r="CS78" s="0" t="s">
        <v>130</v>
      </c>
      <c r="CT78" s="0" t="s">
        <v>472</v>
      </c>
    </row>
    <row r="79">
      <c r="A79" s="14">
        <v>100285</v>
      </c>
      <c r="B79" s="0" t="s">
        <v>423</v>
      </c>
      <c r="C79" s="16">
        <f>HYPERLINK("https://eosportal.federatedhermes.com/companies/Q29tcGFueQppNzM3OTg=", "Caterpillar Inc")</f>
      </c>
      <c r="D79" s="0" t="s">
        <v>25</v>
      </c>
      <c r="E79" s="0" t="s">
        <v>473</v>
      </c>
      <c r="F79" s="16">
        <f>HYPERLINK("https://eosportal.federatedhermes.com/engagements/RW5nYWdlbWVudAppMTg1NDk=", "Auditor rotation")</f>
      </c>
      <c r="G79" s="14" t="s">
        <v>474</v>
      </c>
      <c r="H79" s="0" t="s">
        <v>141</v>
      </c>
      <c r="I79" s="14" t="s">
        <v>191</v>
      </c>
      <c r="J79" s="0" t="s">
        <v>132</v>
      </c>
      <c r="K79" s="0" t="s">
        <v>170</v>
      </c>
      <c r="L79" s="0" t="s">
        <v>310</v>
      </c>
      <c r="M79" s="0" t="s">
        <v>135</v>
      </c>
      <c r="N79" s="0" t="s">
        <v>136</v>
      </c>
      <c r="O79" s="0" t="s">
        <v>425</v>
      </c>
      <c r="Q79" s="0" t="s">
        <v>130</v>
      </c>
      <c r="R79" s="0" t="s">
        <v>138</v>
      </c>
      <c r="S79" s="14">
        <v>0</v>
      </c>
      <c r="T79" s="0" t="s">
        <v>148</v>
      </c>
      <c r="U79" s="0" t="s">
        <v>138</v>
      </c>
      <c r="V79" s="14" t="s">
        <v>138</v>
      </c>
      <c r="W79" s="0" t="s">
        <v>138</v>
      </c>
      <c r="X79" s="14" t="s">
        <v>138</v>
      </c>
      <c r="Y79" s="0" t="s">
        <v>138</v>
      </c>
      <c r="Z79" s="14" t="s">
        <v>138</v>
      </c>
      <c r="AA79" s="0" t="s">
        <v>138</v>
      </c>
      <c r="AB79" s="14" t="s">
        <v>138</v>
      </c>
      <c r="AD79" s="0" t="s">
        <v>138</v>
      </c>
      <c r="AF79" s="0">
        <v>0</v>
      </c>
      <c r="AG79" s="0">
        <v>0</v>
      </c>
      <c r="AH79" s="0" t="s">
        <v>140</v>
      </c>
      <c r="AI79" s="0" t="s">
        <v>138</v>
      </c>
      <c r="AL79" s="14"/>
      <c r="AN79" s="14"/>
      <c r="AQ79" s="0" t="s">
        <v>130</v>
      </c>
      <c r="AR79" s="0" t="s">
        <v>130</v>
      </c>
      <c r="AS79" s="0" t="s">
        <v>130</v>
      </c>
      <c r="AT79" s="0" t="s">
        <v>130</v>
      </c>
      <c r="AU79" s="0" t="s">
        <v>130</v>
      </c>
      <c r="AV79" s="0" t="s">
        <v>130</v>
      </c>
      <c r="AW79" s="0" t="s">
        <v>130</v>
      </c>
      <c r="AX79" s="0" t="s">
        <v>130</v>
      </c>
      <c r="AY79" s="0" t="s">
        <v>130</v>
      </c>
      <c r="AZ79" s="0" t="s">
        <v>130</v>
      </c>
      <c r="BA79" s="0" t="s">
        <v>130</v>
      </c>
      <c r="BB79" s="0" t="s">
        <v>130</v>
      </c>
      <c r="BC79" s="0" t="s">
        <v>130</v>
      </c>
      <c r="BD79" s="0" t="s">
        <v>130</v>
      </c>
      <c r="BE79" s="0" t="s">
        <v>130</v>
      </c>
      <c r="BF79" s="0" t="s">
        <v>130</v>
      </c>
      <c r="BG79" s="0" t="s">
        <v>130</v>
      </c>
      <c r="BH79" s="0" t="s">
        <v>130</v>
      </c>
      <c r="BI79" s="0" t="s">
        <v>130</v>
      </c>
      <c r="BJ79" s="0" t="s">
        <v>130</v>
      </c>
      <c r="BK79" s="0" t="s">
        <v>130</v>
      </c>
      <c r="BL79" s="0" t="s">
        <v>130</v>
      </c>
      <c r="BM79" s="0" t="s">
        <v>130</v>
      </c>
      <c r="BN79" s="0" t="s">
        <v>130</v>
      </c>
      <c r="BO79" s="0" t="s">
        <v>130</v>
      </c>
      <c r="BP79" s="0" t="s">
        <v>130</v>
      </c>
      <c r="BQ79" s="0" t="s">
        <v>130</v>
      </c>
      <c r="BR79" s="0" t="s">
        <v>130</v>
      </c>
      <c r="BS79" s="0" t="s">
        <v>130</v>
      </c>
      <c r="BT79" s="0" t="s">
        <v>130</v>
      </c>
      <c r="BU79" s="0" t="s">
        <v>130</v>
      </c>
      <c r="BV79" s="0" t="s">
        <v>130</v>
      </c>
      <c r="BW79" s="0" t="s">
        <v>130</v>
      </c>
      <c r="BX79" s="0" t="s">
        <v>130</v>
      </c>
      <c r="BY79" s="0" t="s">
        <v>130</v>
      </c>
      <c r="BZ79" s="0" t="s">
        <v>130</v>
      </c>
      <c r="CA79" s="0" t="s">
        <v>130</v>
      </c>
      <c r="CB79" s="0" t="s">
        <v>130</v>
      </c>
      <c r="CC79" s="0" t="s">
        <v>130</v>
      </c>
      <c r="CD79" s="0" t="s">
        <v>130</v>
      </c>
      <c r="CE79" s="0" t="s">
        <v>130</v>
      </c>
      <c r="CF79" s="0" t="s">
        <v>130</v>
      </c>
      <c r="CG79" s="0" t="s">
        <v>130</v>
      </c>
      <c r="CH79" s="0" t="s">
        <v>130</v>
      </c>
      <c r="CI79" s="0" t="s">
        <v>130</v>
      </c>
      <c r="CJ79" s="0" t="s">
        <v>130</v>
      </c>
      <c r="CK79" s="0" t="s">
        <v>130</v>
      </c>
      <c r="CL79" s="0" t="s">
        <v>130</v>
      </c>
      <c r="CM79" s="0" t="s">
        <v>130</v>
      </c>
      <c r="CN79" s="0" t="s">
        <v>130</v>
      </c>
      <c r="CO79" s="0" t="s">
        <v>130</v>
      </c>
      <c r="CP79" s="0" t="s">
        <v>130</v>
      </c>
      <c r="CQ79" s="0" t="s">
        <v>130</v>
      </c>
      <c r="CR79" s="0" t="s">
        <v>130</v>
      </c>
      <c r="CS79" s="0" t="s">
        <v>130</v>
      </c>
      <c r="CT79" s="0" t="s">
        <v>475</v>
      </c>
    </row>
    <row r="80">
      <c r="A80" s="14">
        <v>100312</v>
      </c>
      <c r="B80" s="0" t="s">
        <v>476</v>
      </c>
      <c r="C80" s="16">
        <f>HYPERLINK("https://eosportal.federatedhermes.com/companies/Q29tcGFueQppNTg5OTQ=", "JPMorgan Chase &amp; Co")</f>
      </c>
      <c r="D80" s="0" t="s">
        <v>23</v>
      </c>
      <c r="E80" s="0" t="s">
        <v>228</v>
      </c>
      <c r="F80" s="16">
        <f>HYPERLINK("https://eosportal.federatedhermes.com/engagements/RW5nYWdlbWVudAppMTg2MDA=", "Climate strategy")</f>
      </c>
      <c r="G80" s="14" t="s">
        <v>477</v>
      </c>
      <c r="H80" s="0" t="s">
        <v>141</v>
      </c>
      <c r="I80" s="14" t="s">
        <v>191</v>
      </c>
      <c r="J80" s="0" t="s">
        <v>197</v>
      </c>
      <c r="K80" s="0" t="s">
        <v>198</v>
      </c>
      <c r="L80" s="0" t="s">
        <v>220</v>
      </c>
      <c r="M80" s="0" t="s">
        <v>135</v>
      </c>
      <c r="N80" s="0" t="s">
        <v>136</v>
      </c>
      <c r="O80" s="0" t="s">
        <v>238</v>
      </c>
      <c r="Q80" s="0" t="s">
        <v>141</v>
      </c>
      <c r="R80" s="0" t="s">
        <v>130</v>
      </c>
      <c r="S80" s="14">
        <v>1</v>
      </c>
      <c r="T80" s="0" t="s">
        <v>327</v>
      </c>
      <c r="U80" s="0" t="s">
        <v>221</v>
      </c>
      <c r="V80" s="14" t="s">
        <v>327</v>
      </c>
      <c r="W80" s="0" t="s">
        <v>221</v>
      </c>
      <c r="X80" s="14" t="s">
        <v>478</v>
      </c>
      <c r="Y80" s="0" t="s">
        <v>221</v>
      </c>
      <c r="Z80" s="14" t="s">
        <v>446</v>
      </c>
      <c r="AA80" s="0" t="s">
        <v>223</v>
      </c>
      <c r="AB80" s="14" t="s">
        <v>138</v>
      </c>
      <c r="AD80" s="0" t="s">
        <v>20</v>
      </c>
      <c r="AF80" s="0">
        <v>0</v>
      </c>
      <c r="AG80" s="0">
        <v>0</v>
      </c>
      <c r="AH80" s="0" t="s">
        <v>140</v>
      </c>
      <c r="AI80" s="0" t="s">
        <v>479</v>
      </c>
      <c r="AK80" s="0" t="s">
        <v>300</v>
      </c>
      <c r="AL80" s="14"/>
      <c r="AN80" s="14"/>
      <c r="AQ80" s="0" t="s">
        <v>130</v>
      </c>
      <c r="AR80" s="0" t="s">
        <v>130</v>
      </c>
      <c r="AS80" s="0" t="s">
        <v>130</v>
      </c>
      <c r="AT80" s="0" t="s">
        <v>130</v>
      </c>
      <c r="AU80" s="0" t="s">
        <v>130</v>
      </c>
      <c r="AV80" s="0" t="s">
        <v>130</v>
      </c>
      <c r="AW80" s="0" t="s">
        <v>141</v>
      </c>
      <c r="AX80" s="0" t="s">
        <v>130</v>
      </c>
      <c r="AY80" s="0" t="s">
        <v>141</v>
      </c>
      <c r="AZ80" s="0" t="s">
        <v>130</v>
      </c>
      <c r="BA80" s="0" t="s">
        <v>130</v>
      </c>
      <c r="BB80" s="0" t="s">
        <v>130</v>
      </c>
      <c r="BC80" s="0" t="s">
        <v>141</v>
      </c>
      <c r="BD80" s="0" t="s">
        <v>130</v>
      </c>
      <c r="BE80" s="0" t="s">
        <v>130</v>
      </c>
      <c r="BF80" s="0" t="s">
        <v>130</v>
      </c>
      <c r="BG80" s="0" t="s">
        <v>130</v>
      </c>
      <c r="BH80" s="0" t="s">
        <v>141</v>
      </c>
      <c r="BI80" s="0" t="s">
        <v>141</v>
      </c>
      <c r="BJ80" s="0" t="s">
        <v>141</v>
      </c>
      <c r="BK80" s="0" t="s">
        <v>130</v>
      </c>
      <c r="BL80" s="0" t="s">
        <v>130</v>
      </c>
      <c r="BM80" s="0" t="s">
        <v>130</v>
      </c>
      <c r="BN80" s="0" t="s">
        <v>130</v>
      </c>
      <c r="BO80" s="0" t="s">
        <v>130</v>
      </c>
      <c r="BP80" s="0" t="s">
        <v>130</v>
      </c>
      <c r="BQ80" s="0" t="s">
        <v>130</v>
      </c>
      <c r="BR80" s="0" t="s">
        <v>130</v>
      </c>
      <c r="BS80" s="0" t="s">
        <v>130</v>
      </c>
      <c r="BT80" s="0" t="s">
        <v>130</v>
      </c>
      <c r="BU80" s="0" t="s">
        <v>130</v>
      </c>
      <c r="BV80" s="0" t="s">
        <v>141</v>
      </c>
      <c r="BW80" s="0" t="s">
        <v>141</v>
      </c>
      <c r="BX80" s="0" t="s">
        <v>130</v>
      </c>
      <c r="BY80" s="0" t="s">
        <v>130</v>
      </c>
      <c r="BZ80" s="0" t="s">
        <v>130</v>
      </c>
      <c r="CA80" s="0" t="s">
        <v>130</v>
      </c>
      <c r="CB80" s="0" t="s">
        <v>130</v>
      </c>
      <c r="CC80" s="0" t="s">
        <v>130</v>
      </c>
      <c r="CD80" s="0" t="s">
        <v>130</v>
      </c>
      <c r="CE80" s="0" t="s">
        <v>130</v>
      </c>
      <c r="CF80" s="0" t="s">
        <v>130</v>
      </c>
      <c r="CG80" s="0" t="s">
        <v>130</v>
      </c>
      <c r="CH80" s="0" t="s">
        <v>130</v>
      </c>
      <c r="CI80" s="0" t="s">
        <v>130</v>
      </c>
      <c r="CJ80" s="0" t="s">
        <v>130</v>
      </c>
      <c r="CK80" s="0" t="s">
        <v>130</v>
      </c>
      <c r="CL80" s="0" t="s">
        <v>130</v>
      </c>
      <c r="CM80" s="0" t="s">
        <v>130</v>
      </c>
      <c r="CN80" s="0" t="s">
        <v>130</v>
      </c>
      <c r="CO80" s="0" t="s">
        <v>130</v>
      </c>
      <c r="CP80" s="0" t="s">
        <v>130</v>
      </c>
      <c r="CQ80" s="0" t="s">
        <v>130</v>
      </c>
      <c r="CR80" s="0" t="s">
        <v>130</v>
      </c>
      <c r="CS80" s="0" t="s">
        <v>130</v>
      </c>
      <c r="CT80" s="0" t="s">
        <v>480</v>
      </c>
    </row>
    <row r="81">
      <c r="A81" s="14">
        <v>100312</v>
      </c>
      <c r="B81" s="0" t="s">
        <v>476</v>
      </c>
      <c r="C81" s="16">
        <f>HYPERLINK("https://eosportal.federatedhermes.com/companies/Q29tcGFueQppNTg5OTQ=", "JPMorgan Chase &amp; Co")</f>
      </c>
      <c r="D81" s="0" t="s">
        <v>25</v>
      </c>
      <c r="E81" s="0" t="s">
        <v>481</v>
      </c>
      <c r="F81" s="16">
        <f>HYPERLINK("https://eosportal.federatedhermes.com/engagements/RW5nYWdlbWVudAppMTg2MDk=", "Enhancing risk reporting")</f>
      </c>
      <c r="G81" s="14" t="s">
        <v>482</v>
      </c>
      <c r="H81" s="0" t="s">
        <v>141</v>
      </c>
      <c r="I81" s="14" t="s">
        <v>191</v>
      </c>
      <c r="J81" s="0" t="s">
        <v>132</v>
      </c>
      <c r="K81" s="0" t="s">
        <v>260</v>
      </c>
      <c r="L81" s="0" t="s">
        <v>261</v>
      </c>
      <c r="M81" s="0" t="s">
        <v>135</v>
      </c>
      <c r="N81" s="0" t="s">
        <v>136</v>
      </c>
      <c r="O81" s="0" t="s">
        <v>238</v>
      </c>
      <c r="Q81" s="0" t="s">
        <v>130</v>
      </c>
      <c r="R81" s="0" t="s">
        <v>138</v>
      </c>
      <c r="S81" s="14">
        <v>0</v>
      </c>
      <c r="T81" s="0" t="s">
        <v>483</v>
      </c>
      <c r="U81" s="0" t="s">
        <v>138</v>
      </c>
      <c r="V81" s="14" t="s">
        <v>138</v>
      </c>
      <c r="W81" s="0" t="s">
        <v>138</v>
      </c>
      <c r="X81" s="14" t="s">
        <v>138</v>
      </c>
      <c r="Y81" s="0" t="s">
        <v>138</v>
      </c>
      <c r="Z81" s="14" t="s">
        <v>138</v>
      </c>
      <c r="AA81" s="0" t="s">
        <v>138</v>
      </c>
      <c r="AB81" s="14" t="s">
        <v>138</v>
      </c>
      <c r="AD81" s="0" t="s">
        <v>138</v>
      </c>
      <c r="AF81" s="0">
        <v>0</v>
      </c>
      <c r="AG81" s="0">
        <v>0</v>
      </c>
      <c r="AH81" s="0" t="s">
        <v>140</v>
      </c>
      <c r="AI81" s="0" t="s">
        <v>138</v>
      </c>
      <c r="AL81" s="14"/>
      <c r="AN81" s="14"/>
      <c r="AQ81" s="0" t="s">
        <v>130</v>
      </c>
      <c r="AR81" s="0" t="s">
        <v>130</v>
      </c>
      <c r="AS81" s="0" t="s">
        <v>130</v>
      </c>
      <c r="AT81" s="0" t="s">
        <v>130</v>
      </c>
      <c r="AU81" s="0" t="s">
        <v>130</v>
      </c>
      <c r="AV81" s="0" t="s">
        <v>130</v>
      </c>
      <c r="AW81" s="0" t="s">
        <v>130</v>
      </c>
      <c r="AX81" s="0" t="s">
        <v>130</v>
      </c>
      <c r="AY81" s="0" t="s">
        <v>130</v>
      </c>
      <c r="AZ81" s="0" t="s">
        <v>130</v>
      </c>
      <c r="BA81" s="0" t="s">
        <v>130</v>
      </c>
      <c r="BB81" s="0" t="s">
        <v>130</v>
      </c>
      <c r="BC81" s="0" t="s">
        <v>130</v>
      </c>
      <c r="BD81" s="0" t="s">
        <v>130</v>
      </c>
      <c r="BE81" s="0" t="s">
        <v>130</v>
      </c>
      <c r="BF81" s="0" t="s">
        <v>130</v>
      </c>
      <c r="BG81" s="0" t="s">
        <v>130</v>
      </c>
      <c r="BH81" s="0" t="s">
        <v>130</v>
      </c>
      <c r="BI81" s="0" t="s">
        <v>130</v>
      </c>
      <c r="BJ81" s="0" t="s">
        <v>130</v>
      </c>
      <c r="BK81" s="0" t="s">
        <v>130</v>
      </c>
      <c r="BL81" s="0" t="s">
        <v>130</v>
      </c>
      <c r="BM81" s="0" t="s">
        <v>130</v>
      </c>
      <c r="BN81" s="0" t="s">
        <v>130</v>
      </c>
      <c r="BO81" s="0" t="s">
        <v>130</v>
      </c>
      <c r="BP81" s="0" t="s">
        <v>130</v>
      </c>
      <c r="BQ81" s="0" t="s">
        <v>130</v>
      </c>
      <c r="BR81" s="0" t="s">
        <v>130</v>
      </c>
      <c r="BS81" s="0" t="s">
        <v>130</v>
      </c>
      <c r="BT81" s="0" t="s">
        <v>130</v>
      </c>
      <c r="BU81" s="0" t="s">
        <v>130</v>
      </c>
      <c r="BV81" s="0" t="s">
        <v>130</v>
      </c>
      <c r="BW81" s="0" t="s">
        <v>130</v>
      </c>
      <c r="BX81" s="0" t="s">
        <v>130</v>
      </c>
      <c r="BY81" s="0" t="s">
        <v>130</v>
      </c>
      <c r="BZ81" s="0" t="s">
        <v>130</v>
      </c>
      <c r="CA81" s="0" t="s">
        <v>130</v>
      </c>
      <c r="CB81" s="0" t="s">
        <v>130</v>
      </c>
      <c r="CC81" s="0" t="s">
        <v>130</v>
      </c>
      <c r="CD81" s="0" t="s">
        <v>130</v>
      </c>
      <c r="CE81" s="0" t="s">
        <v>130</v>
      </c>
      <c r="CF81" s="0" t="s">
        <v>130</v>
      </c>
      <c r="CG81" s="0" t="s">
        <v>130</v>
      </c>
      <c r="CH81" s="0" t="s">
        <v>130</v>
      </c>
      <c r="CI81" s="0" t="s">
        <v>130</v>
      </c>
      <c r="CJ81" s="0" t="s">
        <v>130</v>
      </c>
      <c r="CK81" s="0" t="s">
        <v>130</v>
      </c>
      <c r="CL81" s="0" t="s">
        <v>130</v>
      </c>
      <c r="CM81" s="0" t="s">
        <v>130</v>
      </c>
      <c r="CN81" s="0" t="s">
        <v>130</v>
      </c>
      <c r="CO81" s="0" t="s">
        <v>130</v>
      </c>
      <c r="CP81" s="0" t="s">
        <v>130</v>
      </c>
      <c r="CQ81" s="0" t="s">
        <v>130</v>
      </c>
      <c r="CR81" s="0" t="s">
        <v>130</v>
      </c>
      <c r="CS81" s="0" t="s">
        <v>130</v>
      </c>
      <c r="CT81" s="0" t="s">
        <v>484</v>
      </c>
    </row>
    <row r="82">
      <c r="A82" s="14">
        <v>100312</v>
      </c>
      <c r="B82" s="0" t="s">
        <v>476</v>
      </c>
      <c r="C82" s="16">
        <f>HYPERLINK("https://eosportal.federatedhermes.com/companies/Q29tcGFueQppNTg5OTQ=", "JPMorgan Chase &amp; Co")</f>
      </c>
      <c r="D82" s="0" t="s">
        <v>25</v>
      </c>
      <c r="E82" s="0" t="s">
        <v>485</v>
      </c>
      <c r="F82" s="16">
        <f>HYPERLINK("https://eosportal.federatedhermes.com/engagements/RW5nYWdlbWVudAppMTg2MTA=", "Create independent chair role")</f>
      </c>
      <c r="G82" s="14" t="s">
        <v>486</v>
      </c>
      <c r="H82" s="0" t="s">
        <v>141</v>
      </c>
      <c r="I82" s="14" t="s">
        <v>191</v>
      </c>
      <c r="J82" s="0" t="s">
        <v>145</v>
      </c>
      <c r="K82" s="0" t="s">
        <v>164</v>
      </c>
      <c r="L82" s="0" t="s">
        <v>277</v>
      </c>
      <c r="M82" s="0" t="s">
        <v>135</v>
      </c>
      <c r="N82" s="0" t="s">
        <v>136</v>
      </c>
      <c r="O82" s="0" t="s">
        <v>238</v>
      </c>
      <c r="Q82" s="0" t="s">
        <v>141</v>
      </c>
      <c r="R82" s="0" t="s">
        <v>138</v>
      </c>
      <c r="S82" s="14">
        <v>1</v>
      </c>
      <c r="T82" s="0" t="s">
        <v>487</v>
      </c>
      <c r="U82" s="0" t="s">
        <v>138</v>
      </c>
      <c r="V82" s="14" t="s">
        <v>138</v>
      </c>
      <c r="W82" s="0" t="s">
        <v>138</v>
      </c>
      <c r="X82" s="14" t="s">
        <v>138</v>
      </c>
      <c r="Y82" s="0" t="s">
        <v>138</v>
      </c>
      <c r="Z82" s="14" t="s">
        <v>138</v>
      </c>
      <c r="AA82" s="0" t="s">
        <v>138</v>
      </c>
      <c r="AB82" s="14" t="s">
        <v>138</v>
      </c>
      <c r="AD82" s="0" t="s">
        <v>138</v>
      </c>
      <c r="AF82" s="0">
        <v>0</v>
      </c>
      <c r="AG82" s="0">
        <v>0</v>
      </c>
      <c r="AH82" s="0" t="s">
        <v>140</v>
      </c>
      <c r="AI82" s="0" t="s">
        <v>138</v>
      </c>
      <c r="AK82" s="0" t="s">
        <v>300</v>
      </c>
      <c r="AL82" s="14"/>
      <c r="AN82" s="14"/>
      <c r="AQ82" s="0" t="s">
        <v>130</v>
      </c>
      <c r="AR82" s="0" t="s">
        <v>130</v>
      </c>
      <c r="AS82" s="0" t="s">
        <v>130</v>
      </c>
      <c r="AT82" s="0" t="s">
        <v>130</v>
      </c>
      <c r="AU82" s="0" t="s">
        <v>130</v>
      </c>
      <c r="AV82" s="0" t="s">
        <v>130</v>
      </c>
      <c r="AW82" s="0" t="s">
        <v>130</v>
      </c>
      <c r="AX82" s="0" t="s">
        <v>130</v>
      </c>
      <c r="AY82" s="0" t="s">
        <v>130</v>
      </c>
      <c r="AZ82" s="0" t="s">
        <v>130</v>
      </c>
      <c r="BA82" s="0" t="s">
        <v>130</v>
      </c>
      <c r="BB82" s="0" t="s">
        <v>130</v>
      </c>
      <c r="BC82" s="0" t="s">
        <v>130</v>
      </c>
      <c r="BD82" s="0" t="s">
        <v>130</v>
      </c>
      <c r="BE82" s="0" t="s">
        <v>130</v>
      </c>
      <c r="BF82" s="0" t="s">
        <v>130</v>
      </c>
      <c r="BG82" s="0" t="s">
        <v>130</v>
      </c>
      <c r="BH82" s="0" t="s">
        <v>130</v>
      </c>
      <c r="BI82" s="0" t="s">
        <v>130</v>
      </c>
      <c r="BJ82" s="0" t="s">
        <v>130</v>
      </c>
      <c r="BK82" s="0" t="s">
        <v>130</v>
      </c>
      <c r="BL82" s="0" t="s">
        <v>130</v>
      </c>
      <c r="BM82" s="0" t="s">
        <v>130</v>
      </c>
      <c r="BN82" s="0" t="s">
        <v>130</v>
      </c>
      <c r="BO82" s="0" t="s">
        <v>130</v>
      </c>
      <c r="BP82" s="0" t="s">
        <v>130</v>
      </c>
      <c r="BQ82" s="0" t="s">
        <v>130</v>
      </c>
      <c r="BR82" s="0" t="s">
        <v>130</v>
      </c>
      <c r="BS82" s="0" t="s">
        <v>130</v>
      </c>
      <c r="BT82" s="0" t="s">
        <v>130</v>
      </c>
      <c r="BU82" s="0" t="s">
        <v>130</v>
      </c>
      <c r="BV82" s="0" t="s">
        <v>130</v>
      </c>
      <c r="BW82" s="0" t="s">
        <v>130</v>
      </c>
      <c r="BX82" s="0" t="s">
        <v>130</v>
      </c>
      <c r="BY82" s="0" t="s">
        <v>130</v>
      </c>
      <c r="BZ82" s="0" t="s">
        <v>130</v>
      </c>
      <c r="CA82" s="0" t="s">
        <v>130</v>
      </c>
      <c r="CB82" s="0" t="s">
        <v>130</v>
      </c>
      <c r="CC82" s="0" t="s">
        <v>130</v>
      </c>
      <c r="CD82" s="0" t="s">
        <v>130</v>
      </c>
      <c r="CE82" s="0" t="s">
        <v>130</v>
      </c>
      <c r="CF82" s="0" t="s">
        <v>130</v>
      </c>
      <c r="CG82" s="0" t="s">
        <v>130</v>
      </c>
      <c r="CH82" s="0" t="s">
        <v>130</v>
      </c>
      <c r="CI82" s="0" t="s">
        <v>130</v>
      </c>
      <c r="CJ82" s="0" t="s">
        <v>130</v>
      </c>
      <c r="CK82" s="0" t="s">
        <v>130</v>
      </c>
      <c r="CL82" s="0" t="s">
        <v>130</v>
      </c>
      <c r="CM82" s="0" t="s">
        <v>130</v>
      </c>
      <c r="CN82" s="0" t="s">
        <v>130</v>
      </c>
      <c r="CO82" s="0" t="s">
        <v>130</v>
      </c>
      <c r="CP82" s="0" t="s">
        <v>130</v>
      </c>
      <c r="CQ82" s="0" t="s">
        <v>130</v>
      </c>
      <c r="CR82" s="0" t="s">
        <v>130</v>
      </c>
      <c r="CS82" s="0" t="s">
        <v>130</v>
      </c>
      <c r="CT82" s="0" t="s">
        <v>488</v>
      </c>
    </row>
    <row r="83">
      <c r="A83" s="14">
        <v>100312</v>
      </c>
      <c r="B83" s="0" t="s">
        <v>476</v>
      </c>
      <c r="C83" s="16">
        <f>HYPERLINK("https://eosportal.federatedhermes.com/companies/Q29tcGFueQppNTg5OTQ=", "JPMorgan Chase &amp; Co")</f>
      </c>
      <c r="D83" s="0" t="s">
        <v>25</v>
      </c>
      <c r="E83" s="0" t="s">
        <v>489</v>
      </c>
      <c r="F83" s="16">
        <f>HYPERLINK("https://eosportal.federatedhermes.com/engagements/RW5nYWdlbWVudAppMTg2MTE=", "Prospects for developping market business - access to finance")</f>
      </c>
      <c r="G83" s="14"/>
      <c r="H83" s="0" t="s">
        <v>141</v>
      </c>
      <c r="I83" s="14" t="s">
        <v>191</v>
      </c>
      <c r="J83" s="0" t="s">
        <v>153</v>
      </c>
      <c r="K83" s="0" t="s">
        <v>154</v>
      </c>
      <c r="L83" s="0" t="s">
        <v>306</v>
      </c>
      <c r="M83" s="0" t="s">
        <v>135</v>
      </c>
      <c r="N83" s="0" t="s">
        <v>136</v>
      </c>
      <c r="O83" s="0" t="s">
        <v>238</v>
      </c>
      <c r="Q83" s="0" t="s">
        <v>130</v>
      </c>
      <c r="R83" s="0" t="s">
        <v>138</v>
      </c>
      <c r="S83" s="14">
        <v>0</v>
      </c>
      <c r="T83" s="0" t="s">
        <v>380</v>
      </c>
      <c r="U83" s="0" t="s">
        <v>138</v>
      </c>
      <c r="V83" s="14" t="s">
        <v>138</v>
      </c>
      <c r="W83" s="0" t="s">
        <v>138</v>
      </c>
      <c r="X83" s="14" t="s">
        <v>138</v>
      </c>
      <c r="Y83" s="0" t="s">
        <v>138</v>
      </c>
      <c r="Z83" s="14" t="s">
        <v>138</v>
      </c>
      <c r="AA83" s="0" t="s">
        <v>138</v>
      </c>
      <c r="AB83" s="14" t="s">
        <v>138</v>
      </c>
      <c r="AD83" s="0" t="s">
        <v>138</v>
      </c>
      <c r="AF83" s="0">
        <v>0</v>
      </c>
      <c r="AG83" s="0">
        <v>0</v>
      </c>
      <c r="AH83" s="0" t="s">
        <v>140</v>
      </c>
      <c r="AI83" s="0" t="s">
        <v>138</v>
      </c>
      <c r="AL83" s="14"/>
      <c r="AN83" s="14"/>
      <c r="AQ83" s="0" t="s">
        <v>130</v>
      </c>
      <c r="AR83" s="0" t="s">
        <v>130</v>
      </c>
      <c r="AS83" s="0" t="s">
        <v>130</v>
      </c>
      <c r="AT83" s="0" t="s">
        <v>130</v>
      </c>
      <c r="AU83" s="0" t="s">
        <v>130</v>
      </c>
      <c r="AV83" s="0" t="s">
        <v>130</v>
      </c>
      <c r="AW83" s="0" t="s">
        <v>130</v>
      </c>
      <c r="AX83" s="0" t="s">
        <v>130</v>
      </c>
      <c r="AY83" s="0" t="s">
        <v>130</v>
      </c>
      <c r="AZ83" s="0" t="s">
        <v>130</v>
      </c>
      <c r="BA83" s="0" t="s">
        <v>130</v>
      </c>
      <c r="BB83" s="0" t="s">
        <v>130</v>
      </c>
      <c r="BC83" s="0" t="s">
        <v>130</v>
      </c>
      <c r="BD83" s="0" t="s">
        <v>130</v>
      </c>
      <c r="BE83" s="0" t="s">
        <v>130</v>
      </c>
      <c r="BF83" s="0" t="s">
        <v>130</v>
      </c>
      <c r="BG83" s="0" t="s">
        <v>130</v>
      </c>
      <c r="BH83" s="0" t="s">
        <v>130</v>
      </c>
      <c r="BI83" s="0" t="s">
        <v>130</v>
      </c>
      <c r="BJ83" s="0" t="s">
        <v>130</v>
      </c>
      <c r="BK83" s="0" t="s">
        <v>130</v>
      </c>
      <c r="BL83" s="0" t="s">
        <v>130</v>
      </c>
      <c r="BM83" s="0" t="s">
        <v>130</v>
      </c>
      <c r="BN83" s="0" t="s">
        <v>130</v>
      </c>
      <c r="BO83" s="0" t="s">
        <v>130</v>
      </c>
      <c r="BP83" s="0" t="s">
        <v>130</v>
      </c>
      <c r="BQ83" s="0" t="s">
        <v>130</v>
      </c>
      <c r="BR83" s="0" t="s">
        <v>130</v>
      </c>
      <c r="BS83" s="0" t="s">
        <v>130</v>
      </c>
      <c r="BT83" s="0" t="s">
        <v>130</v>
      </c>
      <c r="BU83" s="0" t="s">
        <v>130</v>
      </c>
      <c r="BV83" s="0" t="s">
        <v>130</v>
      </c>
      <c r="BW83" s="0" t="s">
        <v>130</v>
      </c>
      <c r="BX83" s="0" t="s">
        <v>130</v>
      </c>
      <c r="BY83" s="0" t="s">
        <v>130</v>
      </c>
      <c r="BZ83" s="0" t="s">
        <v>130</v>
      </c>
      <c r="CA83" s="0" t="s">
        <v>130</v>
      </c>
      <c r="CB83" s="0" t="s">
        <v>130</v>
      </c>
      <c r="CC83" s="0" t="s">
        <v>130</v>
      </c>
      <c r="CD83" s="0" t="s">
        <v>130</v>
      </c>
      <c r="CE83" s="0" t="s">
        <v>130</v>
      </c>
      <c r="CF83" s="0" t="s">
        <v>130</v>
      </c>
      <c r="CG83" s="0" t="s">
        <v>130</v>
      </c>
      <c r="CH83" s="0" t="s">
        <v>130</v>
      </c>
      <c r="CI83" s="0" t="s">
        <v>130</v>
      </c>
      <c r="CJ83" s="0" t="s">
        <v>130</v>
      </c>
      <c r="CK83" s="0" t="s">
        <v>130</v>
      </c>
      <c r="CL83" s="0" t="s">
        <v>130</v>
      </c>
      <c r="CM83" s="0" t="s">
        <v>130</v>
      </c>
      <c r="CN83" s="0" t="s">
        <v>130</v>
      </c>
      <c r="CO83" s="0" t="s">
        <v>130</v>
      </c>
      <c r="CP83" s="0" t="s">
        <v>130</v>
      </c>
      <c r="CQ83" s="0" t="s">
        <v>130</v>
      </c>
      <c r="CR83" s="0" t="s">
        <v>130</v>
      </c>
      <c r="CS83" s="0" t="s">
        <v>130</v>
      </c>
      <c r="CT83" s="0" t="s">
        <v>490</v>
      </c>
    </row>
    <row r="84">
      <c r="A84" s="14">
        <v>100312</v>
      </c>
      <c r="B84" s="0" t="s">
        <v>476</v>
      </c>
      <c r="C84" s="16">
        <f>HYPERLINK("https://eosportal.federatedhermes.com/companies/Q29tcGFueQppNTg5OTQ=", "JPMorgan Chase &amp; Co")</f>
      </c>
      <c r="D84" s="0" t="s">
        <v>25</v>
      </c>
      <c r="E84" s="0" t="s">
        <v>491</v>
      </c>
      <c r="F84" s="16">
        <f>HYPERLINK("https://eosportal.federatedhermes.com/engagements/RW5nYWdlbWVudAppMTg2MTI=", "Improve leadership structure")</f>
      </c>
      <c r="G84" s="14" t="s">
        <v>491</v>
      </c>
      <c r="H84" s="0" t="s">
        <v>141</v>
      </c>
      <c r="I84" s="14" t="s">
        <v>191</v>
      </c>
      <c r="J84" s="0" t="s">
        <v>145</v>
      </c>
      <c r="K84" s="0" t="s">
        <v>164</v>
      </c>
      <c r="L84" s="0" t="s">
        <v>165</v>
      </c>
      <c r="M84" s="0" t="s">
        <v>135</v>
      </c>
      <c r="N84" s="0" t="s">
        <v>136</v>
      </c>
      <c r="O84" s="0" t="s">
        <v>238</v>
      </c>
      <c r="Q84" s="0" t="s">
        <v>130</v>
      </c>
      <c r="R84" s="0" t="s">
        <v>138</v>
      </c>
      <c r="S84" s="14">
        <v>0</v>
      </c>
      <c r="T84" s="0" t="s">
        <v>387</v>
      </c>
      <c r="U84" s="0" t="s">
        <v>138</v>
      </c>
      <c r="V84" s="14" t="s">
        <v>138</v>
      </c>
      <c r="W84" s="0" t="s">
        <v>138</v>
      </c>
      <c r="X84" s="14" t="s">
        <v>138</v>
      </c>
      <c r="Y84" s="0" t="s">
        <v>138</v>
      </c>
      <c r="Z84" s="14" t="s">
        <v>138</v>
      </c>
      <c r="AA84" s="0" t="s">
        <v>138</v>
      </c>
      <c r="AB84" s="14" t="s">
        <v>138</v>
      </c>
      <c r="AD84" s="0" t="s">
        <v>138</v>
      </c>
      <c r="AF84" s="0">
        <v>0</v>
      </c>
      <c r="AG84" s="0">
        <v>0</v>
      </c>
      <c r="AH84" s="0" t="s">
        <v>140</v>
      </c>
      <c r="AI84" s="0" t="s">
        <v>138</v>
      </c>
      <c r="AL84" s="14"/>
      <c r="AN84" s="14"/>
      <c r="AQ84" s="0" t="s">
        <v>130</v>
      </c>
      <c r="AR84" s="0" t="s">
        <v>130</v>
      </c>
      <c r="AS84" s="0" t="s">
        <v>130</v>
      </c>
      <c r="AT84" s="0" t="s">
        <v>130</v>
      </c>
      <c r="AU84" s="0" t="s">
        <v>130</v>
      </c>
      <c r="AV84" s="0" t="s">
        <v>130</v>
      </c>
      <c r="AW84" s="0" t="s">
        <v>130</v>
      </c>
      <c r="AX84" s="0" t="s">
        <v>130</v>
      </c>
      <c r="AY84" s="0" t="s">
        <v>130</v>
      </c>
      <c r="AZ84" s="0" t="s">
        <v>130</v>
      </c>
      <c r="BA84" s="0" t="s">
        <v>130</v>
      </c>
      <c r="BB84" s="0" t="s">
        <v>130</v>
      </c>
      <c r="BC84" s="0" t="s">
        <v>130</v>
      </c>
      <c r="BD84" s="0" t="s">
        <v>130</v>
      </c>
      <c r="BE84" s="0" t="s">
        <v>130</v>
      </c>
      <c r="BF84" s="0" t="s">
        <v>130</v>
      </c>
      <c r="BG84" s="0" t="s">
        <v>130</v>
      </c>
      <c r="BH84" s="0" t="s">
        <v>130</v>
      </c>
      <c r="BI84" s="0" t="s">
        <v>130</v>
      </c>
      <c r="BJ84" s="0" t="s">
        <v>130</v>
      </c>
      <c r="BK84" s="0" t="s">
        <v>130</v>
      </c>
      <c r="BL84" s="0" t="s">
        <v>130</v>
      </c>
      <c r="BM84" s="0" t="s">
        <v>130</v>
      </c>
      <c r="BN84" s="0" t="s">
        <v>130</v>
      </c>
      <c r="BO84" s="0" t="s">
        <v>130</v>
      </c>
      <c r="BP84" s="0" t="s">
        <v>130</v>
      </c>
      <c r="BQ84" s="0" t="s">
        <v>130</v>
      </c>
      <c r="BR84" s="0" t="s">
        <v>130</v>
      </c>
      <c r="BS84" s="0" t="s">
        <v>130</v>
      </c>
      <c r="BT84" s="0" t="s">
        <v>130</v>
      </c>
      <c r="BU84" s="0" t="s">
        <v>130</v>
      </c>
      <c r="BV84" s="0" t="s">
        <v>130</v>
      </c>
      <c r="BW84" s="0" t="s">
        <v>130</v>
      </c>
      <c r="BX84" s="0" t="s">
        <v>130</v>
      </c>
      <c r="BY84" s="0" t="s">
        <v>130</v>
      </c>
      <c r="BZ84" s="0" t="s">
        <v>130</v>
      </c>
      <c r="CA84" s="0" t="s">
        <v>130</v>
      </c>
      <c r="CB84" s="0" t="s">
        <v>130</v>
      </c>
      <c r="CC84" s="0" t="s">
        <v>130</v>
      </c>
      <c r="CD84" s="0" t="s">
        <v>130</v>
      </c>
      <c r="CE84" s="0" t="s">
        <v>130</v>
      </c>
      <c r="CF84" s="0" t="s">
        <v>130</v>
      </c>
      <c r="CG84" s="0" t="s">
        <v>130</v>
      </c>
      <c r="CH84" s="0" t="s">
        <v>130</v>
      </c>
      <c r="CI84" s="0" t="s">
        <v>130</v>
      </c>
      <c r="CJ84" s="0" t="s">
        <v>130</v>
      </c>
      <c r="CK84" s="0" t="s">
        <v>130</v>
      </c>
      <c r="CL84" s="0" t="s">
        <v>130</v>
      </c>
      <c r="CM84" s="0" t="s">
        <v>130</v>
      </c>
      <c r="CN84" s="0" t="s">
        <v>130</v>
      </c>
      <c r="CO84" s="0" t="s">
        <v>130</v>
      </c>
      <c r="CP84" s="0" t="s">
        <v>130</v>
      </c>
      <c r="CQ84" s="0" t="s">
        <v>130</v>
      </c>
      <c r="CR84" s="0" t="s">
        <v>130</v>
      </c>
      <c r="CS84" s="0" t="s">
        <v>130</v>
      </c>
      <c r="CT84" s="0" t="s">
        <v>492</v>
      </c>
    </row>
    <row r="85">
      <c r="A85" s="14">
        <v>100312</v>
      </c>
      <c r="B85" s="0" t="s">
        <v>476</v>
      </c>
      <c r="C85" s="16">
        <f>HYPERLINK("https://eosportal.federatedhermes.com/companies/Q29tcGFueQppNTg5OTQ=", "JPMorgan Chase &amp; Co")</f>
      </c>
      <c r="D85" s="0" t="s">
        <v>25</v>
      </c>
      <c r="E85" s="0" t="s">
        <v>493</v>
      </c>
      <c r="F85" s="16">
        <f>HYPERLINK("https://eosportal.federatedhermes.com/engagements/RW5nYWdlbWVudAppMTg2MTM=", "Director share pledging")</f>
      </c>
      <c r="G85" s="14" t="s">
        <v>494</v>
      </c>
      <c r="H85" s="0" t="s">
        <v>141</v>
      </c>
      <c r="I85" s="14" t="s">
        <v>191</v>
      </c>
      <c r="J85" s="0" t="s">
        <v>145</v>
      </c>
      <c r="K85" s="0" t="s">
        <v>146</v>
      </c>
      <c r="L85" s="0" t="s">
        <v>147</v>
      </c>
      <c r="M85" s="0" t="s">
        <v>135</v>
      </c>
      <c r="N85" s="0" t="s">
        <v>136</v>
      </c>
      <c r="O85" s="0" t="s">
        <v>238</v>
      </c>
      <c r="Q85" s="0" t="s">
        <v>130</v>
      </c>
      <c r="R85" s="0" t="s">
        <v>138</v>
      </c>
      <c r="S85" s="14">
        <v>0</v>
      </c>
      <c r="T85" s="0" t="s">
        <v>487</v>
      </c>
      <c r="U85" s="0" t="s">
        <v>138</v>
      </c>
      <c r="V85" s="14" t="s">
        <v>138</v>
      </c>
      <c r="W85" s="0" t="s">
        <v>138</v>
      </c>
      <c r="X85" s="14" t="s">
        <v>138</v>
      </c>
      <c r="Y85" s="0" t="s">
        <v>138</v>
      </c>
      <c r="Z85" s="14" t="s">
        <v>138</v>
      </c>
      <c r="AA85" s="0" t="s">
        <v>138</v>
      </c>
      <c r="AB85" s="14" t="s">
        <v>138</v>
      </c>
      <c r="AD85" s="0" t="s">
        <v>138</v>
      </c>
      <c r="AF85" s="0">
        <v>0</v>
      </c>
      <c r="AG85" s="0">
        <v>0</v>
      </c>
      <c r="AH85" s="0" t="s">
        <v>140</v>
      </c>
      <c r="AI85" s="0" t="s">
        <v>138</v>
      </c>
      <c r="AL85" s="14"/>
      <c r="AN85" s="14"/>
      <c r="AQ85" s="0" t="s">
        <v>130</v>
      </c>
      <c r="AR85" s="0" t="s">
        <v>130</v>
      </c>
      <c r="AS85" s="0" t="s">
        <v>130</v>
      </c>
      <c r="AT85" s="0" t="s">
        <v>130</v>
      </c>
      <c r="AU85" s="0" t="s">
        <v>130</v>
      </c>
      <c r="AV85" s="0" t="s">
        <v>130</v>
      </c>
      <c r="AW85" s="0" t="s">
        <v>130</v>
      </c>
      <c r="AX85" s="0" t="s">
        <v>130</v>
      </c>
      <c r="AY85" s="0" t="s">
        <v>130</v>
      </c>
      <c r="AZ85" s="0" t="s">
        <v>130</v>
      </c>
      <c r="BA85" s="0" t="s">
        <v>130</v>
      </c>
      <c r="BB85" s="0" t="s">
        <v>130</v>
      </c>
      <c r="BC85" s="0" t="s">
        <v>130</v>
      </c>
      <c r="BD85" s="0" t="s">
        <v>130</v>
      </c>
      <c r="BE85" s="0" t="s">
        <v>130</v>
      </c>
      <c r="BF85" s="0" t="s">
        <v>130</v>
      </c>
      <c r="BG85" s="0" t="s">
        <v>130</v>
      </c>
      <c r="BH85" s="0" t="s">
        <v>130</v>
      </c>
      <c r="BI85" s="0" t="s">
        <v>130</v>
      </c>
      <c r="BJ85" s="0" t="s">
        <v>130</v>
      </c>
      <c r="BK85" s="0" t="s">
        <v>130</v>
      </c>
      <c r="BL85" s="0" t="s">
        <v>130</v>
      </c>
      <c r="BM85" s="0" t="s">
        <v>130</v>
      </c>
      <c r="BN85" s="0" t="s">
        <v>130</v>
      </c>
      <c r="BO85" s="0" t="s">
        <v>130</v>
      </c>
      <c r="BP85" s="0" t="s">
        <v>130</v>
      </c>
      <c r="BQ85" s="0" t="s">
        <v>130</v>
      </c>
      <c r="BR85" s="0" t="s">
        <v>130</v>
      </c>
      <c r="BS85" s="0" t="s">
        <v>130</v>
      </c>
      <c r="BT85" s="0" t="s">
        <v>130</v>
      </c>
      <c r="BU85" s="0" t="s">
        <v>130</v>
      </c>
      <c r="BV85" s="0" t="s">
        <v>130</v>
      </c>
      <c r="BW85" s="0" t="s">
        <v>130</v>
      </c>
      <c r="BX85" s="0" t="s">
        <v>130</v>
      </c>
      <c r="BY85" s="0" t="s">
        <v>130</v>
      </c>
      <c r="BZ85" s="0" t="s">
        <v>130</v>
      </c>
      <c r="CA85" s="0" t="s">
        <v>130</v>
      </c>
      <c r="CB85" s="0" t="s">
        <v>130</v>
      </c>
      <c r="CC85" s="0" t="s">
        <v>130</v>
      </c>
      <c r="CD85" s="0" t="s">
        <v>130</v>
      </c>
      <c r="CE85" s="0" t="s">
        <v>130</v>
      </c>
      <c r="CF85" s="0" t="s">
        <v>130</v>
      </c>
      <c r="CG85" s="0" t="s">
        <v>130</v>
      </c>
      <c r="CH85" s="0" t="s">
        <v>130</v>
      </c>
      <c r="CI85" s="0" t="s">
        <v>130</v>
      </c>
      <c r="CJ85" s="0" t="s">
        <v>130</v>
      </c>
      <c r="CK85" s="0" t="s">
        <v>130</v>
      </c>
      <c r="CL85" s="0" t="s">
        <v>130</v>
      </c>
      <c r="CM85" s="0" t="s">
        <v>130</v>
      </c>
      <c r="CN85" s="0" t="s">
        <v>130</v>
      </c>
      <c r="CO85" s="0" t="s">
        <v>130</v>
      </c>
      <c r="CP85" s="0" t="s">
        <v>130</v>
      </c>
      <c r="CQ85" s="0" t="s">
        <v>130</v>
      </c>
      <c r="CR85" s="0" t="s">
        <v>130</v>
      </c>
      <c r="CS85" s="0" t="s">
        <v>130</v>
      </c>
      <c r="CT85" s="0" t="s">
        <v>495</v>
      </c>
    </row>
    <row r="86">
      <c r="A86" s="14">
        <v>100312</v>
      </c>
      <c r="B86" s="0" t="s">
        <v>476</v>
      </c>
      <c r="C86" s="16">
        <f>HYPERLINK("https://eosportal.federatedhermes.com/companies/Q29tcGFueQppNTg5OTQ=", "JPMorgan Chase &amp; Co")</f>
      </c>
      <c r="D86" s="0" t="s">
        <v>25</v>
      </c>
      <c r="E86" s="0" t="s">
        <v>198</v>
      </c>
      <c r="F86" s="16">
        <f>HYPERLINK("https://eosportal.federatedhermes.com/engagements/RW5nYWdlbWVudAppMTg2MTQ=", "Climate Change")</f>
      </c>
      <c r="G86" s="14" t="s">
        <v>496</v>
      </c>
      <c r="H86" s="0" t="s">
        <v>141</v>
      </c>
      <c r="I86" s="14" t="s">
        <v>191</v>
      </c>
      <c r="J86" s="0" t="s">
        <v>197</v>
      </c>
      <c r="K86" s="0" t="s">
        <v>198</v>
      </c>
      <c r="L86" s="0" t="s">
        <v>216</v>
      </c>
      <c r="M86" s="0" t="s">
        <v>135</v>
      </c>
      <c r="N86" s="0" t="s">
        <v>136</v>
      </c>
      <c r="O86" s="0" t="s">
        <v>238</v>
      </c>
      <c r="Q86" s="0" t="s">
        <v>141</v>
      </c>
      <c r="R86" s="0" t="s">
        <v>138</v>
      </c>
      <c r="S86" s="14">
        <v>1</v>
      </c>
      <c r="T86" s="0" t="s">
        <v>327</v>
      </c>
      <c r="U86" s="0" t="s">
        <v>138</v>
      </c>
      <c r="V86" s="14" t="s">
        <v>138</v>
      </c>
      <c r="W86" s="0" t="s">
        <v>138</v>
      </c>
      <c r="X86" s="14" t="s">
        <v>138</v>
      </c>
      <c r="Y86" s="0" t="s">
        <v>138</v>
      </c>
      <c r="Z86" s="14" t="s">
        <v>138</v>
      </c>
      <c r="AA86" s="0" t="s">
        <v>138</v>
      </c>
      <c r="AB86" s="14" t="s">
        <v>138</v>
      </c>
      <c r="AD86" s="0" t="s">
        <v>138</v>
      </c>
      <c r="AF86" s="0">
        <v>0</v>
      </c>
      <c r="AG86" s="0">
        <v>0</v>
      </c>
      <c r="AH86" s="0" t="s">
        <v>140</v>
      </c>
      <c r="AI86" s="0" t="s">
        <v>138</v>
      </c>
      <c r="AK86" s="0" t="s">
        <v>300</v>
      </c>
      <c r="AL86" s="14"/>
      <c r="AN86" s="14"/>
      <c r="AQ86" s="0" t="s">
        <v>130</v>
      </c>
      <c r="AR86" s="0" t="s">
        <v>130</v>
      </c>
      <c r="AS86" s="0" t="s">
        <v>130</v>
      </c>
      <c r="AT86" s="0" t="s">
        <v>130</v>
      </c>
      <c r="AU86" s="0" t="s">
        <v>130</v>
      </c>
      <c r="AV86" s="0" t="s">
        <v>130</v>
      </c>
      <c r="AW86" s="0" t="s">
        <v>141</v>
      </c>
      <c r="AX86" s="0" t="s">
        <v>130</v>
      </c>
      <c r="AY86" s="0" t="s">
        <v>130</v>
      </c>
      <c r="AZ86" s="0" t="s">
        <v>130</v>
      </c>
      <c r="BA86" s="0" t="s">
        <v>130</v>
      </c>
      <c r="BB86" s="0" t="s">
        <v>130</v>
      </c>
      <c r="BC86" s="0" t="s">
        <v>141</v>
      </c>
      <c r="BD86" s="0" t="s">
        <v>130</v>
      </c>
      <c r="BE86" s="0" t="s">
        <v>130</v>
      </c>
      <c r="BF86" s="0" t="s">
        <v>130</v>
      </c>
      <c r="BG86" s="0" t="s">
        <v>130</v>
      </c>
      <c r="BH86" s="0" t="s">
        <v>141</v>
      </c>
      <c r="BI86" s="0" t="s">
        <v>141</v>
      </c>
      <c r="BJ86" s="0" t="s">
        <v>141</v>
      </c>
      <c r="BK86" s="0" t="s">
        <v>130</v>
      </c>
      <c r="BL86" s="0" t="s">
        <v>130</v>
      </c>
      <c r="BM86" s="0" t="s">
        <v>130</v>
      </c>
      <c r="BN86" s="0" t="s">
        <v>130</v>
      </c>
      <c r="BO86" s="0" t="s">
        <v>130</v>
      </c>
      <c r="BP86" s="0" t="s">
        <v>130</v>
      </c>
      <c r="BQ86" s="0" t="s">
        <v>130</v>
      </c>
      <c r="BR86" s="0" t="s">
        <v>130</v>
      </c>
      <c r="BS86" s="0" t="s">
        <v>130</v>
      </c>
      <c r="BT86" s="0" t="s">
        <v>130</v>
      </c>
      <c r="BU86" s="0" t="s">
        <v>130</v>
      </c>
      <c r="BV86" s="0" t="s">
        <v>141</v>
      </c>
      <c r="BW86" s="0" t="s">
        <v>141</v>
      </c>
      <c r="BX86" s="0" t="s">
        <v>130</v>
      </c>
      <c r="BY86" s="0" t="s">
        <v>130</v>
      </c>
      <c r="BZ86" s="0" t="s">
        <v>130</v>
      </c>
      <c r="CA86" s="0" t="s">
        <v>130</v>
      </c>
      <c r="CB86" s="0" t="s">
        <v>130</v>
      </c>
      <c r="CC86" s="0" t="s">
        <v>130</v>
      </c>
      <c r="CD86" s="0" t="s">
        <v>130</v>
      </c>
      <c r="CE86" s="0" t="s">
        <v>130</v>
      </c>
      <c r="CF86" s="0" t="s">
        <v>130</v>
      </c>
      <c r="CG86" s="0" t="s">
        <v>130</v>
      </c>
      <c r="CH86" s="0" t="s">
        <v>130</v>
      </c>
      <c r="CI86" s="0" t="s">
        <v>130</v>
      </c>
      <c r="CJ86" s="0" t="s">
        <v>130</v>
      </c>
      <c r="CK86" s="0" t="s">
        <v>130</v>
      </c>
      <c r="CL86" s="0" t="s">
        <v>130</v>
      </c>
      <c r="CM86" s="0" t="s">
        <v>130</v>
      </c>
      <c r="CN86" s="0" t="s">
        <v>130</v>
      </c>
      <c r="CO86" s="0" t="s">
        <v>130</v>
      </c>
      <c r="CP86" s="0" t="s">
        <v>130</v>
      </c>
      <c r="CQ86" s="0" t="s">
        <v>130</v>
      </c>
      <c r="CR86" s="0" t="s">
        <v>130</v>
      </c>
      <c r="CS86" s="0" t="s">
        <v>130</v>
      </c>
      <c r="CT86" s="0" t="s">
        <v>497</v>
      </c>
    </row>
    <row r="87">
      <c r="A87" s="14">
        <v>100312</v>
      </c>
      <c r="B87" s="0" t="s">
        <v>476</v>
      </c>
      <c r="C87" s="16">
        <f>HYPERLINK("https://eosportal.federatedhermes.com/companies/Q29tcGFueQppNTg5OTQ=", "JPMorgan Chase &amp; Co")</f>
      </c>
      <c r="D87" s="0" t="s">
        <v>25</v>
      </c>
      <c r="E87" s="0" t="s">
        <v>498</v>
      </c>
      <c r="F87" s="16">
        <f>HYPERLINK("https://eosportal.federatedhermes.com/engagements/RW5nYWdlbWVudAppMTg2MTU=", "Excessive CEO remuneration")</f>
      </c>
      <c r="G87" s="14" t="s">
        <v>499</v>
      </c>
      <c r="H87" s="0" t="s">
        <v>141</v>
      </c>
      <c r="I87" s="14" t="s">
        <v>191</v>
      </c>
      <c r="J87" s="0" t="s">
        <v>145</v>
      </c>
      <c r="K87" s="0" t="s">
        <v>146</v>
      </c>
      <c r="L87" s="0" t="s">
        <v>500</v>
      </c>
      <c r="M87" s="0" t="s">
        <v>135</v>
      </c>
      <c r="N87" s="0" t="s">
        <v>136</v>
      </c>
      <c r="O87" s="0" t="s">
        <v>238</v>
      </c>
      <c r="Q87" s="0" t="s">
        <v>130</v>
      </c>
      <c r="R87" s="0" t="s">
        <v>138</v>
      </c>
      <c r="S87" s="14">
        <v>0</v>
      </c>
      <c r="T87" s="0" t="s">
        <v>487</v>
      </c>
      <c r="U87" s="0" t="s">
        <v>138</v>
      </c>
      <c r="V87" s="14" t="s">
        <v>138</v>
      </c>
      <c r="W87" s="0" t="s">
        <v>138</v>
      </c>
      <c r="X87" s="14" t="s">
        <v>138</v>
      </c>
      <c r="Y87" s="0" t="s">
        <v>138</v>
      </c>
      <c r="Z87" s="14" t="s">
        <v>138</v>
      </c>
      <c r="AA87" s="0" t="s">
        <v>138</v>
      </c>
      <c r="AB87" s="14" t="s">
        <v>138</v>
      </c>
      <c r="AD87" s="0" t="s">
        <v>138</v>
      </c>
      <c r="AF87" s="0">
        <v>0</v>
      </c>
      <c r="AG87" s="0">
        <v>0</v>
      </c>
      <c r="AH87" s="0" t="s">
        <v>140</v>
      </c>
      <c r="AI87" s="0" t="s">
        <v>138</v>
      </c>
      <c r="AL87" s="14"/>
      <c r="AN87" s="14"/>
      <c r="AQ87" s="0" t="s">
        <v>130</v>
      </c>
      <c r="AR87" s="0" t="s">
        <v>130</v>
      </c>
      <c r="AS87" s="0" t="s">
        <v>130</v>
      </c>
      <c r="AT87" s="0" t="s">
        <v>130</v>
      </c>
      <c r="AU87" s="0" t="s">
        <v>130</v>
      </c>
      <c r="AV87" s="0" t="s">
        <v>130</v>
      </c>
      <c r="AW87" s="0" t="s">
        <v>130</v>
      </c>
      <c r="AX87" s="0" t="s">
        <v>130</v>
      </c>
      <c r="AY87" s="0" t="s">
        <v>130</v>
      </c>
      <c r="AZ87" s="0" t="s">
        <v>130</v>
      </c>
      <c r="BA87" s="0" t="s">
        <v>130</v>
      </c>
      <c r="BB87" s="0" t="s">
        <v>130</v>
      </c>
      <c r="BC87" s="0" t="s">
        <v>130</v>
      </c>
      <c r="BD87" s="0" t="s">
        <v>130</v>
      </c>
      <c r="BE87" s="0" t="s">
        <v>130</v>
      </c>
      <c r="BF87" s="0" t="s">
        <v>130</v>
      </c>
      <c r="BG87" s="0" t="s">
        <v>130</v>
      </c>
      <c r="BH87" s="0" t="s">
        <v>130</v>
      </c>
      <c r="BI87" s="0" t="s">
        <v>130</v>
      </c>
      <c r="BJ87" s="0" t="s">
        <v>130</v>
      </c>
      <c r="BK87" s="0" t="s">
        <v>130</v>
      </c>
      <c r="BL87" s="0" t="s">
        <v>130</v>
      </c>
      <c r="BM87" s="0" t="s">
        <v>130</v>
      </c>
      <c r="BN87" s="0" t="s">
        <v>130</v>
      </c>
      <c r="BO87" s="0" t="s">
        <v>130</v>
      </c>
      <c r="BP87" s="0" t="s">
        <v>130</v>
      </c>
      <c r="BQ87" s="0" t="s">
        <v>130</v>
      </c>
      <c r="BR87" s="0" t="s">
        <v>130</v>
      </c>
      <c r="BS87" s="0" t="s">
        <v>130</v>
      </c>
      <c r="BT87" s="0" t="s">
        <v>130</v>
      </c>
      <c r="BU87" s="0" t="s">
        <v>130</v>
      </c>
      <c r="BV87" s="0" t="s">
        <v>130</v>
      </c>
      <c r="BW87" s="0" t="s">
        <v>130</v>
      </c>
      <c r="BX87" s="0" t="s">
        <v>130</v>
      </c>
      <c r="BY87" s="0" t="s">
        <v>130</v>
      </c>
      <c r="BZ87" s="0" t="s">
        <v>130</v>
      </c>
      <c r="CA87" s="0" t="s">
        <v>130</v>
      </c>
      <c r="CB87" s="0" t="s">
        <v>130</v>
      </c>
      <c r="CC87" s="0" t="s">
        <v>130</v>
      </c>
      <c r="CD87" s="0" t="s">
        <v>130</v>
      </c>
      <c r="CE87" s="0" t="s">
        <v>130</v>
      </c>
      <c r="CF87" s="0" t="s">
        <v>130</v>
      </c>
      <c r="CG87" s="0" t="s">
        <v>130</v>
      </c>
      <c r="CH87" s="0" t="s">
        <v>130</v>
      </c>
      <c r="CI87" s="0" t="s">
        <v>130</v>
      </c>
      <c r="CJ87" s="0" t="s">
        <v>130</v>
      </c>
      <c r="CK87" s="0" t="s">
        <v>130</v>
      </c>
      <c r="CL87" s="0" t="s">
        <v>130</v>
      </c>
      <c r="CM87" s="0" t="s">
        <v>130</v>
      </c>
      <c r="CN87" s="0" t="s">
        <v>130</v>
      </c>
      <c r="CO87" s="0" t="s">
        <v>130</v>
      </c>
      <c r="CP87" s="0" t="s">
        <v>130</v>
      </c>
      <c r="CQ87" s="0" t="s">
        <v>130</v>
      </c>
      <c r="CR87" s="0" t="s">
        <v>130</v>
      </c>
      <c r="CS87" s="0" t="s">
        <v>130</v>
      </c>
      <c r="CT87" s="0" t="s">
        <v>501</v>
      </c>
    </row>
    <row r="88">
      <c r="A88" s="14">
        <v>100312</v>
      </c>
      <c r="B88" s="0" t="s">
        <v>476</v>
      </c>
      <c r="C88" s="16">
        <f>HYPERLINK("https://eosportal.federatedhermes.com/companies/Q29tcGFueQppNTg5OTQ=", "JPMorgan Chase &amp; Co")</f>
      </c>
      <c r="D88" s="0" t="s">
        <v>25</v>
      </c>
      <c r="E88" s="0" t="s">
        <v>502</v>
      </c>
      <c r="F88" s="16">
        <f>HYPERLINK("https://eosportal.federatedhermes.com/engagements/RW5nYWdlbWVudAppMTg2MjA=", "Refresh board and strengthen risk oversight")</f>
      </c>
      <c r="G88" s="14" t="s">
        <v>503</v>
      </c>
      <c r="H88" s="0" t="s">
        <v>141</v>
      </c>
      <c r="I88" s="14" t="s">
        <v>191</v>
      </c>
      <c r="J88" s="0" t="s">
        <v>145</v>
      </c>
      <c r="K88" s="0" t="s">
        <v>164</v>
      </c>
      <c r="L88" s="0" t="s">
        <v>165</v>
      </c>
      <c r="M88" s="0" t="s">
        <v>135</v>
      </c>
      <c r="N88" s="0" t="s">
        <v>136</v>
      </c>
      <c r="O88" s="0" t="s">
        <v>238</v>
      </c>
      <c r="Q88" s="0" t="s">
        <v>130</v>
      </c>
      <c r="R88" s="0" t="s">
        <v>138</v>
      </c>
      <c r="S88" s="14">
        <v>0</v>
      </c>
      <c r="T88" s="0" t="s">
        <v>387</v>
      </c>
      <c r="U88" s="0" t="s">
        <v>138</v>
      </c>
      <c r="V88" s="14" t="s">
        <v>138</v>
      </c>
      <c r="W88" s="0" t="s">
        <v>138</v>
      </c>
      <c r="X88" s="14" t="s">
        <v>138</v>
      </c>
      <c r="Y88" s="0" t="s">
        <v>138</v>
      </c>
      <c r="Z88" s="14" t="s">
        <v>138</v>
      </c>
      <c r="AA88" s="0" t="s">
        <v>138</v>
      </c>
      <c r="AB88" s="14" t="s">
        <v>138</v>
      </c>
      <c r="AD88" s="0" t="s">
        <v>138</v>
      </c>
      <c r="AF88" s="0">
        <v>0</v>
      </c>
      <c r="AG88" s="0">
        <v>0</v>
      </c>
      <c r="AH88" s="0" t="s">
        <v>140</v>
      </c>
      <c r="AI88" s="0" t="s">
        <v>138</v>
      </c>
      <c r="AL88" s="14"/>
      <c r="AN88" s="14"/>
      <c r="AQ88" s="0" t="s">
        <v>130</v>
      </c>
      <c r="AR88" s="0" t="s">
        <v>130</v>
      </c>
      <c r="AS88" s="0" t="s">
        <v>130</v>
      </c>
      <c r="AT88" s="0" t="s">
        <v>130</v>
      </c>
      <c r="AU88" s="0" t="s">
        <v>130</v>
      </c>
      <c r="AV88" s="0" t="s">
        <v>130</v>
      </c>
      <c r="AW88" s="0" t="s">
        <v>130</v>
      </c>
      <c r="AX88" s="0" t="s">
        <v>130</v>
      </c>
      <c r="AY88" s="0" t="s">
        <v>130</v>
      </c>
      <c r="AZ88" s="0" t="s">
        <v>130</v>
      </c>
      <c r="BA88" s="0" t="s">
        <v>130</v>
      </c>
      <c r="BB88" s="0" t="s">
        <v>130</v>
      </c>
      <c r="BC88" s="0" t="s">
        <v>130</v>
      </c>
      <c r="BD88" s="0" t="s">
        <v>130</v>
      </c>
      <c r="BE88" s="0" t="s">
        <v>130</v>
      </c>
      <c r="BF88" s="0" t="s">
        <v>130</v>
      </c>
      <c r="BG88" s="0" t="s">
        <v>130</v>
      </c>
      <c r="BH88" s="0" t="s">
        <v>130</v>
      </c>
      <c r="BI88" s="0" t="s">
        <v>130</v>
      </c>
      <c r="BJ88" s="0" t="s">
        <v>130</v>
      </c>
      <c r="BK88" s="0" t="s">
        <v>130</v>
      </c>
      <c r="BL88" s="0" t="s">
        <v>130</v>
      </c>
      <c r="BM88" s="0" t="s">
        <v>130</v>
      </c>
      <c r="BN88" s="0" t="s">
        <v>130</v>
      </c>
      <c r="BO88" s="0" t="s">
        <v>130</v>
      </c>
      <c r="BP88" s="0" t="s">
        <v>130</v>
      </c>
      <c r="BQ88" s="0" t="s">
        <v>130</v>
      </c>
      <c r="BR88" s="0" t="s">
        <v>130</v>
      </c>
      <c r="BS88" s="0" t="s">
        <v>130</v>
      </c>
      <c r="BT88" s="0" t="s">
        <v>130</v>
      </c>
      <c r="BU88" s="0" t="s">
        <v>130</v>
      </c>
      <c r="BV88" s="0" t="s">
        <v>130</v>
      </c>
      <c r="BW88" s="0" t="s">
        <v>130</v>
      </c>
      <c r="BX88" s="0" t="s">
        <v>130</v>
      </c>
      <c r="BY88" s="0" t="s">
        <v>130</v>
      </c>
      <c r="BZ88" s="0" t="s">
        <v>130</v>
      </c>
      <c r="CA88" s="0" t="s">
        <v>130</v>
      </c>
      <c r="CB88" s="0" t="s">
        <v>130</v>
      </c>
      <c r="CC88" s="0" t="s">
        <v>130</v>
      </c>
      <c r="CD88" s="0" t="s">
        <v>130</v>
      </c>
      <c r="CE88" s="0" t="s">
        <v>130</v>
      </c>
      <c r="CF88" s="0" t="s">
        <v>130</v>
      </c>
      <c r="CG88" s="0" t="s">
        <v>130</v>
      </c>
      <c r="CH88" s="0" t="s">
        <v>130</v>
      </c>
      <c r="CI88" s="0" t="s">
        <v>130</v>
      </c>
      <c r="CJ88" s="0" t="s">
        <v>130</v>
      </c>
      <c r="CK88" s="0" t="s">
        <v>130</v>
      </c>
      <c r="CL88" s="0" t="s">
        <v>130</v>
      </c>
      <c r="CM88" s="0" t="s">
        <v>130</v>
      </c>
      <c r="CN88" s="0" t="s">
        <v>130</v>
      </c>
      <c r="CO88" s="0" t="s">
        <v>130</v>
      </c>
      <c r="CP88" s="0" t="s">
        <v>130</v>
      </c>
      <c r="CQ88" s="0" t="s">
        <v>130</v>
      </c>
      <c r="CR88" s="0" t="s">
        <v>130</v>
      </c>
      <c r="CS88" s="0" t="s">
        <v>130</v>
      </c>
      <c r="CT88" s="0" t="s">
        <v>504</v>
      </c>
    </row>
    <row r="89">
      <c r="A89" s="14">
        <v>100312</v>
      </c>
      <c r="B89" s="0" t="s">
        <v>476</v>
      </c>
      <c r="C89" s="16">
        <f>HYPERLINK("https://eosportal.federatedhermes.com/companies/Q29tcGFueQppNTg5OTQ=", "JPMorgan Chase &amp; Co")</f>
      </c>
      <c r="D89" s="0" t="s">
        <v>25</v>
      </c>
      <c r="E89" s="0" t="s">
        <v>505</v>
      </c>
      <c r="F89" s="16">
        <f>HYPERLINK("https://eosportal.federatedhermes.com/engagements/RW5nYWdlbWVudAppMTg2MjE=", "Defensive shareholder proposals")</f>
      </c>
      <c r="G89" s="14" t="s">
        <v>506</v>
      </c>
      <c r="H89" s="0" t="s">
        <v>141</v>
      </c>
      <c r="I89" s="14" t="s">
        <v>191</v>
      </c>
      <c r="J89" s="0" t="s">
        <v>145</v>
      </c>
      <c r="K89" s="0" t="s">
        <v>400</v>
      </c>
      <c r="L89" s="0" t="s">
        <v>507</v>
      </c>
      <c r="M89" s="0" t="s">
        <v>135</v>
      </c>
      <c r="N89" s="0" t="s">
        <v>136</v>
      </c>
      <c r="O89" s="0" t="s">
        <v>238</v>
      </c>
      <c r="Q89" s="0" t="s">
        <v>130</v>
      </c>
      <c r="R89" s="0" t="s">
        <v>138</v>
      </c>
      <c r="S89" s="14">
        <v>0</v>
      </c>
      <c r="T89" s="0" t="s">
        <v>487</v>
      </c>
      <c r="U89" s="0" t="s">
        <v>138</v>
      </c>
      <c r="V89" s="14" t="s">
        <v>138</v>
      </c>
      <c r="W89" s="0" t="s">
        <v>138</v>
      </c>
      <c r="X89" s="14" t="s">
        <v>138</v>
      </c>
      <c r="Y89" s="0" t="s">
        <v>138</v>
      </c>
      <c r="Z89" s="14" t="s">
        <v>138</v>
      </c>
      <c r="AA89" s="0" t="s">
        <v>138</v>
      </c>
      <c r="AB89" s="14" t="s">
        <v>138</v>
      </c>
      <c r="AD89" s="0" t="s">
        <v>138</v>
      </c>
      <c r="AF89" s="0">
        <v>0</v>
      </c>
      <c r="AG89" s="0">
        <v>0</v>
      </c>
      <c r="AH89" s="0" t="s">
        <v>140</v>
      </c>
      <c r="AI89" s="0" t="s">
        <v>138</v>
      </c>
      <c r="AL89" s="14"/>
      <c r="AN89" s="14"/>
      <c r="AQ89" s="0" t="s">
        <v>130</v>
      </c>
      <c r="AR89" s="0" t="s">
        <v>130</v>
      </c>
      <c r="AS89" s="0" t="s">
        <v>130</v>
      </c>
      <c r="AT89" s="0" t="s">
        <v>130</v>
      </c>
      <c r="AU89" s="0" t="s">
        <v>130</v>
      </c>
      <c r="AV89" s="0" t="s">
        <v>130</v>
      </c>
      <c r="AW89" s="0" t="s">
        <v>130</v>
      </c>
      <c r="AX89" s="0" t="s">
        <v>130</v>
      </c>
      <c r="AY89" s="0" t="s">
        <v>130</v>
      </c>
      <c r="AZ89" s="0" t="s">
        <v>130</v>
      </c>
      <c r="BA89" s="0" t="s">
        <v>130</v>
      </c>
      <c r="BB89" s="0" t="s">
        <v>130</v>
      </c>
      <c r="BC89" s="0" t="s">
        <v>130</v>
      </c>
      <c r="BD89" s="0" t="s">
        <v>130</v>
      </c>
      <c r="BE89" s="0" t="s">
        <v>130</v>
      </c>
      <c r="BF89" s="0" t="s">
        <v>130</v>
      </c>
      <c r="BG89" s="0" t="s">
        <v>130</v>
      </c>
      <c r="BH89" s="0" t="s">
        <v>130</v>
      </c>
      <c r="BI89" s="0" t="s">
        <v>130</v>
      </c>
      <c r="BJ89" s="0" t="s">
        <v>130</v>
      </c>
      <c r="BK89" s="0" t="s">
        <v>130</v>
      </c>
      <c r="BL89" s="0" t="s">
        <v>130</v>
      </c>
      <c r="BM89" s="0" t="s">
        <v>130</v>
      </c>
      <c r="BN89" s="0" t="s">
        <v>130</v>
      </c>
      <c r="BO89" s="0" t="s">
        <v>130</v>
      </c>
      <c r="BP89" s="0" t="s">
        <v>130</v>
      </c>
      <c r="BQ89" s="0" t="s">
        <v>130</v>
      </c>
      <c r="BR89" s="0" t="s">
        <v>130</v>
      </c>
      <c r="BS89" s="0" t="s">
        <v>130</v>
      </c>
      <c r="BT89" s="0" t="s">
        <v>130</v>
      </c>
      <c r="BU89" s="0" t="s">
        <v>130</v>
      </c>
      <c r="BV89" s="0" t="s">
        <v>130</v>
      </c>
      <c r="BW89" s="0" t="s">
        <v>130</v>
      </c>
      <c r="BX89" s="0" t="s">
        <v>130</v>
      </c>
      <c r="BY89" s="0" t="s">
        <v>130</v>
      </c>
      <c r="BZ89" s="0" t="s">
        <v>130</v>
      </c>
      <c r="CA89" s="0" t="s">
        <v>130</v>
      </c>
      <c r="CB89" s="0" t="s">
        <v>130</v>
      </c>
      <c r="CC89" s="0" t="s">
        <v>130</v>
      </c>
      <c r="CD89" s="0" t="s">
        <v>130</v>
      </c>
      <c r="CE89" s="0" t="s">
        <v>130</v>
      </c>
      <c r="CF89" s="0" t="s">
        <v>130</v>
      </c>
      <c r="CG89" s="0" t="s">
        <v>130</v>
      </c>
      <c r="CH89" s="0" t="s">
        <v>130</v>
      </c>
      <c r="CI89" s="0" t="s">
        <v>130</v>
      </c>
      <c r="CJ89" s="0" t="s">
        <v>130</v>
      </c>
      <c r="CK89" s="0" t="s">
        <v>130</v>
      </c>
      <c r="CL89" s="0" t="s">
        <v>130</v>
      </c>
      <c r="CM89" s="0" t="s">
        <v>130</v>
      </c>
      <c r="CN89" s="0" t="s">
        <v>130</v>
      </c>
      <c r="CO89" s="0" t="s">
        <v>130</v>
      </c>
      <c r="CP89" s="0" t="s">
        <v>130</v>
      </c>
      <c r="CQ89" s="0" t="s">
        <v>130</v>
      </c>
      <c r="CR89" s="0" t="s">
        <v>130</v>
      </c>
      <c r="CS89" s="0" t="s">
        <v>130</v>
      </c>
      <c r="CT89" s="0" t="s">
        <v>508</v>
      </c>
    </row>
    <row r="90">
      <c r="A90" s="14">
        <v>100312</v>
      </c>
      <c r="B90" s="0" t="s">
        <v>476</v>
      </c>
      <c r="C90" s="16">
        <f>HYPERLINK("https://eosportal.federatedhermes.com/companies/Q29tcGFueQppNTg5OTQ=", "JPMorgan Chase &amp; Co")</f>
      </c>
      <c r="D90" s="0" t="s">
        <v>25</v>
      </c>
      <c r="E90" s="0" t="s">
        <v>509</v>
      </c>
      <c r="F90" s="16">
        <f>HYPERLINK("https://eosportal.federatedhermes.com/engagements/RW5nYWdlbWVudAppMTg2MjI=", "Enhance the company's shareholder engagement programme")</f>
      </c>
      <c r="G90" s="14" t="s">
        <v>509</v>
      </c>
      <c r="H90" s="0" t="s">
        <v>141</v>
      </c>
      <c r="I90" s="14" t="s">
        <v>191</v>
      </c>
      <c r="J90" s="0" t="s">
        <v>145</v>
      </c>
      <c r="K90" s="0" t="s">
        <v>400</v>
      </c>
      <c r="L90" s="0" t="s">
        <v>401</v>
      </c>
      <c r="M90" s="0" t="s">
        <v>135</v>
      </c>
      <c r="N90" s="0" t="s">
        <v>136</v>
      </c>
      <c r="O90" s="0" t="s">
        <v>238</v>
      </c>
      <c r="Q90" s="0" t="s">
        <v>130</v>
      </c>
      <c r="R90" s="0" t="s">
        <v>138</v>
      </c>
      <c r="S90" s="14">
        <v>0</v>
      </c>
      <c r="T90" s="0" t="s">
        <v>387</v>
      </c>
      <c r="U90" s="0" t="s">
        <v>138</v>
      </c>
      <c r="V90" s="14" t="s">
        <v>138</v>
      </c>
      <c r="W90" s="0" t="s">
        <v>138</v>
      </c>
      <c r="X90" s="14" t="s">
        <v>138</v>
      </c>
      <c r="Y90" s="0" t="s">
        <v>138</v>
      </c>
      <c r="Z90" s="14" t="s">
        <v>138</v>
      </c>
      <c r="AA90" s="0" t="s">
        <v>138</v>
      </c>
      <c r="AB90" s="14" t="s">
        <v>138</v>
      </c>
      <c r="AD90" s="0" t="s">
        <v>138</v>
      </c>
      <c r="AF90" s="0">
        <v>0</v>
      </c>
      <c r="AG90" s="0">
        <v>0</v>
      </c>
      <c r="AH90" s="0" t="s">
        <v>140</v>
      </c>
      <c r="AI90" s="0" t="s">
        <v>138</v>
      </c>
      <c r="AL90" s="14"/>
      <c r="AN90" s="14"/>
      <c r="AQ90" s="0" t="s">
        <v>130</v>
      </c>
      <c r="AR90" s="0" t="s">
        <v>130</v>
      </c>
      <c r="AS90" s="0" t="s">
        <v>130</v>
      </c>
      <c r="AT90" s="0" t="s">
        <v>130</v>
      </c>
      <c r="AU90" s="0" t="s">
        <v>130</v>
      </c>
      <c r="AV90" s="0" t="s">
        <v>130</v>
      </c>
      <c r="AW90" s="0" t="s">
        <v>130</v>
      </c>
      <c r="AX90" s="0" t="s">
        <v>130</v>
      </c>
      <c r="AY90" s="0" t="s">
        <v>130</v>
      </c>
      <c r="AZ90" s="0" t="s">
        <v>130</v>
      </c>
      <c r="BA90" s="0" t="s">
        <v>130</v>
      </c>
      <c r="BB90" s="0" t="s">
        <v>130</v>
      </c>
      <c r="BC90" s="0" t="s">
        <v>130</v>
      </c>
      <c r="BD90" s="0" t="s">
        <v>130</v>
      </c>
      <c r="BE90" s="0" t="s">
        <v>130</v>
      </c>
      <c r="BF90" s="0" t="s">
        <v>130</v>
      </c>
      <c r="BG90" s="0" t="s">
        <v>130</v>
      </c>
      <c r="BH90" s="0" t="s">
        <v>130</v>
      </c>
      <c r="BI90" s="0" t="s">
        <v>130</v>
      </c>
      <c r="BJ90" s="0" t="s">
        <v>130</v>
      </c>
      <c r="BK90" s="0" t="s">
        <v>130</v>
      </c>
      <c r="BL90" s="0" t="s">
        <v>130</v>
      </c>
      <c r="BM90" s="0" t="s">
        <v>130</v>
      </c>
      <c r="BN90" s="0" t="s">
        <v>130</v>
      </c>
      <c r="BO90" s="0" t="s">
        <v>130</v>
      </c>
      <c r="BP90" s="0" t="s">
        <v>130</v>
      </c>
      <c r="BQ90" s="0" t="s">
        <v>130</v>
      </c>
      <c r="BR90" s="0" t="s">
        <v>130</v>
      </c>
      <c r="BS90" s="0" t="s">
        <v>130</v>
      </c>
      <c r="BT90" s="0" t="s">
        <v>130</v>
      </c>
      <c r="BU90" s="0" t="s">
        <v>130</v>
      </c>
      <c r="BV90" s="0" t="s">
        <v>130</v>
      </c>
      <c r="BW90" s="0" t="s">
        <v>130</v>
      </c>
      <c r="BX90" s="0" t="s">
        <v>130</v>
      </c>
      <c r="BY90" s="0" t="s">
        <v>130</v>
      </c>
      <c r="BZ90" s="0" t="s">
        <v>130</v>
      </c>
      <c r="CA90" s="0" t="s">
        <v>130</v>
      </c>
      <c r="CB90" s="0" t="s">
        <v>130</v>
      </c>
      <c r="CC90" s="0" t="s">
        <v>130</v>
      </c>
      <c r="CD90" s="0" t="s">
        <v>130</v>
      </c>
      <c r="CE90" s="0" t="s">
        <v>130</v>
      </c>
      <c r="CF90" s="0" t="s">
        <v>130</v>
      </c>
      <c r="CG90" s="0" t="s">
        <v>130</v>
      </c>
      <c r="CH90" s="0" t="s">
        <v>130</v>
      </c>
      <c r="CI90" s="0" t="s">
        <v>130</v>
      </c>
      <c r="CJ90" s="0" t="s">
        <v>130</v>
      </c>
      <c r="CK90" s="0" t="s">
        <v>130</v>
      </c>
      <c r="CL90" s="0" t="s">
        <v>130</v>
      </c>
      <c r="CM90" s="0" t="s">
        <v>130</v>
      </c>
      <c r="CN90" s="0" t="s">
        <v>130</v>
      </c>
      <c r="CO90" s="0" t="s">
        <v>130</v>
      </c>
      <c r="CP90" s="0" t="s">
        <v>130</v>
      </c>
      <c r="CQ90" s="0" t="s">
        <v>130</v>
      </c>
      <c r="CR90" s="0" t="s">
        <v>130</v>
      </c>
      <c r="CS90" s="0" t="s">
        <v>130</v>
      </c>
      <c r="CT90" s="0" t="s">
        <v>510</v>
      </c>
    </row>
    <row r="91">
      <c r="A91" s="14">
        <v>100312</v>
      </c>
      <c r="B91" s="0" t="s">
        <v>476</v>
      </c>
      <c r="C91" s="16">
        <f>HYPERLINK("https://eosportal.federatedhermes.com/companies/Q29tcGFueQppNTg5OTQ=", "JPMorgan Chase &amp; Co")</f>
      </c>
      <c r="D91" s="0" t="s">
        <v>25</v>
      </c>
      <c r="E91" s="0" t="s">
        <v>511</v>
      </c>
      <c r="F91" s="16">
        <f>HYPERLINK("https://eosportal.federatedhermes.com/engagements/RW5nYWdlbWVudAppMTg2MjM=", "Impact of forthcoming regulation on strategy")</f>
      </c>
      <c r="G91" s="14" t="s">
        <v>512</v>
      </c>
      <c r="H91" s="0" t="s">
        <v>141</v>
      </c>
      <c r="I91" s="14" t="s">
        <v>191</v>
      </c>
      <c r="J91" s="0" t="s">
        <v>132</v>
      </c>
      <c r="K91" s="0" t="s">
        <v>260</v>
      </c>
      <c r="L91" s="0" t="s">
        <v>261</v>
      </c>
      <c r="M91" s="0" t="s">
        <v>135</v>
      </c>
      <c r="N91" s="0" t="s">
        <v>136</v>
      </c>
      <c r="O91" s="0" t="s">
        <v>238</v>
      </c>
      <c r="Q91" s="0" t="s">
        <v>130</v>
      </c>
      <c r="R91" s="0" t="s">
        <v>138</v>
      </c>
      <c r="S91" s="14">
        <v>0</v>
      </c>
      <c r="T91" s="0" t="s">
        <v>380</v>
      </c>
      <c r="U91" s="0" t="s">
        <v>138</v>
      </c>
      <c r="V91" s="14" t="s">
        <v>138</v>
      </c>
      <c r="W91" s="0" t="s">
        <v>138</v>
      </c>
      <c r="X91" s="14" t="s">
        <v>138</v>
      </c>
      <c r="Y91" s="0" t="s">
        <v>138</v>
      </c>
      <c r="Z91" s="14" t="s">
        <v>138</v>
      </c>
      <c r="AA91" s="0" t="s">
        <v>138</v>
      </c>
      <c r="AB91" s="14" t="s">
        <v>138</v>
      </c>
      <c r="AD91" s="0" t="s">
        <v>138</v>
      </c>
      <c r="AF91" s="0">
        <v>0</v>
      </c>
      <c r="AG91" s="0">
        <v>0</v>
      </c>
      <c r="AH91" s="0" t="s">
        <v>140</v>
      </c>
      <c r="AI91" s="0" t="s">
        <v>138</v>
      </c>
      <c r="AL91" s="14"/>
      <c r="AN91" s="14"/>
      <c r="AQ91" s="0" t="s">
        <v>130</v>
      </c>
      <c r="AR91" s="0" t="s">
        <v>130</v>
      </c>
      <c r="AS91" s="0" t="s">
        <v>130</v>
      </c>
      <c r="AT91" s="0" t="s">
        <v>130</v>
      </c>
      <c r="AU91" s="0" t="s">
        <v>130</v>
      </c>
      <c r="AV91" s="0" t="s">
        <v>130</v>
      </c>
      <c r="AW91" s="0" t="s">
        <v>130</v>
      </c>
      <c r="AX91" s="0" t="s">
        <v>130</v>
      </c>
      <c r="AY91" s="0" t="s">
        <v>130</v>
      </c>
      <c r="AZ91" s="0" t="s">
        <v>130</v>
      </c>
      <c r="BA91" s="0" t="s">
        <v>130</v>
      </c>
      <c r="BB91" s="0" t="s">
        <v>130</v>
      </c>
      <c r="BC91" s="0" t="s">
        <v>130</v>
      </c>
      <c r="BD91" s="0" t="s">
        <v>130</v>
      </c>
      <c r="BE91" s="0" t="s">
        <v>130</v>
      </c>
      <c r="BF91" s="0" t="s">
        <v>130</v>
      </c>
      <c r="BG91" s="0" t="s">
        <v>130</v>
      </c>
      <c r="BH91" s="0" t="s">
        <v>130</v>
      </c>
      <c r="BI91" s="0" t="s">
        <v>130</v>
      </c>
      <c r="BJ91" s="0" t="s">
        <v>130</v>
      </c>
      <c r="BK91" s="0" t="s">
        <v>130</v>
      </c>
      <c r="BL91" s="0" t="s">
        <v>130</v>
      </c>
      <c r="BM91" s="0" t="s">
        <v>130</v>
      </c>
      <c r="BN91" s="0" t="s">
        <v>130</v>
      </c>
      <c r="BO91" s="0" t="s">
        <v>130</v>
      </c>
      <c r="BP91" s="0" t="s">
        <v>130</v>
      </c>
      <c r="BQ91" s="0" t="s">
        <v>130</v>
      </c>
      <c r="BR91" s="0" t="s">
        <v>130</v>
      </c>
      <c r="BS91" s="0" t="s">
        <v>130</v>
      </c>
      <c r="BT91" s="0" t="s">
        <v>130</v>
      </c>
      <c r="BU91" s="0" t="s">
        <v>130</v>
      </c>
      <c r="BV91" s="0" t="s">
        <v>130</v>
      </c>
      <c r="BW91" s="0" t="s">
        <v>130</v>
      </c>
      <c r="BX91" s="0" t="s">
        <v>130</v>
      </c>
      <c r="BY91" s="0" t="s">
        <v>130</v>
      </c>
      <c r="BZ91" s="0" t="s">
        <v>130</v>
      </c>
      <c r="CA91" s="0" t="s">
        <v>130</v>
      </c>
      <c r="CB91" s="0" t="s">
        <v>130</v>
      </c>
      <c r="CC91" s="0" t="s">
        <v>130</v>
      </c>
      <c r="CD91" s="0" t="s">
        <v>130</v>
      </c>
      <c r="CE91" s="0" t="s">
        <v>130</v>
      </c>
      <c r="CF91" s="0" t="s">
        <v>130</v>
      </c>
      <c r="CG91" s="0" t="s">
        <v>130</v>
      </c>
      <c r="CH91" s="0" t="s">
        <v>130</v>
      </c>
      <c r="CI91" s="0" t="s">
        <v>130</v>
      </c>
      <c r="CJ91" s="0" t="s">
        <v>130</v>
      </c>
      <c r="CK91" s="0" t="s">
        <v>130</v>
      </c>
      <c r="CL91" s="0" t="s">
        <v>130</v>
      </c>
      <c r="CM91" s="0" t="s">
        <v>130</v>
      </c>
      <c r="CN91" s="0" t="s">
        <v>130</v>
      </c>
      <c r="CO91" s="0" t="s">
        <v>130</v>
      </c>
      <c r="CP91" s="0" t="s">
        <v>130</v>
      </c>
      <c r="CQ91" s="0" t="s">
        <v>130</v>
      </c>
      <c r="CR91" s="0" t="s">
        <v>130</v>
      </c>
      <c r="CS91" s="0" t="s">
        <v>130</v>
      </c>
      <c r="CT91" s="0" t="s">
        <v>513</v>
      </c>
    </row>
    <row r="92">
      <c r="A92" s="14">
        <v>100312</v>
      </c>
      <c r="B92" s="0" t="s">
        <v>476</v>
      </c>
      <c r="C92" s="16">
        <f>HYPERLINK("https://eosportal.federatedhermes.com/companies/Q29tcGFueQppNTg5OTQ=", "JPMorgan Chase &amp; Co")</f>
      </c>
      <c r="D92" s="0" t="s">
        <v>25</v>
      </c>
      <c r="E92" s="0" t="s">
        <v>514</v>
      </c>
      <c r="F92" s="16">
        <f>HYPERLINK("https://eosportal.federatedhermes.com/engagements/RW5nYWdlbWVudAppMTg2MjQ=", "Racial inequities impact on interest rates")</f>
      </c>
      <c r="G92" s="14" t="s">
        <v>515</v>
      </c>
      <c r="H92" s="0" t="s">
        <v>141</v>
      </c>
      <c r="I92" s="14" t="s">
        <v>191</v>
      </c>
      <c r="J92" s="0" t="s">
        <v>132</v>
      </c>
      <c r="K92" s="0" t="s">
        <v>260</v>
      </c>
      <c r="L92" s="0" t="s">
        <v>261</v>
      </c>
      <c r="M92" s="0" t="s">
        <v>135</v>
      </c>
      <c r="N92" s="0" t="s">
        <v>136</v>
      </c>
      <c r="O92" s="0" t="s">
        <v>238</v>
      </c>
      <c r="Q92" s="0" t="s">
        <v>130</v>
      </c>
      <c r="R92" s="0" t="s">
        <v>138</v>
      </c>
      <c r="S92" s="14">
        <v>0</v>
      </c>
      <c r="T92" s="0" t="s">
        <v>206</v>
      </c>
      <c r="U92" s="0" t="s">
        <v>138</v>
      </c>
      <c r="V92" s="14" t="s">
        <v>138</v>
      </c>
      <c r="W92" s="0" t="s">
        <v>138</v>
      </c>
      <c r="X92" s="14" t="s">
        <v>138</v>
      </c>
      <c r="Y92" s="0" t="s">
        <v>138</v>
      </c>
      <c r="Z92" s="14" t="s">
        <v>138</v>
      </c>
      <c r="AA92" s="0" t="s">
        <v>138</v>
      </c>
      <c r="AB92" s="14" t="s">
        <v>138</v>
      </c>
      <c r="AD92" s="0" t="s">
        <v>138</v>
      </c>
      <c r="AF92" s="0">
        <v>0</v>
      </c>
      <c r="AG92" s="0">
        <v>0</v>
      </c>
      <c r="AH92" s="0" t="s">
        <v>140</v>
      </c>
      <c r="AI92" s="0" t="s">
        <v>138</v>
      </c>
      <c r="AL92" s="14"/>
      <c r="AN92" s="14"/>
      <c r="AQ92" s="0" t="s">
        <v>130</v>
      </c>
      <c r="AR92" s="0" t="s">
        <v>130</v>
      </c>
      <c r="AS92" s="0" t="s">
        <v>130</v>
      </c>
      <c r="AT92" s="0" t="s">
        <v>130</v>
      </c>
      <c r="AU92" s="0" t="s">
        <v>130</v>
      </c>
      <c r="AV92" s="0" t="s">
        <v>130</v>
      </c>
      <c r="AW92" s="0" t="s">
        <v>130</v>
      </c>
      <c r="AX92" s="0" t="s">
        <v>130</v>
      </c>
      <c r="AY92" s="0" t="s">
        <v>130</v>
      </c>
      <c r="AZ92" s="0" t="s">
        <v>130</v>
      </c>
      <c r="BA92" s="0" t="s">
        <v>130</v>
      </c>
      <c r="BB92" s="0" t="s">
        <v>130</v>
      </c>
      <c r="BC92" s="0" t="s">
        <v>130</v>
      </c>
      <c r="BD92" s="0" t="s">
        <v>130</v>
      </c>
      <c r="BE92" s="0" t="s">
        <v>130</v>
      </c>
      <c r="BF92" s="0" t="s">
        <v>130</v>
      </c>
      <c r="BG92" s="0" t="s">
        <v>130</v>
      </c>
      <c r="BH92" s="0" t="s">
        <v>130</v>
      </c>
      <c r="BI92" s="0" t="s">
        <v>130</v>
      </c>
      <c r="BJ92" s="0" t="s">
        <v>130</v>
      </c>
      <c r="BK92" s="0" t="s">
        <v>130</v>
      </c>
      <c r="BL92" s="0" t="s">
        <v>130</v>
      </c>
      <c r="BM92" s="0" t="s">
        <v>130</v>
      </c>
      <c r="BN92" s="0" t="s">
        <v>130</v>
      </c>
      <c r="BO92" s="0" t="s">
        <v>130</v>
      </c>
      <c r="BP92" s="0" t="s">
        <v>130</v>
      </c>
      <c r="BQ92" s="0" t="s">
        <v>130</v>
      </c>
      <c r="BR92" s="0" t="s">
        <v>130</v>
      </c>
      <c r="BS92" s="0" t="s">
        <v>130</v>
      </c>
      <c r="BT92" s="0" t="s">
        <v>130</v>
      </c>
      <c r="BU92" s="0" t="s">
        <v>130</v>
      </c>
      <c r="BV92" s="0" t="s">
        <v>130</v>
      </c>
      <c r="BW92" s="0" t="s">
        <v>130</v>
      </c>
      <c r="BX92" s="0" t="s">
        <v>130</v>
      </c>
      <c r="BY92" s="0" t="s">
        <v>130</v>
      </c>
      <c r="BZ92" s="0" t="s">
        <v>130</v>
      </c>
      <c r="CA92" s="0" t="s">
        <v>130</v>
      </c>
      <c r="CB92" s="0" t="s">
        <v>130</v>
      </c>
      <c r="CC92" s="0" t="s">
        <v>130</v>
      </c>
      <c r="CD92" s="0" t="s">
        <v>130</v>
      </c>
      <c r="CE92" s="0" t="s">
        <v>130</v>
      </c>
      <c r="CF92" s="0" t="s">
        <v>130</v>
      </c>
      <c r="CG92" s="0" t="s">
        <v>130</v>
      </c>
      <c r="CH92" s="0" t="s">
        <v>130</v>
      </c>
      <c r="CI92" s="0" t="s">
        <v>130</v>
      </c>
      <c r="CJ92" s="0" t="s">
        <v>130</v>
      </c>
      <c r="CK92" s="0" t="s">
        <v>130</v>
      </c>
      <c r="CL92" s="0" t="s">
        <v>130</v>
      </c>
      <c r="CM92" s="0" t="s">
        <v>130</v>
      </c>
      <c r="CN92" s="0" t="s">
        <v>130</v>
      </c>
      <c r="CO92" s="0" t="s">
        <v>130</v>
      </c>
      <c r="CP92" s="0" t="s">
        <v>130</v>
      </c>
      <c r="CQ92" s="0" t="s">
        <v>130</v>
      </c>
      <c r="CR92" s="0" t="s">
        <v>130</v>
      </c>
      <c r="CS92" s="0" t="s">
        <v>130</v>
      </c>
      <c r="CT92" s="0" t="s">
        <v>516</v>
      </c>
    </row>
    <row r="93">
      <c r="A93" s="14">
        <v>100312</v>
      </c>
      <c r="B93" s="0" t="s">
        <v>476</v>
      </c>
      <c r="C93" s="16">
        <f>HYPERLINK("https://eosportal.federatedhermes.com/companies/Q29tcGFueQppNTg5OTQ=", "JPMorgan Chase &amp; Co")</f>
      </c>
      <c r="D93" s="0" t="s">
        <v>25</v>
      </c>
      <c r="E93" s="0" t="s">
        <v>517</v>
      </c>
      <c r="F93" s="16">
        <f>HYPERLINK("https://eosportal.federatedhermes.com/engagements/RW5nYWdlbWVudAppMTg2MjU=", "Corporate governance conduct and regulatory fines")</f>
      </c>
      <c r="G93" s="14" t="s">
        <v>518</v>
      </c>
      <c r="H93" s="0" t="s">
        <v>141</v>
      </c>
      <c r="I93" s="14" t="s">
        <v>191</v>
      </c>
      <c r="J93" s="0" t="s">
        <v>132</v>
      </c>
      <c r="K93" s="0" t="s">
        <v>260</v>
      </c>
      <c r="L93" s="0" t="s">
        <v>261</v>
      </c>
      <c r="M93" s="0" t="s">
        <v>135</v>
      </c>
      <c r="N93" s="0" t="s">
        <v>136</v>
      </c>
      <c r="O93" s="0" t="s">
        <v>238</v>
      </c>
      <c r="Q93" s="0" t="s">
        <v>130</v>
      </c>
      <c r="R93" s="0" t="s">
        <v>138</v>
      </c>
      <c r="S93" s="14">
        <v>0</v>
      </c>
      <c r="T93" s="0" t="s">
        <v>139</v>
      </c>
      <c r="U93" s="0" t="s">
        <v>138</v>
      </c>
      <c r="V93" s="14" t="s">
        <v>138</v>
      </c>
      <c r="W93" s="0" t="s">
        <v>138</v>
      </c>
      <c r="X93" s="14" t="s">
        <v>138</v>
      </c>
      <c r="Y93" s="0" t="s">
        <v>138</v>
      </c>
      <c r="Z93" s="14" t="s">
        <v>138</v>
      </c>
      <c r="AA93" s="0" t="s">
        <v>138</v>
      </c>
      <c r="AB93" s="14" t="s">
        <v>138</v>
      </c>
      <c r="AD93" s="0" t="s">
        <v>138</v>
      </c>
      <c r="AF93" s="0">
        <v>0</v>
      </c>
      <c r="AG93" s="0">
        <v>0</v>
      </c>
      <c r="AH93" s="0" t="s">
        <v>140</v>
      </c>
      <c r="AI93" s="0" t="s">
        <v>138</v>
      </c>
      <c r="AL93" s="14"/>
      <c r="AN93" s="14"/>
      <c r="AQ93" s="0" t="s">
        <v>130</v>
      </c>
      <c r="AR93" s="0" t="s">
        <v>130</v>
      </c>
      <c r="AS93" s="0" t="s">
        <v>130</v>
      </c>
      <c r="AT93" s="0" t="s">
        <v>130</v>
      </c>
      <c r="AU93" s="0" t="s">
        <v>130</v>
      </c>
      <c r="AV93" s="0" t="s">
        <v>130</v>
      </c>
      <c r="AW93" s="0" t="s">
        <v>130</v>
      </c>
      <c r="AX93" s="0" t="s">
        <v>130</v>
      </c>
      <c r="AY93" s="0" t="s">
        <v>130</v>
      </c>
      <c r="AZ93" s="0" t="s">
        <v>130</v>
      </c>
      <c r="BA93" s="0" t="s">
        <v>130</v>
      </c>
      <c r="BB93" s="0" t="s">
        <v>130</v>
      </c>
      <c r="BC93" s="0" t="s">
        <v>130</v>
      </c>
      <c r="BD93" s="0" t="s">
        <v>130</v>
      </c>
      <c r="BE93" s="0" t="s">
        <v>130</v>
      </c>
      <c r="BF93" s="0" t="s">
        <v>130</v>
      </c>
      <c r="BG93" s="0" t="s">
        <v>130</v>
      </c>
      <c r="BH93" s="0" t="s">
        <v>130</v>
      </c>
      <c r="BI93" s="0" t="s">
        <v>130</v>
      </c>
      <c r="BJ93" s="0" t="s">
        <v>130</v>
      </c>
      <c r="BK93" s="0" t="s">
        <v>130</v>
      </c>
      <c r="BL93" s="0" t="s">
        <v>130</v>
      </c>
      <c r="BM93" s="0" t="s">
        <v>130</v>
      </c>
      <c r="BN93" s="0" t="s">
        <v>130</v>
      </c>
      <c r="BO93" s="0" t="s">
        <v>130</v>
      </c>
      <c r="BP93" s="0" t="s">
        <v>130</v>
      </c>
      <c r="BQ93" s="0" t="s">
        <v>130</v>
      </c>
      <c r="BR93" s="0" t="s">
        <v>130</v>
      </c>
      <c r="BS93" s="0" t="s">
        <v>130</v>
      </c>
      <c r="BT93" s="0" t="s">
        <v>130</v>
      </c>
      <c r="BU93" s="0" t="s">
        <v>130</v>
      </c>
      <c r="BV93" s="0" t="s">
        <v>130</v>
      </c>
      <c r="BW93" s="0" t="s">
        <v>130</v>
      </c>
      <c r="BX93" s="0" t="s">
        <v>130</v>
      </c>
      <c r="BY93" s="0" t="s">
        <v>130</v>
      </c>
      <c r="BZ93" s="0" t="s">
        <v>130</v>
      </c>
      <c r="CA93" s="0" t="s">
        <v>130</v>
      </c>
      <c r="CB93" s="0" t="s">
        <v>130</v>
      </c>
      <c r="CC93" s="0" t="s">
        <v>130</v>
      </c>
      <c r="CD93" s="0" t="s">
        <v>130</v>
      </c>
      <c r="CE93" s="0" t="s">
        <v>130</v>
      </c>
      <c r="CF93" s="0" t="s">
        <v>130</v>
      </c>
      <c r="CG93" s="0" t="s">
        <v>130</v>
      </c>
      <c r="CH93" s="0" t="s">
        <v>130</v>
      </c>
      <c r="CI93" s="0" t="s">
        <v>130</v>
      </c>
      <c r="CJ93" s="0" t="s">
        <v>130</v>
      </c>
      <c r="CK93" s="0" t="s">
        <v>130</v>
      </c>
      <c r="CL93" s="0" t="s">
        <v>130</v>
      </c>
      <c r="CM93" s="0" t="s">
        <v>130</v>
      </c>
      <c r="CN93" s="0" t="s">
        <v>130</v>
      </c>
      <c r="CO93" s="0" t="s">
        <v>130</v>
      </c>
      <c r="CP93" s="0" t="s">
        <v>130</v>
      </c>
      <c r="CQ93" s="0" t="s">
        <v>130</v>
      </c>
      <c r="CR93" s="0" t="s">
        <v>130</v>
      </c>
      <c r="CS93" s="0" t="s">
        <v>130</v>
      </c>
      <c r="CT93" s="0" t="s">
        <v>519</v>
      </c>
    </row>
    <row r="94">
      <c r="A94" s="14">
        <v>100312</v>
      </c>
      <c r="B94" s="0" t="s">
        <v>476</v>
      </c>
      <c r="C94" s="16">
        <f>HYPERLINK("https://eosportal.federatedhermes.com/companies/Q29tcGFueQppNTg5OTQ=", "JPMorgan Chase &amp; Co")</f>
      </c>
      <c r="D94" s="0" t="s">
        <v>25</v>
      </c>
      <c r="E94" s="0" t="s">
        <v>520</v>
      </c>
      <c r="F94" s="16">
        <f>HYPERLINK("https://eosportal.federatedhermes.com/engagements/RW5nYWdlbWVudAppMTg2MjY=", "Disclosure of the parent and subsidiary board member identities")</f>
      </c>
      <c r="G94" s="14" t="s">
        <v>521</v>
      </c>
      <c r="H94" s="0" t="s">
        <v>141</v>
      </c>
      <c r="I94" s="14" t="s">
        <v>191</v>
      </c>
      <c r="J94" s="0" t="s">
        <v>145</v>
      </c>
      <c r="K94" s="0" t="s">
        <v>164</v>
      </c>
      <c r="L94" s="0" t="s">
        <v>165</v>
      </c>
      <c r="M94" s="0" t="s">
        <v>135</v>
      </c>
      <c r="N94" s="0" t="s">
        <v>136</v>
      </c>
      <c r="O94" s="0" t="s">
        <v>238</v>
      </c>
      <c r="Q94" s="0" t="s">
        <v>130</v>
      </c>
      <c r="R94" s="0" t="s">
        <v>138</v>
      </c>
      <c r="S94" s="14">
        <v>0</v>
      </c>
      <c r="T94" s="0" t="s">
        <v>487</v>
      </c>
      <c r="U94" s="0" t="s">
        <v>138</v>
      </c>
      <c r="V94" s="14" t="s">
        <v>138</v>
      </c>
      <c r="W94" s="0" t="s">
        <v>138</v>
      </c>
      <c r="X94" s="14" t="s">
        <v>138</v>
      </c>
      <c r="Y94" s="0" t="s">
        <v>138</v>
      </c>
      <c r="Z94" s="14" t="s">
        <v>138</v>
      </c>
      <c r="AA94" s="0" t="s">
        <v>138</v>
      </c>
      <c r="AB94" s="14" t="s">
        <v>138</v>
      </c>
      <c r="AD94" s="0" t="s">
        <v>138</v>
      </c>
      <c r="AF94" s="0">
        <v>0</v>
      </c>
      <c r="AG94" s="0">
        <v>0</v>
      </c>
      <c r="AH94" s="0" t="s">
        <v>140</v>
      </c>
      <c r="AI94" s="0" t="s">
        <v>138</v>
      </c>
      <c r="AL94" s="14"/>
      <c r="AN94" s="14"/>
      <c r="AQ94" s="0" t="s">
        <v>130</v>
      </c>
      <c r="AR94" s="0" t="s">
        <v>130</v>
      </c>
      <c r="AS94" s="0" t="s">
        <v>130</v>
      </c>
      <c r="AT94" s="0" t="s">
        <v>130</v>
      </c>
      <c r="AU94" s="0" t="s">
        <v>130</v>
      </c>
      <c r="AV94" s="0" t="s">
        <v>130</v>
      </c>
      <c r="AW94" s="0" t="s">
        <v>130</v>
      </c>
      <c r="AX94" s="0" t="s">
        <v>130</v>
      </c>
      <c r="AY94" s="0" t="s">
        <v>130</v>
      </c>
      <c r="AZ94" s="0" t="s">
        <v>130</v>
      </c>
      <c r="BA94" s="0" t="s">
        <v>130</v>
      </c>
      <c r="BB94" s="0" t="s">
        <v>130</v>
      </c>
      <c r="BC94" s="0" t="s">
        <v>130</v>
      </c>
      <c r="BD94" s="0" t="s">
        <v>130</v>
      </c>
      <c r="BE94" s="0" t="s">
        <v>130</v>
      </c>
      <c r="BF94" s="0" t="s">
        <v>130</v>
      </c>
      <c r="BG94" s="0" t="s">
        <v>130</v>
      </c>
      <c r="BH94" s="0" t="s">
        <v>130</v>
      </c>
      <c r="BI94" s="0" t="s">
        <v>130</v>
      </c>
      <c r="BJ94" s="0" t="s">
        <v>130</v>
      </c>
      <c r="BK94" s="0" t="s">
        <v>130</v>
      </c>
      <c r="BL94" s="0" t="s">
        <v>130</v>
      </c>
      <c r="BM94" s="0" t="s">
        <v>130</v>
      </c>
      <c r="BN94" s="0" t="s">
        <v>130</v>
      </c>
      <c r="BO94" s="0" t="s">
        <v>130</v>
      </c>
      <c r="BP94" s="0" t="s">
        <v>130</v>
      </c>
      <c r="BQ94" s="0" t="s">
        <v>130</v>
      </c>
      <c r="BR94" s="0" t="s">
        <v>130</v>
      </c>
      <c r="BS94" s="0" t="s">
        <v>130</v>
      </c>
      <c r="BT94" s="0" t="s">
        <v>130</v>
      </c>
      <c r="BU94" s="0" t="s">
        <v>130</v>
      </c>
      <c r="BV94" s="0" t="s">
        <v>130</v>
      </c>
      <c r="BW94" s="0" t="s">
        <v>130</v>
      </c>
      <c r="BX94" s="0" t="s">
        <v>130</v>
      </c>
      <c r="BY94" s="0" t="s">
        <v>130</v>
      </c>
      <c r="BZ94" s="0" t="s">
        <v>130</v>
      </c>
      <c r="CA94" s="0" t="s">
        <v>130</v>
      </c>
      <c r="CB94" s="0" t="s">
        <v>130</v>
      </c>
      <c r="CC94" s="0" t="s">
        <v>130</v>
      </c>
      <c r="CD94" s="0" t="s">
        <v>130</v>
      </c>
      <c r="CE94" s="0" t="s">
        <v>130</v>
      </c>
      <c r="CF94" s="0" t="s">
        <v>130</v>
      </c>
      <c r="CG94" s="0" t="s">
        <v>130</v>
      </c>
      <c r="CH94" s="0" t="s">
        <v>130</v>
      </c>
      <c r="CI94" s="0" t="s">
        <v>130</v>
      </c>
      <c r="CJ94" s="0" t="s">
        <v>130</v>
      </c>
      <c r="CK94" s="0" t="s">
        <v>130</v>
      </c>
      <c r="CL94" s="0" t="s">
        <v>130</v>
      </c>
      <c r="CM94" s="0" t="s">
        <v>130</v>
      </c>
      <c r="CN94" s="0" t="s">
        <v>130</v>
      </c>
      <c r="CO94" s="0" t="s">
        <v>130</v>
      </c>
      <c r="CP94" s="0" t="s">
        <v>130</v>
      </c>
      <c r="CQ94" s="0" t="s">
        <v>130</v>
      </c>
      <c r="CR94" s="0" t="s">
        <v>130</v>
      </c>
      <c r="CS94" s="0" t="s">
        <v>130</v>
      </c>
      <c r="CT94" s="0" t="s">
        <v>522</v>
      </c>
    </row>
    <row r="95">
      <c r="A95" s="14">
        <v>100312</v>
      </c>
      <c r="B95" s="0" t="s">
        <v>476</v>
      </c>
      <c r="C95" s="16">
        <f>HYPERLINK("https://eosportal.federatedhermes.com/companies/Q29tcGFueQppNTg5OTQ=", "JPMorgan Chase &amp; Co")</f>
      </c>
      <c r="D95" s="0" t="s">
        <v>25</v>
      </c>
      <c r="E95" s="0" t="s">
        <v>523</v>
      </c>
      <c r="F95" s="16">
        <f>HYPERLINK("https://eosportal.federatedhermes.com/engagements/RW5nYWdlbWVudAppMTg2Mjc=", "Share Buyback Programme")</f>
      </c>
      <c r="G95" s="14" t="s">
        <v>524</v>
      </c>
      <c r="H95" s="0" t="s">
        <v>141</v>
      </c>
      <c r="I95" s="14" t="s">
        <v>191</v>
      </c>
      <c r="J95" s="0" t="s">
        <v>132</v>
      </c>
      <c r="K95" s="0" t="s">
        <v>170</v>
      </c>
      <c r="L95" s="0" t="s">
        <v>310</v>
      </c>
      <c r="M95" s="0" t="s">
        <v>135</v>
      </c>
      <c r="N95" s="0" t="s">
        <v>136</v>
      </c>
      <c r="O95" s="0" t="s">
        <v>238</v>
      </c>
      <c r="Q95" s="0" t="s">
        <v>130</v>
      </c>
      <c r="R95" s="0" t="s">
        <v>138</v>
      </c>
      <c r="S95" s="14">
        <v>0</v>
      </c>
      <c r="T95" s="0" t="s">
        <v>166</v>
      </c>
      <c r="U95" s="0" t="s">
        <v>138</v>
      </c>
      <c r="V95" s="14" t="s">
        <v>138</v>
      </c>
      <c r="W95" s="0" t="s">
        <v>138</v>
      </c>
      <c r="X95" s="14" t="s">
        <v>138</v>
      </c>
      <c r="Y95" s="0" t="s">
        <v>138</v>
      </c>
      <c r="Z95" s="14" t="s">
        <v>138</v>
      </c>
      <c r="AA95" s="0" t="s">
        <v>138</v>
      </c>
      <c r="AB95" s="14" t="s">
        <v>138</v>
      </c>
      <c r="AD95" s="0" t="s">
        <v>138</v>
      </c>
      <c r="AF95" s="0">
        <v>0</v>
      </c>
      <c r="AG95" s="0">
        <v>0</v>
      </c>
      <c r="AH95" s="0" t="s">
        <v>140</v>
      </c>
      <c r="AI95" s="0" t="s">
        <v>138</v>
      </c>
      <c r="AL95" s="14"/>
      <c r="AN95" s="14"/>
      <c r="AQ95" s="0" t="s">
        <v>130</v>
      </c>
      <c r="AR95" s="0" t="s">
        <v>130</v>
      </c>
      <c r="AS95" s="0" t="s">
        <v>130</v>
      </c>
      <c r="AT95" s="0" t="s">
        <v>130</v>
      </c>
      <c r="AU95" s="0" t="s">
        <v>130</v>
      </c>
      <c r="AV95" s="0" t="s">
        <v>130</v>
      </c>
      <c r="AW95" s="0" t="s">
        <v>130</v>
      </c>
      <c r="AX95" s="0" t="s">
        <v>130</v>
      </c>
      <c r="AY95" s="0" t="s">
        <v>130</v>
      </c>
      <c r="AZ95" s="0" t="s">
        <v>130</v>
      </c>
      <c r="BA95" s="0" t="s">
        <v>130</v>
      </c>
      <c r="BB95" s="0" t="s">
        <v>130</v>
      </c>
      <c r="BC95" s="0" t="s">
        <v>130</v>
      </c>
      <c r="BD95" s="0" t="s">
        <v>130</v>
      </c>
      <c r="BE95" s="0" t="s">
        <v>130</v>
      </c>
      <c r="BF95" s="0" t="s">
        <v>130</v>
      </c>
      <c r="BG95" s="0" t="s">
        <v>130</v>
      </c>
      <c r="BH95" s="0" t="s">
        <v>130</v>
      </c>
      <c r="BI95" s="0" t="s">
        <v>130</v>
      </c>
      <c r="BJ95" s="0" t="s">
        <v>130</v>
      </c>
      <c r="BK95" s="0" t="s">
        <v>130</v>
      </c>
      <c r="BL95" s="0" t="s">
        <v>130</v>
      </c>
      <c r="BM95" s="0" t="s">
        <v>130</v>
      </c>
      <c r="BN95" s="0" t="s">
        <v>130</v>
      </c>
      <c r="BO95" s="0" t="s">
        <v>130</v>
      </c>
      <c r="BP95" s="0" t="s">
        <v>130</v>
      </c>
      <c r="BQ95" s="0" t="s">
        <v>130</v>
      </c>
      <c r="BR95" s="0" t="s">
        <v>130</v>
      </c>
      <c r="BS95" s="0" t="s">
        <v>130</v>
      </c>
      <c r="BT95" s="0" t="s">
        <v>130</v>
      </c>
      <c r="BU95" s="0" t="s">
        <v>130</v>
      </c>
      <c r="BV95" s="0" t="s">
        <v>130</v>
      </c>
      <c r="BW95" s="0" t="s">
        <v>130</v>
      </c>
      <c r="BX95" s="0" t="s">
        <v>130</v>
      </c>
      <c r="BY95" s="0" t="s">
        <v>130</v>
      </c>
      <c r="BZ95" s="0" t="s">
        <v>130</v>
      </c>
      <c r="CA95" s="0" t="s">
        <v>130</v>
      </c>
      <c r="CB95" s="0" t="s">
        <v>130</v>
      </c>
      <c r="CC95" s="0" t="s">
        <v>130</v>
      </c>
      <c r="CD95" s="0" t="s">
        <v>130</v>
      </c>
      <c r="CE95" s="0" t="s">
        <v>130</v>
      </c>
      <c r="CF95" s="0" t="s">
        <v>130</v>
      </c>
      <c r="CG95" s="0" t="s">
        <v>130</v>
      </c>
      <c r="CH95" s="0" t="s">
        <v>130</v>
      </c>
      <c r="CI95" s="0" t="s">
        <v>130</v>
      </c>
      <c r="CJ95" s="0" t="s">
        <v>130</v>
      </c>
      <c r="CK95" s="0" t="s">
        <v>130</v>
      </c>
      <c r="CL95" s="0" t="s">
        <v>130</v>
      </c>
      <c r="CM95" s="0" t="s">
        <v>130</v>
      </c>
      <c r="CN95" s="0" t="s">
        <v>130</v>
      </c>
      <c r="CO95" s="0" t="s">
        <v>130</v>
      </c>
      <c r="CP95" s="0" t="s">
        <v>130</v>
      </c>
      <c r="CQ95" s="0" t="s">
        <v>130</v>
      </c>
      <c r="CR95" s="0" t="s">
        <v>130</v>
      </c>
      <c r="CS95" s="0" t="s">
        <v>130</v>
      </c>
      <c r="CT95" s="0" t="s">
        <v>525</v>
      </c>
    </row>
    <row r="96">
      <c r="A96" s="14">
        <v>100312</v>
      </c>
      <c r="B96" s="0" t="s">
        <v>476</v>
      </c>
      <c r="C96" s="16">
        <f>HYPERLINK("https://eosportal.federatedhermes.com/companies/Q29tcGFueQppNTg5OTQ=", "JPMorgan Chase &amp; Co")</f>
      </c>
      <c r="D96" s="0" t="s">
        <v>25</v>
      </c>
      <c r="E96" s="0" t="s">
        <v>526</v>
      </c>
      <c r="F96" s="16">
        <f>HYPERLINK("https://eosportal.federatedhermes.com/engagements/RW5nYWdlbWVudAppMTg2Mjg=", "Shareholder proposals")</f>
      </c>
      <c r="G96" s="14" t="s">
        <v>527</v>
      </c>
      <c r="H96" s="0" t="s">
        <v>141</v>
      </c>
      <c r="I96" s="14" t="s">
        <v>191</v>
      </c>
      <c r="J96" s="0" t="s">
        <v>145</v>
      </c>
      <c r="K96" s="0" t="s">
        <v>400</v>
      </c>
      <c r="L96" s="0" t="s">
        <v>507</v>
      </c>
      <c r="M96" s="0" t="s">
        <v>135</v>
      </c>
      <c r="N96" s="0" t="s">
        <v>136</v>
      </c>
      <c r="O96" s="0" t="s">
        <v>238</v>
      </c>
      <c r="Q96" s="0" t="s">
        <v>130</v>
      </c>
      <c r="R96" s="0" t="s">
        <v>138</v>
      </c>
      <c r="S96" s="14">
        <v>0</v>
      </c>
      <c r="T96" s="0" t="s">
        <v>239</v>
      </c>
      <c r="U96" s="0" t="s">
        <v>138</v>
      </c>
      <c r="V96" s="14" t="s">
        <v>138</v>
      </c>
      <c r="W96" s="0" t="s">
        <v>138</v>
      </c>
      <c r="X96" s="14" t="s">
        <v>138</v>
      </c>
      <c r="Y96" s="0" t="s">
        <v>138</v>
      </c>
      <c r="Z96" s="14" t="s">
        <v>138</v>
      </c>
      <c r="AA96" s="0" t="s">
        <v>138</v>
      </c>
      <c r="AB96" s="14" t="s">
        <v>138</v>
      </c>
      <c r="AD96" s="0" t="s">
        <v>138</v>
      </c>
      <c r="AF96" s="0">
        <v>0</v>
      </c>
      <c r="AG96" s="0">
        <v>0</v>
      </c>
      <c r="AH96" s="0" t="s">
        <v>140</v>
      </c>
      <c r="AI96" s="0" t="s">
        <v>138</v>
      </c>
      <c r="AL96" s="14"/>
      <c r="AN96" s="14"/>
      <c r="AQ96" s="0" t="s">
        <v>130</v>
      </c>
      <c r="AR96" s="0" t="s">
        <v>130</v>
      </c>
      <c r="AS96" s="0" t="s">
        <v>130</v>
      </c>
      <c r="AT96" s="0" t="s">
        <v>130</v>
      </c>
      <c r="AU96" s="0" t="s">
        <v>130</v>
      </c>
      <c r="AV96" s="0" t="s">
        <v>130</v>
      </c>
      <c r="AW96" s="0" t="s">
        <v>130</v>
      </c>
      <c r="AX96" s="0" t="s">
        <v>130</v>
      </c>
      <c r="AY96" s="0" t="s">
        <v>130</v>
      </c>
      <c r="AZ96" s="0" t="s">
        <v>130</v>
      </c>
      <c r="BA96" s="0" t="s">
        <v>130</v>
      </c>
      <c r="BB96" s="0" t="s">
        <v>130</v>
      </c>
      <c r="BC96" s="0" t="s">
        <v>130</v>
      </c>
      <c r="BD96" s="0" t="s">
        <v>130</v>
      </c>
      <c r="BE96" s="0" t="s">
        <v>130</v>
      </c>
      <c r="BF96" s="0" t="s">
        <v>130</v>
      </c>
      <c r="BG96" s="0" t="s">
        <v>130</v>
      </c>
      <c r="BH96" s="0" t="s">
        <v>130</v>
      </c>
      <c r="BI96" s="0" t="s">
        <v>130</v>
      </c>
      <c r="BJ96" s="0" t="s">
        <v>130</v>
      </c>
      <c r="BK96" s="0" t="s">
        <v>130</v>
      </c>
      <c r="BL96" s="0" t="s">
        <v>130</v>
      </c>
      <c r="BM96" s="0" t="s">
        <v>130</v>
      </c>
      <c r="BN96" s="0" t="s">
        <v>130</v>
      </c>
      <c r="BO96" s="0" t="s">
        <v>130</v>
      </c>
      <c r="BP96" s="0" t="s">
        <v>130</v>
      </c>
      <c r="BQ96" s="0" t="s">
        <v>130</v>
      </c>
      <c r="BR96" s="0" t="s">
        <v>130</v>
      </c>
      <c r="BS96" s="0" t="s">
        <v>130</v>
      </c>
      <c r="BT96" s="0" t="s">
        <v>130</v>
      </c>
      <c r="BU96" s="0" t="s">
        <v>130</v>
      </c>
      <c r="BV96" s="0" t="s">
        <v>130</v>
      </c>
      <c r="BW96" s="0" t="s">
        <v>130</v>
      </c>
      <c r="BX96" s="0" t="s">
        <v>130</v>
      </c>
      <c r="BY96" s="0" t="s">
        <v>130</v>
      </c>
      <c r="BZ96" s="0" t="s">
        <v>130</v>
      </c>
      <c r="CA96" s="0" t="s">
        <v>130</v>
      </c>
      <c r="CB96" s="0" t="s">
        <v>130</v>
      </c>
      <c r="CC96" s="0" t="s">
        <v>130</v>
      </c>
      <c r="CD96" s="0" t="s">
        <v>130</v>
      </c>
      <c r="CE96" s="0" t="s">
        <v>130</v>
      </c>
      <c r="CF96" s="0" t="s">
        <v>130</v>
      </c>
      <c r="CG96" s="0" t="s">
        <v>130</v>
      </c>
      <c r="CH96" s="0" t="s">
        <v>130</v>
      </c>
      <c r="CI96" s="0" t="s">
        <v>130</v>
      </c>
      <c r="CJ96" s="0" t="s">
        <v>130</v>
      </c>
      <c r="CK96" s="0" t="s">
        <v>130</v>
      </c>
      <c r="CL96" s="0" t="s">
        <v>130</v>
      </c>
      <c r="CM96" s="0" t="s">
        <v>130</v>
      </c>
      <c r="CN96" s="0" t="s">
        <v>130</v>
      </c>
      <c r="CO96" s="0" t="s">
        <v>130</v>
      </c>
      <c r="CP96" s="0" t="s">
        <v>130</v>
      </c>
      <c r="CQ96" s="0" t="s">
        <v>130</v>
      </c>
      <c r="CR96" s="0" t="s">
        <v>130</v>
      </c>
      <c r="CS96" s="0" t="s">
        <v>130</v>
      </c>
      <c r="CT96" s="0" t="s">
        <v>528</v>
      </c>
    </row>
    <row r="97">
      <c r="A97" s="14">
        <v>100312</v>
      </c>
      <c r="B97" s="0" t="s">
        <v>476</v>
      </c>
      <c r="C97" s="16">
        <f>HYPERLINK("https://eosportal.federatedhermes.com/companies/Q29tcGFueQppNTg5OTQ=", "JPMorgan Chase &amp; Co")</f>
      </c>
      <c r="D97" s="0" t="s">
        <v>25</v>
      </c>
      <c r="E97" s="0" t="s">
        <v>529</v>
      </c>
      <c r="F97" s="16">
        <f>HYPERLINK("https://eosportal.federatedhermes.com/engagements/RW5nYWdlbWVudAppMTg2MzA=", "Alleged (racially) discriminatory employee and customer practices")</f>
      </c>
      <c r="G97" s="14" t="s">
        <v>530</v>
      </c>
      <c r="H97" s="0" t="s">
        <v>141</v>
      </c>
      <c r="I97" s="14" t="s">
        <v>191</v>
      </c>
      <c r="J97" s="0" t="s">
        <v>153</v>
      </c>
      <c r="K97" s="0" t="s">
        <v>154</v>
      </c>
      <c r="L97" s="0" t="s">
        <v>155</v>
      </c>
      <c r="M97" s="0" t="s">
        <v>135</v>
      </c>
      <c r="N97" s="0" t="s">
        <v>136</v>
      </c>
      <c r="O97" s="0" t="s">
        <v>238</v>
      </c>
      <c r="Q97" s="0" t="s">
        <v>130</v>
      </c>
      <c r="R97" s="0" t="s">
        <v>138</v>
      </c>
      <c r="S97" s="14">
        <v>0</v>
      </c>
      <c r="T97" s="0" t="s">
        <v>156</v>
      </c>
      <c r="U97" s="0" t="s">
        <v>138</v>
      </c>
      <c r="V97" s="14" t="s">
        <v>138</v>
      </c>
      <c r="W97" s="0" t="s">
        <v>138</v>
      </c>
      <c r="X97" s="14" t="s">
        <v>138</v>
      </c>
      <c r="Y97" s="0" t="s">
        <v>138</v>
      </c>
      <c r="Z97" s="14" t="s">
        <v>138</v>
      </c>
      <c r="AA97" s="0" t="s">
        <v>138</v>
      </c>
      <c r="AB97" s="14" t="s">
        <v>138</v>
      </c>
      <c r="AD97" s="0" t="s">
        <v>138</v>
      </c>
      <c r="AF97" s="0">
        <v>0</v>
      </c>
      <c r="AG97" s="0">
        <v>0</v>
      </c>
      <c r="AH97" s="0" t="s">
        <v>140</v>
      </c>
      <c r="AI97" s="0" t="s">
        <v>138</v>
      </c>
      <c r="AL97" s="14"/>
      <c r="AN97" s="14"/>
      <c r="AQ97" s="0" t="s">
        <v>130</v>
      </c>
      <c r="AR97" s="0" t="s">
        <v>130</v>
      </c>
      <c r="AS97" s="0" t="s">
        <v>130</v>
      </c>
      <c r="AT97" s="0" t="s">
        <v>130</v>
      </c>
      <c r="AU97" s="0" t="s">
        <v>130</v>
      </c>
      <c r="AV97" s="0" t="s">
        <v>130</v>
      </c>
      <c r="AW97" s="0" t="s">
        <v>130</v>
      </c>
      <c r="AX97" s="0" t="s">
        <v>130</v>
      </c>
      <c r="AY97" s="0" t="s">
        <v>130</v>
      </c>
      <c r="AZ97" s="0" t="s">
        <v>130</v>
      </c>
      <c r="BA97" s="0" t="s">
        <v>130</v>
      </c>
      <c r="BB97" s="0" t="s">
        <v>130</v>
      </c>
      <c r="BC97" s="0" t="s">
        <v>130</v>
      </c>
      <c r="BD97" s="0" t="s">
        <v>130</v>
      </c>
      <c r="BE97" s="0" t="s">
        <v>130</v>
      </c>
      <c r="BF97" s="0" t="s">
        <v>130</v>
      </c>
      <c r="BG97" s="0" t="s">
        <v>130</v>
      </c>
      <c r="BH97" s="0" t="s">
        <v>130</v>
      </c>
      <c r="BI97" s="0" t="s">
        <v>130</v>
      </c>
      <c r="BJ97" s="0" t="s">
        <v>130</v>
      </c>
      <c r="BK97" s="0" t="s">
        <v>130</v>
      </c>
      <c r="BL97" s="0" t="s">
        <v>130</v>
      </c>
      <c r="BM97" s="0" t="s">
        <v>130</v>
      </c>
      <c r="BN97" s="0" t="s">
        <v>130</v>
      </c>
      <c r="BO97" s="0" t="s">
        <v>130</v>
      </c>
      <c r="BP97" s="0" t="s">
        <v>130</v>
      </c>
      <c r="BQ97" s="0" t="s">
        <v>130</v>
      </c>
      <c r="BR97" s="0" t="s">
        <v>130</v>
      </c>
      <c r="BS97" s="0" t="s">
        <v>130</v>
      </c>
      <c r="BT97" s="0" t="s">
        <v>130</v>
      </c>
      <c r="BU97" s="0" t="s">
        <v>130</v>
      </c>
      <c r="BV97" s="0" t="s">
        <v>130</v>
      </c>
      <c r="BW97" s="0" t="s">
        <v>130</v>
      </c>
      <c r="BX97" s="0" t="s">
        <v>130</v>
      </c>
      <c r="BY97" s="0" t="s">
        <v>130</v>
      </c>
      <c r="BZ97" s="0" t="s">
        <v>130</v>
      </c>
      <c r="CA97" s="0" t="s">
        <v>130</v>
      </c>
      <c r="CB97" s="0" t="s">
        <v>130</v>
      </c>
      <c r="CC97" s="0" t="s">
        <v>130</v>
      </c>
      <c r="CD97" s="0" t="s">
        <v>130</v>
      </c>
      <c r="CE97" s="0" t="s">
        <v>130</v>
      </c>
      <c r="CF97" s="0" t="s">
        <v>130</v>
      </c>
      <c r="CG97" s="0" t="s">
        <v>130</v>
      </c>
      <c r="CH97" s="0" t="s">
        <v>130</v>
      </c>
      <c r="CI97" s="0" t="s">
        <v>141</v>
      </c>
      <c r="CJ97" s="0" t="s">
        <v>130</v>
      </c>
      <c r="CK97" s="0" t="s">
        <v>130</v>
      </c>
      <c r="CL97" s="0" t="s">
        <v>130</v>
      </c>
      <c r="CM97" s="0" t="s">
        <v>130</v>
      </c>
      <c r="CN97" s="0" t="s">
        <v>130</v>
      </c>
      <c r="CO97" s="0" t="s">
        <v>130</v>
      </c>
      <c r="CP97" s="0" t="s">
        <v>130</v>
      </c>
      <c r="CQ97" s="0" t="s">
        <v>130</v>
      </c>
      <c r="CR97" s="0" t="s">
        <v>130</v>
      </c>
      <c r="CS97" s="0" t="s">
        <v>130</v>
      </c>
      <c r="CT97" s="0" t="s">
        <v>531</v>
      </c>
    </row>
    <row r="98">
      <c r="A98" s="14">
        <v>100312</v>
      </c>
      <c r="B98" s="0" t="s">
        <v>476</v>
      </c>
      <c r="C98" s="16">
        <f>HYPERLINK("https://eosportal.federatedhermes.com/companies/Q29tcGFueQppNTg5OTQ=", "JPMorgan Chase &amp; Co")</f>
      </c>
      <c r="D98" s="0" t="s">
        <v>25</v>
      </c>
      <c r="E98" s="0" t="s">
        <v>532</v>
      </c>
      <c r="F98" s="16">
        <f>HYPERLINK("https://eosportal.federatedhermes.com/engagements/RW5nYWdlbWVudAppMTg2MzE=", "Political spends")</f>
      </c>
      <c r="G98" s="14" t="s">
        <v>533</v>
      </c>
      <c r="H98" s="0" t="s">
        <v>141</v>
      </c>
      <c r="I98" s="14" t="s">
        <v>191</v>
      </c>
      <c r="J98" s="0" t="s">
        <v>132</v>
      </c>
      <c r="K98" s="0" t="s">
        <v>170</v>
      </c>
      <c r="L98" s="0" t="s">
        <v>171</v>
      </c>
      <c r="M98" s="0" t="s">
        <v>135</v>
      </c>
      <c r="N98" s="0" t="s">
        <v>136</v>
      </c>
      <c r="O98" s="0" t="s">
        <v>238</v>
      </c>
      <c r="Q98" s="0" t="s">
        <v>130</v>
      </c>
      <c r="R98" s="0" t="s">
        <v>138</v>
      </c>
      <c r="S98" s="14">
        <v>0</v>
      </c>
      <c r="T98" s="0" t="s">
        <v>206</v>
      </c>
      <c r="U98" s="0" t="s">
        <v>138</v>
      </c>
      <c r="V98" s="14" t="s">
        <v>138</v>
      </c>
      <c r="W98" s="0" t="s">
        <v>138</v>
      </c>
      <c r="X98" s="14" t="s">
        <v>138</v>
      </c>
      <c r="Y98" s="0" t="s">
        <v>138</v>
      </c>
      <c r="Z98" s="14" t="s">
        <v>138</v>
      </c>
      <c r="AA98" s="0" t="s">
        <v>138</v>
      </c>
      <c r="AB98" s="14" t="s">
        <v>138</v>
      </c>
      <c r="AD98" s="0" t="s">
        <v>138</v>
      </c>
      <c r="AF98" s="0">
        <v>0</v>
      </c>
      <c r="AG98" s="0">
        <v>0</v>
      </c>
      <c r="AH98" s="0" t="s">
        <v>140</v>
      </c>
      <c r="AI98" s="0" t="s">
        <v>138</v>
      </c>
      <c r="AL98" s="14"/>
      <c r="AN98" s="14"/>
      <c r="AQ98" s="0" t="s">
        <v>130</v>
      </c>
      <c r="AR98" s="0" t="s">
        <v>130</v>
      </c>
      <c r="AS98" s="0" t="s">
        <v>130</v>
      </c>
      <c r="AT98" s="0" t="s">
        <v>130</v>
      </c>
      <c r="AU98" s="0" t="s">
        <v>130</v>
      </c>
      <c r="AV98" s="0" t="s">
        <v>130</v>
      </c>
      <c r="AW98" s="0" t="s">
        <v>130</v>
      </c>
      <c r="AX98" s="0" t="s">
        <v>130</v>
      </c>
      <c r="AY98" s="0" t="s">
        <v>130</v>
      </c>
      <c r="AZ98" s="0" t="s">
        <v>130</v>
      </c>
      <c r="BA98" s="0" t="s">
        <v>130</v>
      </c>
      <c r="BB98" s="0" t="s">
        <v>141</v>
      </c>
      <c r="BC98" s="0" t="s">
        <v>130</v>
      </c>
      <c r="BD98" s="0" t="s">
        <v>130</v>
      </c>
      <c r="BE98" s="0" t="s">
        <v>130</v>
      </c>
      <c r="BF98" s="0" t="s">
        <v>130</v>
      </c>
      <c r="BG98" s="0" t="s">
        <v>130</v>
      </c>
      <c r="BH98" s="0" t="s">
        <v>130</v>
      </c>
      <c r="BI98" s="0" t="s">
        <v>130</v>
      </c>
      <c r="BJ98" s="0" t="s">
        <v>130</v>
      </c>
      <c r="BK98" s="0" t="s">
        <v>130</v>
      </c>
      <c r="BL98" s="0" t="s">
        <v>130</v>
      </c>
      <c r="BM98" s="0" t="s">
        <v>130</v>
      </c>
      <c r="BN98" s="0" t="s">
        <v>130</v>
      </c>
      <c r="BO98" s="0" t="s">
        <v>130</v>
      </c>
      <c r="BP98" s="0" t="s">
        <v>130</v>
      </c>
      <c r="BQ98" s="0" t="s">
        <v>130</v>
      </c>
      <c r="BR98" s="0" t="s">
        <v>130</v>
      </c>
      <c r="BS98" s="0" t="s">
        <v>130</v>
      </c>
      <c r="BT98" s="0" t="s">
        <v>130</v>
      </c>
      <c r="BU98" s="0" t="s">
        <v>130</v>
      </c>
      <c r="BV98" s="0" t="s">
        <v>130</v>
      </c>
      <c r="BW98" s="0" t="s">
        <v>130</v>
      </c>
      <c r="BX98" s="0" t="s">
        <v>130</v>
      </c>
      <c r="BY98" s="0" t="s">
        <v>130</v>
      </c>
      <c r="BZ98" s="0" t="s">
        <v>130</v>
      </c>
      <c r="CA98" s="0" t="s">
        <v>130</v>
      </c>
      <c r="CB98" s="0" t="s">
        <v>130</v>
      </c>
      <c r="CC98" s="0" t="s">
        <v>130</v>
      </c>
      <c r="CD98" s="0" t="s">
        <v>130</v>
      </c>
      <c r="CE98" s="0" t="s">
        <v>130</v>
      </c>
      <c r="CF98" s="0" t="s">
        <v>130</v>
      </c>
      <c r="CG98" s="0" t="s">
        <v>130</v>
      </c>
      <c r="CH98" s="0" t="s">
        <v>130</v>
      </c>
      <c r="CI98" s="0" t="s">
        <v>130</v>
      </c>
      <c r="CJ98" s="0" t="s">
        <v>130</v>
      </c>
      <c r="CK98" s="0" t="s">
        <v>130</v>
      </c>
      <c r="CL98" s="0" t="s">
        <v>130</v>
      </c>
      <c r="CM98" s="0" t="s">
        <v>130</v>
      </c>
      <c r="CN98" s="0" t="s">
        <v>130</v>
      </c>
      <c r="CO98" s="0" t="s">
        <v>130</v>
      </c>
      <c r="CP98" s="0" t="s">
        <v>130</v>
      </c>
      <c r="CQ98" s="0" t="s">
        <v>130</v>
      </c>
      <c r="CR98" s="0" t="s">
        <v>130</v>
      </c>
      <c r="CS98" s="0" t="s">
        <v>130</v>
      </c>
      <c r="CT98" s="0" t="s">
        <v>534</v>
      </c>
    </row>
    <row r="99">
      <c r="A99" s="14">
        <v>100312</v>
      </c>
      <c r="B99" s="0" t="s">
        <v>476</v>
      </c>
      <c r="C99" s="16">
        <f>HYPERLINK("https://eosportal.federatedhermes.com/companies/Q29tcGFueQppNTg5OTQ=", "JPMorgan Chase &amp; Co")</f>
      </c>
      <c r="D99" s="0" t="s">
        <v>25</v>
      </c>
      <c r="E99" s="0" t="s">
        <v>535</v>
      </c>
      <c r="F99" s="16">
        <f>HYPERLINK("https://eosportal.federatedhermes.com/engagements/RW5nYWdlbWVudAppMTg2MzI=", "AI ethics and governance")</f>
      </c>
      <c r="G99" s="14" t="s">
        <v>536</v>
      </c>
      <c r="H99" s="0" t="s">
        <v>141</v>
      </c>
      <c r="I99" s="14" t="s">
        <v>191</v>
      </c>
      <c r="J99" s="0" t="s">
        <v>153</v>
      </c>
      <c r="K99" s="0" t="s">
        <v>243</v>
      </c>
      <c r="L99" s="0" t="s">
        <v>537</v>
      </c>
      <c r="M99" s="0" t="s">
        <v>135</v>
      </c>
      <c r="N99" s="0" t="s">
        <v>136</v>
      </c>
      <c r="O99" s="0" t="s">
        <v>238</v>
      </c>
      <c r="Q99" s="0" t="s">
        <v>130</v>
      </c>
      <c r="R99" s="0" t="s">
        <v>138</v>
      </c>
      <c r="S99" s="14">
        <v>0</v>
      </c>
      <c r="T99" s="0" t="s">
        <v>139</v>
      </c>
      <c r="U99" s="0" t="s">
        <v>138</v>
      </c>
      <c r="V99" s="14" t="s">
        <v>138</v>
      </c>
      <c r="W99" s="0" t="s">
        <v>138</v>
      </c>
      <c r="X99" s="14" t="s">
        <v>138</v>
      </c>
      <c r="Y99" s="0" t="s">
        <v>138</v>
      </c>
      <c r="Z99" s="14" t="s">
        <v>138</v>
      </c>
      <c r="AA99" s="0" t="s">
        <v>138</v>
      </c>
      <c r="AB99" s="14" t="s">
        <v>138</v>
      </c>
      <c r="AD99" s="0" t="s">
        <v>138</v>
      </c>
      <c r="AF99" s="0">
        <v>0</v>
      </c>
      <c r="AG99" s="0">
        <v>0</v>
      </c>
      <c r="AH99" s="0" t="s">
        <v>140</v>
      </c>
      <c r="AI99" s="0" t="s">
        <v>138</v>
      </c>
      <c r="AL99" s="14"/>
      <c r="AN99" s="14"/>
      <c r="AQ99" s="0" t="s">
        <v>130</v>
      </c>
      <c r="AR99" s="0" t="s">
        <v>130</v>
      </c>
      <c r="AS99" s="0" t="s">
        <v>130</v>
      </c>
      <c r="AT99" s="0" t="s">
        <v>130</v>
      </c>
      <c r="AU99" s="0" t="s">
        <v>130</v>
      </c>
      <c r="AV99" s="0" t="s">
        <v>130</v>
      </c>
      <c r="AW99" s="0" t="s">
        <v>130</v>
      </c>
      <c r="AX99" s="0" t="s">
        <v>130</v>
      </c>
      <c r="AY99" s="0" t="s">
        <v>130</v>
      </c>
      <c r="AZ99" s="0" t="s">
        <v>130</v>
      </c>
      <c r="BA99" s="0" t="s">
        <v>130</v>
      </c>
      <c r="BB99" s="0" t="s">
        <v>130</v>
      </c>
      <c r="BC99" s="0" t="s">
        <v>130</v>
      </c>
      <c r="BD99" s="0" t="s">
        <v>130</v>
      </c>
      <c r="BE99" s="0" t="s">
        <v>130</v>
      </c>
      <c r="BF99" s="0" t="s">
        <v>141</v>
      </c>
      <c r="BG99" s="0" t="s">
        <v>130</v>
      </c>
      <c r="BH99" s="0" t="s">
        <v>130</v>
      </c>
      <c r="BI99" s="0" t="s">
        <v>130</v>
      </c>
      <c r="BJ99" s="0" t="s">
        <v>130</v>
      </c>
      <c r="BK99" s="0" t="s">
        <v>130</v>
      </c>
      <c r="BL99" s="0" t="s">
        <v>130</v>
      </c>
      <c r="BM99" s="0" t="s">
        <v>130</v>
      </c>
      <c r="BN99" s="0" t="s">
        <v>130</v>
      </c>
      <c r="BO99" s="0" t="s">
        <v>130</v>
      </c>
      <c r="BP99" s="0" t="s">
        <v>130</v>
      </c>
      <c r="BQ99" s="0" t="s">
        <v>130</v>
      </c>
      <c r="BR99" s="0" t="s">
        <v>130</v>
      </c>
      <c r="BS99" s="0" t="s">
        <v>130</v>
      </c>
      <c r="BT99" s="0" t="s">
        <v>130</v>
      </c>
      <c r="BU99" s="0" t="s">
        <v>130</v>
      </c>
      <c r="BV99" s="0" t="s">
        <v>130</v>
      </c>
      <c r="BW99" s="0" t="s">
        <v>130</v>
      </c>
      <c r="BX99" s="0" t="s">
        <v>130</v>
      </c>
      <c r="BY99" s="0" t="s">
        <v>130</v>
      </c>
      <c r="BZ99" s="0" t="s">
        <v>130</v>
      </c>
      <c r="CA99" s="0" t="s">
        <v>130</v>
      </c>
      <c r="CB99" s="0" t="s">
        <v>130</v>
      </c>
      <c r="CC99" s="0" t="s">
        <v>130</v>
      </c>
      <c r="CD99" s="0" t="s">
        <v>130</v>
      </c>
      <c r="CE99" s="0" t="s">
        <v>130</v>
      </c>
      <c r="CF99" s="0" t="s">
        <v>130</v>
      </c>
      <c r="CG99" s="0" t="s">
        <v>130</v>
      </c>
      <c r="CH99" s="0" t="s">
        <v>130</v>
      </c>
      <c r="CI99" s="0" t="s">
        <v>130</v>
      </c>
      <c r="CJ99" s="0" t="s">
        <v>130</v>
      </c>
      <c r="CK99" s="0" t="s">
        <v>130</v>
      </c>
      <c r="CL99" s="0" t="s">
        <v>130</v>
      </c>
      <c r="CM99" s="0" t="s">
        <v>130</v>
      </c>
      <c r="CN99" s="0" t="s">
        <v>130</v>
      </c>
      <c r="CO99" s="0" t="s">
        <v>130</v>
      </c>
      <c r="CP99" s="0" t="s">
        <v>130</v>
      </c>
      <c r="CQ99" s="0" t="s">
        <v>130</v>
      </c>
      <c r="CR99" s="0" t="s">
        <v>130</v>
      </c>
      <c r="CS99" s="0" t="s">
        <v>130</v>
      </c>
      <c r="CT99" s="0" t="s">
        <v>538</v>
      </c>
    </row>
    <row r="100">
      <c r="A100" s="14">
        <v>100315</v>
      </c>
      <c r="B100" s="0" t="s">
        <v>539</v>
      </c>
      <c r="C100" s="16">
        <f>HYPERLINK("https://eosportal.federatedhermes.com/companies/Q29tcGFueQppNzcwNTA=", "Chevron Corp")</f>
      </c>
      <c r="D100" s="0" t="s">
        <v>25</v>
      </c>
      <c r="E100" s="0" t="s">
        <v>540</v>
      </c>
      <c r="F100" s="16">
        <f>HYPERLINK("https://eosportal.federatedhermes.com/engagements/RW5nYWdlbWVudAppMTg2MzQ=", "Lobbying disclosure")</f>
      </c>
      <c r="G100" s="14" t="s">
        <v>541</v>
      </c>
      <c r="H100" s="0" t="s">
        <v>141</v>
      </c>
      <c r="I100" s="14" t="s">
        <v>191</v>
      </c>
      <c r="J100" s="0" t="s">
        <v>153</v>
      </c>
      <c r="K100" s="0" t="s">
        <v>185</v>
      </c>
      <c r="L100" s="0" t="s">
        <v>186</v>
      </c>
      <c r="M100" s="0" t="s">
        <v>135</v>
      </c>
      <c r="N100" s="0" t="s">
        <v>136</v>
      </c>
      <c r="O100" s="0" t="s">
        <v>542</v>
      </c>
      <c r="Q100" s="0" t="s">
        <v>130</v>
      </c>
      <c r="R100" s="0" t="s">
        <v>138</v>
      </c>
      <c r="S100" s="14">
        <v>0</v>
      </c>
      <c r="T100" s="0" t="s">
        <v>239</v>
      </c>
      <c r="U100" s="0" t="s">
        <v>138</v>
      </c>
      <c r="V100" s="14" t="s">
        <v>138</v>
      </c>
      <c r="W100" s="0" t="s">
        <v>138</v>
      </c>
      <c r="X100" s="14" t="s">
        <v>138</v>
      </c>
      <c r="Y100" s="0" t="s">
        <v>138</v>
      </c>
      <c r="Z100" s="14" t="s">
        <v>138</v>
      </c>
      <c r="AA100" s="0" t="s">
        <v>138</v>
      </c>
      <c r="AB100" s="14" t="s">
        <v>138</v>
      </c>
      <c r="AD100" s="0" t="s">
        <v>138</v>
      </c>
      <c r="AF100" s="0">
        <v>0</v>
      </c>
      <c r="AG100" s="0">
        <v>0</v>
      </c>
      <c r="AH100" s="0" t="s">
        <v>140</v>
      </c>
      <c r="AI100" s="0" t="s">
        <v>138</v>
      </c>
      <c r="AL100" s="14"/>
      <c r="AN100" s="14"/>
      <c r="AQ100" s="0" t="s">
        <v>130</v>
      </c>
      <c r="AR100" s="0" t="s">
        <v>130</v>
      </c>
      <c r="AS100" s="0" t="s">
        <v>130</v>
      </c>
      <c r="AT100" s="0" t="s">
        <v>130</v>
      </c>
      <c r="AU100" s="0" t="s">
        <v>130</v>
      </c>
      <c r="AV100" s="0" t="s">
        <v>130</v>
      </c>
      <c r="AW100" s="0" t="s">
        <v>130</v>
      </c>
      <c r="AX100" s="0" t="s">
        <v>130</v>
      </c>
      <c r="AY100" s="0" t="s">
        <v>130</v>
      </c>
      <c r="AZ100" s="0" t="s">
        <v>130</v>
      </c>
      <c r="BA100" s="0" t="s">
        <v>130</v>
      </c>
      <c r="BB100" s="0" t="s">
        <v>130</v>
      </c>
      <c r="BC100" s="0" t="s">
        <v>130</v>
      </c>
      <c r="BD100" s="0" t="s">
        <v>130</v>
      </c>
      <c r="BE100" s="0" t="s">
        <v>130</v>
      </c>
      <c r="BF100" s="0" t="s">
        <v>130</v>
      </c>
      <c r="BG100" s="0" t="s">
        <v>130</v>
      </c>
      <c r="BH100" s="0" t="s">
        <v>130</v>
      </c>
      <c r="BI100" s="0" t="s">
        <v>130</v>
      </c>
      <c r="BJ100" s="0" t="s">
        <v>130</v>
      </c>
      <c r="BK100" s="0" t="s">
        <v>130</v>
      </c>
      <c r="BL100" s="0" t="s">
        <v>130</v>
      </c>
      <c r="BM100" s="0" t="s">
        <v>130</v>
      </c>
      <c r="BN100" s="0" t="s">
        <v>130</v>
      </c>
      <c r="BO100" s="0" t="s">
        <v>130</v>
      </c>
      <c r="BP100" s="0" t="s">
        <v>130</v>
      </c>
      <c r="BQ100" s="0" t="s">
        <v>130</v>
      </c>
      <c r="BR100" s="0" t="s">
        <v>130</v>
      </c>
      <c r="BS100" s="0" t="s">
        <v>130</v>
      </c>
      <c r="BT100" s="0" t="s">
        <v>130</v>
      </c>
      <c r="BU100" s="0" t="s">
        <v>130</v>
      </c>
      <c r="BV100" s="0" t="s">
        <v>130</v>
      </c>
      <c r="BW100" s="0" t="s">
        <v>130</v>
      </c>
      <c r="BX100" s="0" t="s">
        <v>130</v>
      </c>
      <c r="BY100" s="0" t="s">
        <v>130</v>
      </c>
      <c r="BZ100" s="0" t="s">
        <v>130</v>
      </c>
      <c r="CA100" s="0" t="s">
        <v>130</v>
      </c>
      <c r="CB100" s="0" t="s">
        <v>130</v>
      </c>
      <c r="CC100" s="0" t="s">
        <v>130</v>
      </c>
      <c r="CD100" s="0" t="s">
        <v>130</v>
      </c>
      <c r="CE100" s="0" t="s">
        <v>130</v>
      </c>
      <c r="CF100" s="0" t="s">
        <v>130</v>
      </c>
      <c r="CG100" s="0" t="s">
        <v>130</v>
      </c>
      <c r="CH100" s="0" t="s">
        <v>130</v>
      </c>
      <c r="CI100" s="0" t="s">
        <v>130</v>
      </c>
      <c r="CJ100" s="0" t="s">
        <v>130</v>
      </c>
      <c r="CK100" s="0" t="s">
        <v>130</v>
      </c>
      <c r="CL100" s="0" t="s">
        <v>130</v>
      </c>
      <c r="CM100" s="0" t="s">
        <v>130</v>
      </c>
      <c r="CN100" s="0" t="s">
        <v>130</v>
      </c>
      <c r="CO100" s="0" t="s">
        <v>130</v>
      </c>
      <c r="CP100" s="0" t="s">
        <v>130</v>
      </c>
      <c r="CQ100" s="0" t="s">
        <v>130</v>
      </c>
      <c r="CR100" s="0" t="s">
        <v>130</v>
      </c>
      <c r="CS100" s="0" t="s">
        <v>130</v>
      </c>
      <c r="CT100" s="0" t="s">
        <v>543</v>
      </c>
    </row>
    <row r="101">
      <c r="A101" s="14">
        <v>100315</v>
      </c>
      <c r="B101" s="0" t="s">
        <v>539</v>
      </c>
      <c r="C101" s="16">
        <f>HYPERLINK("https://eosportal.federatedhermes.com/companies/Q29tcGFueQppNzcwNTA=", "Chevron Corp")</f>
      </c>
      <c r="D101" s="0" t="s">
        <v>25</v>
      </c>
      <c r="E101" s="0" t="s">
        <v>236</v>
      </c>
      <c r="F101" s="16">
        <f>HYPERLINK("https://eosportal.federatedhermes.com/engagements/RW5nYWdlbWVudAppMTg2MzU=", "Executive pay")</f>
      </c>
      <c r="G101" s="14" t="s">
        <v>544</v>
      </c>
      <c r="H101" s="0" t="s">
        <v>141</v>
      </c>
      <c r="I101" s="14" t="s">
        <v>191</v>
      </c>
      <c r="J101" s="0" t="s">
        <v>145</v>
      </c>
      <c r="K101" s="0" t="s">
        <v>146</v>
      </c>
      <c r="L101" s="0" t="s">
        <v>147</v>
      </c>
      <c r="M101" s="0" t="s">
        <v>135</v>
      </c>
      <c r="N101" s="0" t="s">
        <v>136</v>
      </c>
      <c r="O101" s="0" t="s">
        <v>542</v>
      </c>
      <c r="Q101" s="0" t="s">
        <v>130</v>
      </c>
      <c r="R101" s="0" t="s">
        <v>138</v>
      </c>
      <c r="S101" s="14">
        <v>0</v>
      </c>
      <c r="T101" s="0" t="s">
        <v>239</v>
      </c>
      <c r="U101" s="0" t="s">
        <v>138</v>
      </c>
      <c r="V101" s="14" t="s">
        <v>138</v>
      </c>
      <c r="W101" s="0" t="s">
        <v>138</v>
      </c>
      <c r="X101" s="14" t="s">
        <v>138</v>
      </c>
      <c r="Y101" s="0" t="s">
        <v>138</v>
      </c>
      <c r="Z101" s="14" t="s">
        <v>138</v>
      </c>
      <c r="AA101" s="0" t="s">
        <v>138</v>
      </c>
      <c r="AB101" s="14" t="s">
        <v>138</v>
      </c>
      <c r="AD101" s="0" t="s">
        <v>138</v>
      </c>
      <c r="AF101" s="0">
        <v>0</v>
      </c>
      <c r="AG101" s="0">
        <v>0</v>
      </c>
      <c r="AH101" s="0" t="s">
        <v>140</v>
      </c>
      <c r="AI101" s="0" t="s">
        <v>138</v>
      </c>
      <c r="AL101" s="14"/>
      <c r="AN101" s="14"/>
      <c r="AQ101" s="0" t="s">
        <v>130</v>
      </c>
      <c r="AR101" s="0" t="s">
        <v>130</v>
      </c>
      <c r="AS101" s="0" t="s">
        <v>130</v>
      </c>
      <c r="AT101" s="0" t="s">
        <v>130</v>
      </c>
      <c r="AU101" s="0" t="s">
        <v>130</v>
      </c>
      <c r="AV101" s="0" t="s">
        <v>130</v>
      </c>
      <c r="AW101" s="0" t="s">
        <v>130</v>
      </c>
      <c r="AX101" s="0" t="s">
        <v>130</v>
      </c>
      <c r="AY101" s="0" t="s">
        <v>130</v>
      </c>
      <c r="AZ101" s="0" t="s">
        <v>130</v>
      </c>
      <c r="BA101" s="0" t="s">
        <v>130</v>
      </c>
      <c r="BB101" s="0" t="s">
        <v>130</v>
      </c>
      <c r="BC101" s="0" t="s">
        <v>130</v>
      </c>
      <c r="BD101" s="0" t="s">
        <v>130</v>
      </c>
      <c r="BE101" s="0" t="s">
        <v>130</v>
      </c>
      <c r="BF101" s="0" t="s">
        <v>130</v>
      </c>
      <c r="BG101" s="0" t="s">
        <v>130</v>
      </c>
      <c r="BH101" s="0" t="s">
        <v>130</v>
      </c>
      <c r="BI101" s="0" t="s">
        <v>130</v>
      </c>
      <c r="BJ101" s="0" t="s">
        <v>130</v>
      </c>
      <c r="BK101" s="0" t="s">
        <v>130</v>
      </c>
      <c r="BL101" s="0" t="s">
        <v>130</v>
      </c>
      <c r="BM101" s="0" t="s">
        <v>130</v>
      </c>
      <c r="BN101" s="0" t="s">
        <v>130</v>
      </c>
      <c r="BO101" s="0" t="s">
        <v>130</v>
      </c>
      <c r="BP101" s="0" t="s">
        <v>130</v>
      </c>
      <c r="BQ101" s="0" t="s">
        <v>130</v>
      </c>
      <c r="BR101" s="0" t="s">
        <v>130</v>
      </c>
      <c r="BS101" s="0" t="s">
        <v>130</v>
      </c>
      <c r="BT101" s="0" t="s">
        <v>130</v>
      </c>
      <c r="BU101" s="0" t="s">
        <v>130</v>
      </c>
      <c r="BV101" s="0" t="s">
        <v>130</v>
      </c>
      <c r="BW101" s="0" t="s">
        <v>130</v>
      </c>
      <c r="BX101" s="0" t="s">
        <v>130</v>
      </c>
      <c r="BY101" s="0" t="s">
        <v>130</v>
      </c>
      <c r="BZ101" s="0" t="s">
        <v>130</v>
      </c>
      <c r="CA101" s="0" t="s">
        <v>130</v>
      </c>
      <c r="CB101" s="0" t="s">
        <v>130</v>
      </c>
      <c r="CC101" s="0" t="s">
        <v>130</v>
      </c>
      <c r="CD101" s="0" t="s">
        <v>130</v>
      </c>
      <c r="CE101" s="0" t="s">
        <v>130</v>
      </c>
      <c r="CF101" s="0" t="s">
        <v>130</v>
      </c>
      <c r="CG101" s="0" t="s">
        <v>130</v>
      </c>
      <c r="CH101" s="0" t="s">
        <v>130</v>
      </c>
      <c r="CI101" s="0" t="s">
        <v>130</v>
      </c>
      <c r="CJ101" s="0" t="s">
        <v>130</v>
      </c>
      <c r="CK101" s="0" t="s">
        <v>130</v>
      </c>
      <c r="CL101" s="0" t="s">
        <v>130</v>
      </c>
      <c r="CM101" s="0" t="s">
        <v>130</v>
      </c>
      <c r="CN101" s="0" t="s">
        <v>130</v>
      </c>
      <c r="CO101" s="0" t="s">
        <v>130</v>
      </c>
      <c r="CP101" s="0" t="s">
        <v>130</v>
      </c>
      <c r="CQ101" s="0" t="s">
        <v>130</v>
      </c>
      <c r="CR101" s="0" t="s">
        <v>130</v>
      </c>
      <c r="CS101" s="0" t="s">
        <v>130</v>
      </c>
      <c r="CT101" s="0" t="s">
        <v>545</v>
      </c>
    </row>
    <row r="102">
      <c r="A102" s="14">
        <v>100315</v>
      </c>
      <c r="B102" s="0" t="s">
        <v>539</v>
      </c>
      <c r="C102" s="16">
        <f>HYPERLINK("https://eosportal.federatedhermes.com/companies/Q29tcGFueQppNzcwNTA=", "Chevron Corp")</f>
      </c>
      <c r="D102" s="0" t="s">
        <v>25</v>
      </c>
      <c r="E102" s="0" t="s">
        <v>546</v>
      </c>
      <c r="F102" s="16">
        <f>HYPERLINK("https://eosportal.federatedhermes.com/engagements/RW5nYWdlbWVudAppMTg2MzY=", "Tax policy and practice")</f>
      </c>
      <c r="G102" s="14" t="s">
        <v>547</v>
      </c>
      <c r="H102" s="0" t="s">
        <v>141</v>
      </c>
      <c r="I102" s="14" t="s">
        <v>191</v>
      </c>
      <c r="J102" s="0" t="s">
        <v>153</v>
      </c>
      <c r="K102" s="0" t="s">
        <v>185</v>
      </c>
      <c r="L102" s="0" t="s">
        <v>548</v>
      </c>
      <c r="M102" s="0" t="s">
        <v>135</v>
      </c>
      <c r="N102" s="0" t="s">
        <v>136</v>
      </c>
      <c r="O102" s="0" t="s">
        <v>542</v>
      </c>
      <c r="Q102" s="0" t="s">
        <v>130</v>
      </c>
      <c r="R102" s="0" t="s">
        <v>138</v>
      </c>
      <c r="S102" s="14">
        <v>0</v>
      </c>
      <c r="T102" s="0" t="s">
        <v>314</v>
      </c>
      <c r="U102" s="0" t="s">
        <v>138</v>
      </c>
      <c r="V102" s="14" t="s">
        <v>138</v>
      </c>
      <c r="W102" s="0" t="s">
        <v>138</v>
      </c>
      <c r="X102" s="14" t="s">
        <v>138</v>
      </c>
      <c r="Y102" s="0" t="s">
        <v>138</v>
      </c>
      <c r="Z102" s="14" t="s">
        <v>138</v>
      </c>
      <c r="AA102" s="0" t="s">
        <v>138</v>
      </c>
      <c r="AB102" s="14" t="s">
        <v>138</v>
      </c>
      <c r="AD102" s="0" t="s">
        <v>138</v>
      </c>
      <c r="AF102" s="0">
        <v>0</v>
      </c>
      <c r="AG102" s="0">
        <v>0</v>
      </c>
      <c r="AH102" s="0" t="s">
        <v>140</v>
      </c>
      <c r="AI102" s="0" t="s">
        <v>138</v>
      </c>
      <c r="AL102" s="14"/>
      <c r="AN102" s="14"/>
      <c r="AQ102" s="0" t="s">
        <v>130</v>
      </c>
      <c r="AR102" s="0" t="s">
        <v>130</v>
      </c>
      <c r="AS102" s="0" t="s">
        <v>130</v>
      </c>
      <c r="AT102" s="0" t="s">
        <v>130</v>
      </c>
      <c r="AU102" s="0" t="s">
        <v>130</v>
      </c>
      <c r="AV102" s="0" t="s">
        <v>130</v>
      </c>
      <c r="AW102" s="0" t="s">
        <v>130</v>
      </c>
      <c r="AX102" s="0" t="s">
        <v>130</v>
      </c>
      <c r="AY102" s="0" t="s">
        <v>130</v>
      </c>
      <c r="AZ102" s="0" t="s">
        <v>130</v>
      </c>
      <c r="BA102" s="0" t="s">
        <v>130</v>
      </c>
      <c r="BB102" s="0" t="s">
        <v>130</v>
      </c>
      <c r="BC102" s="0" t="s">
        <v>130</v>
      </c>
      <c r="BD102" s="0" t="s">
        <v>130</v>
      </c>
      <c r="BE102" s="0" t="s">
        <v>130</v>
      </c>
      <c r="BF102" s="0" t="s">
        <v>130</v>
      </c>
      <c r="BG102" s="0" t="s">
        <v>141</v>
      </c>
      <c r="BH102" s="0" t="s">
        <v>130</v>
      </c>
      <c r="BI102" s="0" t="s">
        <v>130</v>
      </c>
      <c r="BJ102" s="0" t="s">
        <v>130</v>
      </c>
      <c r="BK102" s="0" t="s">
        <v>130</v>
      </c>
      <c r="BL102" s="0" t="s">
        <v>130</v>
      </c>
      <c r="BM102" s="0" t="s">
        <v>130</v>
      </c>
      <c r="BN102" s="0" t="s">
        <v>130</v>
      </c>
      <c r="BO102" s="0" t="s">
        <v>130</v>
      </c>
      <c r="BP102" s="0" t="s">
        <v>130</v>
      </c>
      <c r="BQ102" s="0" t="s">
        <v>130</v>
      </c>
      <c r="BR102" s="0" t="s">
        <v>130</v>
      </c>
      <c r="BS102" s="0" t="s">
        <v>130</v>
      </c>
      <c r="BT102" s="0" t="s">
        <v>130</v>
      </c>
      <c r="BU102" s="0" t="s">
        <v>130</v>
      </c>
      <c r="BV102" s="0" t="s">
        <v>130</v>
      </c>
      <c r="BW102" s="0" t="s">
        <v>130</v>
      </c>
      <c r="BX102" s="0" t="s">
        <v>130</v>
      </c>
      <c r="BY102" s="0" t="s">
        <v>130</v>
      </c>
      <c r="BZ102" s="0" t="s">
        <v>130</v>
      </c>
      <c r="CA102" s="0" t="s">
        <v>130</v>
      </c>
      <c r="CB102" s="0" t="s">
        <v>130</v>
      </c>
      <c r="CC102" s="0" t="s">
        <v>130</v>
      </c>
      <c r="CD102" s="0" t="s">
        <v>130</v>
      </c>
      <c r="CE102" s="0" t="s">
        <v>130</v>
      </c>
      <c r="CF102" s="0" t="s">
        <v>130</v>
      </c>
      <c r="CG102" s="0" t="s">
        <v>130</v>
      </c>
      <c r="CH102" s="0" t="s">
        <v>130</v>
      </c>
      <c r="CI102" s="0" t="s">
        <v>130</v>
      </c>
      <c r="CJ102" s="0" t="s">
        <v>130</v>
      </c>
      <c r="CK102" s="0" t="s">
        <v>130</v>
      </c>
      <c r="CL102" s="0" t="s">
        <v>130</v>
      </c>
      <c r="CM102" s="0" t="s">
        <v>130</v>
      </c>
      <c r="CN102" s="0" t="s">
        <v>130</v>
      </c>
      <c r="CO102" s="0" t="s">
        <v>130</v>
      </c>
      <c r="CP102" s="0" t="s">
        <v>130</v>
      </c>
      <c r="CQ102" s="0" t="s">
        <v>130</v>
      </c>
      <c r="CR102" s="0" t="s">
        <v>130</v>
      </c>
      <c r="CS102" s="0" t="s">
        <v>130</v>
      </c>
      <c r="CT102" s="0" t="s">
        <v>549</v>
      </c>
    </row>
    <row r="103">
      <c r="A103" s="14">
        <v>100315</v>
      </c>
      <c r="B103" s="0" t="s">
        <v>539</v>
      </c>
      <c r="C103" s="16">
        <f>HYPERLINK("https://eosportal.federatedhermes.com/companies/Q29tcGFueQppNzcwNTA=", "Chevron Corp")</f>
      </c>
      <c r="D103" s="0" t="s">
        <v>25</v>
      </c>
      <c r="E103" s="0" t="s">
        <v>550</v>
      </c>
      <c r="F103" s="16">
        <f>HYPERLINK("https://eosportal.federatedhermes.com/engagements/RW5nYWdlbWVudAppMTg2Mzg=", "Independent chair")</f>
      </c>
      <c r="G103" s="14" t="s">
        <v>551</v>
      </c>
      <c r="H103" s="0" t="s">
        <v>141</v>
      </c>
      <c r="I103" s="14" t="s">
        <v>191</v>
      </c>
      <c r="J103" s="0" t="s">
        <v>145</v>
      </c>
      <c r="K103" s="0" t="s">
        <v>164</v>
      </c>
      <c r="L103" s="0" t="s">
        <v>165</v>
      </c>
      <c r="M103" s="0" t="s">
        <v>135</v>
      </c>
      <c r="N103" s="0" t="s">
        <v>136</v>
      </c>
      <c r="O103" s="0" t="s">
        <v>542</v>
      </c>
      <c r="Q103" s="0" t="s">
        <v>130</v>
      </c>
      <c r="R103" s="0" t="s">
        <v>138</v>
      </c>
      <c r="S103" s="14">
        <v>0</v>
      </c>
      <c r="T103" s="0" t="s">
        <v>239</v>
      </c>
      <c r="U103" s="0" t="s">
        <v>138</v>
      </c>
      <c r="V103" s="14" t="s">
        <v>138</v>
      </c>
      <c r="W103" s="0" t="s">
        <v>138</v>
      </c>
      <c r="X103" s="14" t="s">
        <v>138</v>
      </c>
      <c r="Y103" s="0" t="s">
        <v>138</v>
      </c>
      <c r="Z103" s="14" t="s">
        <v>138</v>
      </c>
      <c r="AA103" s="0" t="s">
        <v>138</v>
      </c>
      <c r="AB103" s="14" t="s">
        <v>138</v>
      </c>
      <c r="AD103" s="0" t="s">
        <v>138</v>
      </c>
      <c r="AF103" s="0">
        <v>0</v>
      </c>
      <c r="AG103" s="0">
        <v>0</v>
      </c>
      <c r="AH103" s="0" t="s">
        <v>140</v>
      </c>
      <c r="AI103" s="0" t="s">
        <v>138</v>
      </c>
      <c r="AL103" s="14"/>
      <c r="AN103" s="14"/>
      <c r="AQ103" s="0" t="s">
        <v>130</v>
      </c>
      <c r="AR103" s="0" t="s">
        <v>130</v>
      </c>
      <c r="AS103" s="0" t="s">
        <v>130</v>
      </c>
      <c r="AT103" s="0" t="s">
        <v>130</v>
      </c>
      <c r="AU103" s="0" t="s">
        <v>130</v>
      </c>
      <c r="AV103" s="0" t="s">
        <v>130</v>
      </c>
      <c r="AW103" s="0" t="s">
        <v>130</v>
      </c>
      <c r="AX103" s="0" t="s">
        <v>130</v>
      </c>
      <c r="AY103" s="0" t="s">
        <v>130</v>
      </c>
      <c r="AZ103" s="0" t="s">
        <v>130</v>
      </c>
      <c r="BA103" s="0" t="s">
        <v>130</v>
      </c>
      <c r="BB103" s="0" t="s">
        <v>130</v>
      </c>
      <c r="BC103" s="0" t="s">
        <v>130</v>
      </c>
      <c r="BD103" s="0" t="s">
        <v>130</v>
      </c>
      <c r="BE103" s="0" t="s">
        <v>130</v>
      </c>
      <c r="BF103" s="0" t="s">
        <v>130</v>
      </c>
      <c r="BG103" s="0" t="s">
        <v>130</v>
      </c>
      <c r="BH103" s="0" t="s">
        <v>130</v>
      </c>
      <c r="BI103" s="0" t="s">
        <v>130</v>
      </c>
      <c r="BJ103" s="0" t="s">
        <v>130</v>
      </c>
      <c r="BK103" s="0" t="s">
        <v>130</v>
      </c>
      <c r="BL103" s="0" t="s">
        <v>130</v>
      </c>
      <c r="BM103" s="0" t="s">
        <v>130</v>
      </c>
      <c r="BN103" s="0" t="s">
        <v>130</v>
      </c>
      <c r="BO103" s="0" t="s">
        <v>130</v>
      </c>
      <c r="BP103" s="0" t="s">
        <v>130</v>
      </c>
      <c r="BQ103" s="0" t="s">
        <v>130</v>
      </c>
      <c r="BR103" s="0" t="s">
        <v>130</v>
      </c>
      <c r="BS103" s="0" t="s">
        <v>130</v>
      </c>
      <c r="BT103" s="0" t="s">
        <v>130</v>
      </c>
      <c r="BU103" s="0" t="s">
        <v>130</v>
      </c>
      <c r="BV103" s="0" t="s">
        <v>130</v>
      </c>
      <c r="BW103" s="0" t="s">
        <v>130</v>
      </c>
      <c r="BX103" s="0" t="s">
        <v>130</v>
      </c>
      <c r="BY103" s="0" t="s">
        <v>130</v>
      </c>
      <c r="BZ103" s="0" t="s">
        <v>130</v>
      </c>
      <c r="CA103" s="0" t="s">
        <v>130</v>
      </c>
      <c r="CB103" s="0" t="s">
        <v>130</v>
      </c>
      <c r="CC103" s="0" t="s">
        <v>130</v>
      </c>
      <c r="CD103" s="0" t="s">
        <v>130</v>
      </c>
      <c r="CE103" s="0" t="s">
        <v>130</v>
      </c>
      <c r="CF103" s="0" t="s">
        <v>130</v>
      </c>
      <c r="CG103" s="0" t="s">
        <v>130</v>
      </c>
      <c r="CH103" s="0" t="s">
        <v>130</v>
      </c>
      <c r="CI103" s="0" t="s">
        <v>130</v>
      </c>
      <c r="CJ103" s="0" t="s">
        <v>130</v>
      </c>
      <c r="CK103" s="0" t="s">
        <v>130</v>
      </c>
      <c r="CL103" s="0" t="s">
        <v>130</v>
      </c>
      <c r="CM103" s="0" t="s">
        <v>130</v>
      </c>
      <c r="CN103" s="0" t="s">
        <v>130</v>
      </c>
      <c r="CO103" s="0" t="s">
        <v>130</v>
      </c>
      <c r="CP103" s="0" t="s">
        <v>130</v>
      </c>
      <c r="CQ103" s="0" t="s">
        <v>130</v>
      </c>
      <c r="CR103" s="0" t="s">
        <v>130</v>
      </c>
      <c r="CS103" s="0" t="s">
        <v>130</v>
      </c>
      <c r="CT103" s="0" t="s">
        <v>552</v>
      </c>
    </row>
    <row r="104">
      <c r="A104" s="14">
        <v>100315</v>
      </c>
      <c r="B104" s="0" t="s">
        <v>539</v>
      </c>
      <c r="C104" s="16">
        <f>HYPERLINK("https://eosportal.federatedhermes.com/companies/Q29tcGFueQppNzcwNTA=", "Chevron Corp")</f>
      </c>
      <c r="D104" s="0" t="s">
        <v>25</v>
      </c>
      <c r="E104" s="0" t="s">
        <v>553</v>
      </c>
      <c r="F104" s="16">
        <f>HYPERLINK("https://eosportal.federatedhermes.com/engagements/RW5nYWdlbWVudAppMTg2NDA=", "Risk management and disaster preparedness post Gulf of Mexico oil spill")</f>
      </c>
      <c r="G104" s="14" t="s">
        <v>553</v>
      </c>
      <c r="H104" s="0" t="s">
        <v>141</v>
      </c>
      <c r="I104" s="14" t="s">
        <v>191</v>
      </c>
      <c r="J104" s="0" t="s">
        <v>132</v>
      </c>
      <c r="K104" s="0" t="s">
        <v>260</v>
      </c>
      <c r="L104" s="0" t="s">
        <v>261</v>
      </c>
      <c r="M104" s="0" t="s">
        <v>135</v>
      </c>
      <c r="N104" s="0" t="s">
        <v>136</v>
      </c>
      <c r="O104" s="0" t="s">
        <v>542</v>
      </c>
      <c r="Q104" s="0" t="s">
        <v>130</v>
      </c>
      <c r="R104" s="0" t="s">
        <v>138</v>
      </c>
      <c r="S104" s="14">
        <v>0</v>
      </c>
      <c r="T104" s="0" t="s">
        <v>181</v>
      </c>
      <c r="U104" s="0" t="s">
        <v>138</v>
      </c>
      <c r="V104" s="14" t="s">
        <v>138</v>
      </c>
      <c r="W104" s="0" t="s">
        <v>138</v>
      </c>
      <c r="X104" s="14" t="s">
        <v>138</v>
      </c>
      <c r="Y104" s="0" t="s">
        <v>138</v>
      </c>
      <c r="Z104" s="14" t="s">
        <v>138</v>
      </c>
      <c r="AA104" s="0" t="s">
        <v>138</v>
      </c>
      <c r="AB104" s="14" t="s">
        <v>138</v>
      </c>
      <c r="AD104" s="0" t="s">
        <v>138</v>
      </c>
      <c r="AF104" s="0">
        <v>0</v>
      </c>
      <c r="AG104" s="0">
        <v>0</v>
      </c>
      <c r="AH104" s="0" t="s">
        <v>140</v>
      </c>
      <c r="AI104" s="0" t="s">
        <v>138</v>
      </c>
      <c r="AL104" s="14"/>
      <c r="AN104" s="14"/>
      <c r="AQ104" s="0" t="s">
        <v>130</v>
      </c>
      <c r="AR104" s="0" t="s">
        <v>130</v>
      </c>
      <c r="AS104" s="0" t="s">
        <v>130</v>
      </c>
      <c r="AT104" s="0" t="s">
        <v>130</v>
      </c>
      <c r="AU104" s="0" t="s">
        <v>130</v>
      </c>
      <c r="AV104" s="0" t="s">
        <v>130</v>
      </c>
      <c r="AW104" s="0" t="s">
        <v>130</v>
      </c>
      <c r="AX104" s="0" t="s">
        <v>130</v>
      </c>
      <c r="AY104" s="0" t="s">
        <v>130</v>
      </c>
      <c r="AZ104" s="0" t="s">
        <v>130</v>
      </c>
      <c r="BA104" s="0" t="s">
        <v>130</v>
      </c>
      <c r="BB104" s="0" t="s">
        <v>130</v>
      </c>
      <c r="BC104" s="0" t="s">
        <v>130</v>
      </c>
      <c r="BD104" s="0" t="s">
        <v>130</v>
      </c>
      <c r="BE104" s="0" t="s">
        <v>130</v>
      </c>
      <c r="BF104" s="0" t="s">
        <v>130</v>
      </c>
      <c r="BG104" s="0" t="s">
        <v>130</v>
      </c>
      <c r="BH104" s="0" t="s">
        <v>130</v>
      </c>
      <c r="BI104" s="0" t="s">
        <v>130</v>
      </c>
      <c r="BJ104" s="0" t="s">
        <v>130</v>
      </c>
      <c r="BK104" s="0" t="s">
        <v>130</v>
      </c>
      <c r="BL104" s="0" t="s">
        <v>130</v>
      </c>
      <c r="BM104" s="0" t="s">
        <v>130</v>
      </c>
      <c r="BN104" s="0" t="s">
        <v>130</v>
      </c>
      <c r="BO104" s="0" t="s">
        <v>130</v>
      </c>
      <c r="BP104" s="0" t="s">
        <v>130</v>
      </c>
      <c r="BQ104" s="0" t="s">
        <v>130</v>
      </c>
      <c r="BR104" s="0" t="s">
        <v>130</v>
      </c>
      <c r="BS104" s="0" t="s">
        <v>130</v>
      </c>
      <c r="BT104" s="0" t="s">
        <v>130</v>
      </c>
      <c r="BU104" s="0" t="s">
        <v>130</v>
      </c>
      <c r="BV104" s="0" t="s">
        <v>130</v>
      </c>
      <c r="BW104" s="0" t="s">
        <v>130</v>
      </c>
      <c r="BX104" s="0" t="s">
        <v>130</v>
      </c>
      <c r="BY104" s="0" t="s">
        <v>130</v>
      </c>
      <c r="BZ104" s="0" t="s">
        <v>130</v>
      </c>
      <c r="CA104" s="0" t="s">
        <v>130</v>
      </c>
      <c r="CB104" s="0" t="s">
        <v>130</v>
      </c>
      <c r="CC104" s="0" t="s">
        <v>130</v>
      </c>
      <c r="CD104" s="0" t="s">
        <v>130</v>
      </c>
      <c r="CE104" s="0" t="s">
        <v>130</v>
      </c>
      <c r="CF104" s="0" t="s">
        <v>130</v>
      </c>
      <c r="CG104" s="0" t="s">
        <v>130</v>
      </c>
      <c r="CH104" s="0" t="s">
        <v>130</v>
      </c>
      <c r="CI104" s="0" t="s">
        <v>130</v>
      </c>
      <c r="CJ104" s="0" t="s">
        <v>130</v>
      </c>
      <c r="CK104" s="0" t="s">
        <v>130</v>
      </c>
      <c r="CL104" s="0" t="s">
        <v>130</v>
      </c>
      <c r="CM104" s="0" t="s">
        <v>130</v>
      </c>
      <c r="CN104" s="0" t="s">
        <v>130</v>
      </c>
      <c r="CO104" s="0" t="s">
        <v>130</v>
      </c>
      <c r="CP104" s="0" t="s">
        <v>130</v>
      </c>
      <c r="CQ104" s="0" t="s">
        <v>130</v>
      </c>
      <c r="CR104" s="0" t="s">
        <v>130</v>
      </c>
      <c r="CS104" s="0" t="s">
        <v>130</v>
      </c>
      <c r="CT104" s="0" t="s">
        <v>554</v>
      </c>
    </row>
    <row r="105">
      <c r="A105" s="14">
        <v>100315</v>
      </c>
      <c r="B105" s="0" t="s">
        <v>539</v>
      </c>
      <c r="C105" s="16">
        <f>HYPERLINK("https://eosportal.federatedhermes.com/companies/Q29tcGFueQppNzcwNTA=", "Chevron Corp")</f>
      </c>
      <c r="D105" s="0" t="s">
        <v>25</v>
      </c>
      <c r="E105" s="0" t="s">
        <v>555</v>
      </c>
      <c r="F105" s="16">
        <f>HYPERLINK("https://eosportal.federatedhermes.com/engagements/RW5nYWdlbWVudAppMTg2NDE=", "Oil Sands")</f>
      </c>
      <c r="G105" s="14" t="s">
        <v>556</v>
      </c>
      <c r="H105" s="0" t="s">
        <v>141</v>
      </c>
      <c r="I105" s="14" t="s">
        <v>191</v>
      </c>
      <c r="J105" s="0" t="s">
        <v>132</v>
      </c>
      <c r="K105" s="0" t="s">
        <v>133</v>
      </c>
      <c r="L105" s="0" t="s">
        <v>160</v>
      </c>
      <c r="M105" s="0" t="s">
        <v>135</v>
      </c>
      <c r="N105" s="0" t="s">
        <v>136</v>
      </c>
      <c r="O105" s="0" t="s">
        <v>542</v>
      </c>
      <c r="Q105" s="0" t="s">
        <v>130</v>
      </c>
      <c r="R105" s="0" t="s">
        <v>138</v>
      </c>
      <c r="S105" s="14">
        <v>0</v>
      </c>
      <c r="T105" s="0" t="s">
        <v>557</v>
      </c>
      <c r="U105" s="0" t="s">
        <v>138</v>
      </c>
      <c r="V105" s="14" t="s">
        <v>138</v>
      </c>
      <c r="W105" s="0" t="s">
        <v>138</v>
      </c>
      <c r="X105" s="14" t="s">
        <v>138</v>
      </c>
      <c r="Y105" s="0" t="s">
        <v>138</v>
      </c>
      <c r="Z105" s="14" t="s">
        <v>138</v>
      </c>
      <c r="AA105" s="0" t="s">
        <v>138</v>
      </c>
      <c r="AB105" s="14" t="s">
        <v>138</v>
      </c>
      <c r="AD105" s="0" t="s">
        <v>138</v>
      </c>
      <c r="AF105" s="0">
        <v>0</v>
      </c>
      <c r="AG105" s="0">
        <v>0</v>
      </c>
      <c r="AH105" s="0" t="s">
        <v>140</v>
      </c>
      <c r="AI105" s="0" t="s">
        <v>138</v>
      </c>
      <c r="AL105" s="14"/>
      <c r="AN105" s="14"/>
      <c r="AQ105" s="0" t="s">
        <v>130</v>
      </c>
      <c r="AR105" s="0" t="s">
        <v>130</v>
      </c>
      <c r="AS105" s="0" t="s">
        <v>130</v>
      </c>
      <c r="AT105" s="0" t="s">
        <v>130</v>
      </c>
      <c r="AU105" s="0" t="s">
        <v>130</v>
      </c>
      <c r="AV105" s="0" t="s">
        <v>130</v>
      </c>
      <c r="AW105" s="0" t="s">
        <v>130</v>
      </c>
      <c r="AX105" s="0" t="s">
        <v>130</v>
      </c>
      <c r="AY105" s="0" t="s">
        <v>130</v>
      </c>
      <c r="AZ105" s="0" t="s">
        <v>130</v>
      </c>
      <c r="BA105" s="0" t="s">
        <v>130</v>
      </c>
      <c r="BB105" s="0" t="s">
        <v>130</v>
      </c>
      <c r="BC105" s="0" t="s">
        <v>130</v>
      </c>
      <c r="BD105" s="0" t="s">
        <v>130</v>
      </c>
      <c r="BE105" s="0" t="s">
        <v>130</v>
      </c>
      <c r="BF105" s="0" t="s">
        <v>130</v>
      </c>
      <c r="BG105" s="0" t="s">
        <v>130</v>
      </c>
      <c r="BH105" s="0" t="s">
        <v>130</v>
      </c>
      <c r="BI105" s="0" t="s">
        <v>130</v>
      </c>
      <c r="BJ105" s="0" t="s">
        <v>130</v>
      </c>
      <c r="BK105" s="0" t="s">
        <v>130</v>
      </c>
      <c r="BL105" s="0" t="s">
        <v>130</v>
      </c>
      <c r="BM105" s="0" t="s">
        <v>130</v>
      </c>
      <c r="BN105" s="0" t="s">
        <v>130</v>
      </c>
      <c r="BO105" s="0" t="s">
        <v>130</v>
      </c>
      <c r="BP105" s="0" t="s">
        <v>130</v>
      </c>
      <c r="BQ105" s="0" t="s">
        <v>130</v>
      </c>
      <c r="BR105" s="0" t="s">
        <v>130</v>
      </c>
      <c r="BS105" s="0" t="s">
        <v>130</v>
      </c>
      <c r="BT105" s="0" t="s">
        <v>130</v>
      </c>
      <c r="BU105" s="0" t="s">
        <v>130</v>
      </c>
      <c r="BV105" s="0" t="s">
        <v>130</v>
      </c>
      <c r="BW105" s="0" t="s">
        <v>130</v>
      </c>
      <c r="BX105" s="0" t="s">
        <v>130</v>
      </c>
      <c r="BY105" s="0" t="s">
        <v>130</v>
      </c>
      <c r="BZ105" s="0" t="s">
        <v>130</v>
      </c>
      <c r="CA105" s="0" t="s">
        <v>130</v>
      </c>
      <c r="CB105" s="0" t="s">
        <v>130</v>
      </c>
      <c r="CC105" s="0" t="s">
        <v>130</v>
      </c>
      <c r="CD105" s="0" t="s">
        <v>130</v>
      </c>
      <c r="CE105" s="0" t="s">
        <v>130</v>
      </c>
      <c r="CF105" s="0" t="s">
        <v>130</v>
      </c>
      <c r="CG105" s="0" t="s">
        <v>130</v>
      </c>
      <c r="CH105" s="0" t="s">
        <v>130</v>
      </c>
      <c r="CI105" s="0" t="s">
        <v>130</v>
      </c>
      <c r="CJ105" s="0" t="s">
        <v>130</v>
      </c>
      <c r="CK105" s="0" t="s">
        <v>130</v>
      </c>
      <c r="CL105" s="0" t="s">
        <v>130</v>
      </c>
      <c r="CM105" s="0" t="s">
        <v>130</v>
      </c>
      <c r="CN105" s="0" t="s">
        <v>130</v>
      </c>
      <c r="CO105" s="0" t="s">
        <v>130</v>
      </c>
      <c r="CP105" s="0" t="s">
        <v>130</v>
      </c>
      <c r="CQ105" s="0" t="s">
        <v>130</v>
      </c>
      <c r="CR105" s="0" t="s">
        <v>130</v>
      </c>
      <c r="CS105" s="0" t="s">
        <v>130</v>
      </c>
      <c r="CT105" s="0" t="s">
        <v>558</v>
      </c>
    </row>
    <row r="106">
      <c r="A106" s="14">
        <v>100315</v>
      </c>
      <c r="B106" s="0" t="s">
        <v>539</v>
      </c>
      <c r="C106" s="16">
        <f>HYPERLINK("https://eosportal.federatedhermes.com/companies/Q29tcGFueQppNzcwNTA=", "Chevron Corp")</f>
      </c>
      <c r="D106" s="0" t="s">
        <v>25</v>
      </c>
      <c r="E106" s="0" t="s">
        <v>559</v>
      </c>
      <c r="F106" s="16">
        <f>HYPERLINK("https://eosportal.federatedhermes.com/engagements/RW5nYWdlbWVudAppMTg2NDI=", "Requisitioning shareholder meetings")</f>
      </c>
      <c r="G106" s="14" t="s">
        <v>560</v>
      </c>
      <c r="H106" s="0" t="s">
        <v>141</v>
      </c>
      <c r="I106" s="14" t="s">
        <v>191</v>
      </c>
      <c r="J106" s="0" t="s">
        <v>145</v>
      </c>
      <c r="K106" s="0" t="s">
        <v>400</v>
      </c>
      <c r="L106" s="0" t="s">
        <v>507</v>
      </c>
      <c r="M106" s="0" t="s">
        <v>135</v>
      </c>
      <c r="N106" s="0" t="s">
        <v>136</v>
      </c>
      <c r="O106" s="0" t="s">
        <v>542</v>
      </c>
      <c r="Q106" s="0" t="s">
        <v>130</v>
      </c>
      <c r="R106" s="0" t="s">
        <v>138</v>
      </c>
      <c r="S106" s="14">
        <v>0</v>
      </c>
      <c r="T106" s="0" t="s">
        <v>239</v>
      </c>
      <c r="U106" s="0" t="s">
        <v>138</v>
      </c>
      <c r="V106" s="14" t="s">
        <v>138</v>
      </c>
      <c r="W106" s="0" t="s">
        <v>138</v>
      </c>
      <c r="X106" s="14" t="s">
        <v>138</v>
      </c>
      <c r="Y106" s="0" t="s">
        <v>138</v>
      </c>
      <c r="Z106" s="14" t="s">
        <v>138</v>
      </c>
      <c r="AA106" s="0" t="s">
        <v>138</v>
      </c>
      <c r="AB106" s="14" t="s">
        <v>138</v>
      </c>
      <c r="AD106" s="0" t="s">
        <v>138</v>
      </c>
      <c r="AF106" s="0">
        <v>0</v>
      </c>
      <c r="AG106" s="0">
        <v>0</v>
      </c>
      <c r="AH106" s="0" t="s">
        <v>140</v>
      </c>
      <c r="AI106" s="0" t="s">
        <v>138</v>
      </c>
      <c r="AL106" s="14"/>
      <c r="AN106" s="14"/>
      <c r="AQ106" s="0" t="s">
        <v>130</v>
      </c>
      <c r="AR106" s="0" t="s">
        <v>130</v>
      </c>
      <c r="AS106" s="0" t="s">
        <v>130</v>
      </c>
      <c r="AT106" s="0" t="s">
        <v>130</v>
      </c>
      <c r="AU106" s="0" t="s">
        <v>130</v>
      </c>
      <c r="AV106" s="0" t="s">
        <v>130</v>
      </c>
      <c r="AW106" s="0" t="s">
        <v>130</v>
      </c>
      <c r="AX106" s="0" t="s">
        <v>130</v>
      </c>
      <c r="AY106" s="0" t="s">
        <v>130</v>
      </c>
      <c r="AZ106" s="0" t="s">
        <v>130</v>
      </c>
      <c r="BA106" s="0" t="s">
        <v>130</v>
      </c>
      <c r="BB106" s="0" t="s">
        <v>130</v>
      </c>
      <c r="BC106" s="0" t="s">
        <v>130</v>
      </c>
      <c r="BD106" s="0" t="s">
        <v>130</v>
      </c>
      <c r="BE106" s="0" t="s">
        <v>130</v>
      </c>
      <c r="BF106" s="0" t="s">
        <v>130</v>
      </c>
      <c r="BG106" s="0" t="s">
        <v>130</v>
      </c>
      <c r="BH106" s="0" t="s">
        <v>130</v>
      </c>
      <c r="BI106" s="0" t="s">
        <v>130</v>
      </c>
      <c r="BJ106" s="0" t="s">
        <v>130</v>
      </c>
      <c r="BK106" s="0" t="s">
        <v>130</v>
      </c>
      <c r="BL106" s="0" t="s">
        <v>130</v>
      </c>
      <c r="BM106" s="0" t="s">
        <v>130</v>
      </c>
      <c r="BN106" s="0" t="s">
        <v>130</v>
      </c>
      <c r="BO106" s="0" t="s">
        <v>130</v>
      </c>
      <c r="BP106" s="0" t="s">
        <v>130</v>
      </c>
      <c r="BQ106" s="0" t="s">
        <v>130</v>
      </c>
      <c r="BR106" s="0" t="s">
        <v>130</v>
      </c>
      <c r="BS106" s="0" t="s">
        <v>130</v>
      </c>
      <c r="BT106" s="0" t="s">
        <v>130</v>
      </c>
      <c r="BU106" s="0" t="s">
        <v>130</v>
      </c>
      <c r="BV106" s="0" t="s">
        <v>130</v>
      </c>
      <c r="BW106" s="0" t="s">
        <v>130</v>
      </c>
      <c r="BX106" s="0" t="s">
        <v>130</v>
      </c>
      <c r="BY106" s="0" t="s">
        <v>130</v>
      </c>
      <c r="BZ106" s="0" t="s">
        <v>130</v>
      </c>
      <c r="CA106" s="0" t="s">
        <v>130</v>
      </c>
      <c r="CB106" s="0" t="s">
        <v>130</v>
      </c>
      <c r="CC106" s="0" t="s">
        <v>130</v>
      </c>
      <c r="CD106" s="0" t="s">
        <v>130</v>
      </c>
      <c r="CE106" s="0" t="s">
        <v>130</v>
      </c>
      <c r="CF106" s="0" t="s">
        <v>130</v>
      </c>
      <c r="CG106" s="0" t="s">
        <v>130</v>
      </c>
      <c r="CH106" s="0" t="s">
        <v>130</v>
      </c>
      <c r="CI106" s="0" t="s">
        <v>130</v>
      </c>
      <c r="CJ106" s="0" t="s">
        <v>130</v>
      </c>
      <c r="CK106" s="0" t="s">
        <v>130</v>
      </c>
      <c r="CL106" s="0" t="s">
        <v>130</v>
      </c>
      <c r="CM106" s="0" t="s">
        <v>130</v>
      </c>
      <c r="CN106" s="0" t="s">
        <v>130</v>
      </c>
      <c r="CO106" s="0" t="s">
        <v>130</v>
      </c>
      <c r="CP106" s="0" t="s">
        <v>130</v>
      </c>
      <c r="CQ106" s="0" t="s">
        <v>130</v>
      </c>
      <c r="CR106" s="0" t="s">
        <v>130</v>
      </c>
      <c r="CS106" s="0" t="s">
        <v>130</v>
      </c>
      <c r="CT106" s="0" t="s">
        <v>561</v>
      </c>
    </row>
    <row r="107">
      <c r="A107" s="14">
        <v>100315</v>
      </c>
      <c r="B107" s="0" t="s">
        <v>539</v>
      </c>
      <c r="C107" s="16">
        <f>HYPERLINK("https://eosportal.federatedhermes.com/companies/Q29tcGFueQppNzcwNTA=", "Chevron Corp")</f>
      </c>
      <c r="D107" s="0" t="s">
        <v>23</v>
      </c>
      <c r="E107" s="0" t="s">
        <v>562</v>
      </c>
      <c r="F107" s="16">
        <f>HYPERLINK("https://eosportal.federatedhermes.com/engagements/RW5nYWdlbWVudAppMTg2NTA=", "Use of options as part of executive compensation")</f>
      </c>
      <c r="G107" s="14" t="s">
        <v>563</v>
      </c>
      <c r="H107" s="0" t="s">
        <v>141</v>
      </c>
      <c r="I107" s="14" t="s">
        <v>191</v>
      </c>
      <c r="J107" s="0" t="s">
        <v>145</v>
      </c>
      <c r="K107" s="0" t="s">
        <v>146</v>
      </c>
      <c r="L107" s="0" t="s">
        <v>147</v>
      </c>
      <c r="M107" s="0" t="s">
        <v>135</v>
      </c>
      <c r="N107" s="0" t="s">
        <v>136</v>
      </c>
      <c r="O107" s="0" t="s">
        <v>542</v>
      </c>
      <c r="Q107" s="0" t="s">
        <v>130</v>
      </c>
      <c r="R107" s="0" t="s">
        <v>130</v>
      </c>
      <c r="S107" s="14">
        <v>0</v>
      </c>
      <c r="T107" s="0" t="s">
        <v>166</v>
      </c>
      <c r="U107" s="0" t="s">
        <v>221</v>
      </c>
      <c r="V107" s="14" t="s">
        <v>166</v>
      </c>
      <c r="W107" s="0" t="s">
        <v>221</v>
      </c>
      <c r="X107" s="14" t="s">
        <v>478</v>
      </c>
      <c r="Y107" s="0" t="s">
        <v>223</v>
      </c>
      <c r="Z107" s="14" t="s">
        <v>138</v>
      </c>
      <c r="AA107" s="0" t="s">
        <v>224</v>
      </c>
      <c r="AB107" s="14" t="s">
        <v>138</v>
      </c>
      <c r="AD107" s="0" t="s">
        <v>17</v>
      </c>
      <c r="AF107" s="0">
        <v>0</v>
      </c>
      <c r="AG107" s="0">
        <v>0</v>
      </c>
      <c r="AH107" s="0" t="s">
        <v>140</v>
      </c>
      <c r="AI107" s="0" t="s">
        <v>225</v>
      </c>
      <c r="AL107" s="14"/>
      <c r="AN107" s="14"/>
      <c r="AQ107" s="0" t="s">
        <v>130</v>
      </c>
      <c r="AR107" s="0" t="s">
        <v>130</v>
      </c>
      <c r="AS107" s="0" t="s">
        <v>130</v>
      </c>
      <c r="AT107" s="0" t="s">
        <v>130</v>
      </c>
      <c r="AU107" s="0" t="s">
        <v>130</v>
      </c>
      <c r="AV107" s="0" t="s">
        <v>130</v>
      </c>
      <c r="AW107" s="0" t="s">
        <v>130</v>
      </c>
      <c r="AX107" s="0" t="s">
        <v>130</v>
      </c>
      <c r="AY107" s="0" t="s">
        <v>130</v>
      </c>
      <c r="AZ107" s="0" t="s">
        <v>130</v>
      </c>
      <c r="BA107" s="0" t="s">
        <v>130</v>
      </c>
      <c r="BB107" s="0" t="s">
        <v>130</v>
      </c>
      <c r="BC107" s="0" t="s">
        <v>130</v>
      </c>
      <c r="BD107" s="0" t="s">
        <v>130</v>
      </c>
      <c r="BE107" s="0" t="s">
        <v>130</v>
      </c>
      <c r="BF107" s="0" t="s">
        <v>130</v>
      </c>
      <c r="BG107" s="0" t="s">
        <v>130</v>
      </c>
      <c r="BH107" s="0" t="s">
        <v>130</v>
      </c>
      <c r="BI107" s="0" t="s">
        <v>130</v>
      </c>
      <c r="BJ107" s="0" t="s">
        <v>130</v>
      </c>
      <c r="BK107" s="0" t="s">
        <v>130</v>
      </c>
      <c r="BL107" s="0" t="s">
        <v>130</v>
      </c>
      <c r="BM107" s="0" t="s">
        <v>130</v>
      </c>
      <c r="BN107" s="0" t="s">
        <v>130</v>
      </c>
      <c r="BO107" s="0" t="s">
        <v>130</v>
      </c>
      <c r="BP107" s="0" t="s">
        <v>130</v>
      </c>
      <c r="BQ107" s="0" t="s">
        <v>130</v>
      </c>
      <c r="BR107" s="0" t="s">
        <v>130</v>
      </c>
      <c r="BS107" s="0" t="s">
        <v>130</v>
      </c>
      <c r="BT107" s="0" t="s">
        <v>130</v>
      </c>
      <c r="BU107" s="0" t="s">
        <v>130</v>
      </c>
      <c r="BV107" s="0" t="s">
        <v>130</v>
      </c>
      <c r="BW107" s="0" t="s">
        <v>130</v>
      </c>
      <c r="BX107" s="0" t="s">
        <v>130</v>
      </c>
      <c r="BY107" s="0" t="s">
        <v>130</v>
      </c>
      <c r="BZ107" s="0" t="s">
        <v>130</v>
      </c>
      <c r="CA107" s="0" t="s">
        <v>130</v>
      </c>
      <c r="CB107" s="0" t="s">
        <v>130</v>
      </c>
      <c r="CC107" s="0" t="s">
        <v>130</v>
      </c>
      <c r="CD107" s="0" t="s">
        <v>130</v>
      </c>
      <c r="CE107" s="0" t="s">
        <v>130</v>
      </c>
      <c r="CF107" s="0" t="s">
        <v>130</v>
      </c>
      <c r="CG107" s="0" t="s">
        <v>130</v>
      </c>
      <c r="CH107" s="0" t="s">
        <v>130</v>
      </c>
      <c r="CI107" s="0" t="s">
        <v>130</v>
      </c>
      <c r="CJ107" s="0" t="s">
        <v>130</v>
      </c>
      <c r="CK107" s="0" t="s">
        <v>130</v>
      </c>
      <c r="CL107" s="0" t="s">
        <v>130</v>
      </c>
      <c r="CM107" s="0" t="s">
        <v>130</v>
      </c>
      <c r="CN107" s="0" t="s">
        <v>130</v>
      </c>
      <c r="CO107" s="0" t="s">
        <v>130</v>
      </c>
      <c r="CP107" s="0" t="s">
        <v>130</v>
      </c>
      <c r="CQ107" s="0" t="s">
        <v>130</v>
      </c>
      <c r="CR107" s="0" t="s">
        <v>130</v>
      </c>
      <c r="CS107" s="0" t="s">
        <v>130</v>
      </c>
      <c r="CT107" s="0" t="s">
        <v>564</v>
      </c>
    </row>
    <row r="108">
      <c r="A108" s="14">
        <v>100315</v>
      </c>
      <c r="B108" s="0" t="s">
        <v>539</v>
      </c>
      <c r="C108" s="16">
        <f>HYPERLINK("https://eosportal.federatedhermes.com/companies/Q29tcGFueQppNzcwNTA=", "Chevron Corp")</f>
      </c>
      <c r="D108" s="0" t="s">
        <v>23</v>
      </c>
      <c r="E108" s="0" t="s">
        <v>236</v>
      </c>
      <c r="F108" s="16">
        <f>HYPERLINK("https://eosportal.federatedhermes.com/engagements/RW5nYWdlbWVudAppMTg2NTI=", "Executive pay")</f>
      </c>
      <c r="G108" s="14" t="s">
        <v>565</v>
      </c>
      <c r="H108" s="0" t="s">
        <v>141</v>
      </c>
      <c r="I108" s="14" t="s">
        <v>191</v>
      </c>
      <c r="J108" s="0" t="s">
        <v>145</v>
      </c>
      <c r="K108" s="0" t="s">
        <v>146</v>
      </c>
      <c r="L108" s="0" t="s">
        <v>147</v>
      </c>
      <c r="M108" s="0" t="s">
        <v>135</v>
      </c>
      <c r="N108" s="0" t="s">
        <v>136</v>
      </c>
      <c r="O108" s="0" t="s">
        <v>542</v>
      </c>
      <c r="Q108" s="0" t="s">
        <v>130</v>
      </c>
      <c r="R108" s="0" t="s">
        <v>130</v>
      </c>
      <c r="S108" s="14">
        <v>0</v>
      </c>
      <c r="T108" s="0" t="s">
        <v>487</v>
      </c>
      <c r="U108" s="0" t="s">
        <v>221</v>
      </c>
      <c r="V108" s="14" t="s">
        <v>487</v>
      </c>
      <c r="W108" s="0" t="s">
        <v>221</v>
      </c>
      <c r="X108" s="14" t="s">
        <v>288</v>
      </c>
      <c r="Y108" s="0" t="s">
        <v>223</v>
      </c>
      <c r="Z108" s="14" t="s">
        <v>138</v>
      </c>
      <c r="AA108" s="0" t="s">
        <v>224</v>
      </c>
      <c r="AB108" s="14" t="s">
        <v>138</v>
      </c>
      <c r="AD108" s="0" t="s">
        <v>17</v>
      </c>
      <c r="AF108" s="0">
        <v>0</v>
      </c>
      <c r="AG108" s="0">
        <v>0</v>
      </c>
      <c r="AH108" s="0" t="s">
        <v>140</v>
      </c>
      <c r="AI108" s="0" t="s">
        <v>225</v>
      </c>
      <c r="AL108" s="14"/>
      <c r="AN108" s="14"/>
      <c r="AQ108" s="0" t="s">
        <v>130</v>
      </c>
      <c r="AR108" s="0" t="s">
        <v>130</v>
      </c>
      <c r="AS108" s="0" t="s">
        <v>130</v>
      </c>
      <c r="AT108" s="0" t="s">
        <v>130</v>
      </c>
      <c r="AU108" s="0" t="s">
        <v>130</v>
      </c>
      <c r="AV108" s="0" t="s">
        <v>130</v>
      </c>
      <c r="AW108" s="0" t="s">
        <v>130</v>
      </c>
      <c r="AX108" s="0" t="s">
        <v>130</v>
      </c>
      <c r="AY108" s="0" t="s">
        <v>130</v>
      </c>
      <c r="AZ108" s="0" t="s">
        <v>130</v>
      </c>
      <c r="BA108" s="0" t="s">
        <v>130</v>
      </c>
      <c r="BB108" s="0" t="s">
        <v>130</v>
      </c>
      <c r="BC108" s="0" t="s">
        <v>130</v>
      </c>
      <c r="BD108" s="0" t="s">
        <v>130</v>
      </c>
      <c r="BE108" s="0" t="s">
        <v>130</v>
      </c>
      <c r="BF108" s="0" t="s">
        <v>130</v>
      </c>
      <c r="BG108" s="0" t="s">
        <v>130</v>
      </c>
      <c r="BH108" s="0" t="s">
        <v>130</v>
      </c>
      <c r="BI108" s="0" t="s">
        <v>130</v>
      </c>
      <c r="BJ108" s="0" t="s">
        <v>130</v>
      </c>
      <c r="BK108" s="0" t="s">
        <v>130</v>
      </c>
      <c r="BL108" s="0" t="s">
        <v>130</v>
      </c>
      <c r="BM108" s="0" t="s">
        <v>130</v>
      </c>
      <c r="BN108" s="0" t="s">
        <v>130</v>
      </c>
      <c r="BO108" s="0" t="s">
        <v>130</v>
      </c>
      <c r="BP108" s="0" t="s">
        <v>130</v>
      </c>
      <c r="BQ108" s="0" t="s">
        <v>130</v>
      </c>
      <c r="BR108" s="0" t="s">
        <v>130</v>
      </c>
      <c r="BS108" s="0" t="s">
        <v>130</v>
      </c>
      <c r="BT108" s="0" t="s">
        <v>130</v>
      </c>
      <c r="BU108" s="0" t="s">
        <v>130</v>
      </c>
      <c r="BV108" s="0" t="s">
        <v>130</v>
      </c>
      <c r="BW108" s="0" t="s">
        <v>130</v>
      </c>
      <c r="BX108" s="0" t="s">
        <v>130</v>
      </c>
      <c r="BY108" s="0" t="s">
        <v>130</v>
      </c>
      <c r="BZ108" s="0" t="s">
        <v>130</v>
      </c>
      <c r="CA108" s="0" t="s">
        <v>130</v>
      </c>
      <c r="CB108" s="0" t="s">
        <v>130</v>
      </c>
      <c r="CC108" s="0" t="s">
        <v>130</v>
      </c>
      <c r="CD108" s="0" t="s">
        <v>130</v>
      </c>
      <c r="CE108" s="0" t="s">
        <v>130</v>
      </c>
      <c r="CF108" s="0" t="s">
        <v>130</v>
      </c>
      <c r="CG108" s="0" t="s">
        <v>130</v>
      </c>
      <c r="CH108" s="0" t="s">
        <v>130</v>
      </c>
      <c r="CI108" s="0" t="s">
        <v>130</v>
      </c>
      <c r="CJ108" s="0" t="s">
        <v>130</v>
      </c>
      <c r="CK108" s="0" t="s">
        <v>130</v>
      </c>
      <c r="CL108" s="0" t="s">
        <v>130</v>
      </c>
      <c r="CM108" s="0" t="s">
        <v>130</v>
      </c>
      <c r="CN108" s="0" t="s">
        <v>130</v>
      </c>
      <c r="CO108" s="0" t="s">
        <v>130</v>
      </c>
      <c r="CP108" s="0" t="s">
        <v>130</v>
      </c>
      <c r="CQ108" s="0" t="s">
        <v>130</v>
      </c>
      <c r="CR108" s="0" t="s">
        <v>130</v>
      </c>
      <c r="CS108" s="0" t="s">
        <v>130</v>
      </c>
      <c r="CT108" s="0" t="s">
        <v>566</v>
      </c>
    </row>
    <row r="109">
      <c r="A109" s="14">
        <v>100315</v>
      </c>
      <c r="B109" s="0" t="s">
        <v>539</v>
      </c>
      <c r="C109" s="16">
        <f>HYPERLINK("https://eosportal.federatedhermes.com/companies/Q29tcGFueQppNzcwNTA=", "Chevron Corp")</f>
      </c>
      <c r="D109" s="0" t="s">
        <v>25</v>
      </c>
      <c r="E109" s="0" t="s">
        <v>567</v>
      </c>
      <c r="F109" s="16">
        <f>HYPERLINK("https://eosportal.federatedhermes.com/engagements/RW5nYWdlbWVudAppMTg2NTQ=", "Director with environmental experience")</f>
      </c>
      <c r="G109" s="14" t="s">
        <v>568</v>
      </c>
      <c r="H109" s="0" t="s">
        <v>141</v>
      </c>
      <c r="I109" s="14" t="s">
        <v>191</v>
      </c>
      <c r="J109" s="0" t="s">
        <v>145</v>
      </c>
      <c r="K109" s="0" t="s">
        <v>164</v>
      </c>
      <c r="L109" s="0" t="s">
        <v>165</v>
      </c>
      <c r="M109" s="0" t="s">
        <v>135</v>
      </c>
      <c r="N109" s="0" t="s">
        <v>136</v>
      </c>
      <c r="O109" s="0" t="s">
        <v>542</v>
      </c>
      <c r="Q109" s="0" t="s">
        <v>130</v>
      </c>
      <c r="R109" s="0" t="s">
        <v>138</v>
      </c>
      <c r="S109" s="14">
        <v>0</v>
      </c>
      <c r="T109" s="0" t="s">
        <v>239</v>
      </c>
      <c r="U109" s="0" t="s">
        <v>138</v>
      </c>
      <c r="V109" s="14" t="s">
        <v>138</v>
      </c>
      <c r="W109" s="0" t="s">
        <v>138</v>
      </c>
      <c r="X109" s="14" t="s">
        <v>138</v>
      </c>
      <c r="Y109" s="0" t="s">
        <v>138</v>
      </c>
      <c r="Z109" s="14" t="s">
        <v>138</v>
      </c>
      <c r="AA109" s="0" t="s">
        <v>138</v>
      </c>
      <c r="AB109" s="14" t="s">
        <v>138</v>
      </c>
      <c r="AD109" s="0" t="s">
        <v>138</v>
      </c>
      <c r="AF109" s="0">
        <v>0</v>
      </c>
      <c r="AG109" s="0">
        <v>0</v>
      </c>
      <c r="AH109" s="0" t="s">
        <v>140</v>
      </c>
      <c r="AI109" s="0" t="s">
        <v>138</v>
      </c>
      <c r="AL109" s="14"/>
      <c r="AN109" s="14"/>
      <c r="AQ109" s="0" t="s">
        <v>130</v>
      </c>
      <c r="AR109" s="0" t="s">
        <v>130</v>
      </c>
      <c r="AS109" s="0" t="s">
        <v>130</v>
      </c>
      <c r="AT109" s="0" t="s">
        <v>130</v>
      </c>
      <c r="AU109" s="0" t="s">
        <v>130</v>
      </c>
      <c r="AV109" s="0" t="s">
        <v>130</v>
      </c>
      <c r="AW109" s="0" t="s">
        <v>141</v>
      </c>
      <c r="AX109" s="0" t="s">
        <v>130</v>
      </c>
      <c r="AY109" s="0" t="s">
        <v>130</v>
      </c>
      <c r="AZ109" s="0" t="s">
        <v>130</v>
      </c>
      <c r="BA109" s="0" t="s">
        <v>130</v>
      </c>
      <c r="BB109" s="0" t="s">
        <v>141</v>
      </c>
      <c r="BC109" s="0" t="s">
        <v>141</v>
      </c>
      <c r="BD109" s="0" t="s">
        <v>130</v>
      </c>
      <c r="BE109" s="0" t="s">
        <v>130</v>
      </c>
      <c r="BF109" s="0" t="s">
        <v>130</v>
      </c>
      <c r="BG109" s="0" t="s">
        <v>130</v>
      </c>
      <c r="BH109" s="0" t="s">
        <v>130</v>
      </c>
      <c r="BI109" s="0" t="s">
        <v>130</v>
      </c>
      <c r="BJ109" s="0" t="s">
        <v>130</v>
      </c>
      <c r="BK109" s="0" t="s">
        <v>130</v>
      </c>
      <c r="BL109" s="0" t="s">
        <v>130</v>
      </c>
      <c r="BM109" s="0" t="s">
        <v>130</v>
      </c>
      <c r="BN109" s="0" t="s">
        <v>130</v>
      </c>
      <c r="BO109" s="0" t="s">
        <v>130</v>
      </c>
      <c r="BP109" s="0" t="s">
        <v>130</v>
      </c>
      <c r="BQ109" s="0" t="s">
        <v>130</v>
      </c>
      <c r="BR109" s="0" t="s">
        <v>130</v>
      </c>
      <c r="BS109" s="0" t="s">
        <v>130</v>
      </c>
      <c r="BT109" s="0" t="s">
        <v>130</v>
      </c>
      <c r="BU109" s="0" t="s">
        <v>130</v>
      </c>
      <c r="BV109" s="0" t="s">
        <v>130</v>
      </c>
      <c r="BW109" s="0" t="s">
        <v>130</v>
      </c>
      <c r="BX109" s="0" t="s">
        <v>130</v>
      </c>
      <c r="BY109" s="0" t="s">
        <v>130</v>
      </c>
      <c r="BZ109" s="0" t="s">
        <v>130</v>
      </c>
      <c r="CA109" s="0" t="s">
        <v>130</v>
      </c>
      <c r="CB109" s="0" t="s">
        <v>130</v>
      </c>
      <c r="CC109" s="0" t="s">
        <v>130</v>
      </c>
      <c r="CD109" s="0" t="s">
        <v>130</v>
      </c>
      <c r="CE109" s="0" t="s">
        <v>130</v>
      </c>
      <c r="CF109" s="0" t="s">
        <v>130</v>
      </c>
      <c r="CG109" s="0" t="s">
        <v>130</v>
      </c>
      <c r="CH109" s="0" t="s">
        <v>130</v>
      </c>
      <c r="CI109" s="0" t="s">
        <v>130</v>
      </c>
      <c r="CJ109" s="0" t="s">
        <v>130</v>
      </c>
      <c r="CK109" s="0" t="s">
        <v>130</v>
      </c>
      <c r="CL109" s="0" t="s">
        <v>130</v>
      </c>
      <c r="CM109" s="0" t="s">
        <v>130</v>
      </c>
      <c r="CN109" s="0" t="s">
        <v>130</v>
      </c>
      <c r="CO109" s="0" t="s">
        <v>130</v>
      </c>
      <c r="CP109" s="0" t="s">
        <v>130</v>
      </c>
      <c r="CQ109" s="0" t="s">
        <v>130</v>
      </c>
      <c r="CR109" s="0" t="s">
        <v>130</v>
      </c>
      <c r="CS109" s="0" t="s">
        <v>130</v>
      </c>
      <c r="CT109" s="0" t="s">
        <v>569</v>
      </c>
    </row>
    <row r="110">
      <c r="A110" s="14">
        <v>100315</v>
      </c>
      <c r="B110" s="0" t="s">
        <v>539</v>
      </c>
      <c r="C110" s="16">
        <f>HYPERLINK("https://eosportal.federatedhermes.com/companies/Q29tcGFueQppNzcwNTA=", "Chevron Corp")</f>
      </c>
      <c r="D110" s="0" t="s">
        <v>25</v>
      </c>
      <c r="E110" s="0" t="s">
        <v>570</v>
      </c>
      <c r="F110" s="16">
        <f>HYPERLINK("https://eosportal.federatedhermes.com/engagements/RW5nYWdlbWVudAppMTg2NTk=", "Security &amp; Human Rights")</f>
      </c>
      <c r="G110" s="14" t="s">
        <v>570</v>
      </c>
      <c r="H110" s="0" t="s">
        <v>141</v>
      </c>
      <c r="I110" s="14" t="s">
        <v>191</v>
      </c>
      <c r="J110" s="0" t="s">
        <v>153</v>
      </c>
      <c r="K110" s="0" t="s">
        <v>243</v>
      </c>
      <c r="L110" s="0" t="s">
        <v>571</v>
      </c>
      <c r="M110" s="0" t="s">
        <v>135</v>
      </c>
      <c r="N110" s="0" t="s">
        <v>136</v>
      </c>
      <c r="O110" s="0" t="s">
        <v>542</v>
      </c>
      <c r="Q110" s="0" t="s">
        <v>130</v>
      </c>
      <c r="R110" s="0" t="s">
        <v>138</v>
      </c>
      <c r="S110" s="14">
        <v>0</v>
      </c>
      <c r="T110" s="0" t="s">
        <v>181</v>
      </c>
      <c r="U110" s="0" t="s">
        <v>138</v>
      </c>
      <c r="V110" s="14" t="s">
        <v>138</v>
      </c>
      <c r="W110" s="0" t="s">
        <v>138</v>
      </c>
      <c r="X110" s="14" t="s">
        <v>138</v>
      </c>
      <c r="Y110" s="0" t="s">
        <v>138</v>
      </c>
      <c r="Z110" s="14" t="s">
        <v>138</v>
      </c>
      <c r="AA110" s="0" t="s">
        <v>138</v>
      </c>
      <c r="AB110" s="14" t="s">
        <v>138</v>
      </c>
      <c r="AD110" s="0" t="s">
        <v>138</v>
      </c>
      <c r="AF110" s="0">
        <v>0</v>
      </c>
      <c r="AG110" s="0">
        <v>0</v>
      </c>
      <c r="AH110" s="0" t="s">
        <v>140</v>
      </c>
      <c r="AI110" s="0" t="s">
        <v>138</v>
      </c>
      <c r="AL110" s="14"/>
      <c r="AN110" s="14"/>
      <c r="AQ110" s="0" t="s">
        <v>130</v>
      </c>
      <c r="AR110" s="0" t="s">
        <v>130</v>
      </c>
      <c r="AS110" s="0" t="s">
        <v>130</v>
      </c>
      <c r="AT110" s="0" t="s">
        <v>130</v>
      </c>
      <c r="AU110" s="0" t="s">
        <v>130</v>
      </c>
      <c r="AV110" s="0" t="s">
        <v>130</v>
      </c>
      <c r="AW110" s="0" t="s">
        <v>130</v>
      </c>
      <c r="AX110" s="0" t="s">
        <v>130</v>
      </c>
      <c r="AY110" s="0" t="s">
        <v>130</v>
      </c>
      <c r="AZ110" s="0" t="s">
        <v>130</v>
      </c>
      <c r="BA110" s="0" t="s">
        <v>130</v>
      </c>
      <c r="BB110" s="0" t="s">
        <v>130</v>
      </c>
      <c r="BC110" s="0" t="s">
        <v>130</v>
      </c>
      <c r="BD110" s="0" t="s">
        <v>130</v>
      </c>
      <c r="BE110" s="0" t="s">
        <v>130</v>
      </c>
      <c r="BF110" s="0" t="s">
        <v>141</v>
      </c>
      <c r="BG110" s="0" t="s">
        <v>130</v>
      </c>
      <c r="BH110" s="0" t="s">
        <v>130</v>
      </c>
      <c r="BI110" s="0" t="s">
        <v>130</v>
      </c>
      <c r="BJ110" s="0" t="s">
        <v>130</v>
      </c>
      <c r="BK110" s="0" t="s">
        <v>130</v>
      </c>
      <c r="BL110" s="0" t="s">
        <v>130</v>
      </c>
      <c r="BM110" s="0" t="s">
        <v>130</v>
      </c>
      <c r="BN110" s="0" t="s">
        <v>130</v>
      </c>
      <c r="BO110" s="0" t="s">
        <v>130</v>
      </c>
      <c r="BP110" s="0" t="s">
        <v>130</v>
      </c>
      <c r="BQ110" s="0" t="s">
        <v>130</v>
      </c>
      <c r="BR110" s="0" t="s">
        <v>130</v>
      </c>
      <c r="BS110" s="0" t="s">
        <v>130</v>
      </c>
      <c r="BT110" s="0" t="s">
        <v>130</v>
      </c>
      <c r="BU110" s="0" t="s">
        <v>130</v>
      </c>
      <c r="BV110" s="0" t="s">
        <v>130</v>
      </c>
      <c r="BW110" s="0" t="s">
        <v>130</v>
      </c>
      <c r="BX110" s="0" t="s">
        <v>130</v>
      </c>
      <c r="BY110" s="0" t="s">
        <v>130</v>
      </c>
      <c r="BZ110" s="0" t="s">
        <v>130</v>
      </c>
      <c r="CA110" s="0" t="s">
        <v>130</v>
      </c>
      <c r="CB110" s="0" t="s">
        <v>130</v>
      </c>
      <c r="CC110" s="0" t="s">
        <v>130</v>
      </c>
      <c r="CD110" s="0" t="s">
        <v>130</v>
      </c>
      <c r="CE110" s="0" t="s">
        <v>130</v>
      </c>
      <c r="CF110" s="0" t="s">
        <v>130</v>
      </c>
      <c r="CG110" s="0" t="s">
        <v>130</v>
      </c>
      <c r="CH110" s="0" t="s">
        <v>130</v>
      </c>
      <c r="CI110" s="0" t="s">
        <v>130</v>
      </c>
      <c r="CJ110" s="0" t="s">
        <v>130</v>
      </c>
      <c r="CK110" s="0" t="s">
        <v>130</v>
      </c>
      <c r="CL110" s="0" t="s">
        <v>130</v>
      </c>
      <c r="CM110" s="0" t="s">
        <v>130</v>
      </c>
      <c r="CN110" s="0" t="s">
        <v>130</v>
      </c>
      <c r="CO110" s="0" t="s">
        <v>130</v>
      </c>
      <c r="CP110" s="0" t="s">
        <v>130</v>
      </c>
      <c r="CQ110" s="0" t="s">
        <v>130</v>
      </c>
      <c r="CR110" s="0" t="s">
        <v>130</v>
      </c>
      <c r="CS110" s="0" t="s">
        <v>130</v>
      </c>
      <c r="CT110" s="0" t="s">
        <v>572</v>
      </c>
    </row>
    <row r="111">
      <c r="A111" s="14">
        <v>100438</v>
      </c>
      <c r="B111" s="0" t="s">
        <v>573</v>
      </c>
      <c r="C111" s="16">
        <f>HYPERLINK("https://eosportal.federatedhermes.com/companies/Q29tcGFueQppNjQzODk=", "Deere &amp; Co")</f>
      </c>
      <c r="D111" s="0" t="s">
        <v>23</v>
      </c>
      <c r="E111" s="0" t="s">
        <v>574</v>
      </c>
      <c r="F111" s="16">
        <f>HYPERLINK("https://eosportal.federatedhermes.com/engagements/RW5nYWdlbWVudAppMTg2OTc=", "Biodiversity")</f>
      </c>
      <c r="G111" s="14" t="s">
        <v>575</v>
      </c>
      <c r="H111" s="0" t="s">
        <v>141</v>
      </c>
      <c r="I111" s="14" t="s">
        <v>191</v>
      </c>
      <c r="J111" s="0" t="s">
        <v>197</v>
      </c>
      <c r="K111" s="0" t="s">
        <v>337</v>
      </c>
      <c r="L111" s="0" t="s">
        <v>576</v>
      </c>
      <c r="M111" s="0" t="s">
        <v>135</v>
      </c>
      <c r="N111" s="0" t="s">
        <v>136</v>
      </c>
      <c r="O111" s="0" t="s">
        <v>176</v>
      </c>
      <c r="Q111" s="0" t="s">
        <v>141</v>
      </c>
      <c r="R111" s="0" t="s">
        <v>141</v>
      </c>
      <c r="S111" s="14">
        <v>1</v>
      </c>
      <c r="T111" s="0" t="s">
        <v>148</v>
      </c>
      <c r="U111" s="0" t="s">
        <v>221</v>
      </c>
      <c r="V111" s="14" t="s">
        <v>148</v>
      </c>
      <c r="W111" s="0" t="s">
        <v>221</v>
      </c>
      <c r="X111" s="14" t="s">
        <v>206</v>
      </c>
      <c r="Y111" s="0" t="s">
        <v>221</v>
      </c>
      <c r="Z111" s="14" t="s">
        <v>206</v>
      </c>
      <c r="AA111" s="0" t="s">
        <v>221</v>
      </c>
      <c r="AB111" s="14" t="s">
        <v>361</v>
      </c>
      <c r="AC111" s="0" t="s">
        <v>20</v>
      </c>
      <c r="AD111" s="0" t="s">
        <v>362</v>
      </c>
      <c r="AE111" s="0" t="s">
        <v>363</v>
      </c>
      <c r="AF111" s="0">
        <v>1</v>
      </c>
      <c r="AG111" s="0">
        <v>0</v>
      </c>
      <c r="AH111" s="0" t="s">
        <v>140</v>
      </c>
      <c r="AI111" s="0" t="s">
        <v>221</v>
      </c>
      <c r="AJ111" s="0" t="s">
        <v>577</v>
      </c>
      <c r="AK111" s="0" t="s">
        <v>578</v>
      </c>
      <c r="AL111" s="14" t="s">
        <v>579</v>
      </c>
      <c r="AM111" s="0" t="s">
        <v>580</v>
      </c>
      <c r="AN111" s="14"/>
      <c r="AQ111" s="0" t="s">
        <v>130</v>
      </c>
      <c r="AR111" s="0" t="s">
        <v>141</v>
      </c>
      <c r="AS111" s="0" t="s">
        <v>130</v>
      </c>
      <c r="AT111" s="0" t="s">
        <v>130</v>
      </c>
      <c r="AU111" s="0" t="s">
        <v>130</v>
      </c>
      <c r="AV111" s="0" t="s">
        <v>141</v>
      </c>
      <c r="AW111" s="0" t="s">
        <v>130</v>
      </c>
      <c r="AX111" s="0" t="s">
        <v>130</v>
      </c>
      <c r="AY111" s="0" t="s">
        <v>130</v>
      </c>
      <c r="AZ111" s="0" t="s">
        <v>130</v>
      </c>
      <c r="BA111" s="0" t="s">
        <v>141</v>
      </c>
      <c r="BB111" s="0" t="s">
        <v>141</v>
      </c>
      <c r="BC111" s="0" t="s">
        <v>130</v>
      </c>
      <c r="BD111" s="0" t="s">
        <v>141</v>
      </c>
      <c r="BE111" s="0" t="s">
        <v>141</v>
      </c>
      <c r="BF111" s="0" t="s">
        <v>130</v>
      </c>
      <c r="BG111" s="0" t="s">
        <v>130</v>
      </c>
      <c r="BH111" s="0" t="s">
        <v>130</v>
      </c>
      <c r="BI111" s="0" t="s">
        <v>130</v>
      </c>
      <c r="BJ111" s="0" t="s">
        <v>130</v>
      </c>
      <c r="BK111" s="0" t="s">
        <v>130</v>
      </c>
      <c r="BL111" s="0" t="s">
        <v>130</v>
      </c>
      <c r="BM111" s="0" t="s">
        <v>130</v>
      </c>
      <c r="BN111" s="0" t="s">
        <v>130</v>
      </c>
      <c r="BO111" s="0" t="s">
        <v>130</v>
      </c>
      <c r="BP111" s="0" t="s">
        <v>130</v>
      </c>
      <c r="BQ111" s="0" t="s">
        <v>130</v>
      </c>
      <c r="BR111" s="0" t="s">
        <v>130</v>
      </c>
      <c r="BS111" s="0" t="s">
        <v>130</v>
      </c>
      <c r="BT111" s="0" t="s">
        <v>130</v>
      </c>
      <c r="BU111" s="0" t="s">
        <v>130</v>
      </c>
      <c r="BV111" s="0" t="s">
        <v>130</v>
      </c>
      <c r="BW111" s="0" t="s">
        <v>130</v>
      </c>
      <c r="BX111" s="0" t="s">
        <v>130</v>
      </c>
      <c r="BY111" s="0" t="s">
        <v>130</v>
      </c>
      <c r="BZ111" s="0" t="s">
        <v>130</v>
      </c>
      <c r="CA111" s="0" t="s">
        <v>130</v>
      </c>
      <c r="CB111" s="0" t="s">
        <v>130</v>
      </c>
      <c r="CC111" s="0" t="s">
        <v>130</v>
      </c>
      <c r="CD111" s="0" t="s">
        <v>130</v>
      </c>
      <c r="CE111" s="0" t="s">
        <v>130</v>
      </c>
      <c r="CF111" s="0" t="s">
        <v>130</v>
      </c>
      <c r="CG111" s="0" t="s">
        <v>130</v>
      </c>
      <c r="CH111" s="0" t="s">
        <v>130</v>
      </c>
      <c r="CI111" s="0" t="s">
        <v>130</v>
      </c>
      <c r="CJ111" s="0" t="s">
        <v>130</v>
      </c>
      <c r="CK111" s="0" t="s">
        <v>130</v>
      </c>
      <c r="CL111" s="0" t="s">
        <v>130</v>
      </c>
      <c r="CM111" s="0" t="s">
        <v>130</v>
      </c>
      <c r="CN111" s="0" t="s">
        <v>130</v>
      </c>
      <c r="CO111" s="0" t="s">
        <v>130</v>
      </c>
      <c r="CP111" s="0" t="s">
        <v>130</v>
      </c>
      <c r="CQ111" s="0" t="s">
        <v>130</v>
      </c>
      <c r="CR111" s="0" t="s">
        <v>130</v>
      </c>
      <c r="CS111" s="0" t="s">
        <v>130</v>
      </c>
      <c r="CT111" s="0" t="s">
        <v>581</v>
      </c>
    </row>
    <row r="112">
      <c r="A112" s="14">
        <v>100438</v>
      </c>
      <c r="B112" s="0" t="s">
        <v>573</v>
      </c>
      <c r="C112" s="16">
        <f>HYPERLINK("https://eosportal.federatedhermes.com/companies/Q29tcGFueQppNjQzODk=", "Deere &amp; Co")</f>
      </c>
      <c r="D112" s="0" t="s">
        <v>25</v>
      </c>
      <c r="E112" s="0" t="s">
        <v>441</v>
      </c>
      <c r="F112" s="16">
        <f>HYPERLINK("https://eosportal.federatedhermes.com/engagements/RW5nYWdlbWVudAppMTg2OTg=", "Auditor tenure")</f>
      </c>
      <c r="G112" s="14" t="s">
        <v>582</v>
      </c>
      <c r="H112" s="0" t="s">
        <v>141</v>
      </c>
      <c r="I112" s="14" t="s">
        <v>191</v>
      </c>
      <c r="J112" s="0" t="s">
        <v>132</v>
      </c>
      <c r="K112" s="0" t="s">
        <v>170</v>
      </c>
      <c r="L112" s="0" t="s">
        <v>310</v>
      </c>
      <c r="M112" s="0" t="s">
        <v>135</v>
      </c>
      <c r="N112" s="0" t="s">
        <v>136</v>
      </c>
      <c r="O112" s="0" t="s">
        <v>176</v>
      </c>
      <c r="Q112" s="0" t="s">
        <v>141</v>
      </c>
      <c r="R112" s="0" t="s">
        <v>138</v>
      </c>
      <c r="S112" s="14">
        <v>2</v>
      </c>
      <c r="T112" s="0" t="s">
        <v>583</v>
      </c>
      <c r="U112" s="0" t="s">
        <v>138</v>
      </c>
      <c r="V112" s="14" t="s">
        <v>138</v>
      </c>
      <c r="W112" s="0" t="s">
        <v>138</v>
      </c>
      <c r="X112" s="14" t="s">
        <v>138</v>
      </c>
      <c r="Y112" s="0" t="s">
        <v>138</v>
      </c>
      <c r="Z112" s="14" t="s">
        <v>138</v>
      </c>
      <c r="AA112" s="0" t="s">
        <v>138</v>
      </c>
      <c r="AB112" s="14" t="s">
        <v>138</v>
      </c>
      <c r="AD112" s="0" t="s">
        <v>138</v>
      </c>
      <c r="AF112" s="0">
        <v>0</v>
      </c>
      <c r="AG112" s="0">
        <v>0</v>
      </c>
      <c r="AH112" s="0" t="s">
        <v>140</v>
      </c>
      <c r="AI112" s="0" t="s">
        <v>138</v>
      </c>
      <c r="AK112" s="0" t="s">
        <v>584</v>
      </c>
      <c r="AL112" s="14"/>
      <c r="AN112" s="14"/>
      <c r="AQ112" s="0" t="s">
        <v>130</v>
      </c>
      <c r="AR112" s="0" t="s">
        <v>130</v>
      </c>
      <c r="AS112" s="0" t="s">
        <v>130</v>
      </c>
      <c r="AT112" s="0" t="s">
        <v>130</v>
      </c>
      <c r="AU112" s="0" t="s">
        <v>130</v>
      </c>
      <c r="AV112" s="0" t="s">
        <v>130</v>
      </c>
      <c r="AW112" s="0" t="s">
        <v>130</v>
      </c>
      <c r="AX112" s="0" t="s">
        <v>130</v>
      </c>
      <c r="AY112" s="0" t="s">
        <v>130</v>
      </c>
      <c r="AZ112" s="0" t="s">
        <v>130</v>
      </c>
      <c r="BA112" s="0" t="s">
        <v>130</v>
      </c>
      <c r="BB112" s="0" t="s">
        <v>130</v>
      </c>
      <c r="BC112" s="0" t="s">
        <v>130</v>
      </c>
      <c r="BD112" s="0" t="s">
        <v>130</v>
      </c>
      <c r="BE112" s="0" t="s">
        <v>130</v>
      </c>
      <c r="BF112" s="0" t="s">
        <v>130</v>
      </c>
      <c r="BG112" s="0" t="s">
        <v>130</v>
      </c>
      <c r="BH112" s="0" t="s">
        <v>130</v>
      </c>
      <c r="BI112" s="0" t="s">
        <v>130</v>
      </c>
      <c r="BJ112" s="0" t="s">
        <v>130</v>
      </c>
      <c r="BK112" s="0" t="s">
        <v>130</v>
      </c>
      <c r="BL112" s="0" t="s">
        <v>130</v>
      </c>
      <c r="BM112" s="0" t="s">
        <v>130</v>
      </c>
      <c r="BN112" s="0" t="s">
        <v>130</v>
      </c>
      <c r="BO112" s="0" t="s">
        <v>130</v>
      </c>
      <c r="BP112" s="0" t="s">
        <v>130</v>
      </c>
      <c r="BQ112" s="0" t="s">
        <v>130</v>
      </c>
      <c r="BR112" s="0" t="s">
        <v>130</v>
      </c>
      <c r="BS112" s="0" t="s">
        <v>130</v>
      </c>
      <c r="BT112" s="0" t="s">
        <v>130</v>
      </c>
      <c r="BU112" s="0" t="s">
        <v>130</v>
      </c>
      <c r="BV112" s="0" t="s">
        <v>130</v>
      </c>
      <c r="BW112" s="0" t="s">
        <v>130</v>
      </c>
      <c r="BX112" s="0" t="s">
        <v>130</v>
      </c>
      <c r="BY112" s="0" t="s">
        <v>130</v>
      </c>
      <c r="BZ112" s="0" t="s">
        <v>130</v>
      </c>
      <c r="CA112" s="0" t="s">
        <v>130</v>
      </c>
      <c r="CB112" s="0" t="s">
        <v>130</v>
      </c>
      <c r="CC112" s="0" t="s">
        <v>130</v>
      </c>
      <c r="CD112" s="0" t="s">
        <v>130</v>
      </c>
      <c r="CE112" s="0" t="s">
        <v>130</v>
      </c>
      <c r="CF112" s="0" t="s">
        <v>130</v>
      </c>
      <c r="CG112" s="0" t="s">
        <v>130</v>
      </c>
      <c r="CH112" s="0" t="s">
        <v>130</v>
      </c>
      <c r="CI112" s="0" t="s">
        <v>130</v>
      </c>
      <c r="CJ112" s="0" t="s">
        <v>130</v>
      </c>
      <c r="CK112" s="0" t="s">
        <v>130</v>
      </c>
      <c r="CL112" s="0" t="s">
        <v>130</v>
      </c>
      <c r="CM112" s="0" t="s">
        <v>130</v>
      </c>
      <c r="CN112" s="0" t="s">
        <v>130</v>
      </c>
      <c r="CO112" s="0" t="s">
        <v>130</v>
      </c>
      <c r="CP112" s="0" t="s">
        <v>130</v>
      </c>
      <c r="CQ112" s="0" t="s">
        <v>130</v>
      </c>
      <c r="CR112" s="0" t="s">
        <v>130</v>
      </c>
      <c r="CS112" s="0" t="s">
        <v>130</v>
      </c>
      <c r="CT112" s="0" t="s">
        <v>585</v>
      </c>
    </row>
    <row r="113">
      <c r="A113" s="14">
        <v>100438</v>
      </c>
      <c r="B113" s="0" t="s">
        <v>573</v>
      </c>
      <c r="C113" s="16">
        <f>HYPERLINK("https://eosportal.federatedhermes.com/companies/Q29tcGFueQppNjQzODk=", "Deere &amp; Co")</f>
      </c>
      <c r="D113" s="0" t="s">
        <v>25</v>
      </c>
      <c r="E113" s="0" t="s">
        <v>433</v>
      </c>
      <c r="F113" s="16">
        <f>HYPERLINK("https://eosportal.federatedhermes.com/engagements/RW5nYWdlbWVudAppMTg2OTk=", "Human rights policy")</f>
      </c>
      <c r="G113" s="14" t="s">
        <v>586</v>
      </c>
      <c r="H113" s="0" t="s">
        <v>141</v>
      </c>
      <c r="I113" s="14" t="s">
        <v>191</v>
      </c>
      <c r="J113" s="0" t="s">
        <v>153</v>
      </c>
      <c r="K113" s="0" t="s">
        <v>243</v>
      </c>
      <c r="L113" s="0" t="s">
        <v>244</v>
      </c>
      <c r="M113" s="0" t="s">
        <v>135</v>
      </c>
      <c r="N113" s="0" t="s">
        <v>136</v>
      </c>
      <c r="O113" s="0" t="s">
        <v>176</v>
      </c>
      <c r="Q113" s="0" t="s">
        <v>141</v>
      </c>
      <c r="R113" s="0" t="s">
        <v>138</v>
      </c>
      <c r="S113" s="14">
        <v>1</v>
      </c>
      <c r="T113" s="0" t="s">
        <v>156</v>
      </c>
      <c r="U113" s="0" t="s">
        <v>138</v>
      </c>
      <c r="V113" s="14" t="s">
        <v>138</v>
      </c>
      <c r="W113" s="0" t="s">
        <v>138</v>
      </c>
      <c r="X113" s="14" t="s">
        <v>138</v>
      </c>
      <c r="Y113" s="0" t="s">
        <v>138</v>
      </c>
      <c r="Z113" s="14" t="s">
        <v>138</v>
      </c>
      <c r="AA113" s="0" t="s">
        <v>138</v>
      </c>
      <c r="AB113" s="14" t="s">
        <v>138</v>
      </c>
      <c r="AD113" s="0" t="s">
        <v>138</v>
      </c>
      <c r="AF113" s="0">
        <v>0</v>
      </c>
      <c r="AG113" s="0">
        <v>0</v>
      </c>
      <c r="AH113" s="0" t="s">
        <v>140</v>
      </c>
      <c r="AI113" s="0" t="s">
        <v>138</v>
      </c>
      <c r="AK113" s="0" t="s">
        <v>587</v>
      </c>
      <c r="AL113" s="14"/>
      <c r="AN113" s="14"/>
      <c r="AQ113" s="0" t="s">
        <v>130</v>
      </c>
      <c r="AR113" s="0" t="s">
        <v>130</v>
      </c>
      <c r="AS113" s="0" t="s">
        <v>130</v>
      </c>
      <c r="AT113" s="0" t="s">
        <v>130</v>
      </c>
      <c r="AU113" s="0" t="s">
        <v>130</v>
      </c>
      <c r="AV113" s="0" t="s">
        <v>130</v>
      </c>
      <c r="AW113" s="0" t="s">
        <v>130</v>
      </c>
      <c r="AX113" s="0" t="s">
        <v>141</v>
      </c>
      <c r="AY113" s="0" t="s">
        <v>130</v>
      </c>
      <c r="AZ113" s="0" t="s">
        <v>130</v>
      </c>
      <c r="BA113" s="0" t="s">
        <v>130</v>
      </c>
      <c r="BB113" s="0" t="s">
        <v>130</v>
      </c>
      <c r="BC113" s="0" t="s">
        <v>130</v>
      </c>
      <c r="BD113" s="0" t="s">
        <v>130</v>
      </c>
      <c r="BE113" s="0" t="s">
        <v>130</v>
      </c>
      <c r="BF113" s="0" t="s">
        <v>130</v>
      </c>
      <c r="BG113" s="0" t="s">
        <v>130</v>
      </c>
      <c r="BH113" s="0" t="s">
        <v>130</v>
      </c>
      <c r="BI113" s="0" t="s">
        <v>130</v>
      </c>
      <c r="BJ113" s="0" t="s">
        <v>130</v>
      </c>
      <c r="BK113" s="0" t="s">
        <v>130</v>
      </c>
      <c r="BL113" s="0" t="s">
        <v>130</v>
      </c>
      <c r="BM113" s="0" t="s">
        <v>130</v>
      </c>
      <c r="BN113" s="0" t="s">
        <v>130</v>
      </c>
      <c r="BO113" s="0" t="s">
        <v>130</v>
      </c>
      <c r="BP113" s="0" t="s">
        <v>130</v>
      </c>
      <c r="BQ113" s="0" t="s">
        <v>130</v>
      </c>
      <c r="BR113" s="0" t="s">
        <v>130</v>
      </c>
      <c r="BS113" s="0" t="s">
        <v>130</v>
      </c>
      <c r="BT113" s="0" t="s">
        <v>130</v>
      </c>
      <c r="BU113" s="0" t="s">
        <v>130</v>
      </c>
      <c r="BV113" s="0" t="s">
        <v>130</v>
      </c>
      <c r="BW113" s="0" t="s">
        <v>130</v>
      </c>
      <c r="BX113" s="0" t="s">
        <v>130</v>
      </c>
      <c r="BY113" s="0" t="s">
        <v>130</v>
      </c>
      <c r="BZ113" s="0" t="s">
        <v>130</v>
      </c>
      <c r="CA113" s="0" t="s">
        <v>130</v>
      </c>
      <c r="CB113" s="0" t="s">
        <v>130</v>
      </c>
      <c r="CC113" s="0" t="s">
        <v>130</v>
      </c>
      <c r="CD113" s="0" t="s">
        <v>130</v>
      </c>
      <c r="CE113" s="0" t="s">
        <v>130</v>
      </c>
      <c r="CF113" s="0" t="s">
        <v>130</v>
      </c>
      <c r="CG113" s="0" t="s">
        <v>130</v>
      </c>
      <c r="CH113" s="0" t="s">
        <v>130</v>
      </c>
      <c r="CI113" s="0" t="s">
        <v>130</v>
      </c>
      <c r="CJ113" s="0" t="s">
        <v>130</v>
      </c>
      <c r="CK113" s="0" t="s">
        <v>130</v>
      </c>
      <c r="CL113" s="0" t="s">
        <v>130</v>
      </c>
      <c r="CM113" s="0" t="s">
        <v>130</v>
      </c>
      <c r="CN113" s="0" t="s">
        <v>130</v>
      </c>
      <c r="CO113" s="0" t="s">
        <v>130</v>
      </c>
      <c r="CP113" s="0" t="s">
        <v>130</v>
      </c>
      <c r="CQ113" s="0" t="s">
        <v>130</v>
      </c>
      <c r="CR113" s="0" t="s">
        <v>130</v>
      </c>
      <c r="CS113" s="0" t="s">
        <v>130</v>
      </c>
      <c r="CT113" s="0" t="s">
        <v>588</v>
      </c>
    </row>
    <row r="114">
      <c r="A114" s="14">
        <v>100438</v>
      </c>
      <c r="B114" s="0" t="s">
        <v>573</v>
      </c>
      <c r="C114" s="16">
        <f>HYPERLINK("https://eosportal.federatedhermes.com/companies/Q29tcGFueQppNjQzODk=", "Deere &amp; Co")</f>
      </c>
      <c r="D114" s="0" t="s">
        <v>25</v>
      </c>
      <c r="E114" s="0" t="s">
        <v>589</v>
      </c>
      <c r="F114" s="16">
        <f>HYPERLINK("https://eosportal.federatedhermes.com/engagements/RW5nYWdlbWVudAppMTg3MDA=", "Proxy access and governance practices")</f>
      </c>
      <c r="G114" s="14" t="s">
        <v>590</v>
      </c>
      <c r="H114" s="0" t="s">
        <v>141</v>
      </c>
      <c r="I114" s="14" t="s">
        <v>191</v>
      </c>
      <c r="J114" s="0" t="s">
        <v>145</v>
      </c>
      <c r="K114" s="0" t="s">
        <v>400</v>
      </c>
      <c r="L114" s="0" t="s">
        <v>507</v>
      </c>
      <c r="M114" s="0" t="s">
        <v>135</v>
      </c>
      <c r="N114" s="0" t="s">
        <v>136</v>
      </c>
      <c r="O114" s="0" t="s">
        <v>176</v>
      </c>
      <c r="Q114" s="0" t="s">
        <v>130</v>
      </c>
      <c r="R114" s="0" t="s">
        <v>138</v>
      </c>
      <c r="S114" s="14">
        <v>0</v>
      </c>
      <c r="T114" s="0" t="s">
        <v>591</v>
      </c>
      <c r="U114" s="0" t="s">
        <v>138</v>
      </c>
      <c r="V114" s="14" t="s">
        <v>138</v>
      </c>
      <c r="W114" s="0" t="s">
        <v>138</v>
      </c>
      <c r="X114" s="14" t="s">
        <v>138</v>
      </c>
      <c r="Y114" s="0" t="s">
        <v>138</v>
      </c>
      <c r="Z114" s="14" t="s">
        <v>138</v>
      </c>
      <c r="AA114" s="0" t="s">
        <v>138</v>
      </c>
      <c r="AB114" s="14" t="s">
        <v>138</v>
      </c>
      <c r="AD114" s="0" t="s">
        <v>138</v>
      </c>
      <c r="AF114" s="0">
        <v>0</v>
      </c>
      <c r="AG114" s="0">
        <v>0</v>
      </c>
      <c r="AH114" s="0" t="s">
        <v>140</v>
      </c>
      <c r="AI114" s="0" t="s">
        <v>138</v>
      </c>
      <c r="AL114" s="14"/>
      <c r="AN114" s="14"/>
      <c r="AQ114" s="0" t="s">
        <v>130</v>
      </c>
      <c r="AR114" s="0" t="s">
        <v>130</v>
      </c>
      <c r="AS114" s="0" t="s">
        <v>130</v>
      </c>
      <c r="AT114" s="0" t="s">
        <v>130</v>
      </c>
      <c r="AU114" s="0" t="s">
        <v>130</v>
      </c>
      <c r="AV114" s="0" t="s">
        <v>130</v>
      </c>
      <c r="AW114" s="0" t="s">
        <v>130</v>
      </c>
      <c r="AX114" s="0" t="s">
        <v>130</v>
      </c>
      <c r="AY114" s="0" t="s">
        <v>130</v>
      </c>
      <c r="AZ114" s="0" t="s">
        <v>130</v>
      </c>
      <c r="BA114" s="0" t="s">
        <v>130</v>
      </c>
      <c r="BB114" s="0" t="s">
        <v>130</v>
      </c>
      <c r="BC114" s="0" t="s">
        <v>130</v>
      </c>
      <c r="BD114" s="0" t="s">
        <v>130</v>
      </c>
      <c r="BE114" s="0" t="s">
        <v>130</v>
      </c>
      <c r="BF114" s="0" t="s">
        <v>130</v>
      </c>
      <c r="BG114" s="0" t="s">
        <v>130</v>
      </c>
      <c r="BH114" s="0" t="s">
        <v>130</v>
      </c>
      <c r="BI114" s="0" t="s">
        <v>130</v>
      </c>
      <c r="BJ114" s="0" t="s">
        <v>130</v>
      </c>
      <c r="BK114" s="0" t="s">
        <v>130</v>
      </c>
      <c r="BL114" s="0" t="s">
        <v>130</v>
      </c>
      <c r="BM114" s="0" t="s">
        <v>130</v>
      </c>
      <c r="BN114" s="0" t="s">
        <v>130</v>
      </c>
      <c r="BO114" s="0" t="s">
        <v>130</v>
      </c>
      <c r="BP114" s="0" t="s">
        <v>130</v>
      </c>
      <c r="BQ114" s="0" t="s">
        <v>130</v>
      </c>
      <c r="BR114" s="0" t="s">
        <v>130</v>
      </c>
      <c r="BS114" s="0" t="s">
        <v>130</v>
      </c>
      <c r="BT114" s="0" t="s">
        <v>130</v>
      </c>
      <c r="BU114" s="0" t="s">
        <v>130</v>
      </c>
      <c r="BV114" s="0" t="s">
        <v>130</v>
      </c>
      <c r="BW114" s="0" t="s">
        <v>130</v>
      </c>
      <c r="BX114" s="0" t="s">
        <v>130</v>
      </c>
      <c r="BY114" s="0" t="s">
        <v>130</v>
      </c>
      <c r="BZ114" s="0" t="s">
        <v>130</v>
      </c>
      <c r="CA114" s="0" t="s">
        <v>130</v>
      </c>
      <c r="CB114" s="0" t="s">
        <v>130</v>
      </c>
      <c r="CC114" s="0" t="s">
        <v>130</v>
      </c>
      <c r="CD114" s="0" t="s">
        <v>130</v>
      </c>
      <c r="CE114" s="0" t="s">
        <v>130</v>
      </c>
      <c r="CF114" s="0" t="s">
        <v>130</v>
      </c>
      <c r="CG114" s="0" t="s">
        <v>130</v>
      </c>
      <c r="CH114" s="0" t="s">
        <v>130</v>
      </c>
      <c r="CI114" s="0" t="s">
        <v>130</v>
      </c>
      <c r="CJ114" s="0" t="s">
        <v>130</v>
      </c>
      <c r="CK114" s="0" t="s">
        <v>130</v>
      </c>
      <c r="CL114" s="0" t="s">
        <v>130</v>
      </c>
      <c r="CM114" s="0" t="s">
        <v>130</v>
      </c>
      <c r="CN114" s="0" t="s">
        <v>130</v>
      </c>
      <c r="CO114" s="0" t="s">
        <v>130</v>
      </c>
      <c r="CP114" s="0" t="s">
        <v>130</v>
      </c>
      <c r="CQ114" s="0" t="s">
        <v>130</v>
      </c>
      <c r="CR114" s="0" t="s">
        <v>130</v>
      </c>
      <c r="CS114" s="0" t="s">
        <v>130</v>
      </c>
      <c r="CT114" s="0" t="s">
        <v>592</v>
      </c>
    </row>
    <row r="115">
      <c r="A115" s="14">
        <v>100438</v>
      </c>
      <c r="B115" s="0" t="s">
        <v>573</v>
      </c>
      <c r="C115" s="16">
        <f>HYPERLINK("https://eosportal.federatedhermes.com/companies/Q29tcGFueQppNjQzODk=", "Deere &amp; Co")</f>
      </c>
      <c r="D115" s="0" t="s">
        <v>25</v>
      </c>
      <c r="E115" s="0" t="s">
        <v>143</v>
      </c>
      <c r="F115" s="16">
        <f>HYPERLINK("https://eosportal.federatedhermes.com/engagements/RW5nYWdlbWVudAppMTg3MDE=", "Executive compensation")</f>
      </c>
      <c r="G115" s="14" t="s">
        <v>593</v>
      </c>
      <c r="H115" s="0" t="s">
        <v>141</v>
      </c>
      <c r="I115" s="14" t="s">
        <v>191</v>
      </c>
      <c r="J115" s="0" t="s">
        <v>145</v>
      </c>
      <c r="K115" s="0" t="s">
        <v>146</v>
      </c>
      <c r="L115" s="0" t="s">
        <v>147</v>
      </c>
      <c r="M115" s="0" t="s">
        <v>135</v>
      </c>
      <c r="N115" s="0" t="s">
        <v>136</v>
      </c>
      <c r="O115" s="0" t="s">
        <v>176</v>
      </c>
      <c r="Q115" s="0" t="s">
        <v>130</v>
      </c>
      <c r="R115" s="0" t="s">
        <v>138</v>
      </c>
      <c r="S115" s="14">
        <v>0</v>
      </c>
      <c r="T115" s="0" t="s">
        <v>156</v>
      </c>
      <c r="U115" s="0" t="s">
        <v>138</v>
      </c>
      <c r="V115" s="14" t="s">
        <v>138</v>
      </c>
      <c r="W115" s="0" t="s">
        <v>138</v>
      </c>
      <c r="X115" s="14" t="s">
        <v>138</v>
      </c>
      <c r="Y115" s="0" t="s">
        <v>138</v>
      </c>
      <c r="Z115" s="14" t="s">
        <v>138</v>
      </c>
      <c r="AA115" s="0" t="s">
        <v>138</v>
      </c>
      <c r="AB115" s="14" t="s">
        <v>138</v>
      </c>
      <c r="AD115" s="0" t="s">
        <v>138</v>
      </c>
      <c r="AF115" s="0">
        <v>0</v>
      </c>
      <c r="AG115" s="0">
        <v>0</v>
      </c>
      <c r="AH115" s="0" t="s">
        <v>140</v>
      </c>
      <c r="AI115" s="0" t="s">
        <v>138</v>
      </c>
      <c r="AL115" s="14"/>
      <c r="AN115" s="14"/>
      <c r="AQ115" s="0" t="s">
        <v>130</v>
      </c>
      <c r="AR115" s="0" t="s">
        <v>130</v>
      </c>
      <c r="AS115" s="0" t="s">
        <v>130</v>
      </c>
      <c r="AT115" s="0" t="s">
        <v>130</v>
      </c>
      <c r="AU115" s="0" t="s">
        <v>130</v>
      </c>
      <c r="AV115" s="0" t="s">
        <v>130</v>
      </c>
      <c r="AW115" s="0" t="s">
        <v>130</v>
      </c>
      <c r="AX115" s="0" t="s">
        <v>130</v>
      </c>
      <c r="AY115" s="0" t="s">
        <v>130</v>
      </c>
      <c r="AZ115" s="0" t="s">
        <v>130</v>
      </c>
      <c r="BA115" s="0" t="s">
        <v>130</v>
      </c>
      <c r="BB115" s="0" t="s">
        <v>130</v>
      </c>
      <c r="BC115" s="0" t="s">
        <v>130</v>
      </c>
      <c r="BD115" s="0" t="s">
        <v>130</v>
      </c>
      <c r="BE115" s="0" t="s">
        <v>130</v>
      </c>
      <c r="BF115" s="0" t="s">
        <v>130</v>
      </c>
      <c r="BG115" s="0" t="s">
        <v>130</v>
      </c>
      <c r="BH115" s="0" t="s">
        <v>130</v>
      </c>
      <c r="BI115" s="0" t="s">
        <v>130</v>
      </c>
      <c r="BJ115" s="0" t="s">
        <v>130</v>
      </c>
      <c r="BK115" s="0" t="s">
        <v>130</v>
      </c>
      <c r="BL115" s="0" t="s">
        <v>130</v>
      </c>
      <c r="BM115" s="0" t="s">
        <v>130</v>
      </c>
      <c r="BN115" s="0" t="s">
        <v>130</v>
      </c>
      <c r="BO115" s="0" t="s">
        <v>130</v>
      </c>
      <c r="BP115" s="0" t="s">
        <v>130</v>
      </c>
      <c r="BQ115" s="0" t="s">
        <v>130</v>
      </c>
      <c r="BR115" s="0" t="s">
        <v>130</v>
      </c>
      <c r="BS115" s="0" t="s">
        <v>130</v>
      </c>
      <c r="BT115" s="0" t="s">
        <v>130</v>
      </c>
      <c r="BU115" s="0" t="s">
        <v>130</v>
      </c>
      <c r="BV115" s="0" t="s">
        <v>130</v>
      </c>
      <c r="BW115" s="0" t="s">
        <v>130</v>
      </c>
      <c r="BX115" s="0" t="s">
        <v>130</v>
      </c>
      <c r="BY115" s="0" t="s">
        <v>130</v>
      </c>
      <c r="BZ115" s="0" t="s">
        <v>130</v>
      </c>
      <c r="CA115" s="0" t="s">
        <v>130</v>
      </c>
      <c r="CB115" s="0" t="s">
        <v>130</v>
      </c>
      <c r="CC115" s="0" t="s">
        <v>130</v>
      </c>
      <c r="CD115" s="0" t="s">
        <v>130</v>
      </c>
      <c r="CE115" s="0" t="s">
        <v>130</v>
      </c>
      <c r="CF115" s="0" t="s">
        <v>130</v>
      </c>
      <c r="CG115" s="0" t="s">
        <v>130</v>
      </c>
      <c r="CH115" s="0" t="s">
        <v>130</v>
      </c>
      <c r="CI115" s="0" t="s">
        <v>130</v>
      </c>
      <c r="CJ115" s="0" t="s">
        <v>130</v>
      </c>
      <c r="CK115" s="0" t="s">
        <v>130</v>
      </c>
      <c r="CL115" s="0" t="s">
        <v>130</v>
      </c>
      <c r="CM115" s="0" t="s">
        <v>130</v>
      </c>
      <c r="CN115" s="0" t="s">
        <v>130</v>
      </c>
      <c r="CO115" s="0" t="s">
        <v>130</v>
      </c>
      <c r="CP115" s="0" t="s">
        <v>130</v>
      </c>
      <c r="CQ115" s="0" t="s">
        <v>130</v>
      </c>
      <c r="CR115" s="0" t="s">
        <v>130</v>
      </c>
      <c r="CS115" s="0" t="s">
        <v>130</v>
      </c>
      <c r="CT115" s="0" t="s">
        <v>594</v>
      </c>
    </row>
    <row r="116">
      <c r="A116" s="14">
        <v>100438</v>
      </c>
      <c r="B116" s="0" t="s">
        <v>573</v>
      </c>
      <c r="C116" s="16">
        <f>HYPERLINK("https://eosportal.federatedhermes.com/companies/Q29tcGFueQppNjQzODk=", "Deere &amp; Co")</f>
      </c>
      <c r="D116" s="0" t="s">
        <v>23</v>
      </c>
      <c r="E116" s="0" t="s">
        <v>595</v>
      </c>
      <c r="F116" s="16">
        <f>HYPERLINK("https://eosportal.federatedhermes.com/engagements/RW5nYWdlbWVudAppMTg3MDI=", "Talent management strategy focused on senior management and the workforce")</f>
      </c>
      <c r="G116" s="14" t="s">
        <v>596</v>
      </c>
      <c r="H116" s="0" t="s">
        <v>141</v>
      </c>
      <c r="I116" s="14" t="s">
        <v>191</v>
      </c>
      <c r="J116" s="0" t="s">
        <v>153</v>
      </c>
      <c r="K116" s="0" t="s">
        <v>154</v>
      </c>
      <c r="L116" s="0" t="s">
        <v>268</v>
      </c>
      <c r="M116" s="0" t="s">
        <v>135</v>
      </c>
      <c r="N116" s="0" t="s">
        <v>136</v>
      </c>
      <c r="O116" s="0" t="s">
        <v>176</v>
      </c>
      <c r="Q116" s="0" t="s">
        <v>141</v>
      </c>
      <c r="R116" s="0" t="s">
        <v>130</v>
      </c>
      <c r="S116" s="14">
        <v>2</v>
      </c>
      <c r="T116" s="0" t="s">
        <v>206</v>
      </c>
      <c r="U116" s="0" t="s">
        <v>221</v>
      </c>
      <c r="V116" s="14" t="s">
        <v>206</v>
      </c>
      <c r="W116" s="0" t="s">
        <v>221</v>
      </c>
      <c r="X116" s="14" t="s">
        <v>597</v>
      </c>
      <c r="Y116" s="0" t="s">
        <v>221</v>
      </c>
      <c r="Z116" s="14" t="s">
        <v>222</v>
      </c>
      <c r="AA116" s="0" t="s">
        <v>223</v>
      </c>
      <c r="AB116" s="14" t="s">
        <v>138</v>
      </c>
      <c r="AD116" s="0" t="s">
        <v>20</v>
      </c>
      <c r="AF116" s="0">
        <v>0</v>
      </c>
      <c r="AG116" s="0">
        <v>0</v>
      </c>
      <c r="AH116" s="0" t="s">
        <v>140</v>
      </c>
      <c r="AI116" s="0" t="s">
        <v>598</v>
      </c>
      <c r="AK116" s="0" t="s">
        <v>584</v>
      </c>
      <c r="AL116" s="14"/>
      <c r="AN116" s="14"/>
      <c r="AQ116" s="0" t="s">
        <v>130</v>
      </c>
      <c r="AR116" s="0" t="s">
        <v>130</v>
      </c>
      <c r="AS116" s="0" t="s">
        <v>130</v>
      </c>
      <c r="AT116" s="0" t="s">
        <v>130</v>
      </c>
      <c r="AU116" s="0" t="s">
        <v>141</v>
      </c>
      <c r="AV116" s="0" t="s">
        <v>130</v>
      </c>
      <c r="AW116" s="0" t="s">
        <v>130</v>
      </c>
      <c r="AX116" s="0" t="s">
        <v>130</v>
      </c>
      <c r="AY116" s="0" t="s">
        <v>130</v>
      </c>
      <c r="AZ116" s="0" t="s">
        <v>130</v>
      </c>
      <c r="BA116" s="0" t="s">
        <v>130</v>
      </c>
      <c r="BB116" s="0" t="s">
        <v>130</v>
      </c>
      <c r="BC116" s="0" t="s">
        <v>130</v>
      </c>
      <c r="BD116" s="0" t="s">
        <v>130</v>
      </c>
      <c r="BE116" s="0" t="s">
        <v>130</v>
      </c>
      <c r="BF116" s="0" t="s">
        <v>130</v>
      </c>
      <c r="BG116" s="0" t="s">
        <v>130</v>
      </c>
      <c r="BH116" s="0" t="s">
        <v>130</v>
      </c>
      <c r="BI116" s="0" t="s">
        <v>130</v>
      </c>
      <c r="BJ116" s="0" t="s">
        <v>130</v>
      </c>
      <c r="BK116" s="0" t="s">
        <v>130</v>
      </c>
      <c r="BL116" s="0" t="s">
        <v>130</v>
      </c>
      <c r="BM116" s="0" t="s">
        <v>130</v>
      </c>
      <c r="BN116" s="0" t="s">
        <v>130</v>
      </c>
      <c r="BO116" s="0" t="s">
        <v>130</v>
      </c>
      <c r="BP116" s="0" t="s">
        <v>130</v>
      </c>
      <c r="BQ116" s="0" t="s">
        <v>130</v>
      </c>
      <c r="BR116" s="0" t="s">
        <v>130</v>
      </c>
      <c r="BS116" s="0" t="s">
        <v>130</v>
      </c>
      <c r="BT116" s="0" t="s">
        <v>130</v>
      </c>
      <c r="BU116" s="0" t="s">
        <v>130</v>
      </c>
      <c r="BV116" s="0" t="s">
        <v>130</v>
      </c>
      <c r="BW116" s="0" t="s">
        <v>130</v>
      </c>
      <c r="BX116" s="0" t="s">
        <v>130</v>
      </c>
      <c r="BY116" s="0" t="s">
        <v>130</v>
      </c>
      <c r="BZ116" s="0" t="s">
        <v>130</v>
      </c>
      <c r="CA116" s="0" t="s">
        <v>130</v>
      </c>
      <c r="CB116" s="0" t="s">
        <v>130</v>
      </c>
      <c r="CC116" s="0" t="s">
        <v>130</v>
      </c>
      <c r="CD116" s="0" t="s">
        <v>130</v>
      </c>
      <c r="CE116" s="0" t="s">
        <v>130</v>
      </c>
      <c r="CF116" s="0" t="s">
        <v>130</v>
      </c>
      <c r="CG116" s="0" t="s">
        <v>130</v>
      </c>
      <c r="CH116" s="0" t="s">
        <v>130</v>
      </c>
      <c r="CI116" s="0" t="s">
        <v>130</v>
      </c>
      <c r="CJ116" s="0" t="s">
        <v>130</v>
      </c>
      <c r="CK116" s="0" t="s">
        <v>141</v>
      </c>
      <c r="CL116" s="0" t="s">
        <v>130</v>
      </c>
      <c r="CM116" s="0" t="s">
        <v>130</v>
      </c>
      <c r="CN116" s="0" t="s">
        <v>130</v>
      </c>
      <c r="CO116" s="0" t="s">
        <v>130</v>
      </c>
      <c r="CP116" s="0" t="s">
        <v>130</v>
      </c>
      <c r="CQ116" s="0" t="s">
        <v>130</v>
      </c>
      <c r="CR116" s="0" t="s">
        <v>130</v>
      </c>
      <c r="CS116" s="0" t="s">
        <v>130</v>
      </c>
      <c r="CT116" s="0" t="s">
        <v>599</v>
      </c>
    </row>
    <row r="117">
      <c r="A117" s="14">
        <v>100438</v>
      </c>
      <c r="B117" s="0" t="s">
        <v>573</v>
      </c>
      <c r="C117" s="16">
        <f>HYPERLINK("https://eosportal.federatedhermes.com/companies/Q29tcGFueQppNjQzODk=", "Deere &amp; Co")</f>
      </c>
      <c r="D117" s="0" t="s">
        <v>23</v>
      </c>
      <c r="E117" s="0" t="s">
        <v>433</v>
      </c>
      <c r="F117" s="16">
        <f>HYPERLINK("https://eosportal.federatedhermes.com/engagements/RW5nYWdlbWVudAppMTg3MDQ=", "Human rights policy")</f>
      </c>
      <c r="G117" s="14" t="s">
        <v>600</v>
      </c>
      <c r="H117" s="0" t="s">
        <v>141</v>
      </c>
      <c r="I117" s="14" t="s">
        <v>191</v>
      </c>
      <c r="J117" s="0" t="s">
        <v>153</v>
      </c>
      <c r="K117" s="0" t="s">
        <v>243</v>
      </c>
      <c r="L117" s="0" t="s">
        <v>244</v>
      </c>
      <c r="M117" s="0" t="s">
        <v>135</v>
      </c>
      <c r="N117" s="0" t="s">
        <v>136</v>
      </c>
      <c r="O117" s="0" t="s">
        <v>176</v>
      </c>
      <c r="Q117" s="0" t="s">
        <v>141</v>
      </c>
      <c r="R117" s="0" t="s">
        <v>130</v>
      </c>
      <c r="S117" s="14">
        <v>1</v>
      </c>
      <c r="T117" s="0" t="s">
        <v>156</v>
      </c>
      <c r="U117" s="0" t="s">
        <v>221</v>
      </c>
      <c r="V117" s="14" t="s">
        <v>156</v>
      </c>
      <c r="W117" s="0" t="s">
        <v>221</v>
      </c>
      <c r="X117" s="14" t="s">
        <v>206</v>
      </c>
      <c r="Y117" s="0" t="s">
        <v>221</v>
      </c>
      <c r="Z117" s="14" t="s">
        <v>222</v>
      </c>
      <c r="AA117" s="0" t="s">
        <v>223</v>
      </c>
      <c r="AB117" s="14" t="s">
        <v>138</v>
      </c>
      <c r="AD117" s="0" t="s">
        <v>20</v>
      </c>
      <c r="AF117" s="0">
        <v>0</v>
      </c>
      <c r="AG117" s="0">
        <v>0</v>
      </c>
      <c r="AH117" s="0" t="s">
        <v>140</v>
      </c>
      <c r="AI117" s="0" t="s">
        <v>479</v>
      </c>
      <c r="AK117" s="0" t="s">
        <v>587</v>
      </c>
      <c r="AL117" s="14"/>
      <c r="AN117" s="14"/>
      <c r="AQ117" s="0" t="s">
        <v>130</v>
      </c>
      <c r="AR117" s="0" t="s">
        <v>130</v>
      </c>
      <c r="AS117" s="0" t="s">
        <v>130</v>
      </c>
      <c r="AT117" s="0" t="s">
        <v>130</v>
      </c>
      <c r="AU117" s="0" t="s">
        <v>130</v>
      </c>
      <c r="AV117" s="0" t="s">
        <v>130</v>
      </c>
      <c r="AW117" s="0" t="s">
        <v>130</v>
      </c>
      <c r="AX117" s="0" t="s">
        <v>141</v>
      </c>
      <c r="AY117" s="0" t="s">
        <v>130</v>
      </c>
      <c r="AZ117" s="0" t="s">
        <v>130</v>
      </c>
      <c r="BA117" s="0" t="s">
        <v>130</v>
      </c>
      <c r="BB117" s="0" t="s">
        <v>130</v>
      </c>
      <c r="BC117" s="0" t="s">
        <v>130</v>
      </c>
      <c r="BD117" s="0" t="s">
        <v>130</v>
      </c>
      <c r="BE117" s="0" t="s">
        <v>130</v>
      </c>
      <c r="BF117" s="0" t="s">
        <v>130</v>
      </c>
      <c r="BG117" s="0" t="s">
        <v>130</v>
      </c>
      <c r="BH117" s="0" t="s">
        <v>130</v>
      </c>
      <c r="BI117" s="0" t="s">
        <v>130</v>
      </c>
      <c r="BJ117" s="0" t="s">
        <v>130</v>
      </c>
      <c r="BK117" s="0" t="s">
        <v>130</v>
      </c>
      <c r="BL117" s="0" t="s">
        <v>130</v>
      </c>
      <c r="BM117" s="0" t="s">
        <v>130</v>
      </c>
      <c r="BN117" s="0" t="s">
        <v>130</v>
      </c>
      <c r="BO117" s="0" t="s">
        <v>130</v>
      </c>
      <c r="BP117" s="0" t="s">
        <v>130</v>
      </c>
      <c r="BQ117" s="0" t="s">
        <v>130</v>
      </c>
      <c r="BR117" s="0" t="s">
        <v>130</v>
      </c>
      <c r="BS117" s="0" t="s">
        <v>130</v>
      </c>
      <c r="BT117" s="0" t="s">
        <v>130</v>
      </c>
      <c r="BU117" s="0" t="s">
        <v>130</v>
      </c>
      <c r="BV117" s="0" t="s">
        <v>130</v>
      </c>
      <c r="BW117" s="0" t="s">
        <v>130</v>
      </c>
      <c r="BX117" s="0" t="s">
        <v>130</v>
      </c>
      <c r="BY117" s="0" t="s">
        <v>130</v>
      </c>
      <c r="BZ117" s="0" t="s">
        <v>130</v>
      </c>
      <c r="CA117" s="0" t="s">
        <v>130</v>
      </c>
      <c r="CB117" s="0" t="s">
        <v>130</v>
      </c>
      <c r="CC117" s="0" t="s">
        <v>130</v>
      </c>
      <c r="CD117" s="0" t="s">
        <v>130</v>
      </c>
      <c r="CE117" s="0" t="s">
        <v>130</v>
      </c>
      <c r="CF117" s="0" t="s">
        <v>130</v>
      </c>
      <c r="CG117" s="0" t="s">
        <v>130</v>
      </c>
      <c r="CH117" s="0" t="s">
        <v>130</v>
      </c>
      <c r="CI117" s="0" t="s">
        <v>130</v>
      </c>
      <c r="CJ117" s="0" t="s">
        <v>130</v>
      </c>
      <c r="CK117" s="0" t="s">
        <v>130</v>
      </c>
      <c r="CL117" s="0" t="s">
        <v>130</v>
      </c>
      <c r="CM117" s="0" t="s">
        <v>130</v>
      </c>
      <c r="CN117" s="0" t="s">
        <v>130</v>
      </c>
      <c r="CO117" s="0" t="s">
        <v>130</v>
      </c>
      <c r="CP117" s="0" t="s">
        <v>130</v>
      </c>
      <c r="CQ117" s="0" t="s">
        <v>130</v>
      </c>
      <c r="CR117" s="0" t="s">
        <v>130</v>
      </c>
      <c r="CS117" s="0" t="s">
        <v>130</v>
      </c>
      <c r="CT117" s="0" t="s">
        <v>601</v>
      </c>
    </row>
    <row r="118">
      <c r="A118" s="14">
        <v>100438</v>
      </c>
      <c r="B118" s="0" t="s">
        <v>573</v>
      </c>
      <c r="C118" s="16">
        <f>HYPERLINK("https://eosportal.federatedhermes.com/companies/Q29tcGFueQppNjQzODk=", "Deere &amp; Co")</f>
      </c>
      <c r="D118" s="0" t="s">
        <v>25</v>
      </c>
      <c r="E118" s="0" t="s">
        <v>602</v>
      </c>
      <c r="F118" s="16">
        <f>HYPERLINK("https://eosportal.federatedhermes.com/engagements/RW5nYWdlbWVudAppMTg3MDU=", "Talent management strategy focused on the workforce")</f>
      </c>
      <c r="G118" s="14" t="s">
        <v>602</v>
      </c>
      <c r="H118" s="0" t="s">
        <v>141</v>
      </c>
      <c r="I118" s="14" t="s">
        <v>191</v>
      </c>
      <c r="J118" s="0" t="s">
        <v>153</v>
      </c>
      <c r="K118" s="0" t="s">
        <v>154</v>
      </c>
      <c r="L118" s="0" t="s">
        <v>268</v>
      </c>
      <c r="M118" s="0" t="s">
        <v>135</v>
      </c>
      <c r="N118" s="0" t="s">
        <v>136</v>
      </c>
      <c r="O118" s="0" t="s">
        <v>176</v>
      </c>
      <c r="Q118" s="0" t="s">
        <v>130</v>
      </c>
      <c r="R118" s="0" t="s">
        <v>138</v>
      </c>
      <c r="S118" s="14">
        <v>0</v>
      </c>
      <c r="T118" s="0" t="s">
        <v>156</v>
      </c>
      <c r="U118" s="0" t="s">
        <v>138</v>
      </c>
      <c r="V118" s="14" t="s">
        <v>138</v>
      </c>
      <c r="W118" s="0" t="s">
        <v>138</v>
      </c>
      <c r="X118" s="14" t="s">
        <v>138</v>
      </c>
      <c r="Y118" s="0" t="s">
        <v>138</v>
      </c>
      <c r="Z118" s="14" t="s">
        <v>138</v>
      </c>
      <c r="AA118" s="0" t="s">
        <v>138</v>
      </c>
      <c r="AB118" s="14" t="s">
        <v>138</v>
      </c>
      <c r="AD118" s="0" t="s">
        <v>138</v>
      </c>
      <c r="AF118" s="0">
        <v>0</v>
      </c>
      <c r="AG118" s="0">
        <v>0</v>
      </c>
      <c r="AH118" s="0" t="s">
        <v>140</v>
      </c>
      <c r="AI118" s="0" t="s">
        <v>138</v>
      </c>
      <c r="AL118" s="14"/>
      <c r="AN118" s="14"/>
      <c r="AQ118" s="0" t="s">
        <v>130</v>
      </c>
      <c r="AR118" s="0" t="s">
        <v>130</v>
      </c>
      <c r="AS118" s="0" t="s">
        <v>130</v>
      </c>
      <c r="AT118" s="0" t="s">
        <v>130</v>
      </c>
      <c r="AU118" s="0" t="s">
        <v>130</v>
      </c>
      <c r="AV118" s="0" t="s">
        <v>130</v>
      </c>
      <c r="AW118" s="0" t="s">
        <v>130</v>
      </c>
      <c r="AX118" s="0" t="s">
        <v>130</v>
      </c>
      <c r="AY118" s="0" t="s">
        <v>130</v>
      </c>
      <c r="AZ118" s="0" t="s">
        <v>130</v>
      </c>
      <c r="BA118" s="0" t="s">
        <v>130</v>
      </c>
      <c r="BB118" s="0" t="s">
        <v>130</v>
      </c>
      <c r="BC118" s="0" t="s">
        <v>130</v>
      </c>
      <c r="BD118" s="0" t="s">
        <v>130</v>
      </c>
      <c r="BE118" s="0" t="s">
        <v>130</v>
      </c>
      <c r="BF118" s="0" t="s">
        <v>130</v>
      </c>
      <c r="BG118" s="0" t="s">
        <v>130</v>
      </c>
      <c r="BH118" s="0" t="s">
        <v>130</v>
      </c>
      <c r="BI118" s="0" t="s">
        <v>130</v>
      </c>
      <c r="BJ118" s="0" t="s">
        <v>130</v>
      </c>
      <c r="BK118" s="0" t="s">
        <v>130</v>
      </c>
      <c r="BL118" s="0" t="s">
        <v>130</v>
      </c>
      <c r="BM118" s="0" t="s">
        <v>130</v>
      </c>
      <c r="BN118" s="0" t="s">
        <v>130</v>
      </c>
      <c r="BO118" s="0" t="s">
        <v>130</v>
      </c>
      <c r="BP118" s="0" t="s">
        <v>130</v>
      </c>
      <c r="BQ118" s="0" t="s">
        <v>130</v>
      </c>
      <c r="BR118" s="0" t="s">
        <v>130</v>
      </c>
      <c r="BS118" s="0" t="s">
        <v>130</v>
      </c>
      <c r="BT118" s="0" t="s">
        <v>130</v>
      </c>
      <c r="BU118" s="0" t="s">
        <v>130</v>
      </c>
      <c r="BV118" s="0" t="s">
        <v>130</v>
      </c>
      <c r="BW118" s="0" t="s">
        <v>130</v>
      </c>
      <c r="BX118" s="0" t="s">
        <v>130</v>
      </c>
      <c r="BY118" s="0" t="s">
        <v>130</v>
      </c>
      <c r="BZ118" s="0" t="s">
        <v>130</v>
      </c>
      <c r="CA118" s="0" t="s">
        <v>130</v>
      </c>
      <c r="CB118" s="0" t="s">
        <v>130</v>
      </c>
      <c r="CC118" s="0" t="s">
        <v>130</v>
      </c>
      <c r="CD118" s="0" t="s">
        <v>130</v>
      </c>
      <c r="CE118" s="0" t="s">
        <v>130</v>
      </c>
      <c r="CF118" s="0" t="s">
        <v>130</v>
      </c>
      <c r="CG118" s="0" t="s">
        <v>130</v>
      </c>
      <c r="CH118" s="0" t="s">
        <v>130</v>
      </c>
      <c r="CI118" s="0" t="s">
        <v>130</v>
      </c>
      <c r="CJ118" s="0" t="s">
        <v>130</v>
      </c>
      <c r="CK118" s="0" t="s">
        <v>141</v>
      </c>
      <c r="CL118" s="0" t="s">
        <v>130</v>
      </c>
      <c r="CM118" s="0" t="s">
        <v>130</v>
      </c>
      <c r="CN118" s="0" t="s">
        <v>130</v>
      </c>
      <c r="CO118" s="0" t="s">
        <v>130</v>
      </c>
      <c r="CP118" s="0" t="s">
        <v>130</v>
      </c>
      <c r="CQ118" s="0" t="s">
        <v>130</v>
      </c>
      <c r="CR118" s="0" t="s">
        <v>130</v>
      </c>
      <c r="CS118" s="0" t="s">
        <v>130</v>
      </c>
      <c r="CT118" s="0" t="s">
        <v>603</v>
      </c>
    </row>
    <row r="119">
      <c r="A119" s="14">
        <v>100355</v>
      </c>
      <c r="B119" s="0" t="s">
        <v>604</v>
      </c>
      <c r="C119" s="16">
        <f>HYPERLINK("https://eosportal.federatedhermes.com/companies/Q29tcGFueQppNDgyOTA=", "Coca-Cola Co/The")</f>
      </c>
      <c r="D119" s="0" t="s">
        <v>25</v>
      </c>
      <c r="E119" s="0" t="s">
        <v>605</v>
      </c>
      <c r="F119" s="16">
        <f>HYPERLINK("https://eosportal.federatedhermes.com/engagements/RW5nYWdlbWVudAppMTg3MDY=", "Water stress and strategy")</f>
      </c>
      <c r="G119" s="14" t="s">
        <v>606</v>
      </c>
      <c r="H119" s="0" t="s">
        <v>141</v>
      </c>
      <c r="I119" s="14" t="s">
        <v>191</v>
      </c>
      <c r="J119" s="0" t="s">
        <v>197</v>
      </c>
      <c r="K119" s="0" t="s">
        <v>337</v>
      </c>
      <c r="L119" s="0" t="s">
        <v>338</v>
      </c>
      <c r="M119" s="0" t="s">
        <v>135</v>
      </c>
      <c r="N119" s="0" t="s">
        <v>136</v>
      </c>
      <c r="O119" s="0" t="s">
        <v>332</v>
      </c>
      <c r="Q119" s="0" t="s">
        <v>130</v>
      </c>
      <c r="R119" s="0" t="s">
        <v>138</v>
      </c>
      <c r="S119" s="14">
        <v>0</v>
      </c>
      <c r="T119" s="0" t="s">
        <v>307</v>
      </c>
      <c r="U119" s="0" t="s">
        <v>138</v>
      </c>
      <c r="V119" s="14" t="s">
        <v>138</v>
      </c>
      <c r="W119" s="0" t="s">
        <v>138</v>
      </c>
      <c r="X119" s="14" t="s">
        <v>138</v>
      </c>
      <c r="Y119" s="0" t="s">
        <v>138</v>
      </c>
      <c r="Z119" s="14" t="s">
        <v>138</v>
      </c>
      <c r="AA119" s="0" t="s">
        <v>138</v>
      </c>
      <c r="AB119" s="14" t="s">
        <v>138</v>
      </c>
      <c r="AD119" s="0" t="s">
        <v>138</v>
      </c>
      <c r="AF119" s="0">
        <v>0</v>
      </c>
      <c r="AG119" s="0">
        <v>0</v>
      </c>
      <c r="AH119" s="0" t="s">
        <v>140</v>
      </c>
      <c r="AI119" s="0" t="s">
        <v>138</v>
      </c>
      <c r="AL119" s="14"/>
      <c r="AN119" s="14"/>
      <c r="AQ119" s="0" t="s">
        <v>130</v>
      </c>
      <c r="AR119" s="0" t="s">
        <v>130</v>
      </c>
      <c r="AS119" s="0" t="s">
        <v>130</v>
      </c>
      <c r="AT119" s="0" t="s">
        <v>130</v>
      </c>
      <c r="AU119" s="0" t="s">
        <v>130</v>
      </c>
      <c r="AV119" s="0" t="s">
        <v>141</v>
      </c>
      <c r="AW119" s="0" t="s">
        <v>130</v>
      </c>
      <c r="AX119" s="0" t="s">
        <v>130</v>
      </c>
      <c r="AY119" s="0" t="s">
        <v>130</v>
      </c>
      <c r="AZ119" s="0" t="s">
        <v>130</v>
      </c>
      <c r="BA119" s="0" t="s">
        <v>130</v>
      </c>
      <c r="BB119" s="0" t="s">
        <v>130</v>
      </c>
      <c r="BC119" s="0" t="s">
        <v>130</v>
      </c>
      <c r="BD119" s="0" t="s">
        <v>130</v>
      </c>
      <c r="BE119" s="0" t="s">
        <v>130</v>
      </c>
      <c r="BF119" s="0" t="s">
        <v>130</v>
      </c>
      <c r="BG119" s="0" t="s">
        <v>130</v>
      </c>
      <c r="BH119" s="0" t="s">
        <v>130</v>
      </c>
      <c r="BI119" s="0" t="s">
        <v>130</v>
      </c>
      <c r="BJ119" s="0" t="s">
        <v>130</v>
      </c>
      <c r="BK119" s="0" t="s">
        <v>130</v>
      </c>
      <c r="BL119" s="0" t="s">
        <v>130</v>
      </c>
      <c r="BM119" s="0" t="s">
        <v>130</v>
      </c>
      <c r="BN119" s="0" t="s">
        <v>130</v>
      </c>
      <c r="BO119" s="0" t="s">
        <v>130</v>
      </c>
      <c r="BP119" s="0" t="s">
        <v>130</v>
      </c>
      <c r="BQ119" s="0" t="s">
        <v>130</v>
      </c>
      <c r="BR119" s="0" t="s">
        <v>130</v>
      </c>
      <c r="BS119" s="0" t="s">
        <v>130</v>
      </c>
      <c r="BT119" s="0" t="s">
        <v>130</v>
      </c>
      <c r="BU119" s="0" t="s">
        <v>130</v>
      </c>
      <c r="BV119" s="0" t="s">
        <v>130</v>
      </c>
      <c r="BW119" s="0" t="s">
        <v>130</v>
      </c>
      <c r="BX119" s="0" t="s">
        <v>141</v>
      </c>
      <c r="BY119" s="0" t="s">
        <v>130</v>
      </c>
      <c r="BZ119" s="0" t="s">
        <v>130</v>
      </c>
      <c r="CA119" s="0" t="s">
        <v>130</v>
      </c>
      <c r="CB119" s="0" t="s">
        <v>130</v>
      </c>
      <c r="CC119" s="0" t="s">
        <v>130</v>
      </c>
      <c r="CD119" s="0" t="s">
        <v>130</v>
      </c>
      <c r="CE119" s="0" t="s">
        <v>130</v>
      </c>
      <c r="CF119" s="0" t="s">
        <v>130</v>
      </c>
      <c r="CG119" s="0" t="s">
        <v>130</v>
      </c>
      <c r="CH119" s="0" t="s">
        <v>130</v>
      </c>
      <c r="CI119" s="0" t="s">
        <v>130</v>
      </c>
      <c r="CJ119" s="0" t="s">
        <v>130</v>
      </c>
      <c r="CK119" s="0" t="s">
        <v>130</v>
      </c>
      <c r="CL119" s="0" t="s">
        <v>130</v>
      </c>
      <c r="CM119" s="0" t="s">
        <v>130</v>
      </c>
      <c r="CN119" s="0" t="s">
        <v>130</v>
      </c>
      <c r="CO119" s="0" t="s">
        <v>130</v>
      </c>
      <c r="CP119" s="0" t="s">
        <v>130</v>
      </c>
      <c r="CQ119" s="0" t="s">
        <v>130</v>
      </c>
      <c r="CR119" s="0" t="s">
        <v>130</v>
      </c>
      <c r="CS119" s="0" t="s">
        <v>130</v>
      </c>
      <c r="CT119" s="0" t="s">
        <v>607</v>
      </c>
    </row>
    <row r="120">
      <c r="A120" s="14">
        <v>100355</v>
      </c>
      <c r="B120" s="0" t="s">
        <v>604</v>
      </c>
      <c r="C120" s="16">
        <f>HYPERLINK("https://eosportal.federatedhermes.com/companies/Q29tcGFueQppNDgyOTA=", "Coca-Cola Co/The")</f>
      </c>
      <c r="D120" s="0" t="s">
        <v>25</v>
      </c>
      <c r="E120" s="0" t="s">
        <v>608</v>
      </c>
      <c r="F120" s="16">
        <f>HYPERLINK("https://eosportal.federatedhermes.com/engagements/RW5nYWdlbWVudAppMTg3MDc=", "Human Rights in supply chain")</f>
      </c>
      <c r="G120" s="14" t="s">
        <v>609</v>
      </c>
      <c r="H120" s="0" t="s">
        <v>141</v>
      </c>
      <c r="I120" s="14" t="s">
        <v>191</v>
      </c>
      <c r="J120" s="0" t="s">
        <v>153</v>
      </c>
      <c r="K120" s="0" t="s">
        <v>243</v>
      </c>
      <c r="L120" s="0" t="s">
        <v>244</v>
      </c>
      <c r="M120" s="0" t="s">
        <v>135</v>
      </c>
      <c r="N120" s="0" t="s">
        <v>136</v>
      </c>
      <c r="O120" s="0" t="s">
        <v>332</v>
      </c>
      <c r="Q120" s="0" t="s">
        <v>141</v>
      </c>
      <c r="R120" s="0" t="s">
        <v>138</v>
      </c>
      <c r="S120" s="14">
        <v>1</v>
      </c>
      <c r="T120" s="0" t="s">
        <v>206</v>
      </c>
      <c r="U120" s="0" t="s">
        <v>138</v>
      </c>
      <c r="V120" s="14" t="s">
        <v>138</v>
      </c>
      <c r="W120" s="0" t="s">
        <v>138</v>
      </c>
      <c r="X120" s="14" t="s">
        <v>138</v>
      </c>
      <c r="Y120" s="0" t="s">
        <v>138</v>
      </c>
      <c r="Z120" s="14" t="s">
        <v>138</v>
      </c>
      <c r="AA120" s="0" t="s">
        <v>138</v>
      </c>
      <c r="AB120" s="14" t="s">
        <v>138</v>
      </c>
      <c r="AD120" s="0" t="s">
        <v>138</v>
      </c>
      <c r="AF120" s="0">
        <v>0</v>
      </c>
      <c r="AG120" s="0">
        <v>0</v>
      </c>
      <c r="AH120" s="0" t="s">
        <v>140</v>
      </c>
      <c r="AI120" s="0" t="s">
        <v>138</v>
      </c>
      <c r="AK120" s="0" t="s">
        <v>149</v>
      </c>
      <c r="AL120" s="14"/>
      <c r="AN120" s="14"/>
      <c r="AQ120" s="0" t="s">
        <v>130</v>
      </c>
      <c r="AR120" s="0" t="s">
        <v>130</v>
      </c>
      <c r="AS120" s="0" t="s">
        <v>130</v>
      </c>
      <c r="AT120" s="0" t="s">
        <v>130</v>
      </c>
      <c r="AU120" s="0" t="s">
        <v>130</v>
      </c>
      <c r="AV120" s="0" t="s">
        <v>130</v>
      </c>
      <c r="AW120" s="0" t="s">
        <v>130</v>
      </c>
      <c r="AX120" s="0" t="s">
        <v>141</v>
      </c>
      <c r="AY120" s="0" t="s">
        <v>130</v>
      </c>
      <c r="AZ120" s="0" t="s">
        <v>130</v>
      </c>
      <c r="BA120" s="0" t="s">
        <v>130</v>
      </c>
      <c r="BB120" s="0" t="s">
        <v>130</v>
      </c>
      <c r="BC120" s="0" t="s">
        <v>130</v>
      </c>
      <c r="BD120" s="0" t="s">
        <v>130</v>
      </c>
      <c r="BE120" s="0" t="s">
        <v>130</v>
      </c>
      <c r="BF120" s="0" t="s">
        <v>130</v>
      </c>
      <c r="BG120" s="0" t="s">
        <v>130</v>
      </c>
      <c r="BH120" s="0" t="s">
        <v>130</v>
      </c>
      <c r="BI120" s="0" t="s">
        <v>130</v>
      </c>
      <c r="BJ120" s="0" t="s">
        <v>130</v>
      </c>
      <c r="BK120" s="0" t="s">
        <v>130</v>
      </c>
      <c r="BL120" s="0" t="s">
        <v>130</v>
      </c>
      <c r="BM120" s="0" t="s">
        <v>130</v>
      </c>
      <c r="BN120" s="0" t="s">
        <v>130</v>
      </c>
      <c r="BO120" s="0" t="s">
        <v>130</v>
      </c>
      <c r="BP120" s="0" t="s">
        <v>130</v>
      </c>
      <c r="BQ120" s="0" t="s">
        <v>130</v>
      </c>
      <c r="BR120" s="0" t="s">
        <v>130</v>
      </c>
      <c r="BS120" s="0" t="s">
        <v>130</v>
      </c>
      <c r="BT120" s="0" t="s">
        <v>130</v>
      </c>
      <c r="BU120" s="0" t="s">
        <v>130</v>
      </c>
      <c r="BV120" s="0" t="s">
        <v>130</v>
      </c>
      <c r="BW120" s="0" t="s">
        <v>130</v>
      </c>
      <c r="BX120" s="0" t="s">
        <v>130</v>
      </c>
      <c r="BY120" s="0" t="s">
        <v>130</v>
      </c>
      <c r="BZ120" s="0" t="s">
        <v>130</v>
      </c>
      <c r="CA120" s="0" t="s">
        <v>130</v>
      </c>
      <c r="CB120" s="0" t="s">
        <v>130</v>
      </c>
      <c r="CC120" s="0" t="s">
        <v>130</v>
      </c>
      <c r="CD120" s="0" t="s">
        <v>130</v>
      </c>
      <c r="CE120" s="0" t="s">
        <v>130</v>
      </c>
      <c r="CF120" s="0" t="s">
        <v>130</v>
      </c>
      <c r="CG120" s="0" t="s">
        <v>130</v>
      </c>
      <c r="CH120" s="0" t="s">
        <v>130</v>
      </c>
      <c r="CI120" s="0" t="s">
        <v>130</v>
      </c>
      <c r="CJ120" s="0" t="s">
        <v>130</v>
      </c>
      <c r="CK120" s="0" t="s">
        <v>130</v>
      </c>
      <c r="CL120" s="0" t="s">
        <v>130</v>
      </c>
      <c r="CM120" s="0" t="s">
        <v>130</v>
      </c>
      <c r="CN120" s="0" t="s">
        <v>130</v>
      </c>
      <c r="CO120" s="0" t="s">
        <v>130</v>
      </c>
      <c r="CP120" s="0" t="s">
        <v>130</v>
      </c>
      <c r="CQ120" s="0" t="s">
        <v>130</v>
      </c>
      <c r="CR120" s="0" t="s">
        <v>130</v>
      </c>
      <c r="CS120" s="0" t="s">
        <v>130</v>
      </c>
      <c r="CT120" s="0" t="s">
        <v>610</v>
      </c>
    </row>
    <row r="121">
      <c r="A121" s="14">
        <v>100355</v>
      </c>
      <c r="B121" s="0" t="s">
        <v>604</v>
      </c>
      <c r="C121" s="16">
        <f>HYPERLINK("https://eosportal.federatedhermes.com/companies/Q29tcGFueQppNDgyOTA=", "Coca-Cola Co/The")</f>
      </c>
      <c r="D121" s="0" t="s">
        <v>25</v>
      </c>
      <c r="E121" s="0" t="s">
        <v>611</v>
      </c>
      <c r="F121" s="16">
        <f>HYPERLINK("https://eosportal.federatedhermes.com/engagements/RW5nYWdlbWVudAppMTg3MDg=", "Say on pay")</f>
      </c>
      <c r="G121" s="14" t="s">
        <v>471</v>
      </c>
      <c r="H121" s="0" t="s">
        <v>141</v>
      </c>
      <c r="I121" s="14" t="s">
        <v>191</v>
      </c>
      <c r="J121" s="0" t="s">
        <v>145</v>
      </c>
      <c r="K121" s="0" t="s">
        <v>146</v>
      </c>
      <c r="L121" s="0" t="s">
        <v>147</v>
      </c>
      <c r="M121" s="0" t="s">
        <v>135</v>
      </c>
      <c r="N121" s="0" t="s">
        <v>136</v>
      </c>
      <c r="O121" s="0" t="s">
        <v>332</v>
      </c>
      <c r="Q121" s="0" t="s">
        <v>130</v>
      </c>
      <c r="R121" s="0" t="s">
        <v>138</v>
      </c>
      <c r="S121" s="14">
        <v>0</v>
      </c>
      <c r="T121" s="0" t="s">
        <v>239</v>
      </c>
      <c r="U121" s="0" t="s">
        <v>138</v>
      </c>
      <c r="V121" s="14" t="s">
        <v>138</v>
      </c>
      <c r="W121" s="0" t="s">
        <v>138</v>
      </c>
      <c r="X121" s="14" t="s">
        <v>138</v>
      </c>
      <c r="Y121" s="0" t="s">
        <v>138</v>
      </c>
      <c r="Z121" s="14" t="s">
        <v>138</v>
      </c>
      <c r="AA121" s="0" t="s">
        <v>138</v>
      </c>
      <c r="AB121" s="14" t="s">
        <v>138</v>
      </c>
      <c r="AD121" s="0" t="s">
        <v>138</v>
      </c>
      <c r="AF121" s="0">
        <v>0</v>
      </c>
      <c r="AG121" s="0">
        <v>0</v>
      </c>
      <c r="AH121" s="0" t="s">
        <v>140</v>
      </c>
      <c r="AI121" s="0" t="s">
        <v>138</v>
      </c>
      <c r="AL121" s="14"/>
      <c r="AN121" s="14"/>
      <c r="AQ121" s="0" t="s">
        <v>130</v>
      </c>
      <c r="AR121" s="0" t="s">
        <v>130</v>
      </c>
      <c r="AS121" s="0" t="s">
        <v>130</v>
      </c>
      <c r="AT121" s="0" t="s">
        <v>130</v>
      </c>
      <c r="AU121" s="0" t="s">
        <v>130</v>
      </c>
      <c r="AV121" s="0" t="s">
        <v>130</v>
      </c>
      <c r="AW121" s="0" t="s">
        <v>130</v>
      </c>
      <c r="AX121" s="0" t="s">
        <v>130</v>
      </c>
      <c r="AY121" s="0" t="s">
        <v>130</v>
      </c>
      <c r="AZ121" s="0" t="s">
        <v>130</v>
      </c>
      <c r="BA121" s="0" t="s">
        <v>130</v>
      </c>
      <c r="BB121" s="0" t="s">
        <v>130</v>
      </c>
      <c r="BC121" s="0" t="s">
        <v>130</v>
      </c>
      <c r="BD121" s="0" t="s">
        <v>130</v>
      </c>
      <c r="BE121" s="0" t="s">
        <v>130</v>
      </c>
      <c r="BF121" s="0" t="s">
        <v>130</v>
      </c>
      <c r="BG121" s="0" t="s">
        <v>130</v>
      </c>
      <c r="BH121" s="0" t="s">
        <v>130</v>
      </c>
      <c r="BI121" s="0" t="s">
        <v>130</v>
      </c>
      <c r="BJ121" s="0" t="s">
        <v>130</v>
      </c>
      <c r="BK121" s="0" t="s">
        <v>130</v>
      </c>
      <c r="BL121" s="0" t="s">
        <v>130</v>
      </c>
      <c r="BM121" s="0" t="s">
        <v>130</v>
      </c>
      <c r="BN121" s="0" t="s">
        <v>130</v>
      </c>
      <c r="BO121" s="0" t="s">
        <v>130</v>
      </c>
      <c r="BP121" s="0" t="s">
        <v>130</v>
      </c>
      <c r="BQ121" s="0" t="s">
        <v>130</v>
      </c>
      <c r="BR121" s="0" t="s">
        <v>130</v>
      </c>
      <c r="BS121" s="0" t="s">
        <v>130</v>
      </c>
      <c r="BT121" s="0" t="s">
        <v>130</v>
      </c>
      <c r="BU121" s="0" t="s">
        <v>130</v>
      </c>
      <c r="BV121" s="0" t="s">
        <v>130</v>
      </c>
      <c r="BW121" s="0" t="s">
        <v>130</v>
      </c>
      <c r="BX121" s="0" t="s">
        <v>130</v>
      </c>
      <c r="BY121" s="0" t="s">
        <v>130</v>
      </c>
      <c r="BZ121" s="0" t="s">
        <v>130</v>
      </c>
      <c r="CA121" s="0" t="s">
        <v>130</v>
      </c>
      <c r="CB121" s="0" t="s">
        <v>130</v>
      </c>
      <c r="CC121" s="0" t="s">
        <v>130</v>
      </c>
      <c r="CD121" s="0" t="s">
        <v>130</v>
      </c>
      <c r="CE121" s="0" t="s">
        <v>130</v>
      </c>
      <c r="CF121" s="0" t="s">
        <v>130</v>
      </c>
      <c r="CG121" s="0" t="s">
        <v>130</v>
      </c>
      <c r="CH121" s="0" t="s">
        <v>130</v>
      </c>
      <c r="CI121" s="0" t="s">
        <v>130</v>
      </c>
      <c r="CJ121" s="0" t="s">
        <v>130</v>
      </c>
      <c r="CK121" s="0" t="s">
        <v>130</v>
      </c>
      <c r="CL121" s="0" t="s">
        <v>130</v>
      </c>
      <c r="CM121" s="0" t="s">
        <v>130</v>
      </c>
      <c r="CN121" s="0" t="s">
        <v>130</v>
      </c>
      <c r="CO121" s="0" t="s">
        <v>130</v>
      </c>
      <c r="CP121" s="0" t="s">
        <v>130</v>
      </c>
      <c r="CQ121" s="0" t="s">
        <v>130</v>
      </c>
      <c r="CR121" s="0" t="s">
        <v>130</v>
      </c>
      <c r="CS121" s="0" t="s">
        <v>130</v>
      </c>
      <c r="CT121" s="0" t="s">
        <v>612</v>
      </c>
    </row>
    <row r="122">
      <c r="A122" s="14">
        <v>100355</v>
      </c>
      <c r="B122" s="0" t="s">
        <v>604</v>
      </c>
      <c r="C122" s="16">
        <f>HYPERLINK("https://eosportal.federatedhermes.com/companies/Q29tcGFueQppNDgyOTA=", "Coca-Cola Co/The")</f>
      </c>
      <c r="D122" s="0" t="s">
        <v>25</v>
      </c>
      <c r="E122" s="0" t="s">
        <v>134</v>
      </c>
      <c r="F122" s="16">
        <f>HYPERLINK("https://eosportal.federatedhermes.com/engagements/RW5nYWdlbWVudAppMTg3MDk=", "Business Purpose")</f>
      </c>
      <c r="G122" s="14" t="s">
        <v>613</v>
      </c>
      <c r="H122" s="0" t="s">
        <v>141</v>
      </c>
      <c r="I122" s="14" t="s">
        <v>191</v>
      </c>
      <c r="J122" s="0" t="s">
        <v>132</v>
      </c>
      <c r="K122" s="0" t="s">
        <v>133</v>
      </c>
      <c r="L122" s="0" t="s">
        <v>134</v>
      </c>
      <c r="M122" s="0" t="s">
        <v>135</v>
      </c>
      <c r="N122" s="0" t="s">
        <v>136</v>
      </c>
      <c r="O122" s="0" t="s">
        <v>332</v>
      </c>
      <c r="Q122" s="0" t="s">
        <v>130</v>
      </c>
      <c r="R122" s="0" t="s">
        <v>138</v>
      </c>
      <c r="S122" s="14">
        <v>0</v>
      </c>
      <c r="T122" s="0" t="s">
        <v>139</v>
      </c>
      <c r="U122" s="0" t="s">
        <v>138</v>
      </c>
      <c r="V122" s="14" t="s">
        <v>138</v>
      </c>
      <c r="W122" s="0" t="s">
        <v>138</v>
      </c>
      <c r="X122" s="14" t="s">
        <v>138</v>
      </c>
      <c r="Y122" s="0" t="s">
        <v>138</v>
      </c>
      <c r="Z122" s="14" t="s">
        <v>138</v>
      </c>
      <c r="AA122" s="0" t="s">
        <v>138</v>
      </c>
      <c r="AB122" s="14" t="s">
        <v>138</v>
      </c>
      <c r="AD122" s="0" t="s">
        <v>138</v>
      </c>
      <c r="AF122" s="0">
        <v>0</v>
      </c>
      <c r="AG122" s="0">
        <v>0</v>
      </c>
      <c r="AH122" s="0" t="s">
        <v>140</v>
      </c>
      <c r="AI122" s="0" t="s">
        <v>138</v>
      </c>
      <c r="AL122" s="14"/>
      <c r="AN122" s="14"/>
      <c r="AQ122" s="0" t="s">
        <v>130</v>
      </c>
      <c r="AR122" s="0" t="s">
        <v>130</v>
      </c>
      <c r="AS122" s="0" t="s">
        <v>130</v>
      </c>
      <c r="AT122" s="0" t="s">
        <v>130</v>
      </c>
      <c r="AU122" s="0" t="s">
        <v>130</v>
      </c>
      <c r="AV122" s="0" t="s">
        <v>130</v>
      </c>
      <c r="AW122" s="0" t="s">
        <v>130</v>
      </c>
      <c r="AX122" s="0" t="s">
        <v>130</v>
      </c>
      <c r="AY122" s="0" t="s">
        <v>130</v>
      </c>
      <c r="AZ122" s="0" t="s">
        <v>130</v>
      </c>
      <c r="BA122" s="0" t="s">
        <v>130</v>
      </c>
      <c r="BB122" s="0" t="s">
        <v>130</v>
      </c>
      <c r="BC122" s="0" t="s">
        <v>130</v>
      </c>
      <c r="BD122" s="0" t="s">
        <v>130</v>
      </c>
      <c r="BE122" s="0" t="s">
        <v>130</v>
      </c>
      <c r="BF122" s="0" t="s">
        <v>130</v>
      </c>
      <c r="BG122" s="0" t="s">
        <v>130</v>
      </c>
      <c r="BH122" s="0" t="s">
        <v>130</v>
      </c>
      <c r="BI122" s="0" t="s">
        <v>130</v>
      </c>
      <c r="BJ122" s="0" t="s">
        <v>130</v>
      </c>
      <c r="BK122" s="0" t="s">
        <v>130</v>
      </c>
      <c r="BL122" s="0" t="s">
        <v>130</v>
      </c>
      <c r="BM122" s="0" t="s">
        <v>130</v>
      </c>
      <c r="BN122" s="0" t="s">
        <v>130</v>
      </c>
      <c r="BO122" s="0" t="s">
        <v>130</v>
      </c>
      <c r="BP122" s="0" t="s">
        <v>130</v>
      </c>
      <c r="BQ122" s="0" t="s">
        <v>130</v>
      </c>
      <c r="BR122" s="0" t="s">
        <v>130</v>
      </c>
      <c r="BS122" s="0" t="s">
        <v>130</v>
      </c>
      <c r="BT122" s="0" t="s">
        <v>130</v>
      </c>
      <c r="BU122" s="0" t="s">
        <v>130</v>
      </c>
      <c r="BV122" s="0" t="s">
        <v>130</v>
      </c>
      <c r="BW122" s="0" t="s">
        <v>130</v>
      </c>
      <c r="BX122" s="0" t="s">
        <v>130</v>
      </c>
      <c r="BY122" s="0" t="s">
        <v>130</v>
      </c>
      <c r="BZ122" s="0" t="s">
        <v>130</v>
      </c>
      <c r="CA122" s="0" t="s">
        <v>130</v>
      </c>
      <c r="CB122" s="0" t="s">
        <v>130</v>
      </c>
      <c r="CC122" s="0" t="s">
        <v>130</v>
      </c>
      <c r="CD122" s="0" t="s">
        <v>130</v>
      </c>
      <c r="CE122" s="0" t="s">
        <v>130</v>
      </c>
      <c r="CF122" s="0" t="s">
        <v>130</v>
      </c>
      <c r="CG122" s="0" t="s">
        <v>130</v>
      </c>
      <c r="CH122" s="0" t="s">
        <v>130</v>
      </c>
      <c r="CI122" s="0" t="s">
        <v>130</v>
      </c>
      <c r="CJ122" s="0" t="s">
        <v>130</v>
      </c>
      <c r="CK122" s="0" t="s">
        <v>130</v>
      </c>
      <c r="CL122" s="0" t="s">
        <v>130</v>
      </c>
      <c r="CM122" s="0" t="s">
        <v>130</v>
      </c>
      <c r="CN122" s="0" t="s">
        <v>130</v>
      </c>
      <c r="CO122" s="0" t="s">
        <v>130</v>
      </c>
      <c r="CP122" s="0" t="s">
        <v>130</v>
      </c>
      <c r="CQ122" s="0" t="s">
        <v>130</v>
      </c>
      <c r="CR122" s="0" t="s">
        <v>130</v>
      </c>
      <c r="CS122" s="0" t="s">
        <v>130</v>
      </c>
      <c r="CT122" s="0" t="s">
        <v>614</v>
      </c>
    </row>
    <row r="123">
      <c r="A123" s="14">
        <v>100355</v>
      </c>
      <c r="B123" s="0" t="s">
        <v>604</v>
      </c>
      <c r="C123" s="16">
        <f>HYPERLINK("https://eosportal.federatedhermes.com/companies/Q29tcGFueQppNDgyOTA=", "Coca-Cola Co/The")</f>
      </c>
      <c r="D123" s="0" t="s">
        <v>25</v>
      </c>
      <c r="E123" s="0" t="s">
        <v>615</v>
      </c>
      <c r="F123" s="16">
        <f>HYPERLINK("https://eosportal.federatedhermes.com/engagements/RW5nYWdlbWVudAppMTg3MTA=", "TCFD Disclosure")</f>
      </c>
      <c r="G123" s="14" t="s">
        <v>616</v>
      </c>
      <c r="H123" s="0" t="s">
        <v>141</v>
      </c>
      <c r="I123" s="14" t="s">
        <v>191</v>
      </c>
      <c r="J123" s="0" t="s">
        <v>197</v>
      </c>
      <c r="K123" s="0" t="s">
        <v>198</v>
      </c>
      <c r="L123" s="0" t="s">
        <v>199</v>
      </c>
      <c r="M123" s="0" t="s">
        <v>135</v>
      </c>
      <c r="N123" s="0" t="s">
        <v>136</v>
      </c>
      <c r="O123" s="0" t="s">
        <v>332</v>
      </c>
      <c r="Q123" s="0" t="s">
        <v>130</v>
      </c>
      <c r="R123" s="0" t="s">
        <v>138</v>
      </c>
      <c r="S123" s="14">
        <v>0</v>
      </c>
      <c r="T123" s="0" t="s">
        <v>333</v>
      </c>
      <c r="U123" s="0" t="s">
        <v>138</v>
      </c>
      <c r="V123" s="14" t="s">
        <v>138</v>
      </c>
      <c r="W123" s="0" t="s">
        <v>138</v>
      </c>
      <c r="X123" s="14" t="s">
        <v>138</v>
      </c>
      <c r="Y123" s="0" t="s">
        <v>138</v>
      </c>
      <c r="Z123" s="14" t="s">
        <v>138</v>
      </c>
      <c r="AA123" s="0" t="s">
        <v>138</v>
      </c>
      <c r="AB123" s="14" t="s">
        <v>138</v>
      </c>
      <c r="AD123" s="0" t="s">
        <v>138</v>
      </c>
      <c r="AF123" s="0">
        <v>0</v>
      </c>
      <c r="AG123" s="0">
        <v>0</v>
      </c>
      <c r="AH123" s="0" t="s">
        <v>140</v>
      </c>
      <c r="AI123" s="0" t="s">
        <v>138</v>
      </c>
      <c r="AL123" s="14"/>
      <c r="AN123" s="14"/>
      <c r="AQ123" s="0" t="s">
        <v>130</v>
      </c>
      <c r="AR123" s="0" t="s">
        <v>130</v>
      </c>
      <c r="AS123" s="0" t="s">
        <v>130</v>
      </c>
      <c r="AT123" s="0" t="s">
        <v>130</v>
      </c>
      <c r="AU123" s="0" t="s">
        <v>130</v>
      </c>
      <c r="AV123" s="0" t="s">
        <v>130</v>
      </c>
      <c r="AW123" s="0" t="s">
        <v>130</v>
      </c>
      <c r="AX123" s="0" t="s">
        <v>130</v>
      </c>
      <c r="AY123" s="0" t="s">
        <v>130</v>
      </c>
      <c r="AZ123" s="0" t="s">
        <v>130</v>
      </c>
      <c r="BA123" s="0" t="s">
        <v>130</v>
      </c>
      <c r="BB123" s="0" t="s">
        <v>141</v>
      </c>
      <c r="BC123" s="0" t="s">
        <v>141</v>
      </c>
      <c r="BD123" s="0" t="s">
        <v>130</v>
      </c>
      <c r="BE123" s="0" t="s">
        <v>130</v>
      </c>
      <c r="BF123" s="0" t="s">
        <v>130</v>
      </c>
      <c r="BG123" s="0" t="s">
        <v>130</v>
      </c>
      <c r="BH123" s="0" t="s">
        <v>130</v>
      </c>
      <c r="BI123" s="0" t="s">
        <v>130</v>
      </c>
      <c r="BJ123" s="0" t="s">
        <v>130</v>
      </c>
      <c r="BK123" s="0" t="s">
        <v>130</v>
      </c>
      <c r="BL123" s="0" t="s">
        <v>130</v>
      </c>
      <c r="BM123" s="0" t="s">
        <v>130</v>
      </c>
      <c r="BN123" s="0" t="s">
        <v>130</v>
      </c>
      <c r="BO123" s="0" t="s">
        <v>130</v>
      </c>
      <c r="BP123" s="0" t="s">
        <v>130</v>
      </c>
      <c r="BQ123" s="0" t="s">
        <v>130</v>
      </c>
      <c r="BR123" s="0" t="s">
        <v>130</v>
      </c>
      <c r="BS123" s="0" t="s">
        <v>130</v>
      </c>
      <c r="BT123" s="0" t="s">
        <v>130</v>
      </c>
      <c r="BU123" s="0" t="s">
        <v>130</v>
      </c>
      <c r="BV123" s="0" t="s">
        <v>130</v>
      </c>
      <c r="BW123" s="0" t="s">
        <v>130</v>
      </c>
      <c r="BX123" s="0" t="s">
        <v>130</v>
      </c>
      <c r="BY123" s="0" t="s">
        <v>130</v>
      </c>
      <c r="BZ123" s="0" t="s">
        <v>130</v>
      </c>
      <c r="CA123" s="0" t="s">
        <v>130</v>
      </c>
      <c r="CB123" s="0" t="s">
        <v>130</v>
      </c>
      <c r="CC123" s="0" t="s">
        <v>130</v>
      </c>
      <c r="CD123" s="0" t="s">
        <v>130</v>
      </c>
      <c r="CE123" s="0" t="s">
        <v>130</v>
      </c>
      <c r="CF123" s="0" t="s">
        <v>130</v>
      </c>
      <c r="CG123" s="0" t="s">
        <v>130</v>
      </c>
      <c r="CH123" s="0" t="s">
        <v>130</v>
      </c>
      <c r="CI123" s="0" t="s">
        <v>130</v>
      </c>
      <c r="CJ123" s="0" t="s">
        <v>130</v>
      </c>
      <c r="CK123" s="0" t="s">
        <v>130</v>
      </c>
      <c r="CL123" s="0" t="s">
        <v>130</v>
      </c>
      <c r="CM123" s="0" t="s">
        <v>130</v>
      </c>
      <c r="CN123" s="0" t="s">
        <v>130</v>
      </c>
      <c r="CO123" s="0" t="s">
        <v>130</v>
      </c>
      <c r="CP123" s="0" t="s">
        <v>130</v>
      </c>
      <c r="CQ123" s="0" t="s">
        <v>130</v>
      </c>
      <c r="CR123" s="0" t="s">
        <v>130</v>
      </c>
      <c r="CS123" s="0" t="s">
        <v>130</v>
      </c>
      <c r="CT123" s="0" t="s">
        <v>617</v>
      </c>
    </row>
    <row r="124">
      <c r="A124" s="14">
        <v>100355</v>
      </c>
      <c r="B124" s="0" t="s">
        <v>604</v>
      </c>
      <c r="C124" s="16">
        <f>HYPERLINK("https://eosportal.federatedhermes.com/companies/Q29tcGFueQppNDgyOTA=", "Coca-Cola Co/The")</f>
      </c>
      <c r="D124" s="0" t="s">
        <v>25</v>
      </c>
      <c r="E124" s="0" t="s">
        <v>618</v>
      </c>
      <c r="F124" s="16">
        <f>HYPERLINK("https://eosportal.federatedhermes.com/engagements/RW5nYWdlbWVudAppMTg3MTE=", "Myanmar")</f>
      </c>
      <c r="G124" s="14" t="s">
        <v>619</v>
      </c>
      <c r="H124" s="0" t="s">
        <v>141</v>
      </c>
      <c r="I124" s="14" t="s">
        <v>191</v>
      </c>
      <c r="J124" s="0" t="s">
        <v>153</v>
      </c>
      <c r="K124" s="0" t="s">
        <v>243</v>
      </c>
      <c r="L124" s="0" t="s">
        <v>456</v>
      </c>
      <c r="M124" s="0" t="s">
        <v>135</v>
      </c>
      <c r="N124" s="0" t="s">
        <v>136</v>
      </c>
      <c r="O124" s="0" t="s">
        <v>332</v>
      </c>
      <c r="Q124" s="0" t="s">
        <v>130</v>
      </c>
      <c r="R124" s="0" t="s">
        <v>138</v>
      </c>
      <c r="S124" s="14">
        <v>0</v>
      </c>
      <c r="T124" s="0" t="s">
        <v>206</v>
      </c>
      <c r="U124" s="0" t="s">
        <v>138</v>
      </c>
      <c r="V124" s="14" t="s">
        <v>138</v>
      </c>
      <c r="W124" s="0" t="s">
        <v>138</v>
      </c>
      <c r="X124" s="14" t="s">
        <v>138</v>
      </c>
      <c r="Y124" s="0" t="s">
        <v>138</v>
      </c>
      <c r="Z124" s="14" t="s">
        <v>138</v>
      </c>
      <c r="AA124" s="0" t="s">
        <v>138</v>
      </c>
      <c r="AB124" s="14" t="s">
        <v>138</v>
      </c>
      <c r="AD124" s="0" t="s">
        <v>138</v>
      </c>
      <c r="AF124" s="0">
        <v>0</v>
      </c>
      <c r="AG124" s="0">
        <v>0</v>
      </c>
      <c r="AH124" s="0" t="s">
        <v>140</v>
      </c>
      <c r="AI124" s="0" t="s">
        <v>138</v>
      </c>
      <c r="AL124" s="14"/>
      <c r="AN124" s="14"/>
      <c r="AQ124" s="0" t="s">
        <v>130</v>
      </c>
      <c r="AR124" s="0" t="s">
        <v>130</v>
      </c>
      <c r="AS124" s="0" t="s">
        <v>130</v>
      </c>
      <c r="AT124" s="0" t="s">
        <v>130</v>
      </c>
      <c r="AU124" s="0" t="s">
        <v>130</v>
      </c>
      <c r="AV124" s="0" t="s">
        <v>130</v>
      </c>
      <c r="AW124" s="0" t="s">
        <v>130</v>
      </c>
      <c r="AX124" s="0" t="s">
        <v>141</v>
      </c>
      <c r="AY124" s="0" t="s">
        <v>130</v>
      </c>
      <c r="AZ124" s="0" t="s">
        <v>130</v>
      </c>
      <c r="BA124" s="0" t="s">
        <v>130</v>
      </c>
      <c r="BB124" s="0" t="s">
        <v>130</v>
      </c>
      <c r="BC124" s="0" t="s">
        <v>130</v>
      </c>
      <c r="BD124" s="0" t="s">
        <v>130</v>
      </c>
      <c r="BE124" s="0" t="s">
        <v>130</v>
      </c>
      <c r="BF124" s="0" t="s">
        <v>141</v>
      </c>
      <c r="BG124" s="0" t="s">
        <v>130</v>
      </c>
      <c r="BH124" s="0" t="s">
        <v>130</v>
      </c>
      <c r="BI124" s="0" t="s">
        <v>130</v>
      </c>
      <c r="BJ124" s="0" t="s">
        <v>130</v>
      </c>
      <c r="BK124" s="0" t="s">
        <v>130</v>
      </c>
      <c r="BL124" s="0" t="s">
        <v>130</v>
      </c>
      <c r="BM124" s="0" t="s">
        <v>130</v>
      </c>
      <c r="BN124" s="0" t="s">
        <v>130</v>
      </c>
      <c r="BO124" s="0" t="s">
        <v>130</v>
      </c>
      <c r="BP124" s="0" t="s">
        <v>130</v>
      </c>
      <c r="BQ124" s="0" t="s">
        <v>130</v>
      </c>
      <c r="BR124" s="0" t="s">
        <v>130</v>
      </c>
      <c r="BS124" s="0" t="s">
        <v>130</v>
      </c>
      <c r="BT124" s="0" t="s">
        <v>130</v>
      </c>
      <c r="BU124" s="0" t="s">
        <v>130</v>
      </c>
      <c r="BV124" s="0" t="s">
        <v>130</v>
      </c>
      <c r="BW124" s="0" t="s">
        <v>130</v>
      </c>
      <c r="BX124" s="0" t="s">
        <v>130</v>
      </c>
      <c r="BY124" s="0" t="s">
        <v>130</v>
      </c>
      <c r="BZ124" s="0" t="s">
        <v>130</v>
      </c>
      <c r="CA124" s="0" t="s">
        <v>130</v>
      </c>
      <c r="CB124" s="0" t="s">
        <v>130</v>
      </c>
      <c r="CC124" s="0" t="s">
        <v>130</v>
      </c>
      <c r="CD124" s="0" t="s">
        <v>130</v>
      </c>
      <c r="CE124" s="0" t="s">
        <v>130</v>
      </c>
      <c r="CF124" s="0" t="s">
        <v>130</v>
      </c>
      <c r="CG124" s="0" t="s">
        <v>130</v>
      </c>
      <c r="CH124" s="0" t="s">
        <v>130</v>
      </c>
      <c r="CI124" s="0" t="s">
        <v>130</v>
      </c>
      <c r="CJ124" s="0" t="s">
        <v>130</v>
      </c>
      <c r="CK124" s="0" t="s">
        <v>130</v>
      </c>
      <c r="CL124" s="0" t="s">
        <v>130</v>
      </c>
      <c r="CM124" s="0" t="s">
        <v>130</v>
      </c>
      <c r="CN124" s="0" t="s">
        <v>130</v>
      </c>
      <c r="CO124" s="0" t="s">
        <v>130</v>
      </c>
      <c r="CP124" s="0" t="s">
        <v>130</v>
      </c>
      <c r="CQ124" s="0" t="s">
        <v>130</v>
      </c>
      <c r="CR124" s="0" t="s">
        <v>130</v>
      </c>
      <c r="CS124" s="0" t="s">
        <v>130</v>
      </c>
      <c r="CT124" s="0" t="s">
        <v>620</v>
      </c>
    </row>
    <row r="125">
      <c r="A125" s="14">
        <v>100355</v>
      </c>
      <c r="B125" s="0" t="s">
        <v>604</v>
      </c>
      <c r="C125" s="16">
        <f>HYPERLINK("https://eosportal.federatedhermes.com/companies/Q29tcGFueQppNDgyOTA=", "Coca-Cola Co/The")</f>
      </c>
      <c r="D125" s="0" t="s">
        <v>25</v>
      </c>
      <c r="E125" s="0" t="s">
        <v>621</v>
      </c>
      <c r="F125" s="16">
        <f>HYPERLINK("https://eosportal.federatedhermes.com/engagements/RW5nYWdlbWVudAppMTg3MTI=", "Xinjiang human rights engagement")</f>
      </c>
      <c r="G125" s="14" t="s">
        <v>622</v>
      </c>
      <c r="H125" s="0" t="s">
        <v>141</v>
      </c>
      <c r="I125" s="14" t="s">
        <v>191</v>
      </c>
      <c r="J125" s="0" t="s">
        <v>153</v>
      </c>
      <c r="K125" s="0" t="s">
        <v>243</v>
      </c>
      <c r="L125" s="0" t="s">
        <v>456</v>
      </c>
      <c r="M125" s="0" t="s">
        <v>135</v>
      </c>
      <c r="N125" s="0" t="s">
        <v>136</v>
      </c>
      <c r="O125" s="0" t="s">
        <v>332</v>
      </c>
      <c r="Q125" s="0" t="s">
        <v>130</v>
      </c>
      <c r="R125" s="0" t="s">
        <v>138</v>
      </c>
      <c r="S125" s="14">
        <v>0</v>
      </c>
      <c r="T125" s="0" t="s">
        <v>206</v>
      </c>
      <c r="U125" s="0" t="s">
        <v>138</v>
      </c>
      <c r="V125" s="14" t="s">
        <v>138</v>
      </c>
      <c r="W125" s="0" t="s">
        <v>138</v>
      </c>
      <c r="X125" s="14" t="s">
        <v>138</v>
      </c>
      <c r="Y125" s="0" t="s">
        <v>138</v>
      </c>
      <c r="Z125" s="14" t="s">
        <v>138</v>
      </c>
      <c r="AA125" s="0" t="s">
        <v>138</v>
      </c>
      <c r="AB125" s="14" t="s">
        <v>138</v>
      </c>
      <c r="AD125" s="0" t="s">
        <v>138</v>
      </c>
      <c r="AF125" s="0">
        <v>0</v>
      </c>
      <c r="AG125" s="0">
        <v>0</v>
      </c>
      <c r="AH125" s="0" t="s">
        <v>140</v>
      </c>
      <c r="AI125" s="0" t="s">
        <v>138</v>
      </c>
      <c r="AL125" s="14"/>
      <c r="AN125" s="14"/>
      <c r="AQ125" s="0" t="s">
        <v>130</v>
      </c>
      <c r="AR125" s="0" t="s">
        <v>130</v>
      </c>
      <c r="AS125" s="0" t="s">
        <v>130</v>
      </c>
      <c r="AT125" s="0" t="s">
        <v>130</v>
      </c>
      <c r="AU125" s="0" t="s">
        <v>130</v>
      </c>
      <c r="AV125" s="0" t="s">
        <v>130</v>
      </c>
      <c r="AW125" s="0" t="s">
        <v>130</v>
      </c>
      <c r="AX125" s="0" t="s">
        <v>141</v>
      </c>
      <c r="AY125" s="0" t="s">
        <v>130</v>
      </c>
      <c r="AZ125" s="0" t="s">
        <v>130</v>
      </c>
      <c r="BA125" s="0" t="s">
        <v>130</v>
      </c>
      <c r="BB125" s="0" t="s">
        <v>130</v>
      </c>
      <c r="BC125" s="0" t="s">
        <v>130</v>
      </c>
      <c r="BD125" s="0" t="s">
        <v>130</v>
      </c>
      <c r="BE125" s="0" t="s">
        <v>130</v>
      </c>
      <c r="BF125" s="0" t="s">
        <v>141</v>
      </c>
      <c r="BG125" s="0" t="s">
        <v>130</v>
      </c>
      <c r="BH125" s="0" t="s">
        <v>130</v>
      </c>
      <c r="BI125" s="0" t="s">
        <v>130</v>
      </c>
      <c r="BJ125" s="0" t="s">
        <v>130</v>
      </c>
      <c r="BK125" s="0" t="s">
        <v>130</v>
      </c>
      <c r="BL125" s="0" t="s">
        <v>130</v>
      </c>
      <c r="BM125" s="0" t="s">
        <v>130</v>
      </c>
      <c r="BN125" s="0" t="s">
        <v>130</v>
      </c>
      <c r="BO125" s="0" t="s">
        <v>130</v>
      </c>
      <c r="BP125" s="0" t="s">
        <v>130</v>
      </c>
      <c r="BQ125" s="0" t="s">
        <v>130</v>
      </c>
      <c r="BR125" s="0" t="s">
        <v>130</v>
      </c>
      <c r="BS125" s="0" t="s">
        <v>130</v>
      </c>
      <c r="BT125" s="0" t="s">
        <v>130</v>
      </c>
      <c r="BU125" s="0" t="s">
        <v>130</v>
      </c>
      <c r="BV125" s="0" t="s">
        <v>130</v>
      </c>
      <c r="BW125" s="0" t="s">
        <v>130</v>
      </c>
      <c r="BX125" s="0" t="s">
        <v>130</v>
      </c>
      <c r="BY125" s="0" t="s">
        <v>130</v>
      </c>
      <c r="BZ125" s="0" t="s">
        <v>130</v>
      </c>
      <c r="CA125" s="0" t="s">
        <v>130</v>
      </c>
      <c r="CB125" s="0" t="s">
        <v>130</v>
      </c>
      <c r="CC125" s="0" t="s">
        <v>130</v>
      </c>
      <c r="CD125" s="0" t="s">
        <v>130</v>
      </c>
      <c r="CE125" s="0" t="s">
        <v>130</v>
      </c>
      <c r="CF125" s="0" t="s">
        <v>130</v>
      </c>
      <c r="CG125" s="0" t="s">
        <v>130</v>
      </c>
      <c r="CH125" s="0" t="s">
        <v>130</v>
      </c>
      <c r="CI125" s="0" t="s">
        <v>130</v>
      </c>
      <c r="CJ125" s="0" t="s">
        <v>130</v>
      </c>
      <c r="CK125" s="0" t="s">
        <v>130</v>
      </c>
      <c r="CL125" s="0" t="s">
        <v>130</v>
      </c>
      <c r="CM125" s="0" t="s">
        <v>130</v>
      </c>
      <c r="CN125" s="0" t="s">
        <v>130</v>
      </c>
      <c r="CO125" s="0" t="s">
        <v>130</v>
      </c>
      <c r="CP125" s="0" t="s">
        <v>130</v>
      </c>
      <c r="CQ125" s="0" t="s">
        <v>130</v>
      </c>
      <c r="CR125" s="0" t="s">
        <v>130</v>
      </c>
      <c r="CS125" s="0" t="s">
        <v>130</v>
      </c>
      <c r="CT125" s="0" t="s">
        <v>623</v>
      </c>
    </row>
    <row r="126">
      <c r="A126" s="14">
        <v>100355</v>
      </c>
      <c r="B126" s="0" t="s">
        <v>604</v>
      </c>
      <c r="C126" s="16">
        <f>HYPERLINK("https://eosportal.federatedhermes.com/companies/Q29tcGFueQppNDgyOTA=", "Coca-Cola Co/The")</f>
      </c>
      <c r="D126" s="0" t="s">
        <v>25</v>
      </c>
      <c r="E126" s="0" t="s">
        <v>624</v>
      </c>
      <c r="F126" s="16">
        <f>HYPERLINK("https://eosportal.federatedhermes.com/engagements/RW5nYWdlbWVudAppMTg3MTg=", "Sugar risk")</f>
      </c>
      <c r="G126" s="14" t="s">
        <v>625</v>
      </c>
      <c r="H126" s="0" t="s">
        <v>141</v>
      </c>
      <c r="I126" s="14" t="s">
        <v>191</v>
      </c>
      <c r="J126" s="0" t="s">
        <v>153</v>
      </c>
      <c r="K126" s="0" t="s">
        <v>185</v>
      </c>
      <c r="L126" s="0" t="s">
        <v>626</v>
      </c>
      <c r="M126" s="0" t="s">
        <v>135</v>
      </c>
      <c r="N126" s="0" t="s">
        <v>136</v>
      </c>
      <c r="O126" s="0" t="s">
        <v>332</v>
      </c>
      <c r="Q126" s="0" t="s">
        <v>130</v>
      </c>
      <c r="R126" s="0" t="s">
        <v>138</v>
      </c>
      <c r="S126" s="14">
        <v>0</v>
      </c>
      <c r="T126" s="0" t="s">
        <v>384</v>
      </c>
      <c r="U126" s="0" t="s">
        <v>138</v>
      </c>
      <c r="V126" s="14" t="s">
        <v>138</v>
      </c>
      <c r="W126" s="0" t="s">
        <v>138</v>
      </c>
      <c r="X126" s="14" t="s">
        <v>138</v>
      </c>
      <c r="Y126" s="0" t="s">
        <v>138</v>
      </c>
      <c r="Z126" s="14" t="s">
        <v>138</v>
      </c>
      <c r="AA126" s="0" t="s">
        <v>138</v>
      </c>
      <c r="AB126" s="14" t="s">
        <v>138</v>
      </c>
      <c r="AD126" s="0" t="s">
        <v>138</v>
      </c>
      <c r="AF126" s="0">
        <v>0</v>
      </c>
      <c r="AG126" s="0">
        <v>0</v>
      </c>
      <c r="AH126" s="0" t="s">
        <v>140</v>
      </c>
      <c r="AI126" s="0" t="s">
        <v>138</v>
      </c>
      <c r="AL126" s="14"/>
      <c r="AN126" s="14"/>
      <c r="AQ126" s="0" t="s">
        <v>130</v>
      </c>
      <c r="AR126" s="0" t="s">
        <v>130</v>
      </c>
      <c r="AS126" s="0" t="s">
        <v>130</v>
      </c>
      <c r="AT126" s="0" t="s">
        <v>130</v>
      </c>
      <c r="AU126" s="0" t="s">
        <v>130</v>
      </c>
      <c r="AV126" s="0" t="s">
        <v>130</v>
      </c>
      <c r="AW126" s="0" t="s">
        <v>130</v>
      </c>
      <c r="AX126" s="0" t="s">
        <v>130</v>
      </c>
      <c r="AY126" s="0" t="s">
        <v>130</v>
      </c>
      <c r="AZ126" s="0" t="s">
        <v>130</v>
      </c>
      <c r="BA126" s="0" t="s">
        <v>130</v>
      </c>
      <c r="BB126" s="0" t="s">
        <v>130</v>
      </c>
      <c r="BC126" s="0" t="s">
        <v>130</v>
      </c>
      <c r="BD126" s="0" t="s">
        <v>130</v>
      </c>
      <c r="BE126" s="0" t="s">
        <v>130</v>
      </c>
      <c r="BF126" s="0" t="s">
        <v>130</v>
      </c>
      <c r="BG126" s="0" t="s">
        <v>130</v>
      </c>
      <c r="BH126" s="0" t="s">
        <v>130</v>
      </c>
      <c r="BI126" s="0" t="s">
        <v>130</v>
      </c>
      <c r="BJ126" s="0" t="s">
        <v>130</v>
      </c>
      <c r="BK126" s="0" t="s">
        <v>130</v>
      </c>
      <c r="BL126" s="0" t="s">
        <v>130</v>
      </c>
      <c r="BM126" s="0" t="s">
        <v>130</v>
      </c>
      <c r="BN126" s="0" t="s">
        <v>130</v>
      </c>
      <c r="BO126" s="0" t="s">
        <v>130</v>
      </c>
      <c r="BP126" s="0" t="s">
        <v>130</v>
      </c>
      <c r="BQ126" s="0" t="s">
        <v>130</v>
      </c>
      <c r="BR126" s="0" t="s">
        <v>130</v>
      </c>
      <c r="BS126" s="0" t="s">
        <v>130</v>
      </c>
      <c r="BT126" s="0" t="s">
        <v>130</v>
      </c>
      <c r="BU126" s="0" t="s">
        <v>130</v>
      </c>
      <c r="BV126" s="0" t="s">
        <v>130</v>
      </c>
      <c r="BW126" s="0" t="s">
        <v>130</v>
      </c>
      <c r="BX126" s="0" t="s">
        <v>130</v>
      </c>
      <c r="BY126" s="0" t="s">
        <v>130</v>
      </c>
      <c r="BZ126" s="0" t="s">
        <v>130</v>
      </c>
      <c r="CA126" s="0" t="s">
        <v>130</v>
      </c>
      <c r="CB126" s="0" t="s">
        <v>130</v>
      </c>
      <c r="CC126" s="0" t="s">
        <v>130</v>
      </c>
      <c r="CD126" s="0" t="s">
        <v>130</v>
      </c>
      <c r="CE126" s="0" t="s">
        <v>130</v>
      </c>
      <c r="CF126" s="0" t="s">
        <v>130</v>
      </c>
      <c r="CG126" s="0" t="s">
        <v>130</v>
      </c>
      <c r="CH126" s="0" t="s">
        <v>130</v>
      </c>
      <c r="CI126" s="0" t="s">
        <v>130</v>
      </c>
      <c r="CJ126" s="0" t="s">
        <v>130</v>
      </c>
      <c r="CK126" s="0" t="s">
        <v>130</v>
      </c>
      <c r="CL126" s="0" t="s">
        <v>130</v>
      </c>
      <c r="CM126" s="0" t="s">
        <v>130</v>
      </c>
      <c r="CN126" s="0" t="s">
        <v>130</v>
      </c>
      <c r="CO126" s="0" t="s">
        <v>130</v>
      </c>
      <c r="CP126" s="0" t="s">
        <v>130</v>
      </c>
      <c r="CQ126" s="0" t="s">
        <v>130</v>
      </c>
      <c r="CR126" s="0" t="s">
        <v>130</v>
      </c>
      <c r="CS126" s="0" t="s">
        <v>130</v>
      </c>
      <c r="CT126" s="0" t="s">
        <v>627</v>
      </c>
    </row>
    <row r="127">
      <c r="A127" s="14">
        <v>100355</v>
      </c>
      <c r="B127" s="0" t="s">
        <v>604</v>
      </c>
      <c r="C127" s="16">
        <f>HYPERLINK("https://eosportal.federatedhermes.com/companies/Q29tcGFueQppNDgyOTA=", "Coca-Cola Co/The")</f>
      </c>
      <c r="D127" s="0" t="s">
        <v>25</v>
      </c>
      <c r="E127" s="0" t="s">
        <v>628</v>
      </c>
      <c r="F127" s="16">
        <f>HYPERLINK("https://eosportal.federatedhermes.com/engagements/RW5nYWdlbWVudAppMTg3MTk=", "Talent management strategy focused on Workforce")</f>
      </c>
      <c r="G127" s="14" t="s">
        <v>628</v>
      </c>
      <c r="H127" s="0" t="s">
        <v>141</v>
      </c>
      <c r="I127" s="14" t="s">
        <v>191</v>
      </c>
      <c r="J127" s="0" t="s">
        <v>153</v>
      </c>
      <c r="K127" s="0" t="s">
        <v>154</v>
      </c>
      <c r="L127" s="0" t="s">
        <v>268</v>
      </c>
      <c r="M127" s="0" t="s">
        <v>135</v>
      </c>
      <c r="N127" s="0" t="s">
        <v>136</v>
      </c>
      <c r="O127" s="0" t="s">
        <v>332</v>
      </c>
      <c r="Q127" s="0" t="s">
        <v>130</v>
      </c>
      <c r="R127" s="0" t="s">
        <v>138</v>
      </c>
      <c r="S127" s="14">
        <v>0</v>
      </c>
      <c r="T127" s="0" t="s">
        <v>139</v>
      </c>
      <c r="U127" s="0" t="s">
        <v>138</v>
      </c>
      <c r="V127" s="14" t="s">
        <v>138</v>
      </c>
      <c r="W127" s="0" t="s">
        <v>138</v>
      </c>
      <c r="X127" s="14" t="s">
        <v>138</v>
      </c>
      <c r="Y127" s="0" t="s">
        <v>138</v>
      </c>
      <c r="Z127" s="14" t="s">
        <v>138</v>
      </c>
      <c r="AA127" s="0" t="s">
        <v>138</v>
      </c>
      <c r="AB127" s="14" t="s">
        <v>138</v>
      </c>
      <c r="AD127" s="0" t="s">
        <v>138</v>
      </c>
      <c r="AF127" s="0">
        <v>0</v>
      </c>
      <c r="AG127" s="0">
        <v>0</v>
      </c>
      <c r="AH127" s="0" t="s">
        <v>140</v>
      </c>
      <c r="AI127" s="0" t="s">
        <v>138</v>
      </c>
      <c r="AL127" s="14"/>
      <c r="AN127" s="14"/>
      <c r="AQ127" s="0" t="s">
        <v>130</v>
      </c>
      <c r="AR127" s="0" t="s">
        <v>130</v>
      </c>
      <c r="AS127" s="0" t="s">
        <v>130</v>
      </c>
      <c r="AT127" s="0" t="s">
        <v>130</v>
      </c>
      <c r="AU127" s="0" t="s">
        <v>130</v>
      </c>
      <c r="AV127" s="0" t="s">
        <v>130</v>
      </c>
      <c r="AW127" s="0" t="s">
        <v>130</v>
      </c>
      <c r="AX127" s="0" t="s">
        <v>141</v>
      </c>
      <c r="AY127" s="0" t="s">
        <v>130</v>
      </c>
      <c r="AZ127" s="0" t="s">
        <v>130</v>
      </c>
      <c r="BA127" s="0" t="s">
        <v>130</v>
      </c>
      <c r="BB127" s="0" t="s">
        <v>130</v>
      </c>
      <c r="BC127" s="0" t="s">
        <v>130</v>
      </c>
      <c r="BD127" s="0" t="s">
        <v>130</v>
      </c>
      <c r="BE127" s="0" t="s">
        <v>130</v>
      </c>
      <c r="BF127" s="0" t="s">
        <v>130</v>
      </c>
      <c r="BG127" s="0" t="s">
        <v>130</v>
      </c>
      <c r="BH127" s="0" t="s">
        <v>130</v>
      </c>
      <c r="BI127" s="0" t="s">
        <v>130</v>
      </c>
      <c r="BJ127" s="0" t="s">
        <v>130</v>
      </c>
      <c r="BK127" s="0" t="s">
        <v>130</v>
      </c>
      <c r="BL127" s="0" t="s">
        <v>130</v>
      </c>
      <c r="BM127" s="0" t="s">
        <v>130</v>
      </c>
      <c r="BN127" s="0" t="s">
        <v>130</v>
      </c>
      <c r="BO127" s="0" t="s">
        <v>130</v>
      </c>
      <c r="BP127" s="0" t="s">
        <v>130</v>
      </c>
      <c r="BQ127" s="0" t="s">
        <v>130</v>
      </c>
      <c r="BR127" s="0" t="s">
        <v>130</v>
      </c>
      <c r="BS127" s="0" t="s">
        <v>130</v>
      </c>
      <c r="BT127" s="0" t="s">
        <v>130</v>
      </c>
      <c r="BU127" s="0" t="s">
        <v>130</v>
      </c>
      <c r="BV127" s="0" t="s">
        <v>130</v>
      </c>
      <c r="BW127" s="0" t="s">
        <v>130</v>
      </c>
      <c r="BX127" s="0" t="s">
        <v>130</v>
      </c>
      <c r="BY127" s="0" t="s">
        <v>130</v>
      </c>
      <c r="BZ127" s="0" t="s">
        <v>130</v>
      </c>
      <c r="CA127" s="0" t="s">
        <v>130</v>
      </c>
      <c r="CB127" s="0" t="s">
        <v>130</v>
      </c>
      <c r="CC127" s="0" t="s">
        <v>130</v>
      </c>
      <c r="CD127" s="0" t="s">
        <v>130</v>
      </c>
      <c r="CE127" s="0" t="s">
        <v>130</v>
      </c>
      <c r="CF127" s="0" t="s">
        <v>130</v>
      </c>
      <c r="CG127" s="0" t="s">
        <v>130</v>
      </c>
      <c r="CH127" s="0" t="s">
        <v>130</v>
      </c>
      <c r="CI127" s="0" t="s">
        <v>130</v>
      </c>
      <c r="CJ127" s="0" t="s">
        <v>130</v>
      </c>
      <c r="CK127" s="0" t="s">
        <v>141</v>
      </c>
      <c r="CL127" s="0" t="s">
        <v>130</v>
      </c>
      <c r="CM127" s="0" t="s">
        <v>130</v>
      </c>
      <c r="CN127" s="0" t="s">
        <v>130</v>
      </c>
      <c r="CO127" s="0" t="s">
        <v>130</v>
      </c>
      <c r="CP127" s="0" t="s">
        <v>130</v>
      </c>
      <c r="CQ127" s="0" t="s">
        <v>130</v>
      </c>
      <c r="CR127" s="0" t="s">
        <v>130</v>
      </c>
      <c r="CS127" s="0" t="s">
        <v>130</v>
      </c>
      <c r="CT127" s="0" t="s">
        <v>629</v>
      </c>
    </row>
    <row r="128">
      <c r="A128" s="14">
        <v>100355</v>
      </c>
      <c r="B128" s="0" t="s">
        <v>604</v>
      </c>
      <c r="C128" s="16">
        <f>HYPERLINK("https://eosportal.federatedhermes.com/companies/Q29tcGFueQppNDgyOTA=", "Coca-Cola Co/The")</f>
      </c>
      <c r="D128" s="0" t="s">
        <v>25</v>
      </c>
      <c r="E128" s="0" t="s">
        <v>630</v>
      </c>
      <c r="F128" s="16">
        <f>HYPERLINK("https://eosportal.federatedhermes.com/engagements/RW5nYWdlbWVudAppMTg3MjQ=", "Extreme Weather Events Disrupting Supply Chains")</f>
      </c>
      <c r="G128" s="14" t="s">
        <v>631</v>
      </c>
      <c r="H128" s="0" t="s">
        <v>141</v>
      </c>
      <c r="I128" s="14" t="s">
        <v>191</v>
      </c>
      <c r="J128" s="0" t="s">
        <v>197</v>
      </c>
      <c r="K128" s="0" t="s">
        <v>198</v>
      </c>
      <c r="L128" s="0" t="s">
        <v>216</v>
      </c>
      <c r="M128" s="0" t="s">
        <v>135</v>
      </c>
      <c r="N128" s="0" t="s">
        <v>136</v>
      </c>
      <c r="O128" s="0" t="s">
        <v>332</v>
      </c>
      <c r="Q128" s="0" t="s">
        <v>130</v>
      </c>
      <c r="R128" s="0" t="s">
        <v>138</v>
      </c>
      <c r="S128" s="14">
        <v>0</v>
      </c>
      <c r="T128" s="0" t="s">
        <v>333</v>
      </c>
      <c r="U128" s="0" t="s">
        <v>138</v>
      </c>
      <c r="V128" s="14" t="s">
        <v>138</v>
      </c>
      <c r="W128" s="0" t="s">
        <v>138</v>
      </c>
      <c r="X128" s="14" t="s">
        <v>138</v>
      </c>
      <c r="Y128" s="0" t="s">
        <v>138</v>
      </c>
      <c r="Z128" s="14" t="s">
        <v>138</v>
      </c>
      <c r="AA128" s="0" t="s">
        <v>138</v>
      </c>
      <c r="AB128" s="14" t="s">
        <v>138</v>
      </c>
      <c r="AD128" s="0" t="s">
        <v>138</v>
      </c>
      <c r="AF128" s="0">
        <v>0</v>
      </c>
      <c r="AG128" s="0">
        <v>0</v>
      </c>
      <c r="AH128" s="0" t="s">
        <v>140</v>
      </c>
      <c r="AI128" s="0" t="s">
        <v>138</v>
      </c>
      <c r="AL128" s="14"/>
      <c r="AN128" s="14"/>
      <c r="AQ128" s="0" t="s">
        <v>130</v>
      </c>
      <c r="AR128" s="0" t="s">
        <v>130</v>
      </c>
      <c r="AS128" s="0" t="s">
        <v>130</v>
      </c>
      <c r="AT128" s="0" t="s">
        <v>130</v>
      </c>
      <c r="AU128" s="0" t="s">
        <v>130</v>
      </c>
      <c r="AV128" s="0" t="s">
        <v>130</v>
      </c>
      <c r="AW128" s="0" t="s">
        <v>130</v>
      </c>
      <c r="AX128" s="0" t="s">
        <v>130</v>
      </c>
      <c r="AY128" s="0" t="s">
        <v>130</v>
      </c>
      <c r="AZ128" s="0" t="s">
        <v>130</v>
      </c>
      <c r="BA128" s="0" t="s">
        <v>130</v>
      </c>
      <c r="BB128" s="0" t="s">
        <v>130</v>
      </c>
      <c r="BC128" s="0" t="s">
        <v>141</v>
      </c>
      <c r="BD128" s="0" t="s">
        <v>130</v>
      </c>
      <c r="BE128" s="0" t="s">
        <v>130</v>
      </c>
      <c r="BF128" s="0" t="s">
        <v>130</v>
      </c>
      <c r="BG128" s="0" t="s">
        <v>130</v>
      </c>
      <c r="BH128" s="0" t="s">
        <v>141</v>
      </c>
      <c r="BI128" s="0" t="s">
        <v>141</v>
      </c>
      <c r="BJ128" s="0" t="s">
        <v>141</v>
      </c>
      <c r="BK128" s="0" t="s">
        <v>130</v>
      </c>
      <c r="BL128" s="0" t="s">
        <v>130</v>
      </c>
      <c r="BM128" s="0" t="s">
        <v>130</v>
      </c>
      <c r="BN128" s="0" t="s">
        <v>130</v>
      </c>
      <c r="BO128" s="0" t="s">
        <v>130</v>
      </c>
      <c r="BP128" s="0" t="s">
        <v>130</v>
      </c>
      <c r="BQ128" s="0" t="s">
        <v>130</v>
      </c>
      <c r="BR128" s="0" t="s">
        <v>130</v>
      </c>
      <c r="BS128" s="0" t="s">
        <v>130</v>
      </c>
      <c r="BT128" s="0" t="s">
        <v>130</v>
      </c>
      <c r="BU128" s="0" t="s">
        <v>130</v>
      </c>
      <c r="BV128" s="0" t="s">
        <v>141</v>
      </c>
      <c r="BW128" s="0" t="s">
        <v>141</v>
      </c>
      <c r="BX128" s="0" t="s">
        <v>130</v>
      </c>
      <c r="BY128" s="0" t="s">
        <v>130</v>
      </c>
      <c r="BZ128" s="0" t="s">
        <v>130</v>
      </c>
      <c r="CA128" s="0" t="s">
        <v>130</v>
      </c>
      <c r="CB128" s="0" t="s">
        <v>130</v>
      </c>
      <c r="CC128" s="0" t="s">
        <v>130</v>
      </c>
      <c r="CD128" s="0" t="s">
        <v>130</v>
      </c>
      <c r="CE128" s="0" t="s">
        <v>130</v>
      </c>
      <c r="CF128" s="0" t="s">
        <v>130</v>
      </c>
      <c r="CG128" s="0" t="s">
        <v>130</v>
      </c>
      <c r="CH128" s="0" t="s">
        <v>130</v>
      </c>
      <c r="CI128" s="0" t="s">
        <v>130</v>
      </c>
      <c r="CJ128" s="0" t="s">
        <v>130</v>
      </c>
      <c r="CK128" s="0" t="s">
        <v>130</v>
      </c>
      <c r="CL128" s="0" t="s">
        <v>130</v>
      </c>
      <c r="CM128" s="0" t="s">
        <v>130</v>
      </c>
      <c r="CN128" s="0" t="s">
        <v>130</v>
      </c>
      <c r="CO128" s="0" t="s">
        <v>130</v>
      </c>
      <c r="CP128" s="0" t="s">
        <v>130</v>
      </c>
      <c r="CQ128" s="0" t="s">
        <v>130</v>
      </c>
      <c r="CR128" s="0" t="s">
        <v>130</v>
      </c>
      <c r="CS128" s="0" t="s">
        <v>130</v>
      </c>
      <c r="CT128" s="0" t="s">
        <v>632</v>
      </c>
    </row>
    <row r="129">
      <c r="A129" s="14">
        <v>111680</v>
      </c>
      <c r="B129" s="0" t="s">
        <v>633</v>
      </c>
      <c r="C129" s="16">
        <f>HYPERLINK("https://eosportal.federatedhermes.com/companies/Q29tcGFueQppNTg5Njc=", "Diageo PLC")</f>
      </c>
      <c r="D129" s="0" t="s">
        <v>25</v>
      </c>
      <c r="E129" s="0" t="s">
        <v>634</v>
      </c>
      <c r="F129" s="16">
        <f>HYPERLINK("https://eosportal.federatedhermes.com/engagements/RW5nYWdlbWVudAppMTg3Mjc=", "Remuneration reform")</f>
      </c>
      <c r="G129" s="14" t="s">
        <v>635</v>
      </c>
      <c r="H129" s="0" t="s">
        <v>141</v>
      </c>
      <c r="I129" s="14" t="s">
        <v>636</v>
      </c>
      <c r="J129" s="0" t="s">
        <v>145</v>
      </c>
      <c r="K129" s="0" t="s">
        <v>146</v>
      </c>
      <c r="L129" s="0" t="s">
        <v>147</v>
      </c>
      <c r="M129" s="0" t="s">
        <v>272</v>
      </c>
      <c r="N129" s="0" t="s">
        <v>273</v>
      </c>
      <c r="O129" s="0" t="s">
        <v>332</v>
      </c>
      <c r="Q129" s="0" t="s">
        <v>130</v>
      </c>
      <c r="R129" s="0" t="s">
        <v>138</v>
      </c>
      <c r="S129" s="14">
        <v>0</v>
      </c>
      <c r="T129" s="0" t="s">
        <v>278</v>
      </c>
      <c r="U129" s="0" t="s">
        <v>138</v>
      </c>
      <c r="V129" s="14" t="s">
        <v>138</v>
      </c>
      <c r="W129" s="0" t="s">
        <v>138</v>
      </c>
      <c r="X129" s="14" t="s">
        <v>138</v>
      </c>
      <c r="Y129" s="0" t="s">
        <v>138</v>
      </c>
      <c r="Z129" s="14" t="s">
        <v>138</v>
      </c>
      <c r="AA129" s="0" t="s">
        <v>138</v>
      </c>
      <c r="AB129" s="14" t="s">
        <v>138</v>
      </c>
      <c r="AD129" s="0" t="s">
        <v>138</v>
      </c>
      <c r="AF129" s="0">
        <v>0</v>
      </c>
      <c r="AG129" s="0">
        <v>0</v>
      </c>
      <c r="AH129" s="0" t="s">
        <v>140</v>
      </c>
      <c r="AI129" s="0" t="s">
        <v>138</v>
      </c>
      <c r="AL129" s="14"/>
      <c r="AN129" s="14"/>
      <c r="AQ129" s="0" t="s">
        <v>130</v>
      </c>
      <c r="AR129" s="0" t="s">
        <v>130</v>
      </c>
      <c r="AS129" s="0" t="s">
        <v>130</v>
      </c>
      <c r="AT129" s="0" t="s">
        <v>130</v>
      </c>
      <c r="AU129" s="0" t="s">
        <v>130</v>
      </c>
      <c r="AV129" s="0" t="s">
        <v>130</v>
      </c>
      <c r="AW129" s="0" t="s">
        <v>130</v>
      </c>
      <c r="AX129" s="0" t="s">
        <v>130</v>
      </c>
      <c r="AY129" s="0" t="s">
        <v>130</v>
      </c>
      <c r="AZ129" s="0" t="s">
        <v>130</v>
      </c>
      <c r="BA129" s="0" t="s">
        <v>130</v>
      </c>
      <c r="BB129" s="0" t="s">
        <v>130</v>
      </c>
      <c r="BC129" s="0" t="s">
        <v>130</v>
      </c>
      <c r="BD129" s="0" t="s">
        <v>130</v>
      </c>
      <c r="BE129" s="0" t="s">
        <v>130</v>
      </c>
      <c r="BF129" s="0" t="s">
        <v>130</v>
      </c>
      <c r="BG129" s="0" t="s">
        <v>130</v>
      </c>
      <c r="BH129" s="0" t="s">
        <v>130</v>
      </c>
      <c r="BI129" s="0" t="s">
        <v>130</v>
      </c>
      <c r="BJ129" s="0" t="s">
        <v>130</v>
      </c>
      <c r="BK129" s="0" t="s">
        <v>130</v>
      </c>
      <c r="BL129" s="0" t="s">
        <v>130</v>
      </c>
      <c r="BM129" s="0" t="s">
        <v>130</v>
      </c>
      <c r="BN129" s="0" t="s">
        <v>130</v>
      </c>
      <c r="BO129" s="0" t="s">
        <v>130</v>
      </c>
      <c r="BP129" s="0" t="s">
        <v>130</v>
      </c>
      <c r="BQ129" s="0" t="s">
        <v>130</v>
      </c>
      <c r="BR129" s="0" t="s">
        <v>130</v>
      </c>
      <c r="BS129" s="0" t="s">
        <v>130</v>
      </c>
      <c r="BT129" s="0" t="s">
        <v>130</v>
      </c>
      <c r="BU129" s="0" t="s">
        <v>130</v>
      </c>
      <c r="BV129" s="0" t="s">
        <v>130</v>
      </c>
      <c r="BW129" s="0" t="s">
        <v>130</v>
      </c>
      <c r="BX129" s="0" t="s">
        <v>130</v>
      </c>
      <c r="BY129" s="0" t="s">
        <v>130</v>
      </c>
      <c r="BZ129" s="0" t="s">
        <v>130</v>
      </c>
      <c r="CA129" s="0" t="s">
        <v>130</v>
      </c>
      <c r="CB129" s="0" t="s">
        <v>130</v>
      </c>
      <c r="CC129" s="0" t="s">
        <v>130</v>
      </c>
      <c r="CD129" s="0" t="s">
        <v>130</v>
      </c>
      <c r="CE129" s="0" t="s">
        <v>130</v>
      </c>
      <c r="CF129" s="0" t="s">
        <v>130</v>
      </c>
      <c r="CG129" s="0" t="s">
        <v>130</v>
      </c>
      <c r="CH129" s="0" t="s">
        <v>130</v>
      </c>
      <c r="CI129" s="0" t="s">
        <v>130</v>
      </c>
      <c r="CJ129" s="0" t="s">
        <v>130</v>
      </c>
      <c r="CK129" s="0" t="s">
        <v>130</v>
      </c>
      <c r="CL129" s="0" t="s">
        <v>130</v>
      </c>
      <c r="CM129" s="0" t="s">
        <v>130</v>
      </c>
      <c r="CN129" s="0" t="s">
        <v>130</v>
      </c>
      <c r="CO129" s="0" t="s">
        <v>130</v>
      </c>
      <c r="CP129" s="0" t="s">
        <v>130</v>
      </c>
      <c r="CQ129" s="0" t="s">
        <v>130</v>
      </c>
      <c r="CR129" s="0" t="s">
        <v>130</v>
      </c>
      <c r="CS129" s="0" t="s">
        <v>130</v>
      </c>
      <c r="CT129" s="0" t="s">
        <v>637</v>
      </c>
    </row>
    <row r="130">
      <c r="A130" s="14">
        <v>111680</v>
      </c>
      <c r="B130" s="0" t="s">
        <v>633</v>
      </c>
      <c r="C130" s="16">
        <f>HYPERLINK("https://eosportal.federatedhermes.com/companies/Q29tcGFueQppNTg5Njc=", "Diageo PLC")</f>
      </c>
      <c r="D130" s="0" t="s">
        <v>25</v>
      </c>
      <c r="E130" s="0" t="s">
        <v>638</v>
      </c>
      <c r="F130" s="16">
        <f>HYPERLINK("https://eosportal.federatedhermes.com/engagements/RW5nYWdlbWVudAppMTg3MzI=", "Responsible consumption")</f>
      </c>
      <c r="G130" s="14" t="s">
        <v>639</v>
      </c>
      <c r="H130" s="0" t="s">
        <v>141</v>
      </c>
      <c r="I130" s="14" t="s">
        <v>636</v>
      </c>
      <c r="J130" s="0" t="s">
        <v>153</v>
      </c>
      <c r="K130" s="0" t="s">
        <v>185</v>
      </c>
      <c r="L130" s="0" t="s">
        <v>186</v>
      </c>
      <c r="M130" s="0" t="s">
        <v>272</v>
      </c>
      <c r="N130" s="0" t="s">
        <v>273</v>
      </c>
      <c r="O130" s="0" t="s">
        <v>332</v>
      </c>
      <c r="Q130" s="0" t="s">
        <v>130</v>
      </c>
      <c r="R130" s="0" t="s">
        <v>138</v>
      </c>
      <c r="S130" s="14">
        <v>0</v>
      </c>
      <c r="T130" s="0" t="s">
        <v>359</v>
      </c>
      <c r="U130" s="0" t="s">
        <v>138</v>
      </c>
      <c r="V130" s="14" t="s">
        <v>138</v>
      </c>
      <c r="W130" s="0" t="s">
        <v>138</v>
      </c>
      <c r="X130" s="14" t="s">
        <v>138</v>
      </c>
      <c r="Y130" s="0" t="s">
        <v>138</v>
      </c>
      <c r="Z130" s="14" t="s">
        <v>138</v>
      </c>
      <c r="AA130" s="0" t="s">
        <v>138</v>
      </c>
      <c r="AB130" s="14" t="s">
        <v>138</v>
      </c>
      <c r="AD130" s="0" t="s">
        <v>138</v>
      </c>
      <c r="AF130" s="0">
        <v>0</v>
      </c>
      <c r="AG130" s="0">
        <v>0</v>
      </c>
      <c r="AH130" s="0" t="s">
        <v>140</v>
      </c>
      <c r="AI130" s="0" t="s">
        <v>138</v>
      </c>
      <c r="AL130" s="14"/>
      <c r="AN130" s="14"/>
      <c r="AQ130" s="0" t="s">
        <v>130</v>
      </c>
      <c r="AR130" s="0" t="s">
        <v>130</v>
      </c>
      <c r="AS130" s="0" t="s">
        <v>130</v>
      </c>
      <c r="AT130" s="0" t="s">
        <v>130</v>
      </c>
      <c r="AU130" s="0" t="s">
        <v>130</v>
      </c>
      <c r="AV130" s="0" t="s">
        <v>130</v>
      </c>
      <c r="AW130" s="0" t="s">
        <v>130</v>
      </c>
      <c r="AX130" s="0" t="s">
        <v>130</v>
      </c>
      <c r="AY130" s="0" t="s">
        <v>130</v>
      </c>
      <c r="AZ130" s="0" t="s">
        <v>130</v>
      </c>
      <c r="BA130" s="0" t="s">
        <v>130</v>
      </c>
      <c r="BB130" s="0" t="s">
        <v>141</v>
      </c>
      <c r="BC130" s="0" t="s">
        <v>130</v>
      </c>
      <c r="BD130" s="0" t="s">
        <v>130</v>
      </c>
      <c r="BE130" s="0" t="s">
        <v>130</v>
      </c>
      <c r="BF130" s="0" t="s">
        <v>130</v>
      </c>
      <c r="BG130" s="0" t="s">
        <v>130</v>
      </c>
      <c r="BH130" s="0" t="s">
        <v>130</v>
      </c>
      <c r="BI130" s="0" t="s">
        <v>130</v>
      </c>
      <c r="BJ130" s="0" t="s">
        <v>130</v>
      </c>
      <c r="BK130" s="0" t="s">
        <v>130</v>
      </c>
      <c r="BL130" s="0" t="s">
        <v>130</v>
      </c>
      <c r="BM130" s="0" t="s">
        <v>130</v>
      </c>
      <c r="BN130" s="0" t="s">
        <v>130</v>
      </c>
      <c r="BO130" s="0" t="s">
        <v>130</v>
      </c>
      <c r="BP130" s="0" t="s">
        <v>130</v>
      </c>
      <c r="BQ130" s="0" t="s">
        <v>130</v>
      </c>
      <c r="BR130" s="0" t="s">
        <v>130</v>
      </c>
      <c r="BS130" s="0" t="s">
        <v>130</v>
      </c>
      <c r="BT130" s="0" t="s">
        <v>130</v>
      </c>
      <c r="BU130" s="0" t="s">
        <v>130</v>
      </c>
      <c r="BV130" s="0" t="s">
        <v>130</v>
      </c>
      <c r="BW130" s="0" t="s">
        <v>130</v>
      </c>
      <c r="BX130" s="0" t="s">
        <v>130</v>
      </c>
      <c r="BY130" s="0" t="s">
        <v>130</v>
      </c>
      <c r="BZ130" s="0" t="s">
        <v>130</v>
      </c>
      <c r="CA130" s="0" t="s">
        <v>130</v>
      </c>
      <c r="CB130" s="0" t="s">
        <v>130</v>
      </c>
      <c r="CC130" s="0" t="s">
        <v>130</v>
      </c>
      <c r="CD130" s="0" t="s">
        <v>130</v>
      </c>
      <c r="CE130" s="0" t="s">
        <v>130</v>
      </c>
      <c r="CF130" s="0" t="s">
        <v>130</v>
      </c>
      <c r="CG130" s="0" t="s">
        <v>130</v>
      </c>
      <c r="CH130" s="0" t="s">
        <v>130</v>
      </c>
      <c r="CI130" s="0" t="s">
        <v>130</v>
      </c>
      <c r="CJ130" s="0" t="s">
        <v>130</v>
      </c>
      <c r="CK130" s="0" t="s">
        <v>130</v>
      </c>
      <c r="CL130" s="0" t="s">
        <v>130</v>
      </c>
      <c r="CM130" s="0" t="s">
        <v>130</v>
      </c>
      <c r="CN130" s="0" t="s">
        <v>130</v>
      </c>
      <c r="CO130" s="0" t="s">
        <v>130</v>
      </c>
      <c r="CP130" s="0" t="s">
        <v>130</v>
      </c>
      <c r="CQ130" s="0" t="s">
        <v>130</v>
      </c>
      <c r="CR130" s="0" t="s">
        <v>130</v>
      </c>
      <c r="CS130" s="0" t="s">
        <v>130</v>
      </c>
      <c r="CT130" s="0" t="s">
        <v>640</v>
      </c>
    </row>
    <row r="131">
      <c r="A131" s="14">
        <v>100358</v>
      </c>
      <c r="B131" s="0" t="s">
        <v>641</v>
      </c>
      <c r="C131" s="16">
        <f>HYPERLINK("https://eosportal.federatedhermes.com/companies/Q29tcGFueQppNDgyOTI=", "Coles Group Ltd")</f>
      </c>
      <c r="D131" s="0" t="s">
        <v>25</v>
      </c>
      <c r="E131" s="0" t="s">
        <v>341</v>
      </c>
      <c r="F131" s="16">
        <f>HYPERLINK("https://eosportal.federatedhermes.com/engagements/RW5nYWdlbWVudAppMTg3MzQ=", "Remuneration")</f>
      </c>
      <c r="G131" s="14" t="s">
        <v>642</v>
      </c>
      <c r="H131" s="0" t="s">
        <v>130</v>
      </c>
      <c r="I131" s="14" t="s">
        <v>319</v>
      </c>
      <c r="J131" s="0" t="s">
        <v>145</v>
      </c>
      <c r="K131" s="0" t="s">
        <v>146</v>
      </c>
      <c r="L131" s="0" t="s">
        <v>147</v>
      </c>
      <c r="M131" s="0" t="s">
        <v>371</v>
      </c>
      <c r="N131" s="0" t="s">
        <v>372</v>
      </c>
      <c r="O131" s="0" t="s">
        <v>643</v>
      </c>
      <c r="Q131" s="0" t="s">
        <v>130</v>
      </c>
      <c r="R131" s="0" t="s">
        <v>138</v>
      </c>
      <c r="S131" s="14">
        <v>0</v>
      </c>
      <c r="T131" s="0" t="s">
        <v>193</v>
      </c>
      <c r="U131" s="0" t="s">
        <v>138</v>
      </c>
      <c r="V131" s="14" t="s">
        <v>138</v>
      </c>
      <c r="W131" s="0" t="s">
        <v>138</v>
      </c>
      <c r="X131" s="14" t="s">
        <v>138</v>
      </c>
      <c r="Y131" s="0" t="s">
        <v>138</v>
      </c>
      <c r="Z131" s="14" t="s">
        <v>138</v>
      </c>
      <c r="AA131" s="0" t="s">
        <v>138</v>
      </c>
      <c r="AB131" s="14" t="s">
        <v>138</v>
      </c>
      <c r="AD131" s="0" t="s">
        <v>138</v>
      </c>
      <c r="AF131" s="0">
        <v>0</v>
      </c>
      <c r="AG131" s="0">
        <v>0</v>
      </c>
      <c r="AH131" s="0" t="s">
        <v>140</v>
      </c>
      <c r="AI131" s="0" t="s">
        <v>138</v>
      </c>
      <c r="AL131" s="14"/>
      <c r="AN131" s="14"/>
      <c r="AQ131" s="0" t="s">
        <v>130</v>
      </c>
      <c r="AR131" s="0" t="s">
        <v>130</v>
      </c>
      <c r="AS131" s="0" t="s">
        <v>130</v>
      </c>
      <c r="AT131" s="0" t="s">
        <v>130</v>
      </c>
      <c r="AU131" s="0" t="s">
        <v>130</v>
      </c>
      <c r="AV131" s="0" t="s">
        <v>130</v>
      </c>
      <c r="AW131" s="0" t="s">
        <v>130</v>
      </c>
      <c r="AX131" s="0" t="s">
        <v>130</v>
      </c>
      <c r="AY131" s="0" t="s">
        <v>130</v>
      </c>
      <c r="AZ131" s="0" t="s">
        <v>130</v>
      </c>
      <c r="BA131" s="0" t="s">
        <v>130</v>
      </c>
      <c r="BB131" s="0" t="s">
        <v>130</v>
      </c>
      <c r="BC131" s="0" t="s">
        <v>130</v>
      </c>
      <c r="BD131" s="0" t="s">
        <v>130</v>
      </c>
      <c r="BE131" s="0" t="s">
        <v>130</v>
      </c>
      <c r="BF131" s="0" t="s">
        <v>130</v>
      </c>
      <c r="BG131" s="0" t="s">
        <v>130</v>
      </c>
      <c r="BH131" s="0" t="s">
        <v>130</v>
      </c>
      <c r="BI131" s="0" t="s">
        <v>130</v>
      </c>
      <c r="BJ131" s="0" t="s">
        <v>130</v>
      </c>
      <c r="BK131" s="0" t="s">
        <v>130</v>
      </c>
      <c r="BL131" s="0" t="s">
        <v>130</v>
      </c>
      <c r="BM131" s="0" t="s">
        <v>130</v>
      </c>
      <c r="BN131" s="0" t="s">
        <v>130</v>
      </c>
      <c r="BO131" s="0" t="s">
        <v>130</v>
      </c>
      <c r="BP131" s="0" t="s">
        <v>130</v>
      </c>
      <c r="BQ131" s="0" t="s">
        <v>130</v>
      </c>
      <c r="BR131" s="0" t="s">
        <v>130</v>
      </c>
      <c r="BS131" s="0" t="s">
        <v>130</v>
      </c>
      <c r="BT131" s="0" t="s">
        <v>130</v>
      </c>
      <c r="BU131" s="0" t="s">
        <v>130</v>
      </c>
      <c r="BV131" s="0" t="s">
        <v>130</v>
      </c>
      <c r="BW131" s="0" t="s">
        <v>130</v>
      </c>
      <c r="BX131" s="0" t="s">
        <v>130</v>
      </c>
      <c r="BY131" s="0" t="s">
        <v>130</v>
      </c>
      <c r="BZ131" s="0" t="s">
        <v>130</v>
      </c>
      <c r="CA131" s="0" t="s">
        <v>130</v>
      </c>
      <c r="CB131" s="0" t="s">
        <v>130</v>
      </c>
      <c r="CC131" s="0" t="s">
        <v>130</v>
      </c>
      <c r="CD131" s="0" t="s">
        <v>130</v>
      </c>
      <c r="CE131" s="0" t="s">
        <v>130</v>
      </c>
      <c r="CF131" s="0" t="s">
        <v>130</v>
      </c>
      <c r="CG131" s="0" t="s">
        <v>130</v>
      </c>
      <c r="CH131" s="0" t="s">
        <v>130</v>
      </c>
      <c r="CI131" s="0" t="s">
        <v>130</v>
      </c>
      <c r="CJ131" s="0" t="s">
        <v>130</v>
      </c>
      <c r="CK131" s="0" t="s">
        <v>130</v>
      </c>
      <c r="CL131" s="0" t="s">
        <v>130</v>
      </c>
      <c r="CM131" s="0" t="s">
        <v>130</v>
      </c>
      <c r="CN131" s="0" t="s">
        <v>130</v>
      </c>
      <c r="CO131" s="0" t="s">
        <v>130</v>
      </c>
      <c r="CP131" s="0" t="s">
        <v>130</v>
      </c>
      <c r="CQ131" s="0" t="s">
        <v>130</v>
      </c>
      <c r="CR131" s="0" t="s">
        <v>130</v>
      </c>
      <c r="CS131" s="0" t="s">
        <v>130</v>
      </c>
      <c r="CT131" s="0" t="s">
        <v>644</v>
      </c>
    </row>
    <row r="132">
      <c r="A132" s="14">
        <v>100358</v>
      </c>
      <c r="B132" s="0" t="s">
        <v>641</v>
      </c>
      <c r="C132" s="16">
        <f>HYPERLINK("https://eosportal.federatedhermes.com/companies/Q29tcGFueQppNDgyOTI=", "Coles Group Ltd")</f>
      </c>
      <c r="D132" s="0" t="s">
        <v>25</v>
      </c>
      <c r="E132" s="0" t="s">
        <v>645</v>
      </c>
      <c r="F132" s="16">
        <f>HYPERLINK("https://eosportal.federatedhermes.com/engagements/RW5nYWdlbWVudAppMTg3MzU=", "ACSI engagement activity on Safety - Disclosure")</f>
      </c>
      <c r="G132" s="14" t="s">
        <v>370</v>
      </c>
      <c r="H132" s="0" t="s">
        <v>130</v>
      </c>
      <c r="I132" s="14" t="s">
        <v>319</v>
      </c>
      <c r="J132" s="0" t="s">
        <v>153</v>
      </c>
      <c r="K132" s="0" t="s">
        <v>154</v>
      </c>
      <c r="L132" s="0" t="s">
        <v>306</v>
      </c>
      <c r="M132" s="0" t="s">
        <v>371</v>
      </c>
      <c r="N132" s="0" t="s">
        <v>372</v>
      </c>
      <c r="O132" s="0" t="s">
        <v>643</v>
      </c>
      <c r="Q132" s="0" t="s">
        <v>130</v>
      </c>
      <c r="R132" s="0" t="s">
        <v>138</v>
      </c>
      <c r="S132" s="14">
        <v>0</v>
      </c>
      <c r="T132" s="0" t="s">
        <v>355</v>
      </c>
      <c r="U132" s="0" t="s">
        <v>138</v>
      </c>
      <c r="V132" s="14" t="s">
        <v>138</v>
      </c>
      <c r="W132" s="0" t="s">
        <v>138</v>
      </c>
      <c r="X132" s="14" t="s">
        <v>138</v>
      </c>
      <c r="Y132" s="0" t="s">
        <v>138</v>
      </c>
      <c r="Z132" s="14" t="s">
        <v>138</v>
      </c>
      <c r="AA132" s="0" t="s">
        <v>138</v>
      </c>
      <c r="AB132" s="14" t="s">
        <v>138</v>
      </c>
      <c r="AD132" s="0" t="s">
        <v>138</v>
      </c>
      <c r="AF132" s="0">
        <v>0</v>
      </c>
      <c r="AG132" s="0">
        <v>0</v>
      </c>
      <c r="AH132" s="0" t="s">
        <v>140</v>
      </c>
      <c r="AI132" s="0" t="s">
        <v>138</v>
      </c>
      <c r="AL132" s="14"/>
      <c r="AN132" s="14"/>
      <c r="AQ132" s="0" t="s">
        <v>130</v>
      </c>
      <c r="AR132" s="0" t="s">
        <v>130</v>
      </c>
      <c r="AS132" s="0" t="s">
        <v>130</v>
      </c>
      <c r="AT132" s="0" t="s">
        <v>130</v>
      </c>
      <c r="AU132" s="0" t="s">
        <v>130</v>
      </c>
      <c r="AV132" s="0" t="s">
        <v>130</v>
      </c>
      <c r="AW132" s="0" t="s">
        <v>130</v>
      </c>
      <c r="AX132" s="0" t="s">
        <v>130</v>
      </c>
      <c r="AY132" s="0" t="s">
        <v>130</v>
      </c>
      <c r="AZ132" s="0" t="s">
        <v>141</v>
      </c>
      <c r="BA132" s="0" t="s">
        <v>130</v>
      </c>
      <c r="BB132" s="0" t="s">
        <v>130</v>
      </c>
      <c r="BC132" s="0" t="s">
        <v>130</v>
      </c>
      <c r="BD132" s="0" t="s">
        <v>130</v>
      </c>
      <c r="BE132" s="0" t="s">
        <v>130</v>
      </c>
      <c r="BF132" s="0" t="s">
        <v>130</v>
      </c>
      <c r="BG132" s="0" t="s">
        <v>130</v>
      </c>
      <c r="BH132" s="0" t="s">
        <v>130</v>
      </c>
      <c r="BI132" s="0" t="s">
        <v>130</v>
      </c>
      <c r="BJ132" s="0" t="s">
        <v>130</v>
      </c>
      <c r="BK132" s="0" t="s">
        <v>130</v>
      </c>
      <c r="BL132" s="0" t="s">
        <v>130</v>
      </c>
      <c r="BM132" s="0" t="s">
        <v>130</v>
      </c>
      <c r="BN132" s="0" t="s">
        <v>130</v>
      </c>
      <c r="BO132" s="0" t="s">
        <v>130</v>
      </c>
      <c r="BP132" s="0" t="s">
        <v>130</v>
      </c>
      <c r="BQ132" s="0" t="s">
        <v>130</v>
      </c>
      <c r="BR132" s="0" t="s">
        <v>130</v>
      </c>
      <c r="BS132" s="0" t="s">
        <v>130</v>
      </c>
      <c r="BT132" s="0" t="s">
        <v>130</v>
      </c>
      <c r="BU132" s="0" t="s">
        <v>130</v>
      </c>
      <c r="BV132" s="0" t="s">
        <v>130</v>
      </c>
      <c r="BW132" s="0" t="s">
        <v>130</v>
      </c>
      <c r="BX132" s="0" t="s">
        <v>130</v>
      </c>
      <c r="BY132" s="0" t="s">
        <v>130</v>
      </c>
      <c r="BZ132" s="0" t="s">
        <v>130</v>
      </c>
      <c r="CA132" s="0" t="s">
        <v>130</v>
      </c>
      <c r="CB132" s="0" t="s">
        <v>130</v>
      </c>
      <c r="CC132" s="0" t="s">
        <v>130</v>
      </c>
      <c r="CD132" s="0" t="s">
        <v>130</v>
      </c>
      <c r="CE132" s="0" t="s">
        <v>130</v>
      </c>
      <c r="CF132" s="0" t="s">
        <v>130</v>
      </c>
      <c r="CG132" s="0" t="s">
        <v>130</v>
      </c>
      <c r="CH132" s="0" t="s">
        <v>130</v>
      </c>
      <c r="CI132" s="0" t="s">
        <v>130</v>
      </c>
      <c r="CJ132" s="0" t="s">
        <v>130</v>
      </c>
      <c r="CK132" s="0" t="s">
        <v>130</v>
      </c>
      <c r="CL132" s="0" t="s">
        <v>130</v>
      </c>
      <c r="CM132" s="0" t="s">
        <v>130</v>
      </c>
      <c r="CN132" s="0" t="s">
        <v>130</v>
      </c>
      <c r="CO132" s="0" t="s">
        <v>130</v>
      </c>
      <c r="CP132" s="0" t="s">
        <v>130</v>
      </c>
      <c r="CQ132" s="0" t="s">
        <v>130</v>
      </c>
      <c r="CR132" s="0" t="s">
        <v>130</v>
      </c>
      <c r="CS132" s="0" t="s">
        <v>130</v>
      </c>
      <c r="CT132" s="0" t="s">
        <v>646</v>
      </c>
    </row>
    <row r="133">
      <c r="A133" s="14">
        <v>100358</v>
      </c>
      <c r="B133" s="0" t="s">
        <v>641</v>
      </c>
      <c r="C133" s="16">
        <f>HYPERLINK("https://eosportal.federatedhermes.com/companies/Q29tcGFueQppNDgyOTI=", "Coles Group Ltd")</f>
      </c>
      <c r="D133" s="0" t="s">
        <v>25</v>
      </c>
      <c r="E133" s="0" t="s">
        <v>647</v>
      </c>
      <c r="F133" s="16">
        <f>HYPERLINK("https://eosportal.federatedhermes.com/engagements/RW5nYWdlbWVudAppMTg3MzY=", "ACSI engagement activity on Workforce - Modern slavery and supply chains")</f>
      </c>
      <c r="G133" s="14" t="s">
        <v>370</v>
      </c>
      <c r="H133" s="0" t="s">
        <v>130</v>
      </c>
      <c r="I133" s="14" t="s">
        <v>319</v>
      </c>
      <c r="J133" s="0" t="s">
        <v>153</v>
      </c>
      <c r="K133" s="0" t="s">
        <v>154</v>
      </c>
      <c r="L133" s="0" t="s">
        <v>306</v>
      </c>
      <c r="M133" s="0" t="s">
        <v>371</v>
      </c>
      <c r="N133" s="0" t="s">
        <v>372</v>
      </c>
      <c r="O133" s="0" t="s">
        <v>643</v>
      </c>
      <c r="Q133" s="0" t="s">
        <v>130</v>
      </c>
      <c r="R133" s="0" t="s">
        <v>138</v>
      </c>
      <c r="S133" s="14">
        <v>0</v>
      </c>
      <c r="T133" s="0" t="s">
        <v>355</v>
      </c>
      <c r="U133" s="0" t="s">
        <v>138</v>
      </c>
      <c r="V133" s="14" t="s">
        <v>138</v>
      </c>
      <c r="W133" s="0" t="s">
        <v>138</v>
      </c>
      <c r="X133" s="14" t="s">
        <v>138</v>
      </c>
      <c r="Y133" s="0" t="s">
        <v>138</v>
      </c>
      <c r="Z133" s="14" t="s">
        <v>138</v>
      </c>
      <c r="AA133" s="0" t="s">
        <v>138</v>
      </c>
      <c r="AB133" s="14" t="s">
        <v>138</v>
      </c>
      <c r="AD133" s="0" t="s">
        <v>138</v>
      </c>
      <c r="AF133" s="0">
        <v>0</v>
      </c>
      <c r="AG133" s="0">
        <v>0</v>
      </c>
      <c r="AH133" s="0" t="s">
        <v>140</v>
      </c>
      <c r="AI133" s="0" t="s">
        <v>138</v>
      </c>
      <c r="AL133" s="14"/>
      <c r="AN133" s="14"/>
      <c r="AQ133" s="0" t="s">
        <v>130</v>
      </c>
      <c r="AR133" s="0" t="s">
        <v>130</v>
      </c>
      <c r="AS133" s="0" t="s">
        <v>130</v>
      </c>
      <c r="AT133" s="0" t="s">
        <v>130</v>
      </c>
      <c r="AU133" s="0" t="s">
        <v>130</v>
      </c>
      <c r="AV133" s="0" t="s">
        <v>130</v>
      </c>
      <c r="AW133" s="0" t="s">
        <v>130</v>
      </c>
      <c r="AX133" s="0" t="s">
        <v>141</v>
      </c>
      <c r="AY133" s="0" t="s">
        <v>130</v>
      </c>
      <c r="AZ133" s="0" t="s">
        <v>130</v>
      </c>
      <c r="BA133" s="0" t="s">
        <v>130</v>
      </c>
      <c r="BB133" s="0" t="s">
        <v>130</v>
      </c>
      <c r="BC133" s="0" t="s">
        <v>130</v>
      </c>
      <c r="BD133" s="0" t="s">
        <v>130</v>
      </c>
      <c r="BE133" s="0" t="s">
        <v>130</v>
      </c>
      <c r="BF133" s="0" t="s">
        <v>130</v>
      </c>
      <c r="BG133" s="0" t="s">
        <v>130</v>
      </c>
      <c r="BH133" s="0" t="s">
        <v>130</v>
      </c>
      <c r="BI133" s="0" t="s">
        <v>130</v>
      </c>
      <c r="BJ133" s="0" t="s">
        <v>130</v>
      </c>
      <c r="BK133" s="0" t="s">
        <v>130</v>
      </c>
      <c r="BL133" s="0" t="s">
        <v>130</v>
      </c>
      <c r="BM133" s="0" t="s">
        <v>130</v>
      </c>
      <c r="BN133" s="0" t="s">
        <v>130</v>
      </c>
      <c r="BO133" s="0" t="s">
        <v>130</v>
      </c>
      <c r="BP133" s="0" t="s">
        <v>130</v>
      </c>
      <c r="BQ133" s="0" t="s">
        <v>130</v>
      </c>
      <c r="BR133" s="0" t="s">
        <v>130</v>
      </c>
      <c r="BS133" s="0" t="s">
        <v>130</v>
      </c>
      <c r="BT133" s="0" t="s">
        <v>130</v>
      </c>
      <c r="BU133" s="0" t="s">
        <v>130</v>
      </c>
      <c r="BV133" s="0" t="s">
        <v>130</v>
      </c>
      <c r="BW133" s="0" t="s">
        <v>130</v>
      </c>
      <c r="BX133" s="0" t="s">
        <v>130</v>
      </c>
      <c r="BY133" s="0" t="s">
        <v>130</v>
      </c>
      <c r="BZ133" s="0" t="s">
        <v>130</v>
      </c>
      <c r="CA133" s="0" t="s">
        <v>130</v>
      </c>
      <c r="CB133" s="0" t="s">
        <v>130</v>
      </c>
      <c r="CC133" s="0" t="s">
        <v>130</v>
      </c>
      <c r="CD133" s="0" t="s">
        <v>130</v>
      </c>
      <c r="CE133" s="0" t="s">
        <v>130</v>
      </c>
      <c r="CF133" s="0" t="s">
        <v>130</v>
      </c>
      <c r="CG133" s="0" t="s">
        <v>130</v>
      </c>
      <c r="CH133" s="0" t="s">
        <v>130</v>
      </c>
      <c r="CI133" s="0" t="s">
        <v>130</v>
      </c>
      <c r="CJ133" s="0" t="s">
        <v>130</v>
      </c>
      <c r="CK133" s="0" t="s">
        <v>130</v>
      </c>
      <c r="CL133" s="0" t="s">
        <v>130</v>
      </c>
      <c r="CM133" s="0" t="s">
        <v>130</v>
      </c>
      <c r="CN133" s="0" t="s">
        <v>130</v>
      </c>
      <c r="CO133" s="0" t="s">
        <v>130</v>
      </c>
      <c r="CP133" s="0" t="s">
        <v>130</v>
      </c>
      <c r="CQ133" s="0" t="s">
        <v>130</v>
      </c>
      <c r="CR133" s="0" t="s">
        <v>130</v>
      </c>
      <c r="CS133" s="0" t="s">
        <v>130</v>
      </c>
      <c r="CT133" s="0" t="s">
        <v>648</v>
      </c>
    </row>
    <row r="134">
      <c r="A134" s="14">
        <v>100358</v>
      </c>
      <c r="B134" s="0" t="s">
        <v>641</v>
      </c>
      <c r="C134" s="16">
        <f>HYPERLINK("https://eosportal.federatedhermes.com/companies/Q29tcGFueQppNDgyOTI=", "Coles Group Ltd")</f>
      </c>
      <c r="D134" s="0" t="s">
        <v>25</v>
      </c>
      <c r="E134" s="0" t="s">
        <v>649</v>
      </c>
      <c r="F134" s="16">
        <f>HYPERLINK("https://eosportal.federatedhermes.com/engagements/RW5nYWdlbWVudAppMTg3Mzc=", "ACSI engagement activity on Plastics - Risks around plastics")</f>
      </c>
      <c r="G134" s="14" t="s">
        <v>370</v>
      </c>
      <c r="H134" s="0" t="s">
        <v>130</v>
      </c>
      <c r="I134" s="14" t="s">
        <v>319</v>
      </c>
      <c r="J134" s="0" t="s">
        <v>197</v>
      </c>
      <c r="K134" s="0" t="s">
        <v>348</v>
      </c>
      <c r="L134" s="0" t="s">
        <v>650</v>
      </c>
      <c r="M134" s="0" t="s">
        <v>371</v>
      </c>
      <c r="N134" s="0" t="s">
        <v>372</v>
      </c>
      <c r="O134" s="0" t="s">
        <v>643</v>
      </c>
      <c r="Q134" s="0" t="s">
        <v>130</v>
      </c>
      <c r="R134" s="0" t="s">
        <v>138</v>
      </c>
      <c r="S134" s="14">
        <v>0</v>
      </c>
      <c r="T134" s="0" t="s">
        <v>355</v>
      </c>
      <c r="U134" s="0" t="s">
        <v>138</v>
      </c>
      <c r="V134" s="14" t="s">
        <v>138</v>
      </c>
      <c r="W134" s="0" t="s">
        <v>138</v>
      </c>
      <c r="X134" s="14" t="s">
        <v>138</v>
      </c>
      <c r="Y134" s="0" t="s">
        <v>138</v>
      </c>
      <c r="Z134" s="14" t="s">
        <v>138</v>
      </c>
      <c r="AA134" s="0" t="s">
        <v>138</v>
      </c>
      <c r="AB134" s="14" t="s">
        <v>138</v>
      </c>
      <c r="AD134" s="0" t="s">
        <v>138</v>
      </c>
      <c r="AF134" s="0">
        <v>0</v>
      </c>
      <c r="AG134" s="0">
        <v>0</v>
      </c>
      <c r="AH134" s="0" t="s">
        <v>140</v>
      </c>
      <c r="AI134" s="0" t="s">
        <v>138</v>
      </c>
      <c r="AL134" s="14"/>
      <c r="AN134" s="14"/>
      <c r="AQ134" s="0" t="s">
        <v>130</v>
      </c>
      <c r="AR134" s="0" t="s">
        <v>130</v>
      </c>
      <c r="AS134" s="0" t="s">
        <v>130</v>
      </c>
      <c r="AT134" s="0" t="s">
        <v>130</v>
      </c>
      <c r="AU134" s="0" t="s">
        <v>130</v>
      </c>
      <c r="AV134" s="0" t="s">
        <v>130</v>
      </c>
      <c r="AW134" s="0" t="s">
        <v>130</v>
      </c>
      <c r="AX134" s="0" t="s">
        <v>130</v>
      </c>
      <c r="AY134" s="0" t="s">
        <v>130</v>
      </c>
      <c r="AZ134" s="0" t="s">
        <v>130</v>
      </c>
      <c r="BA134" s="0" t="s">
        <v>130</v>
      </c>
      <c r="BB134" s="0" t="s">
        <v>141</v>
      </c>
      <c r="BC134" s="0" t="s">
        <v>130</v>
      </c>
      <c r="BD134" s="0" t="s">
        <v>130</v>
      </c>
      <c r="BE134" s="0" t="s">
        <v>130</v>
      </c>
      <c r="BF134" s="0" t="s">
        <v>130</v>
      </c>
      <c r="BG134" s="0" t="s">
        <v>130</v>
      </c>
      <c r="BH134" s="0" t="s">
        <v>130</v>
      </c>
      <c r="BI134" s="0" t="s">
        <v>130</v>
      </c>
      <c r="BJ134" s="0" t="s">
        <v>130</v>
      </c>
      <c r="BK134" s="0" t="s">
        <v>130</v>
      </c>
      <c r="BL134" s="0" t="s">
        <v>130</v>
      </c>
      <c r="BM134" s="0" t="s">
        <v>130</v>
      </c>
      <c r="BN134" s="0" t="s">
        <v>130</v>
      </c>
      <c r="BO134" s="0" t="s">
        <v>130</v>
      </c>
      <c r="BP134" s="0" t="s">
        <v>130</v>
      </c>
      <c r="BQ134" s="0" t="s">
        <v>130</v>
      </c>
      <c r="BR134" s="0" t="s">
        <v>130</v>
      </c>
      <c r="BS134" s="0" t="s">
        <v>130</v>
      </c>
      <c r="BT134" s="0" t="s">
        <v>130</v>
      </c>
      <c r="BU134" s="0" t="s">
        <v>130</v>
      </c>
      <c r="BV134" s="0" t="s">
        <v>130</v>
      </c>
      <c r="BW134" s="0" t="s">
        <v>130</v>
      </c>
      <c r="BX134" s="0" t="s">
        <v>130</v>
      </c>
      <c r="BY134" s="0" t="s">
        <v>130</v>
      </c>
      <c r="BZ134" s="0" t="s">
        <v>130</v>
      </c>
      <c r="CA134" s="0" t="s">
        <v>130</v>
      </c>
      <c r="CB134" s="0" t="s">
        <v>130</v>
      </c>
      <c r="CC134" s="0" t="s">
        <v>130</v>
      </c>
      <c r="CD134" s="0" t="s">
        <v>130</v>
      </c>
      <c r="CE134" s="0" t="s">
        <v>130</v>
      </c>
      <c r="CF134" s="0" t="s">
        <v>130</v>
      </c>
      <c r="CG134" s="0" t="s">
        <v>130</v>
      </c>
      <c r="CH134" s="0" t="s">
        <v>130</v>
      </c>
      <c r="CI134" s="0" t="s">
        <v>130</v>
      </c>
      <c r="CJ134" s="0" t="s">
        <v>130</v>
      </c>
      <c r="CK134" s="0" t="s">
        <v>130</v>
      </c>
      <c r="CL134" s="0" t="s">
        <v>130</v>
      </c>
      <c r="CM134" s="0" t="s">
        <v>130</v>
      </c>
      <c r="CN134" s="0" t="s">
        <v>130</v>
      </c>
      <c r="CO134" s="0" t="s">
        <v>130</v>
      </c>
      <c r="CP134" s="0" t="s">
        <v>130</v>
      </c>
      <c r="CQ134" s="0" t="s">
        <v>130</v>
      </c>
      <c r="CR134" s="0" t="s">
        <v>130</v>
      </c>
      <c r="CS134" s="0" t="s">
        <v>130</v>
      </c>
      <c r="CT134" s="0" t="s">
        <v>651</v>
      </c>
    </row>
    <row r="135">
      <c r="A135" s="14">
        <v>100358</v>
      </c>
      <c r="B135" s="0" t="s">
        <v>641</v>
      </c>
      <c r="C135" s="16">
        <f>HYPERLINK("https://eosportal.federatedhermes.com/companies/Q29tcGFueQppNDgyOTI=", "Coles Group Ltd")</f>
      </c>
      <c r="D135" s="0" t="s">
        <v>25</v>
      </c>
      <c r="E135" s="0" t="s">
        <v>652</v>
      </c>
      <c r="F135" s="16">
        <f>HYPERLINK("https://eosportal.federatedhermes.com/engagements/RW5nYWdlbWVudAppMTg3Mzg=", "Protein diversification")</f>
      </c>
      <c r="G135" s="14" t="s">
        <v>653</v>
      </c>
      <c r="H135" s="0" t="s">
        <v>130</v>
      </c>
      <c r="I135" s="14" t="s">
        <v>319</v>
      </c>
      <c r="J135" s="0" t="s">
        <v>153</v>
      </c>
      <c r="K135" s="0" t="s">
        <v>154</v>
      </c>
      <c r="L135" s="0" t="s">
        <v>268</v>
      </c>
      <c r="M135" s="0" t="s">
        <v>371</v>
      </c>
      <c r="N135" s="0" t="s">
        <v>372</v>
      </c>
      <c r="O135" s="0" t="s">
        <v>643</v>
      </c>
      <c r="Q135" s="0" t="s">
        <v>130</v>
      </c>
      <c r="R135" s="0" t="s">
        <v>138</v>
      </c>
      <c r="S135" s="14">
        <v>0</v>
      </c>
      <c r="T135" s="0" t="s">
        <v>206</v>
      </c>
      <c r="U135" s="0" t="s">
        <v>138</v>
      </c>
      <c r="V135" s="14" t="s">
        <v>138</v>
      </c>
      <c r="W135" s="0" t="s">
        <v>138</v>
      </c>
      <c r="X135" s="14" t="s">
        <v>138</v>
      </c>
      <c r="Y135" s="0" t="s">
        <v>138</v>
      </c>
      <c r="Z135" s="14" t="s">
        <v>138</v>
      </c>
      <c r="AA135" s="0" t="s">
        <v>138</v>
      </c>
      <c r="AB135" s="14" t="s">
        <v>138</v>
      </c>
      <c r="AD135" s="0" t="s">
        <v>138</v>
      </c>
      <c r="AF135" s="0">
        <v>0</v>
      </c>
      <c r="AG135" s="0">
        <v>0</v>
      </c>
      <c r="AH135" s="0" t="s">
        <v>140</v>
      </c>
      <c r="AI135" s="0" t="s">
        <v>138</v>
      </c>
      <c r="AL135" s="14"/>
      <c r="AN135" s="14"/>
      <c r="AQ135" s="0" t="s">
        <v>130</v>
      </c>
      <c r="AR135" s="0" t="s">
        <v>130</v>
      </c>
      <c r="AS135" s="0" t="s">
        <v>130</v>
      </c>
      <c r="AT135" s="0" t="s">
        <v>130</v>
      </c>
      <c r="AU135" s="0" t="s">
        <v>130</v>
      </c>
      <c r="AV135" s="0" t="s">
        <v>130</v>
      </c>
      <c r="AW135" s="0" t="s">
        <v>130</v>
      </c>
      <c r="AX135" s="0" t="s">
        <v>130</v>
      </c>
      <c r="AY135" s="0" t="s">
        <v>130</v>
      </c>
      <c r="AZ135" s="0" t="s">
        <v>130</v>
      </c>
      <c r="BA135" s="0" t="s">
        <v>130</v>
      </c>
      <c r="BB135" s="0" t="s">
        <v>141</v>
      </c>
      <c r="BC135" s="0" t="s">
        <v>141</v>
      </c>
      <c r="BD135" s="0" t="s">
        <v>130</v>
      </c>
      <c r="BE135" s="0" t="s">
        <v>130</v>
      </c>
      <c r="BF135" s="0" t="s">
        <v>130</v>
      </c>
      <c r="BG135" s="0" t="s">
        <v>130</v>
      </c>
      <c r="BH135" s="0" t="s">
        <v>130</v>
      </c>
      <c r="BI135" s="0" t="s">
        <v>130</v>
      </c>
      <c r="BJ135" s="0" t="s">
        <v>130</v>
      </c>
      <c r="BK135" s="0" t="s">
        <v>130</v>
      </c>
      <c r="BL135" s="0" t="s">
        <v>130</v>
      </c>
      <c r="BM135" s="0" t="s">
        <v>130</v>
      </c>
      <c r="BN135" s="0" t="s">
        <v>130</v>
      </c>
      <c r="BO135" s="0" t="s">
        <v>130</v>
      </c>
      <c r="BP135" s="0" t="s">
        <v>130</v>
      </c>
      <c r="BQ135" s="0" t="s">
        <v>130</v>
      </c>
      <c r="BR135" s="0" t="s">
        <v>130</v>
      </c>
      <c r="BS135" s="0" t="s">
        <v>130</v>
      </c>
      <c r="BT135" s="0" t="s">
        <v>130</v>
      </c>
      <c r="BU135" s="0" t="s">
        <v>130</v>
      </c>
      <c r="BV135" s="0" t="s">
        <v>130</v>
      </c>
      <c r="BW135" s="0" t="s">
        <v>130</v>
      </c>
      <c r="BX135" s="0" t="s">
        <v>130</v>
      </c>
      <c r="BY135" s="0" t="s">
        <v>130</v>
      </c>
      <c r="BZ135" s="0" t="s">
        <v>130</v>
      </c>
      <c r="CA135" s="0" t="s">
        <v>130</v>
      </c>
      <c r="CB135" s="0" t="s">
        <v>130</v>
      </c>
      <c r="CC135" s="0" t="s">
        <v>130</v>
      </c>
      <c r="CD135" s="0" t="s">
        <v>130</v>
      </c>
      <c r="CE135" s="0" t="s">
        <v>130</v>
      </c>
      <c r="CF135" s="0" t="s">
        <v>130</v>
      </c>
      <c r="CG135" s="0" t="s">
        <v>130</v>
      </c>
      <c r="CH135" s="0" t="s">
        <v>130</v>
      </c>
      <c r="CI135" s="0" t="s">
        <v>130</v>
      </c>
      <c r="CJ135" s="0" t="s">
        <v>130</v>
      </c>
      <c r="CK135" s="0" t="s">
        <v>141</v>
      </c>
      <c r="CL135" s="0" t="s">
        <v>130</v>
      </c>
      <c r="CM135" s="0" t="s">
        <v>130</v>
      </c>
      <c r="CN135" s="0" t="s">
        <v>130</v>
      </c>
      <c r="CO135" s="0" t="s">
        <v>130</v>
      </c>
      <c r="CP135" s="0" t="s">
        <v>130</v>
      </c>
      <c r="CQ135" s="0" t="s">
        <v>130</v>
      </c>
      <c r="CR135" s="0" t="s">
        <v>130</v>
      </c>
      <c r="CS135" s="0" t="s">
        <v>130</v>
      </c>
      <c r="CT135" s="0" t="s">
        <v>654</v>
      </c>
    </row>
    <row r="136">
      <c r="A136" s="14">
        <v>100466</v>
      </c>
      <c r="B136" s="0" t="s">
        <v>655</v>
      </c>
      <c r="C136" s="16">
        <f>HYPERLINK("https://eosportal.federatedhermes.com/companies/Q29tcGFueQppNzc5Mjg=", "Dominion Energy Inc")</f>
      </c>
      <c r="D136" s="0" t="s">
        <v>25</v>
      </c>
      <c r="E136" s="0" t="s">
        <v>656</v>
      </c>
      <c r="F136" s="16">
        <f>HYPERLINK("https://eosportal.federatedhermes.com/engagements/RW5nYWdlbWVudAppMTg3ODE=", "Require independent chair")</f>
      </c>
      <c r="G136" s="14" t="s">
        <v>657</v>
      </c>
      <c r="H136" s="0" t="s">
        <v>141</v>
      </c>
      <c r="I136" s="14" t="s">
        <v>131</v>
      </c>
      <c r="J136" s="0" t="s">
        <v>145</v>
      </c>
      <c r="K136" s="0" t="s">
        <v>164</v>
      </c>
      <c r="L136" s="0" t="s">
        <v>165</v>
      </c>
      <c r="M136" s="0" t="s">
        <v>135</v>
      </c>
      <c r="N136" s="0" t="s">
        <v>136</v>
      </c>
      <c r="O136" s="0" t="s">
        <v>192</v>
      </c>
      <c r="Q136" s="0" t="s">
        <v>130</v>
      </c>
      <c r="R136" s="0" t="s">
        <v>138</v>
      </c>
      <c r="S136" s="14">
        <v>0</v>
      </c>
      <c r="T136" s="0" t="s">
        <v>355</v>
      </c>
      <c r="U136" s="0" t="s">
        <v>138</v>
      </c>
      <c r="V136" s="14" t="s">
        <v>138</v>
      </c>
      <c r="W136" s="0" t="s">
        <v>138</v>
      </c>
      <c r="X136" s="14" t="s">
        <v>138</v>
      </c>
      <c r="Y136" s="0" t="s">
        <v>138</v>
      </c>
      <c r="Z136" s="14" t="s">
        <v>138</v>
      </c>
      <c r="AA136" s="0" t="s">
        <v>138</v>
      </c>
      <c r="AB136" s="14" t="s">
        <v>138</v>
      </c>
      <c r="AD136" s="0" t="s">
        <v>138</v>
      </c>
      <c r="AF136" s="0">
        <v>0</v>
      </c>
      <c r="AG136" s="0">
        <v>0</v>
      </c>
      <c r="AH136" s="0" t="s">
        <v>140</v>
      </c>
      <c r="AI136" s="0" t="s">
        <v>138</v>
      </c>
      <c r="AL136" s="14"/>
      <c r="AN136" s="14"/>
      <c r="AQ136" s="0" t="s">
        <v>130</v>
      </c>
      <c r="AR136" s="0" t="s">
        <v>130</v>
      </c>
      <c r="AS136" s="0" t="s">
        <v>130</v>
      </c>
      <c r="AT136" s="0" t="s">
        <v>130</v>
      </c>
      <c r="AU136" s="0" t="s">
        <v>130</v>
      </c>
      <c r="AV136" s="0" t="s">
        <v>130</v>
      </c>
      <c r="AW136" s="0" t="s">
        <v>130</v>
      </c>
      <c r="AX136" s="0" t="s">
        <v>130</v>
      </c>
      <c r="AY136" s="0" t="s">
        <v>130</v>
      </c>
      <c r="AZ136" s="0" t="s">
        <v>130</v>
      </c>
      <c r="BA136" s="0" t="s">
        <v>130</v>
      </c>
      <c r="BB136" s="0" t="s">
        <v>130</v>
      </c>
      <c r="BC136" s="0" t="s">
        <v>130</v>
      </c>
      <c r="BD136" s="0" t="s">
        <v>130</v>
      </c>
      <c r="BE136" s="0" t="s">
        <v>130</v>
      </c>
      <c r="BF136" s="0" t="s">
        <v>130</v>
      </c>
      <c r="BG136" s="0" t="s">
        <v>130</v>
      </c>
      <c r="BH136" s="0" t="s">
        <v>130</v>
      </c>
      <c r="BI136" s="0" t="s">
        <v>130</v>
      </c>
      <c r="BJ136" s="0" t="s">
        <v>130</v>
      </c>
      <c r="BK136" s="0" t="s">
        <v>130</v>
      </c>
      <c r="BL136" s="0" t="s">
        <v>130</v>
      </c>
      <c r="BM136" s="0" t="s">
        <v>130</v>
      </c>
      <c r="BN136" s="0" t="s">
        <v>130</v>
      </c>
      <c r="BO136" s="0" t="s">
        <v>130</v>
      </c>
      <c r="BP136" s="0" t="s">
        <v>130</v>
      </c>
      <c r="BQ136" s="0" t="s">
        <v>130</v>
      </c>
      <c r="BR136" s="0" t="s">
        <v>130</v>
      </c>
      <c r="BS136" s="0" t="s">
        <v>130</v>
      </c>
      <c r="BT136" s="0" t="s">
        <v>130</v>
      </c>
      <c r="BU136" s="0" t="s">
        <v>130</v>
      </c>
      <c r="BV136" s="0" t="s">
        <v>130</v>
      </c>
      <c r="BW136" s="0" t="s">
        <v>130</v>
      </c>
      <c r="BX136" s="0" t="s">
        <v>130</v>
      </c>
      <c r="BY136" s="0" t="s">
        <v>130</v>
      </c>
      <c r="BZ136" s="0" t="s">
        <v>130</v>
      </c>
      <c r="CA136" s="0" t="s">
        <v>130</v>
      </c>
      <c r="CB136" s="0" t="s">
        <v>130</v>
      </c>
      <c r="CC136" s="0" t="s">
        <v>130</v>
      </c>
      <c r="CD136" s="0" t="s">
        <v>130</v>
      </c>
      <c r="CE136" s="0" t="s">
        <v>130</v>
      </c>
      <c r="CF136" s="0" t="s">
        <v>130</v>
      </c>
      <c r="CG136" s="0" t="s">
        <v>130</v>
      </c>
      <c r="CH136" s="0" t="s">
        <v>130</v>
      </c>
      <c r="CI136" s="0" t="s">
        <v>130</v>
      </c>
      <c r="CJ136" s="0" t="s">
        <v>130</v>
      </c>
      <c r="CK136" s="0" t="s">
        <v>130</v>
      </c>
      <c r="CL136" s="0" t="s">
        <v>130</v>
      </c>
      <c r="CM136" s="0" t="s">
        <v>130</v>
      </c>
      <c r="CN136" s="0" t="s">
        <v>130</v>
      </c>
      <c r="CO136" s="0" t="s">
        <v>130</v>
      </c>
      <c r="CP136" s="0" t="s">
        <v>130</v>
      </c>
      <c r="CQ136" s="0" t="s">
        <v>130</v>
      </c>
      <c r="CR136" s="0" t="s">
        <v>130</v>
      </c>
      <c r="CS136" s="0" t="s">
        <v>130</v>
      </c>
      <c r="CT136" s="0" t="s">
        <v>658</v>
      </c>
    </row>
    <row r="137">
      <c r="A137" s="14">
        <v>100466</v>
      </c>
      <c r="B137" s="0" t="s">
        <v>655</v>
      </c>
      <c r="C137" s="16">
        <f>HYPERLINK("https://eosportal.federatedhermes.com/companies/Q29tcGFueQppNzc5Mjg=", "Dominion Energy Inc")</f>
      </c>
      <c r="D137" s="0" t="s">
        <v>25</v>
      </c>
      <c r="E137" s="0" t="s">
        <v>659</v>
      </c>
      <c r="F137" s="16">
        <f>HYPERLINK("https://eosportal.federatedhermes.com/engagements/RW5nYWdlbWVudAppMTg3ODI=", "Improve environmental disclosure and risk management")</f>
      </c>
      <c r="G137" s="14" t="s">
        <v>660</v>
      </c>
      <c r="H137" s="0" t="s">
        <v>141</v>
      </c>
      <c r="I137" s="14" t="s">
        <v>131</v>
      </c>
      <c r="J137" s="0" t="s">
        <v>197</v>
      </c>
      <c r="K137" s="0" t="s">
        <v>198</v>
      </c>
      <c r="L137" s="0" t="s">
        <v>199</v>
      </c>
      <c r="M137" s="0" t="s">
        <v>135</v>
      </c>
      <c r="N137" s="0" t="s">
        <v>136</v>
      </c>
      <c r="O137" s="0" t="s">
        <v>192</v>
      </c>
      <c r="Q137" s="0" t="s">
        <v>130</v>
      </c>
      <c r="R137" s="0" t="s">
        <v>138</v>
      </c>
      <c r="S137" s="14">
        <v>0</v>
      </c>
      <c r="T137" s="0" t="s">
        <v>181</v>
      </c>
      <c r="U137" s="0" t="s">
        <v>138</v>
      </c>
      <c r="V137" s="14" t="s">
        <v>138</v>
      </c>
      <c r="W137" s="0" t="s">
        <v>138</v>
      </c>
      <c r="X137" s="14" t="s">
        <v>138</v>
      </c>
      <c r="Y137" s="0" t="s">
        <v>138</v>
      </c>
      <c r="Z137" s="14" t="s">
        <v>138</v>
      </c>
      <c r="AA137" s="0" t="s">
        <v>138</v>
      </c>
      <c r="AB137" s="14" t="s">
        <v>138</v>
      </c>
      <c r="AD137" s="0" t="s">
        <v>138</v>
      </c>
      <c r="AF137" s="0">
        <v>0</v>
      </c>
      <c r="AG137" s="0">
        <v>0</v>
      </c>
      <c r="AH137" s="0" t="s">
        <v>140</v>
      </c>
      <c r="AI137" s="0" t="s">
        <v>138</v>
      </c>
      <c r="AL137" s="14"/>
      <c r="AN137" s="14"/>
      <c r="AQ137" s="0" t="s">
        <v>130</v>
      </c>
      <c r="AR137" s="0" t="s">
        <v>130</v>
      </c>
      <c r="AS137" s="0" t="s">
        <v>130</v>
      </c>
      <c r="AT137" s="0" t="s">
        <v>130</v>
      </c>
      <c r="AU137" s="0" t="s">
        <v>130</v>
      </c>
      <c r="AV137" s="0" t="s">
        <v>130</v>
      </c>
      <c r="AW137" s="0" t="s">
        <v>130</v>
      </c>
      <c r="AX137" s="0" t="s">
        <v>130</v>
      </c>
      <c r="AY137" s="0" t="s">
        <v>130</v>
      </c>
      <c r="AZ137" s="0" t="s">
        <v>130</v>
      </c>
      <c r="BA137" s="0" t="s">
        <v>130</v>
      </c>
      <c r="BB137" s="0" t="s">
        <v>141</v>
      </c>
      <c r="BC137" s="0" t="s">
        <v>130</v>
      </c>
      <c r="BD137" s="0" t="s">
        <v>130</v>
      </c>
      <c r="BE137" s="0" t="s">
        <v>130</v>
      </c>
      <c r="BF137" s="0" t="s">
        <v>130</v>
      </c>
      <c r="BG137" s="0" t="s">
        <v>130</v>
      </c>
      <c r="BH137" s="0" t="s">
        <v>130</v>
      </c>
      <c r="BI137" s="0" t="s">
        <v>130</v>
      </c>
      <c r="BJ137" s="0" t="s">
        <v>130</v>
      </c>
      <c r="BK137" s="0" t="s">
        <v>130</v>
      </c>
      <c r="BL137" s="0" t="s">
        <v>130</v>
      </c>
      <c r="BM137" s="0" t="s">
        <v>130</v>
      </c>
      <c r="BN137" s="0" t="s">
        <v>130</v>
      </c>
      <c r="BO137" s="0" t="s">
        <v>130</v>
      </c>
      <c r="BP137" s="0" t="s">
        <v>130</v>
      </c>
      <c r="BQ137" s="0" t="s">
        <v>130</v>
      </c>
      <c r="BR137" s="0" t="s">
        <v>130</v>
      </c>
      <c r="BS137" s="0" t="s">
        <v>130</v>
      </c>
      <c r="BT137" s="0" t="s">
        <v>130</v>
      </c>
      <c r="BU137" s="0" t="s">
        <v>130</v>
      </c>
      <c r="BV137" s="0" t="s">
        <v>130</v>
      </c>
      <c r="BW137" s="0" t="s">
        <v>130</v>
      </c>
      <c r="BX137" s="0" t="s">
        <v>130</v>
      </c>
      <c r="BY137" s="0" t="s">
        <v>130</v>
      </c>
      <c r="BZ137" s="0" t="s">
        <v>130</v>
      </c>
      <c r="CA137" s="0" t="s">
        <v>130</v>
      </c>
      <c r="CB137" s="0" t="s">
        <v>130</v>
      </c>
      <c r="CC137" s="0" t="s">
        <v>130</v>
      </c>
      <c r="CD137" s="0" t="s">
        <v>130</v>
      </c>
      <c r="CE137" s="0" t="s">
        <v>130</v>
      </c>
      <c r="CF137" s="0" t="s">
        <v>130</v>
      </c>
      <c r="CG137" s="0" t="s">
        <v>130</v>
      </c>
      <c r="CH137" s="0" t="s">
        <v>130</v>
      </c>
      <c r="CI137" s="0" t="s">
        <v>130</v>
      </c>
      <c r="CJ137" s="0" t="s">
        <v>130</v>
      </c>
      <c r="CK137" s="0" t="s">
        <v>130</v>
      </c>
      <c r="CL137" s="0" t="s">
        <v>130</v>
      </c>
      <c r="CM137" s="0" t="s">
        <v>130</v>
      </c>
      <c r="CN137" s="0" t="s">
        <v>130</v>
      </c>
      <c r="CO137" s="0" t="s">
        <v>130</v>
      </c>
      <c r="CP137" s="0" t="s">
        <v>130</v>
      </c>
      <c r="CQ137" s="0" t="s">
        <v>130</v>
      </c>
      <c r="CR137" s="0" t="s">
        <v>130</v>
      </c>
      <c r="CS137" s="0" t="s">
        <v>130</v>
      </c>
      <c r="CT137" s="0" t="s">
        <v>661</v>
      </c>
    </row>
    <row r="138">
      <c r="A138" s="14">
        <v>100466</v>
      </c>
      <c r="B138" s="0" t="s">
        <v>655</v>
      </c>
      <c r="C138" s="16">
        <f>HYPERLINK("https://eosportal.federatedhermes.com/companies/Q29tcGFueQppNzc5Mjg=", "Dominion Energy Inc")</f>
      </c>
      <c r="D138" s="0" t="s">
        <v>25</v>
      </c>
      <c r="E138" s="0" t="s">
        <v>662</v>
      </c>
      <c r="F138" s="16">
        <f>HYPERLINK("https://eosportal.federatedhermes.com/engagements/RW5nYWdlbWVudAppMTg3ODM=", "Encourage longer and greater share ownership among management")</f>
      </c>
      <c r="G138" s="14" t="s">
        <v>663</v>
      </c>
      <c r="H138" s="0" t="s">
        <v>141</v>
      </c>
      <c r="I138" s="14" t="s">
        <v>131</v>
      </c>
      <c r="J138" s="0" t="s">
        <v>145</v>
      </c>
      <c r="K138" s="0" t="s">
        <v>146</v>
      </c>
      <c r="L138" s="0" t="s">
        <v>147</v>
      </c>
      <c r="M138" s="0" t="s">
        <v>135</v>
      </c>
      <c r="N138" s="0" t="s">
        <v>136</v>
      </c>
      <c r="O138" s="0" t="s">
        <v>192</v>
      </c>
      <c r="Q138" s="0" t="s">
        <v>130</v>
      </c>
      <c r="R138" s="0" t="s">
        <v>138</v>
      </c>
      <c r="S138" s="14">
        <v>0</v>
      </c>
      <c r="T138" s="0" t="s">
        <v>181</v>
      </c>
      <c r="U138" s="0" t="s">
        <v>138</v>
      </c>
      <c r="V138" s="14" t="s">
        <v>138</v>
      </c>
      <c r="W138" s="0" t="s">
        <v>138</v>
      </c>
      <c r="X138" s="14" t="s">
        <v>138</v>
      </c>
      <c r="Y138" s="0" t="s">
        <v>138</v>
      </c>
      <c r="Z138" s="14" t="s">
        <v>138</v>
      </c>
      <c r="AA138" s="0" t="s">
        <v>138</v>
      </c>
      <c r="AB138" s="14" t="s">
        <v>138</v>
      </c>
      <c r="AD138" s="0" t="s">
        <v>138</v>
      </c>
      <c r="AF138" s="0">
        <v>0</v>
      </c>
      <c r="AG138" s="0">
        <v>0</v>
      </c>
      <c r="AH138" s="0" t="s">
        <v>140</v>
      </c>
      <c r="AI138" s="0" t="s">
        <v>138</v>
      </c>
      <c r="AL138" s="14"/>
      <c r="AN138" s="14"/>
      <c r="AQ138" s="0" t="s">
        <v>130</v>
      </c>
      <c r="AR138" s="0" t="s">
        <v>130</v>
      </c>
      <c r="AS138" s="0" t="s">
        <v>130</v>
      </c>
      <c r="AT138" s="0" t="s">
        <v>130</v>
      </c>
      <c r="AU138" s="0" t="s">
        <v>130</v>
      </c>
      <c r="AV138" s="0" t="s">
        <v>130</v>
      </c>
      <c r="AW138" s="0" t="s">
        <v>130</v>
      </c>
      <c r="AX138" s="0" t="s">
        <v>130</v>
      </c>
      <c r="AY138" s="0" t="s">
        <v>130</v>
      </c>
      <c r="AZ138" s="0" t="s">
        <v>130</v>
      </c>
      <c r="BA138" s="0" t="s">
        <v>130</v>
      </c>
      <c r="BB138" s="0" t="s">
        <v>130</v>
      </c>
      <c r="BC138" s="0" t="s">
        <v>130</v>
      </c>
      <c r="BD138" s="0" t="s">
        <v>130</v>
      </c>
      <c r="BE138" s="0" t="s">
        <v>130</v>
      </c>
      <c r="BF138" s="0" t="s">
        <v>130</v>
      </c>
      <c r="BG138" s="0" t="s">
        <v>130</v>
      </c>
      <c r="BH138" s="0" t="s">
        <v>130</v>
      </c>
      <c r="BI138" s="0" t="s">
        <v>130</v>
      </c>
      <c r="BJ138" s="0" t="s">
        <v>130</v>
      </c>
      <c r="BK138" s="0" t="s">
        <v>130</v>
      </c>
      <c r="BL138" s="0" t="s">
        <v>130</v>
      </c>
      <c r="BM138" s="0" t="s">
        <v>130</v>
      </c>
      <c r="BN138" s="0" t="s">
        <v>130</v>
      </c>
      <c r="BO138" s="0" t="s">
        <v>130</v>
      </c>
      <c r="BP138" s="0" t="s">
        <v>130</v>
      </c>
      <c r="BQ138" s="0" t="s">
        <v>130</v>
      </c>
      <c r="BR138" s="0" t="s">
        <v>130</v>
      </c>
      <c r="BS138" s="0" t="s">
        <v>130</v>
      </c>
      <c r="BT138" s="0" t="s">
        <v>130</v>
      </c>
      <c r="BU138" s="0" t="s">
        <v>130</v>
      </c>
      <c r="BV138" s="0" t="s">
        <v>130</v>
      </c>
      <c r="BW138" s="0" t="s">
        <v>130</v>
      </c>
      <c r="BX138" s="0" t="s">
        <v>130</v>
      </c>
      <c r="BY138" s="0" t="s">
        <v>130</v>
      </c>
      <c r="BZ138" s="0" t="s">
        <v>130</v>
      </c>
      <c r="CA138" s="0" t="s">
        <v>130</v>
      </c>
      <c r="CB138" s="0" t="s">
        <v>130</v>
      </c>
      <c r="CC138" s="0" t="s">
        <v>130</v>
      </c>
      <c r="CD138" s="0" t="s">
        <v>130</v>
      </c>
      <c r="CE138" s="0" t="s">
        <v>130</v>
      </c>
      <c r="CF138" s="0" t="s">
        <v>130</v>
      </c>
      <c r="CG138" s="0" t="s">
        <v>130</v>
      </c>
      <c r="CH138" s="0" t="s">
        <v>130</v>
      </c>
      <c r="CI138" s="0" t="s">
        <v>130</v>
      </c>
      <c r="CJ138" s="0" t="s">
        <v>130</v>
      </c>
      <c r="CK138" s="0" t="s">
        <v>130</v>
      </c>
      <c r="CL138" s="0" t="s">
        <v>130</v>
      </c>
      <c r="CM138" s="0" t="s">
        <v>130</v>
      </c>
      <c r="CN138" s="0" t="s">
        <v>130</v>
      </c>
      <c r="CO138" s="0" t="s">
        <v>130</v>
      </c>
      <c r="CP138" s="0" t="s">
        <v>130</v>
      </c>
      <c r="CQ138" s="0" t="s">
        <v>130</v>
      </c>
      <c r="CR138" s="0" t="s">
        <v>130</v>
      </c>
      <c r="CS138" s="0" t="s">
        <v>130</v>
      </c>
      <c r="CT138" s="0" t="s">
        <v>664</v>
      </c>
    </row>
    <row r="139">
      <c r="A139" s="14">
        <v>100466</v>
      </c>
      <c r="B139" s="0" t="s">
        <v>655</v>
      </c>
      <c r="C139" s="16">
        <f>HYPERLINK("https://eosportal.federatedhermes.com/companies/Q29tcGFueQppNzc5Mjg=", "Dominion Energy Inc")</f>
      </c>
      <c r="D139" s="0" t="s">
        <v>23</v>
      </c>
      <c r="E139" s="0" t="s">
        <v>218</v>
      </c>
      <c r="F139" s="16">
        <f>HYPERLINK("https://eosportal.federatedhermes.com/engagements/RW5nYWdlbWVudAppMTg3ODQ=", "Validation of sufficiency of climate strategy")</f>
      </c>
      <c r="G139" s="14" t="s">
        <v>665</v>
      </c>
      <c r="H139" s="0" t="s">
        <v>141</v>
      </c>
      <c r="I139" s="14" t="s">
        <v>131</v>
      </c>
      <c r="J139" s="0" t="s">
        <v>197</v>
      </c>
      <c r="K139" s="0" t="s">
        <v>198</v>
      </c>
      <c r="L139" s="0" t="s">
        <v>220</v>
      </c>
      <c r="M139" s="0" t="s">
        <v>135</v>
      </c>
      <c r="N139" s="0" t="s">
        <v>136</v>
      </c>
      <c r="O139" s="0" t="s">
        <v>192</v>
      </c>
      <c r="Q139" s="0" t="s">
        <v>130</v>
      </c>
      <c r="R139" s="0" t="s">
        <v>130</v>
      </c>
      <c r="S139" s="14">
        <v>0</v>
      </c>
      <c r="T139" s="0" t="s">
        <v>139</v>
      </c>
      <c r="U139" s="0" t="s">
        <v>221</v>
      </c>
      <c r="V139" s="14" t="s">
        <v>139</v>
      </c>
      <c r="W139" s="0" t="s">
        <v>221</v>
      </c>
      <c r="X139" s="14" t="s">
        <v>583</v>
      </c>
      <c r="Y139" s="0" t="s">
        <v>221</v>
      </c>
      <c r="Z139" s="14" t="s">
        <v>231</v>
      </c>
      <c r="AA139" s="0" t="s">
        <v>223</v>
      </c>
      <c r="AB139" s="14" t="s">
        <v>138</v>
      </c>
      <c r="AD139" s="0" t="s">
        <v>20</v>
      </c>
      <c r="AF139" s="0">
        <v>0</v>
      </c>
      <c r="AG139" s="0">
        <v>0</v>
      </c>
      <c r="AH139" s="0" t="s">
        <v>140</v>
      </c>
      <c r="AI139" s="0" t="s">
        <v>232</v>
      </c>
      <c r="AL139" s="14"/>
      <c r="AN139" s="14"/>
      <c r="AQ139" s="0" t="s">
        <v>130</v>
      </c>
      <c r="AR139" s="0" t="s">
        <v>130</v>
      </c>
      <c r="AS139" s="0" t="s">
        <v>130</v>
      </c>
      <c r="AT139" s="0" t="s">
        <v>130</v>
      </c>
      <c r="AU139" s="0" t="s">
        <v>130</v>
      </c>
      <c r="AV139" s="0" t="s">
        <v>130</v>
      </c>
      <c r="AW139" s="0" t="s">
        <v>141</v>
      </c>
      <c r="AX139" s="0" t="s">
        <v>130</v>
      </c>
      <c r="AY139" s="0" t="s">
        <v>141</v>
      </c>
      <c r="AZ139" s="0" t="s">
        <v>130</v>
      </c>
      <c r="BA139" s="0" t="s">
        <v>130</v>
      </c>
      <c r="BB139" s="0" t="s">
        <v>130</v>
      </c>
      <c r="BC139" s="0" t="s">
        <v>141</v>
      </c>
      <c r="BD139" s="0" t="s">
        <v>130</v>
      </c>
      <c r="BE139" s="0" t="s">
        <v>130</v>
      </c>
      <c r="BF139" s="0" t="s">
        <v>130</v>
      </c>
      <c r="BG139" s="0" t="s">
        <v>130</v>
      </c>
      <c r="BH139" s="0" t="s">
        <v>141</v>
      </c>
      <c r="BI139" s="0" t="s">
        <v>141</v>
      </c>
      <c r="BJ139" s="0" t="s">
        <v>141</v>
      </c>
      <c r="BK139" s="0" t="s">
        <v>130</v>
      </c>
      <c r="BL139" s="0" t="s">
        <v>130</v>
      </c>
      <c r="BM139" s="0" t="s">
        <v>130</v>
      </c>
      <c r="BN139" s="0" t="s">
        <v>130</v>
      </c>
      <c r="BO139" s="0" t="s">
        <v>130</v>
      </c>
      <c r="BP139" s="0" t="s">
        <v>130</v>
      </c>
      <c r="BQ139" s="0" t="s">
        <v>130</v>
      </c>
      <c r="BR139" s="0" t="s">
        <v>130</v>
      </c>
      <c r="BS139" s="0" t="s">
        <v>130</v>
      </c>
      <c r="BT139" s="0" t="s">
        <v>130</v>
      </c>
      <c r="BU139" s="0" t="s">
        <v>130</v>
      </c>
      <c r="BV139" s="0" t="s">
        <v>141</v>
      </c>
      <c r="BW139" s="0" t="s">
        <v>141</v>
      </c>
      <c r="BX139" s="0" t="s">
        <v>130</v>
      </c>
      <c r="BY139" s="0" t="s">
        <v>130</v>
      </c>
      <c r="BZ139" s="0" t="s">
        <v>130</v>
      </c>
      <c r="CA139" s="0" t="s">
        <v>130</v>
      </c>
      <c r="CB139" s="0" t="s">
        <v>130</v>
      </c>
      <c r="CC139" s="0" t="s">
        <v>130</v>
      </c>
      <c r="CD139" s="0" t="s">
        <v>130</v>
      </c>
      <c r="CE139" s="0" t="s">
        <v>130</v>
      </c>
      <c r="CF139" s="0" t="s">
        <v>130</v>
      </c>
      <c r="CG139" s="0" t="s">
        <v>130</v>
      </c>
      <c r="CH139" s="0" t="s">
        <v>130</v>
      </c>
      <c r="CI139" s="0" t="s">
        <v>130</v>
      </c>
      <c r="CJ139" s="0" t="s">
        <v>130</v>
      </c>
      <c r="CK139" s="0" t="s">
        <v>130</v>
      </c>
      <c r="CL139" s="0" t="s">
        <v>130</v>
      </c>
      <c r="CM139" s="0" t="s">
        <v>130</v>
      </c>
      <c r="CN139" s="0" t="s">
        <v>130</v>
      </c>
      <c r="CO139" s="0" t="s">
        <v>130</v>
      </c>
      <c r="CP139" s="0" t="s">
        <v>130</v>
      </c>
      <c r="CQ139" s="0" t="s">
        <v>130</v>
      </c>
      <c r="CR139" s="0" t="s">
        <v>130</v>
      </c>
      <c r="CS139" s="0" t="s">
        <v>130</v>
      </c>
      <c r="CT139" s="0" t="s">
        <v>666</v>
      </c>
    </row>
    <row r="140">
      <c r="A140" s="14">
        <v>100466</v>
      </c>
      <c r="B140" s="0" t="s">
        <v>655</v>
      </c>
      <c r="C140" s="16">
        <f>HYPERLINK("https://eosportal.federatedhermes.com/companies/Q29tcGFueQppNzc5Mjg=", "Dominion Energy Inc")</f>
      </c>
      <c r="D140" s="0" t="s">
        <v>25</v>
      </c>
      <c r="E140" s="0" t="s">
        <v>667</v>
      </c>
      <c r="F140" s="16">
        <f>HYPERLINK("https://eosportal.federatedhermes.com/engagements/RW5nYWdlbWVudAppMTg3ODU=", "Statement of corporate purpose")</f>
      </c>
      <c r="G140" s="14" t="s">
        <v>668</v>
      </c>
      <c r="H140" s="0" t="s">
        <v>141</v>
      </c>
      <c r="I140" s="14" t="s">
        <v>131</v>
      </c>
      <c r="J140" s="0" t="s">
        <v>132</v>
      </c>
      <c r="K140" s="0" t="s">
        <v>133</v>
      </c>
      <c r="L140" s="0" t="s">
        <v>134</v>
      </c>
      <c r="M140" s="0" t="s">
        <v>135</v>
      </c>
      <c r="N140" s="0" t="s">
        <v>136</v>
      </c>
      <c r="O140" s="0" t="s">
        <v>192</v>
      </c>
      <c r="Q140" s="0" t="s">
        <v>130</v>
      </c>
      <c r="R140" s="0" t="s">
        <v>138</v>
      </c>
      <c r="S140" s="14">
        <v>0</v>
      </c>
      <c r="T140" s="0" t="s">
        <v>156</v>
      </c>
      <c r="U140" s="0" t="s">
        <v>138</v>
      </c>
      <c r="V140" s="14" t="s">
        <v>138</v>
      </c>
      <c r="W140" s="0" t="s">
        <v>138</v>
      </c>
      <c r="X140" s="14" t="s">
        <v>138</v>
      </c>
      <c r="Y140" s="0" t="s">
        <v>138</v>
      </c>
      <c r="Z140" s="14" t="s">
        <v>138</v>
      </c>
      <c r="AA140" s="0" t="s">
        <v>138</v>
      </c>
      <c r="AB140" s="14" t="s">
        <v>138</v>
      </c>
      <c r="AD140" s="0" t="s">
        <v>138</v>
      </c>
      <c r="AF140" s="0">
        <v>0</v>
      </c>
      <c r="AG140" s="0">
        <v>0</v>
      </c>
      <c r="AH140" s="0" t="s">
        <v>140</v>
      </c>
      <c r="AI140" s="0" t="s">
        <v>138</v>
      </c>
      <c r="AL140" s="14"/>
      <c r="AN140" s="14"/>
      <c r="AQ140" s="0" t="s">
        <v>130</v>
      </c>
      <c r="AR140" s="0" t="s">
        <v>130</v>
      </c>
      <c r="AS140" s="0" t="s">
        <v>130</v>
      </c>
      <c r="AT140" s="0" t="s">
        <v>130</v>
      </c>
      <c r="AU140" s="0" t="s">
        <v>130</v>
      </c>
      <c r="AV140" s="0" t="s">
        <v>130</v>
      </c>
      <c r="AW140" s="0" t="s">
        <v>130</v>
      </c>
      <c r="AX140" s="0" t="s">
        <v>130</v>
      </c>
      <c r="AY140" s="0" t="s">
        <v>130</v>
      </c>
      <c r="AZ140" s="0" t="s">
        <v>130</v>
      </c>
      <c r="BA140" s="0" t="s">
        <v>130</v>
      </c>
      <c r="BB140" s="0" t="s">
        <v>130</v>
      </c>
      <c r="BC140" s="0" t="s">
        <v>130</v>
      </c>
      <c r="BD140" s="0" t="s">
        <v>130</v>
      </c>
      <c r="BE140" s="0" t="s">
        <v>130</v>
      </c>
      <c r="BF140" s="0" t="s">
        <v>130</v>
      </c>
      <c r="BG140" s="0" t="s">
        <v>130</v>
      </c>
      <c r="BH140" s="0" t="s">
        <v>130</v>
      </c>
      <c r="BI140" s="0" t="s">
        <v>130</v>
      </c>
      <c r="BJ140" s="0" t="s">
        <v>130</v>
      </c>
      <c r="BK140" s="0" t="s">
        <v>130</v>
      </c>
      <c r="BL140" s="0" t="s">
        <v>130</v>
      </c>
      <c r="BM140" s="0" t="s">
        <v>130</v>
      </c>
      <c r="BN140" s="0" t="s">
        <v>130</v>
      </c>
      <c r="BO140" s="0" t="s">
        <v>130</v>
      </c>
      <c r="BP140" s="0" t="s">
        <v>130</v>
      </c>
      <c r="BQ140" s="0" t="s">
        <v>130</v>
      </c>
      <c r="BR140" s="0" t="s">
        <v>130</v>
      </c>
      <c r="BS140" s="0" t="s">
        <v>130</v>
      </c>
      <c r="BT140" s="0" t="s">
        <v>130</v>
      </c>
      <c r="BU140" s="0" t="s">
        <v>130</v>
      </c>
      <c r="BV140" s="0" t="s">
        <v>130</v>
      </c>
      <c r="BW140" s="0" t="s">
        <v>130</v>
      </c>
      <c r="BX140" s="0" t="s">
        <v>130</v>
      </c>
      <c r="BY140" s="0" t="s">
        <v>130</v>
      </c>
      <c r="BZ140" s="0" t="s">
        <v>130</v>
      </c>
      <c r="CA140" s="0" t="s">
        <v>130</v>
      </c>
      <c r="CB140" s="0" t="s">
        <v>130</v>
      </c>
      <c r="CC140" s="0" t="s">
        <v>130</v>
      </c>
      <c r="CD140" s="0" t="s">
        <v>130</v>
      </c>
      <c r="CE140" s="0" t="s">
        <v>130</v>
      </c>
      <c r="CF140" s="0" t="s">
        <v>130</v>
      </c>
      <c r="CG140" s="0" t="s">
        <v>130</v>
      </c>
      <c r="CH140" s="0" t="s">
        <v>130</v>
      </c>
      <c r="CI140" s="0" t="s">
        <v>130</v>
      </c>
      <c r="CJ140" s="0" t="s">
        <v>130</v>
      </c>
      <c r="CK140" s="0" t="s">
        <v>130</v>
      </c>
      <c r="CL140" s="0" t="s">
        <v>130</v>
      </c>
      <c r="CM140" s="0" t="s">
        <v>130</v>
      </c>
      <c r="CN140" s="0" t="s">
        <v>130</v>
      </c>
      <c r="CO140" s="0" t="s">
        <v>130</v>
      </c>
      <c r="CP140" s="0" t="s">
        <v>130</v>
      </c>
      <c r="CQ140" s="0" t="s">
        <v>130</v>
      </c>
      <c r="CR140" s="0" t="s">
        <v>130</v>
      </c>
      <c r="CS140" s="0" t="s">
        <v>130</v>
      </c>
      <c r="CT140" s="0" t="s">
        <v>669</v>
      </c>
    </row>
    <row r="141">
      <c r="A141" s="14">
        <v>100466</v>
      </c>
      <c r="B141" s="0" t="s">
        <v>655</v>
      </c>
      <c r="C141" s="16">
        <f>HYPERLINK("https://eosportal.federatedhermes.com/companies/Q29tcGFueQppNzc5Mjg=", "Dominion Energy Inc")</f>
      </c>
      <c r="D141" s="0" t="s">
        <v>25</v>
      </c>
      <c r="E141" s="0" t="s">
        <v>670</v>
      </c>
      <c r="F141" s="16">
        <f>HYPERLINK("https://eosportal.federatedhermes.com/engagements/RW5nYWdlbWVudAppMTg3OTE=", "High CEO Pay")</f>
      </c>
      <c r="G141" s="14" t="s">
        <v>671</v>
      </c>
      <c r="H141" s="0" t="s">
        <v>141</v>
      </c>
      <c r="I141" s="14" t="s">
        <v>131</v>
      </c>
      <c r="J141" s="0" t="s">
        <v>145</v>
      </c>
      <c r="K141" s="0" t="s">
        <v>146</v>
      </c>
      <c r="L141" s="0" t="s">
        <v>500</v>
      </c>
      <c r="M141" s="0" t="s">
        <v>135</v>
      </c>
      <c r="N141" s="0" t="s">
        <v>136</v>
      </c>
      <c r="O141" s="0" t="s">
        <v>192</v>
      </c>
      <c r="Q141" s="0" t="s">
        <v>130</v>
      </c>
      <c r="R141" s="0" t="s">
        <v>138</v>
      </c>
      <c r="S141" s="14">
        <v>0</v>
      </c>
      <c r="T141" s="0" t="s">
        <v>166</v>
      </c>
      <c r="U141" s="0" t="s">
        <v>138</v>
      </c>
      <c r="V141" s="14" t="s">
        <v>138</v>
      </c>
      <c r="W141" s="0" t="s">
        <v>138</v>
      </c>
      <c r="X141" s="14" t="s">
        <v>138</v>
      </c>
      <c r="Y141" s="0" t="s">
        <v>138</v>
      </c>
      <c r="Z141" s="14" t="s">
        <v>138</v>
      </c>
      <c r="AA141" s="0" t="s">
        <v>138</v>
      </c>
      <c r="AB141" s="14" t="s">
        <v>138</v>
      </c>
      <c r="AD141" s="0" t="s">
        <v>138</v>
      </c>
      <c r="AF141" s="0">
        <v>0</v>
      </c>
      <c r="AG141" s="0">
        <v>0</v>
      </c>
      <c r="AH141" s="0" t="s">
        <v>140</v>
      </c>
      <c r="AI141" s="0" t="s">
        <v>138</v>
      </c>
      <c r="AL141" s="14"/>
      <c r="AN141" s="14"/>
      <c r="AQ141" s="0" t="s">
        <v>130</v>
      </c>
      <c r="AR141" s="0" t="s">
        <v>130</v>
      </c>
      <c r="AS141" s="0" t="s">
        <v>130</v>
      </c>
      <c r="AT141" s="0" t="s">
        <v>130</v>
      </c>
      <c r="AU141" s="0" t="s">
        <v>130</v>
      </c>
      <c r="AV141" s="0" t="s">
        <v>130</v>
      </c>
      <c r="AW141" s="0" t="s">
        <v>130</v>
      </c>
      <c r="AX141" s="0" t="s">
        <v>130</v>
      </c>
      <c r="AY141" s="0" t="s">
        <v>130</v>
      </c>
      <c r="AZ141" s="0" t="s">
        <v>130</v>
      </c>
      <c r="BA141" s="0" t="s">
        <v>130</v>
      </c>
      <c r="BB141" s="0" t="s">
        <v>130</v>
      </c>
      <c r="BC141" s="0" t="s">
        <v>130</v>
      </c>
      <c r="BD141" s="0" t="s">
        <v>130</v>
      </c>
      <c r="BE141" s="0" t="s">
        <v>130</v>
      </c>
      <c r="BF141" s="0" t="s">
        <v>130</v>
      </c>
      <c r="BG141" s="0" t="s">
        <v>130</v>
      </c>
      <c r="BH141" s="0" t="s">
        <v>130</v>
      </c>
      <c r="BI141" s="0" t="s">
        <v>130</v>
      </c>
      <c r="BJ141" s="0" t="s">
        <v>130</v>
      </c>
      <c r="BK141" s="0" t="s">
        <v>130</v>
      </c>
      <c r="BL141" s="0" t="s">
        <v>130</v>
      </c>
      <c r="BM141" s="0" t="s">
        <v>130</v>
      </c>
      <c r="BN141" s="0" t="s">
        <v>130</v>
      </c>
      <c r="BO141" s="0" t="s">
        <v>130</v>
      </c>
      <c r="BP141" s="0" t="s">
        <v>130</v>
      </c>
      <c r="BQ141" s="0" t="s">
        <v>130</v>
      </c>
      <c r="BR141" s="0" t="s">
        <v>130</v>
      </c>
      <c r="BS141" s="0" t="s">
        <v>130</v>
      </c>
      <c r="BT141" s="0" t="s">
        <v>130</v>
      </c>
      <c r="BU141" s="0" t="s">
        <v>130</v>
      </c>
      <c r="BV141" s="0" t="s">
        <v>130</v>
      </c>
      <c r="BW141" s="0" t="s">
        <v>130</v>
      </c>
      <c r="BX141" s="0" t="s">
        <v>130</v>
      </c>
      <c r="BY141" s="0" t="s">
        <v>130</v>
      </c>
      <c r="BZ141" s="0" t="s">
        <v>130</v>
      </c>
      <c r="CA141" s="0" t="s">
        <v>130</v>
      </c>
      <c r="CB141" s="0" t="s">
        <v>130</v>
      </c>
      <c r="CC141" s="0" t="s">
        <v>130</v>
      </c>
      <c r="CD141" s="0" t="s">
        <v>130</v>
      </c>
      <c r="CE141" s="0" t="s">
        <v>130</v>
      </c>
      <c r="CF141" s="0" t="s">
        <v>130</v>
      </c>
      <c r="CG141" s="0" t="s">
        <v>130</v>
      </c>
      <c r="CH141" s="0" t="s">
        <v>130</v>
      </c>
      <c r="CI141" s="0" t="s">
        <v>130</v>
      </c>
      <c r="CJ141" s="0" t="s">
        <v>130</v>
      </c>
      <c r="CK141" s="0" t="s">
        <v>130</v>
      </c>
      <c r="CL141" s="0" t="s">
        <v>130</v>
      </c>
      <c r="CM141" s="0" t="s">
        <v>130</v>
      </c>
      <c r="CN141" s="0" t="s">
        <v>130</v>
      </c>
      <c r="CO141" s="0" t="s">
        <v>130</v>
      </c>
      <c r="CP141" s="0" t="s">
        <v>130</v>
      </c>
      <c r="CQ141" s="0" t="s">
        <v>130</v>
      </c>
      <c r="CR141" s="0" t="s">
        <v>130</v>
      </c>
      <c r="CS141" s="0" t="s">
        <v>130</v>
      </c>
      <c r="CT141" s="0" t="s">
        <v>672</v>
      </c>
    </row>
    <row r="142">
      <c r="A142" s="14">
        <v>100481</v>
      </c>
      <c r="B142" s="0" t="s">
        <v>673</v>
      </c>
      <c r="C142" s="16">
        <f>HYPERLINK("https://eosportal.federatedhermes.com/companies/Q29tcGFueQppNjQzNjU=", "Duke Energy Corp")</f>
      </c>
      <c r="D142" s="0" t="s">
        <v>23</v>
      </c>
      <c r="E142" s="0" t="s">
        <v>228</v>
      </c>
      <c r="F142" s="16">
        <f>HYPERLINK("https://eosportal.federatedhermes.com/engagements/RW5nYWdlbWVudAppMTg4MjA=", "Climate strategy")</f>
      </c>
      <c r="G142" s="14" t="s">
        <v>674</v>
      </c>
      <c r="H142" s="0" t="s">
        <v>141</v>
      </c>
      <c r="I142" s="14" t="s">
        <v>191</v>
      </c>
      <c r="J142" s="0" t="s">
        <v>197</v>
      </c>
      <c r="K142" s="0" t="s">
        <v>198</v>
      </c>
      <c r="L142" s="0" t="s">
        <v>220</v>
      </c>
      <c r="M142" s="0" t="s">
        <v>135</v>
      </c>
      <c r="N142" s="0" t="s">
        <v>136</v>
      </c>
      <c r="O142" s="0" t="s">
        <v>192</v>
      </c>
      <c r="Q142" s="0" t="s">
        <v>141</v>
      </c>
      <c r="R142" s="0" t="s">
        <v>130</v>
      </c>
      <c r="S142" s="14">
        <v>1</v>
      </c>
      <c r="T142" s="0" t="s">
        <v>148</v>
      </c>
      <c r="U142" s="0" t="s">
        <v>221</v>
      </c>
      <c r="V142" s="14" t="s">
        <v>148</v>
      </c>
      <c r="W142" s="0" t="s">
        <v>221</v>
      </c>
      <c r="X142" s="14" t="s">
        <v>355</v>
      </c>
      <c r="Y142" s="0" t="s">
        <v>221</v>
      </c>
      <c r="Z142" s="14" t="s">
        <v>597</v>
      </c>
      <c r="AA142" s="0" t="s">
        <v>223</v>
      </c>
      <c r="AB142" s="14" t="s">
        <v>138</v>
      </c>
      <c r="AD142" s="0" t="s">
        <v>20</v>
      </c>
      <c r="AF142" s="0">
        <v>0</v>
      </c>
      <c r="AG142" s="0">
        <v>0</v>
      </c>
      <c r="AH142" s="0" t="s">
        <v>140</v>
      </c>
      <c r="AI142" s="0" t="s">
        <v>232</v>
      </c>
      <c r="AK142" s="0" t="s">
        <v>675</v>
      </c>
      <c r="AL142" s="14"/>
      <c r="AN142" s="14"/>
      <c r="AQ142" s="0" t="s">
        <v>130</v>
      </c>
      <c r="AR142" s="0" t="s">
        <v>130</v>
      </c>
      <c r="AS142" s="0" t="s">
        <v>130</v>
      </c>
      <c r="AT142" s="0" t="s">
        <v>130</v>
      </c>
      <c r="AU142" s="0" t="s">
        <v>130</v>
      </c>
      <c r="AV142" s="0" t="s">
        <v>130</v>
      </c>
      <c r="AW142" s="0" t="s">
        <v>141</v>
      </c>
      <c r="AX142" s="0" t="s">
        <v>130</v>
      </c>
      <c r="AY142" s="0" t="s">
        <v>141</v>
      </c>
      <c r="AZ142" s="0" t="s">
        <v>130</v>
      </c>
      <c r="BA142" s="0" t="s">
        <v>130</v>
      </c>
      <c r="BB142" s="0" t="s">
        <v>130</v>
      </c>
      <c r="BC142" s="0" t="s">
        <v>141</v>
      </c>
      <c r="BD142" s="0" t="s">
        <v>130</v>
      </c>
      <c r="BE142" s="0" t="s">
        <v>130</v>
      </c>
      <c r="BF142" s="0" t="s">
        <v>130</v>
      </c>
      <c r="BG142" s="0" t="s">
        <v>130</v>
      </c>
      <c r="BH142" s="0" t="s">
        <v>141</v>
      </c>
      <c r="BI142" s="0" t="s">
        <v>141</v>
      </c>
      <c r="BJ142" s="0" t="s">
        <v>141</v>
      </c>
      <c r="BK142" s="0" t="s">
        <v>130</v>
      </c>
      <c r="BL142" s="0" t="s">
        <v>130</v>
      </c>
      <c r="BM142" s="0" t="s">
        <v>130</v>
      </c>
      <c r="BN142" s="0" t="s">
        <v>130</v>
      </c>
      <c r="BO142" s="0" t="s">
        <v>130</v>
      </c>
      <c r="BP142" s="0" t="s">
        <v>130</v>
      </c>
      <c r="BQ142" s="0" t="s">
        <v>130</v>
      </c>
      <c r="BR142" s="0" t="s">
        <v>130</v>
      </c>
      <c r="BS142" s="0" t="s">
        <v>130</v>
      </c>
      <c r="BT142" s="0" t="s">
        <v>130</v>
      </c>
      <c r="BU142" s="0" t="s">
        <v>130</v>
      </c>
      <c r="BV142" s="0" t="s">
        <v>141</v>
      </c>
      <c r="BW142" s="0" t="s">
        <v>141</v>
      </c>
      <c r="BX142" s="0" t="s">
        <v>130</v>
      </c>
      <c r="BY142" s="0" t="s">
        <v>130</v>
      </c>
      <c r="BZ142" s="0" t="s">
        <v>130</v>
      </c>
      <c r="CA142" s="0" t="s">
        <v>130</v>
      </c>
      <c r="CB142" s="0" t="s">
        <v>130</v>
      </c>
      <c r="CC142" s="0" t="s">
        <v>130</v>
      </c>
      <c r="CD142" s="0" t="s">
        <v>130</v>
      </c>
      <c r="CE142" s="0" t="s">
        <v>130</v>
      </c>
      <c r="CF142" s="0" t="s">
        <v>130</v>
      </c>
      <c r="CG142" s="0" t="s">
        <v>130</v>
      </c>
      <c r="CH142" s="0" t="s">
        <v>130</v>
      </c>
      <c r="CI142" s="0" t="s">
        <v>130</v>
      </c>
      <c r="CJ142" s="0" t="s">
        <v>130</v>
      </c>
      <c r="CK142" s="0" t="s">
        <v>130</v>
      </c>
      <c r="CL142" s="0" t="s">
        <v>130</v>
      </c>
      <c r="CM142" s="0" t="s">
        <v>130</v>
      </c>
      <c r="CN142" s="0" t="s">
        <v>130</v>
      </c>
      <c r="CO142" s="0" t="s">
        <v>130</v>
      </c>
      <c r="CP142" s="0" t="s">
        <v>130</v>
      </c>
      <c r="CQ142" s="0" t="s">
        <v>130</v>
      </c>
      <c r="CR142" s="0" t="s">
        <v>130</v>
      </c>
      <c r="CS142" s="0" t="s">
        <v>130</v>
      </c>
      <c r="CT142" s="0" t="s">
        <v>676</v>
      </c>
    </row>
    <row r="143">
      <c r="A143" s="14">
        <v>100481</v>
      </c>
      <c r="B143" s="0" t="s">
        <v>673</v>
      </c>
      <c r="C143" s="16">
        <f>HYPERLINK("https://eosportal.federatedhermes.com/companies/Q29tcGFueQppNjQzNjU=", "Duke Energy Corp")</f>
      </c>
      <c r="D143" s="0" t="s">
        <v>25</v>
      </c>
      <c r="E143" s="0" t="s">
        <v>677</v>
      </c>
      <c r="F143" s="16">
        <f>HYPERLINK("https://eosportal.federatedhermes.com/engagements/RW5nYWdlbWVudAppMTg4MjE=", "Long-tenured lead independent director creating independence concerns related to")</f>
      </c>
      <c r="G143" s="14" t="s">
        <v>678</v>
      </c>
      <c r="H143" s="0" t="s">
        <v>141</v>
      </c>
      <c r="I143" s="14" t="s">
        <v>191</v>
      </c>
      <c r="J143" s="0" t="s">
        <v>145</v>
      </c>
      <c r="K143" s="0" t="s">
        <v>164</v>
      </c>
      <c r="L143" s="0" t="s">
        <v>165</v>
      </c>
      <c r="M143" s="0" t="s">
        <v>135</v>
      </c>
      <c r="N143" s="0" t="s">
        <v>136</v>
      </c>
      <c r="O143" s="0" t="s">
        <v>192</v>
      </c>
      <c r="Q143" s="0" t="s">
        <v>130</v>
      </c>
      <c r="R143" s="0" t="s">
        <v>138</v>
      </c>
      <c r="S143" s="14">
        <v>0</v>
      </c>
      <c r="T143" s="0" t="s">
        <v>355</v>
      </c>
      <c r="U143" s="0" t="s">
        <v>138</v>
      </c>
      <c r="V143" s="14" t="s">
        <v>138</v>
      </c>
      <c r="W143" s="0" t="s">
        <v>138</v>
      </c>
      <c r="X143" s="14" t="s">
        <v>138</v>
      </c>
      <c r="Y143" s="0" t="s">
        <v>138</v>
      </c>
      <c r="Z143" s="14" t="s">
        <v>138</v>
      </c>
      <c r="AA143" s="0" t="s">
        <v>138</v>
      </c>
      <c r="AB143" s="14" t="s">
        <v>138</v>
      </c>
      <c r="AD143" s="0" t="s">
        <v>138</v>
      </c>
      <c r="AF143" s="0">
        <v>0</v>
      </c>
      <c r="AG143" s="0">
        <v>0</v>
      </c>
      <c r="AH143" s="0" t="s">
        <v>140</v>
      </c>
      <c r="AI143" s="0" t="s">
        <v>138</v>
      </c>
      <c r="AL143" s="14"/>
      <c r="AN143" s="14"/>
      <c r="AQ143" s="0" t="s">
        <v>130</v>
      </c>
      <c r="AR143" s="0" t="s">
        <v>130</v>
      </c>
      <c r="AS143" s="0" t="s">
        <v>130</v>
      </c>
      <c r="AT143" s="0" t="s">
        <v>130</v>
      </c>
      <c r="AU143" s="0" t="s">
        <v>130</v>
      </c>
      <c r="AV143" s="0" t="s">
        <v>130</v>
      </c>
      <c r="AW143" s="0" t="s">
        <v>130</v>
      </c>
      <c r="AX143" s="0" t="s">
        <v>130</v>
      </c>
      <c r="AY143" s="0" t="s">
        <v>130</v>
      </c>
      <c r="AZ143" s="0" t="s">
        <v>130</v>
      </c>
      <c r="BA143" s="0" t="s">
        <v>130</v>
      </c>
      <c r="BB143" s="0" t="s">
        <v>130</v>
      </c>
      <c r="BC143" s="0" t="s">
        <v>130</v>
      </c>
      <c r="BD143" s="0" t="s">
        <v>130</v>
      </c>
      <c r="BE143" s="0" t="s">
        <v>130</v>
      </c>
      <c r="BF143" s="0" t="s">
        <v>130</v>
      </c>
      <c r="BG143" s="0" t="s">
        <v>130</v>
      </c>
      <c r="BH143" s="0" t="s">
        <v>130</v>
      </c>
      <c r="BI143" s="0" t="s">
        <v>130</v>
      </c>
      <c r="BJ143" s="0" t="s">
        <v>130</v>
      </c>
      <c r="BK143" s="0" t="s">
        <v>130</v>
      </c>
      <c r="BL143" s="0" t="s">
        <v>130</v>
      </c>
      <c r="BM143" s="0" t="s">
        <v>130</v>
      </c>
      <c r="BN143" s="0" t="s">
        <v>130</v>
      </c>
      <c r="BO143" s="0" t="s">
        <v>130</v>
      </c>
      <c r="BP143" s="0" t="s">
        <v>130</v>
      </c>
      <c r="BQ143" s="0" t="s">
        <v>130</v>
      </c>
      <c r="BR143" s="0" t="s">
        <v>130</v>
      </c>
      <c r="BS143" s="0" t="s">
        <v>130</v>
      </c>
      <c r="BT143" s="0" t="s">
        <v>130</v>
      </c>
      <c r="BU143" s="0" t="s">
        <v>130</v>
      </c>
      <c r="BV143" s="0" t="s">
        <v>130</v>
      </c>
      <c r="BW143" s="0" t="s">
        <v>130</v>
      </c>
      <c r="BX143" s="0" t="s">
        <v>130</v>
      </c>
      <c r="BY143" s="0" t="s">
        <v>130</v>
      </c>
      <c r="BZ143" s="0" t="s">
        <v>130</v>
      </c>
      <c r="CA143" s="0" t="s">
        <v>130</v>
      </c>
      <c r="CB143" s="0" t="s">
        <v>130</v>
      </c>
      <c r="CC143" s="0" t="s">
        <v>130</v>
      </c>
      <c r="CD143" s="0" t="s">
        <v>130</v>
      </c>
      <c r="CE143" s="0" t="s">
        <v>130</v>
      </c>
      <c r="CF143" s="0" t="s">
        <v>130</v>
      </c>
      <c r="CG143" s="0" t="s">
        <v>130</v>
      </c>
      <c r="CH143" s="0" t="s">
        <v>130</v>
      </c>
      <c r="CI143" s="0" t="s">
        <v>130</v>
      </c>
      <c r="CJ143" s="0" t="s">
        <v>130</v>
      </c>
      <c r="CK143" s="0" t="s">
        <v>130</v>
      </c>
      <c r="CL143" s="0" t="s">
        <v>130</v>
      </c>
      <c r="CM143" s="0" t="s">
        <v>130</v>
      </c>
      <c r="CN143" s="0" t="s">
        <v>130</v>
      </c>
      <c r="CO143" s="0" t="s">
        <v>130</v>
      </c>
      <c r="CP143" s="0" t="s">
        <v>130</v>
      </c>
      <c r="CQ143" s="0" t="s">
        <v>130</v>
      </c>
      <c r="CR143" s="0" t="s">
        <v>130</v>
      </c>
      <c r="CS143" s="0" t="s">
        <v>130</v>
      </c>
      <c r="CT143" s="0" t="s">
        <v>679</v>
      </c>
    </row>
    <row r="144">
      <c r="A144" s="14">
        <v>100481</v>
      </c>
      <c r="B144" s="0" t="s">
        <v>673</v>
      </c>
      <c r="C144" s="16">
        <f>HYPERLINK("https://eosportal.federatedhermes.com/companies/Q29tcGFueQppNjQzNjU=", "Duke Energy Corp")</f>
      </c>
      <c r="D144" s="0" t="s">
        <v>23</v>
      </c>
      <c r="E144" s="0" t="s">
        <v>680</v>
      </c>
      <c r="F144" s="16">
        <f>HYPERLINK("https://eosportal.federatedhermes.com/engagements/RW5nYWdlbWVudAppMTg4MjI=", "Improved climate-related financial disclosures, including physical risk strategy")</f>
      </c>
      <c r="G144" s="14" t="s">
        <v>681</v>
      </c>
      <c r="H144" s="0" t="s">
        <v>141</v>
      </c>
      <c r="I144" s="14" t="s">
        <v>191</v>
      </c>
      <c r="J144" s="0" t="s">
        <v>197</v>
      </c>
      <c r="K144" s="0" t="s">
        <v>198</v>
      </c>
      <c r="L144" s="0" t="s">
        <v>682</v>
      </c>
      <c r="M144" s="0" t="s">
        <v>135</v>
      </c>
      <c r="N144" s="0" t="s">
        <v>136</v>
      </c>
      <c r="O144" s="0" t="s">
        <v>192</v>
      </c>
      <c r="Q144" s="0" t="s">
        <v>130</v>
      </c>
      <c r="R144" s="0" t="s">
        <v>130</v>
      </c>
      <c r="S144" s="14">
        <v>0</v>
      </c>
      <c r="T144" s="0" t="s">
        <v>206</v>
      </c>
      <c r="U144" s="0" t="s">
        <v>221</v>
      </c>
      <c r="V144" s="14" t="s">
        <v>206</v>
      </c>
      <c r="W144" s="0" t="s">
        <v>221</v>
      </c>
      <c r="X144" s="14" t="s">
        <v>206</v>
      </c>
      <c r="Y144" s="0" t="s">
        <v>223</v>
      </c>
      <c r="Z144" s="14" t="s">
        <v>138</v>
      </c>
      <c r="AA144" s="0" t="s">
        <v>224</v>
      </c>
      <c r="AB144" s="14" t="s">
        <v>138</v>
      </c>
      <c r="AD144" s="0" t="s">
        <v>17</v>
      </c>
      <c r="AF144" s="0">
        <v>0</v>
      </c>
      <c r="AG144" s="0">
        <v>0</v>
      </c>
      <c r="AH144" s="0" t="s">
        <v>140</v>
      </c>
      <c r="AI144" s="0" t="s">
        <v>225</v>
      </c>
      <c r="AL144" s="14"/>
      <c r="AN144" s="14"/>
      <c r="AQ144" s="0" t="s">
        <v>130</v>
      </c>
      <c r="AR144" s="0" t="s">
        <v>130</v>
      </c>
      <c r="AS144" s="0" t="s">
        <v>130</v>
      </c>
      <c r="AT144" s="0" t="s">
        <v>130</v>
      </c>
      <c r="AU144" s="0" t="s">
        <v>130</v>
      </c>
      <c r="AV144" s="0" t="s">
        <v>130</v>
      </c>
      <c r="AW144" s="0" t="s">
        <v>130</v>
      </c>
      <c r="AX144" s="0" t="s">
        <v>130</v>
      </c>
      <c r="AY144" s="0" t="s">
        <v>130</v>
      </c>
      <c r="AZ144" s="0" t="s">
        <v>130</v>
      </c>
      <c r="BA144" s="0" t="s">
        <v>130</v>
      </c>
      <c r="BB144" s="0" t="s">
        <v>130</v>
      </c>
      <c r="BC144" s="0" t="s">
        <v>141</v>
      </c>
      <c r="BD144" s="0" t="s">
        <v>130</v>
      </c>
      <c r="BE144" s="0" t="s">
        <v>130</v>
      </c>
      <c r="BF144" s="0" t="s">
        <v>130</v>
      </c>
      <c r="BG144" s="0" t="s">
        <v>130</v>
      </c>
      <c r="BH144" s="0" t="s">
        <v>130</v>
      </c>
      <c r="BI144" s="0" t="s">
        <v>130</v>
      </c>
      <c r="BJ144" s="0" t="s">
        <v>130</v>
      </c>
      <c r="BK144" s="0" t="s">
        <v>130</v>
      </c>
      <c r="BL144" s="0" t="s">
        <v>130</v>
      </c>
      <c r="BM144" s="0" t="s">
        <v>130</v>
      </c>
      <c r="BN144" s="0" t="s">
        <v>130</v>
      </c>
      <c r="BO144" s="0" t="s">
        <v>130</v>
      </c>
      <c r="BP144" s="0" t="s">
        <v>130</v>
      </c>
      <c r="BQ144" s="0" t="s">
        <v>130</v>
      </c>
      <c r="BR144" s="0" t="s">
        <v>130</v>
      </c>
      <c r="BS144" s="0" t="s">
        <v>130</v>
      </c>
      <c r="BT144" s="0" t="s">
        <v>130</v>
      </c>
      <c r="BU144" s="0" t="s">
        <v>130</v>
      </c>
      <c r="BV144" s="0" t="s">
        <v>130</v>
      </c>
      <c r="BW144" s="0" t="s">
        <v>130</v>
      </c>
      <c r="BX144" s="0" t="s">
        <v>130</v>
      </c>
      <c r="BY144" s="0" t="s">
        <v>130</v>
      </c>
      <c r="BZ144" s="0" t="s">
        <v>130</v>
      </c>
      <c r="CA144" s="0" t="s">
        <v>130</v>
      </c>
      <c r="CB144" s="0" t="s">
        <v>130</v>
      </c>
      <c r="CC144" s="0" t="s">
        <v>130</v>
      </c>
      <c r="CD144" s="0" t="s">
        <v>130</v>
      </c>
      <c r="CE144" s="0" t="s">
        <v>130</v>
      </c>
      <c r="CF144" s="0" t="s">
        <v>130</v>
      </c>
      <c r="CG144" s="0" t="s">
        <v>130</v>
      </c>
      <c r="CH144" s="0" t="s">
        <v>130</v>
      </c>
      <c r="CI144" s="0" t="s">
        <v>130</v>
      </c>
      <c r="CJ144" s="0" t="s">
        <v>130</v>
      </c>
      <c r="CK144" s="0" t="s">
        <v>130</v>
      </c>
      <c r="CL144" s="0" t="s">
        <v>130</v>
      </c>
      <c r="CM144" s="0" t="s">
        <v>130</v>
      </c>
      <c r="CN144" s="0" t="s">
        <v>130</v>
      </c>
      <c r="CO144" s="0" t="s">
        <v>130</v>
      </c>
      <c r="CP144" s="0" t="s">
        <v>130</v>
      </c>
      <c r="CQ144" s="0" t="s">
        <v>130</v>
      </c>
      <c r="CR144" s="0" t="s">
        <v>130</v>
      </c>
      <c r="CS144" s="0" t="s">
        <v>130</v>
      </c>
      <c r="CT144" s="0" t="s">
        <v>683</v>
      </c>
    </row>
    <row r="145">
      <c r="A145" s="14">
        <v>100481</v>
      </c>
      <c r="B145" s="0" t="s">
        <v>673</v>
      </c>
      <c r="C145" s="16">
        <f>HYPERLINK("https://eosportal.federatedhermes.com/companies/Q29tcGFueQppNjQzNjU=", "Duke Energy Corp")</f>
      </c>
      <c r="D145" s="0" t="s">
        <v>23</v>
      </c>
      <c r="E145" s="0" t="s">
        <v>684</v>
      </c>
      <c r="F145" s="16">
        <f>HYPERLINK("https://eosportal.federatedhermes.com/engagements/RW5nYWdlbWVudAppMTg4MjM=", "Just transition for employees and the community")</f>
      </c>
      <c r="G145" s="14" t="s">
        <v>685</v>
      </c>
      <c r="H145" s="0" t="s">
        <v>141</v>
      </c>
      <c r="I145" s="14" t="s">
        <v>191</v>
      </c>
      <c r="J145" s="0" t="s">
        <v>197</v>
      </c>
      <c r="K145" s="0" t="s">
        <v>198</v>
      </c>
      <c r="L145" s="0" t="s">
        <v>199</v>
      </c>
      <c r="M145" s="0" t="s">
        <v>135</v>
      </c>
      <c r="N145" s="0" t="s">
        <v>136</v>
      </c>
      <c r="O145" s="0" t="s">
        <v>192</v>
      </c>
      <c r="Q145" s="0" t="s">
        <v>141</v>
      </c>
      <c r="R145" s="0" t="s">
        <v>130</v>
      </c>
      <c r="S145" s="14">
        <v>1</v>
      </c>
      <c r="T145" s="0" t="s">
        <v>139</v>
      </c>
      <c r="U145" s="0" t="s">
        <v>221</v>
      </c>
      <c r="V145" s="14" t="s">
        <v>139</v>
      </c>
      <c r="W145" s="0" t="s">
        <v>221</v>
      </c>
      <c r="X145" s="14" t="s">
        <v>139</v>
      </c>
      <c r="Y145" s="0" t="s">
        <v>221</v>
      </c>
      <c r="Z145" s="14" t="s">
        <v>230</v>
      </c>
      <c r="AA145" s="0" t="s">
        <v>223</v>
      </c>
      <c r="AB145" s="14" t="s">
        <v>138</v>
      </c>
      <c r="AD145" s="0" t="s">
        <v>20</v>
      </c>
      <c r="AF145" s="0">
        <v>0</v>
      </c>
      <c r="AG145" s="0">
        <v>0</v>
      </c>
      <c r="AH145" s="0" t="s">
        <v>140</v>
      </c>
      <c r="AI145" s="0" t="s">
        <v>232</v>
      </c>
      <c r="AK145" s="0" t="s">
        <v>675</v>
      </c>
      <c r="AL145" s="14"/>
      <c r="AN145" s="14"/>
      <c r="AQ145" s="0" t="s">
        <v>130</v>
      </c>
      <c r="AR145" s="0" t="s">
        <v>130</v>
      </c>
      <c r="AS145" s="0" t="s">
        <v>130</v>
      </c>
      <c r="AT145" s="0" t="s">
        <v>130</v>
      </c>
      <c r="AU145" s="0" t="s">
        <v>130</v>
      </c>
      <c r="AV145" s="0" t="s">
        <v>130</v>
      </c>
      <c r="AW145" s="0" t="s">
        <v>130</v>
      </c>
      <c r="AX145" s="0" t="s">
        <v>130</v>
      </c>
      <c r="AY145" s="0" t="s">
        <v>130</v>
      </c>
      <c r="AZ145" s="0" t="s">
        <v>130</v>
      </c>
      <c r="BA145" s="0" t="s">
        <v>130</v>
      </c>
      <c r="BB145" s="0" t="s">
        <v>141</v>
      </c>
      <c r="BC145" s="0" t="s">
        <v>130</v>
      </c>
      <c r="BD145" s="0" t="s">
        <v>130</v>
      </c>
      <c r="BE145" s="0" t="s">
        <v>130</v>
      </c>
      <c r="BF145" s="0" t="s">
        <v>130</v>
      </c>
      <c r="BG145" s="0" t="s">
        <v>130</v>
      </c>
      <c r="BH145" s="0" t="s">
        <v>130</v>
      </c>
      <c r="BI145" s="0" t="s">
        <v>130</v>
      </c>
      <c r="BJ145" s="0" t="s">
        <v>130</v>
      </c>
      <c r="BK145" s="0" t="s">
        <v>130</v>
      </c>
      <c r="BL145" s="0" t="s">
        <v>130</v>
      </c>
      <c r="BM145" s="0" t="s">
        <v>130</v>
      </c>
      <c r="BN145" s="0" t="s">
        <v>130</v>
      </c>
      <c r="BO145" s="0" t="s">
        <v>130</v>
      </c>
      <c r="BP145" s="0" t="s">
        <v>130</v>
      </c>
      <c r="BQ145" s="0" t="s">
        <v>130</v>
      </c>
      <c r="BR145" s="0" t="s">
        <v>130</v>
      </c>
      <c r="BS145" s="0" t="s">
        <v>130</v>
      </c>
      <c r="BT145" s="0" t="s">
        <v>130</v>
      </c>
      <c r="BU145" s="0" t="s">
        <v>130</v>
      </c>
      <c r="BV145" s="0" t="s">
        <v>130</v>
      </c>
      <c r="BW145" s="0" t="s">
        <v>130</v>
      </c>
      <c r="BX145" s="0" t="s">
        <v>130</v>
      </c>
      <c r="BY145" s="0" t="s">
        <v>130</v>
      </c>
      <c r="BZ145" s="0" t="s">
        <v>130</v>
      </c>
      <c r="CA145" s="0" t="s">
        <v>130</v>
      </c>
      <c r="CB145" s="0" t="s">
        <v>130</v>
      </c>
      <c r="CC145" s="0" t="s">
        <v>130</v>
      </c>
      <c r="CD145" s="0" t="s">
        <v>130</v>
      </c>
      <c r="CE145" s="0" t="s">
        <v>130</v>
      </c>
      <c r="CF145" s="0" t="s">
        <v>130</v>
      </c>
      <c r="CG145" s="0" t="s">
        <v>130</v>
      </c>
      <c r="CH145" s="0" t="s">
        <v>130</v>
      </c>
      <c r="CI145" s="0" t="s">
        <v>130</v>
      </c>
      <c r="CJ145" s="0" t="s">
        <v>130</v>
      </c>
      <c r="CK145" s="0" t="s">
        <v>130</v>
      </c>
      <c r="CL145" s="0" t="s">
        <v>130</v>
      </c>
      <c r="CM145" s="0" t="s">
        <v>130</v>
      </c>
      <c r="CN145" s="0" t="s">
        <v>130</v>
      </c>
      <c r="CO145" s="0" t="s">
        <v>130</v>
      </c>
      <c r="CP145" s="0" t="s">
        <v>130</v>
      </c>
      <c r="CQ145" s="0" t="s">
        <v>130</v>
      </c>
      <c r="CR145" s="0" t="s">
        <v>130</v>
      </c>
      <c r="CS145" s="0" t="s">
        <v>130</v>
      </c>
      <c r="CT145" s="0" t="s">
        <v>686</v>
      </c>
    </row>
    <row r="146">
      <c r="A146" s="14">
        <v>100481</v>
      </c>
      <c r="B146" s="0" t="s">
        <v>673</v>
      </c>
      <c r="C146" s="16">
        <f>HYPERLINK("https://eosportal.federatedhermes.com/companies/Q29tcGFueQppNjQzNjU=", "Duke Energy Corp")</f>
      </c>
      <c r="D146" s="0" t="s">
        <v>25</v>
      </c>
      <c r="E146" s="0" t="s">
        <v>330</v>
      </c>
      <c r="F146" s="16">
        <f>HYPERLINK("https://eosportal.federatedhermes.com/engagements/RW5nYWdlbWVudAppMTg4MzM=", "Science-based Target Setting")</f>
      </c>
      <c r="G146" s="14" t="s">
        <v>687</v>
      </c>
      <c r="H146" s="0" t="s">
        <v>141</v>
      </c>
      <c r="I146" s="14" t="s">
        <v>191</v>
      </c>
      <c r="J146" s="0" t="s">
        <v>197</v>
      </c>
      <c r="K146" s="0" t="s">
        <v>198</v>
      </c>
      <c r="L146" s="0" t="s">
        <v>216</v>
      </c>
      <c r="M146" s="0" t="s">
        <v>135</v>
      </c>
      <c r="N146" s="0" t="s">
        <v>136</v>
      </c>
      <c r="O146" s="0" t="s">
        <v>192</v>
      </c>
      <c r="Q146" s="0" t="s">
        <v>130</v>
      </c>
      <c r="R146" s="0" t="s">
        <v>138</v>
      </c>
      <c r="S146" s="14">
        <v>0</v>
      </c>
      <c r="T146" s="0" t="s">
        <v>288</v>
      </c>
      <c r="U146" s="0" t="s">
        <v>138</v>
      </c>
      <c r="V146" s="14" t="s">
        <v>138</v>
      </c>
      <c r="W146" s="0" t="s">
        <v>138</v>
      </c>
      <c r="X146" s="14" t="s">
        <v>138</v>
      </c>
      <c r="Y146" s="0" t="s">
        <v>138</v>
      </c>
      <c r="Z146" s="14" t="s">
        <v>138</v>
      </c>
      <c r="AA146" s="0" t="s">
        <v>138</v>
      </c>
      <c r="AB146" s="14" t="s">
        <v>138</v>
      </c>
      <c r="AD146" s="0" t="s">
        <v>138</v>
      </c>
      <c r="AF146" s="0">
        <v>0</v>
      </c>
      <c r="AG146" s="0">
        <v>0</v>
      </c>
      <c r="AH146" s="0" t="s">
        <v>140</v>
      </c>
      <c r="AI146" s="0" t="s">
        <v>138</v>
      </c>
      <c r="AL146" s="14"/>
      <c r="AN146" s="14"/>
      <c r="AQ146" s="0" t="s">
        <v>130</v>
      </c>
      <c r="AR146" s="0" t="s">
        <v>130</v>
      </c>
      <c r="AS146" s="0" t="s">
        <v>130</v>
      </c>
      <c r="AT146" s="0" t="s">
        <v>130</v>
      </c>
      <c r="AU146" s="0" t="s">
        <v>130</v>
      </c>
      <c r="AV146" s="0" t="s">
        <v>130</v>
      </c>
      <c r="AW146" s="0" t="s">
        <v>141</v>
      </c>
      <c r="AX146" s="0" t="s">
        <v>130</v>
      </c>
      <c r="AY146" s="0" t="s">
        <v>130</v>
      </c>
      <c r="AZ146" s="0" t="s">
        <v>130</v>
      </c>
      <c r="BA146" s="0" t="s">
        <v>130</v>
      </c>
      <c r="BB146" s="0" t="s">
        <v>130</v>
      </c>
      <c r="BC146" s="0" t="s">
        <v>141</v>
      </c>
      <c r="BD146" s="0" t="s">
        <v>130</v>
      </c>
      <c r="BE146" s="0" t="s">
        <v>130</v>
      </c>
      <c r="BF146" s="0" t="s">
        <v>130</v>
      </c>
      <c r="BG146" s="0" t="s">
        <v>130</v>
      </c>
      <c r="BH146" s="0" t="s">
        <v>141</v>
      </c>
      <c r="BI146" s="0" t="s">
        <v>141</v>
      </c>
      <c r="BJ146" s="0" t="s">
        <v>141</v>
      </c>
      <c r="BK146" s="0" t="s">
        <v>130</v>
      </c>
      <c r="BL146" s="0" t="s">
        <v>130</v>
      </c>
      <c r="BM146" s="0" t="s">
        <v>130</v>
      </c>
      <c r="BN146" s="0" t="s">
        <v>130</v>
      </c>
      <c r="BO146" s="0" t="s">
        <v>130</v>
      </c>
      <c r="BP146" s="0" t="s">
        <v>130</v>
      </c>
      <c r="BQ146" s="0" t="s">
        <v>130</v>
      </c>
      <c r="BR146" s="0" t="s">
        <v>130</v>
      </c>
      <c r="BS146" s="0" t="s">
        <v>130</v>
      </c>
      <c r="BT146" s="0" t="s">
        <v>130</v>
      </c>
      <c r="BU146" s="0" t="s">
        <v>130</v>
      </c>
      <c r="BV146" s="0" t="s">
        <v>141</v>
      </c>
      <c r="BW146" s="0" t="s">
        <v>141</v>
      </c>
      <c r="BX146" s="0" t="s">
        <v>130</v>
      </c>
      <c r="BY146" s="0" t="s">
        <v>130</v>
      </c>
      <c r="BZ146" s="0" t="s">
        <v>130</v>
      </c>
      <c r="CA146" s="0" t="s">
        <v>130</v>
      </c>
      <c r="CB146" s="0" t="s">
        <v>130</v>
      </c>
      <c r="CC146" s="0" t="s">
        <v>130</v>
      </c>
      <c r="CD146" s="0" t="s">
        <v>130</v>
      </c>
      <c r="CE146" s="0" t="s">
        <v>130</v>
      </c>
      <c r="CF146" s="0" t="s">
        <v>130</v>
      </c>
      <c r="CG146" s="0" t="s">
        <v>130</v>
      </c>
      <c r="CH146" s="0" t="s">
        <v>130</v>
      </c>
      <c r="CI146" s="0" t="s">
        <v>130</v>
      </c>
      <c r="CJ146" s="0" t="s">
        <v>130</v>
      </c>
      <c r="CK146" s="0" t="s">
        <v>130</v>
      </c>
      <c r="CL146" s="0" t="s">
        <v>130</v>
      </c>
      <c r="CM146" s="0" t="s">
        <v>130</v>
      </c>
      <c r="CN146" s="0" t="s">
        <v>130</v>
      </c>
      <c r="CO146" s="0" t="s">
        <v>130</v>
      </c>
      <c r="CP146" s="0" t="s">
        <v>130</v>
      </c>
      <c r="CQ146" s="0" t="s">
        <v>130</v>
      </c>
      <c r="CR146" s="0" t="s">
        <v>130</v>
      </c>
      <c r="CS146" s="0" t="s">
        <v>130</v>
      </c>
      <c r="CT146" s="0" t="s">
        <v>688</v>
      </c>
    </row>
    <row r="147">
      <c r="A147" s="14">
        <v>100481</v>
      </c>
      <c r="B147" s="0" t="s">
        <v>673</v>
      </c>
      <c r="C147" s="16">
        <f>HYPERLINK("https://eosportal.federatedhermes.com/companies/Q29tcGFueQppNjQzNjU=", "Duke Energy Corp")</f>
      </c>
      <c r="D147" s="0" t="s">
        <v>25</v>
      </c>
      <c r="E147" s="0" t="s">
        <v>689</v>
      </c>
      <c r="F147" s="16">
        <f>HYPERLINK("https://eosportal.federatedhermes.com/engagements/RW5nYWdlbWVudAppMTg4MzQ=", "Board refreshment for achieving net zero strategy")</f>
      </c>
      <c r="G147" s="14" t="s">
        <v>690</v>
      </c>
      <c r="H147" s="0" t="s">
        <v>141</v>
      </c>
      <c r="I147" s="14" t="s">
        <v>191</v>
      </c>
      <c r="J147" s="0" t="s">
        <v>145</v>
      </c>
      <c r="K147" s="0" t="s">
        <v>164</v>
      </c>
      <c r="L147" s="0" t="s">
        <v>165</v>
      </c>
      <c r="M147" s="0" t="s">
        <v>135</v>
      </c>
      <c r="N147" s="0" t="s">
        <v>136</v>
      </c>
      <c r="O147" s="0" t="s">
        <v>192</v>
      </c>
      <c r="Q147" s="0" t="s">
        <v>130</v>
      </c>
      <c r="R147" s="0" t="s">
        <v>138</v>
      </c>
      <c r="S147" s="14">
        <v>0</v>
      </c>
      <c r="T147" s="0" t="s">
        <v>148</v>
      </c>
      <c r="U147" s="0" t="s">
        <v>138</v>
      </c>
      <c r="V147" s="14" t="s">
        <v>138</v>
      </c>
      <c r="W147" s="0" t="s">
        <v>138</v>
      </c>
      <c r="X147" s="14" t="s">
        <v>138</v>
      </c>
      <c r="Y147" s="0" t="s">
        <v>138</v>
      </c>
      <c r="Z147" s="14" t="s">
        <v>138</v>
      </c>
      <c r="AA147" s="0" t="s">
        <v>138</v>
      </c>
      <c r="AB147" s="14" t="s">
        <v>138</v>
      </c>
      <c r="AD147" s="0" t="s">
        <v>138</v>
      </c>
      <c r="AF147" s="0">
        <v>0</v>
      </c>
      <c r="AG147" s="0">
        <v>0</v>
      </c>
      <c r="AH147" s="0" t="s">
        <v>140</v>
      </c>
      <c r="AI147" s="0" t="s">
        <v>138</v>
      </c>
      <c r="AL147" s="14"/>
      <c r="AN147" s="14"/>
      <c r="AQ147" s="0" t="s">
        <v>130</v>
      </c>
      <c r="AR147" s="0" t="s">
        <v>130</v>
      </c>
      <c r="AS147" s="0" t="s">
        <v>130</v>
      </c>
      <c r="AT147" s="0" t="s">
        <v>130</v>
      </c>
      <c r="AU147" s="0" t="s">
        <v>130</v>
      </c>
      <c r="AV147" s="0" t="s">
        <v>130</v>
      </c>
      <c r="AW147" s="0" t="s">
        <v>130</v>
      </c>
      <c r="AX147" s="0" t="s">
        <v>130</v>
      </c>
      <c r="AY147" s="0" t="s">
        <v>130</v>
      </c>
      <c r="AZ147" s="0" t="s">
        <v>130</v>
      </c>
      <c r="BA147" s="0" t="s">
        <v>130</v>
      </c>
      <c r="BB147" s="0" t="s">
        <v>130</v>
      </c>
      <c r="BC147" s="0" t="s">
        <v>130</v>
      </c>
      <c r="BD147" s="0" t="s">
        <v>130</v>
      </c>
      <c r="BE147" s="0" t="s">
        <v>130</v>
      </c>
      <c r="BF147" s="0" t="s">
        <v>130</v>
      </c>
      <c r="BG147" s="0" t="s">
        <v>130</v>
      </c>
      <c r="BH147" s="0" t="s">
        <v>130</v>
      </c>
      <c r="BI147" s="0" t="s">
        <v>130</v>
      </c>
      <c r="BJ147" s="0" t="s">
        <v>130</v>
      </c>
      <c r="BK147" s="0" t="s">
        <v>130</v>
      </c>
      <c r="BL147" s="0" t="s">
        <v>130</v>
      </c>
      <c r="BM147" s="0" t="s">
        <v>130</v>
      </c>
      <c r="BN147" s="0" t="s">
        <v>130</v>
      </c>
      <c r="BO147" s="0" t="s">
        <v>130</v>
      </c>
      <c r="BP147" s="0" t="s">
        <v>130</v>
      </c>
      <c r="BQ147" s="0" t="s">
        <v>130</v>
      </c>
      <c r="BR147" s="0" t="s">
        <v>130</v>
      </c>
      <c r="BS147" s="0" t="s">
        <v>130</v>
      </c>
      <c r="BT147" s="0" t="s">
        <v>130</v>
      </c>
      <c r="BU147" s="0" t="s">
        <v>130</v>
      </c>
      <c r="BV147" s="0" t="s">
        <v>130</v>
      </c>
      <c r="BW147" s="0" t="s">
        <v>130</v>
      </c>
      <c r="BX147" s="0" t="s">
        <v>130</v>
      </c>
      <c r="BY147" s="0" t="s">
        <v>130</v>
      </c>
      <c r="BZ147" s="0" t="s">
        <v>130</v>
      </c>
      <c r="CA147" s="0" t="s">
        <v>130</v>
      </c>
      <c r="CB147" s="0" t="s">
        <v>130</v>
      </c>
      <c r="CC147" s="0" t="s">
        <v>130</v>
      </c>
      <c r="CD147" s="0" t="s">
        <v>130</v>
      </c>
      <c r="CE147" s="0" t="s">
        <v>130</v>
      </c>
      <c r="CF147" s="0" t="s">
        <v>130</v>
      </c>
      <c r="CG147" s="0" t="s">
        <v>130</v>
      </c>
      <c r="CH147" s="0" t="s">
        <v>130</v>
      </c>
      <c r="CI147" s="0" t="s">
        <v>130</v>
      </c>
      <c r="CJ147" s="0" t="s">
        <v>130</v>
      </c>
      <c r="CK147" s="0" t="s">
        <v>130</v>
      </c>
      <c r="CL147" s="0" t="s">
        <v>130</v>
      </c>
      <c r="CM147" s="0" t="s">
        <v>130</v>
      </c>
      <c r="CN147" s="0" t="s">
        <v>130</v>
      </c>
      <c r="CO147" s="0" t="s">
        <v>130</v>
      </c>
      <c r="CP147" s="0" t="s">
        <v>130</v>
      </c>
      <c r="CQ147" s="0" t="s">
        <v>130</v>
      </c>
      <c r="CR147" s="0" t="s">
        <v>130</v>
      </c>
      <c r="CS147" s="0" t="s">
        <v>130</v>
      </c>
      <c r="CT147" s="0" t="s">
        <v>691</v>
      </c>
    </row>
    <row r="148">
      <c r="A148" s="14">
        <v>100481</v>
      </c>
      <c r="B148" s="0" t="s">
        <v>673</v>
      </c>
      <c r="C148" s="16">
        <f>HYPERLINK("https://eosportal.federatedhermes.com/companies/Q29tcGFueQppNjQzNjU=", "Duke Energy Corp")</f>
      </c>
      <c r="D148" s="0" t="s">
        <v>25</v>
      </c>
      <c r="E148" s="0" t="s">
        <v>692</v>
      </c>
      <c r="F148" s="16">
        <f>HYPERLINK("https://eosportal.federatedhermes.com/engagements/RW5nYWdlbWVudAppMTg4MzU=", "Climate-Related Physical Risk Management &amp; Disclosure")</f>
      </c>
      <c r="G148" s="14" t="s">
        <v>693</v>
      </c>
      <c r="H148" s="0" t="s">
        <v>141</v>
      </c>
      <c r="I148" s="14" t="s">
        <v>191</v>
      </c>
      <c r="J148" s="0" t="s">
        <v>197</v>
      </c>
      <c r="K148" s="0" t="s">
        <v>198</v>
      </c>
      <c r="L148" s="0" t="s">
        <v>682</v>
      </c>
      <c r="M148" s="0" t="s">
        <v>135</v>
      </c>
      <c r="N148" s="0" t="s">
        <v>136</v>
      </c>
      <c r="O148" s="0" t="s">
        <v>192</v>
      </c>
      <c r="Q148" s="0" t="s">
        <v>130</v>
      </c>
      <c r="R148" s="0" t="s">
        <v>138</v>
      </c>
      <c r="S148" s="14">
        <v>0</v>
      </c>
      <c r="T148" s="0" t="s">
        <v>288</v>
      </c>
      <c r="U148" s="0" t="s">
        <v>138</v>
      </c>
      <c r="V148" s="14" t="s">
        <v>138</v>
      </c>
      <c r="W148" s="0" t="s">
        <v>138</v>
      </c>
      <c r="X148" s="14" t="s">
        <v>138</v>
      </c>
      <c r="Y148" s="0" t="s">
        <v>138</v>
      </c>
      <c r="Z148" s="14" t="s">
        <v>138</v>
      </c>
      <c r="AA148" s="0" t="s">
        <v>138</v>
      </c>
      <c r="AB148" s="14" t="s">
        <v>138</v>
      </c>
      <c r="AD148" s="0" t="s">
        <v>138</v>
      </c>
      <c r="AF148" s="0">
        <v>0</v>
      </c>
      <c r="AG148" s="0">
        <v>0</v>
      </c>
      <c r="AH148" s="0" t="s">
        <v>140</v>
      </c>
      <c r="AI148" s="0" t="s">
        <v>138</v>
      </c>
      <c r="AL148" s="14"/>
      <c r="AN148" s="14"/>
      <c r="AQ148" s="0" t="s">
        <v>130</v>
      </c>
      <c r="AR148" s="0" t="s">
        <v>130</v>
      </c>
      <c r="AS148" s="0" t="s">
        <v>130</v>
      </c>
      <c r="AT148" s="0" t="s">
        <v>130</v>
      </c>
      <c r="AU148" s="0" t="s">
        <v>130</v>
      </c>
      <c r="AV148" s="0" t="s">
        <v>130</v>
      </c>
      <c r="AW148" s="0" t="s">
        <v>130</v>
      </c>
      <c r="AX148" s="0" t="s">
        <v>130</v>
      </c>
      <c r="AY148" s="0" t="s">
        <v>130</v>
      </c>
      <c r="AZ148" s="0" t="s">
        <v>130</v>
      </c>
      <c r="BA148" s="0" t="s">
        <v>130</v>
      </c>
      <c r="BB148" s="0" t="s">
        <v>130</v>
      </c>
      <c r="BC148" s="0" t="s">
        <v>141</v>
      </c>
      <c r="BD148" s="0" t="s">
        <v>130</v>
      </c>
      <c r="BE148" s="0" t="s">
        <v>130</v>
      </c>
      <c r="BF148" s="0" t="s">
        <v>130</v>
      </c>
      <c r="BG148" s="0" t="s">
        <v>130</v>
      </c>
      <c r="BH148" s="0" t="s">
        <v>130</v>
      </c>
      <c r="BI148" s="0" t="s">
        <v>130</v>
      </c>
      <c r="BJ148" s="0" t="s">
        <v>130</v>
      </c>
      <c r="BK148" s="0" t="s">
        <v>130</v>
      </c>
      <c r="BL148" s="0" t="s">
        <v>130</v>
      </c>
      <c r="BM148" s="0" t="s">
        <v>130</v>
      </c>
      <c r="BN148" s="0" t="s">
        <v>130</v>
      </c>
      <c r="BO148" s="0" t="s">
        <v>130</v>
      </c>
      <c r="BP148" s="0" t="s">
        <v>130</v>
      </c>
      <c r="BQ148" s="0" t="s">
        <v>130</v>
      </c>
      <c r="BR148" s="0" t="s">
        <v>130</v>
      </c>
      <c r="BS148" s="0" t="s">
        <v>130</v>
      </c>
      <c r="BT148" s="0" t="s">
        <v>130</v>
      </c>
      <c r="BU148" s="0" t="s">
        <v>130</v>
      </c>
      <c r="BV148" s="0" t="s">
        <v>130</v>
      </c>
      <c r="BW148" s="0" t="s">
        <v>130</v>
      </c>
      <c r="BX148" s="0" t="s">
        <v>130</v>
      </c>
      <c r="BY148" s="0" t="s">
        <v>130</v>
      </c>
      <c r="BZ148" s="0" t="s">
        <v>130</v>
      </c>
      <c r="CA148" s="0" t="s">
        <v>130</v>
      </c>
      <c r="CB148" s="0" t="s">
        <v>130</v>
      </c>
      <c r="CC148" s="0" t="s">
        <v>130</v>
      </c>
      <c r="CD148" s="0" t="s">
        <v>130</v>
      </c>
      <c r="CE148" s="0" t="s">
        <v>130</v>
      </c>
      <c r="CF148" s="0" t="s">
        <v>130</v>
      </c>
      <c r="CG148" s="0" t="s">
        <v>130</v>
      </c>
      <c r="CH148" s="0" t="s">
        <v>130</v>
      </c>
      <c r="CI148" s="0" t="s">
        <v>130</v>
      </c>
      <c r="CJ148" s="0" t="s">
        <v>130</v>
      </c>
      <c r="CK148" s="0" t="s">
        <v>130</v>
      </c>
      <c r="CL148" s="0" t="s">
        <v>130</v>
      </c>
      <c r="CM148" s="0" t="s">
        <v>130</v>
      </c>
      <c r="CN148" s="0" t="s">
        <v>130</v>
      </c>
      <c r="CO148" s="0" t="s">
        <v>130</v>
      </c>
      <c r="CP148" s="0" t="s">
        <v>130</v>
      </c>
      <c r="CQ148" s="0" t="s">
        <v>130</v>
      </c>
      <c r="CR148" s="0" t="s">
        <v>130</v>
      </c>
      <c r="CS148" s="0" t="s">
        <v>130</v>
      </c>
      <c r="CT148" s="0" t="s">
        <v>694</v>
      </c>
    </row>
    <row r="149">
      <c r="A149" s="14">
        <v>100481</v>
      </c>
      <c r="B149" s="0" t="s">
        <v>673</v>
      </c>
      <c r="C149" s="16">
        <f>HYPERLINK("https://eosportal.federatedhermes.com/companies/Q29tcGFueQppNjQzNjU=", "Duke Energy Corp")</f>
      </c>
      <c r="D149" s="0" t="s">
        <v>25</v>
      </c>
      <c r="E149" s="0" t="s">
        <v>695</v>
      </c>
      <c r="F149" s="16">
        <f>HYPERLINK("https://eosportal.federatedhermes.com/engagements/RW5nYWdlbWVudAppMTg4Mzk=", "Atlantic Coast Pipeline Risks")</f>
      </c>
      <c r="G149" s="14" t="s">
        <v>696</v>
      </c>
      <c r="H149" s="0" t="s">
        <v>141</v>
      </c>
      <c r="I149" s="14" t="s">
        <v>191</v>
      </c>
      <c r="J149" s="0" t="s">
        <v>132</v>
      </c>
      <c r="K149" s="0" t="s">
        <v>260</v>
      </c>
      <c r="L149" s="0" t="s">
        <v>261</v>
      </c>
      <c r="M149" s="0" t="s">
        <v>135</v>
      </c>
      <c r="N149" s="0" t="s">
        <v>136</v>
      </c>
      <c r="O149" s="0" t="s">
        <v>192</v>
      </c>
      <c r="Q149" s="0" t="s">
        <v>130</v>
      </c>
      <c r="R149" s="0" t="s">
        <v>138</v>
      </c>
      <c r="S149" s="14">
        <v>0</v>
      </c>
      <c r="T149" s="0" t="s">
        <v>359</v>
      </c>
      <c r="U149" s="0" t="s">
        <v>138</v>
      </c>
      <c r="V149" s="14" t="s">
        <v>138</v>
      </c>
      <c r="W149" s="0" t="s">
        <v>138</v>
      </c>
      <c r="X149" s="14" t="s">
        <v>138</v>
      </c>
      <c r="Y149" s="0" t="s">
        <v>138</v>
      </c>
      <c r="Z149" s="14" t="s">
        <v>138</v>
      </c>
      <c r="AA149" s="0" t="s">
        <v>138</v>
      </c>
      <c r="AB149" s="14" t="s">
        <v>138</v>
      </c>
      <c r="AD149" s="0" t="s">
        <v>138</v>
      </c>
      <c r="AF149" s="0">
        <v>0</v>
      </c>
      <c r="AG149" s="0">
        <v>0</v>
      </c>
      <c r="AH149" s="0" t="s">
        <v>140</v>
      </c>
      <c r="AI149" s="0" t="s">
        <v>138</v>
      </c>
      <c r="AL149" s="14"/>
      <c r="AN149" s="14"/>
      <c r="AQ149" s="0" t="s">
        <v>130</v>
      </c>
      <c r="AR149" s="0" t="s">
        <v>130</v>
      </c>
      <c r="AS149" s="0" t="s">
        <v>130</v>
      </c>
      <c r="AT149" s="0" t="s">
        <v>130</v>
      </c>
      <c r="AU149" s="0" t="s">
        <v>130</v>
      </c>
      <c r="AV149" s="0" t="s">
        <v>130</v>
      </c>
      <c r="AW149" s="0" t="s">
        <v>141</v>
      </c>
      <c r="AX149" s="0" t="s">
        <v>130</v>
      </c>
      <c r="AY149" s="0" t="s">
        <v>141</v>
      </c>
      <c r="AZ149" s="0" t="s">
        <v>130</v>
      </c>
      <c r="BA149" s="0" t="s">
        <v>130</v>
      </c>
      <c r="BB149" s="0" t="s">
        <v>130</v>
      </c>
      <c r="BC149" s="0" t="s">
        <v>141</v>
      </c>
      <c r="BD149" s="0" t="s">
        <v>130</v>
      </c>
      <c r="BE149" s="0" t="s">
        <v>130</v>
      </c>
      <c r="BF149" s="0" t="s">
        <v>130</v>
      </c>
      <c r="BG149" s="0" t="s">
        <v>130</v>
      </c>
      <c r="BH149" s="0" t="s">
        <v>130</v>
      </c>
      <c r="BI149" s="0" t="s">
        <v>130</v>
      </c>
      <c r="BJ149" s="0" t="s">
        <v>130</v>
      </c>
      <c r="BK149" s="0" t="s">
        <v>130</v>
      </c>
      <c r="BL149" s="0" t="s">
        <v>130</v>
      </c>
      <c r="BM149" s="0" t="s">
        <v>130</v>
      </c>
      <c r="BN149" s="0" t="s">
        <v>130</v>
      </c>
      <c r="BO149" s="0" t="s">
        <v>130</v>
      </c>
      <c r="BP149" s="0" t="s">
        <v>130</v>
      </c>
      <c r="BQ149" s="0" t="s">
        <v>130</v>
      </c>
      <c r="BR149" s="0" t="s">
        <v>130</v>
      </c>
      <c r="BS149" s="0" t="s">
        <v>130</v>
      </c>
      <c r="BT149" s="0" t="s">
        <v>130</v>
      </c>
      <c r="BU149" s="0" t="s">
        <v>130</v>
      </c>
      <c r="BV149" s="0" t="s">
        <v>130</v>
      </c>
      <c r="BW149" s="0" t="s">
        <v>130</v>
      </c>
      <c r="BX149" s="0" t="s">
        <v>130</v>
      </c>
      <c r="BY149" s="0" t="s">
        <v>130</v>
      </c>
      <c r="BZ149" s="0" t="s">
        <v>130</v>
      </c>
      <c r="CA149" s="0" t="s">
        <v>130</v>
      </c>
      <c r="CB149" s="0" t="s">
        <v>130</v>
      </c>
      <c r="CC149" s="0" t="s">
        <v>130</v>
      </c>
      <c r="CD149" s="0" t="s">
        <v>130</v>
      </c>
      <c r="CE149" s="0" t="s">
        <v>130</v>
      </c>
      <c r="CF149" s="0" t="s">
        <v>130</v>
      </c>
      <c r="CG149" s="0" t="s">
        <v>130</v>
      </c>
      <c r="CH149" s="0" t="s">
        <v>130</v>
      </c>
      <c r="CI149" s="0" t="s">
        <v>130</v>
      </c>
      <c r="CJ149" s="0" t="s">
        <v>130</v>
      </c>
      <c r="CK149" s="0" t="s">
        <v>130</v>
      </c>
      <c r="CL149" s="0" t="s">
        <v>130</v>
      </c>
      <c r="CM149" s="0" t="s">
        <v>130</v>
      </c>
      <c r="CN149" s="0" t="s">
        <v>130</v>
      </c>
      <c r="CO149" s="0" t="s">
        <v>130</v>
      </c>
      <c r="CP149" s="0" t="s">
        <v>130</v>
      </c>
      <c r="CQ149" s="0" t="s">
        <v>130</v>
      </c>
      <c r="CR149" s="0" t="s">
        <v>130</v>
      </c>
      <c r="CS149" s="0" t="s">
        <v>130</v>
      </c>
      <c r="CT149" s="0" t="s">
        <v>697</v>
      </c>
    </row>
    <row r="150">
      <c r="A150" s="14">
        <v>100481</v>
      </c>
      <c r="B150" s="0" t="s">
        <v>673</v>
      </c>
      <c r="C150" s="16">
        <f>HYPERLINK("https://eosportal.federatedhermes.com/companies/Q29tcGFueQppNjQzNjU=", "Duke Energy Corp")</f>
      </c>
      <c r="D150" s="0" t="s">
        <v>25</v>
      </c>
      <c r="E150" s="0" t="s">
        <v>698</v>
      </c>
      <c r="F150" s="16">
        <f>HYPERLINK("https://eosportal.federatedhermes.com/engagements/RW5nYWdlbWVudAppMTg4NDA=", "Nuclear License Extension Test Case")</f>
      </c>
      <c r="G150" s="14" t="s">
        <v>699</v>
      </c>
      <c r="H150" s="0" t="s">
        <v>141</v>
      </c>
      <c r="I150" s="14" t="s">
        <v>191</v>
      </c>
      <c r="J150" s="0" t="s">
        <v>197</v>
      </c>
      <c r="K150" s="0" t="s">
        <v>348</v>
      </c>
      <c r="L150" s="0" t="s">
        <v>650</v>
      </c>
      <c r="M150" s="0" t="s">
        <v>135</v>
      </c>
      <c r="N150" s="0" t="s">
        <v>136</v>
      </c>
      <c r="O150" s="0" t="s">
        <v>192</v>
      </c>
      <c r="Q150" s="0" t="s">
        <v>130</v>
      </c>
      <c r="R150" s="0" t="s">
        <v>138</v>
      </c>
      <c r="S150" s="14">
        <v>0</v>
      </c>
      <c r="T150" s="0" t="s">
        <v>288</v>
      </c>
      <c r="U150" s="0" t="s">
        <v>138</v>
      </c>
      <c r="V150" s="14" t="s">
        <v>138</v>
      </c>
      <c r="W150" s="0" t="s">
        <v>138</v>
      </c>
      <c r="X150" s="14" t="s">
        <v>138</v>
      </c>
      <c r="Y150" s="0" t="s">
        <v>138</v>
      </c>
      <c r="Z150" s="14" t="s">
        <v>138</v>
      </c>
      <c r="AA150" s="0" t="s">
        <v>138</v>
      </c>
      <c r="AB150" s="14" t="s">
        <v>138</v>
      </c>
      <c r="AD150" s="0" t="s">
        <v>138</v>
      </c>
      <c r="AF150" s="0">
        <v>0</v>
      </c>
      <c r="AG150" s="0">
        <v>0</v>
      </c>
      <c r="AH150" s="0" t="s">
        <v>140</v>
      </c>
      <c r="AI150" s="0" t="s">
        <v>138</v>
      </c>
      <c r="AL150" s="14"/>
      <c r="AN150" s="14"/>
      <c r="AQ150" s="0" t="s">
        <v>130</v>
      </c>
      <c r="AR150" s="0" t="s">
        <v>130</v>
      </c>
      <c r="AS150" s="0" t="s">
        <v>130</v>
      </c>
      <c r="AT150" s="0" t="s">
        <v>130</v>
      </c>
      <c r="AU150" s="0" t="s">
        <v>130</v>
      </c>
      <c r="AV150" s="0" t="s">
        <v>130</v>
      </c>
      <c r="AW150" s="0" t="s">
        <v>141</v>
      </c>
      <c r="AX150" s="0" t="s">
        <v>130</v>
      </c>
      <c r="AY150" s="0" t="s">
        <v>130</v>
      </c>
      <c r="AZ150" s="0" t="s">
        <v>130</v>
      </c>
      <c r="BA150" s="0" t="s">
        <v>130</v>
      </c>
      <c r="BB150" s="0" t="s">
        <v>130</v>
      </c>
      <c r="BC150" s="0" t="s">
        <v>130</v>
      </c>
      <c r="BD150" s="0" t="s">
        <v>130</v>
      </c>
      <c r="BE150" s="0" t="s">
        <v>130</v>
      </c>
      <c r="BF150" s="0" t="s">
        <v>130</v>
      </c>
      <c r="BG150" s="0" t="s">
        <v>130</v>
      </c>
      <c r="BH150" s="0" t="s">
        <v>130</v>
      </c>
      <c r="BI150" s="0" t="s">
        <v>130</v>
      </c>
      <c r="BJ150" s="0" t="s">
        <v>130</v>
      </c>
      <c r="BK150" s="0" t="s">
        <v>130</v>
      </c>
      <c r="BL150" s="0" t="s">
        <v>130</v>
      </c>
      <c r="BM150" s="0" t="s">
        <v>130</v>
      </c>
      <c r="BN150" s="0" t="s">
        <v>130</v>
      </c>
      <c r="BO150" s="0" t="s">
        <v>130</v>
      </c>
      <c r="BP150" s="0" t="s">
        <v>130</v>
      </c>
      <c r="BQ150" s="0" t="s">
        <v>130</v>
      </c>
      <c r="BR150" s="0" t="s">
        <v>130</v>
      </c>
      <c r="BS150" s="0" t="s">
        <v>130</v>
      </c>
      <c r="BT150" s="0" t="s">
        <v>130</v>
      </c>
      <c r="BU150" s="0" t="s">
        <v>130</v>
      </c>
      <c r="BV150" s="0" t="s">
        <v>130</v>
      </c>
      <c r="BW150" s="0" t="s">
        <v>130</v>
      </c>
      <c r="BX150" s="0" t="s">
        <v>130</v>
      </c>
      <c r="BY150" s="0" t="s">
        <v>130</v>
      </c>
      <c r="BZ150" s="0" t="s">
        <v>130</v>
      </c>
      <c r="CA150" s="0" t="s">
        <v>130</v>
      </c>
      <c r="CB150" s="0" t="s">
        <v>130</v>
      </c>
      <c r="CC150" s="0" t="s">
        <v>130</v>
      </c>
      <c r="CD150" s="0" t="s">
        <v>130</v>
      </c>
      <c r="CE150" s="0" t="s">
        <v>130</v>
      </c>
      <c r="CF150" s="0" t="s">
        <v>130</v>
      </c>
      <c r="CG150" s="0" t="s">
        <v>130</v>
      </c>
      <c r="CH150" s="0" t="s">
        <v>130</v>
      </c>
      <c r="CI150" s="0" t="s">
        <v>130</v>
      </c>
      <c r="CJ150" s="0" t="s">
        <v>130</v>
      </c>
      <c r="CK150" s="0" t="s">
        <v>130</v>
      </c>
      <c r="CL150" s="0" t="s">
        <v>130</v>
      </c>
      <c r="CM150" s="0" t="s">
        <v>130</v>
      </c>
      <c r="CN150" s="0" t="s">
        <v>130</v>
      </c>
      <c r="CO150" s="0" t="s">
        <v>130</v>
      </c>
      <c r="CP150" s="0" t="s">
        <v>130</v>
      </c>
      <c r="CQ150" s="0" t="s">
        <v>130</v>
      </c>
      <c r="CR150" s="0" t="s">
        <v>130</v>
      </c>
      <c r="CS150" s="0" t="s">
        <v>130</v>
      </c>
      <c r="CT150" s="0" t="s">
        <v>700</v>
      </c>
    </row>
    <row r="151">
      <c r="A151" s="14">
        <v>100481</v>
      </c>
      <c r="B151" s="0" t="s">
        <v>673</v>
      </c>
      <c r="C151" s="16">
        <f>HYPERLINK("https://eosportal.federatedhermes.com/companies/Q29tcGFueQppNjQzNjU=", "Duke Energy Corp")</f>
      </c>
      <c r="D151" s="0" t="s">
        <v>25</v>
      </c>
      <c r="E151" s="0" t="s">
        <v>204</v>
      </c>
      <c r="F151" s="16">
        <f>HYPERLINK("https://eosportal.federatedhermes.com/engagements/RW5nYWdlbWVudAppMTg4NDE=", "Coal Ash Remediation")</f>
      </c>
      <c r="G151" s="14" t="s">
        <v>701</v>
      </c>
      <c r="H151" s="0" t="s">
        <v>141</v>
      </c>
      <c r="I151" s="14" t="s">
        <v>191</v>
      </c>
      <c r="J151" s="0" t="s">
        <v>197</v>
      </c>
      <c r="K151" s="0" t="s">
        <v>348</v>
      </c>
      <c r="L151" s="0" t="s">
        <v>650</v>
      </c>
      <c r="M151" s="0" t="s">
        <v>135</v>
      </c>
      <c r="N151" s="0" t="s">
        <v>136</v>
      </c>
      <c r="O151" s="0" t="s">
        <v>192</v>
      </c>
      <c r="Q151" s="0" t="s">
        <v>130</v>
      </c>
      <c r="R151" s="0" t="s">
        <v>138</v>
      </c>
      <c r="S151" s="14">
        <v>0</v>
      </c>
      <c r="T151" s="0" t="s">
        <v>359</v>
      </c>
      <c r="U151" s="0" t="s">
        <v>138</v>
      </c>
      <c r="V151" s="14" t="s">
        <v>138</v>
      </c>
      <c r="W151" s="0" t="s">
        <v>138</v>
      </c>
      <c r="X151" s="14" t="s">
        <v>138</v>
      </c>
      <c r="Y151" s="0" t="s">
        <v>138</v>
      </c>
      <c r="Z151" s="14" t="s">
        <v>138</v>
      </c>
      <c r="AA151" s="0" t="s">
        <v>138</v>
      </c>
      <c r="AB151" s="14" t="s">
        <v>138</v>
      </c>
      <c r="AD151" s="0" t="s">
        <v>138</v>
      </c>
      <c r="AF151" s="0">
        <v>0</v>
      </c>
      <c r="AG151" s="0">
        <v>0</v>
      </c>
      <c r="AH151" s="0" t="s">
        <v>140</v>
      </c>
      <c r="AI151" s="0" t="s">
        <v>138</v>
      </c>
      <c r="AL151" s="14"/>
      <c r="AN151" s="14"/>
      <c r="AQ151" s="0" t="s">
        <v>130</v>
      </c>
      <c r="AR151" s="0" t="s">
        <v>130</v>
      </c>
      <c r="AS151" s="0" t="s">
        <v>130</v>
      </c>
      <c r="AT151" s="0" t="s">
        <v>130</v>
      </c>
      <c r="AU151" s="0" t="s">
        <v>130</v>
      </c>
      <c r="AV151" s="0" t="s">
        <v>141</v>
      </c>
      <c r="AW151" s="0" t="s">
        <v>130</v>
      </c>
      <c r="AX151" s="0" t="s">
        <v>130</v>
      </c>
      <c r="AY151" s="0" t="s">
        <v>130</v>
      </c>
      <c r="AZ151" s="0" t="s">
        <v>130</v>
      </c>
      <c r="BA151" s="0" t="s">
        <v>130</v>
      </c>
      <c r="BB151" s="0" t="s">
        <v>130</v>
      </c>
      <c r="BC151" s="0" t="s">
        <v>130</v>
      </c>
      <c r="BD151" s="0" t="s">
        <v>130</v>
      </c>
      <c r="BE151" s="0" t="s">
        <v>130</v>
      </c>
      <c r="BF151" s="0" t="s">
        <v>130</v>
      </c>
      <c r="BG151" s="0" t="s">
        <v>130</v>
      </c>
      <c r="BH151" s="0" t="s">
        <v>130</v>
      </c>
      <c r="BI151" s="0" t="s">
        <v>130</v>
      </c>
      <c r="BJ151" s="0" t="s">
        <v>130</v>
      </c>
      <c r="BK151" s="0" t="s">
        <v>130</v>
      </c>
      <c r="BL151" s="0" t="s">
        <v>130</v>
      </c>
      <c r="BM151" s="0" t="s">
        <v>130</v>
      </c>
      <c r="BN151" s="0" t="s">
        <v>130</v>
      </c>
      <c r="BO151" s="0" t="s">
        <v>130</v>
      </c>
      <c r="BP151" s="0" t="s">
        <v>130</v>
      </c>
      <c r="BQ151" s="0" t="s">
        <v>130</v>
      </c>
      <c r="BR151" s="0" t="s">
        <v>130</v>
      </c>
      <c r="BS151" s="0" t="s">
        <v>130</v>
      </c>
      <c r="BT151" s="0" t="s">
        <v>130</v>
      </c>
      <c r="BU151" s="0" t="s">
        <v>130</v>
      </c>
      <c r="BV151" s="0" t="s">
        <v>130</v>
      </c>
      <c r="BW151" s="0" t="s">
        <v>130</v>
      </c>
      <c r="BX151" s="0" t="s">
        <v>130</v>
      </c>
      <c r="BY151" s="0" t="s">
        <v>130</v>
      </c>
      <c r="BZ151" s="0" t="s">
        <v>130</v>
      </c>
      <c r="CA151" s="0" t="s">
        <v>130</v>
      </c>
      <c r="CB151" s="0" t="s">
        <v>130</v>
      </c>
      <c r="CC151" s="0" t="s">
        <v>130</v>
      </c>
      <c r="CD151" s="0" t="s">
        <v>130</v>
      </c>
      <c r="CE151" s="0" t="s">
        <v>130</v>
      </c>
      <c r="CF151" s="0" t="s">
        <v>130</v>
      </c>
      <c r="CG151" s="0" t="s">
        <v>130</v>
      </c>
      <c r="CH151" s="0" t="s">
        <v>130</v>
      </c>
      <c r="CI151" s="0" t="s">
        <v>130</v>
      </c>
      <c r="CJ151" s="0" t="s">
        <v>130</v>
      </c>
      <c r="CK151" s="0" t="s">
        <v>130</v>
      </c>
      <c r="CL151" s="0" t="s">
        <v>130</v>
      </c>
      <c r="CM151" s="0" t="s">
        <v>130</v>
      </c>
      <c r="CN151" s="0" t="s">
        <v>130</v>
      </c>
      <c r="CO151" s="0" t="s">
        <v>130</v>
      </c>
      <c r="CP151" s="0" t="s">
        <v>130</v>
      </c>
      <c r="CQ151" s="0" t="s">
        <v>130</v>
      </c>
      <c r="CR151" s="0" t="s">
        <v>130</v>
      </c>
      <c r="CS151" s="0" t="s">
        <v>130</v>
      </c>
      <c r="CT151" s="0" t="s">
        <v>702</v>
      </c>
    </row>
    <row r="152">
      <c r="A152" s="14">
        <v>100499</v>
      </c>
      <c r="B152" s="0" t="s">
        <v>703</v>
      </c>
      <c r="C152" s="16">
        <f>HYPERLINK("https://eosportal.federatedhermes.com/companies/Q29tcGFueQppNTQ0OTU=", "Ecolab Inc")</f>
      </c>
      <c r="D152" s="0" t="s">
        <v>25</v>
      </c>
      <c r="E152" s="0" t="s">
        <v>704</v>
      </c>
      <c r="F152" s="16">
        <f>HYPERLINK("https://eosportal.federatedhermes.com/engagements/RW5nYWdlbWVudAppMTg4ODY=", "Sustainability Risk Management")</f>
      </c>
      <c r="G152" s="14" t="s">
        <v>705</v>
      </c>
      <c r="H152" s="0" t="s">
        <v>130</v>
      </c>
      <c r="I152" s="14" t="s">
        <v>319</v>
      </c>
      <c r="J152" s="0" t="s">
        <v>197</v>
      </c>
      <c r="K152" s="0" t="s">
        <v>337</v>
      </c>
      <c r="L152" s="0" t="s">
        <v>338</v>
      </c>
      <c r="M152" s="0" t="s">
        <v>135</v>
      </c>
      <c r="N152" s="0" t="s">
        <v>136</v>
      </c>
      <c r="O152" s="0" t="s">
        <v>706</v>
      </c>
      <c r="Q152" s="0" t="s">
        <v>130</v>
      </c>
      <c r="R152" s="0" t="s">
        <v>138</v>
      </c>
      <c r="S152" s="14">
        <v>0</v>
      </c>
      <c r="T152" s="0" t="s">
        <v>707</v>
      </c>
      <c r="U152" s="0" t="s">
        <v>138</v>
      </c>
      <c r="V152" s="14" t="s">
        <v>138</v>
      </c>
      <c r="W152" s="0" t="s">
        <v>138</v>
      </c>
      <c r="X152" s="14" t="s">
        <v>138</v>
      </c>
      <c r="Y152" s="0" t="s">
        <v>138</v>
      </c>
      <c r="Z152" s="14" t="s">
        <v>138</v>
      </c>
      <c r="AA152" s="0" t="s">
        <v>138</v>
      </c>
      <c r="AB152" s="14" t="s">
        <v>138</v>
      </c>
      <c r="AD152" s="0" t="s">
        <v>138</v>
      </c>
      <c r="AF152" s="0">
        <v>0</v>
      </c>
      <c r="AG152" s="0">
        <v>0</v>
      </c>
      <c r="AH152" s="0" t="s">
        <v>140</v>
      </c>
      <c r="AI152" s="0" t="s">
        <v>138</v>
      </c>
      <c r="AL152" s="14"/>
      <c r="AN152" s="14"/>
      <c r="AQ152" s="0" t="s">
        <v>130</v>
      </c>
      <c r="AR152" s="0" t="s">
        <v>130</v>
      </c>
      <c r="AS152" s="0" t="s">
        <v>130</v>
      </c>
      <c r="AT152" s="0" t="s">
        <v>130</v>
      </c>
      <c r="AU152" s="0" t="s">
        <v>130</v>
      </c>
      <c r="AV152" s="0" t="s">
        <v>141</v>
      </c>
      <c r="AW152" s="0" t="s">
        <v>130</v>
      </c>
      <c r="AX152" s="0" t="s">
        <v>130</v>
      </c>
      <c r="AY152" s="0" t="s">
        <v>130</v>
      </c>
      <c r="AZ152" s="0" t="s">
        <v>130</v>
      </c>
      <c r="BA152" s="0" t="s">
        <v>130</v>
      </c>
      <c r="BB152" s="0" t="s">
        <v>130</v>
      </c>
      <c r="BC152" s="0" t="s">
        <v>130</v>
      </c>
      <c r="BD152" s="0" t="s">
        <v>130</v>
      </c>
      <c r="BE152" s="0" t="s">
        <v>130</v>
      </c>
      <c r="BF152" s="0" t="s">
        <v>130</v>
      </c>
      <c r="BG152" s="0" t="s">
        <v>130</v>
      </c>
      <c r="BH152" s="0" t="s">
        <v>130</v>
      </c>
      <c r="BI152" s="0" t="s">
        <v>130</v>
      </c>
      <c r="BJ152" s="0" t="s">
        <v>130</v>
      </c>
      <c r="BK152" s="0" t="s">
        <v>130</v>
      </c>
      <c r="BL152" s="0" t="s">
        <v>130</v>
      </c>
      <c r="BM152" s="0" t="s">
        <v>130</v>
      </c>
      <c r="BN152" s="0" t="s">
        <v>130</v>
      </c>
      <c r="BO152" s="0" t="s">
        <v>130</v>
      </c>
      <c r="BP152" s="0" t="s">
        <v>130</v>
      </c>
      <c r="BQ152" s="0" t="s">
        <v>130</v>
      </c>
      <c r="BR152" s="0" t="s">
        <v>130</v>
      </c>
      <c r="BS152" s="0" t="s">
        <v>130</v>
      </c>
      <c r="BT152" s="0" t="s">
        <v>130</v>
      </c>
      <c r="BU152" s="0" t="s">
        <v>130</v>
      </c>
      <c r="BV152" s="0" t="s">
        <v>130</v>
      </c>
      <c r="BW152" s="0" t="s">
        <v>130</v>
      </c>
      <c r="BX152" s="0" t="s">
        <v>141</v>
      </c>
      <c r="BY152" s="0" t="s">
        <v>130</v>
      </c>
      <c r="BZ152" s="0" t="s">
        <v>130</v>
      </c>
      <c r="CA152" s="0" t="s">
        <v>130</v>
      </c>
      <c r="CB152" s="0" t="s">
        <v>130</v>
      </c>
      <c r="CC152" s="0" t="s">
        <v>130</v>
      </c>
      <c r="CD152" s="0" t="s">
        <v>130</v>
      </c>
      <c r="CE152" s="0" t="s">
        <v>130</v>
      </c>
      <c r="CF152" s="0" t="s">
        <v>130</v>
      </c>
      <c r="CG152" s="0" t="s">
        <v>130</v>
      </c>
      <c r="CH152" s="0" t="s">
        <v>130</v>
      </c>
      <c r="CI152" s="0" t="s">
        <v>130</v>
      </c>
      <c r="CJ152" s="0" t="s">
        <v>130</v>
      </c>
      <c r="CK152" s="0" t="s">
        <v>130</v>
      </c>
      <c r="CL152" s="0" t="s">
        <v>130</v>
      </c>
      <c r="CM152" s="0" t="s">
        <v>130</v>
      </c>
      <c r="CN152" s="0" t="s">
        <v>130</v>
      </c>
      <c r="CO152" s="0" t="s">
        <v>130</v>
      </c>
      <c r="CP152" s="0" t="s">
        <v>130</v>
      </c>
      <c r="CQ152" s="0" t="s">
        <v>130</v>
      </c>
      <c r="CR152" s="0" t="s">
        <v>130</v>
      </c>
      <c r="CS152" s="0" t="s">
        <v>130</v>
      </c>
      <c r="CT152" s="0" t="s">
        <v>708</v>
      </c>
    </row>
    <row r="153">
      <c r="A153" s="14">
        <v>100499</v>
      </c>
      <c r="B153" s="0" t="s">
        <v>703</v>
      </c>
      <c r="C153" s="16">
        <f>HYPERLINK("https://eosportal.federatedhermes.com/companies/Q29tcGFueQppNTQ0OTU=", "Ecolab Inc")</f>
      </c>
      <c r="D153" s="0" t="s">
        <v>25</v>
      </c>
      <c r="E153" s="0" t="s">
        <v>709</v>
      </c>
      <c r="F153" s="16">
        <f>HYPERLINK("https://eosportal.federatedhermes.com/engagements/RW5nYWdlbWVudAppMTg4ODc=", "Proxy access")</f>
      </c>
      <c r="G153" s="14" t="s">
        <v>709</v>
      </c>
      <c r="H153" s="0" t="s">
        <v>130</v>
      </c>
      <c r="I153" s="14" t="s">
        <v>319</v>
      </c>
      <c r="J153" s="0" t="s">
        <v>145</v>
      </c>
      <c r="K153" s="0" t="s">
        <v>400</v>
      </c>
      <c r="L153" s="0" t="s">
        <v>507</v>
      </c>
      <c r="M153" s="0" t="s">
        <v>135</v>
      </c>
      <c r="N153" s="0" t="s">
        <v>136</v>
      </c>
      <c r="O153" s="0" t="s">
        <v>706</v>
      </c>
      <c r="Q153" s="0" t="s">
        <v>130</v>
      </c>
      <c r="R153" s="0" t="s">
        <v>138</v>
      </c>
      <c r="S153" s="14">
        <v>0</v>
      </c>
      <c r="T153" s="0" t="s">
        <v>710</v>
      </c>
      <c r="U153" s="0" t="s">
        <v>138</v>
      </c>
      <c r="V153" s="14" t="s">
        <v>138</v>
      </c>
      <c r="W153" s="0" t="s">
        <v>138</v>
      </c>
      <c r="X153" s="14" t="s">
        <v>138</v>
      </c>
      <c r="Y153" s="0" t="s">
        <v>138</v>
      </c>
      <c r="Z153" s="14" t="s">
        <v>138</v>
      </c>
      <c r="AA153" s="0" t="s">
        <v>138</v>
      </c>
      <c r="AB153" s="14" t="s">
        <v>138</v>
      </c>
      <c r="AD153" s="0" t="s">
        <v>138</v>
      </c>
      <c r="AF153" s="0">
        <v>0</v>
      </c>
      <c r="AG153" s="0">
        <v>0</v>
      </c>
      <c r="AH153" s="0" t="s">
        <v>140</v>
      </c>
      <c r="AI153" s="0" t="s">
        <v>138</v>
      </c>
      <c r="AL153" s="14"/>
      <c r="AN153" s="14"/>
      <c r="AQ153" s="0" t="s">
        <v>130</v>
      </c>
      <c r="AR153" s="0" t="s">
        <v>130</v>
      </c>
      <c r="AS153" s="0" t="s">
        <v>130</v>
      </c>
      <c r="AT153" s="0" t="s">
        <v>130</v>
      </c>
      <c r="AU153" s="0" t="s">
        <v>130</v>
      </c>
      <c r="AV153" s="0" t="s">
        <v>130</v>
      </c>
      <c r="AW153" s="0" t="s">
        <v>130</v>
      </c>
      <c r="AX153" s="0" t="s">
        <v>130</v>
      </c>
      <c r="AY153" s="0" t="s">
        <v>130</v>
      </c>
      <c r="AZ153" s="0" t="s">
        <v>130</v>
      </c>
      <c r="BA153" s="0" t="s">
        <v>130</v>
      </c>
      <c r="BB153" s="0" t="s">
        <v>130</v>
      </c>
      <c r="BC153" s="0" t="s">
        <v>130</v>
      </c>
      <c r="BD153" s="0" t="s">
        <v>130</v>
      </c>
      <c r="BE153" s="0" t="s">
        <v>130</v>
      </c>
      <c r="BF153" s="0" t="s">
        <v>130</v>
      </c>
      <c r="BG153" s="0" t="s">
        <v>130</v>
      </c>
      <c r="BH153" s="0" t="s">
        <v>130</v>
      </c>
      <c r="BI153" s="0" t="s">
        <v>130</v>
      </c>
      <c r="BJ153" s="0" t="s">
        <v>130</v>
      </c>
      <c r="BK153" s="0" t="s">
        <v>130</v>
      </c>
      <c r="BL153" s="0" t="s">
        <v>130</v>
      </c>
      <c r="BM153" s="0" t="s">
        <v>130</v>
      </c>
      <c r="BN153" s="0" t="s">
        <v>130</v>
      </c>
      <c r="BO153" s="0" t="s">
        <v>130</v>
      </c>
      <c r="BP153" s="0" t="s">
        <v>130</v>
      </c>
      <c r="BQ153" s="0" t="s">
        <v>130</v>
      </c>
      <c r="BR153" s="0" t="s">
        <v>130</v>
      </c>
      <c r="BS153" s="0" t="s">
        <v>130</v>
      </c>
      <c r="BT153" s="0" t="s">
        <v>130</v>
      </c>
      <c r="BU153" s="0" t="s">
        <v>130</v>
      </c>
      <c r="BV153" s="0" t="s">
        <v>130</v>
      </c>
      <c r="BW153" s="0" t="s">
        <v>130</v>
      </c>
      <c r="BX153" s="0" t="s">
        <v>130</v>
      </c>
      <c r="BY153" s="0" t="s">
        <v>130</v>
      </c>
      <c r="BZ153" s="0" t="s">
        <v>130</v>
      </c>
      <c r="CA153" s="0" t="s">
        <v>130</v>
      </c>
      <c r="CB153" s="0" t="s">
        <v>130</v>
      </c>
      <c r="CC153" s="0" t="s">
        <v>130</v>
      </c>
      <c r="CD153" s="0" t="s">
        <v>130</v>
      </c>
      <c r="CE153" s="0" t="s">
        <v>130</v>
      </c>
      <c r="CF153" s="0" t="s">
        <v>130</v>
      </c>
      <c r="CG153" s="0" t="s">
        <v>130</v>
      </c>
      <c r="CH153" s="0" t="s">
        <v>130</v>
      </c>
      <c r="CI153" s="0" t="s">
        <v>130</v>
      </c>
      <c r="CJ153" s="0" t="s">
        <v>130</v>
      </c>
      <c r="CK153" s="0" t="s">
        <v>130</v>
      </c>
      <c r="CL153" s="0" t="s">
        <v>130</v>
      </c>
      <c r="CM153" s="0" t="s">
        <v>130</v>
      </c>
      <c r="CN153" s="0" t="s">
        <v>130</v>
      </c>
      <c r="CO153" s="0" t="s">
        <v>130</v>
      </c>
      <c r="CP153" s="0" t="s">
        <v>130</v>
      </c>
      <c r="CQ153" s="0" t="s">
        <v>130</v>
      </c>
      <c r="CR153" s="0" t="s">
        <v>130</v>
      </c>
      <c r="CS153" s="0" t="s">
        <v>130</v>
      </c>
      <c r="CT153" s="0" t="s">
        <v>711</v>
      </c>
    </row>
    <row r="154">
      <c r="A154" s="14">
        <v>100499</v>
      </c>
      <c r="B154" s="0" t="s">
        <v>703</v>
      </c>
      <c r="C154" s="16">
        <f>HYPERLINK("https://eosportal.federatedhermes.com/companies/Q29tcGFueQppNTQ0OTU=", "Ecolab Inc")</f>
      </c>
      <c r="D154" s="0" t="s">
        <v>25</v>
      </c>
      <c r="E154" s="0" t="s">
        <v>712</v>
      </c>
      <c r="F154" s="16">
        <f>HYPERLINK("https://eosportal.federatedhermes.com/engagements/RW5nYWdlbWVudAppMTg4OTA=", "Hazardous chemicals management")</f>
      </c>
      <c r="G154" s="14" t="s">
        <v>713</v>
      </c>
      <c r="H154" s="0" t="s">
        <v>130</v>
      </c>
      <c r="I154" s="14" t="s">
        <v>319</v>
      </c>
      <c r="J154" s="0" t="s">
        <v>197</v>
      </c>
      <c r="K154" s="0" t="s">
        <v>348</v>
      </c>
      <c r="L154" s="0" t="s">
        <v>650</v>
      </c>
      <c r="M154" s="0" t="s">
        <v>135</v>
      </c>
      <c r="N154" s="0" t="s">
        <v>136</v>
      </c>
      <c r="O154" s="0" t="s">
        <v>706</v>
      </c>
      <c r="Q154" s="0" t="s">
        <v>141</v>
      </c>
      <c r="R154" s="0" t="s">
        <v>138</v>
      </c>
      <c r="S154" s="14">
        <v>1</v>
      </c>
      <c r="T154" s="0" t="s">
        <v>230</v>
      </c>
      <c r="U154" s="0" t="s">
        <v>138</v>
      </c>
      <c r="V154" s="14" t="s">
        <v>138</v>
      </c>
      <c r="W154" s="0" t="s">
        <v>138</v>
      </c>
      <c r="X154" s="14" t="s">
        <v>138</v>
      </c>
      <c r="Y154" s="0" t="s">
        <v>138</v>
      </c>
      <c r="Z154" s="14" t="s">
        <v>138</v>
      </c>
      <c r="AA154" s="0" t="s">
        <v>138</v>
      </c>
      <c r="AB154" s="14" t="s">
        <v>138</v>
      </c>
      <c r="AD154" s="0" t="s">
        <v>138</v>
      </c>
      <c r="AF154" s="0">
        <v>0</v>
      </c>
      <c r="AG154" s="0">
        <v>0</v>
      </c>
      <c r="AH154" s="0" t="s">
        <v>140</v>
      </c>
      <c r="AI154" s="0" t="s">
        <v>138</v>
      </c>
      <c r="AK154" s="0" t="s">
        <v>714</v>
      </c>
      <c r="AL154" s="14"/>
      <c r="AN154" s="14"/>
      <c r="AQ154" s="0" t="s">
        <v>130</v>
      </c>
      <c r="AR154" s="0" t="s">
        <v>130</v>
      </c>
      <c r="AS154" s="0" t="s">
        <v>141</v>
      </c>
      <c r="AT154" s="0" t="s">
        <v>130</v>
      </c>
      <c r="AU154" s="0" t="s">
        <v>130</v>
      </c>
      <c r="AV154" s="0" t="s">
        <v>130</v>
      </c>
      <c r="AW154" s="0" t="s">
        <v>130</v>
      </c>
      <c r="AX154" s="0" t="s">
        <v>130</v>
      </c>
      <c r="AY154" s="0" t="s">
        <v>130</v>
      </c>
      <c r="AZ154" s="0" t="s">
        <v>130</v>
      </c>
      <c r="BA154" s="0" t="s">
        <v>130</v>
      </c>
      <c r="BB154" s="0" t="s">
        <v>141</v>
      </c>
      <c r="BC154" s="0" t="s">
        <v>130</v>
      </c>
      <c r="BD154" s="0" t="s">
        <v>130</v>
      </c>
      <c r="BE154" s="0" t="s">
        <v>130</v>
      </c>
      <c r="BF154" s="0" t="s">
        <v>130</v>
      </c>
      <c r="BG154" s="0" t="s">
        <v>130</v>
      </c>
      <c r="BH154" s="0" t="s">
        <v>130</v>
      </c>
      <c r="BI154" s="0" t="s">
        <v>130</v>
      </c>
      <c r="BJ154" s="0" t="s">
        <v>130</v>
      </c>
      <c r="BK154" s="0" t="s">
        <v>130</v>
      </c>
      <c r="BL154" s="0" t="s">
        <v>130</v>
      </c>
      <c r="BM154" s="0" t="s">
        <v>130</v>
      </c>
      <c r="BN154" s="0" t="s">
        <v>130</v>
      </c>
      <c r="BO154" s="0" t="s">
        <v>130</v>
      </c>
      <c r="BP154" s="0" t="s">
        <v>130</v>
      </c>
      <c r="BQ154" s="0" t="s">
        <v>130</v>
      </c>
      <c r="BR154" s="0" t="s">
        <v>130</v>
      </c>
      <c r="BS154" s="0" t="s">
        <v>130</v>
      </c>
      <c r="BT154" s="0" t="s">
        <v>130</v>
      </c>
      <c r="BU154" s="0" t="s">
        <v>130</v>
      </c>
      <c r="BV154" s="0" t="s">
        <v>130</v>
      </c>
      <c r="BW154" s="0" t="s">
        <v>130</v>
      </c>
      <c r="BX154" s="0" t="s">
        <v>130</v>
      </c>
      <c r="BY154" s="0" t="s">
        <v>130</v>
      </c>
      <c r="BZ154" s="0" t="s">
        <v>130</v>
      </c>
      <c r="CA154" s="0" t="s">
        <v>130</v>
      </c>
      <c r="CB154" s="0" t="s">
        <v>130</v>
      </c>
      <c r="CC154" s="0" t="s">
        <v>130</v>
      </c>
      <c r="CD154" s="0" t="s">
        <v>130</v>
      </c>
      <c r="CE154" s="0" t="s">
        <v>130</v>
      </c>
      <c r="CF154" s="0" t="s">
        <v>130</v>
      </c>
      <c r="CG154" s="0" t="s">
        <v>130</v>
      </c>
      <c r="CH154" s="0" t="s">
        <v>130</v>
      </c>
      <c r="CI154" s="0" t="s">
        <v>130</v>
      </c>
      <c r="CJ154" s="0" t="s">
        <v>130</v>
      </c>
      <c r="CK154" s="0" t="s">
        <v>130</v>
      </c>
      <c r="CL154" s="0" t="s">
        <v>130</v>
      </c>
      <c r="CM154" s="0" t="s">
        <v>130</v>
      </c>
      <c r="CN154" s="0" t="s">
        <v>130</v>
      </c>
      <c r="CO154" s="0" t="s">
        <v>130</v>
      </c>
      <c r="CP154" s="0" t="s">
        <v>130</v>
      </c>
      <c r="CQ154" s="0" t="s">
        <v>130</v>
      </c>
      <c r="CR154" s="0" t="s">
        <v>130</v>
      </c>
      <c r="CS154" s="0" t="s">
        <v>130</v>
      </c>
      <c r="CT154" s="0" t="s">
        <v>715</v>
      </c>
    </row>
    <row r="155">
      <c r="A155" s="14">
        <v>100499</v>
      </c>
      <c r="B155" s="0" t="s">
        <v>703</v>
      </c>
      <c r="C155" s="16">
        <f>HYPERLINK("https://eosportal.federatedhermes.com/companies/Q29tcGFueQppNTQ0OTU=", "Ecolab Inc")</f>
      </c>
      <c r="D155" s="0" t="s">
        <v>25</v>
      </c>
      <c r="E155" s="0" t="s">
        <v>716</v>
      </c>
      <c r="F155" s="16">
        <f>HYPERLINK("https://eosportal.federatedhermes.com/engagements/RW5nYWdlbWVudAppMTg4OTE=", "Waste management and disposal")</f>
      </c>
      <c r="G155" s="14" t="s">
        <v>717</v>
      </c>
      <c r="H155" s="0" t="s">
        <v>130</v>
      </c>
      <c r="I155" s="14" t="s">
        <v>319</v>
      </c>
      <c r="J155" s="0" t="s">
        <v>132</v>
      </c>
      <c r="K155" s="0" t="s">
        <v>133</v>
      </c>
      <c r="L155" s="0" t="s">
        <v>160</v>
      </c>
      <c r="M155" s="0" t="s">
        <v>135</v>
      </c>
      <c r="N155" s="0" t="s">
        <v>136</v>
      </c>
      <c r="O155" s="0" t="s">
        <v>706</v>
      </c>
      <c r="Q155" s="0" t="s">
        <v>130</v>
      </c>
      <c r="R155" s="0" t="s">
        <v>138</v>
      </c>
      <c r="S155" s="14">
        <v>0</v>
      </c>
      <c r="T155" s="0" t="s">
        <v>327</v>
      </c>
      <c r="U155" s="0" t="s">
        <v>138</v>
      </c>
      <c r="V155" s="14" t="s">
        <v>138</v>
      </c>
      <c r="W155" s="0" t="s">
        <v>138</v>
      </c>
      <c r="X155" s="14" t="s">
        <v>138</v>
      </c>
      <c r="Y155" s="0" t="s">
        <v>138</v>
      </c>
      <c r="Z155" s="14" t="s">
        <v>138</v>
      </c>
      <c r="AA155" s="0" t="s">
        <v>138</v>
      </c>
      <c r="AB155" s="14" t="s">
        <v>138</v>
      </c>
      <c r="AD155" s="0" t="s">
        <v>138</v>
      </c>
      <c r="AF155" s="0">
        <v>0</v>
      </c>
      <c r="AG155" s="0">
        <v>0</v>
      </c>
      <c r="AH155" s="0" t="s">
        <v>140</v>
      </c>
      <c r="AI155" s="0" t="s">
        <v>138</v>
      </c>
      <c r="AL155" s="14"/>
      <c r="AN155" s="14"/>
      <c r="AQ155" s="0" t="s">
        <v>130</v>
      </c>
      <c r="AR155" s="0" t="s">
        <v>130</v>
      </c>
      <c r="AS155" s="0" t="s">
        <v>130</v>
      </c>
      <c r="AT155" s="0" t="s">
        <v>130</v>
      </c>
      <c r="AU155" s="0" t="s">
        <v>130</v>
      </c>
      <c r="AV155" s="0" t="s">
        <v>130</v>
      </c>
      <c r="AW155" s="0" t="s">
        <v>130</v>
      </c>
      <c r="AX155" s="0" t="s">
        <v>130</v>
      </c>
      <c r="AY155" s="0" t="s">
        <v>130</v>
      </c>
      <c r="AZ155" s="0" t="s">
        <v>130</v>
      </c>
      <c r="BA155" s="0" t="s">
        <v>130</v>
      </c>
      <c r="BB155" s="0" t="s">
        <v>141</v>
      </c>
      <c r="BC155" s="0" t="s">
        <v>130</v>
      </c>
      <c r="BD155" s="0" t="s">
        <v>130</v>
      </c>
      <c r="BE155" s="0" t="s">
        <v>130</v>
      </c>
      <c r="BF155" s="0" t="s">
        <v>130</v>
      </c>
      <c r="BG155" s="0" t="s">
        <v>130</v>
      </c>
      <c r="BH155" s="0" t="s">
        <v>130</v>
      </c>
      <c r="BI155" s="0" t="s">
        <v>130</v>
      </c>
      <c r="BJ155" s="0" t="s">
        <v>130</v>
      </c>
      <c r="BK155" s="0" t="s">
        <v>130</v>
      </c>
      <c r="BL155" s="0" t="s">
        <v>130</v>
      </c>
      <c r="BM155" s="0" t="s">
        <v>130</v>
      </c>
      <c r="BN155" s="0" t="s">
        <v>130</v>
      </c>
      <c r="BO155" s="0" t="s">
        <v>130</v>
      </c>
      <c r="BP155" s="0" t="s">
        <v>130</v>
      </c>
      <c r="BQ155" s="0" t="s">
        <v>130</v>
      </c>
      <c r="BR155" s="0" t="s">
        <v>130</v>
      </c>
      <c r="BS155" s="0" t="s">
        <v>130</v>
      </c>
      <c r="BT155" s="0" t="s">
        <v>130</v>
      </c>
      <c r="BU155" s="0" t="s">
        <v>130</v>
      </c>
      <c r="BV155" s="0" t="s">
        <v>130</v>
      </c>
      <c r="BW155" s="0" t="s">
        <v>130</v>
      </c>
      <c r="BX155" s="0" t="s">
        <v>130</v>
      </c>
      <c r="BY155" s="0" t="s">
        <v>130</v>
      </c>
      <c r="BZ155" s="0" t="s">
        <v>130</v>
      </c>
      <c r="CA155" s="0" t="s">
        <v>130</v>
      </c>
      <c r="CB155" s="0" t="s">
        <v>130</v>
      </c>
      <c r="CC155" s="0" t="s">
        <v>130</v>
      </c>
      <c r="CD155" s="0" t="s">
        <v>130</v>
      </c>
      <c r="CE155" s="0" t="s">
        <v>130</v>
      </c>
      <c r="CF155" s="0" t="s">
        <v>130</v>
      </c>
      <c r="CG155" s="0" t="s">
        <v>130</v>
      </c>
      <c r="CH155" s="0" t="s">
        <v>130</v>
      </c>
      <c r="CI155" s="0" t="s">
        <v>130</v>
      </c>
      <c r="CJ155" s="0" t="s">
        <v>130</v>
      </c>
      <c r="CK155" s="0" t="s">
        <v>130</v>
      </c>
      <c r="CL155" s="0" t="s">
        <v>130</v>
      </c>
      <c r="CM155" s="0" t="s">
        <v>130</v>
      </c>
      <c r="CN155" s="0" t="s">
        <v>130</v>
      </c>
      <c r="CO155" s="0" t="s">
        <v>130</v>
      </c>
      <c r="CP155" s="0" t="s">
        <v>130</v>
      </c>
      <c r="CQ155" s="0" t="s">
        <v>130</v>
      </c>
      <c r="CR155" s="0" t="s">
        <v>130</v>
      </c>
      <c r="CS155" s="0" t="s">
        <v>130</v>
      </c>
      <c r="CT155" s="0" t="s">
        <v>718</v>
      </c>
    </row>
    <row r="156">
      <c r="A156" s="14">
        <v>100499</v>
      </c>
      <c r="B156" s="0" t="s">
        <v>703</v>
      </c>
      <c r="C156" s="16">
        <f>HYPERLINK("https://eosportal.federatedhermes.com/companies/Q29tcGFueQppNTQ0OTU=", "Ecolab Inc")</f>
      </c>
      <c r="D156" s="0" t="s">
        <v>25</v>
      </c>
      <c r="E156" s="0" t="s">
        <v>550</v>
      </c>
      <c r="F156" s="16">
        <f>HYPERLINK("https://eosportal.federatedhermes.com/engagements/RW5nYWdlbWVudAppMTg4OTM=", "Independent chair")</f>
      </c>
      <c r="G156" s="14" t="s">
        <v>719</v>
      </c>
      <c r="H156" s="0" t="s">
        <v>130</v>
      </c>
      <c r="I156" s="14" t="s">
        <v>319</v>
      </c>
      <c r="J156" s="0" t="s">
        <v>145</v>
      </c>
      <c r="K156" s="0" t="s">
        <v>164</v>
      </c>
      <c r="L156" s="0" t="s">
        <v>165</v>
      </c>
      <c r="M156" s="0" t="s">
        <v>135</v>
      </c>
      <c r="N156" s="0" t="s">
        <v>136</v>
      </c>
      <c r="O156" s="0" t="s">
        <v>706</v>
      </c>
      <c r="Q156" s="0" t="s">
        <v>130</v>
      </c>
      <c r="R156" s="0" t="s">
        <v>138</v>
      </c>
      <c r="S156" s="14">
        <v>0</v>
      </c>
      <c r="T156" s="0" t="s">
        <v>166</v>
      </c>
      <c r="U156" s="0" t="s">
        <v>138</v>
      </c>
      <c r="V156" s="14" t="s">
        <v>138</v>
      </c>
      <c r="W156" s="0" t="s">
        <v>138</v>
      </c>
      <c r="X156" s="14" t="s">
        <v>138</v>
      </c>
      <c r="Y156" s="0" t="s">
        <v>138</v>
      </c>
      <c r="Z156" s="14" t="s">
        <v>138</v>
      </c>
      <c r="AA156" s="0" t="s">
        <v>138</v>
      </c>
      <c r="AB156" s="14" t="s">
        <v>138</v>
      </c>
      <c r="AD156" s="0" t="s">
        <v>138</v>
      </c>
      <c r="AF156" s="0">
        <v>0</v>
      </c>
      <c r="AG156" s="0">
        <v>0</v>
      </c>
      <c r="AH156" s="0" t="s">
        <v>140</v>
      </c>
      <c r="AI156" s="0" t="s">
        <v>138</v>
      </c>
      <c r="AL156" s="14"/>
      <c r="AN156" s="14"/>
      <c r="AQ156" s="0" t="s">
        <v>130</v>
      </c>
      <c r="AR156" s="0" t="s">
        <v>130</v>
      </c>
      <c r="AS156" s="0" t="s">
        <v>130</v>
      </c>
      <c r="AT156" s="0" t="s">
        <v>130</v>
      </c>
      <c r="AU156" s="0" t="s">
        <v>130</v>
      </c>
      <c r="AV156" s="0" t="s">
        <v>130</v>
      </c>
      <c r="AW156" s="0" t="s">
        <v>130</v>
      </c>
      <c r="AX156" s="0" t="s">
        <v>130</v>
      </c>
      <c r="AY156" s="0" t="s">
        <v>130</v>
      </c>
      <c r="AZ156" s="0" t="s">
        <v>130</v>
      </c>
      <c r="BA156" s="0" t="s">
        <v>130</v>
      </c>
      <c r="BB156" s="0" t="s">
        <v>130</v>
      </c>
      <c r="BC156" s="0" t="s">
        <v>130</v>
      </c>
      <c r="BD156" s="0" t="s">
        <v>130</v>
      </c>
      <c r="BE156" s="0" t="s">
        <v>130</v>
      </c>
      <c r="BF156" s="0" t="s">
        <v>130</v>
      </c>
      <c r="BG156" s="0" t="s">
        <v>130</v>
      </c>
      <c r="BH156" s="0" t="s">
        <v>130</v>
      </c>
      <c r="BI156" s="0" t="s">
        <v>130</v>
      </c>
      <c r="BJ156" s="0" t="s">
        <v>130</v>
      </c>
      <c r="BK156" s="0" t="s">
        <v>130</v>
      </c>
      <c r="BL156" s="0" t="s">
        <v>130</v>
      </c>
      <c r="BM156" s="0" t="s">
        <v>130</v>
      </c>
      <c r="BN156" s="0" t="s">
        <v>130</v>
      </c>
      <c r="BO156" s="0" t="s">
        <v>130</v>
      </c>
      <c r="BP156" s="0" t="s">
        <v>130</v>
      </c>
      <c r="BQ156" s="0" t="s">
        <v>130</v>
      </c>
      <c r="BR156" s="0" t="s">
        <v>130</v>
      </c>
      <c r="BS156" s="0" t="s">
        <v>130</v>
      </c>
      <c r="BT156" s="0" t="s">
        <v>130</v>
      </c>
      <c r="BU156" s="0" t="s">
        <v>130</v>
      </c>
      <c r="BV156" s="0" t="s">
        <v>130</v>
      </c>
      <c r="BW156" s="0" t="s">
        <v>130</v>
      </c>
      <c r="BX156" s="0" t="s">
        <v>130</v>
      </c>
      <c r="BY156" s="0" t="s">
        <v>130</v>
      </c>
      <c r="BZ156" s="0" t="s">
        <v>130</v>
      </c>
      <c r="CA156" s="0" t="s">
        <v>130</v>
      </c>
      <c r="CB156" s="0" t="s">
        <v>130</v>
      </c>
      <c r="CC156" s="0" t="s">
        <v>130</v>
      </c>
      <c r="CD156" s="0" t="s">
        <v>130</v>
      </c>
      <c r="CE156" s="0" t="s">
        <v>130</v>
      </c>
      <c r="CF156" s="0" t="s">
        <v>130</v>
      </c>
      <c r="CG156" s="0" t="s">
        <v>130</v>
      </c>
      <c r="CH156" s="0" t="s">
        <v>130</v>
      </c>
      <c r="CI156" s="0" t="s">
        <v>130</v>
      </c>
      <c r="CJ156" s="0" t="s">
        <v>130</v>
      </c>
      <c r="CK156" s="0" t="s">
        <v>130</v>
      </c>
      <c r="CL156" s="0" t="s">
        <v>130</v>
      </c>
      <c r="CM156" s="0" t="s">
        <v>130</v>
      </c>
      <c r="CN156" s="0" t="s">
        <v>130</v>
      </c>
      <c r="CO156" s="0" t="s">
        <v>130</v>
      </c>
      <c r="CP156" s="0" t="s">
        <v>130</v>
      </c>
      <c r="CQ156" s="0" t="s">
        <v>130</v>
      </c>
      <c r="CR156" s="0" t="s">
        <v>130</v>
      </c>
      <c r="CS156" s="0" t="s">
        <v>130</v>
      </c>
      <c r="CT156" s="0" t="s">
        <v>720</v>
      </c>
    </row>
    <row r="157">
      <c r="A157" s="14">
        <v>100499</v>
      </c>
      <c r="B157" s="0" t="s">
        <v>703</v>
      </c>
      <c r="C157" s="16">
        <f>HYPERLINK("https://eosportal.federatedhermes.com/companies/Q29tcGFueQppNTQ0OTU=", "Ecolab Inc")</f>
      </c>
      <c r="D157" s="0" t="s">
        <v>25</v>
      </c>
      <c r="E157" s="0" t="s">
        <v>721</v>
      </c>
      <c r="F157" s="16">
        <f>HYPERLINK("https://eosportal.federatedhermes.com/engagements/RW5nYWdlbWVudAppMTg4OTQ=", "Water stewardship")</f>
      </c>
      <c r="G157" s="14" t="s">
        <v>722</v>
      </c>
      <c r="H157" s="0" t="s">
        <v>130</v>
      </c>
      <c r="I157" s="14" t="s">
        <v>319</v>
      </c>
      <c r="J157" s="0" t="s">
        <v>197</v>
      </c>
      <c r="K157" s="0" t="s">
        <v>337</v>
      </c>
      <c r="L157" s="0" t="s">
        <v>338</v>
      </c>
      <c r="M157" s="0" t="s">
        <v>135</v>
      </c>
      <c r="N157" s="0" t="s">
        <v>136</v>
      </c>
      <c r="O157" s="0" t="s">
        <v>706</v>
      </c>
      <c r="Q157" s="0" t="s">
        <v>130</v>
      </c>
      <c r="R157" s="0" t="s">
        <v>138</v>
      </c>
      <c r="S157" s="14">
        <v>0</v>
      </c>
      <c r="T157" s="0" t="s">
        <v>327</v>
      </c>
      <c r="U157" s="0" t="s">
        <v>138</v>
      </c>
      <c r="V157" s="14" t="s">
        <v>138</v>
      </c>
      <c r="W157" s="0" t="s">
        <v>138</v>
      </c>
      <c r="X157" s="14" t="s">
        <v>138</v>
      </c>
      <c r="Y157" s="0" t="s">
        <v>138</v>
      </c>
      <c r="Z157" s="14" t="s">
        <v>138</v>
      </c>
      <c r="AA157" s="0" t="s">
        <v>138</v>
      </c>
      <c r="AB157" s="14" t="s">
        <v>138</v>
      </c>
      <c r="AD157" s="0" t="s">
        <v>138</v>
      </c>
      <c r="AF157" s="0">
        <v>0</v>
      </c>
      <c r="AG157" s="0">
        <v>0</v>
      </c>
      <c r="AH157" s="0" t="s">
        <v>140</v>
      </c>
      <c r="AI157" s="0" t="s">
        <v>138</v>
      </c>
      <c r="AL157" s="14"/>
      <c r="AN157" s="14"/>
      <c r="AQ157" s="0" t="s">
        <v>130</v>
      </c>
      <c r="AR157" s="0" t="s">
        <v>130</v>
      </c>
      <c r="AS157" s="0" t="s">
        <v>130</v>
      </c>
      <c r="AT157" s="0" t="s">
        <v>130</v>
      </c>
      <c r="AU157" s="0" t="s">
        <v>130</v>
      </c>
      <c r="AV157" s="0" t="s">
        <v>141</v>
      </c>
      <c r="AW157" s="0" t="s">
        <v>130</v>
      </c>
      <c r="AX157" s="0" t="s">
        <v>130</v>
      </c>
      <c r="AY157" s="0" t="s">
        <v>130</v>
      </c>
      <c r="AZ157" s="0" t="s">
        <v>130</v>
      </c>
      <c r="BA157" s="0" t="s">
        <v>130</v>
      </c>
      <c r="BB157" s="0" t="s">
        <v>130</v>
      </c>
      <c r="BC157" s="0" t="s">
        <v>130</v>
      </c>
      <c r="BD157" s="0" t="s">
        <v>130</v>
      </c>
      <c r="BE157" s="0" t="s">
        <v>130</v>
      </c>
      <c r="BF157" s="0" t="s">
        <v>130</v>
      </c>
      <c r="BG157" s="0" t="s">
        <v>130</v>
      </c>
      <c r="BH157" s="0" t="s">
        <v>130</v>
      </c>
      <c r="BI157" s="0" t="s">
        <v>130</v>
      </c>
      <c r="BJ157" s="0" t="s">
        <v>130</v>
      </c>
      <c r="BK157" s="0" t="s">
        <v>130</v>
      </c>
      <c r="BL157" s="0" t="s">
        <v>130</v>
      </c>
      <c r="BM157" s="0" t="s">
        <v>130</v>
      </c>
      <c r="BN157" s="0" t="s">
        <v>130</v>
      </c>
      <c r="BO157" s="0" t="s">
        <v>130</v>
      </c>
      <c r="BP157" s="0" t="s">
        <v>130</v>
      </c>
      <c r="BQ157" s="0" t="s">
        <v>130</v>
      </c>
      <c r="BR157" s="0" t="s">
        <v>130</v>
      </c>
      <c r="BS157" s="0" t="s">
        <v>130</v>
      </c>
      <c r="BT157" s="0" t="s">
        <v>130</v>
      </c>
      <c r="BU157" s="0" t="s">
        <v>130</v>
      </c>
      <c r="BV157" s="0" t="s">
        <v>130</v>
      </c>
      <c r="BW157" s="0" t="s">
        <v>130</v>
      </c>
      <c r="BX157" s="0" t="s">
        <v>141</v>
      </c>
      <c r="BY157" s="0" t="s">
        <v>130</v>
      </c>
      <c r="BZ157" s="0" t="s">
        <v>130</v>
      </c>
      <c r="CA157" s="0" t="s">
        <v>130</v>
      </c>
      <c r="CB157" s="0" t="s">
        <v>130</v>
      </c>
      <c r="CC157" s="0" t="s">
        <v>130</v>
      </c>
      <c r="CD157" s="0" t="s">
        <v>130</v>
      </c>
      <c r="CE157" s="0" t="s">
        <v>130</v>
      </c>
      <c r="CF157" s="0" t="s">
        <v>130</v>
      </c>
      <c r="CG157" s="0" t="s">
        <v>130</v>
      </c>
      <c r="CH157" s="0" t="s">
        <v>130</v>
      </c>
      <c r="CI157" s="0" t="s">
        <v>130</v>
      </c>
      <c r="CJ157" s="0" t="s">
        <v>130</v>
      </c>
      <c r="CK157" s="0" t="s">
        <v>130</v>
      </c>
      <c r="CL157" s="0" t="s">
        <v>130</v>
      </c>
      <c r="CM157" s="0" t="s">
        <v>130</v>
      </c>
      <c r="CN157" s="0" t="s">
        <v>130</v>
      </c>
      <c r="CO157" s="0" t="s">
        <v>130</v>
      </c>
      <c r="CP157" s="0" t="s">
        <v>130</v>
      </c>
      <c r="CQ157" s="0" t="s">
        <v>130</v>
      </c>
      <c r="CR157" s="0" t="s">
        <v>130</v>
      </c>
      <c r="CS157" s="0" t="s">
        <v>130</v>
      </c>
      <c r="CT157" s="0" t="s">
        <v>723</v>
      </c>
    </row>
    <row r="158">
      <c r="A158" s="14">
        <v>100532</v>
      </c>
      <c r="B158" s="0" t="s">
        <v>724</v>
      </c>
      <c r="C158" s="16">
        <f>HYPERLINK("https://eosportal.federatedhermes.com/companies/Q29tcGFueQppNTQ1MDU=", "Entergy Corp")</f>
      </c>
      <c r="D158" s="0" t="s">
        <v>25</v>
      </c>
      <c r="E158" s="0" t="s">
        <v>725</v>
      </c>
      <c r="F158" s="16">
        <f>HYPERLINK("https://eosportal.federatedhermes.com/engagements/RW5nYWdlbWVudAppMTg5NTU=", "Improve alignment between executive pay and performance")</f>
      </c>
      <c r="G158" s="14" t="s">
        <v>726</v>
      </c>
      <c r="H158" s="0" t="s">
        <v>141</v>
      </c>
      <c r="I158" s="14" t="s">
        <v>636</v>
      </c>
      <c r="J158" s="0" t="s">
        <v>145</v>
      </c>
      <c r="K158" s="0" t="s">
        <v>146</v>
      </c>
      <c r="L158" s="0" t="s">
        <v>147</v>
      </c>
      <c r="M158" s="0" t="s">
        <v>135</v>
      </c>
      <c r="N158" s="0" t="s">
        <v>136</v>
      </c>
      <c r="O158" s="0" t="s">
        <v>192</v>
      </c>
      <c r="Q158" s="0" t="s">
        <v>130</v>
      </c>
      <c r="R158" s="0" t="s">
        <v>138</v>
      </c>
      <c r="S158" s="14">
        <v>0</v>
      </c>
      <c r="T158" s="0" t="s">
        <v>181</v>
      </c>
      <c r="U158" s="0" t="s">
        <v>138</v>
      </c>
      <c r="V158" s="14" t="s">
        <v>138</v>
      </c>
      <c r="W158" s="0" t="s">
        <v>138</v>
      </c>
      <c r="X158" s="14" t="s">
        <v>138</v>
      </c>
      <c r="Y158" s="0" t="s">
        <v>138</v>
      </c>
      <c r="Z158" s="14" t="s">
        <v>138</v>
      </c>
      <c r="AA158" s="0" t="s">
        <v>138</v>
      </c>
      <c r="AB158" s="14" t="s">
        <v>138</v>
      </c>
      <c r="AD158" s="0" t="s">
        <v>138</v>
      </c>
      <c r="AF158" s="0">
        <v>0</v>
      </c>
      <c r="AG158" s="0">
        <v>0</v>
      </c>
      <c r="AH158" s="0" t="s">
        <v>140</v>
      </c>
      <c r="AI158" s="0" t="s">
        <v>138</v>
      </c>
      <c r="AL158" s="14"/>
      <c r="AN158" s="14"/>
      <c r="AQ158" s="0" t="s">
        <v>130</v>
      </c>
      <c r="AR158" s="0" t="s">
        <v>130</v>
      </c>
      <c r="AS158" s="0" t="s">
        <v>130</v>
      </c>
      <c r="AT158" s="0" t="s">
        <v>130</v>
      </c>
      <c r="AU158" s="0" t="s">
        <v>130</v>
      </c>
      <c r="AV158" s="0" t="s">
        <v>130</v>
      </c>
      <c r="AW158" s="0" t="s">
        <v>130</v>
      </c>
      <c r="AX158" s="0" t="s">
        <v>130</v>
      </c>
      <c r="AY158" s="0" t="s">
        <v>130</v>
      </c>
      <c r="AZ158" s="0" t="s">
        <v>130</v>
      </c>
      <c r="BA158" s="0" t="s">
        <v>130</v>
      </c>
      <c r="BB158" s="0" t="s">
        <v>130</v>
      </c>
      <c r="BC158" s="0" t="s">
        <v>130</v>
      </c>
      <c r="BD158" s="0" t="s">
        <v>130</v>
      </c>
      <c r="BE158" s="0" t="s">
        <v>130</v>
      </c>
      <c r="BF158" s="0" t="s">
        <v>130</v>
      </c>
      <c r="BG158" s="0" t="s">
        <v>130</v>
      </c>
      <c r="BH158" s="0" t="s">
        <v>130</v>
      </c>
      <c r="BI158" s="0" t="s">
        <v>130</v>
      </c>
      <c r="BJ158" s="0" t="s">
        <v>130</v>
      </c>
      <c r="BK158" s="0" t="s">
        <v>130</v>
      </c>
      <c r="BL158" s="0" t="s">
        <v>130</v>
      </c>
      <c r="BM158" s="0" t="s">
        <v>130</v>
      </c>
      <c r="BN158" s="0" t="s">
        <v>130</v>
      </c>
      <c r="BO158" s="0" t="s">
        <v>130</v>
      </c>
      <c r="BP158" s="0" t="s">
        <v>130</v>
      </c>
      <c r="BQ158" s="0" t="s">
        <v>130</v>
      </c>
      <c r="BR158" s="0" t="s">
        <v>130</v>
      </c>
      <c r="BS158" s="0" t="s">
        <v>130</v>
      </c>
      <c r="BT158" s="0" t="s">
        <v>130</v>
      </c>
      <c r="BU158" s="0" t="s">
        <v>130</v>
      </c>
      <c r="BV158" s="0" t="s">
        <v>130</v>
      </c>
      <c r="BW158" s="0" t="s">
        <v>130</v>
      </c>
      <c r="BX158" s="0" t="s">
        <v>130</v>
      </c>
      <c r="BY158" s="0" t="s">
        <v>130</v>
      </c>
      <c r="BZ158" s="0" t="s">
        <v>130</v>
      </c>
      <c r="CA158" s="0" t="s">
        <v>130</v>
      </c>
      <c r="CB158" s="0" t="s">
        <v>130</v>
      </c>
      <c r="CC158" s="0" t="s">
        <v>130</v>
      </c>
      <c r="CD158" s="0" t="s">
        <v>130</v>
      </c>
      <c r="CE158" s="0" t="s">
        <v>130</v>
      </c>
      <c r="CF158" s="0" t="s">
        <v>130</v>
      </c>
      <c r="CG158" s="0" t="s">
        <v>130</v>
      </c>
      <c r="CH158" s="0" t="s">
        <v>130</v>
      </c>
      <c r="CI158" s="0" t="s">
        <v>130</v>
      </c>
      <c r="CJ158" s="0" t="s">
        <v>130</v>
      </c>
      <c r="CK158" s="0" t="s">
        <v>130</v>
      </c>
      <c r="CL158" s="0" t="s">
        <v>130</v>
      </c>
      <c r="CM158" s="0" t="s">
        <v>130</v>
      </c>
      <c r="CN158" s="0" t="s">
        <v>130</v>
      </c>
      <c r="CO158" s="0" t="s">
        <v>130</v>
      </c>
      <c r="CP158" s="0" t="s">
        <v>130</v>
      </c>
      <c r="CQ158" s="0" t="s">
        <v>130</v>
      </c>
      <c r="CR158" s="0" t="s">
        <v>130</v>
      </c>
      <c r="CS158" s="0" t="s">
        <v>130</v>
      </c>
      <c r="CT158" s="0" t="s">
        <v>727</v>
      </c>
    </row>
    <row r="159">
      <c r="A159" s="14">
        <v>100537</v>
      </c>
      <c r="B159" s="0" t="s">
        <v>728</v>
      </c>
      <c r="C159" s="16">
        <f>HYPERLINK("https://eosportal.federatedhermes.com/companies/Q29tcGFueQppNTQ1MDY=", "Equifax Inc")</f>
      </c>
      <c r="D159" s="0" t="s">
        <v>25</v>
      </c>
      <c r="E159" s="0" t="s">
        <v>729</v>
      </c>
      <c r="F159" s="16">
        <f>HYPERLINK("https://eosportal.federatedhermes.com/engagements/RW5nYWdlbWVudAppMTg5NTc=", "Board diversity")</f>
      </c>
      <c r="G159" s="14" t="s">
        <v>730</v>
      </c>
      <c r="H159" s="0" t="s">
        <v>130</v>
      </c>
      <c r="I159" s="14" t="s">
        <v>131</v>
      </c>
      <c r="J159" s="0" t="s">
        <v>145</v>
      </c>
      <c r="K159" s="0" t="s">
        <v>164</v>
      </c>
      <c r="L159" s="0" t="s">
        <v>165</v>
      </c>
      <c r="M159" s="0" t="s">
        <v>135</v>
      </c>
      <c r="N159" s="0" t="s">
        <v>136</v>
      </c>
      <c r="O159" s="0" t="s">
        <v>176</v>
      </c>
      <c r="Q159" s="0" t="s">
        <v>130</v>
      </c>
      <c r="R159" s="0" t="s">
        <v>138</v>
      </c>
      <c r="S159" s="14">
        <v>0</v>
      </c>
      <c r="T159" s="0" t="s">
        <v>355</v>
      </c>
      <c r="U159" s="0" t="s">
        <v>138</v>
      </c>
      <c r="V159" s="14" t="s">
        <v>138</v>
      </c>
      <c r="W159" s="0" t="s">
        <v>138</v>
      </c>
      <c r="X159" s="14" t="s">
        <v>138</v>
      </c>
      <c r="Y159" s="0" t="s">
        <v>138</v>
      </c>
      <c r="Z159" s="14" t="s">
        <v>138</v>
      </c>
      <c r="AA159" s="0" t="s">
        <v>138</v>
      </c>
      <c r="AB159" s="14" t="s">
        <v>138</v>
      </c>
      <c r="AD159" s="0" t="s">
        <v>138</v>
      </c>
      <c r="AF159" s="0">
        <v>0</v>
      </c>
      <c r="AG159" s="0">
        <v>0</v>
      </c>
      <c r="AH159" s="0" t="s">
        <v>140</v>
      </c>
      <c r="AI159" s="0" t="s">
        <v>138</v>
      </c>
      <c r="AL159" s="14"/>
      <c r="AN159" s="14"/>
      <c r="AQ159" s="0" t="s">
        <v>130</v>
      </c>
      <c r="AR159" s="0" t="s">
        <v>130</v>
      </c>
      <c r="AS159" s="0" t="s">
        <v>130</v>
      </c>
      <c r="AT159" s="0" t="s">
        <v>130</v>
      </c>
      <c r="AU159" s="0" t="s">
        <v>141</v>
      </c>
      <c r="AV159" s="0" t="s">
        <v>130</v>
      </c>
      <c r="AW159" s="0" t="s">
        <v>130</v>
      </c>
      <c r="AX159" s="0" t="s">
        <v>130</v>
      </c>
      <c r="AY159" s="0" t="s">
        <v>130</v>
      </c>
      <c r="AZ159" s="0" t="s">
        <v>141</v>
      </c>
      <c r="BA159" s="0" t="s">
        <v>130</v>
      </c>
      <c r="BB159" s="0" t="s">
        <v>130</v>
      </c>
      <c r="BC159" s="0" t="s">
        <v>130</v>
      </c>
      <c r="BD159" s="0" t="s">
        <v>130</v>
      </c>
      <c r="BE159" s="0" t="s">
        <v>130</v>
      </c>
      <c r="BF159" s="0" t="s">
        <v>130</v>
      </c>
      <c r="BG159" s="0" t="s">
        <v>130</v>
      </c>
      <c r="BH159" s="0" t="s">
        <v>130</v>
      </c>
      <c r="BI159" s="0" t="s">
        <v>130</v>
      </c>
      <c r="BJ159" s="0" t="s">
        <v>130</v>
      </c>
      <c r="BK159" s="0" t="s">
        <v>130</v>
      </c>
      <c r="BL159" s="0" t="s">
        <v>130</v>
      </c>
      <c r="BM159" s="0" t="s">
        <v>130</v>
      </c>
      <c r="BN159" s="0" t="s">
        <v>130</v>
      </c>
      <c r="BO159" s="0" t="s">
        <v>130</v>
      </c>
      <c r="BP159" s="0" t="s">
        <v>130</v>
      </c>
      <c r="BQ159" s="0" t="s">
        <v>130</v>
      </c>
      <c r="BR159" s="0" t="s">
        <v>130</v>
      </c>
      <c r="BS159" s="0" t="s">
        <v>130</v>
      </c>
      <c r="BT159" s="0" t="s">
        <v>130</v>
      </c>
      <c r="BU159" s="0" t="s">
        <v>130</v>
      </c>
      <c r="BV159" s="0" t="s">
        <v>130</v>
      </c>
      <c r="BW159" s="0" t="s">
        <v>130</v>
      </c>
      <c r="BX159" s="0" t="s">
        <v>130</v>
      </c>
      <c r="BY159" s="0" t="s">
        <v>130</v>
      </c>
      <c r="BZ159" s="0" t="s">
        <v>130</v>
      </c>
      <c r="CA159" s="0" t="s">
        <v>130</v>
      </c>
      <c r="CB159" s="0" t="s">
        <v>130</v>
      </c>
      <c r="CC159" s="0" t="s">
        <v>130</v>
      </c>
      <c r="CD159" s="0" t="s">
        <v>130</v>
      </c>
      <c r="CE159" s="0" t="s">
        <v>130</v>
      </c>
      <c r="CF159" s="0" t="s">
        <v>130</v>
      </c>
      <c r="CG159" s="0" t="s">
        <v>130</v>
      </c>
      <c r="CH159" s="0" t="s">
        <v>130</v>
      </c>
      <c r="CI159" s="0" t="s">
        <v>130</v>
      </c>
      <c r="CJ159" s="0" t="s">
        <v>130</v>
      </c>
      <c r="CK159" s="0" t="s">
        <v>130</v>
      </c>
      <c r="CL159" s="0" t="s">
        <v>130</v>
      </c>
      <c r="CM159" s="0" t="s">
        <v>130</v>
      </c>
      <c r="CN159" s="0" t="s">
        <v>130</v>
      </c>
      <c r="CO159" s="0" t="s">
        <v>130</v>
      </c>
      <c r="CP159" s="0" t="s">
        <v>130</v>
      </c>
      <c r="CQ159" s="0" t="s">
        <v>130</v>
      </c>
      <c r="CR159" s="0" t="s">
        <v>130</v>
      </c>
      <c r="CS159" s="0" t="s">
        <v>130</v>
      </c>
      <c r="CT159" s="0" t="s">
        <v>731</v>
      </c>
    </row>
    <row r="160">
      <c r="A160" s="14">
        <v>100537</v>
      </c>
      <c r="B160" s="0" t="s">
        <v>728</v>
      </c>
      <c r="C160" s="16">
        <f>HYPERLINK("https://eosportal.federatedhermes.com/companies/Q29tcGFueQppNTQ1MDY=", "Equifax Inc")</f>
      </c>
      <c r="D160" s="0" t="s">
        <v>25</v>
      </c>
      <c r="E160" s="0" t="s">
        <v>732</v>
      </c>
      <c r="F160" s="16">
        <f>HYPERLINK("https://eosportal.federatedhermes.com/engagements/RW5nYWdlbWVudAppMTg5NTg=", "Excessive Pay &amp; One-Time Awards")</f>
      </c>
      <c r="G160" s="14" t="s">
        <v>733</v>
      </c>
      <c r="H160" s="0" t="s">
        <v>130</v>
      </c>
      <c r="I160" s="14" t="s">
        <v>131</v>
      </c>
      <c r="J160" s="0" t="s">
        <v>145</v>
      </c>
      <c r="K160" s="0" t="s">
        <v>146</v>
      </c>
      <c r="L160" s="0" t="s">
        <v>147</v>
      </c>
      <c r="M160" s="0" t="s">
        <v>135</v>
      </c>
      <c r="N160" s="0" t="s">
        <v>136</v>
      </c>
      <c r="O160" s="0" t="s">
        <v>176</v>
      </c>
      <c r="Q160" s="0" t="s">
        <v>130</v>
      </c>
      <c r="R160" s="0" t="s">
        <v>138</v>
      </c>
      <c r="S160" s="14">
        <v>0</v>
      </c>
      <c r="T160" s="0" t="s">
        <v>166</v>
      </c>
      <c r="U160" s="0" t="s">
        <v>138</v>
      </c>
      <c r="V160" s="14" t="s">
        <v>138</v>
      </c>
      <c r="W160" s="0" t="s">
        <v>138</v>
      </c>
      <c r="X160" s="14" t="s">
        <v>138</v>
      </c>
      <c r="Y160" s="0" t="s">
        <v>138</v>
      </c>
      <c r="Z160" s="14" t="s">
        <v>138</v>
      </c>
      <c r="AA160" s="0" t="s">
        <v>138</v>
      </c>
      <c r="AB160" s="14" t="s">
        <v>138</v>
      </c>
      <c r="AD160" s="0" t="s">
        <v>138</v>
      </c>
      <c r="AF160" s="0">
        <v>0</v>
      </c>
      <c r="AG160" s="0">
        <v>0</v>
      </c>
      <c r="AH160" s="0" t="s">
        <v>140</v>
      </c>
      <c r="AI160" s="0" t="s">
        <v>138</v>
      </c>
      <c r="AL160" s="14"/>
      <c r="AN160" s="14"/>
      <c r="AQ160" s="0" t="s">
        <v>130</v>
      </c>
      <c r="AR160" s="0" t="s">
        <v>130</v>
      </c>
      <c r="AS160" s="0" t="s">
        <v>130</v>
      </c>
      <c r="AT160" s="0" t="s">
        <v>130</v>
      </c>
      <c r="AU160" s="0" t="s">
        <v>130</v>
      </c>
      <c r="AV160" s="0" t="s">
        <v>130</v>
      </c>
      <c r="AW160" s="0" t="s">
        <v>130</v>
      </c>
      <c r="AX160" s="0" t="s">
        <v>130</v>
      </c>
      <c r="AY160" s="0" t="s">
        <v>130</v>
      </c>
      <c r="AZ160" s="0" t="s">
        <v>130</v>
      </c>
      <c r="BA160" s="0" t="s">
        <v>130</v>
      </c>
      <c r="BB160" s="0" t="s">
        <v>130</v>
      </c>
      <c r="BC160" s="0" t="s">
        <v>130</v>
      </c>
      <c r="BD160" s="0" t="s">
        <v>130</v>
      </c>
      <c r="BE160" s="0" t="s">
        <v>130</v>
      </c>
      <c r="BF160" s="0" t="s">
        <v>130</v>
      </c>
      <c r="BG160" s="0" t="s">
        <v>130</v>
      </c>
      <c r="BH160" s="0" t="s">
        <v>130</v>
      </c>
      <c r="BI160" s="0" t="s">
        <v>130</v>
      </c>
      <c r="BJ160" s="0" t="s">
        <v>130</v>
      </c>
      <c r="BK160" s="0" t="s">
        <v>130</v>
      </c>
      <c r="BL160" s="0" t="s">
        <v>130</v>
      </c>
      <c r="BM160" s="0" t="s">
        <v>130</v>
      </c>
      <c r="BN160" s="0" t="s">
        <v>130</v>
      </c>
      <c r="BO160" s="0" t="s">
        <v>130</v>
      </c>
      <c r="BP160" s="0" t="s">
        <v>130</v>
      </c>
      <c r="BQ160" s="0" t="s">
        <v>130</v>
      </c>
      <c r="BR160" s="0" t="s">
        <v>130</v>
      </c>
      <c r="BS160" s="0" t="s">
        <v>130</v>
      </c>
      <c r="BT160" s="0" t="s">
        <v>130</v>
      </c>
      <c r="BU160" s="0" t="s">
        <v>130</v>
      </c>
      <c r="BV160" s="0" t="s">
        <v>130</v>
      </c>
      <c r="BW160" s="0" t="s">
        <v>130</v>
      </c>
      <c r="BX160" s="0" t="s">
        <v>130</v>
      </c>
      <c r="BY160" s="0" t="s">
        <v>130</v>
      </c>
      <c r="BZ160" s="0" t="s">
        <v>130</v>
      </c>
      <c r="CA160" s="0" t="s">
        <v>130</v>
      </c>
      <c r="CB160" s="0" t="s">
        <v>130</v>
      </c>
      <c r="CC160" s="0" t="s">
        <v>130</v>
      </c>
      <c r="CD160" s="0" t="s">
        <v>130</v>
      </c>
      <c r="CE160" s="0" t="s">
        <v>130</v>
      </c>
      <c r="CF160" s="0" t="s">
        <v>130</v>
      </c>
      <c r="CG160" s="0" t="s">
        <v>130</v>
      </c>
      <c r="CH160" s="0" t="s">
        <v>130</v>
      </c>
      <c r="CI160" s="0" t="s">
        <v>130</v>
      </c>
      <c r="CJ160" s="0" t="s">
        <v>130</v>
      </c>
      <c r="CK160" s="0" t="s">
        <v>130</v>
      </c>
      <c r="CL160" s="0" t="s">
        <v>130</v>
      </c>
      <c r="CM160" s="0" t="s">
        <v>130</v>
      </c>
      <c r="CN160" s="0" t="s">
        <v>130</v>
      </c>
      <c r="CO160" s="0" t="s">
        <v>130</v>
      </c>
      <c r="CP160" s="0" t="s">
        <v>130</v>
      </c>
      <c r="CQ160" s="0" t="s">
        <v>130</v>
      </c>
      <c r="CR160" s="0" t="s">
        <v>130</v>
      </c>
      <c r="CS160" s="0" t="s">
        <v>130</v>
      </c>
      <c r="CT160" s="0" t="s">
        <v>734</v>
      </c>
    </row>
    <row r="161">
      <c r="A161" s="14">
        <v>100537</v>
      </c>
      <c r="B161" s="0" t="s">
        <v>728</v>
      </c>
      <c r="C161" s="16">
        <f>HYPERLINK("https://eosportal.federatedhermes.com/companies/Q29tcGFueQppNTQ1MDY=", "Equifax Inc")</f>
      </c>
      <c r="D161" s="0" t="s">
        <v>25</v>
      </c>
      <c r="E161" s="0" t="s">
        <v>735</v>
      </c>
      <c r="F161" s="16">
        <f>HYPERLINK("https://eosportal.federatedhermes.com/engagements/RW5nYWdlbWVudAppMTg5NTk=", "Sustainability reporting")</f>
      </c>
      <c r="G161" s="14" t="s">
        <v>736</v>
      </c>
      <c r="H161" s="0" t="s">
        <v>130</v>
      </c>
      <c r="I161" s="14" t="s">
        <v>131</v>
      </c>
      <c r="J161" s="0" t="s">
        <v>132</v>
      </c>
      <c r="K161" s="0" t="s">
        <v>170</v>
      </c>
      <c r="L161" s="0" t="s">
        <v>171</v>
      </c>
      <c r="M161" s="0" t="s">
        <v>135</v>
      </c>
      <c r="N161" s="0" t="s">
        <v>136</v>
      </c>
      <c r="O161" s="0" t="s">
        <v>176</v>
      </c>
      <c r="Q161" s="0" t="s">
        <v>130</v>
      </c>
      <c r="R161" s="0" t="s">
        <v>138</v>
      </c>
      <c r="S161" s="14">
        <v>0</v>
      </c>
      <c r="T161" s="0" t="s">
        <v>156</v>
      </c>
      <c r="U161" s="0" t="s">
        <v>138</v>
      </c>
      <c r="V161" s="14" t="s">
        <v>138</v>
      </c>
      <c r="W161" s="0" t="s">
        <v>138</v>
      </c>
      <c r="X161" s="14" t="s">
        <v>138</v>
      </c>
      <c r="Y161" s="0" t="s">
        <v>138</v>
      </c>
      <c r="Z161" s="14" t="s">
        <v>138</v>
      </c>
      <c r="AA161" s="0" t="s">
        <v>138</v>
      </c>
      <c r="AB161" s="14" t="s">
        <v>138</v>
      </c>
      <c r="AD161" s="0" t="s">
        <v>138</v>
      </c>
      <c r="AF161" s="0">
        <v>0</v>
      </c>
      <c r="AG161" s="0">
        <v>0</v>
      </c>
      <c r="AH161" s="0" t="s">
        <v>140</v>
      </c>
      <c r="AI161" s="0" t="s">
        <v>138</v>
      </c>
      <c r="AL161" s="14"/>
      <c r="AN161" s="14"/>
      <c r="AQ161" s="0" t="s">
        <v>130</v>
      </c>
      <c r="AR161" s="0" t="s">
        <v>130</v>
      </c>
      <c r="AS161" s="0" t="s">
        <v>130</v>
      </c>
      <c r="AT161" s="0" t="s">
        <v>130</v>
      </c>
      <c r="AU161" s="0" t="s">
        <v>130</v>
      </c>
      <c r="AV161" s="0" t="s">
        <v>130</v>
      </c>
      <c r="AW161" s="0" t="s">
        <v>130</v>
      </c>
      <c r="AX161" s="0" t="s">
        <v>130</v>
      </c>
      <c r="AY161" s="0" t="s">
        <v>130</v>
      </c>
      <c r="AZ161" s="0" t="s">
        <v>130</v>
      </c>
      <c r="BA161" s="0" t="s">
        <v>130</v>
      </c>
      <c r="BB161" s="0" t="s">
        <v>141</v>
      </c>
      <c r="BC161" s="0" t="s">
        <v>130</v>
      </c>
      <c r="BD161" s="0" t="s">
        <v>130</v>
      </c>
      <c r="BE161" s="0" t="s">
        <v>130</v>
      </c>
      <c r="BF161" s="0" t="s">
        <v>130</v>
      </c>
      <c r="BG161" s="0" t="s">
        <v>130</v>
      </c>
      <c r="BH161" s="0" t="s">
        <v>130</v>
      </c>
      <c r="BI161" s="0" t="s">
        <v>130</v>
      </c>
      <c r="BJ161" s="0" t="s">
        <v>130</v>
      </c>
      <c r="BK161" s="0" t="s">
        <v>130</v>
      </c>
      <c r="BL161" s="0" t="s">
        <v>130</v>
      </c>
      <c r="BM161" s="0" t="s">
        <v>130</v>
      </c>
      <c r="BN161" s="0" t="s">
        <v>130</v>
      </c>
      <c r="BO161" s="0" t="s">
        <v>130</v>
      </c>
      <c r="BP161" s="0" t="s">
        <v>130</v>
      </c>
      <c r="BQ161" s="0" t="s">
        <v>130</v>
      </c>
      <c r="BR161" s="0" t="s">
        <v>130</v>
      </c>
      <c r="BS161" s="0" t="s">
        <v>130</v>
      </c>
      <c r="BT161" s="0" t="s">
        <v>130</v>
      </c>
      <c r="BU161" s="0" t="s">
        <v>130</v>
      </c>
      <c r="BV161" s="0" t="s">
        <v>130</v>
      </c>
      <c r="BW161" s="0" t="s">
        <v>130</v>
      </c>
      <c r="BX161" s="0" t="s">
        <v>130</v>
      </c>
      <c r="BY161" s="0" t="s">
        <v>130</v>
      </c>
      <c r="BZ161" s="0" t="s">
        <v>130</v>
      </c>
      <c r="CA161" s="0" t="s">
        <v>130</v>
      </c>
      <c r="CB161" s="0" t="s">
        <v>130</v>
      </c>
      <c r="CC161" s="0" t="s">
        <v>130</v>
      </c>
      <c r="CD161" s="0" t="s">
        <v>130</v>
      </c>
      <c r="CE161" s="0" t="s">
        <v>130</v>
      </c>
      <c r="CF161" s="0" t="s">
        <v>130</v>
      </c>
      <c r="CG161" s="0" t="s">
        <v>130</v>
      </c>
      <c r="CH161" s="0" t="s">
        <v>130</v>
      </c>
      <c r="CI161" s="0" t="s">
        <v>130</v>
      </c>
      <c r="CJ161" s="0" t="s">
        <v>130</v>
      </c>
      <c r="CK161" s="0" t="s">
        <v>130</v>
      </c>
      <c r="CL161" s="0" t="s">
        <v>130</v>
      </c>
      <c r="CM161" s="0" t="s">
        <v>130</v>
      </c>
      <c r="CN161" s="0" t="s">
        <v>130</v>
      </c>
      <c r="CO161" s="0" t="s">
        <v>130</v>
      </c>
      <c r="CP161" s="0" t="s">
        <v>130</v>
      </c>
      <c r="CQ161" s="0" t="s">
        <v>130</v>
      </c>
      <c r="CR161" s="0" t="s">
        <v>130</v>
      </c>
      <c r="CS161" s="0" t="s">
        <v>130</v>
      </c>
      <c r="CT161" s="0" t="s">
        <v>737</v>
      </c>
    </row>
    <row r="162">
      <c r="A162" s="14">
        <v>100537</v>
      </c>
      <c r="B162" s="0" t="s">
        <v>728</v>
      </c>
      <c r="C162" s="16">
        <f>HYPERLINK("https://eosportal.federatedhermes.com/companies/Q29tcGFueQppNTQ1MDY=", "Equifax Inc")</f>
      </c>
      <c r="D162" s="0" t="s">
        <v>25</v>
      </c>
      <c r="E162" s="0" t="s">
        <v>738</v>
      </c>
      <c r="F162" s="16">
        <f>HYPERLINK("https://eosportal.federatedhermes.com/engagements/RW5nYWdlbWVudAppMTg5NjA=", "Board skills")</f>
      </c>
      <c r="G162" s="14" t="s">
        <v>739</v>
      </c>
      <c r="H162" s="0" t="s">
        <v>130</v>
      </c>
      <c r="I162" s="14" t="s">
        <v>131</v>
      </c>
      <c r="J162" s="0" t="s">
        <v>145</v>
      </c>
      <c r="K162" s="0" t="s">
        <v>164</v>
      </c>
      <c r="L162" s="0" t="s">
        <v>165</v>
      </c>
      <c r="M162" s="0" t="s">
        <v>135</v>
      </c>
      <c r="N162" s="0" t="s">
        <v>136</v>
      </c>
      <c r="O162" s="0" t="s">
        <v>176</v>
      </c>
      <c r="Q162" s="0" t="s">
        <v>130</v>
      </c>
      <c r="R162" s="0" t="s">
        <v>138</v>
      </c>
      <c r="S162" s="14">
        <v>0</v>
      </c>
      <c r="T162" s="0" t="s">
        <v>320</v>
      </c>
      <c r="U162" s="0" t="s">
        <v>138</v>
      </c>
      <c r="V162" s="14" t="s">
        <v>138</v>
      </c>
      <c r="W162" s="0" t="s">
        <v>138</v>
      </c>
      <c r="X162" s="14" t="s">
        <v>138</v>
      </c>
      <c r="Y162" s="0" t="s">
        <v>138</v>
      </c>
      <c r="Z162" s="14" t="s">
        <v>138</v>
      </c>
      <c r="AA162" s="0" t="s">
        <v>138</v>
      </c>
      <c r="AB162" s="14" t="s">
        <v>138</v>
      </c>
      <c r="AD162" s="0" t="s">
        <v>138</v>
      </c>
      <c r="AF162" s="0">
        <v>0</v>
      </c>
      <c r="AG162" s="0">
        <v>0</v>
      </c>
      <c r="AH162" s="0" t="s">
        <v>140</v>
      </c>
      <c r="AI162" s="0" t="s">
        <v>138</v>
      </c>
      <c r="AL162" s="14"/>
      <c r="AN162" s="14"/>
      <c r="AQ162" s="0" t="s">
        <v>130</v>
      </c>
      <c r="AR162" s="0" t="s">
        <v>130</v>
      </c>
      <c r="AS162" s="0" t="s">
        <v>130</v>
      </c>
      <c r="AT162" s="0" t="s">
        <v>130</v>
      </c>
      <c r="AU162" s="0" t="s">
        <v>141</v>
      </c>
      <c r="AV162" s="0" t="s">
        <v>130</v>
      </c>
      <c r="AW162" s="0" t="s">
        <v>130</v>
      </c>
      <c r="AX162" s="0" t="s">
        <v>130</v>
      </c>
      <c r="AY162" s="0" t="s">
        <v>130</v>
      </c>
      <c r="AZ162" s="0" t="s">
        <v>130</v>
      </c>
      <c r="BA162" s="0" t="s">
        <v>130</v>
      </c>
      <c r="BB162" s="0" t="s">
        <v>130</v>
      </c>
      <c r="BC162" s="0" t="s">
        <v>130</v>
      </c>
      <c r="BD162" s="0" t="s">
        <v>130</v>
      </c>
      <c r="BE162" s="0" t="s">
        <v>130</v>
      </c>
      <c r="BF162" s="0" t="s">
        <v>130</v>
      </c>
      <c r="BG162" s="0" t="s">
        <v>130</v>
      </c>
      <c r="BH162" s="0" t="s">
        <v>130</v>
      </c>
      <c r="BI162" s="0" t="s">
        <v>130</v>
      </c>
      <c r="BJ162" s="0" t="s">
        <v>130</v>
      </c>
      <c r="BK162" s="0" t="s">
        <v>130</v>
      </c>
      <c r="BL162" s="0" t="s">
        <v>130</v>
      </c>
      <c r="BM162" s="0" t="s">
        <v>130</v>
      </c>
      <c r="BN162" s="0" t="s">
        <v>130</v>
      </c>
      <c r="BO162" s="0" t="s">
        <v>130</v>
      </c>
      <c r="BP162" s="0" t="s">
        <v>130</v>
      </c>
      <c r="BQ162" s="0" t="s">
        <v>130</v>
      </c>
      <c r="BR162" s="0" t="s">
        <v>130</v>
      </c>
      <c r="BS162" s="0" t="s">
        <v>130</v>
      </c>
      <c r="BT162" s="0" t="s">
        <v>130</v>
      </c>
      <c r="BU162" s="0" t="s">
        <v>130</v>
      </c>
      <c r="BV162" s="0" t="s">
        <v>130</v>
      </c>
      <c r="BW162" s="0" t="s">
        <v>130</v>
      </c>
      <c r="BX162" s="0" t="s">
        <v>130</v>
      </c>
      <c r="BY162" s="0" t="s">
        <v>130</v>
      </c>
      <c r="BZ162" s="0" t="s">
        <v>130</v>
      </c>
      <c r="CA162" s="0" t="s">
        <v>130</v>
      </c>
      <c r="CB162" s="0" t="s">
        <v>130</v>
      </c>
      <c r="CC162" s="0" t="s">
        <v>130</v>
      </c>
      <c r="CD162" s="0" t="s">
        <v>130</v>
      </c>
      <c r="CE162" s="0" t="s">
        <v>130</v>
      </c>
      <c r="CF162" s="0" t="s">
        <v>130</v>
      </c>
      <c r="CG162" s="0" t="s">
        <v>130</v>
      </c>
      <c r="CH162" s="0" t="s">
        <v>130</v>
      </c>
      <c r="CI162" s="0" t="s">
        <v>130</v>
      </c>
      <c r="CJ162" s="0" t="s">
        <v>130</v>
      </c>
      <c r="CK162" s="0" t="s">
        <v>130</v>
      </c>
      <c r="CL162" s="0" t="s">
        <v>130</v>
      </c>
      <c r="CM162" s="0" t="s">
        <v>130</v>
      </c>
      <c r="CN162" s="0" t="s">
        <v>130</v>
      </c>
      <c r="CO162" s="0" t="s">
        <v>130</v>
      </c>
      <c r="CP162" s="0" t="s">
        <v>130</v>
      </c>
      <c r="CQ162" s="0" t="s">
        <v>130</v>
      </c>
      <c r="CR162" s="0" t="s">
        <v>130</v>
      </c>
      <c r="CS162" s="0" t="s">
        <v>130</v>
      </c>
      <c r="CT162" s="0" t="s">
        <v>740</v>
      </c>
    </row>
    <row r="163">
      <c r="A163" s="14">
        <v>100537</v>
      </c>
      <c r="B163" s="0" t="s">
        <v>728</v>
      </c>
      <c r="C163" s="16">
        <f>HYPERLINK("https://eosportal.federatedhermes.com/companies/Q29tcGFueQppNTQ1MDY=", "Equifax Inc")</f>
      </c>
      <c r="D163" s="0" t="s">
        <v>25</v>
      </c>
      <c r="E163" s="0" t="s">
        <v>741</v>
      </c>
      <c r="F163" s="16">
        <f>HYPERLINK("https://eosportal.federatedhermes.com/engagements/RW5nYWdlbWVudAppMTg5NjE=", "Data security")</f>
      </c>
      <c r="G163" s="14" t="s">
        <v>742</v>
      </c>
      <c r="H163" s="0" t="s">
        <v>130</v>
      </c>
      <c r="I163" s="14" t="s">
        <v>131</v>
      </c>
      <c r="J163" s="0" t="s">
        <v>132</v>
      </c>
      <c r="K163" s="0" t="s">
        <v>260</v>
      </c>
      <c r="L163" s="0" t="s">
        <v>743</v>
      </c>
      <c r="M163" s="0" t="s">
        <v>135</v>
      </c>
      <c r="N163" s="0" t="s">
        <v>136</v>
      </c>
      <c r="O163" s="0" t="s">
        <v>176</v>
      </c>
      <c r="Q163" s="0" t="s">
        <v>130</v>
      </c>
      <c r="R163" s="0" t="s">
        <v>138</v>
      </c>
      <c r="S163" s="14">
        <v>0</v>
      </c>
      <c r="T163" s="0" t="s">
        <v>320</v>
      </c>
      <c r="U163" s="0" t="s">
        <v>138</v>
      </c>
      <c r="V163" s="14" t="s">
        <v>138</v>
      </c>
      <c r="W163" s="0" t="s">
        <v>138</v>
      </c>
      <c r="X163" s="14" t="s">
        <v>138</v>
      </c>
      <c r="Y163" s="0" t="s">
        <v>138</v>
      </c>
      <c r="Z163" s="14" t="s">
        <v>138</v>
      </c>
      <c r="AA163" s="0" t="s">
        <v>138</v>
      </c>
      <c r="AB163" s="14" t="s">
        <v>138</v>
      </c>
      <c r="AD163" s="0" t="s">
        <v>138</v>
      </c>
      <c r="AF163" s="0">
        <v>0</v>
      </c>
      <c r="AG163" s="0">
        <v>0</v>
      </c>
      <c r="AH163" s="0" t="s">
        <v>140</v>
      </c>
      <c r="AI163" s="0" t="s">
        <v>138</v>
      </c>
      <c r="AL163" s="14"/>
      <c r="AN163" s="14"/>
      <c r="AQ163" s="0" t="s">
        <v>130</v>
      </c>
      <c r="AR163" s="0" t="s">
        <v>130</v>
      </c>
      <c r="AS163" s="0" t="s">
        <v>130</v>
      </c>
      <c r="AT163" s="0" t="s">
        <v>130</v>
      </c>
      <c r="AU163" s="0" t="s">
        <v>130</v>
      </c>
      <c r="AV163" s="0" t="s">
        <v>130</v>
      </c>
      <c r="AW163" s="0" t="s">
        <v>130</v>
      </c>
      <c r="AX163" s="0" t="s">
        <v>130</v>
      </c>
      <c r="AY163" s="0" t="s">
        <v>141</v>
      </c>
      <c r="AZ163" s="0" t="s">
        <v>130</v>
      </c>
      <c r="BA163" s="0" t="s">
        <v>130</v>
      </c>
      <c r="BB163" s="0" t="s">
        <v>130</v>
      </c>
      <c r="BC163" s="0" t="s">
        <v>130</v>
      </c>
      <c r="BD163" s="0" t="s">
        <v>130</v>
      </c>
      <c r="BE163" s="0" t="s">
        <v>130</v>
      </c>
      <c r="BF163" s="0" t="s">
        <v>130</v>
      </c>
      <c r="BG163" s="0" t="s">
        <v>130</v>
      </c>
      <c r="BH163" s="0" t="s">
        <v>130</v>
      </c>
      <c r="BI163" s="0" t="s">
        <v>130</v>
      </c>
      <c r="BJ163" s="0" t="s">
        <v>130</v>
      </c>
      <c r="BK163" s="0" t="s">
        <v>130</v>
      </c>
      <c r="BL163" s="0" t="s">
        <v>130</v>
      </c>
      <c r="BM163" s="0" t="s">
        <v>130</v>
      </c>
      <c r="BN163" s="0" t="s">
        <v>130</v>
      </c>
      <c r="BO163" s="0" t="s">
        <v>130</v>
      </c>
      <c r="BP163" s="0" t="s">
        <v>130</v>
      </c>
      <c r="BQ163" s="0" t="s">
        <v>130</v>
      </c>
      <c r="BR163" s="0" t="s">
        <v>130</v>
      </c>
      <c r="BS163" s="0" t="s">
        <v>130</v>
      </c>
      <c r="BT163" s="0" t="s">
        <v>130</v>
      </c>
      <c r="BU163" s="0" t="s">
        <v>130</v>
      </c>
      <c r="BV163" s="0" t="s">
        <v>130</v>
      </c>
      <c r="BW163" s="0" t="s">
        <v>130</v>
      </c>
      <c r="BX163" s="0" t="s">
        <v>130</v>
      </c>
      <c r="BY163" s="0" t="s">
        <v>130</v>
      </c>
      <c r="BZ163" s="0" t="s">
        <v>130</v>
      </c>
      <c r="CA163" s="0" t="s">
        <v>130</v>
      </c>
      <c r="CB163" s="0" t="s">
        <v>130</v>
      </c>
      <c r="CC163" s="0" t="s">
        <v>130</v>
      </c>
      <c r="CD163" s="0" t="s">
        <v>130</v>
      </c>
      <c r="CE163" s="0" t="s">
        <v>130</v>
      </c>
      <c r="CF163" s="0" t="s">
        <v>130</v>
      </c>
      <c r="CG163" s="0" t="s">
        <v>130</v>
      </c>
      <c r="CH163" s="0" t="s">
        <v>130</v>
      </c>
      <c r="CI163" s="0" t="s">
        <v>130</v>
      </c>
      <c r="CJ163" s="0" t="s">
        <v>130</v>
      </c>
      <c r="CK163" s="0" t="s">
        <v>130</v>
      </c>
      <c r="CL163" s="0" t="s">
        <v>130</v>
      </c>
      <c r="CM163" s="0" t="s">
        <v>130</v>
      </c>
      <c r="CN163" s="0" t="s">
        <v>130</v>
      </c>
      <c r="CO163" s="0" t="s">
        <v>130</v>
      </c>
      <c r="CP163" s="0" t="s">
        <v>130</v>
      </c>
      <c r="CQ163" s="0" t="s">
        <v>130</v>
      </c>
      <c r="CR163" s="0" t="s">
        <v>130</v>
      </c>
      <c r="CS163" s="0" t="s">
        <v>130</v>
      </c>
      <c r="CT163" s="0" t="s">
        <v>744</v>
      </c>
    </row>
    <row r="164">
      <c r="A164" s="14">
        <v>100539</v>
      </c>
      <c r="B164" s="0" t="s">
        <v>745</v>
      </c>
      <c r="C164" s="16">
        <f>HYPERLINK("https://eosportal.federatedhermes.com/companies/Q29tcGFueQppNTQ1MDc=", "EQT Corp")</f>
      </c>
      <c r="D164" s="0" t="s">
        <v>23</v>
      </c>
      <c r="E164" s="0" t="s">
        <v>746</v>
      </c>
      <c r="F164" s="16">
        <f>HYPERLINK("https://eosportal.federatedhermes.com/engagements/RW5nYWdlbWVudAppMTg5NzA=", "Improved climate-related financial disclosures")</f>
      </c>
      <c r="G164" s="14" t="s">
        <v>747</v>
      </c>
      <c r="H164" s="0" t="s">
        <v>130</v>
      </c>
      <c r="I164" s="14" t="s">
        <v>131</v>
      </c>
      <c r="J164" s="0" t="s">
        <v>197</v>
      </c>
      <c r="K164" s="0" t="s">
        <v>198</v>
      </c>
      <c r="L164" s="0" t="s">
        <v>199</v>
      </c>
      <c r="M164" s="0" t="s">
        <v>135</v>
      </c>
      <c r="N164" s="0" t="s">
        <v>136</v>
      </c>
      <c r="O164" s="0" t="s">
        <v>542</v>
      </c>
      <c r="Q164" s="0" t="s">
        <v>130</v>
      </c>
      <c r="R164" s="0" t="s">
        <v>141</v>
      </c>
      <c r="S164" s="14">
        <v>0</v>
      </c>
      <c r="T164" s="0" t="s">
        <v>355</v>
      </c>
      <c r="U164" s="0" t="s">
        <v>221</v>
      </c>
      <c r="V164" s="14" t="s">
        <v>355</v>
      </c>
      <c r="W164" s="0" t="s">
        <v>221</v>
      </c>
      <c r="X164" s="14" t="s">
        <v>355</v>
      </c>
      <c r="Y164" s="0" t="s">
        <v>221</v>
      </c>
      <c r="Z164" s="14" t="s">
        <v>446</v>
      </c>
      <c r="AA164" s="0" t="s">
        <v>221</v>
      </c>
      <c r="AB164" s="14" t="s">
        <v>361</v>
      </c>
      <c r="AC164" s="0" t="s">
        <v>20</v>
      </c>
      <c r="AD164" s="0" t="s">
        <v>362</v>
      </c>
      <c r="AE164" s="0" t="s">
        <v>363</v>
      </c>
      <c r="AF164" s="0">
        <v>1</v>
      </c>
      <c r="AG164" s="0">
        <v>0</v>
      </c>
      <c r="AH164" s="0" t="s">
        <v>140</v>
      </c>
      <c r="AI164" s="0" t="s">
        <v>221</v>
      </c>
      <c r="AJ164" s="0" t="s">
        <v>748</v>
      </c>
      <c r="AL164" s="14"/>
      <c r="AN164" s="14"/>
      <c r="AP164" s="0" t="s">
        <v>749</v>
      </c>
      <c r="AQ164" s="0" t="s">
        <v>130</v>
      </c>
      <c r="AR164" s="0" t="s">
        <v>130</v>
      </c>
      <c r="AS164" s="0" t="s">
        <v>130</v>
      </c>
      <c r="AT164" s="0" t="s">
        <v>130</v>
      </c>
      <c r="AU164" s="0" t="s">
        <v>130</v>
      </c>
      <c r="AV164" s="0" t="s">
        <v>130</v>
      </c>
      <c r="AW164" s="0" t="s">
        <v>130</v>
      </c>
      <c r="AX164" s="0" t="s">
        <v>130</v>
      </c>
      <c r="AY164" s="0" t="s">
        <v>130</v>
      </c>
      <c r="AZ164" s="0" t="s">
        <v>130</v>
      </c>
      <c r="BA164" s="0" t="s">
        <v>130</v>
      </c>
      <c r="BB164" s="0" t="s">
        <v>141</v>
      </c>
      <c r="BC164" s="0" t="s">
        <v>130</v>
      </c>
      <c r="BD164" s="0" t="s">
        <v>130</v>
      </c>
      <c r="BE164" s="0" t="s">
        <v>130</v>
      </c>
      <c r="BF164" s="0" t="s">
        <v>130</v>
      </c>
      <c r="BG164" s="0" t="s">
        <v>130</v>
      </c>
      <c r="BH164" s="0" t="s">
        <v>130</v>
      </c>
      <c r="BI164" s="0" t="s">
        <v>130</v>
      </c>
      <c r="BJ164" s="0" t="s">
        <v>130</v>
      </c>
      <c r="BK164" s="0" t="s">
        <v>130</v>
      </c>
      <c r="BL164" s="0" t="s">
        <v>130</v>
      </c>
      <c r="BM164" s="0" t="s">
        <v>130</v>
      </c>
      <c r="BN164" s="0" t="s">
        <v>130</v>
      </c>
      <c r="BO164" s="0" t="s">
        <v>130</v>
      </c>
      <c r="BP164" s="0" t="s">
        <v>130</v>
      </c>
      <c r="BQ164" s="0" t="s">
        <v>130</v>
      </c>
      <c r="BR164" s="0" t="s">
        <v>130</v>
      </c>
      <c r="BS164" s="0" t="s">
        <v>130</v>
      </c>
      <c r="BT164" s="0" t="s">
        <v>130</v>
      </c>
      <c r="BU164" s="0" t="s">
        <v>130</v>
      </c>
      <c r="BV164" s="0" t="s">
        <v>130</v>
      </c>
      <c r="BW164" s="0" t="s">
        <v>130</v>
      </c>
      <c r="BX164" s="0" t="s">
        <v>130</v>
      </c>
      <c r="BY164" s="0" t="s">
        <v>130</v>
      </c>
      <c r="BZ164" s="0" t="s">
        <v>130</v>
      </c>
      <c r="CA164" s="0" t="s">
        <v>130</v>
      </c>
      <c r="CB164" s="0" t="s">
        <v>130</v>
      </c>
      <c r="CC164" s="0" t="s">
        <v>130</v>
      </c>
      <c r="CD164" s="0" t="s">
        <v>130</v>
      </c>
      <c r="CE164" s="0" t="s">
        <v>130</v>
      </c>
      <c r="CF164" s="0" t="s">
        <v>130</v>
      </c>
      <c r="CG164" s="0" t="s">
        <v>130</v>
      </c>
      <c r="CH164" s="0" t="s">
        <v>130</v>
      </c>
      <c r="CI164" s="0" t="s">
        <v>130</v>
      </c>
      <c r="CJ164" s="0" t="s">
        <v>130</v>
      </c>
      <c r="CK164" s="0" t="s">
        <v>130</v>
      </c>
      <c r="CL164" s="0" t="s">
        <v>130</v>
      </c>
      <c r="CM164" s="0" t="s">
        <v>130</v>
      </c>
      <c r="CN164" s="0" t="s">
        <v>130</v>
      </c>
      <c r="CO164" s="0" t="s">
        <v>130</v>
      </c>
      <c r="CP164" s="0" t="s">
        <v>130</v>
      </c>
      <c r="CQ164" s="0" t="s">
        <v>130</v>
      </c>
      <c r="CR164" s="0" t="s">
        <v>130</v>
      </c>
      <c r="CS164" s="0" t="s">
        <v>130</v>
      </c>
      <c r="CT164" s="0" t="s">
        <v>750</v>
      </c>
    </row>
    <row r="165">
      <c r="A165" s="14">
        <v>100539</v>
      </c>
      <c r="B165" s="0" t="s">
        <v>745</v>
      </c>
      <c r="C165" s="16">
        <f>HYPERLINK("https://eosportal.federatedhermes.com/companies/Q29tcGFueQppNTQ1MDc=", "EQT Corp")</f>
      </c>
      <c r="D165" s="0" t="s">
        <v>25</v>
      </c>
      <c r="E165" s="0" t="s">
        <v>751</v>
      </c>
      <c r="F165" s="16">
        <f>HYPERLINK("https://eosportal.federatedhermes.com/engagements/RW5nYWdlbWVudAppMTg5NzI=", "Capital Allocation &amp; Debt Reduction")</f>
      </c>
      <c r="G165" s="14" t="s">
        <v>752</v>
      </c>
      <c r="H165" s="0" t="s">
        <v>130</v>
      </c>
      <c r="I165" s="14" t="s">
        <v>131</v>
      </c>
      <c r="J165" s="0" t="s">
        <v>132</v>
      </c>
      <c r="K165" s="0" t="s">
        <v>133</v>
      </c>
      <c r="L165" s="0" t="s">
        <v>753</v>
      </c>
      <c r="M165" s="0" t="s">
        <v>135</v>
      </c>
      <c r="N165" s="0" t="s">
        <v>136</v>
      </c>
      <c r="O165" s="0" t="s">
        <v>542</v>
      </c>
      <c r="Q165" s="0" t="s">
        <v>130</v>
      </c>
      <c r="R165" s="0" t="s">
        <v>138</v>
      </c>
      <c r="S165" s="14">
        <v>0</v>
      </c>
      <c r="T165" s="0" t="s">
        <v>148</v>
      </c>
      <c r="U165" s="0" t="s">
        <v>138</v>
      </c>
      <c r="V165" s="14" t="s">
        <v>138</v>
      </c>
      <c r="W165" s="0" t="s">
        <v>138</v>
      </c>
      <c r="X165" s="14" t="s">
        <v>138</v>
      </c>
      <c r="Y165" s="0" t="s">
        <v>138</v>
      </c>
      <c r="Z165" s="14" t="s">
        <v>138</v>
      </c>
      <c r="AA165" s="0" t="s">
        <v>138</v>
      </c>
      <c r="AB165" s="14" t="s">
        <v>138</v>
      </c>
      <c r="AD165" s="0" t="s">
        <v>138</v>
      </c>
      <c r="AF165" s="0">
        <v>0</v>
      </c>
      <c r="AG165" s="0">
        <v>0</v>
      </c>
      <c r="AH165" s="0" t="s">
        <v>140</v>
      </c>
      <c r="AI165" s="0" t="s">
        <v>138</v>
      </c>
      <c r="AL165" s="14"/>
      <c r="AN165" s="14"/>
      <c r="AQ165" s="0" t="s">
        <v>130</v>
      </c>
      <c r="AR165" s="0" t="s">
        <v>130</v>
      </c>
      <c r="AS165" s="0" t="s">
        <v>130</v>
      </c>
      <c r="AT165" s="0" t="s">
        <v>130</v>
      </c>
      <c r="AU165" s="0" t="s">
        <v>130</v>
      </c>
      <c r="AV165" s="0" t="s">
        <v>130</v>
      </c>
      <c r="AW165" s="0" t="s">
        <v>130</v>
      </c>
      <c r="AX165" s="0" t="s">
        <v>130</v>
      </c>
      <c r="AY165" s="0" t="s">
        <v>130</v>
      </c>
      <c r="AZ165" s="0" t="s">
        <v>130</v>
      </c>
      <c r="BA165" s="0" t="s">
        <v>130</v>
      </c>
      <c r="BB165" s="0" t="s">
        <v>130</v>
      </c>
      <c r="BC165" s="0" t="s">
        <v>130</v>
      </c>
      <c r="BD165" s="0" t="s">
        <v>130</v>
      </c>
      <c r="BE165" s="0" t="s">
        <v>130</v>
      </c>
      <c r="BF165" s="0" t="s">
        <v>130</v>
      </c>
      <c r="BG165" s="0" t="s">
        <v>130</v>
      </c>
      <c r="BH165" s="0" t="s">
        <v>130</v>
      </c>
      <c r="BI165" s="0" t="s">
        <v>130</v>
      </c>
      <c r="BJ165" s="0" t="s">
        <v>130</v>
      </c>
      <c r="BK165" s="0" t="s">
        <v>130</v>
      </c>
      <c r="BL165" s="0" t="s">
        <v>130</v>
      </c>
      <c r="BM165" s="0" t="s">
        <v>130</v>
      </c>
      <c r="BN165" s="0" t="s">
        <v>130</v>
      </c>
      <c r="BO165" s="0" t="s">
        <v>130</v>
      </c>
      <c r="BP165" s="0" t="s">
        <v>130</v>
      </c>
      <c r="BQ165" s="0" t="s">
        <v>130</v>
      </c>
      <c r="BR165" s="0" t="s">
        <v>130</v>
      </c>
      <c r="BS165" s="0" t="s">
        <v>130</v>
      </c>
      <c r="BT165" s="0" t="s">
        <v>130</v>
      </c>
      <c r="BU165" s="0" t="s">
        <v>130</v>
      </c>
      <c r="BV165" s="0" t="s">
        <v>130</v>
      </c>
      <c r="BW165" s="0" t="s">
        <v>130</v>
      </c>
      <c r="BX165" s="0" t="s">
        <v>130</v>
      </c>
      <c r="BY165" s="0" t="s">
        <v>130</v>
      </c>
      <c r="BZ165" s="0" t="s">
        <v>130</v>
      </c>
      <c r="CA165" s="0" t="s">
        <v>130</v>
      </c>
      <c r="CB165" s="0" t="s">
        <v>130</v>
      </c>
      <c r="CC165" s="0" t="s">
        <v>130</v>
      </c>
      <c r="CD165" s="0" t="s">
        <v>130</v>
      </c>
      <c r="CE165" s="0" t="s">
        <v>130</v>
      </c>
      <c r="CF165" s="0" t="s">
        <v>130</v>
      </c>
      <c r="CG165" s="0" t="s">
        <v>130</v>
      </c>
      <c r="CH165" s="0" t="s">
        <v>130</v>
      </c>
      <c r="CI165" s="0" t="s">
        <v>130</v>
      </c>
      <c r="CJ165" s="0" t="s">
        <v>130</v>
      </c>
      <c r="CK165" s="0" t="s">
        <v>130</v>
      </c>
      <c r="CL165" s="0" t="s">
        <v>130</v>
      </c>
      <c r="CM165" s="0" t="s">
        <v>130</v>
      </c>
      <c r="CN165" s="0" t="s">
        <v>130</v>
      </c>
      <c r="CO165" s="0" t="s">
        <v>130</v>
      </c>
      <c r="CP165" s="0" t="s">
        <v>130</v>
      </c>
      <c r="CQ165" s="0" t="s">
        <v>130</v>
      </c>
      <c r="CR165" s="0" t="s">
        <v>130</v>
      </c>
      <c r="CS165" s="0" t="s">
        <v>130</v>
      </c>
      <c r="CT165" s="0" t="s">
        <v>754</v>
      </c>
    </row>
    <row r="166">
      <c r="A166" s="14">
        <v>100539</v>
      </c>
      <c r="B166" s="0" t="s">
        <v>745</v>
      </c>
      <c r="C166" s="16">
        <f>HYPERLINK("https://eosportal.federatedhermes.com/companies/Q29tcGFueQppNTQ1MDc=", "EQT Corp")</f>
      </c>
      <c r="D166" s="0" t="s">
        <v>25</v>
      </c>
      <c r="E166" s="0" t="s">
        <v>755</v>
      </c>
      <c r="F166" s="16">
        <f>HYPERLINK("https://eosportal.federatedhermes.com/engagements/RW5nYWdlbWVudAppMTg5NzM=", "Cybersecurity Strategy, Governance &amp; Disclosure")</f>
      </c>
      <c r="G166" s="14" t="s">
        <v>756</v>
      </c>
      <c r="H166" s="0" t="s">
        <v>130</v>
      </c>
      <c r="I166" s="14" t="s">
        <v>131</v>
      </c>
      <c r="J166" s="0" t="s">
        <v>132</v>
      </c>
      <c r="K166" s="0" t="s">
        <v>260</v>
      </c>
      <c r="L166" s="0" t="s">
        <v>261</v>
      </c>
      <c r="M166" s="0" t="s">
        <v>135</v>
      </c>
      <c r="N166" s="0" t="s">
        <v>136</v>
      </c>
      <c r="O166" s="0" t="s">
        <v>542</v>
      </c>
      <c r="Q166" s="0" t="s">
        <v>130</v>
      </c>
      <c r="R166" s="0" t="s">
        <v>138</v>
      </c>
      <c r="S166" s="14">
        <v>0</v>
      </c>
      <c r="T166" s="0" t="s">
        <v>139</v>
      </c>
      <c r="U166" s="0" t="s">
        <v>138</v>
      </c>
      <c r="V166" s="14" t="s">
        <v>138</v>
      </c>
      <c r="W166" s="0" t="s">
        <v>138</v>
      </c>
      <c r="X166" s="14" t="s">
        <v>138</v>
      </c>
      <c r="Y166" s="0" t="s">
        <v>138</v>
      </c>
      <c r="Z166" s="14" t="s">
        <v>138</v>
      </c>
      <c r="AA166" s="0" t="s">
        <v>138</v>
      </c>
      <c r="AB166" s="14" t="s">
        <v>138</v>
      </c>
      <c r="AD166" s="0" t="s">
        <v>138</v>
      </c>
      <c r="AF166" s="0">
        <v>0</v>
      </c>
      <c r="AG166" s="0">
        <v>0</v>
      </c>
      <c r="AH166" s="0" t="s">
        <v>140</v>
      </c>
      <c r="AI166" s="0" t="s">
        <v>138</v>
      </c>
      <c r="AL166" s="14"/>
      <c r="AN166" s="14"/>
      <c r="AQ166" s="0" t="s">
        <v>130</v>
      </c>
      <c r="AR166" s="0" t="s">
        <v>130</v>
      </c>
      <c r="AS166" s="0" t="s">
        <v>130</v>
      </c>
      <c r="AT166" s="0" t="s">
        <v>130</v>
      </c>
      <c r="AU166" s="0" t="s">
        <v>130</v>
      </c>
      <c r="AV166" s="0" t="s">
        <v>130</v>
      </c>
      <c r="AW166" s="0" t="s">
        <v>130</v>
      </c>
      <c r="AX166" s="0" t="s">
        <v>130</v>
      </c>
      <c r="AY166" s="0" t="s">
        <v>130</v>
      </c>
      <c r="AZ166" s="0" t="s">
        <v>130</v>
      </c>
      <c r="BA166" s="0" t="s">
        <v>130</v>
      </c>
      <c r="BB166" s="0" t="s">
        <v>130</v>
      </c>
      <c r="BC166" s="0" t="s">
        <v>130</v>
      </c>
      <c r="BD166" s="0" t="s">
        <v>130</v>
      </c>
      <c r="BE166" s="0" t="s">
        <v>130</v>
      </c>
      <c r="BF166" s="0" t="s">
        <v>130</v>
      </c>
      <c r="BG166" s="0" t="s">
        <v>130</v>
      </c>
      <c r="BH166" s="0" t="s">
        <v>130</v>
      </c>
      <c r="BI166" s="0" t="s">
        <v>130</v>
      </c>
      <c r="BJ166" s="0" t="s">
        <v>130</v>
      </c>
      <c r="BK166" s="0" t="s">
        <v>130</v>
      </c>
      <c r="BL166" s="0" t="s">
        <v>130</v>
      </c>
      <c r="BM166" s="0" t="s">
        <v>130</v>
      </c>
      <c r="BN166" s="0" t="s">
        <v>130</v>
      </c>
      <c r="BO166" s="0" t="s">
        <v>130</v>
      </c>
      <c r="BP166" s="0" t="s">
        <v>130</v>
      </c>
      <c r="BQ166" s="0" t="s">
        <v>130</v>
      </c>
      <c r="BR166" s="0" t="s">
        <v>130</v>
      </c>
      <c r="BS166" s="0" t="s">
        <v>130</v>
      </c>
      <c r="BT166" s="0" t="s">
        <v>130</v>
      </c>
      <c r="BU166" s="0" t="s">
        <v>130</v>
      </c>
      <c r="BV166" s="0" t="s">
        <v>130</v>
      </c>
      <c r="BW166" s="0" t="s">
        <v>130</v>
      </c>
      <c r="BX166" s="0" t="s">
        <v>130</v>
      </c>
      <c r="BY166" s="0" t="s">
        <v>130</v>
      </c>
      <c r="BZ166" s="0" t="s">
        <v>130</v>
      </c>
      <c r="CA166" s="0" t="s">
        <v>130</v>
      </c>
      <c r="CB166" s="0" t="s">
        <v>130</v>
      </c>
      <c r="CC166" s="0" t="s">
        <v>130</v>
      </c>
      <c r="CD166" s="0" t="s">
        <v>130</v>
      </c>
      <c r="CE166" s="0" t="s">
        <v>130</v>
      </c>
      <c r="CF166" s="0" t="s">
        <v>130</v>
      </c>
      <c r="CG166" s="0" t="s">
        <v>130</v>
      </c>
      <c r="CH166" s="0" t="s">
        <v>130</v>
      </c>
      <c r="CI166" s="0" t="s">
        <v>130</v>
      </c>
      <c r="CJ166" s="0" t="s">
        <v>130</v>
      </c>
      <c r="CK166" s="0" t="s">
        <v>130</v>
      </c>
      <c r="CL166" s="0" t="s">
        <v>130</v>
      </c>
      <c r="CM166" s="0" t="s">
        <v>130</v>
      </c>
      <c r="CN166" s="0" t="s">
        <v>130</v>
      </c>
      <c r="CO166" s="0" t="s">
        <v>130</v>
      </c>
      <c r="CP166" s="0" t="s">
        <v>130</v>
      </c>
      <c r="CQ166" s="0" t="s">
        <v>130</v>
      </c>
      <c r="CR166" s="0" t="s">
        <v>130</v>
      </c>
      <c r="CS166" s="0" t="s">
        <v>130</v>
      </c>
      <c r="CT166" s="0" t="s">
        <v>757</v>
      </c>
    </row>
    <row r="167">
      <c r="A167" s="14">
        <v>100539</v>
      </c>
      <c r="B167" s="0" t="s">
        <v>745</v>
      </c>
      <c r="C167" s="16">
        <f>HYPERLINK("https://eosportal.federatedhermes.com/companies/Q29tcGFueQppNTQ1MDc=", "EQT Corp")</f>
      </c>
      <c r="D167" s="0" t="s">
        <v>25</v>
      </c>
      <c r="E167" s="0" t="s">
        <v>758</v>
      </c>
      <c r="F167" s="16">
        <f>HYPERLINK("https://eosportal.federatedhermes.com/engagements/RW5nYWdlbWVudAppMTg5NzU=", "Board Diversity &amp; Next-Generation Skills")</f>
      </c>
      <c r="G167" s="14" t="s">
        <v>759</v>
      </c>
      <c r="H167" s="0" t="s">
        <v>130</v>
      </c>
      <c r="I167" s="14" t="s">
        <v>131</v>
      </c>
      <c r="J167" s="0" t="s">
        <v>145</v>
      </c>
      <c r="K167" s="0" t="s">
        <v>164</v>
      </c>
      <c r="L167" s="0" t="s">
        <v>165</v>
      </c>
      <c r="M167" s="0" t="s">
        <v>135</v>
      </c>
      <c r="N167" s="0" t="s">
        <v>136</v>
      </c>
      <c r="O167" s="0" t="s">
        <v>542</v>
      </c>
      <c r="Q167" s="0" t="s">
        <v>130</v>
      </c>
      <c r="R167" s="0" t="s">
        <v>138</v>
      </c>
      <c r="S167" s="14">
        <v>0</v>
      </c>
      <c r="T167" s="0" t="s">
        <v>355</v>
      </c>
      <c r="U167" s="0" t="s">
        <v>138</v>
      </c>
      <c r="V167" s="14" t="s">
        <v>138</v>
      </c>
      <c r="W167" s="0" t="s">
        <v>138</v>
      </c>
      <c r="X167" s="14" t="s">
        <v>138</v>
      </c>
      <c r="Y167" s="0" t="s">
        <v>138</v>
      </c>
      <c r="Z167" s="14" t="s">
        <v>138</v>
      </c>
      <c r="AA167" s="0" t="s">
        <v>138</v>
      </c>
      <c r="AB167" s="14" t="s">
        <v>138</v>
      </c>
      <c r="AD167" s="0" t="s">
        <v>138</v>
      </c>
      <c r="AF167" s="0">
        <v>0</v>
      </c>
      <c r="AG167" s="0">
        <v>0</v>
      </c>
      <c r="AH167" s="0" t="s">
        <v>140</v>
      </c>
      <c r="AI167" s="0" t="s">
        <v>138</v>
      </c>
      <c r="AL167" s="14"/>
      <c r="AN167" s="14"/>
      <c r="AQ167" s="0" t="s">
        <v>130</v>
      </c>
      <c r="AR167" s="0" t="s">
        <v>130</v>
      </c>
      <c r="AS167" s="0" t="s">
        <v>130</v>
      </c>
      <c r="AT167" s="0" t="s">
        <v>130</v>
      </c>
      <c r="AU167" s="0" t="s">
        <v>130</v>
      </c>
      <c r="AV167" s="0" t="s">
        <v>130</v>
      </c>
      <c r="AW167" s="0" t="s">
        <v>130</v>
      </c>
      <c r="AX167" s="0" t="s">
        <v>130</v>
      </c>
      <c r="AY167" s="0" t="s">
        <v>130</v>
      </c>
      <c r="AZ167" s="0" t="s">
        <v>130</v>
      </c>
      <c r="BA167" s="0" t="s">
        <v>130</v>
      </c>
      <c r="BB167" s="0" t="s">
        <v>130</v>
      </c>
      <c r="BC167" s="0" t="s">
        <v>130</v>
      </c>
      <c r="BD167" s="0" t="s">
        <v>130</v>
      </c>
      <c r="BE167" s="0" t="s">
        <v>130</v>
      </c>
      <c r="BF167" s="0" t="s">
        <v>130</v>
      </c>
      <c r="BG167" s="0" t="s">
        <v>130</v>
      </c>
      <c r="BH167" s="0" t="s">
        <v>130</v>
      </c>
      <c r="BI167" s="0" t="s">
        <v>130</v>
      </c>
      <c r="BJ167" s="0" t="s">
        <v>130</v>
      </c>
      <c r="BK167" s="0" t="s">
        <v>130</v>
      </c>
      <c r="BL167" s="0" t="s">
        <v>130</v>
      </c>
      <c r="BM167" s="0" t="s">
        <v>130</v>
      </c>
      <c r="BN167" s="0" t="s">
        <v>130</v>
      </c>
      <c r="BO167" s="0" t="s">
        <v>130</v>
      </c>
      <c r="BP167" s="0" t="s">
        <v>130</v>
      </c>
      <c r="BQ167" s="0" t="s">
        <v>130</v>
      </c>
      <c r="BR167" s="0" t="s">
        <v>130</v>
      </c>
      <c r="BS167" s="0" t="s">
        <v>130</v>
      </c>
      <c r="BT167" s="0" t="s">
        <v>130</v>
      </c>
      <c r="BU167" s="0" t="s">
        <v>130</v>
      </c>
      <c r="BV167" s="0" t="s">
        <v>130</v>
      </c>
      <c r="BW167" s="0" t="s">
        <v>130</v>
      </c>
      <c r="BX167" s="0" t="s">
        <v>130</v>
      </c>
      <c r="BY167" s="0" t="s">
        <v>130</v>
      </c>
      <c r="BZ167" s="0" t="s">
        <v>130</v>
      </c>
      <c r="CA167" s="0" t="s">
        <v>130</v>
      </c>
      <c r="CB167" s="0" t="s">
        <v>130</v>
      </c>
      <c r="CC167" s="0" t="s">
        <v>130</v>
      </c>
      <c r="CD167" s="0" t="s">
        <v>130</v>
      </c>
      <c r="CE167" s="0" t="s">
        <v>130</v>
      </c>
      <c r="CF167" s="0" t="s">
        <v>130</v>
      </c>
      <c r="CG167" s="0" t="s">
        <v>130</v>
      </c>
      <c r="CH167" s="0" t="s">
        <v>130</v>
      </c>
      <c r="CI167" s="0" t="s">
        <v>130</v>
      </c>
      <c r="CJ167" s="0" t="s">
        <v>130</v>
      </c>
      <c r="CK167" s="0" t="s">
        <v>130</v>
      </c>
      <c r="CL167" s="0" t="s">
        <v>130</v>
      </c>
      <c r="CM167" s="0" t="s">
        <v>130</v>
      </c>
      <c r="CN167" s="0" t="s">
        <v>130</v>
      </c>
      <c r="CO167" s="0" t="s">
        <v>130</v>
      </c>
      <c r="CP167" s="0" t="s">
        <v>130</v>
      </c>
      <c r="CQ167" s="0" t="s">
        <v>130</v>
      </c>
      <c r="CR167" s="0" t="s">
        <v>130</v>
      </c>
      <c r="CS167" s="0" t="s">
        <v>130</v>
      </c>
      <c r="CT167" s="0" t="s">
        <v>760</v>
      </c>
    </row>
    <row r="168">
      <c r="A168" s="14">
        <v>100539</v>
      </c>
      <c r="B168" s="0" t="s">
        <v>745</v>
      </c>
      <c r="C168" s="16">
        <f>HYPERLINK("https://eosportal.federatedhermes.com/companies/Q29tcGFueQppNTQ1MDc=", "EQT Corp")</f>
      </c>
      <c r="D168" s="0" t="s">
        <v>25</v>
      </c>
      <c r="E168" s="0" t="s">
        <v>761</v>
      </c>
      <c r="F168" s="16">
        <f>HYPERLINK("https://eosportal.federatedhermes.com/engagements/RW5nYWdlbWVudAppMTg5NzY=", "Reduce Contribution to Global Warming Through Remuneration")</f>
      </c>
      <c r="G168" s="14" t="s">
        <v>762</v>
      </c>
      <c r="H168" s="0" t="s">
        <v>130</v>
      </c>
      <c r="I168" s="14" t="s">
        <v>131</v>
      </c>
      <c r="J168" s="0" t="s">
        <v>197</v>
      </c>
      <c r="K168" s="0" t="s">
        <v>198</v>
      </c>
      <c r="L168" s="0" t="s">
        <v>199</v>
      </c>
      <c r="M168" s="0" t="s">
        <v>135</v>
      </c>
      <c r="N168" s="0" t="s">
        <v>136</v>
      </c>
      <c r="O168" s="0" t="s">
        <v>542</v>
      </c>
      <c r="Q168" s="0" t="s">
        <v>130</v>
      </c>
      <c r="R168" s="0" t="s">
        <v>138</v>
      </c>
      <c r="S168" s="14">
        <v>0</v>
      </c>
      <c r="T168" s="0" t="s">
        <v>355</v>
      </c>
      <c r="U168" s="0" t="s">
        <v>138</v>
      </c>
      <c r="V168" s="14" t="s">
        <v>138</v>
      </c>
      <c r="W168" s="0" t="s">
        <v>138</v>
      </c>
      <c r="X168" s="14" t="s">
        <v>138</v>
      </c>
      <c r="Y168" s="0" t="s">
        <v>138</v>
      </c>
      <c r="Z168" s="14" t="s">
        <v>138</v>
      </c>
      <c r="AA168" s="0" t="s">
        <v>138</v>
      </c>
      <c r="AB168" s="14" t="s">
        <v>138</v>
      </c>
      <c r="AD168" s="0" t="s">
        <v>138</v>
      </c>
      <c r="AF168" s="0">
        <v>0</v>
      </c>
      <c r="AG168" s="0">
        <v>0</v>
      </c>
      <c r="AH168" s="0" t="s">
        <v>140</v>
      </c>
      <c r="AI168" s="0" t="s">
        <v>138</v>
      </c>
      <c r="AL168" s="14"/>
      <c r="AN168" s="14"/>
      <c r="AQ168" s="0" t="s">
        <v>130</v>
      </c>
      <c r="AR168" s="0" t="s">
        <v>130</v>
      </c>
      <c r="AS168" s="0" t="s">
        <v>130</v>
      </c>
      <c r="AT168" s="0" t="s">
        <v>130</v>
      </c>
      <c r="AU168" s="0" t="s">
        <v>130</v>
      </c>
      <c r="AV168" s="0" t="s">
        <v>130</v>
      </c>
      <c r="AW168" s="0" t="s">
        <v>130</v>
      </c>
      <c r="AX168" s="0" t="s">
        <v>130</v>
      </c>
      <c r="AY168" s="0" t="s">
        <v>130</v>
      </c>
      <c r="AZ168" s="0" t="s">
        <v>130</v>
      </c>
      <c r="BA168" s="0" t="s">
        <v>130</v>
      </c>
      <c r="BB168" s="0" t="s">
        <v>141</v>
      </c>
      <c r="BC168" s="0" t="s">
        <v>130</v>
      </c>
      <c r="BD168" s="0" t="s">
        <v>130</v>
      </c>
      <c r="BE168" s="0" t="s">
        <v>130</v>
      </c>
      <c r="BF168" s="0" t="s">
        <v>130</v>
      </c>
      <c r="BG168" s="0" t="s">
        <v>130</v>
      </c>
      <c r="BH168" s="0" t="s">
        <v>130</v>
      </c>
      <c r="BI168" s="0" t="s">
        <v>130</v>
      </c>
      <c r="BJ168" s="0" t="s">
        <v>130</v>
      </c>
      <c r="BK168" s="0" t="s">
        <v>130</v>
      </c>
      <c r="BL168" s="0" t="s">
        <v>130</v>
      </c>
      <c r="BM168" s="0" t="s">
        <v>130</v>
      </c>
      <c r="BN168" s="0" t="s">
        <v>130</v>
      </c>
      <c r="BO168" s="0" t="s">
        <v>130</v>
      </c>
      <c r="BP168" s="0" t="s">
        <v>130</v>
      </c>
      <c r="BQ168" s="0" t="s">
        <v>130</v>
      </c>
      <c r="BR168" s="0" t="s">
        <v>130</v>
      </c>
      <c r="BS168" s="0" t="s">
        <v>130</v>
      </c>
      <c r="BT168" s="0" t="s">
        <v>130</v>
      </c>
      <c r="BU168" s="0" t="s">
        <v>130</v>
      </c>
      <c r="BV168" s="0" t="s">
        <v>130</v>
      </c>
      <c r="BW168" s="0" t="s">
        <v>130</v>
      </c>
      <c r="BX168" s="0" t="s">
        <v>130</v>
      </c>
      <c r="BY168" s="0" t="s">
        <v>130</v>
      </c>
      <c r="BZ168" s="0" t="s">
        <v>130</v>
      </c>
      <c r="CA168" s="0" t="s">
        <v>130</v>
      </c>
      <c r="CB168" s="0" t="s">
        <v>130</v>
      </c>
      <c r="CC168" s="0" t="s">
        <v>130</v>
      </c>
      <c r="CD168" s="0" t="s">
        <v>130</v>
      </c>
      <c r="CE168" s="0" t="s">
        <v>130</v>
      </c>
      <c r="CF168" s="0" t="s">
        <v>130</v>
      </c>
      <c r="CG168" s="0" t="s">
        <v>130</v>
      </c>
      <c r="CH168" s="0" t="s">
        <v>130</v>
      </c>
      <c r="CI168" s="0" t="s">
        <v>130</v>
      </c>
      <c r="CJ168" s="0" t="s">
        <v>130</v>
      </c>
      <c r="CK168" s="0" t="s">
        <v>130</v>
      </c>
      <c r="CL168" s="0" t="s">
        <v>130</v>
      </c>
      <c r="CM168" s="0" t="s">
        <v>130</v>
      </c>
      <c r="CN168" s="0" t="s">
        <v>130</v>
      </c>
      <c r="CO168" s="0" t="s">
        <v>130</v>
      </c>
      <c r="CP168" s="0" t="s">
        <v>130</v>
      </c>
      <c r="CQ168" s="0" t="s">
        <v>130</v>
      </c>
      <c r="CR168" s="0" t="s">
        <v>130</v>
      </c>
      <c r="CS168" s="0" t="s">
        <v>130</v>
      </c>
      <c r="CT168" s="0" t="s">
        <v>763</v>
      </c>
    </row>
    <row r="169">
      <c r="A169" s="14">
        <v>100539</v>
      </c>
      <c r="B169" s="0" t="s">
        <v>745</v>
      </c>
      <c r="C169" s="16">
        <f>HYPERLINK("https://eosportal.federatedhermes.com/companies/Q29tcGFueQppNTQ1MDc=", "EQT Corp")</f>
      </c>
      <c r="D169" s="0" t="s">
        <v>25</v>
      </c>
      <c r="E169" s="0" t="s">
        <v>764</v>
      </c>
      <c r="F169" s="16">
        <f>HYPERLINK("https://eosportal.federatedhermes.com/engagements/RW5nYWdlbWVudAppMTg5Nzc=", "Water Management")</f>
      </c>
      <c r="G169" s="14" t="s">
        <v>765</v>
      </c>
      <c r="H169" s="0" t="s">
        <v>130</v>
      </c>
      <c r="I169" s="14" t="s">
        <v>131</v>
      </c>
      <c r="J169" s="0" t="s">
        <v>197</v>
      </c>
      <c r="K169" s="0" t="s">
        <v>337</v>
      </c>
      <c r="L169" s="0" t="s">
        <v>338</v>
      </c>
      <c r="M169" s="0" t="s">
        <v>135</v>
      </c>
      <c r="N169" s="0" t="s">
        <v>136</v>
      </c>
      <c r="O169" s="0" t="s">
        <v>542</v>
      </c>
      <c r="Q169" s="0" t="s">
        <v>130</v>
      </c>
      <c r="R169" s="0" t="s">
        <v>138</v>
      </c>
      <c r="S169" s="14">
        <v>0</v>
      </c>
      <c r="T169" s="0" t="s">
        <v>148</v>
      </c>
      <c r="U169" s="0" t="s">
        <v>138</v>
      </c>
      <c r="V169" s="14" t="s">
        <v>138</v>
      </c>
      <c r="W169" s="0" t="s">
        <v>138</v>
      </c>
      <c r="X169" s="14" t="s">
        <v>138</v>
      </c>
      <c r="Y169" s="0" t="s">
        <v>138</v>
      </c>
      <c r="Z169" s="14" t="s">
        <v>138</v>
      </c>
      <c r="AA169" s="0" t="s">
        <v>138</v>
      </c>
      <c r="AB169" s="14" t="s">
        <v>138</v>
      </c>
      <c r="AD169" s="0" t="s">
        <v>138</v>
      </c>
      <c r="AF169" s="0">
        <v>0</v>
      </c>
      <c r="AG169" s="0">
        <v>0</v>
      </c>
      <c r="AH169" s="0" t="s">
        <v>140</v>
      </c>
      <c r="AI169" s="0" t="s">
        <v>138</v>
      </c>
      <c r="AL169" s="14"/>
      <c r="AN169" s="14"/>
      <c r="AQ169" s="0" t="s">
        <v>130</v>
      </c>
      <c r="AR169" s="0" t="s">
        <v>130</v>
      </c>
      <c r="AS169" s="0" t="s">
        <v>130</v>
      </c>
      <c r="AT169" s="0" t="s">
        <v>130</v>
      </c>
      <c r="AU169" s="0" t="s">
        <v>130</v>
      </c>
      <c r="AV169" s="0" t="s">
        <v>141</v>
      </c>
      <c r="AW169" s="0" t="s">
        <v>130</v>
      </c>
      <c r="AX169" s="0" t="s">
        <v>130</v>
      </c>
      <c r="AY169" s="0" t="s">
        <v>130</v>
      </c>
      <c r="AZ169" s="0" t="s">
        <v>130</v>
      </c>
      <c r="BA169" s="0" t="s">
        <v>130</v>
      </c>
      <c r="BB169" s="0" t="s">
        <v>141</v>
      </c>
      <c r="BC169" s="0" t="s">
        <v>130</v>
      </c>
      <c r="BD169" s="0" t="s">
        <v>130</v>
      </c>
      <c r="BE169" s="0" t="s">
        <v>130</v>
      </c>
      <c r="BF169" s="0" t="s">
        <v>130</v>
      </c>
      <c r="BG169" s="0" t="s">
        <v>130</v>
      </c>
      <c r="BH169" s="0" t="s">
        <v>130</v>
      </c>
      <c r="BI169" s="0" t="s">
        <v>130</v>
      </c>
      <c r="BJ169" s="0" t="s">
        <v>130</v>
      </c>
      <c r="BK169" s="0" t="s">
        <v>130</v>
      </c>
      <c r="BL169" s="0" t="s">
        <v>130</v>
      </c>
      <c r="BM169" s="0" t="s">
        <v>130</v>
      </c>
      <c r="BN169" s="0" t="s">
        <v>130</v>
      </c>
      <c r="BO169" s="0" t="s">
        <v>130</v>
      </c>
      <c r="BP169" s="0" t="s">
        <v>130</v>
      </c>
      <c r="BQ169" s="0" t="s">
        <v>130</v>
      </c>
      <c r="BR169" s="0" t="s">
        <v>130</v>
      </c>
      <c r="BS169" s="0" t="s">
        <v>130</v>
      </c>
      <c r="BT169" s="0" t="s">
        <v>130</v>
      </c>
      <c r="BU169" s="0" t="s">
        <v>130</v>
      </c>
      <c r="BV169" s="0" t="s">
        <v>130</v>
      </c>
      <c r="BW169" s="0" t="s">
        <v>130</v>
      </c>
      <c r="BX169" s="0" t="s">
        <v>141</v>
      </c>
      <c r="BY169" s="0" t="s">
        <v>130</v>
      </c>
      <c r="BZ169" s="0" t="s">
        <v>130</v>
      </c>
      <c r="CA169" s="0" t="s">
        <v>130</v>
      </c>
      <c r="CB169" s="0" t="s">
        <v>130</v>
      </c>
      <c r="CC169" s="0" t="s">
        <v>130</v>
      </c>
      <c r="CD169" s="0" t="s">
        <v>130</v>
      </c>
      <c r="CE169" s="0" t="s">
        <v>130</v>
      </c>
      <c r="CF169" s="0" t="s">
        <v>130</v>
      </c>
      <c r="CG169" s="0" t="s">
        <v>130</v>
      </c>
      <c r="CH169" s="0" t="s">
        <v>130</v>
      </c>
      <c r="CI169" s="0" t="s">
        <v>130</v>
      </c>
      <c r="CJ169" s="0" t="s">
        <v>130</v>
      </c>
      <c r="CK169" s="0" t="s">
        <v>130</v>
      </c>
      <c r="CL169" s="0" t="s">
        <v>130</v>
      </c>
      <c r="CM169" s="0" t="s">
        <v>130</v>
      </c>
      <c r="CN169" s="0" t="s">
        <v>130</v>
      </c>
      <c r="CO169" s="0" t="s">
        <v>130</v>
      </c>
      <c r="CP169" s="0" t="s">
        <v>130</v>
      </c>
      <c r="CQ169" s="0" t="s">
        <v>130</v>
      </c>
      <c r="CR169" s="0" t="s">
        <v>130</v>
      </c>
      <c r="CS169" s="0" t="s">
        <v>130</v>
      </c>
      <c r="CT169" s="0" t="s">
        <v>766</v>
      </c>
    </row>
    <row r="170">
      <c r="A170" s="14">
        <v>100539</v>
      </c>
      <c r="B170" s="0" t="s">
        <v>745</v>
      </c>
      <c r="C170" s="16">
        <f>HYPERLINK("https://eosportal.federatedhermes.com/companies/Q29tcGFueQppNTQ1MDc=", "EQT Corp")</f>
      </c>
      <c r="D170" s="0" t="s">
        <v>25</v>
      </c>
      <c r="E170" s="0" t="s">
        <v>767</v>
      </c>
      <c r="F170" s="16">
        <f>HYPERLINK("https://eosportal.federatedhermes.com/engagements/RW5nYWdlbWVudAppMTg5Nzg=", "Climate Action in Communities of Operation")</f>
      </c>
      <c r="G170" s="14" t="s">
        <v>768</v>
      </c>
      <c r="H170" s="0" t="s">
        <v>130</v>
      </c>
      <c r="I170" s="14" t="s">
        <v>131</v>
      </c>
      <c r="J170" s="0" t="s">
        <v>197</v>
      </c>
      <c r="K170" s="0" t="s">
        <v>198</v>
      </c>
      <c r="L170" s="0" t="s">
        <v>199</v>
      </c>
      <c r="M170" s="0" t="s">
        <v>135</v>
      </c>
      <c r="N170" s="0" t="s">
        <v>136</v>
      </c>
      <c r="O170" s="0" t="s">
        <v>542</v>
      </c>
      <c r="Q170" s="0" t="s">
        <v>130</v>
      </c>
      <c r="R170" s="0" t="s">
        <v>138</v>
      </c>
      <c r="S170" s="14">
        <v>0</v>
      </c>
      <c r="T170" s="0" t="s">
        <v>148</v>
      </c>
      <c r="U170" s="0" t="s">
        <v>138</v>
      </c>
      <c r="V170" s="14" t="s">
        <v>138</v>
      </c>
      <c r="W170" s="0" t="s">
        <v>138</v>
      </c>
      <c r="X170" s="14" t="s">
        <v>138</v>
      </c>
      <c r="Y170" s="0" t="s">
        <v>138</v>
      </c>
      <c r="Z170" s="14" t="s">
        <v>138</v>
      </c>
      <c r="AA170" s="0" t="s">
        <v>138</v>
      </c>
      <c r="AB170" s="14" t="s">
        <v>138</v>
      </c>
      <c r="AD170" s="0" t="s">
        <v>138</v>
      </c>
      <c r="AF170" s="0">
        <v>0</v>
      </c>
      <c r="AG170" s="0">
        <v>0</v>
      </c>
      <c r="AH170" s="0" t="s">
        <v>140</v>
      </c>
      <c r="AI170" s="0" t="s">
        <v>138</v>
      </c>
      <c r="AL170" s="14"/>
      <c r="AN170" s="14"/>
      <c r="AQ170" s="0" t="s">
        <v>130</v>
      </c>
      <c r="AR170" s="0" t="s">
        <v>130</v>
      </c>
      <c r="AS170" s="0" t="s">
        <v>130</v>
      </c>
      <c r="AT170" s="0" t="s">
        <v>130</v>
      </c>
      <c r="AU170" s="0" t="s">
        <v>130</v>
      </c>
      <c r="AV170" s="0" t="s">
        <v>130</v>
      </c>
      <c r="AW170" s="0" t="s">
        <v>130</v>
      </c>
      <c r="AX170" s="0" t="s">
        <v>130</v>
      </c>
      <c r="AY170" s="0" t="s">
        <v>130</v>
      </c>
      <c r="AZ170" s="0" t="s">
        <v>130</v>
      </c>
      <c r="BA170" s="0" t="s">
        <v>130</v>
      </c>
      <c r="BB170" s="0" t="s">
        <v>141</v>
      </c>
      <c r="BC170" s="0" t="s">
        <v>141</v>
      </c>
      <c r="BD170" s="0" t="s">
        <v>130</v>
      </c>
      <c r="BE170" s="0" t="s">
        <v>130</v>
      </c>
      <c r="BF170" s="0" t="s">
        <v>130</v>
      </c>
      <c r="BG170" s="0" t="s">
        <v>130</v>
      </c>
      <c r="BH170" s="0" t="s">
        <v>130</v>
      </c>
      <c r="BI170" s="0" t="s">
        <v>130</v>
      </c>
      <c r="BJ170" s="0" t="s">
        <v>130</v>
      </c>
      <c r="BK170" s="0" t="s">
        <v>130</v>
      </c>
      <c r="BL170" s="0" t="s">
        <v>130</v>
      </c>
      <c r="BM170" s="0" t="s">
        <v>130</v>
      </c>
      <c r="BN170" s="0" t="s">
        <v>130</v>
      </c>
      <c r="BO170" s="0" t="s">
        <v>130</v>
      </c>
      <c r="BP170" s="0" t="s">
        <v>130</v>
      </c>
      <c r="BQ170" s="0" t="s">
        <v>130</v>
      </c>
      <c r="BR170" s="0" t="s">
        <v>130</v>
      </c>
      <c r="BS170" s="0" t="s">
        <v>130</v>
      </c>
      <c r="BT170" s="0" t="s">
        <v>130</v>
      </c>
      <c r="BU170" s="0" t="s">
        <v>130</v>
      </c>
      <c r="BV170" s="0" t="s">
        <v>130</v>
      </c>
      <c r="BW170" s="0" t="s">
        <v>130</v>
      </c>
      <c r="BX170" s="0" t="s">
        <v>130</v>
      </c>
      <c r="BY170" s="0" t="s">
        <v>130</v>
      </c>
      <c r="BZ170" s="0" t="s">
        <v>130</v>
      </c>
      <c r="CA170" s="0" t="s">
        <v>130</v>
      </c>
      <c r="CB170" s="0" t="s">
        <v>130</v>
      </c>
      <c r="CC170" s="0" t="s">
        <v>130</v>
      </c>
      <c r="CD170" s="0" t="s">
        <v>130</v>
      </c>
      <c r="CE170" s="0" t="s">
        <v>130</v>
      </c>
      <c r="CF170" s="0" t="s">
        <v>130</v>
      </c>
      <c r="CG170" s="0" t="s">
        <v>130</v>
      </c>
      <c r="CH170" s="0" t="s">
        <v>130</v>
      </c>
      <c r="CI170" s="0" t="s">
        <v>130</v>
      </c>
      <c r="CJ170" s="0" t="s">
        <v>130</v>
      </c>
      <c r="CK170" s="0" t="s">
        <v>130</v>
      </c>
      <c r="CL170" s="0" t="s">
        <v>130</v>
      </c>
      <c r="CM170" s="0" t="s">
        <v>130</v>
      </c>
      <c r="CN170" s="0" t="s">
        <v>130</v>
      </c>
      <c r="CO170" s="0" t="s">
        <v>130</v>
      </c>
      <c r="CP170" s="0" t="s">
        <v>130</v>
      </c>
      <c r="CQ170" s="0" t="s">
        <v>130</v>
      </c>
      <c r="CR170" s="0" t="s">
        <v>130</v>
      </c>
      <c r="CS170" s="0" t="s">
        <v>130</v>
      </c>
      <c r="CT170" s="0" t="s">
        <v>769</v>
      </c>
    </row>
    <row r="171">
      <c r="A171" s="14">
        <v>100539</v>
      </c>
      <c r="B171" s="0" t="s">
        <v>745</v>
      </c>
      <c r="C171" s="16">
        <f>HYPERLINK("https://eosportal.federatedhermes.com/companies/Q29tcGFueQppNTQ1MDc=", "EQT Corp")</f>
      </c>
      <c r="D171" s="0" t="s">
        <v>25</v>
      </c>
      <c r="E171" s="0" t="s">
        <v>770</v>
      </c>
      <c r="F171" s="16">
        <f>HYPERLINK("https://eosportal.federatedhermes.com/engagements/RW5nYWdlbWVudAppMTg5Nzk=", "Enhanced Governance &amp; Stakeholder Engagement")</f>
      </c>
      <c r="G171" s="14" t="s">
        <v>771</v>
      </c>
      <c r="H171" s="0" t="s">
        <v>130</v>
      </c>
      <c r="I171" s="14" t="s">
        <v>131</v>
      </c>
      <c r="J171" s="0" t="s">
        <v>145</v>
      </c>
      <c r="K171" s="0" t="s">
        <v>400</v>
      </c>
      <c r="L171" s="0" t="s">
        <v>507</v>
      </c>
      <c r="M171" s="0" t="s">
        <v>135</v>
      </c>
      <c r="N171" s="0" t="s">
        <v>136</v>
      </c>
      <c r="O171" s="0" t="s">
        <v>542</v>
      </c>
      <c r="Q171" s="0" t="s">
        <v>130</v>
      </c>
      <c r="R171" s="0" t="s">
        <v>138</v>
      </c>
      <c r="S171" s="14">
        <v>0</v>
      </c>
      <c r="T171" s="0" t="s">
        <v>148</v>
      </c>
      <c r="U171" s="0" t="s">
        <v>138</v>
      </c>
      <c r="V171" s="14" t="s">
        <v>138</v>
      </c>
      <c r="W171" s="0" t="s">
        <v>138</v>
      </c>
      <c r="X171" s="14" t="s">
        <v>138</v>
      </c>
      <c r="Y171" s="0" t="s">
        <v>138</v>
      </c>
      <c r="Z171" s="14" t="s">
        <v>138</v>
      </c>
      <c r="AA171" s="0" t="s">
        <v>138</v>
      </c>
      <c r="AB171" s="14" t="s">
        <v>138</v>
      </c>
      <c r="AD171" s="0" t="s">
        <v>138</v>
      </c>
      <c r="AF171" s="0">
        <v>0</v>
      </c>
      <c r="AG171" s="0">
        <v>0</v>
      </c>
      <c r="AH171" s="0" t="s">
        <v>140</v>
      </c>
      <c r="AI171" s="0" t="s">
        <v>138</v>
      </c>
      <c r="AL171" s="14"/>
      <c r="AN171" s="14"/>
      <c r="AQ171" s="0" t="s">
        <v>130</v>
      </c>
      <c r="AR171" s="0" t="s">
        <v>130</v>
      </c>
      <c r="AS171" s="0" t="s">
        <v>130</v>
      </c>
      <c r="AT171" s="0" t="s">
        <v>130</v>
      </c>
      <c r="AU171" s="0" t="s">
        <v>130</v>
      </c>
      <c r="AV171" s="0" t="s">
        <v>130</v>
      </c>
      <c r="AW171" s="0" t="s">
        <v>130</v>
      </c>
      <c r="AX171" s="0" t="s">
        <v>130</v>
      </c>
      <c r="AY171" s="0" t="s">
        <v>130</v>
      </c>
      <c r="AZ171" s="0" t="s">
        <v>130</v>
      </c>
      <c r="BA171" s="0" t="s">
        <v>130</v>
      </c>
      <c r="BB171" s="0" t="s">
        <v>130</v>
      </c>
      <c r="BC171" s="0" t="s">
        <v>130</v>
      </c>
      <c r="BD171" s="0" t="s">
        <v>130</v>
      </c>
      <c r="BE171" s="0" t="s">
        <v>130</v>
      </c>
      <c r="BF171" s="0" t="s">
        <v>130</v>
      </c>
      <c r="BG171" s="0" t="s">
        <v>130</v>
      </c>
      <c r="BH171" s="0" t="s">
        <v>130</v>
      </c>
      <c r="BI171" s="0" t="s">
        <v>130</v>
      </c>
      <c r="BJ171" s="0" t="s">
        <v>130</v>
      </c>
      <c r="BK171" s="0" t="s">
        <v>130</v>
      </c>
      <c r="BL171" s="0" t="s">
        <v>130</v>
      </c>
      <c r="BM171" s="0" t="s">
        <v>130</v>
      </c>
      <c r="BN171" s="0" t="s">
        <v>130</v>
      </c>
      <c r="BO171" s="0" t="s">
        <v>130</v>
      </c>
      <c r="BP171" s="0" t="s">
        <v>130</v>
      </c>
      <c r="BQ171" s="0" t="s">
        <v>130</v>
      </c>
      <c r="BR171" s="0" t="s">
        <v>130</v>
      </c>
      <c r="BS171" s="0" t="s">
        <v>130</v>
      </c>
      <c r="BT171" s="0" t="s">
        <v>130</v>
      </c>
      <c r="BU171" s="0" t="s">
        <v>130</v>
      </c>
      <c r="BV171" s="0" t="s">
        <v>130</v>
      </c>
      <c r="BW171" s="0" t="s">
        <v>130</v>
      </c>
      <c r="BX171" s="0" t="s">
        <v>130</v>
      </c>
      <c r="BY171" s="0" t="s">
        <v>130</v>
      </c>
      <c r="BZ171" s="0" t="s">
        <v>130</v>
      </c>
      <c r="CA171" s="0" t="s">
        <v>130</v>
      </c>
      <c r="CB171" s="0" t="s">
        <v>130</v>
      </c>
      <c r="CC171" s="0" t="s">
        <v>130</v>
      </c>
      <c r="CD171" s="0" t="s">
        <v>130</v>
      </c>
      <c r="CE171" s="0" t="s">
        <v>130</v>
      </c>
      <c r="CF171" s="0" t="s">
        <v>130</v>
      </c>
      <c r="CG171" s="0" t="s">
        <v>130</v>
      </c>
      <c r="CH171" s="0" t="s">
        <v>130</v>
      </c>
      <c r="CI171" s="0" t="s">
        <v>130</v>
      </c>
      <c r="CJ171" s="0" t="s">
        <v>130</v>
      </c>
      <c r="CK171" s="0" t="s">
        <v>130</v>
      </c>
      <c r="CL171" s="0" t="s">
        <v>130</v>
      </c>
      <c r="CM171" s="0" t="s">
        <v>130</v>
      </c>
      <c r="CN171" s="0" t="s">
        <v>130</v>
      </c>
      <c r="CO171" s="0" t="s">
        <v>130</v>
      </c>
      <c r="CP171" s="0" t="s">
        <v>130</v>
      </c>
      <c r="CQ171" s="0" t="s">
        <v>130</v>
      </c>
      <c r="CR171" s="0" t="s">
        <v>130</v>
      </c>
      <c r="CS171" s="0" t="s">
        <v>130</v>
      </c>
      <c r="CT171" s="0" t="s">
        <v>772</v>
      </c>
    </row>
    <row r="172">
      <c r="A172" s="14">
        <v>100539</v>
      </c>
      <c r="B172" s="0" t="s">
        <v>745</v>
      </c>
      <c r="C172" s="16">
        <f>HYPERLINK("https://eosportal.federatedhermes.com/companies/Q29tcGFueQppNTQ1MDc=", "EQT Corp")</f>
      </c>
      <c r="D172" s="0" t="s">
        <v>25</v>
      </c>
      <c r="E172" s="0" t="s">
        <v>773</v>
      </c>
      <c r="F172" s="16">
        <f>HYPERLINK("https://eosportal.federatedhermes.com/engagements/RW5nYWdlbWVudAppMTg5ODA=", "Best practice actions to limit climate change exposure")</f>
      </c>
      <c r="G172" s="14" t="s">
        <v>774</v>
      </c>
      <c r="H172" s="0" t="s">
        <v>130</v>
      </c>
      <c r="I172" s="14" t="s">
        <v>131</v>
      </c>
      <c r="J172" s="0" t="s">
        <v>197</v>
      </c>
      <c r="K172" s="0" t="s">
        <v>198</v>
      </c>
      <c r="L172" s="0" t="s">
        <v>199</v>
      </c>
      <c r="M172" s="0" t="s">
        <v>135</v>
      </c>
      <c r="N172" s="0" t="s">
        <v>136</v>
      </c>
      <c r="O172" s="0" t="s">
        <v>542</v>
      </c>
      <c r="Q172" s="0" t="s">
        <v>130</v>
      </c>
      <c r="R172" s="0" t="s">
        <v>138</v>
      </c>
      <c r="S172" s="14">
        <v>0</v>
      </c>
      <c r="T172" s="0" t="s">
        <v>314</v>
      </c>
      <c r="U172" s="0" t="s">
        <v>138</v>
      </c>
      <c r="V172" s="14" t="s">
        <v>138</v>
      </c>
      <c r="W172" s="0" t="s">
        <v>138</v>
      </c>
      <c r="X172" s="14" t="s">
        <v>138</v>
      </c>
      <c r="Y172" s="0" t="s">
        <v>138</v>
      </c>
      <c r="Z172" s="14" t="s">
        <v>138</v>
      </c>
      <c r="AA172" s="0" t="s">
        <v>138</v>
      </c>
      <c r="AB172" s="14" t="s">
        <v>138</v>
      </c>
      <c r="AD172" s="0" t="s">
        <v>138</v>
      </c>
      <c r="AF172" s="0">
        <v>0</v>
      </c>
      <c r="AG172" s="0">
        <v>0</v>
      </c>
      <c r="AH172" s="0" t="s">
        <v>140</v>
      </c>
      <c r="AI172" s="0" t="s">
        <v>138</v>
      </c>
      <c r="AL172" s="14"/>
      <c r="AN172" s="14"/>
      <c r="AQ172" s="0" t="s">
        <v>130</v>
      </c>
      <c r="AR172" s="0" t="s">
        <v>130</v>
      </c>
      <c r="AS172" s="0" t="s">
        <v>130</v>
      </c>
      <c r="AT172" s="0" t="s">
        <v>130</v>
      </c>
      <c r="AU172" s="0" t="s">
        <v>130</v>
      </c>
      <c r="AV172" s="0" t="s">
        <v>130</v>
      </c>
      <c r="AW172" s="0" t="s">
        <v>130</v>
      </c>
      <c r="AX172" s="0" t="s">
        <v>130</v>
      </c>
      <c r="AY172" s="0" t="s">
        <v>130</v>
      </c>
      <c r="AZ172" s="0" t="s">
        <v>130</v>
      </c>
      <c r="BA172" s="0" t="s">
        <v>130</v>
      </c>
      <c r="BB172" s="0" t="s">
        <v>141</v>
      </c>
      <c r="BC172" s="0" t="s">
        <v>130</v>
      </c>
      <c r="BD172" s="0" t="s">
        <v>130</v>
      </c>
      <c r="BE172" s="0" t="s">
        <v>130</v>
      </c>
      <c r="BF172" s="0" t="s">
        <v>130</v>
      </c>
      <c r="BG172" s="0" t="s">
        <v>130</v>
      </c>
      <c r="BH172" s="0" t="s">
        <v>130</v>
      </c>
      <c r="BI172" s="0" t="s">
        <v>130</v>
      </c>
      <c r="BJ172" s="0" t="s">
        <v>130</v>
      </c>
      <c r="BK172" s="0" t="s">
        <v>130</v>
      </c>
      <c r="BL172" s="0" t="s">
        <v>130</v>
      </c>
      <c r="BM172" s="0" t="s">
        <v>130</v>
      </c>
      <c r="BN172" s="0" t="s">
        <v>130</v>
      </c>
      <c r="BO172" s="0" t="s">
        <v>130</v>
      </c>
      <c r="BP172" s="0" t="s">
        <v>130</v>
      </c>
      <c r="BQ172" s="0" t="s">
        <v>130</v>
      </c>
      <c r="BR172" s="0" t="s">
        <v>130</v>
      </c>
      <c r="BS172" s="0" t="s">
        <v>130</v>
      </c>
      <c r="BT172" s="0" t="s">
        <v>130</v>
      </c>
      <c r="BU172" s="0" t="s">
        <v>130</v>
      </c>
      <c r="BV172" s="0" t="s">
        <v>130</v>
      </c>
      <c r="BW172" s="0" t="s">
        <v>130</v>
      </c>
      <c r="BX172" s="0" t="s">
        <v>130</v>
      </c>
      <c r="BY172" s="0" t="s">
        <v>130</v>
      </c>
      <c r="BZ172" s="0" t="s">
        <v>130</v>
      </c>
      <c r="CA172" s="0" t="s">
        <v>130</v>
      </c>
      <c r="CB172" s="0" t="s">
        <v>130</v>
      </c>
      <c r="CC172" s="0" t="s">
        <v>130</v>
      </c>
      <c r="CD172" s="0" t="s">
        <v>130</v>
      </c>
      <c r="CE172" s="0" t="s">
        <v>130</v>
      </c>
      <c r="CF172" s="0" t="s">
        <v>130</v>
      </c>
      <c r="CG172" s="0" t="s">
        <v>130</v>
      </c>
      <c r="CH172" s="0" t="s">
        <v>130</v>
      </c>
      <c r="CI172" s="0" t="s">
        <v>130</v>
      </c>
      <c r="CJ172" s="0" t="s">
        <v>130</v>
      </c>
      <c r="CK172" s="0" t="s">
        <v>130</v>
      </c>
      <c r="CL172" s="0" t="s">
        <v>130</v>
      </c>
      <c r="CM172" s="0" t="s">
        <v>130</v>
      </c>
      <c r="CN172" s="0" t="s">
        <v>130</v>
      </c>
      <c r="CO172" s="0" t="s">
        <v>130</v>
      </c>
      <c r="CP172" s="0" t="s">
        <v>130</v>
      </c>
      <c r="CQ172" s="0" t="s">
        <v>130</v>
      </c>
      <c r="CR172" s="0" t="s">
        <v>130</v>
      </c>
      <c r="CS172" s="0" t="s">
        <v>130</v>
      </c>
      <c r="CT172" s="0" t="s">
        <v>775</v>
      </c>
    </row>
    <row r="173">
      <c r="A173" s="14">
        <v>100546</v>
      </c>
      <c r="B173" s="0" t="s">
        <v>776</v>
      </c>
      <c r="C173" s="16">
        <f>HYPERLINK("https://eosportal.federatedhermes.com/companies/Q29tcGFueQppNzU3MjY=", "Exxon Mobil Corp")</f>
      </c>
      <c r="D173" s="0" t="s">
        <v>25</v>
      </c>
      <c r="E173" s="0" t="s">
        <v>143</v>
      </c>
      <c r="F173" s="16">
        <f>HYPERLINK("https://eosportal.federatedhermes.com/engagements/RW5nYWdlbWVudAppMTg5ODQ=", "Executive compensation")</f>
      </c>
      <c r="G173" s="14" t="s">
        <v>777</v>
      </c>
      <c r="H173" s="0" t="s">
        <v>141</v>
      </c>
      <c r="I173" s="14" t="s">
        <v>191</v>
      </c>
      <c r="J173" s="0" t="s">
        <v>145</v>
      </c>
      <c r="K173" s="0" t="s">
        <v>146</v>
      </c>
      <c r="L173" s="0" t="s">
        <v>147</v>
      </c>
      <c r="M173" s="0" t="s">
        <v>135</v>
      </c>
      <c r="N173" s="0" t="s">
        <v>136</v>
      </c>
      <c r="O173" s="0" t="s">
        <v>542</v>
      </c>
      <c r="Q173" s="0" t="s">
        <v>130</v>
      </c>
      <c r="R173" s="0" t="s">
        <v>138</v>
      </c>
      <c r="S173" s="14">
        <v>0</v>
      </c>
      <c r="T173" s="0" t="s">
        <v>239</v>
      </c>
      <c r="U173" s="0" t="s">
        <v>138</v>
      </c>
      <c r="V173" s="14" t="s">
        <v>138</v>
      </c>
      <c r="W173" s="0" t="s">
        <v>138</v>
      </c>
      <c r="X173" s="14" t="s">
        <v>138</v>
      </c>
      <c r="Y173" s="0" t="s">
        <v>138</v>
      </c>
      <c r="Z173" s="14" t="s">
        <v>138</v>
      </c>
      <c r="AA173" s="0" t="s">
        <v>138</v>
      </c>
      <c r="AB173" s="14" t="s">
        <v>138</v>
      </c>
      <c r="AD173" s="0" t="s">
        <v>138</v>
      </c>
      <c r="AF173" s="0">
        <v>0</v>
      </c>
      <c r="AG173" s="0">
        <v>0</v>
      </c>
      <c r="AH173" s="0" t="s">
        <v>140</v>
      </c>
      <c r="AI173" s="0" t="s">
        <v>138</v>
      </c>
      <c r="AL173" s="14"/>
      <c r="AN173" s="14"/>
      <c r="AQ173" s="0" t="s">
        <v>130</v>
      </c>
      <c r="AR173" s="0" t="s">
        <v>130</v>
      </c>
      <c r="AS173" s="0" t="s">
        <v>130</v>
      </c>
      <c r="AT173" s="0" t="s">
        <v>130</v>
      </c>
      <c r="AU173" s="0" t="s">
        <v>130</v>
      </c>
      <c r="AV173" s="0" t="s">
        <v>130</v>
      </c>
      <c r="AW173" s="0" t="s">
        <v>130</v>
      </c>
      <c r="AX173" s="0" t="s">
        <v>130</v>
      </c>
      <c r="AY173" s="0" t="s">
        <v>130</v>
      </c>
      <c r="AZ173" s="0" t="s">
        <v>130</v>
      </c>
      <c r="BA173" s="0" t="s">
        <v>130</v>
      </c>
      <c r="BB173" s="0" t="s">
        <v>130</v>
      </c>
      <c r="BC173" s="0" t="s">
        <v>130</v>
      </c>
      <c r="BD173" s="0" t="s">
        <v>130</v>
      </c>
      <c r="BE173" s="0" t="s">
        <v>130</v>
      </c>
      <c r="BF173" s="0" t="s">
        <v>130</v>
      </c>
      <c r="BG173" s="0" t="s">
        <v>130</v>
      </c>
      <c r="BH173" s="0" t="s">
        <v>130</v>
      </c>
      <c r="BI173" s="0" t="s">
        <v>130</v>
      </c>
      <c r="BJ173" s="0" t="s">
        <v>130</v>
      </c>
      <c r="BK173" s="0" t="s">
        <v>130</v>
      </c>
      <c r="BL173" s="0" t="s">
        <v>130</v>
      </c>
      <c r="BM173" s="0" t="s">
        <v>130</v>
      </c>
      <c r="BN173" s="0" t="s">
        <v>130</v>
      </c>
      <c r="BO173" s="0" t="s">
        <v>130</v>
      </c>
      <c r="BP173" s="0" t="s">
        <v>130</v>
      </c>
      <c r="BQ173" s="0" t="s">
        <v>130</v>
      </c>
      <c r="BR173" s="0" t="s">
        <v>130</v>
      </c>
      <c r="BS173" s="0" t="s">
        <v>130</v>
      </c>
      <c r="BT173" s="0" t="s">
        <v>130</v>
      </c>
      <c r="BU173" s="0" t="s">
        <v>130</v>
      </c>
      <c r="BV173" s="0" t="s">
        <v>130</v>
      </c>
      <c r="BW173" s="0" t="s">
        <v>130</v>
      </c>
      <c r="BX173" s="0" t="s">
        <v>130</v>
      </c>
      <c r="BY173" s="0" t="s">
        <v>130</v>
      </c>
      <c r="BZ173" s="0" t="s">
        <v>130</v>
      </c>
      <c r="CA173" s="0" t="s">
        <v>130</v>
      </c>
      <c r="CB173" s="0" t="s">
        <v>130</v>
      </c>
      <c r="CC173" s="0" t="s">
        <v>130</v>
      </c>
      <c r="CD173" s="0" t="s">
        <v>130</v>
      </c>
      <c r="CE173" s="0" t="s">
        <v>130</v>
      </c>
      <c r="CF173" s="0" t="s">
        <v>130</v>
      </c>
      <c r="CG173" s="0" t="s">
        <v>130</v>
      </c>
      <c r="CH173" s="0" t="s">
        <v>130</v>
      </c>
      <c r="CI173" s="0" t="s">
        <v>130</v>
      </c>
      <c r="CJ173" s="0" t="s">
        <v>130</v>
      </c>
      <c r="CK173" s="0" t="s">
        <v>130</v>
      </c>
      <c r="CL173" s="0" t="s">
        <v>130</v>
      </c>
      <c r="CM173" s="0" t="s">
        <v>130</v>
      </c>
      <c r="CN173" s="0" t="s">
        <v>130</v>
      </c>
      <c r="CO173" s="0" t="s">
        <v>130</v>
      </c>
      <c r="CP173" s="0" t="s">
        <v>130</v>
      </c>
      <c r="CQ173" s="0" t="s">
        <v>130</v>
      </c>
      <c r="CR173" s="0" t="s">
        <v>130</v>
      </c>
      <c r="CS173" s="0" t="s">
        <v>130</v>
      </c>
      <c r="CT173" s="0" t="s">
        <v>778</v>
      </c>
    </row>
    <row r="174">
      <c r="A174" s="14">
        <v>100546</v>
      </c>
      <c r="B174" s="0" t="s">
        <v>776</v>
      </c>
      <c r="C174" s="16">
        <f>HYPERLINK("https://eosportal.federatedhermes.com/companies/Q29tcGFueQppNzU3MjY=", "Exxon Mobil Corp")</f>
      </c>
      <c r="D174" s="0" t="s">
        <v>25</v>
      </c>
      <c r="E174" s="0" t="s">
        <v>779</v>
      </c>
      <c r="F174" s="16">
        <f>HYPERLINK("https://eosportal.federatedhermes.com/engagements/RW5nYWdlbWVudAppMTg5ODU=", "Special meetings threshold")</f>
      </c>
      <c r="G174" s="14" t="s">
        <v>780</v>
      </c>
      <c r="H174" s="0" t="s">
        <v>141</v>
      </c>
      <c r="I174" s="14" t="s">
        <v>191</v>
      </c>
      <c r="J174" s="0" t="s">
        <v>145</v>
      </c>
      <c r="K174" s="0" t="s">
        <v>400</v>
      </c>
      <c r="L174" s="0" t="s">
        <v>507</v>
      </c>
      <c r="M174" s="0" t="s">
        <v>135</v>
      </c>
      <c r="N174" s="0" t="s">
        <v>136</v>
      </c>
      <c r="O174" s="0" t="s">
        <v>542</v>
      </c>
      <c r="Q174" s="0" t="s">
        <v>130</v>
      </c>
      <c r="R174" s="0" t="s">
        <v>138</v>
      </c>
      <c r="S174" s="14">
        <v>0</v>
      </c>
      <c r="T174" s="0" t="s">
        <v>487</v>
      </c>
      <c r="U174" s="0" t="s">
        <v>138</v>
      </c>
      <c r="V174" s="14" t="s">
        <v>138</v>
      </c>
      <c r="W174" s="0" t="s">
        <v>138</v>
      </c>
      <c r="X174" s="14" t="s">
        <v>138</v>
      </c>
      <c r="Y174" s="0" t="s">
        <v>138</v>
      </c>
      <c r="Z174" s="14" t="s">
        <v>138</v>
      </c>
      <c r="AA174" s="0" t="s">
        <v>138</v>
      </c>
      <c r="AB174" s="14" t="s">
        <v>138</v>
      </c>
      <c r="AD174" s="0" t="s">
        <v>138</v>
      </c>
      <c r="AF174" s="0">
        <v>0</v>
      </c>
      <c r="AG174" s="0">
        <v>0</v>
      </c>
      <c r="AH174" s="0" t="s">
        <v>140</v>
      </c>
      <c r="AI174" s="0" t="s">
        <v>138</v>
      </c>
      <c r="AL174" s="14"/>
      <c r="AN174" s="14"/>
      <c r="AQ174" s="0" t="s">
        <v>130</v>
      </c>
      <c r="AR174" s="0" t="s">
        <v>130</v>
      </c>
      <c r="AS174" s="0" t="s">
        <v>130</v>
      </c>
      <c r="AT174" s="0" t="s">
        <v>130</v>
      </c>
      <c r="AU174" s="0" t="s">
        <v>130</v>
      </c>
      <c r="AV174" s="0" t="s">
        <v>130</v>
      </c>
      <c r="AW174" s="0" t="s">
        <v>130</v>
      </c>
      <c r="AX174" s="0" t="s">
        <v>130</v>
      </c>
      <c r="AY174" s="0" t="s">
        <v>130</v>
      </c>
      <c r="AZ174" s="0" t="s">
        <v>130</v>
      </c>
      <c r="BA174" s="0" t="s">
        <v>130</v>
      </c>
      <c r="BB174" s="0" t="s">
        <v>130</v>
      </c>
      <c r="BC174" s="0" t="s">
        <v>130</v>
      </c>
      <c r="BD174" s="0" t="s">
        <v>130</v>
      </c>
      <c r="BE174" s="0" t="s">
        <v>130</v>
      </c>
      <c r="BF174" s="0" t="s">
        <v>130</v>
      </c>
      <c r="BG174" s="0" t="s">
        <v>130</v>
      </c>
      <c r="BH174" s="0" t="s">
        <v>130</v>
      </c>
      <c r="BI174" s="0" t="s">
        <v>130</v>
      </c>
      <c r="BJ174" s="0" t="s">
        <v>130</v>
      </c>
      <c r="BK174" s="0" t="s">
        <v>130</v>
      </c>
      <c r="BL174" s="0" t="s">
        <v>130</v>
      </c>
      <c r="BM174" s="0" t="s">
        <v>130</v>
      </c>
      <c r="BN174" s="0" t="s">
        <v>130</v>
      </c>
      <c r="BO174" s="0" t="s">
        <v>130</v>
      </c>
      <c r="BP174" s="0" t="s">
        <v>130</v>
      </c>
      <c r="BQ174" s="0" t="s">
        <v>130</v>
      </c>
      <c r="BR174" s="0" t="s">
        <v>130</v>
      </c>
      <c r="BS174" s="0" t="s">
        <v>130</v>
      </c>
      <c r="BT174" s="0" t="s">
        <v>130</v>
      </c>
      <c r="BU174" s="0" t="s">
        <v>130</v>
      </c>
      <c r="BV174" s="0" t="s">
        <v>130</v>
      </c>
      <c r="BW174" s="0" t="s">
        <v>130</v>
      </c>
      <c r="BX174" s="0" t="s">
        <v>130</v>
      </c>
      <c r="BY174" s="0" t="s">
        <v>130</v>
      </c>
      <c r="BZ174" s="0" t="s">
        <v>130</v>
      </c>
      <c r="CA174" s="0" t="s">
        <v>130</v>
      </c>
      <c r="CB174" s="0" t="s">
        <v>130</v>
      </c>
      <c r="CC174" s="0" t="s">
        <v>130</v>
      </c>
      <c r="CD174" s="0" t="s">
        <v>130</v>
      </c>
      <c r="CE174" s="0" t="s">
        <v>130</v>
      </c>
      <c r="CF174" s="0" t="s">
        <v>130</v>
      </c>
      <c r="CG174" s="0" t="s">
        <v>130</v>
      </c>
      <c r="CH174" s="0" t="s">
        <v>130</v>
      </c>
      <c r="CI174" s="0" t="s">
        <v>130</v>
      </c>
      <c r="CJ174" s="0" t="s">
        <v>130</v>
      </c>
      <c r="CK174" s="0" t="s">
        <v>130</v>
      </c>
      <c r="CL174" s="0" t="s">
        <v>130</v>
      </c>
      <c r="CM174" s="0" t="s">
        <v>130</v>
      </c>
      <c r="CN174" s="0" t="s">
        <v>130</v>
      </c>
      <c r="CO174" s="0" t="s">
        <v>130</v>
      </c>
      <c r="CP174" s="0" t="s">
        <v>130</v>
      </c>
      <c r="CQ174" s="0" t="s">
        <v>130</v>
      </c>
      <c r="CR174" s="0" t="s">
        <v>130</v>
      </c>
      <c r="CS174" s="0" t="s">
        <v>130</v>
      </c>
      <c r="CT174" s="0" t="s">
        <v>781</v>
      </c>
    </row>
    <row r="175">
      <c r="A175" s="14">
        <v>100546</v>
      </c>
      <c r="B175" s="0" t="s">
        <v>776</v>
      </c>
      <c r="C175" s="16">
        <f>HYPERLINK("https://eosportal.federatedhermes.com/companies/Q29tcGFueQppNzU3MjY=", "Exxon Mobil Corp")</f>
      </c>
      <c r="D175" s="0" t="s">
        <v>25</v>
      </c>
      <c r="E175" s="0" t="s">
        <v>782</v>
      </c>
      <c r="F175" s="16">
        <f>HYPERLINK("https://eosportal.federatedhermes.com/engagements/RW5nYWdlbWVudAppMTg5ODY=", "Governance standards")</f>
      </c>
      <c r="G175" s="14" t="s">
        <v>783</v>
      </c>
      <c r="H175" s="0" t="s">
        <v>141</v>
      </c>
      <c r="I175" s="14" t="s">
        <v>191</v>
      </c>
      <c r="J175" s="0" t="s">
        <v>145</v>
      </c>
      <c r="K175" s="0" t="s">
        <v>400</v>
      </c>
      <c r="L175" s="0" t="s">
        <v>507</v>
      </c>
      <c r="M175" s="0" t="s">
        <v>135</v>
      </c>
      <c r="N175" s="0" t="s">
        <v>136</v>
      </c>
      <c r="O175" s="0" t="s">
        <v>542</v>
      </c>
      <c r="Q175" s="0" t="s">
        <v>130</v>
      </c>
      <c r="R175" s="0" t="s">
        <v>138</v>
      </c>
      <c r="S175" s="14">
        <v>0</v>
      </c>
      <c r="T175" s="0" t="s">
        <v>239</v>
      </c>
      <c r="U175" s="0" t="s">
        <v>138</v>
      </c>
      <c r="V175" s="14" t="s">
        <v>138</v>
      </c>
      <c r="W175" s="0" t="s">
        <v>138</v>
      </c>
      <c r="X175" s="14" t="s">
        <v>138</v>
      </c>
      <c r="Y175" s="0" t="s">
        <v>138</v>
      </c>
      <c r="Z175" s="14" t="s">
        <v>138</v>
      </c>
      <c r="AA175" s="0" t="s">
        <v>138</v>
      </c>
      <c r="AB175" s="14" t="s">
        <v>138</v>
      </c>
      <c r="AD175" s="0" t="s">
        <v>138</v>
      </c>
      <c r="AF175" s="0">
        <v>0</v>
      </c>
      <c r="AG175" s="0">
        <v>0</v>
      </c>
      <c r="AH175" s="0" t="s">
        <v>140</v>
      </c>
      <c r="AI175" s="0" t="s">
        <v>138</v>
      </c>
      <c r="AL175" s="14"/>
      <c r="AN175" s="14"/>
      <c r="AQ175" s="0" t="s">
        <v>130</v>
      </c>
      <c r="AR175" s="0" t="s">
        <v>130</v>
      </c>
      <c r="AS175" s="0" t="s">
        <v>130</v>
      </c>
      <c r="AT175" s="0" t="s">
        <v>130</v>
      </c>
      <c r="AU175" s="0" t="s">
        <v>130</v>
      </c>
      <c r="AV175" s="0" t="s">
        <v>130</v>
      </c>
      <c r="AW175" s="0" t="s">
        <v>130</v>
      </c>
      <c r="AX175" s="0" t="s">
        <v>130</v>
      </c>
      <c r="AY175" s="0" t="s">
        <v>130</v>
      </c>
      <c r="AZ175" s="0" t="s">
        <v>130</v>
      </c>
      <c r="BA175" s="0" t="s">
        <v>130</v>
      </c>
      <c r="BB175" s="0" t="s">
        <v>130</v>
      </c>
      <c r="BC175" s="0" t="s">
        <v>130</v>
      </c>
      <c r="BD175" s="0" t="s">
        <v>130</v>
      </c>
      <c r="BE175" s="0" t="s">
        <v>130</v>
      </c>
      <c r="BF175" s="0" t="s">
        <v>130</v>
      </c>
      <c r="BG175" s="0" t="s">
        <v>130</v>
      </c>
      <c r="BH175" s="0" t="s">
        <v>130</v>
      </c>
      <c r="BI175" s="0" t="s">
        <v>130</v>
      </c>
      <c r="BJ175" s="0" t="s">
        <v>130</v>
      </c>
      <c r="BK175" s="0" t="s">
        <v>130</v>
      </c>
      <c r="BL175" s="0" t="s">
        <v>130</v>
      </c>
      <c r="BM175" s="0" t="s">
        <v>130</v>
      </c>
      <c r="BN175" s="0" t="s">
        <v>130</v>
      </c>
      <c r="BO175" s="0" t="s">
        <v>130</v>
      </c>
      <c r="BP175" s="0" t="s">
        <v>130</v>
      </c>
      <c r="BQ175" s="0" t="s">
        <v>130</v>
      </c>
      <c r="BR175" s="0" t="s">
        <v>130</v>
      </c>
      <c r="BS175" s="0" t="s">
        <v>130</v>
      </c>
      <c r="BT175" s="0" t="s">
        <v>130</v>
      </c>
      <c r="BU175" s="0" t="s">
        <v>130</v>
      </c>
      <c r="BV175" s="0" t="s">
        <v>130</v>
      </c>
      <c r="BW175" s="0" t="s">
        <v>130</v>
      </c>
      <c r="BX175" s="0" t="s">
        <v>130</v>
      </c>
      <c r="BY175" s="0" t="s">
        <v>130</v>
      </c>
      <c r="BZ175" s="0" t="s">
        <v>130</v>
      </c>
      <c r="CA175" s="0" t="s">
        <v>130</v>
      </c>
      <c r="CB175" s="0" t="s">
        <v>130</v>
      </c>
      <c r="CC175" s="0" t="s">
        <v>130</v>
      </c>
      <c r="CD175" s="0" t="s">
        <v>130</v>
      </c>
      <c r="CE175" s="0" t="s">
        <v>130</v>
      </c>
      <c r="CF175" s="0" t="s">
        <v>130</v>
      </c>
      <c r="CG175" s="0" t="s">
        <v>130</v>
      </c>
      <c r="CH175" s="0" t="s">
        <v>130</v>
      </c>
      <c r="CI175" s="0" t="s">
        <v>130</v>
      </c>
      <c r="CJ175" s="0" t="s">
        <v>130</v>
      </c>
      <c r="CK175" s="0" t="s">
        <v>130</v>
      </c>
      <c r="CL175" s="0" t="s">
        <v>130</v>
      </c>
      <c r="CM175" s="0" t="s">
        <v>130</v>
      </c>
      <c r="CN175" s="0" t="s">
        <v>130</v>
      </c>
      <c r="CO175" s="0" t="s">
        <v>130</v>
      </c>
      <c r="CP175" s="0" t="s">
        <v>130</v>
      </c>
      <c r="CQ175" s="0" t="s">
        <v>130</v>
      </c>
      <c r="CR175" s="0" t="s">
        <v>130</v>
      </c>
      <c r="CS175" s="0" t="s">
        <v>130</v>
      </c>
      <c r="CT175" s="0" t="s">
        <v>784</v>
      </c>
    </row>
    <row r="176">
      <c r="A176" s="14">
        <v>100546</v>
      </c>
      <c r="B176" s="0" t="s">
        <v>776</v>
      </c>
      <c r="C176" s="16">
        <f>HYPERLINK("https://eosportal.federatedhermes.com/companies/Q29tcGFueQppNzU3MjY=", "Exxon Mobil Corp")</f>
      </c>
      <c r="D176" s="0" t="s">
        <v>25</v>
      </c>
      <c r="E176" s="0" t="s">
        <v>785</v>
      </c>
      <c r="F176" s="16">
        <f>HYPERLINK("https://eosportal.federatedhermes.com/engagements/RW5nYWdlbWVudAppMTg5ODc=", "Equal pay and opportunity for women")</f>
      </c>
      <c r="G176" s="14" t="s">
        <v>786</v>
      </c>
      <c r="H176" s="0" t="s">
        <v>141</v>
      </c>
      <c r="I176" s="14" t="s">
        <v>191</v>
      </c>
      <c r="J176" s="0" t="s">
        <v>153</v>
      </c>
      <c r="K176" s="0" t="s">
        <v>154</v>
      </c>
      <c r="L176" s="0" t="s">
        <v>268</v>
      </c>
      <c r="M176" s="0" t="s">
        <v>135</v>
      </c>
      <c r="N176" s="0" t="s">
        <v>136</v>
      </c>
      <c r="O176" s="0" t="s">
        <v>542</v>
      </c>
      <c r="Q176" s="0" t="s">
        <v>130</v>
      </c>
      <c r="R176" s="0" t="s">
        <v>138</v>
      </c>
      <c r="S176" s="14">
        <v>0</v>
      </c>
      <c r="T176" s="0" t="s">
        <v>239</v>
      </c>
      <c r="U176" s="0" t="s">
        <v>138</v>
      </c>
      <c r="V176" s="14" t="s">
        <v>138</v>
      </c>
      <c r="W176" s="0" t="s">
        <v>138</v>
      </c>
      <c r="X176" s="14" t="s">
        <v>138</v>
      </c>
      <c r="Y176" s="0" t="s">
        <v>138</v>
      </c>
      <c r="Z176" s="14" t="s">
        <v>138</v>
      </c>
      <c r="AA176" s="0" t="s">
        <v>138</v>
      </c>
      <c r="AB176" s="14" t="s">
        <v>138</v>
      </c>
      <c r="AD176" s="0" t="s">
        <v>138</v>
      </c>
      <c r="AF176" s="0">
        <v>0</v>
      </c>
      <c r="AG176" s="0">
        <v>0</v>
      </c>
      <c r="AH176" s="0" t="s">
        <v>140</v>
      </c>
      <c r="AI176" s="0" t="s">
        <v>138</v>
      </c>
      <c r="AL176" s="14"/>
      <c r="AN176" s="14"/>
      <c r="AQ176" s="0" t="s">
        <v>130</v>
      </c>
      <c r="AR176" s="0" t="s">
        <v>130</v>
      </c>
      <c r="AS176" s="0" t="s">
        <v>130</v>
      </c>
      <c r="AT176" s="0" t="s">
        <v>130</v>
      </c>
      <c r="AU176" s="0" t="s">
        <v>141</v>
      </c>
      <c r="AV176" s="0" t="s">
        <v>130</v>
      </c>
      <c r="AW176" s="0" t="s">
        <v>130</v>
      </c>
      <c r="AX176" s="0" t="s">
        <v>130</v>
      </c>
      <c r="AY176" s="0" t="s">
        <v>130</v>
      </c>
      <c r="AZ176" s="0" t="s">
        <v>141</v>
      </c>
      <c r="BA176" s="0" t="s">
        <v>130</v>
      </c>
      <c r="BB176" s="0" t="s">
        <v>130</v>
      </c>
      <c r="BC176" s="0" t="s">
        <v>130</v>
      </c>
      <c r="BD176" s="0" t="s">
        <v>130</v>
      </c>
      <c r="BE176" s="0" t="s">
        <v>130</v>
      </c>
      <c r="BF176" s="0" t="s">
        <v>141</v>
      </c>
      <c r="BG176" s="0" t="s">
        <v>130</v>
      </c>
      <c r="BH176" s="0" t="s">
        <v>130</v>
      </c>
      <c r="BI176" s="0" t="s">
        <v>130</v>
      </c>
      <c r="BJ176" s="0" t="s">
        <v>130</v>
      </c>
      <c r="BK176" s="0" t="s">
        <v>130</v>
      </c>
      <c r="BL176" s="0" t="s">
        <v>130</v>
      </c>
      <c r="BM176" s="0" t="s">
        <v>130</v>
      </c>
      <c r="BN176" s="0" t="s">
        <v>130</v>
      </c>
      <c r="BO176" s="0" t="s">
        <v>130</v>
      </c>
      <c r="BP176" s="0" t="s">
        <v>130</v>
      </c>
      <c r="BQ176" s="0" t="s">
        <v>130</v>
      </c>
      <c r="BR176" s="0" t="s">
        <v>130</v>
      </c>
      <c r="BS176" s="0" t="s">
        <v>130</v>
      </c>
      <c r="BT176" s="0" t="s">
        <v>130</v>
      </c>
      <c r="BU176" s="0" t="s">
        <v>130</v>
      </c>
      <c r="BV176" s="0" t="s">
        <v>130</v>
      </c>
      <c r="BW176" s="0" t="s">
        <v>130</v>
      </c>
      <c r="BX176" s="0" t="s">
        <v>130</v>
      </c>
      <c r="BY176" s="0" t="s">
        <v>130</v>
      </c>
      <c r="BZ176" s="0" t="s">
        <v>130</v>
      </c>
      <c r="CA176" s="0" t="s">
        <v>130</v>
      </c>
      <c r="CB176" s="0" t="s">
        <v>130</v>
      </c>
      <c r="CC176" s="0" t="s">
        <v>130</v>
      </c>
      <c r="CD176" s="0" t="s">
        <v>130</v>
      </c>
      <c r="CE176" s="0" t="s">
        <v>130</v>
      </c>
      <c r="CF176" s="0" t="s">
        <v>130</v>
      </c>
      <c r="CG176" s="0" t="s">
        <v>130</v>
      </c>
      <c r="CH176" s="0" t="s">
        <v>130</v>
      </c>
      <c r="CI176" s="0" t="s">
        <v>130</v>
      </c>
      <c r="CJ176" s="0" t="s">
        <v>130</v>
      </c>
      <c r="CK176" s="0" t="s">
        <v>141</v>
      </c>
      <c r="CL176" s="0" t="s">
        <v>130</v>
      </c>
      <c r="CM176" s="0" t="s">
        <v>130</v>
      </c>
      <c r="CN176" s="0" t="s">
        <v>130</v>
      </c>
      <c r="CO176" s="0" t="s">
        <v>130</v>
      </c>
      <c r="CP176" s="0" t="s">
        <v>130</v>
      </c>
      <c r="CQ176" s="0" t="s">
        <v>130</v>
      </c>
      <c r="CR176" s="0" t="s">
        <v>130</v>
      </c>
      <c r="CS176" s="0" t="s">
        <v>130</v>
      </c>
      <c r="CT176" s="0" t="s">
        <v>787</v>
      </c>
    </row>
    <row r="177">
      <c r="A177" s="14">
        <v>100546</v>
      </c>
      <c r="B177" s="0" t="s">
        <v>776</v>
      </c>
      <c r="C177" s="16">
        <f>HYPERLINK("https://eosportal.federatedhermes.com/companies/Q29tcGFueQppNzU3MjY=", "Exxon Mobil Corp")</f>
      </c>
      <c r="D177" s="0" t="s">
        <v>25</v>
      </c>
      <c r="E177" s="0" t="s">
        <v>788</v>
      </c>
      <c r="F177" s="16">
        <f>HYPERLINK("https://eosportal.federatedhermes.com/engagements/RW5nYWdlbWVudAppMTg5ODg=", "Responsible taxation")</f>
      </c>
      <c r="G177" s="14" t="s">
        <v>789</v>
      </c>
      <c r="H177" s="0" t="s">
        <v>141</v>
      </c>
      <c r="I177" s="14" t="s">
        <v>191</v>
      </c>
      <c r="J177" s="0" t="s">
        <v>153</v>
      </c>
      <c r="K177" s="0" t="s">
        <v>185</v>
      </c>
      <c r="L177" s="0" t="s">
        <v>548</v>
      </c>
      <c r="M177" s="0" t="s">
        <v>135</v>
      </c>
      <c r="N177" s="0" t="s">
        <v>136</v>
      </c>
      <c r="O177" s="0" t="s">
        <v>542</v>
      </c>
      <c r="Q177" s="0" t="s">
        <v>130</v>
      </c>
      <c r="R177" s="0" t="s">
        <v>138</v>
      </c>
      <c r="S177" s="14">
        <v>0</v>
      </c>
      <c r="T177" s="0" t="s">
        <v>710</v>
      </c>
      <c r="U177" s="0" t="s">
        <v>138</v>
      </c>
      <c r="V177" s="14" t="s">
        <v>138</v>
      </c>
      <c r="W177" s="0" t="s">
        <v>138</v>
      </c>
      <c r="X177" s="14" t="s">
        <v>138</v>
      </c>
      <c r="Y177" s="0" t="s">
        <v>138</v>
      </c>
      <c r="Z177" s="14" t="s">
        <v>138</v>
      </c>
      <c r="AA177" s="0" t="s">
        <v>138</v>
      </c>
      <c r="AB177" s="14" t="s">
        <v>138</v>
      </c>
      <c r="AD177" s="0" t="s">
        <v>138</v>
      </c>
      <c r="AF177" s="0">
        <v>0</v>
      </c>
      <c r="AG177" s="0">
        <v>0</v>
      </c>
      <c r="AH177" s="0" t="s">
        <v>140</v>
      </c>
      <c r="AI177" s="0" t="s">
        <v>138</v>
      </c>
      <c r="AL177" s="14"/>
      <c r="AN177" s="14"/>
      <c r="AQ177" s="0" t="s">
        <v>130</v>
      </c>
      <c r="AR177" s="0" t="s">
        <v>130</v>
      </c>
      <c r="AS177" s="0" t="s">
        <v>130</v>
      </c>
      <c r="AT177" s="0" t="s">
        <v>130</v>
      </c>
      <c r="AU177" s="0" t="s">
        <v>130</v>
      </c>
      <c r="AV177" s="0" t="s">
        <v>130</v>
      </c>
      <c r="AW177" s="0" t="s">
        <v>130</v>
      </c>
      <c r="AX177" s="0" t="s">
        <v>130</v>
      </c>
      <c r="AY177" s="0" t="s">
        <v>130</v>
      </c>
      <c r="AZ177" s="0" t="s">
        <v>130</v>
      </c>
      <c r="BA177" s="0" t="s">
        <v>130</v>
      </c>
      <c r="BB177" s="0" t="s">
        <v>130</v>
      </c>
      <c r="BC177" s="0" t="s">
        <v>130</v>
      </c>
      <c r="BD177" s="0" t="s">
        <v>130</v>
      </c>
      <c r="BE177" s="0" t="s">
        <v>130</v>
      </c>
      <c r="BF177" s="0" t="s">
        <v>130</v>
      </c>
      <c r="BG177" s="0" t="s">
        <v>141</v>
      </c>
      <c r="BH177" s="0" t="s">
        <v>130</v>
      </c>
      <c r="BI177" s="0" t="s">
        <v>130</v>
      </c>
      <c r="BJ177" s="0" t="s">
        <v>130</v>
      </c>
      <c r="BK177" s="0" t="s">
        <v>130</v>
      </c>
      <c r="BL177" s="0" t="s">
        <v>130</v>
      </c>
      <c r="BM177" s="0" t="s">
        <v>130</v>
      </c>
      <c r="BN177" s="0" t="s">
        <v>130</v>
      </c>
      <c r="BO177" s="0" t="s">
        <v>130</v>
      </c>
      <c r="BP177" s="0" t="s">
        <v>130</v>
      </c>
      <c r="BQ177" s="0" t="s">
        <v>130</v>
      </c>
      <c r="BR177" s="0" t="s">
        <v>130</v>
      </c>
      <c r="BS177" s="0" t="s">
        <v>130</v>
      </c>
      <c r="BT177" s="0" t="s">
        <v>130</v>
      </c>
      <c r="BU177" s="0" t="s">
        <v>130</v>
      </c>
      <c r="BV177" s="0" t="s">
        <v>130</v>
      </c>
      <c r="BW177" s="0" t="s">
        <v>130</v>
      </c>
      <c r="BX177" s="0" t="s">
        <v>130</v>
      </c>
      <c r="BY177" s="0" t="s">
        <v>130</v>
      </c>
      <c r="BZ177" s="0" t="s">
        <v>130</v>
      </c>
      <c r="CA177" s="0" t="s">
        <v>130</v>
      </c>
      <c r="CB177" s="0" t="s">
        <v>130</v>
      </c>
      <c r="CC177" s="0" t="s">
        <v>130</v>
      </c>
      <c r="CD177" s="0" t="s">
        <v>130</v>
      </c>
      <c r="CE177" s="0" t="s">
        <v>130</v>
      </c>
      <c r="CF177" s="0" t="s">
        <v>130</v>
      </c>
      <c r="CG177" s="0" t="s">
        <v>130</v>
      </c>
      <c r="CH177" s="0" t="s">
        <v>130</v>
      </c>
      <c r="CI177" s="0" t="s">
        <v>130</v>
      </c>
      <c r="CJ177" s="0" t="s">
        <v>130</v>
      </c>
      <c r="CK177" s="0" t="s">
        <v>130</v>
      </c>
      <c r="CL177" s="0" t="s">
        <v>130</v>
      </c>
      <c r="CM177" s="0" t="s">
        <v>130</v>
      </c>
      <c r="CN177" s="0" t="s">
        <v>130</v>
      </c>
      <c r="CO177" s="0" t="s">
        <v>130</v>
      </c>
      <c r="CP177" s="0" t="s">
        <v>130</v>
      </c>
      <c r="CQ177" s="0" t="s">
        <v>130</v>
      </c>
      <c r="CR177" s="0" t="s">
        <v>130</v>
      </c>
      <c r="CS177" s="0" t="s">
        <v>130</v>
      </c>
      <c r="CT177" s="0" t="s">
        <v>790</v>
      </c>
    </row>
    <row r="178">
      <c r="A178" s="14">
        <v>100546</v>
      </c>
      <c r="B178" s="0" t="s">
        <v>776</v>
      </c>
      <c r="C178" s="16">
        <f>HYPERLINK("https://eosportal.federatedhermes.com/companies/Q29tcGFueQppNzU3MjY=", "Exxon Mobil Corp")</f>
      </c>
      <c r="D178" s="0" t="s">
        <v>25</v>
      </c>
      <c r="E178" s="0" t="s">
        <v>791</v>
      </c>
      <c r="F178" s="16">
        <f>HYPERLINK("https://eosportal.federatedhermes.com/engagements/RW5nYWdlbWVudAppMTg5OTQ=", "Lobbying governance")</f>
      </c>
      <c r="G178" s="14" t="s">
        <v>792</v>
      </c>
      <c r="H178" s="0" t="s">
        <v>141</v>
      </c>
      <c r="I178" s="14" t="s">
        <v>191</v>
      </c>
      <c r="J178" s="0" t="s">
        <v>153</v>
      </c>
      <c r="K178" s="0" t="s">
        <v>185</v>
      </c>
      <c r="L178" s="0" t="s">
        <v>186</v>
      </c>
      <c r="M178" s="0" t="s">
        <v>135</v>
      </c>
      <c r="N178" s="0" t="s">
        <v>136</v>
      </c>
      <c r="O178" s="0" t="s">
        <v>542</v>
      </c>
      <c r="Q178" s="0" t="s">
        <v>130</v>
      </c>
      <c r="R178" s="0" t="s">
        <v>138</v>
      </c>
      <c r="S178" s="14">
        <v>0</v>
      </c>
      <c r="T178" s="0" t="s">
        <v>487</v>
      </c>
      <c r="U178" s="0" t="s">
        <v>138</v>
      </c>
      <c r="V178" s="14" t="s">
        <v>138</v>
      </c>
      <c r="W178" s="0" t="s">
        <v>138</v>
      </c>
      <c r="X178" s="14" t="s">
        <v>138</v>
      </c>
      <c r="Y178" s="0" t="s">
        <v>138</v>
      </c>
      <c r="Z178" s="14" t="s">
        <v>138</v>
      </c>
      <c r="AA178" s="0" t="s">
        <v>138</v>
      </c>
      <c r="AB178" s="14" t="s">
        <v>138</v>
      </c>
      <c r="AD178" s="0" t="s">
        <v>138</v>
      </c>
      <c r="AF178" s="0">
        <v>0</v>
      </c>
      <c r="AG178" s="0">
        <v>0</v>
      </c>
      <c r="AH178" s="0" t="s">
        <v>140</v>
      </c>
      <c r="AI178" s="0" t="s">
        <v>138</v>
      </c>
      <c r="AL178" s="14"/>
      <c r="AN178" s="14"/>
      <c r="AQ178" s="0" t="s">
        <v>130</v>
      </c>
      <c r="AR178" s="0" t="s">
        <v>130</v>
      </c>
      <c r="AS178" s="0" t="s">
        <v>130</v>
      </c>
      <c r="AT178" s="0" t="s">
        <v>130</v>
      </c>
      <c r="AU178" s="0" t="s">
        <v>130</v>
      </c>
      <c r="AV178" s="0" t="s">
        <v>130</v>
      </c>
      <c r="AW178" s="0" t="s">
        <v>130</v>
      </c>
      <c r="AX178" s="0" t="s">
        <v>130</v>
      </c>
      <c r="AY178" s="0" t="s">
        <v>130</v>
      </c>
      <c r="AZ178" s="0" t="s">
        <v>130</v>
      </c>
      <c r="BA178" s="0" t="s">
        <v>130</v>
      </c>
      <c r="BB178" s="0" t="s">
        <v>130</v>
      </c>
      <c r="BC178" s="0" t="s">
        <v>130</v>
      </c>
      <c r="BD178" s="0" t="s">
        <v>130</v>
      </c>
      <c r="BE178" s="0" t="s">
        <v>130</v>
      </c>
      <c r="BF178" s="0" t="s">
        <v>130</v>
      </c>
      <c r="BG178" s="0" t="s">
        <v>130</v>
      </c>
      <c r="BH178" s="0" t="s">
        <v>130</v>
      </c>
      <c r="BI178" s="0" t="s">
        <v>130</v>
      </c>
      <c r="BJ178" s="0" t="s">
        <v>130</v>
      </c>
      <c r="BK178" s="0" t="s">
        <v>130</v>
      </c>
      <c r="BL178" s="0" t="s">
        <v>130</v>
      </c>
      <c r="BM178" s="0" t="s">
        <v>130</v>
      </c>
      <c r="BN178" s="0" t="s">
        <v>130</v>
      </c>
      <c r="BO178" s="0" t="s">
        <v>130</v>
      </c>
      <c r="BP178" s="0" t="s">
        <v>130</v>
      </c>
      <c r="BQ178" s="0" t="s">
        <v>130</v>
      </c>
      <c r="BR178" s="0" t="s">
        <v>130</v>
      </c>
      <c r="BS178" s="0" t="s">
        <v>130</v>
      </c>
      <c r="BT178" s="0" t="s">
        <v>130</v>
      </c>
      <c r="BU178" s="0" t="s">
        <v>130</v>
      </c>
      <c r="BV178" s="0" t="s">
        <v>130</v>
      </c>
      <c r="BW178" s="0" t="s">
        <v>130</v>
      </c>
      <c r="BX178" s="0" t="s">
        <v>130</v>
      </c>
      <c r="BY178" s="0" t="s">
        <v>130</v>
      </c>
      <c r="BZ178" s="0" t="s">
        <v>130</v>
      </c>
      <c r="CA178" s="0" t="s">
        <v>130</v>
      </c>
      <c r="CB178" s="0" t="s">
        <v>130</v>
      </c>
      <c r="CC178" s="0" t="s">
        <v>130</v>
      </c>
      <c r="CD178" s="0" t="s">
        <v>130</v>
      </c>
      <c r="CE178" s="0" t="s">
        <v>130</v>
      </c>
      <c r="CF178" s="0" t="s">
        <v>130</v>
      </c>
      <c r="CG178" s="0" t="s">
        <v>130</v>
      </c>
      <c r="CH178" s="0" t="s">
        <v>130</v>
      </c>
      <c r="CI178" s="0" t="s">
        <v>130</v>
      </c>
      <c r="CJ178" s="0" t="s">
        <v>130</v>
      </c>
      <c r="CK178" s="0" t="s">
        <v>130</v>
      </c>
      <c r="CL178" s="0" t="s">
        <v>130</v>
      </c>
      <c r="CM178" s="0" t="s">
        <v>130</v>
      </c>
      <c r="CN178" s="0" t="s">
        <v>130</v>
      </c>
      <c r="CO178" s="0" t="s">
        <v>130</v>
      </c>
      <c r="CP178" s="0" t="s">
        <v>130</v>
      </c>
      <c r="CQ178" s="0" t="s">
        <v>130</v>
      </c>
      <c r="CR178" s="0" t="s">
        <v>130</v>
      </c>
      <c r="CS178" s="0" t="s">
        <v>130</v>
      </c>
      <c r="CT178" s="0" t="s">
        <v>793</v>
      </c>
    </row>
    <row r="179">
      <c r="A179" s="14">
        <v>100546</v>
      </c>
      <c r="B179" s="0" t="s">
        <v>776</v>
      </c>
      <c r="C179" s="16">
        <f>HYPERLINK("https://eosportal.federatedhermes.com/companies/Q29tcGFueQppNzU3MjY=", "Exxon Mobil Corp")</f>
      </c>
      <c r="D179" s="0" t="s">
        <v>25</v>
      </c>
      <c r="E179" s="0" t="s">
        <v>794</v>
      </c>
      <c r="F179" s="16">
        <f>HYPERLINK("https://eosportal.federatedhermes.com/engagements/RW5nYWdlbWVudAppMTg5OTU=", "Methane emissions")</f>
      </c>
      <c r="G179" s="14" t="s">
        <v>795</v>
      </c>
      <c r="H179" s="0" t="s">
        <v>141</v>
      </c>
      <c r="I179" s="14" t="s">
        <v>191</v>
      </c>
      <c r="J179" s="0" t="s">
        <v>197</v>
      </c>
      <c r="K179" s="0" t="s">
        <v>198</v>
      </c>
      <c r="L179" s="0" t="s">
        <v>199</v>
      </c>
      <c r="M179" s="0" t="s">
        <v>135</v>
      </c>
      <c r="N179" s="0" t="s">
        <v>136</v>
      </c>
      <c r="O179" s="0" t="s">
        <v>542</v>
      </c>
      <c r="Q179" s="0" t="s">
        <v>130</v>
      </c>
      <c r="R179" s="0" t="s">
        <v>138</v>
      </c>
      <c r="S179" s="14">
        <v>0</v>
      </c>
      <c r="T179" s="0" t="s">
        <v>239</v>
      </c>
      <c r="U179" s="0" t="s">
        <v>138</v>
      </c>
      <c r="V179" s="14" t="s">
        <v>138</v>
      </c>
      <c r="W179" s="0" t="s">
        <v>138</v>
      </c>
      <c r="X179" s="14" t="s">
        <v>138</v>
      </c>
      <c r="Y179" s="0" t="s">
        <v>138</v>
      </c>
      <c r="Z179" s="14" t="s">
        <v>138</v>
      </c>
      <c r="AA179" s="0" t="s">
        <v>138</v>
      </c>
      <c r="AB179" s="14" t="s">
        <v>138</v>
      </c>
      <c r="AD179" s="0" t="s">
        <v>138</v>
      </c>
      <c r="AF179" s="0">
        <v>0</v>
      </c>
      <c r="AG179" s="0">
        <v>0</v>
      </c>
      <c r="AH179" s="0" t="s">
        <v>140</v>
      </c>
      <c r="AI179" s="0" t="s">
        <v>138</v>
      </c>
      <c r="AL179" s="14"/>
      <c r="AN179" s="14"/>
      <c r="AQ179" s="0" t="s">
        <v>130</v>
      </c>
      <c r="AR179" s="0" t="s">
        <v>130</v>
      </c>
      <c r="AS179" s="0" t="s">
        <v>130</v>
      </c>
      <c r="AT179" s="0" t="s">
        <v>130</v>
      </c>
      <c r="AU179" s="0" t="s">
        <v>130</v>
      </c>
      <c r="AV179" s="0" t="s">
        <v>130</v>
      </c>
      <c r="AW179" s="0" t="s">
        <v>130</v>
      </c>
      <c r="AX179" s="0" t="s">
        <v>130</v>
      </c>
      <c r="AY179" s="0" t="s">
        <v>130</v>
      </c>
      <c r="AZ179" s="0" t="s">
        <v>130</v>
      </c>
      <c r="BA179" s="0" t="s">
        <v>130</v>
      </c>
      <c r="BB179" s="0" t="s">
        <v>141</v>
      </c>
      <c r="BC179" s="0" t="s">
        <v>130</v>
      </c>
      <c r="BD179" s="0" t="s">
        <v>130</v>
      </c>
      <c r="BE179" s="0" t="s">
        <v>130</v>
      </c>
      <c r="BF179" s="0" t="s">
        <v>130</v>
      </c>
      <c r="BG179" s="0" t="s">
        <v>130</v>
      </c>
      <c r="BH179" s="0" t="s">
        <v>130</v>
      </c>
      <c r="BI179" s="0" t="s">
        <v>130</v>
      </c>
      <c r="BJ179" s="0" t="s">
        <v>130</v>
      </c>
      <c r="BK179" s="0" t="s">
        <v>130</v>
      </c>
      <c r="BL179" s="0" t="s">
        <v>130</v>
      </c>
      <c r="BM179" s="0" t="s">
        <v>130</v>
      </c>
      <c r="BN179" s="0" t="s">
        <v>130</v>
      </c>
      <c r="BO179" s="0" t="s">
        <v>130</v>
      </c>
      <c r="BP179" s="0" t="s">
        <v>130</v>
      </c>
      <c r="BQ179" s="0" t="s">
        <v>130</v>
      </c>
      <c r="BR179" s="0" t="s">
        <v>130</v>
      </c>
      <c r="BS179" s="0" t="s">
        <v>130</v>
      </c>
      <c r="BT179" s="0" t="s">
        <v>130</v>
      </c>
      <c r="BU179" s="0" t="s">
        <v>130</v>
      </c>
      <c r="BV179" s="0" t="s">
        <v>130</v>
      </c>
      <c r="BW179" s="0" t="s">
        <v>130</v>
      </c>
      <c r="BX179" s="0" t="s">
        <v>130</v>
      </c>
      <c r="BY179" s="0" t="s">
        <v>130</v>
      </c>
      <c r="BZ179" s="0" t="s">
        <v>130</v>
      </c>
      <c r="CA179" s="0" t="s">
        <v>130</v>
      </c>
      <c r="CB179" s="0" t="s">
        <v>130</v>
      </c>
      <c r="CC179" s="0" t="s">
        <v>130</v>
      </c>
      <c r="CD179" s="0" t="s">
        <v>130</v>
      </c>
      <c r="CE179" s="0" t="s">
        <v>130</v>
      </c>
      <c r="CF179" s="0" t="s">
        <v>130</v>
      </c>
      <c r="CG179" s="0" t="s">
        <v>130</v>
      </c>
      <c r="CH179" s="0" t="s">
        <v>130</v>
      </c>
      <c r="CI179" s="0" t="s">
        <v>130</v>
      </c>
      <c r="CJ179" s="0" t="s">
        <v>130</v>
      </c>
      <c r="CK179" s="0" t="s">
        <v>130</v>
      </c>
      <c r="CL179" s="0" t="s">
        <v>130</v>
      </c>
      <c r="CM179" s="0" t="s">
        <v>130</v>
      </c>
      <c r="CN179" s="0" t="s">
        <v>130</v>
      </c>
      <c r="CO179" s="0" t="s">
        <v>130</v>
      </c>
      <c r="CP179" s="0" t="s">
        <v>130</v>
      </c>
      <c r="CQ179" s="0" t="s">
        <v>130</v>
      </c>
      <c r="CR179" s="0" t="s">
        <v>130</v>
      </c>
      <c r="CS179" s="0" t="s">
        <v>130</v>
      </c>
      <c r="CT179" s="0" t="s">
        <v>796</v>
      </c>
    </row>
    <row r="180">
      <c r="A180" s="14">
        <v>100546</v>
      </c>
      <c r="B180" s="0" t="s">
        <v>776</v>
      </c>
      <c r="C180" s="16">
        <f>HYPERLINK("https://eosportal.federatedhermes.com/companies/Q29tcGFueQppNzU3MjY=", "Exxon Mobil Corp")</f>
      </c>
      <c r="D180" s="0" t="s">
        <v>25</v>
      </c>
      <c r="E180" s="0" t="s">
        <v>550</v>
      </c>
      <c r="F180" s="16">
        <f>HYPERLINK("https://eosportal.federatedhermes.com/engagements/RW5nYWdlbWVudAppMTkwMDE=", "Independent chair")</f>
      </c>
      <c r="G180" s="14" t="s">
        <v>797</v>
      </c>
      <c r="H180" s="0" t="s">
        <v>141</v>
      </c>
      <c r="I180" s="14" t="s">
        <v>191</v>
      </c>
      <c r="J180" s="0" t="s">
        <v>145</v>
      </c>
      <c r="K180" s="0" t="s">
        <v>164</v>
      </c>
      <c r="L180" s="0" t="s">
        <v>165</v>
      </c>
      <c r="M180" s="0" t="s">
        <v>135</v>
      </c>
      <c r="N180" s="0" t="s">
        <v>136</v>
      </c>
      <c r="O180" s="0" t="s">
        <v>542</v>
      </c>
      <c r="Q180" s="0" t="s">
        <v>130</v>
      </c>
      <c r="R180" s="0" t="s">
        <v>138</v>
      </c>
      <c r="S180" s="14">
        <v>0</v>
      </c>
      <c r="T180" s="0" t="s">
        <v>487</v>
      </c>
      <c r="U180" s="0" t="s">
        <v>138</v>
      </c>
      <c r="V180" s="14" t="s">
        <v>138</v>
      </c>
      <c r="W180" s="0" t="s">
        <v>138</v>
      </c>
      <c r="X180" s="14" t="s">
        <v>138</v>
      </c>
      <c r="Y180" s="0" t="s">
        <v>138</v>
      </c>
      <c r="Z180" s="14" t="s">
        <v>138</v>
      </c>
      <c r="AA180" s="0" t="s">
        <v>138</v>
      </c>
      <c r="AB180" s="14" t="s">
        <v>138</v>
      </c>
      <c r="AD180" s="0" t="s">
        <v>138</v>
      </c>
      <c r="AF180" s="0">
        <v>0</v>
      </c>
      <c r="AG180" s="0">
        <v>0</v>
      </c>
      <c r="AH180" s="0" t="s">
        <v>140</v>
      </c>
      <c r="AI180" s="0" t="s">
        <v>138</v>
      </c>
      <c r="AL180" s="14"/>
      <c r="AN180" s="14"/>
      <c r="AQ180" s="0" t="s">
        <v>130</v>
      </c>
      <c r="AR180" s="0" t="s">
        <v>130</v>
      </c>
      <c r="AS180" s="0" t="s">
        <v>130</v>
      </c>
      <c r="AT180" s="0" t="s">
        <v>130</v>
      </c>
      <c r="AU180" s="0" t="s">
        <v>130</v>
      </c>
      <c r="AV180" s="0" t="s">
        <v>130</v>
      </c>
      <c r="AW180" s="0" t="s">
        <v>130</v>
      </c>
      <c r="AX180" s="0" t="s">
        <v>130</v>
      </c>
      <c r="AY180" s="0" t="s">
        <v>130</v>
      </c>
      <c r="AZ180" s="0" t="s">
        <v>130</v>
      </c>
      <c r="BA180" s="0" t="s">
        <v>130</v>
      </c>
      <c r="BB180" s="0" t="s">
        <v>130</v>
      </c>
      <c r="BC180" s="0" t="s">
        <v>130</v>
      </c>
      <c r="BD180" s="0" t="s">
        <v>130</v>
      </c>
      <c r="BE180" s="0" t="s">
        <v>130</v>
      </c>
      <c r="BF180" s="0" t="s">
        <v>130</v>
      </c>
      <c r="BG180" s="0" t="s">
        <v>130</v>
      </c>
      <c r="BH180" s="0" t="s">
        <v>130</v>
      </c>
      <c r="BI180" s="0" t="s">
        <v>130</v>
      </c>
      <c r="BJ180" s="0" t="s">
        <v>130</v>
      </c>
      <c r="BK180" s="0" t="s">
        <v>130</v>
      </c>
      <c r="BL180" s="0" t="s">
        <v>130</v>
      </c>
      <c r="BM180" s="0" t="s">
        <v>130</v>
      </c>
      <c r="BN180" s="0" t="s">
        <v>130</v>
      </c>
      <c r="BO180" s="0" t="s">
        <v>130</v>
      </c>
      <c r="BP180" s="0" t="s">
        <v>130</v>
      </c>
      <c r="BQ180" s="0" t="s">
        <v>130</v>
      </c>
      <c r="BR180" s="0" t="s">
        <v>130</v>
      </c>
      <c r="BS180" s="0" t="s">
        <v>130</v>
      </c>
      <c r="BT180" s="0" t="s">
        <v>130</v>
      </c>
      <c r="BU180" s="0" t="s">
        <v>130</v>
      </c>
      <c r="BV180" s="0" t="s">
        <v>130</v>
      </c>
      <c r="BW180" s="0" t="s">
        <v>130</v>
      </c>
      <c r="BX180" s="0" t="s">
        <v>130</v>
      </c>
      <c r="BY180" s="0" t="s">
        <v>130</v>
      </c>
      <c r="BZ180" s="0" t="s">
        <v>130</v>
      </c>
      <c r="CA180" s="0" t="s">
        <v>130</v>
      </c>
      <c r="CB180" s="0" t="s">
        <v>130</v>
      </c>
      <c r="CC180" s="0" t="s">
        <v>130</v>
      </c>
      <c r="CD180" s="0" t="s">
        <v>130</v>
      </c>
      <c r="CE180" s="0" t="s">
        <v>130</v>
      </c>
      <c r="CF180" s="0" t="s">
        <v>130</v>
      </c>
      <c r="CG180" s="0" t="s">
        <v>130</v>
      </c>
      <c r="CH180" s="0" t="s">
        <v>130</v>
      </c>
      <c r="CI180" s="0" t="s">
        <v>130</v>
      </c>
      <c r="CJ180" s="0" t="s">
        <v>130</v>
      </c>
      <c r="CK180" s="0" t="s">
        <v>130</v>
      </c>
      <c r="CL180" s="0" t="s">
        <v>130</v>
      </c>
      <c r="CM180" s="0" t="s">
        <v>130</v>
      </c>
      <c r="CN180" s="0" t="s">
        <v>130</v>
      </c>
      <c r="CO180" s="0" t="s">
        <v>130</v>
      </c>
      <c r="CP180" s="0" t="s">
        <v>130</v>
      </c>
      <c r="CQ180" s="0" t="s">
        <v>130</v>
      </c>
      <c r="CR180" s="0" t="s">
        <v>130</v>
      </c>
      <c r="CS180" s="0" t="s">
        <v>130</v>
      </c>
      <c r="CT180" s="0" t="s">
        <v>798</v>
      </c>
    </row>
    <row r="181">
      <c r="A181" s="14">
        <v>112122</v>
      </c>
      <c r="B181" s="0" t="s">
        <v>799</v>
      </c>
      <c r="C181" s="16">
        <f>HYPERLINK("https://eosportal.federatedhermes.com/companies/Q29tcGFueQppNjMxMDk=", "Prudential PLC")</f>
      </c>
      <c r="D181" s="0" t="s">
        <v>25</v>
      </c>
      <c r="E181" s="0" t="s">
        <v>800</v>
      </c>
      <c r="F181" s="16">
        <f>HYPERLINK("https://eosportal.federatedhermes.com/engagements/RW5nYWdlbWVudAppMTkwMzE=", "FSA fine regarding AIA transation")</f>
      </c>
      <c r="G181" s="14" t="s">
        <v>801</v>
      </c>
      <c r="H181" s="0" t="s">
        <v>130</v>
      </c>
      <c r="I181" s="14" t="s">
        <v>319</v>
      </c>
      <c r="J181" s="0" t="s">
        <v>153</v>
      </c>
      <c r="K181" s="0" t="s">
        <v>185</v>
      </c>
      <c r="L181" s="0" t="s">
        <v>186</v>
      </c>
      <c r="M181" s="0" t="s">
        <v>802</v>
      </c>
      <c r="N181" s="0" t="s">
        <v>803</v>
      </c>
      <c r="O181" s="0" t="s">
        <v>238</v>
      </c>
      <c r="Q181" s="0" t="s">
        <v>130</v>
      </c>
      <c r="R181" s="0" t="s">
        <v>138</v>
      </c>
      <c r="S181" s="14">
        <v>0</v>
      </c>
      <c r="T181" s="0" t="s">
        <v>804</v>
      </c>
      <c r="U181" s="0" t="s">
        <v>138</v>
      </c>
      <c r="V181" s="14" t="s">
        <v>138</v>
      </c>
      <c r="W181" s="0" t="s">
        <v>138</v>
      </c>
      <c r="X181" s="14" t="s">
        <v>138</v>
      </c>
      <c r="Y181" s="0" t="s">
        <v>138</v>
      </c>
      <c r="Z181" s="14" t="s">
        <v>138</v>
      </c>
      <c r="AA181" s="0" t="s">
        <v>138</v>
      </c>
      <c r="AB181" s="14" t="s">
        <v>138</v>
      </c>
      <c r="AD181" s="0" t="s">
        <v>138</v>
      </c>
      <c r="AF181" s="0">
        <v>0</v>
      </c>
      <c r="AG181" s="0">
        <v>0</v>
      </c>
      <c r="AH181" s="0" t="s">
        <v>140</v>
      </c>
      <c r="AI181" s="0" t="s">
        <v>138</v>
      </c>
      <c r="AL181" s="14"/>
      <c r="AN181" s="14"/>
      <c r="AQ181" s="0" t="s">
        <v>130</v>
      </c>
      <c r="AR181" s="0" t="s">
        <v>130</v>
      </c>
      <c r="AS181" s="0" t="s">
        <v>130</v>
      </c>
      <c r="AT181" s="0" t="s">
        <v>130</v>
      </c>
      <c r="AU181" s="0" t="s">
        <v>130</v>
      </c>
      <c r="AV181" s="0" t="s">
        <v>130</v>
      </c>
      <c r="AW181" s="0" t="s">
        <v>130</v>
      </c>
      <c r="AX181" s="0" t="s">
        <v>130</v>
      </c>
      <c r="AY181" s="0" t="s">
        <v>130</v>
      </c>
      <c r="AZ181" s="0" t="s">
        <v>130</v>
      </c>
      <c r="BA181" s="0" t="s">
        <v>130</v>
      </c>
      <c r="BB181" s="0" t="s">
        <v>130</v>
      </c>
      <c r="BC181" s="0" t="s">
        <v>130</v>
      </c>
      <c r="BD181" s="0" t="s">
        <v>130</v>
      </c>
      <c r="BE181" s="0" t="s">
        <v>130</v>
      </c>
      <c r="BF181" s="0" t="s">
        <v>130</v>
      </c>
      <c r="BG181" s="0" t="s">
        <v>130</v>
      </c>
      <c r="BH181" s="0" t="s">
        <v>130</v>
      </c>
      <c r="BI181" s="0" t="s">
        <v>130</v>
      </c>
      <c r="BJ181" s="0" t="s">
        <v>130</v>
      </c>
      <c r="BK181" s="0" t="s">
        <v>130</v>
      </c>
      <c r="BL181" s="0" t="s">
        <v>130</v>
      </c>
      <c r="BM181" s="0" t="s">
        <v>130</v>
      </c>
      <c r="BN181" s="0" t="s">
        <v>130</v>
      </c>
      <c r="BO181" s="0" t="s">
        <v>130</v>
      </c>
      <c r="BP181" s="0" t="s">
        <v>130</v>
      </c>
      <c r="BQ181" s="0" t="s">
        <v>130</v>
      </c>
      <c r="BR181" s="0" t="s">
        <v>130</v>
      </c>
      <c r="BS181" s="0" t="s">
        <v>130</v>
      </c>
      <c r="BT181" s="0" t="s">
        <v>130</v>
      </c>
      <c r="BU181" s="0" t="s">
        <v>130</v>
      </c>
      <c r="BV181" s="0" t="s">
        <v>130</v>
      </c>
      <c r="BW181" s="0" t="s">
        <v>130</v>
      </c>
      <c r="BX181" s="0" t="s">
        <v>130</v>
      </c>
      <c r="BY181" s="0" t="s">
        <v>130</v>
      </c>
      <c r="BZ181" s="0" t="s">
        <v>130</v>
      </c>
      <c r="CA181" s="0" t="s">
        <v>130</v>
      </c>
      <c r="CB181" s="0" t="s">
        <v>130</v>
      </c>
      <c r="CC181" s="0" t="s">
        <v>130</v>
      </c>
      <c r="CD181" s="0" t="s">
        <v>130</v>
      </c>
      <c r="CE181" s="0" t="s">
        <v>130</v>
      </c>
      <c r="CF181" s="0" t="s">
        <v>130</v>
      </c>
      <c r="CG181" s="0" t="s">
        <v>130</v>
      </c>
      <c r="CH181" s="0" t="s">
        <v>130</v>
      </c>
      <c r="CI181" s="0" t="s">
        <v>130</v>
      </c>
      <c r="CJ181" s="0" t="s">
        <v>130</v>
      </c>
      <c r="CK181" s="0" t="s">
        <v>130</v>
      </c>
      <c r="CL181" s="0" t="s">
        <v>130</v>
      </c>
      <c r="CM181" s="0" t="s">
        <v>130</v>
      </c>
      <c r="CN181" s="0" t="s">
        <v>130</v>
      </c>
      <c r="CO181" s="0" t="s">
        <v>130</v>
      </c>
      <c r="CP181" s="0" t="s">
        <v>130</v>
      </c>
      <c r="CQ181" s="0" t="s">
        <v>130</v>
      </c>
      <c r="CR181" s="0" t="s">
        <v>130</v>
      </c>
      <c r="CS181" s="0" t="s">
        <v>130</v>
      </c>
      <c r="CT181" s="0" t="s">
        <v>805</v>
      </c>
    </row>
    <row r="182">
      <c r="A182" s="14">
        <v>112122</v>
      </c>
      <c r="B182" s="0" t="s">
        <v>799</v>
      </c>
      <c r="C182" s="16">
        <f>HYPERLINK("https://eosportal.federatedhermes.com/companies/Q29tcGFueQppNjMxMDk=", "Prudential PLC")</f>
      </c>
      <c r="D182" s="0" t="s">
        <v>25</v>
      </c>
      <c r="E182" s="0" t="s">
        <v>806</v>
      </c>
      <c r="F182" s="16">
        <f>HYPERLINK("https://eosportal.federatedhermes.com/engagements/RW5nYWdlbWVudAppMTkwMzI=", "Bribery and corruption, ensuring appropriate culture")</f>
      </c>
      <c r="G182" s="14" t="s">
        <v>807</v>
      </c>
      <c r="H182" s="0" t="s">
        <v>130</v>
      </c>
      <c r="I182" s="14" t="s">
        <v>319</v>
      </c>
      <c r="J182" s="0" t="s">
        <v>153</v>
      </c>
      <c r="K182" s="0" t="s">
        <v>185</v>
      </c>
      <c r="L182" s="0" t="s">
        <v>186</v>
      </c>
      <c r="M182" s="0" t="s">
        <v>802</v>
      </c>
      <c r="N182" s="0" t="s">
        <v>803</v>
      </c>
      <c r="O182" s="0" t="s">
        <v>238</v>
      </c>
      <c r="Q182" s="0" t="s">
        <v>130</v>
      </c>
      <c r="R182" s="0" t="s">
        <v>138</v>
      </c>
      <c r="S182" s="14">
        <v>0</v>
      </c>
      <c r="T182" s="0" t="s">
        <v>387</v>
      </c>
      <c r="U182" s="0" t="s">
        <v>138</v>
      </c>
      <c r="V182" s="14" t="s">
        <v>138</v>
      </c>
      <c r="W182" s="0" t="s">
        <v>138</v>
      </c>
      <c r="X182" s="14" t="s">
        <v>138</v>
      </c>
      <c r="Y182" s="0" t="s">
        <v>138</v>
      </c>
      <c r="Z182" s="14" t="s">
        <v>138</v>
      </c>
      <c r="AA182" s="0" t="s">
        <v>138</v>
      </c>
      <c r="AB182" s="14" t="s">
        <v>138</v>
      </c>
      <c r="AD182" s="0" t="s">
        <v>138</v>
      </c>
      <c r="AF182" s="0">
        <v>0</v>
      </c>
      <c r="AG182" s="0">
        <v>0</v>
      </c>
      <c r="AH182" s="0" t="s">
        <v>140</v>
      </c>
      <c r="AI182" s="0" t="s">
        <v>138</v>
      </c>
      <c r="AL182" s="14"/>
      <c r="AN182" s="14"/>
      <c r="AQ182" s="0" t="s">
        <v>130</v>
      </c>
      <c r="AR182" s="0" t="s">
        <v>130</v>
      </c>
      <c r="AS182" s="0" t="s">
        <v>130</v>
      </c>
      <c r="AT182" s="0" t="s">
        <v>130</v>
      </c>
      <c r="AU182" s="0" t="s">
        <v>130</v>
      </c>
      <c r="AV182" s="0" t="s">
        <v>130</v>
      </c>
      <c r="AW182" s="0" t="s">
        <v>130</v>
      </c>
      <c r="AX182" s="0" t="s">
        <v>130</v>
      </c>
      <c r="AY182" s="0" t="s">
        <v>130</v>
      </c>
      <c r="AZ182" s="0" t="s">
        <v>130</v>
      </c>
      <c r="BA182" s="0" t="s">
        <v>130</v>
      </c>
      <c r="BB182" s="0" t="s">
        <v>130</v>
      </c>
      <c r="BC182" s="0" t="s">
        <v>130</v>
      </c>
      <c r="BD182" s="0" t="s">
        <v>130</v>
      </c>
      <c r="BE182" s="0" t="s">
        <v>130</v>
      </c>
      <c r="BF182" s="0" t="s">
        <v>130</v>
      </c>
      <c r="BG182" s="0" t="s">
        <v>130</v>
      </c>
      <c r="BH182" s="0" t="s">
        <v>130</v>
      </c>
      <c r="BI182" s="0" t="s">
        <v>130</v>
      </c>
      <c r="BJ182" s="0" t="s">
        <v>130</v>
      </c>
      <c r="BK182" s="0" t="s">
        <v>130</v>
      </c>
      <c r="BL182" s="0" t="s">
        <v>130</v>
      </c>
      <c r="BM182" s="0" t="s">
        <v>130</v>
      </c>
      <c r="BN182" s="0" t="s">
        <v>130</v>
      </c>
      <c r="BO182" s="0" t="s">
        <v>130</v>
      </c>
      <c r="BP182" s="0" t="s">
        <v>130</v>
      </c>
      <c r="BQ182" s="0" t="s">
        <v>130</v>
      </c>
      <c r="BR182" s="0" t="s">
        <v>130</v>
      </c>
      <c r="BS182" s="0" t="s">
        <v>130</v>
      </c>
      <c r="BT182" s="0" t="s">
        <v>130</v>
      </c>
      <c r="BU182" s="0" t="s">
        <v>130</v>
      </c>
      <c r="BV182" s="0" t="s">
        <v>130</v>
      </c>
      <c r="BW182" s="0" t="s">
        <v>130</v>
      </c>
      <c r="BX182" s="0" t="s">
        <v>130</v>
      </c>
      <c r="BY182" s="0" t="s">
        <v>130</v>
      </c>
      <c r="BZ182" s="0" t="s">
        <v>130</v>
      </c>
      <c r="CA182" s="0" t="s">
        <v>130</v>
      </c>
      <c r="CB182" s="0" t="s">
        <v>130</v>
      </c>
      <c r="CC182" s="0" t="s">
        <v>130</v>
      </c>
      <c r="CD182" s="0" t="s">
        <v>130</v>
      </c>
      <c r="CE182" s="0" t="s">
        <v>130</v>
      </c>
      <c r="CF182" s="0" t="s">
        <v>130</v>
      </c>
      <c r="CG182" s="0" t="s">
        <v>130</v>
      </c>
      <c r="CH182" s="0" t="s">
        <v>130</v>
      </c>
      <c r="CI182" s="0" t="s">
        <v>130</v>
      </c>
      <c r="CJ182" s="0" t="s">
        <v>130</v>
      </c>
      <c r="CK182" s="0" t="s">
        <v>130</v>
      </c>
      <c r="CL182" s="0" t="s">
        <v>130</v>
      </c>
      <c r="CM182" s="0" t="s">
        <v>130</v>
      </c>
      <c r="CN182" s="0" t="s">
        <v>130</v>
      </c>
      <c r="CO182" s="0" t="s">
        <v>130</v>
      </c>
      <c r="CP182" s="0" t="s">
        <v>130</v>
      </c>
      <c r="CQ182" s="0" t="s">
        <v>130</v>
      </c>
      <c r="CR182" s="0" t="s">
        <v>130</v>
      </c>
      <c r="CS182" s="0" t="s">
        <v>130</v>
      </c>
      <c r="CT182" s="0" t="s">
        <v>808</v>
      </c>
    </row>
    <row r="183">
      <c r="A183" s="14">
        <v>112122</v>
      </c>
      <c r="B183" s="0" t="s">
        <v>799</v>
      </c>
      <c r="C183" s="16">
        <f>HYPERLINK("https://eosportal.federatedhermes.com/companies/Q29tcGFueQppNjMxMDk=", "Prudential PLC")</f>
      </c>
      <c r="D183" s="0" t="s">
        <v>25</v>
      </c>
      <c r="E183" s="0" t="s">
        <v>809</v>
      </c>
      <c r="F183" s="16">
        <f>HYPERLINK("https://eosportal.federatedhermes.com/engagements/RW5nYWdlbWVudAppMTkwMzM=", "Risk appetite")</f>
      </c>
      <c r="G183" s="14" t="s">
        <v>291</v>
      </c>
      <c r="H183" s="0" t="s">
        <v>130</v>
      </c>
      <c r="I183" s="14" t="s">
        <v>319</v>
      </c>
      <c r="J183" s="0" t="s">
        <v>132</v>
      </c>
      <c r="K183" s="0" t="s">
        <v>260</v>
      </c>
      <c r="L183" s="0" t="s">
        <v>261</v>
      </c>
      <c r="M183" s="0" t="s">
        <v>802</v>
      </c>
      <c r="N183" s="0" t="s">
        <v>803</v>
      </c>
      <c r="O183" s="0" t="s">
        <v>238</v>
      </c>
      <c r="Q183" s="0" t="s">
        <v>130</v>
      </c>
      <c r="R183" s="0" t="s">
        <v>138</v>
      </c>
      <c r="S183" s="14">
        <v>0</v>
      </c>
      <c r="T183" s="0" t="s">
        <v>299</v>
      </c>
      <c r="U183" s="0" t="s">
        <v>138</v>
      </c>
      <c r="V183" s="14" t="s">
        <v>138</v>
      </c>
      <c r="W183" s="0" t="s">
        <v>138</v>
      </c>
      <c r="X183" s="14" t="s">
        <v>138</v>
      </c>
      <c r="Y183" s="0" t="s">
        <v>138</v>
      </c>
      <c r="Z183" s="14" t="s">
        <v>138</v>
      </c>
      <c r="AA183" s="0" t="s">
        <v>138</v>
      </c>
      <c r="AB183" s="14" t="s">
        <v>138</v>
      </c>
      <c r="AD183" s="0" t="s">
        <v>138</v>
      </c>
      <c r="AF183" s="0">
        <v>0</v>
      </c>
      <c r="AG183" s="0">
        <v>0</v>
      </c>
      <c r="AH183" s="0" t="s">
        <v>140</v>
      </c>
      <c r="AI183" s="0" t="s">
        <v>138</v>
      </c>
      <c r="AL183" s="14"/>
      <c r="AN183" s="14"/>
      <c r="AQ183" s="0" t="s">
        <v>130</v>
      </c>
      <c r="AR183" s="0" t="s">
        <v>130</v>
      </c>
      <c r="AS183" s="0" t="s">
        <v>130</v>
      </c>
      <c r="AT183" s="0" t="s">
        <v>130</v>
      </c>
      <c r="AU183" s="0" t="s">
        <v>130</v>
      </c>
      <c r="AV183" s="0" t="s">
        <v>130</v>
      </c>
      <c r="AW183" s="0" t="s">
        <v>130</v>
      </c>
      <c r="AX183" s="0" t="s">
        <v>130</v>
      </c>
      <c r="AY183" s="0" t="s">
        <v>130</v>
      </c>
      <c r="AZ183" s="0" t="s">
        <v>130</v>
      </c>
      <c r="BA183" s="0" t="s">
        <v>130</v>
      </c>
      <c r="BB183" s="0" t="s">
        <v>130</v>
      </c>
      <c r="BC183" s="0" t="s">
        <v>130</v>
      </c>
      <c r="BD183" s="0" t="s">
        <v>130</v>
      </c>
      <c r="BE183" s="0" t="s">
        <v>130</v>
      </c>
      <c r="BF183" s="0" t="s">
        <v>130</v>
      </c>
      <c r="BG183" s="0" t="s">
        <v>130</v>
      </c>
      <c r="BH183" s="0" t="s">
        <v>130</v>
      </c>
      <c r="BI183" s="0" t="s">
        <v>130</v>
      </c>
      <c r="BJ183" s="0" t="s">
        <v>130</v>
      </c>
      <c r="BK183" s="0" t="s">
        <v>130</v>
      </c>
      <c r="BL183" s="0" t="s">
        <v>130</v>
      </c>
      <c r="BM183" s="0" t="s">
        <v>130</v>
      </c>
      <c r="BN183" s="0" t="s">
        <v>130</v>
      </c>
      <c r="BO183" s="0" t="s">
        <v>130</v>
      </c>
      <c r="BP183" s="0" t="s">
        <v>130</v>
      </c>
      <c r="BQ183" s="0" t="s">
        <v>130</v>
      </c>
      <c r="BR183" s="0" t="s">
        <v>130</v>
      </c>
      <c r="BS183" s="0" t="s">
        <v>130</v>
      </c>
      <c r="BT183" s="0" t="s">
        <v>130</v>
      </c>
      <c r="BU183" s="0" t="s">
        <v>130</v>
      </c>
      <c r="BV183" s="0" t="s">
        <v>130</v>
      </c>
      <c r="BW183" s="0" t="s">
        <v>130</v>
      </c>
      <c r="BX183" s="0" t="s">
        <v>130</v>
      </c>
      <c r="BY183" s="0" t="s">
        <v>130</v>
      </c>
      <c r="BZ183" s="0" t="s">
        <v>130</v>
      </c>
      <c r="CA183" s="0" t="s">
        <v>130</v>
      </c>
      <c r="CB183" s="0" t="s">
        <v>130</v>
      </c>
      <c r="CC183" s="0" t="s">
        <v>130</v>
      </c>
      <c r="CD183" s="0" t="s">
        <v>130</v>
      </c>
      <c r="CE183" s="0" t="s">
        <v>130</v>
      </c>
      <c r="CF183" s="0" t="s">
        <v>130</v>
      </c>
      <c r="CG183" s="0" t="s">
        <v>130</v>
      </c>
      <c r="CH183" s="0" t="s">
        <v>130</v>
      </c>
      <c r="CI183" s="0" t="s">
        <v>130</v>
      </c>
      <c r="CJ183" s="0" t="s">
        <v>130</v>
      </c>
      <c r="CK183" s="0" t="s">
        <v>130</v>
      </c>
      <c r="CL183" s="0" t="s">
        <v>130</v>
      </c>
      <c r="CM183" s="0" t="s">
        <v>130</v>
      </c>
      <c r="CN183" s="0" t="s">
        <v>130</v>
      </c>
      <c r="CO183" s="0" t="s">
        <v>130</v>
      </c>
      <c r="CP183" s="0" t="s">
        <v>130</v>
      </c>
      <c r="CQ183" s="0" t="s">
        <v>130</v>
      </c>
      <c r="CR183" s="0" t="s">
        <v>130</v>
      </c>
      <c r="CS183" s="0" t="s">
        <v>130</v>
      </c>
      <c r="CT183" s="0" t="s">
        <v>810</v>
      </c>
    </row>
    <row r="184">
      <c r="A184" s="14">
        <v>112122</v>
      </c>
      <c r="B184" s="0" t="s">
        <v>799</v>
      </c>
      <c r="C184" s="16">
        <f>HYPERLINK("https://eosportal.federatedhermes.com/companies/Q29tcGFueQppNjMxMDk=", "Prudential PLC")</f>
      </c>
      <c r="D184" s="0" t="s">
        <v>25</v>
      </c>
      <c r="E184" s="0" t="s">
        <v>811</v>
      </c>
      <c r="F184" s="16">
        <f>HYPERLINK("https://eosportal.federatedhermes.com/engagements/RW5nYWdlbWVudAppMTkwMzQ=", "Prudential PLC-Governance-Board Structure")</f>
      </c>
      <c r="G184" s="14" t="s">
        <v>812</v>
      </c>
      <c r="H184" s="0" t="s">
        <v>130</v>
      </c>
      <c r="I184" s="14" t="s">
        <v>319</v>
      </c>
      <c r="J184" s="0" t="s">
        <v>145</v>
      </c>
      <c r="K184" s="0" t="s">
        <v>164</v>
      </c>
      <c r="L184" s="0" t="s">
        <v>165</v>
      </c>
      <c r="M184" s="0" t="s">
        <v>802</v>
      </c>
      <c r="N184" s="0" t="s">
        <v>803</v>
      </c>
      <c r="O184" s="0" t="s">
        <v>238</v>
      </c>
      <c r="Q184" s="0" t="s">
        <v>130</v>
      </c>
      <c r="R184" s="0" t="s">
        <v>138</v>
      </c>
      <c r="S184" s="14">
        <v>0</v>
      </c>
      <c r="T184" s="0" t="s">
        <v>278</v>
      </c>
      <c r="U184" s="0" t="s">
        <v>138</v>
      </c>
      <c r="V184" s="14" t="s">
        <v>138</v>
      </c>
      <c r="W184" s="0" t="s">
        <v>138</v>
      </c>
      <c r="X184" s="14" t="s">
        <v>138</v>
      </c>
      <c r="Y184" s="0" t="s">
        <v>138</v>
      </c>
      <c r="Z184" s="14" t="s">
        <v>138</v>
      </c>
      <c r="AA184" s="0" t="s">
        <v>138</v>
      </c>
      <c r="AB184" s="14" t="s">
        <v>138</v>
      </c>
      <c r="AD184" s="0" t="s">
        <v>138</v>
      </c>
      <c r="AF184" s="0">
        <v>0</v>
      </c>
      <c r="AG184" s="0">
        <v>0</v>
      </c>
      <c r="AH184" s="0" t="s">
        <v>140</v>
      </c>
      <c r="AI184" s="0" t="s">
        <v>138</v>
      </c>
      <c r="AL184" s="14"/>
      <c r="AN184" s="14"/>
      <c r="AQ184" s="0" t="s">
        <v>130</v>
      </c>
      <c r="AR184" s="0" t="s">
        <v>130</v>
      </c>
      <c r="AS184" s="0" t="s">
        <v>130</v>
      </c>
      <c r="AT184" s="0" t="s">
        <v>130</v>
      </c>
      <c r="AU184" s="0" t="s">
        <v>130</v>
      </c>
      <c r="AV184" s="0" t="s">
        <v>130</v>
      </c>
      <c r="AW184" s="0" t="s">
        <v>130</v>
      </c>
      <c r="AX184" s="0" t="s">
        <v>130</v>
      </c>
      <c r="AY184" s="0" t="s">
        <v>130</v>
      </c>
      <c r="AZ184" s="0" t="s">
        <v>130</v>
      </c>
      <c r="BA184" s="0" t="s">
        <v>130</v>
      </c>
      <c r="BB184" s="0" t="s">
        <v>130</v>
      </c>
      <c r="BC184" s="0" t="s">
        <v>130</v>
      </c>
      <c r="BD184" s="0" t="s">
        <v>130</v>
      </c>
      <c r="BE184" s="0" t="s">
        <v>130</v>
      </c>
      <c r="BF184" s="0" t="s">
        <v>130</v>
      </c>
      <c r="BG184" s="0" t="s">
        <v>130</v>
      </c>
      <c r="BH184" s="0" t="s">
        <v>130</v>
      </c>
      <c r="BI184" s="0" t="s">
        <v>130</v>
      </c>
      <c r="BJ184" s="0" t="s">
        <v>130</v>
      </c>
      <c r="BK184" s="0" t="s">
        <v>130</v>
      </c>
      <c r="BL184" s="0" t="s">
        <v>130</v>
      </c>
      <c r="BM184" s="0" t="s">
        <v>130</v>
      </c>
      <c r="BN184" s="0" t="s">
        <v>130</v>
      </c>
      <c r="BO184" s="0" t="s">
        <v>130</v>
      </c>
      <c r="BP184" s="0" t="s">
        <v>130</v>
      </c>
      <c r="BQ184" s="0" t="s">
        <v>130</v>
      </c>
      <c r="BR184" s="0" t="s">
        <v>130</v>
      </c>
      <c r="BS184" s="0" t="s">
        <v>130</v>
      </c>
      <c r="BT184" s="0" t="s">
        <v>130</v>
      </c>
      <c r="BU184" s="0" t="s">
        <v>130</v>
      </c>
      <c r="BV184" s="0" t="s">
        <v>130</v>
      </c>
      <c r="BW184" s="0" t="s">
        <v>130</v>
      </c>
      <c r="BX184" s="0" t="s">
        <v>130</v>
      </c>
      <c r="BY184" s="0" t="s">
        <v>130</v>
      </c>
      <c r="BZ184" s="0" t="s">
        <v>130</v>
      </c>
      <c r="CA184" s="0" t="s">
        <v>130</v>
      </c>
      <c r="CB184" s="0" t="s">
        <v>130</v>
      </c>
      <c r="CC184" s="0" t="s">
        <v>130</v>
      </c>
      <c r="CD184" s="0" t="s">
        <v>130</v>
      </c>
      <c r="CE184" s="0" t="s">
        <v>130</v>
      </c>
      <c r="CF184" s="0" t="s">
        <v>130</v>
      </c>
      <c r="CG184" s="0" t="s">
        <v>130</v>
      </c>
      <c r="CH184" s="0" t="s">
        <v>130</v>
      </c>
      <c r="CI184" s="0" t="s">
        <v>130</v>
      </c>
      <c r="CJ184" s="0" t="s">
        <v>130</v>
      </c>
      <c r="CK184" s="0" t="s">
        <v>130</v>
      </c>
      <c r="CL184" s="0" t="s">
        <v>130</v>
      </c>
      <c r="CM184" s="0" t="s">
        <v>130</v>
      </c>
      <c r="CN184" s="0" t="s">
        <v>130</v>
      </c>
      <c r="CO184" s="0" t="s">
        <v>130</v>
      </c>
      <c r="CP184" s="0" t="s">
        <v>130</v>
      </c>
      <c r="CQ184" s="0" t="s">
        <v>130</v>
      </c>
      <c r="CR184" s="0" t="s">
        <v>130</v>
      </c>
      <c r="CS184" s="0" t="s">
        <v>130</v>
      </c>
      <c r="CT184" s="0" t="s">
        <v>813</v>
      </c>
    </row>
    <row r="185">
      <c r="A185" s="14">
        <v>112122</v>
      </c>
      <c r="B185" s="0" t="s">
        <v>799</v>
      </c>
      <c r="C185" s="16">
        <f>HYPERLINK("https://eosportal.federatedhermes.com/companies/Q29tcGFueQppNjMxMDk=", "Prudential PLC")</f>
      </c>
      <c r="D185" s="0" t="s">
        <v>25</v>
      </c>
      <c r="E185" s="0" t="s">
        <v>814</v>
      </c>
      <c r="F185" s="16">
        <f>HYPERLINK("https://eosportal.federatedhermes.com/engagements/RW5nYWdlbWVudAppMTkwMzU=", "Portfolio structure")</f>
      </c>
      <c r="G185" s="14" t="s">
        <v>815</v>
      </c>
      <c r="H185" s="0" t="s">
        <v>130</v>
      </c>
      <c r="I185" s="14" t="s">
        <v>319</v>
      </c>
      <c r="J185" s="0" t="s">
        <v>132</v>
      </c>
      <c r="K185" s="0" t="s">
        <v>133</v>
      </c>
      <c r="L185" s="0" t="s">
        <v>160</v>
      </c>
      <c r="M185" s="0" t="s">
        <v>802</v>
      </c>
      <c r="N185" s="0" t="s">
        <v>803</v>
      </c>
      <c r="O185" s="0" t="s">
        <v>238</v>
      </c>
      <c r="Q185" s="0" t="s">
        <v>130</v>
      </c>
      <c r="R185" s="0" t="s">
        <v>138</v>
      </c>
      <c r="S185" s="14">
        <v>0</v>
      </c>
      <c r="T185" s="0" t="s">
        <v>245</v>
      </c>
      <c r="U185" s="0" t="s">
        <v>138</v>
      </c>
      <c r="V185" s="14" t="s">
        <v>138</v>
      </c>
      <c r="W185" s="0" t="s">
        <v>138</v>
      </c>
      <c r="X185" s="14" t="s">
        <v>138</v>
      </c>
      <c r="Y185" s="0" t="s">
        <v>138</v>
      </c>
      <c r="Z185" s="14" t="s">
        <v>138</v>
      </c>
      <c r="AA185" s="0" t="s">
        <v>138</v>
      </c>
      <c r="AB185" s="14" t="s">
        <v>138</v>
      </c>
      <c r="AD185" s="0" t="s">
        <v>138</v>
      </c>
      <c r="AF185" s="0">
        <v>0</v>
      </c>
      <c r="AG185" s="0">
        <v>0</v>
      </c>
      <c r="AH185" s="0" t="s">
        <v>140</v>
      </c>
      <c r="AI185" s="0" t="s">
        <v>138</v>
      </c>
      <c r="AL185" s="14"/>
      <c r="AN185" s="14"/>
      <c r="AQ185" s="0" t="s">
        <v>130</v>
      </c>
      <c r="AR185" s="0" t="s">
        <v>130</v>
      </c>
      <c r="AS185" s="0" t="s">
        <v>130</v>
      </c>
      <c r="AT185" s="0" t="s">
        <v>130</v>
      </c>
      <c r="AU185" s="0" t="s">
        <v>130</v>
      </c>
      <c r="AV185" s="0" t="s">
        <v>130</v>
      </c>
      <c r="AW185" s="0" t="s">
        <v>130</v>
      </c>
      <c r="AX185" s="0" t="s">
        <v>130</v>
      </c>
      <c r="AY185" s="0" t="s">
        <v>130</v>
      </c>
      <c r="AZ185" s="0" t="s">
        <v>130</v>
      </c>
      <c r="BA185" s="0" t="s">
        <v>130</v>
      </c>
      <c r="BB185" s="0" t="s">
        <v>130</v>
      </c>
      <c r="BC185" s="0" t="s">
        <v>130</v>
      </c>
      <c r="BD185" s="0" t="s">
        <v>130</v>
      </c>
      <c r="BE185" s="0" t="s">
        <v>130</v>
      </c>
      <c r="BF185" s="0" t="s">
        <v>130</v>
      </c>
      <c r="BG185" s="0" t="s">
        <v>130</v>
      </c>
      <c r="BH185" s="0" t="s">
        <v>130</v>
      </c>
      <c r="BI185" s="0" t="s">
        <v>130</v>
      </c>
      <c r="BJ185" s="0" t="s">
        <v>130</v>
      </c>
      <c r="BK185" s="0" t="s">
        <v>130</v>
      </c>
      <c r="BL185" s="0" t="s">
        <v>130</v>
      </c>
      <c r="BM185" s="0" t="s">
        <v>130</v>
      </c>
      <c r="BN185" s="0" t="s">
        <v>130</v>
      </c>
      <c r="BO185" s="0" t="s">
        <v>130</v>
      </c>
      <c r="BP185" s="0" t="s">
        <v>130</v>
      </c>
      <c r="BQ185" s="0" t="s">
        <v>130</v>
      </c>
      <c r="BR185" s="0" t="s">
        <v>130</v>
      </c>
      <c r="BS185" s="0" t="s">
        <v>130</v>
      </c>
      <c r="BT185" s="0" t="s">
        <v>130</v>
      </c>
      <c r="BU185" s="0" t="s">
        <v>130</v>
      </c>
      <c r="BV185" s="0" t="s">
        <v>130</v>
      </c>
      <c r="BW185" s="0" t="s">
        <v>130</v>
      </c>
      <c r="BX185" s="0" t="s">
        <v>130</v>
      </c>
      <c r="BY185" s="0" t="s">
        <v>130</v>
      </c>
      <c r="BZ185" s="0" t="s">
        <v>130</v>
      </c>
      <c r="CA185" s="0" t="s">
        <v>130</v>
      </c>
      <c r="CB185" s="0" t="s">
        <v>130</v>
      </c>
      <c r="CC185" s="0" t="s">
        <v>130</v>
      </c>
      <c r="CD185" s="0" t="s">
        <v>130</v>
      </c>
      <c r="CE185" s="0" t="s">
        <v>130</v>
      </c>
      <c r="CF185" s="0" t="s">
        <v>130</v>
      </c>
      <c r="CG185" s="0" t="s">
        <v>130</v>
      </c>
      <c r="CH185" s="0" t="s">
        <v>130</v>
      </c>
      <c r="CI185" s="0" t="s">
        <v>130</v>
      </c>
      <c r="CJ185" s="0" t="s">
        <v>130</v>
      </c>
      <c r="CK185" s="0" t="s">
        <v>130</v>
      </c>
      <c r="CL185" s="0" t="s">
        <v>130</v>
      </c>
      <c r="CM185" s="0" t="s">
        <v>130</v>
      </c>
      <c r="CN185" s="0" t="s">
        <v>130</v>
      </c>
      <c r="CO185" s="0" t="s">
        <v>130</v>
      </c>
      <c r="CP185" s="0" t="s">
        <v>130</v>
      </c>
      <c r="CQ185" s="0" t="s">
        <v>130</v>
      </c>
      <c r="CR185" s="0" t="s">
        <v>130</v>
      </c>
      <c r="CS185" s="0" t="s">
        <v>130</v>
      </c>
      <c r="CT185" s="0" t="s">
        <v>816</v>
      </c>
    </row>
    <row r="186">
      <c r="A186" s="14">
        <v>112122</v>
      </c>
      <c r="B186" s="0" t="s">
        <v>799</v>
      </c>
      <c r="C186" s="16">
        <f>HYPERLINK("https://eosportal.federatedhermes.com/companies/Q29tcGFueQppNjMxMDk=", "Prudential PLC")</f>
      </c>
      <c r="D186" s="0" t="s">
        <v>25</v>
      </c>
      <c r="E186" s="0" t="s">
        <v>817</v>
      </c>
      <c r="F186" s="16">
        <f>HYPERLINK("https://eosportal.federatedhermes.com/engagements/RW5nYWdlbWVudAppMTkwMzk=", "Board Structure")</f>
      </c>
      <c r="G186" s="14" t="s">
        <v>812</v>
      </c>
      <c r="H186" s="0" t="s">
        <v>130</v>
      </c>
      <c r="I186" s="14" t="s">
        <v>319</v>
      </c>
      <c r="J186" s="0" t="s">
        <v>145</v>
      </c>
      <c r="K186" s="0" t="s">
        <v>164</v>
      </c>
      <c r="L186" s="0" t="s">
        <v>165</v>
      </c>
      <c r="M186" s="0" t="s">
        <v>802</v>
      </c>
      <c r="N186" s="0" t="s">
        <v>803</v>
      </c>
      <c r="O186" s="0" t="s">
        <v>238</v>
      </c>
      <c r="Q186" s="0" t="s">
        <v>130</v>
      </c>
      <c r="R186" s="0" t="s">
        <v>138</v>
      </c>
      <c r="S186" s="14">
        <v>0</v>
      </c>
      <c r="T186" s="0" t="s">
        <v>804</v>
      </c>
      <c r="U186" s="0" t="s">
        <v>138</v>
      </c>
      <c r="V186" s="14" t="s">
        <v>138</v>
      </c>
      <c r="W186" s="0" t="s">
        <v>138</v>
      </c>
      <c r="X186" s="14" t="s">
        <v>138</v>
      </c>
      <c r="Y186" s="0" t="s">
        <v>138</v>
      </c>
      <c r="Z186" s="14" t="s">
        <v>138</v>
      </c>
      <c r="AA186" s="0" t="s">
        <v>138</v>
      </c>
      <c r="AB186" s="14" t="s">
        <v>138</v>
      </c>
      <c r="AD186" s="0" t="s">
        <v>138</v>
      </c>
      <c r="AF186" s="0">
        <v>0</v>
      </c>
      <c r="AG186" s="0">
        <v>0</v>
      </c>
      <c r="AH186" s="0" t="s">
        <v>140</v>
      </c>
      <c r="AI186" s="0" t="s">
        <v>138</v>
      </c>
      <c r="AL186" s="14"/>
      <c r="AN186" s="14"/>
      <c r="AQ186" s="0" t="s">
        <v>130</v>
      </c>
      <c r="AR186" s="0" t="s">
        <v>130</v>
      </c>
      <c r="AS186" s="0" t="s">
        <v>130</v>
      </c>
      <c r="AT186" s="0" t="s">
        <v>130</v>
      </c>
      <c r="AU186" s="0" t="s">
        <v>130</v>
      </c>
      <c r="AV186" s="0" t="s">
        <v>130</v>
      </c>
      <c r="AW186" s="0" t="s">
        <v>130</v>
      </c>
      <c r="AX186" s="0" t="s">
        <v>130</v>
      </c>
      <c r="AY186" s="0" t="s">
        <v>130</v>
      </c>
      <c r="AZ186" s="0" t="s">
        <v>130</v>
      </c>
      <c r="BA186" s="0" t="s">
        <v>130</v>
      </c>
      <c r="BB186" s="0" t="s">
        <v>130</v>
      </c>
      <c r="BC186" s="0" t="s">
        <v>130</v>
      </c>
      <c r="BD186" s="0" t="s">
        <v>130</v>
      </c>
      <c r="BE186" s="0" t="s">
        <v>130</v>
      </c>
      <c r="BF186" s="0" t="s">
        <v>130</v>
      </c>
      <c r="BG186" s="0" t="s">
        <v>130</v>
      </c>
      <c r="BH186" s="0" t="s">
        <v>130</v>
      </c>
      <c r="BI186" s="0" t="s">
        <v>130</v>
      </c>
      <c r="BJ186" s="0" t="s">
        <v>130</v>
      </c>
      <c r="BK186" s="0" t="s">
        <v>130</v>
      </c>
      <c r="BL186" s="0" t="s">
        <v>130</v>
      </c>
      <c r="BM186" s="0" t="s">
        <v>130</v>
      </c>
      <c r="BN186" s="0" t="s">
        <v>130</v>
      </c>
      <c r="BO186" s="0" t="s">
        <v>130</v>
      </c>
      <c r="BP186" s="0" t="s">
        <v>130</v>
      </c>
      <c r="BQ186" s="0" t="s">
        <v>130</v>
      </c>
      <c r="BR186" s="0" t="s">
        <v>130</v>
      </c>
      <c r="BS186" s="0" t="s">
        <v>130</v>
      </c>
      <c r="BT186" s="0" t="s">
        <v>130</v>
      </c>
      <c r="BU186" s="0" t="s">
        <v>130</v>
      </c>
      <c r="BV186" s="0" t="s">
        <v>130</v>
      </c>
      <c r="BW186" s="0" t="s">
        <v>130</v>
      </c>
      <c r="BX186" s="0" t="s">
        <v>130</v>
      </c>
      <c r="BY186" s="0" t="s">
        <v>130</v>
      </c>
      <c r="BZ186" s="0" t="s">
        <v>130</v>
      </c>
      <c r="CA186" s="0" t="s">
        <v>130</v>
      </c>
      <c r="CB186" s="0" t="s">
        <v>130</v>
      </c>
      <c r="CC186" s="0" t="s">
        <v>130</v>
      </c>
      <c r="CD186" s="0" t="s">
        <v>130</v>
      </c>
      <c r="CE186" s="0" t="s">
        <v>130</v>
      </c>
      <c r="CF186" s="0" t="s">
        <v>130</v>
      </c>
      <c r="CG186" s="0" t="s">
        <v>130</v>
      </c>
      <c r="CH186" s="0" t="s">
        <v>130</v>
      </c>
      <c r="CI186" s="0" t="s">
        <v>130</v>
      </c>
      <c r="CJ186" s="0" t="s">
        <v>130</v>
      </c>
      <c r="CK186" s="0" t="s">
        <v>130</v>
      </c>
      <c r="CL186" s="0" t="s">
        <v>130</v>
      </c>
      <c r="CM186" s="0" t="s">
        <v>130</v>
      </c>
      <c r="CN186" s="0" t="s">
        <v>130</v>
      </c>
      <c r="CO186" s="0" t="s">
        <v>130</v>
      </c>
      <c r="CP186" s="0" t="s">
        <v>130</v>
      </c>
      <c r="CQ186" s="0" t="s">
        <v>130</v>
      </c>
      <c r="CR186" s="0" t="s">
        <v>130</v>
      </c>
      <c r="CS186" s="0" t="s">
        <v>130</v>
      </c>
      <c r="CT186" s="0" t="s">
        <v>818</v>
      </c>
    </row>
    <row r="187">
      <c r="A187" s="14">
        <v>112122</v>
      </c>
      <c r="B187" s="0" t="s">
        <v>799</v>
      </c>
      <c r="C187" s="16">
        <f>HYPERLINK("https://eosportal.federatedhermes.com/companies/Q29tcGFueQppNjMxMDk=", "Prudential PLC")</f>
      </c>
      <c r="D187" s="0" t="s">
        <v>25</v>
      </c>
      <c r="E187" s="0" t="s">
        <v>341</v>
      </c>
      <c r="F187" s="16">
        <f>HYPERLINK("https://eosportal.federatedhermes.com/engagements/RW5nYWdlbWVudAppMTkwNDE=", "Remuneration")</f>
      </c>
      <c r="G187" s="14" t="s">
        <v>819</v>
      </c>
      <c r="H187" s="0" t="s">
        <v>130</v>
      </c>
      <c r="I187" s="14" t="s">
        <v>319</v>
      </c>
      <c r="J187" s="0" t="s">
        <v>145</v>
      </c>
      <c r="K187" s="0" t="s">
        <v>146</v>
      </c>
      <c r="L187" s="0" t="s">
        <v>147</v>
      </c>
      <c r="M187" s="0" t="s">
        <v>802</v>
      </c>
      <c r="N187" s="0" t="s">
        <v>803</v>
      </c>
      <c r="O187" s="0" t="s">
        <v>238</v>
      </c>
      <c r="Q187" s="0" t="s">
        <v>141</v>
      </c>
      <c r="R187" s="0" t="s">
        <v>138</v>
      </c>
      <c r="S187" s="14">
        <v>1</v>
      </c>
      <c r="T187" s="0" t="s">
        <v>278</v>
      </c>
      <c r="U187" s="0" t="s">
        <v>138</v>
      </c>
      <c r="V187" s="14" t="s">
        <v>138</v>
      </c>
      <c r="W187" s="0" t="s">
        <v>138</v>
      </c>
      <c r="X187" s="14" t="s">
        <v>138</v>
      </c>
      <c r="Y187" s="0" t="s">
        <v>138</v>
      </c>
      <c r="Z187" s="14" t="s">
        <v>138</v>
      </c>
      <c r="AA187" s="0" t="s">
        <v>138</v>
      </c>
      <c r="AB187" s="14" t="s">
        <v>138</v>
      </c>
      <c r="AD187" s="0" t="s">
        <v>138</v>
      </c>
      <c r="AF187" s="0">
        <v>0</v>
      </c>
      <c r="AG187" s="0">
        <v>0</v>
      </c>
      <c r="AH187" s="0" t="s">
        <v>140</v>
      </c>
      <c r="AI187" s="0" t="s">
        <v>138</v>
      </c>
      <c r="AK187" s="0" t="s">
        <v>226</v>
      </c>
      <c r="AL187" s="14"/>
      <c r="AN187" s="14"/>
      <c r="AQ187" s="0" t="s">
        <v>130</v>
      </c>
      <c r="AR187" s="0" t="s">
        <v>130</v>
      </c>
      <c r="AS187" s="0" t="s">
        <v>130</v>
      </c>
      <c r="AT187" s="0" t="s">
        <v>130</v>
      </c>
      <c r="AU187" s="0" t="s">
        <v>130</v>
      </c>
      <c r="AV187" s="0" t="s">
        <v>130</v>
      </c>
      <c r="AW187" s="0" t="s">
        <v>130</v>
      </c>
      <c r="AX187" s="0" t="s">
        <v>130</v>
      </c>
      <c r="AY187" s="0" t="s">
        <v>130</v>
      </c>
      <c r="AZ187" s="0" t="s">
        <v>130</v>
      </c>
      <c r="BA187" s="0" t="s">
        <v>130</v>
      </c>
      <c r="BB187" s="0" t="s">
        <v>130</v>
      </c>
      <c r="BC187" s="0" t="s">
        <v>130</v>
      </c>
      <c r="BD187" s="0" t="s">
        <v>130</v>
      </c>
      <c r="BE187" s="0" t="s">
        <v>130</v>
      </c>
      <c r="BF187" s="0" t="s">
        <v>130</v>
      </c>
      <c r="BG187" s="0" t="s">
        <v>130</v>
      </c>
      <c r="BH187" s="0" t="s">
        <v>130</v>
      </c>
      <c r="BI187" s="0" t="s">
        <v>130</v>
      </c>
      <c r="BJ187" s="0" t="s">
        <v>130</v>
      </c>
      <c r="BK187" s="0" t="s">
        <v>130</v>
      </c>
      <c r="BL187" s="0" t="s">
        <v>130</v>
      </c>
      <c r="BM187" s="0" t="s">
        <v>130</v>
      </c>
      <c r="BN187" s="0" t="s">
        <v>130</v>
      </c>
      <c r="BO187" s="0" t="s">
        <v>130</v>
      </c>
      <c r="BP187" s="0" t="s">
        <v>130</v>
      </c>
      <c r="BQ187" s="0" t="s">
        <v>130</v>
      </c>
      <c r="BR187" s="0" t="s">
        <v>130</v>
      </c>
      <c r="BS187" s="0" t="s">
        <v>130</v>
      </c>
      <c r="BT187" s="0" t="s">
        <v>130</v>
      </c>
      <c r="BU187" s="0" t="s">
        <v>130</v>
      </c>
      <c r="BV187" s="0" t="s">
        <v>130</v>
      </c>
      <c r="BW187" s="0" t="s">
        <v>130</v>
      </c>
      <c r="BX187" s="0" t="s">
        <v>130</v>
      </c>
      <c r="BY187" s="0" t="s">
        <v>130</v>
      </c>
      <c r="BZ187" s="0" t="s">
        <v>130</v>
      </c>
      <c r="CA187" s="0" t="s">
        <v>130</v>
      </c>
      <c r="CB187" s="0" t="s">
        <v>130</v>
      </c>
      <c r="CC187" s="0" t="s">
        <v>130</v>
      </c>
      <c r="CD187" s="0" t="s">
        <v>130</v>
      </c>
      <c r="CE187" s="0" t="s">
        <v>130</v>
      </c>
      <c r="CF187" s="0" t="s">
        <v>130</v>
      </c>
      <c r="CG187" s="0" t="s">
        <v>130</v>
      </c>
      <c r="CH187" s="0" t="s">
        <v>130</v>
      </c>
      <c r="CI187" s="0" t="s">
        <v>130</v>
      </c>
      <c r="CJ187" s="0" t="s">
        <v>130</v>
      </c>
      <c r="CK187" s="0" t="s">
        <v>130</v>
      </c>
      <c r="CL187" s="0" t="s">
        <v>130</v>
      </c>
      <c r="CM187" s="0" t="s">
        <v>130</v>
      </c>
      <c r="CN187" s="0" t="s">
        <v>130</v>
      </c>
      <c r="CO187" s="0" t="s">
        <v>130</v>
      </c>
      <c r="CP187" s="0" t="s">
        <v>130</v>
      </c>
      <c r="CQ187" s="0" t="s">
        <v>130</v>
      </c>
      <c r="CR187" s="0" t="s">
        <v>130</v>
      </c>
      <c r="CS187" s="0" t="s">
        <v>130</v>
      </c>
      <c r="CT187" s="0" t="s">
        <v>820</v>
      </c>
    </row>
    <row r="188">
      <c r="A188" s="14">
        <v>112122</v>
      </c>
      <c r="B188" s="0" t="s">
        <v>799</v>
      </c>
      <c r="C188" s="16">
        <f>HYPERLINK("https://eosportal.federatedhermes.com/companies/Q29tcGFueQppNjMxMDk=", "Prudential PLC")</f>
      </c>
      <c r="D188" s="0" t="s">
        <v>25</v>
      </c>
      <c r="E188" s="0" t="s">
        <v>821</v>
      </c>
      <c r="F188" s="16">
        <f>HYPERLINK("https://eosportal.federatedhermes.com/engagements/RW5nYWdlbWVudAppMTkwNDI=", "Board Diversity")</f>
      </c>
      <c r="G188" s="14" t="s">
        <v>822</v>
      </c>
      <c r="H188" s="0" t="s">
        <v>130</v>
      </c>
      <c r="I188" s="14" t="s">
        <v>319</v>
      </c>
      <c r="J188" s="0" t="s">
        <v>145</v>
      </c>
      <c r="K188" s="0" t="s">
        <v>164</v>
      </c>
      <c r="L188" s="0" t="s">
        <v>165</v>
      </c>
      <c r="M188" s="0" t="s">
        <v>802</v>
      </c>
      <c r="N188" s="0" t="s">
        <v>803</v>
      </c>
      <c r="O188" s="0" t="s">
        <v>238</v>
      </c>
      <c r="Q188" s="0" t="s">
        <v>130</v>
      </c>
      <c r="R188" s="0" t="s">
        <v>138</v>
      </c>
      <c r="S188" s="14">
        <v>0</v>
      </c>
      <c r="T188" s="0" t="s">
        <v>487</v>
      </c>
      <c r="U188" s="0" t="s">
        <v>138</v>
      </c>
      <c r="V188" s="14" t="s">
        <v>138</v>
      </c>
      <c r="W188" s="0" t="s">
        <v>138</v>
      </c>
      <c r="X188" s="14" t="s">
        <v>138</v>
      </c>
      <c r="Y188" s="0" t="s">
        <v>138</v>
      </c>
      <c r="Z188" s="14" t="s">
        <v>138</v>
      </c>
      <c r="AA188" s="0" t="s">
        <v>138</v>
      </c>
      <c r="AB188" s="14" t="s">
        <v>138</v>
      </c>
      <c r="AD188" s="0" t="s">
        <v>138</v>
      </c>
      <c r="AF188" s="0">
        <v>0</v>
      </c>
      <c r="AG188" s="0">
        <v>0</v>
      </c>
      <c r="AH188" s="0" t="s">
        <v>140</v>
      </c>
      <c r="AI188" s="0" t="s">
        <v>138</v>
      </c>
      <c r="AL188" s="14"/>
      <c r="AN188" s="14"/>
      <c r="AQ188" s="0" t="s">
        <v>130</v>
      </c>
      <c r="AR188" s="0" t="s">
        <v>130</v>
      </c>
      <c r="AS188" s="0" t="s">
        <v>130</v>
      </c>
      <c r="AT188" s="0" t="s">
        <v>130</v>
      </c>
      <c r="AU188" s="0" t="s">
        <v>141</v>
      </c>
      <c r="AV188" s="0" t="s">
        <v>130</v>
      </c>
      <c r="AW188" s="0" t="s">
        <v>130</v>
      </c>
      <c r="AX188" s="0" t="s">
        <v>130</v>
      </c>
      <c r="AY188" s="0" t="s">
        <v>130</v>
      </c>
      <c r="AZ188" s="0" t="s">
        <v>141</v>
      </c>
      <c r="BA188" s="0" t="s">
        <v>130</v>
      </c>
      <c r="BB188" s="0" t="s">
        <v>130</v>
      </c>
      <c r="BC188" s="0" t="s">
        <v>130</v>
      </c>
      <c r="BD188" s="0" t="s">
        <v>130</v>
      </c>
      <c r="BE188" s="0" t="s">
        <v>130</v>
      </c>
      <c r="BF188" s="0" t="s">
        <v>130</v>
      </c>
      <c r="BG188" s="0" t="s">
        <v>130</v>
      </c>
      <c r="BH188" s="0" t="s">
        <v>130</v>
      </c>
      <c r="BI188" s="0" t="s">
        <v>130</v>
      </c>
      <c r="BJ188" s="0" t="s">
        <v>130</v>
      </c>
      <c r="BK188" s="0" t="s">
        <v>130</v>
      </c>
      <c r="BL188" s="0" t="s">
        <v>130</v>
      </c>
      <c r="BM188" s="0" t="s">
        <v>130</v>
      </c>
      <c r="BN188" s="0" t="s">
        <v>130</v>
      </c>
      <c r="BO188" s="0" t="s">
        <v>130</v>
      </c>
      <c r="BP188" s="0" t="s">
        <v>130</v>
      </c>
      <c r="BQ188" s="0" t="s">
        <v>130</v>
      </c>
      <c r="BR188" s="0" t="s">
        <v>130</v>
      </c>
      <c r="BS188" s="0" t="s">
        <v>130</v>
      </c>
      <c r="BT188" s="0" t="s">
        <v>130</v>
      </c>
      <c r="BU188" s="0" t="s">
        <v>130</v>
      </c>
      <c r="BV188" s="0" t="s">
        <v>130</v>
      </c>
      <c r="BW188" s="0" t="s">
        <v>130</v>
      </c>
      <c r="BX188" s="0" t="s">
        <v>130</v>
      </c>
      <c r="BY188" s="0" t="s">
        <v>130</v>
      </c>
      <c r="BZ188" s="0" t="s">
        <v>130</v>
      </c>
      <c r="CA188" s="0" t="s">
        <v>130</v>
      </c>
      <c r="CB188" s="0" t="s">
        <v>130</v>
      </c>
      <c r="CC188" s="0" t="s">
        <v>130</v>
      </c>
      <c r="CD188" s="0" t="s">
        <v>130</v>
      </c>
      <c r="CE188" s="0" t="s">
        <v>130</v>
      </c>
      <c r="CF188" s="0" t="s">
        <v>130</v>
      </c>
      <c r="CG188" s="0" t="s">
        <v>130</v>
      </c>
      <c r="CH188" s="0" t="s">
        <v>130</v>
      </c>
      <c r="CI188" s="0" t="s">
        <v>130</v>
      </c>
      <c r="CJ188" s="0" t="s">
        <v>130</v>
      </c>
      <c r="CK188" s="0" t="s">
        <v>130</v>
      </c>
      <c r="CL188" s="0" t="s">
        <v>130</v>
      </c>
      <c r="CM188" s="0" t="s">
        <v>130</v>
      </c>
      <c r="CN188" s="0" t="s">
        <v>130</v>
      </c>
      <c r="CO188" s="0" t="s">
        <v>130</v>
      </c>
      <c r="CP188" s="0" t="s">
        <v>130</v>
      </c>
      <c r="CQ188" s="0" t="s">
        <v>130</v>
      </c>
      <c r="CR188" s="0" t="s">
        <v>130</v>
      </c>
      <c r="CS188" s="0" t="s">
        <v>130</v>
      </c>
      <c r="CT188" s="0" t="s">
        <v>823</v>
      </c>
    </row>
    <row r="189">
      <c r="A189" s="14">
        <v>112122</v>
      </c>
      <c r="B189" s="0" t="s">
        <v>799</v>
      </c>
      <c r="C189" s="16">
        <f>HYPERLINK("https://eosportal.federatedhermes.com/companies/Q29tcGFueQppNjMxMDk=", "Prudential PLC")</f>
      </c>
      <c r="D189" s="0" t="s">
        <v>25</v>
      </c>
      <c r="E189" s="0" t="s">
        <v>298</v>
      </c>
      <c r="F189" s="16">
        <f>HYPERLINK("https://eosportal.federatedhermes.com/engagements/RW5nYWdlbWVudAppMTkwNDc=", "Corporate culture")</f>
      </c>
      <c r="G189" s="14"/>
      <c r="H189" s="0" t="s">
        <v>130</v>
      </c>
      <c r="I189" s="14" t="s">
        <v>319</v>
      </c>
      <c r="J189" s="0" t="s">
        <v>153</v>
      </c>
      <c r="K189" s="0" t="s">
        <v>185</v>
      </c>
      <c r="L189" s="0" t="s">
        <v>186</v>
      </c>
      <c r="M189" s="0" t="s">
        <v>802</v>
      </c>
      <c r="N189" s="0" t="s">
        <v>803</v>
      </c>
      <c r="O189" s="0" t="s">
        <v>238</v>
      </c>
      <c r="Q189" s="0" t="s">
        <v>130</v>
      </c>
      <c r="R189" s="0" t="s">
        <v>138</v>
      </c>
      <c r="S189" s="14">
        <v>0</v>
      </c>
      <c r="T189" s="0" t="s">
        <v>804</v>
      </c>
      <c r="U189" s="0" t="s">
        <v>138</v>
      </c>
      <c r="V189" s="14" t="s">
        <v>138</v>
      </c>
      <c r="W189" s="0" t="s">
        <v>138</v>
      </c>
      <c r="X189" s="14" t="s">
        <v>138</v>
      </c>
      <c r="Y189" s="0" t="s">
        <v>138</v>
      </c>
      <c r="Z189" s="14" t="s">
        <v>138</v>
      </c>
      <c r="AA189" s="0" t="s">
        <v>138</v>
      </c>
      <c r="AB189" s="14" t="s">
        <v>138</v>
      </c>
      <c r="AD189" s="0" t="s">
        <v>138</v>
      </c>
      <c r="AF189" s="0">
        <v>0</v>
      </c>
      <c r="AG189" s="0">
        <v>0</v>
      </c>
      <c r="AH189" s="0" t="s">
        <v>140</v>
      </c>
      <c r="AI189" s="0" t="s">
        <v>138</v>
      </c>
      <c r="AL189" s="14"/>
      <c r="AN189" s="14"/>
      <c r="AQ189" s="0" t="s">
        <v>130</v>
      </c>
      <c r="AR189" s="0" t="s">
        <v>130</v>
      </c>
      <c r="AS189" s="0" t="s">
        <v>130</v>
      </c>
      <c r="AT189" s="0" t="s">
        <v>130</v>
      </c>
      <c r="AU189" s="0" t="s">
        <v>130</v>
      </c>
      <c r="AV189" s="0" t="s">
        <v>130</v>
      </c>
      <c r="AW189" s="0" t="s">
        <v>130</v>
      </c>
      <c r="AX189" s="0" t="s">
        <v>130</v>
      </c>
      <c r="AY189" s="0" t="s">
        <v>130</v>
      </c>
      <c r="AZ189" s="0" t="s">
        <v>130</v>
      </c>
      <c r="BA189" s="0" t="s">
        <v>130</v>
      </c>
      <c r="BB189" s="0" t="s">
        <v>130</v>
      </c>
      <c r="BC189" s="0" t="s">
        <v>130</v>
      </c>
      <c r="BD189" s="0" t="s">
        <v>130</v>
      </c>
      <c r="BE189" s="0" t="s">
        <v>130</v>
      </c>
      <c r="BF189" s="0" t="s">
        <v>130</v>
      </c>
      <c r="BG189" s="0" t="s">
        <v>130</v>
      </c>
      <c r="BH189" s="0" t="s">
        <v>130</v>
      </c>
      <c r="BI189" s="0" t="s">
        <v>130</v>
      </c>
      <c r="BJ189" s="0" t="s">
        <v>130</v>
      </c>
      <c r="BK189" s="0" t="s">
        <v>130</v>
      </c>
      <c r="BL189" s="0" t="s">
        <v>130</v>
      </c>
      <c r="BM189" s="0" t="s">
        <v>130</v>
      </c>
      <c r="BN189" s="0" t="s">
        <v>130</v>
      </c>
      <c r="BO189" s="0" t="s">
        <v>130</v>
      </c>
      <c r="BP189" s="0" t="s">
        <v>130</v>
      </c>
      <c r="BQ189" s="0" t="s">
        <v>130</v>
      </c>
      <c r="BR189" s="0" t="s">
        <v>130</v>
      </c>
      <c r="BS189" s="0" t="s">
        <v>130</v>
      </c>
      <c r="BT189" s="0" t="s">
        <v>130</v>
      </c>
      <c r="BU189" s="0" t="s">
        <v>130</v>
      </c>
      <c r="BV189" s="0" t="s">
        <v>130</v>
      </c>
      <c r="BW189" s="0" t="s">
        <v>130</v>
      </c>
      <c r="BX189" s="0" t="s">
        <v>130</v>
      </c>
      <c r="BY189" s="0" t="s">
        <v>130</v>
      </c>
      <c r="BZ189" s="0" t="s">
        <v>130</v>
      </c>
      <c r="CA189" s="0" t="s">
        <v>130</v>
      </c>
      <c r="CB189" s="0" t="s">
        <v>130</v>
      </c>
      <c r="CC189" s="0" t="s">
        <v>130</v>
      </c>
      <c r="CD189" s="0" t="s">
        <v>130</v>
      </c>
      <c r="CE189" s="0" t="s">
        <v>130</v>
      </c>
      <c r="CF189" s="0" t="s">
        <v>130</v>
      </c>
      <c r="CG189" s="0" t="s">
        <v>130</v>
      </c>
      <c r="CH189" s="0" t="s">
        <v>130</v>
      </c>
      <c r="CI189" s="0" t="s">
        <v>130</v>
      </c>
      <c r="CJ189" s="0" t="s">
        <v>130</v>
      </c>
      <c r="CK189" s="0" t="s">
        <v>130</v>
      </c>
      <c r="CL189" s="0" t="s">
        <v>130</v>
      </c>
      <c r="CM189" s="0" t="s">
        <v>130</v>
      </c>
      <c r="CN189" s="0" t="s">
        <v>130</v>
      </c>
      <c r="CO189" s="0" t="s">
        <v>130</v>
      </c>
      <c r="CP189" s="0" t="s">
        <v>130</v>
      </c>
      <c r="CQ189" s="0" t="s">
        <v>130</v>
      </c>
      <c r="CR189" s="0" t="s">
        <v>130</v>
      </c>
      <c r="CS189" s="0" t="s">
        <v>130</v>
      </c>
      <c r="CT189" s="0" t="s">
        <v>824</v>
      </c>
    </row>
    <row r="190">
      <c r="A190" s="14">
        <v>112122</v>
      </c>
      <c r="B190" s="0" t="s">
        <v>799</v>
      </c>
      <c r="C190" s="16">
        <f>HYPERLINK("https://eosportal.federatedhermes.com/companies/Q29tcGFueQppNjMxMDk=", "Prudential PLC")</f>
      </c>
      <c r="D190" s="0" t="s">
        <v>25</v>
      </c>
      <c r="E190" s="0" t="s">
        <v>276</v>
      </c>
      <c r="F190" s="16">
        <f>HYPERLINK("https://eosportal.federatedhermes.com/engagements/RW5nYWdlbWVudAppMTkwNDg=", "Succession planning")</f>
      </c>
      <c r="G190" s="14" t="s">
        <v>276</v>
      </c>
      <c r="H190" s="0" t="s">
        <v>130</v>
      </c>
      <c r="I190" s="14" t="s">
        <v>319</v>
      </c>
      <c r="J190" s="0" t="s">
        <v>145</v>
      </c>
      <c r="K190" s="0" t="s">
        <v>164</v>
      </c>
      <c r="L190" s="0" t="s">
        <v>277</v>
      </c>
      <c r="M190" s="0" t="s">
        <v>802</v>
      </c>
      <c r="N190" s="0" t="s">
        <v>803</v>
      </c>
      <c r="O190" s="0" t="s">
        <v>238</v>
      </c>
      <c r="Q190" s="0" t="s">
        <v>130</v>
      </c>
      <c r="R190" s="0" t="s">
        <v>138</v>
      </c>
      <c r="S190" s="14">
        <v>0</v>
      </c>
      <c r="T190" s="0" t="s">
        <v>825</v>
      </c>
      <c r="U190" s="0" t="s">
        <v>138</v>
      </c>
      <c r="V190" s="14" t="s">
        <v>138</v>
      </c>
      <c r="W190" s="0" t="s">
        <v>138</v>
      </c>
      <c r="X190" s="14" t="s">
        <v>138</v>
      </c>
      <c r="Y190" s="0" t="s">
        <v>138</v>
      </c>
      <c r="Z190" s="14" t="s">
        <v>138</v>
      </c>
      <c r="AA190" s="0" t="s">
        <v>138</v>
      </c>
      <c r="AB190" s="14" t="s">
        <v>138</v>
      </c>
      <c r="AD190" s="0" t="s">
        <v>138</v>
      </c>
      <c r="AF190" s="0">
        <v>0</v>
      </c>
      <c r="AG190" s="0">
        <v>0</v>
      </c>
      <c r="AH190" s="0" t="s">
        <v>140</v>
      </c>
      <c r="AI190" s="0" t="s">
        <v>138</v>
      </c>
      <c r="AL190" s="14"/>
      <c r="AN190" s="14"/>
      <c r="AQ190" s="0" t="s">
        <v>130</v>
      </c>
      <c r="AR190" s="0" t="s">
        <v>130</v>
      </c>
      <c r="AS190" s="0" t="s">
        <v>130</v>
      </c>
      <c r="AT190" s="0" t="s">
        <v>130</v>
      </c>
      <c r="AU190" s="0" t="s">
        <v>130</v>
      </c>
      <c r="AV190" s="0" t="s">
        <v>130</v>
      </c>
      <c r="AW190" s="0" t="s">
        <v>130</v>
      </c>
      <c r="AX190" s="0" t="s">
        <v>130</v>
      </c>
      <c r="AY190" s="0" t="s">
        <v>130</v>
      </c>
      <c r="AZ190" s="0" t="s">
        <v>130</v>
      </c>
      <c r="BA190" s="0" t="s">
        <v>130</v>
      </c>
      <c r="BB190" s="0" t="s">
        <v>130</v>
      </c>
      <c r="BC190" s="0" t="s">
        <v>130</v>
      </c>
      <c r="BD190" s="0" t="s">
        <v>130</v>
      </c>
      <c r="BE190" s="0" t="s">
        <v>130</v>
      </c>
      <c r="BF190" s="0" t="s">
        <v>130</v>
      </c>
      <c r="BG190" s="0" t="s">
        <v>130</v>
      </c>
      <c r="BH190" s="0" t="s">
        <v>130</v>
      </c>
      <c r="BI190" s="0" t="s">
        <v>130</v>
      </c>
      <c r="BJ190" s="0" t="s">
        <v>130</v>
      </c>
      <c r="BK190" s="0" t="s">
        <v>130</v>
      </c>
      <c r="BL190" s="0" t="s">
        <v>130</v>
      </c>
      <c r="BM190" s="0" t="s">
        <v>130</v>
      </c>
      <c r="BN190" s="0" t="s">
        <v>130</v>
      </c>
      <c r="BO190" s="0" t="s">
        <v>130</v>
      </c>
      <c r="BP190" s="0" t="s">
        <v>130</v>
      </c>
      <c r="BQ190" s="0" t="s">
        <v>130</v>
      </c>
      <c r="BR190" s="0" t="s">
        <v>130</v>
      </c>
      <c r="BS190" s="0" t="s">
        <v>130</v>
      </c>
      <c r="BT190" s="0" t="s">
        <v>130</v>
      </c>
      <c r="BU190" s="0" t="s">
        <v>130</v>
      </c>
      <c r="BV190" s="0" t="s">
        <v>130</v>
      </c>
      <c r="BW190" s="0" t="s">
        <v>130</v>
      </c>
      <c r="BX190" s="0" t="s">
        <v>130</v>
      </c>
      <c r="BY190" s="0" t="s">
        <v>130</v>
      </c>
      <c r="BZ190" s="0" t="s">
        <v>130</v>
      </c>
      <c r="CA190" s="0" t="s">
        <v>130</v>
      </c>
      <c r="CB190" s="0" t="s">
        <v>130</v>
      </c>
      <c r="CC190" s="0" t="s">
        <v>130</v>
      </c>
      <c r="CD190" s="0" t="s">
        <v>130</v>
      </c>
      <c r="CE190" s="0" t="s">
        <v>130</v>
      </c>
      <c r="CF190" s="0" t="s">
        <v>130</v>
      </c>
      <c r="CG190" s="0" t="s">
        <v>130</v>
      </c>
      <c r="CH190" s="0" t="s">
        <v>130</v>
      </c>
      <c r="CI190" s="0" t="s">
        <v>130</v>
      </c>
      <c r="CJ190" s="0" t="s">
        <v>130</v>
      </c>
      <c r="CK190" s="0" t="s">
        <v>130</v>
      </c>
      <c r="CL190" s="0" t="s">
        <v>130</v>
      </c>
      <c r="CM190" s="0" t="s">
        <v>130</v>
      </c>
      <c r="CN190" s="0" t="s">
        <v>130</v>
      </c>
      <c r="CO190" s="0" t="s">
        <v>130</v>
      </c>
      <c r="CP190" s="0" t="s">
        <v>130</v>
      </c>
      <c r="CQ190" s="0" t="s">
        <v>130</v>
      </c>
      <c r="CR190" s="0" t="s">
        <v>130</v>
      </c>
      <c r="CS190" s="0" t="s">
        <v>130</v>
      </c>
      <c r="CT190" s="0" t="s">
        <v>826</v>
      </c>
    </row>
    <row r="191">
      <c r="A191" s="14">
        <v>100602</v>
      </c>
      <c r="B191" s="0" t="s">
        <v>827</v>
      </c>
      <c r="C191" s="16">
        <f>HYPERLINK("https://eosportal.federatedhermes.com/companies/Q29tcGFueQppNTQxNzY=", "Ford Motor Co")</f>
      </c>
      <c r="D191" s="0" t="s">
        <v>23</v>
      </c>
      <c r="E191" s="0" t="s">
        <v>828</v>
      </c>
      <c r="F191" s="16">
        <f>HYPERLINK("https://eosportal.federatedhermes.com/engagements/RW5nYWdlbWVudAppMTkxMjg=", "Recall &amp; Warranty Performance")</f>
      </c>
      <c r="G191" s="14" t="s">
        <v>829</v>
      </c>
      <c r="H191" s="0" t="s">
        <v>141</v>
      </c>
      <c r="I191" s="14" t="s">
        <v>191</v>
      </c>
      <c r="J191" s="0" t="s">
        <v>153</v>
      </c>
      <c r="K191" s="0" t="s">
        <v>185</v>
      </c>
      <c r="L191" s="0" t="s">
        <v>626</v>
      </c>
      <c r="M191" s="0" t="s">
        <v>135</v>
      </c>
      <c r="N191" s="0" t="s">
        <v>136</v>
      </c>
      <c r="O191" s="0" t="s">
        <v>425</v>
      </c>
      <c r="Q191" s="0" t="s">
        <v>130</v>
      </c>
      <c r="R191" s="0" t="s">
        <v>130</v>
      </c>
      <c r="S191" s="14">
        <v>0</v>
      </c>
      <c r="T191" s="0" t="s">
        <v>583</v>
      </c>
      <c r="U191" s="0" t="s">
        <v>221</v>
      </c>
      <c r="V191" s="14" t="s">
        <v>583</v>
      </c>
      <c r="W191" s="0" t="s">
        <v>221</v>
      </c>
      <c r="X191" s="14" t="s">
        <v>446</v>
      </c>
      <c r="Y191" s="0" t="s">
        <v>221</v>
      </c>
      <c r="Z191" s="14" t="s">
        <v>446</v>
      </c>
      <c r="AA191" s="0" t="s">
        <v>223</v>
      </c>
      <c r="AB191" s="14" t="s">
        <v>138</v>
      </c>
      <c r="AD191" s="0" t="s">
        <v>20</v>
      </c>
      <c r="AF191" s="0">
        <v>0</v>
      </c>
      <c r="AG191" s="0">
        <v>0</v>
      </c>
      <c r="AH191" s="0" t="s">
        <v>140</v>
      </c>
      <c r="AI191" s="0" t="s">
        <v>479</v>
      </c>
      <c r="AL191" s="14"/>
      <c r="AN191" s="14"/>
      <c r="AQ191" s="0" t="s">
        <v>130</v>
      </c>
      <c r="AR191" s="0" t="s">
        <v>130</v>
      </c>
      <c r="AS191" s="0" t="s">
        <v>130</v>
      </c>
      <c r="AT191" s="0" t="s">
        <v>130</v>
      </c>
      <c r="AU191" s="0" t="s">
        <v>130</v>
      </c>
      <c r="AV191" s="0" t="s">
        <v>130</v>
      </c>
      <c r="AW191" s="0" t="s">
        <v>130</v>
      </c>
      <c r="AX191" s="0" t="s">
        <v>130</v>
      </c>
      <c r="AY191" s="0" t="s">
        <v>130</v>
      </c>
      <c r="AZ191" s="0" t="s">
        <v>130</v>
      </c>
      <c r="BA191" s="0" t="s">
        <v>130</v>
      </c>
      <c r="BB191" s="0" t="s">
        <v>130</v>
      </c>
      <c r="BC191" s="0" t="s">
        <v>130</v>
      </c>
      <c r="BD191" s="0" t="s">
        <v>130</v>
      </c>
      <c r="BE191" s="0" t="s">
        <v>130</v>
      </c>
      <c r="BF191" s="0" t="s">
        <v>130</v>
      </c>
      <c r="BG191" s="0" t="s">
        <v>130</v>
      </c>
      <c r="BH191" s="0" t="s">
        <v>130</v>
      </c>
      <c r="BI191" s="0" t="s">
        <v>130</v>
      </c>
      <c r="BJ191" s="0" t="s">
        <v>130</v>
      </c>
      <c r="BK191" s="0" t="s">
        <v>130</v>
      </c>
      <c r="BL191" s="0" t="s">
        <v>130</v>
      </c>
      <c r="BM191" s="0" t="s">
        <v>130</v>
      </c>
      <c r="BN191" s="0" t="s">
        <v>130</v>
      </c>
      <c r="BO191" s="0" t="s">
        <v>130</v>
      </c>
      <c r="BP191" s="0" t="s">
        <v>130</v>
      </c>
      <c r="BQ191" s="0" t="s">
        <v>130</v>
      </c>
      <c r="BR191" s="0" t="s">
        <v>130</v>
      </c>
      <c r="BS191" s="0" t="s">
        <v>130</v>
      </c>
      <c r="BT191" s="0" t="s">
        <v>130</v>
      </c>
      <c r="BU191" s="0" t="s">
        <v>130</v>
      </c>
      <c r="BV191" s="0" t="s">
        <v>130</v>
      </c>
      <c r="BW191" s="0" t="s">
        <v>130</v>
      </c>
      <c r="BX191" s="0" t="s">
        <v>130</v>
      </c>
      <c r="BY191" s="0" t="s">
        <v>130</v>
      </c>
      <c r="BZ191" s="0" t="s">
        <v>130</v>
      </c>
      <c r="CA191" s="0" t="s">
        <v>130</v>
      </c>
      <c r="CB191" s="0" t="s">
        <v>130</v>
      </c>
      <c r="CC191" s="0" t="s">
        <v>130</v>
      </c>
      <c r="CD191" s="0" t="s">
        <v>130</v>
      </c>
      <c r="CE191" s="0" t="s">
        <v>130</v>
      </c>
      <c r="CF191" s="0" t="s">
        <v>130</v>
      </c>
      <c r="CG191" s="0" t="s">
        <v>130</v>
      </c>
      <c r="CH191" s="0" t="s">
        <v>130</v>
      </c>
      <c r="CI191" s="0" t="s">
        <v>130</v>
      </c>
      <c r="CJ191" s="0" t="s">
        <v>130</v>
      </c>
      <c r="CK191" s="0" t="s">
        <v>130</v>
      </c>
      <c r="CL191" s="0" t="s">
        <v>130</v>
      </c>
      <c r="CM191" s="0" t="s">
        <v>130</v>
      </c>
      <c r="CN191" s="0" t="s">
        <v>130</v>
      </c>
      <c r="CO191" s="0" t="s">
        <v>130</v>
      </c>
      <c r="CP191" s="0" t="s">
        <v>130</v>
      </c>
      <c r="CQ191" s="0" t="s">
        <v>130</v>
      </c>
      <c r="CR191" s="0" t="s">
        <v>130</v>
      </c>
      <c r="CS191" s="0" t="s">
        <v>130</v>
      </c>
      <c r="CT191" s="0" t="s">
        <v>830</v>
      </c>
    </row>
    <row r="192">
      <c r="A192" s="14">
        <v>100602</v>
      </c>
      <c r="B192" s="0" t="s">
        <v>827</v>
      </c>
      <c r="C192" s="16">
        <f>HYPERLINK("https://eosportal.federatedhermes.com/companies/Q29tcGFueQppNTQxNzY=", "Ford Motor Co")</f>
      </c>
      <c r="D192" s="0" t="s">
        <v>25</v>
      </c>
      <c r="E192" s="0" t="s">
        <v>831</v>
      </c>
      <c r="F192" s="16">
        <f>HYPERLINK("https://eosportal.federatedhermes.com/engagements/RW5nYWdlbWVudAppMTkxMzE=", "Improve shareholder rights: right to call meetings and one share one vote")</f>
      </c>
      <c r="G192" s="14" t="s">
        <v>832</v>
      </c>
      <c r="H192" s="0" t="s">
        <v>141</v>
      </c>
      <c r="I192" s="14" t="s">
        <v>191</v>
      </c>
      <c r="J192" s="0" t="s">
        <v>145</v>
      </c>
      <c r="K192" s="0" t="s">
        <v>400</v>
      </c>
      <c r="L192" s="0" t="s">
        <v>507</v>
      </c>
      <c r="M192" s="0" t="s">
        <v>135</v>
      </c>
      <c r="N192" s="0" t="s">
        <v>136</v>
      </c>
      <c r="O192" s="0" t="s">
        <v>425</v>
      </c>
      <c r="Q192" s="0" t="s">
        <v>130</v>
      </c>
      <c r="R192" s="0" t="s">
        <v>138</v>
      </c>
      <c r="S192" s="14">
        <v>0</v>
      </c>
      <c r="T192" s="0" t="s">
        <v>181</v>
      </c>
      <c r="U192" s="0" t="s">
        <v>138</v>
      </c>
      <c r="V192" s="14" t="s">
        <v>138</v>
      </c>
      <c r="W192" s="0" t="s">
        <v>138</v>
      </c>
      <c r="X192" s="14" t="s">
        <v>138</v>
      </c>
      <c r="Y192" s="0" t="s">
        <v>138</v>
      </c>
      <c r="Z192" s="14" t="s">
        <v>138</v>
      </c>
      <c r="AA192" s="0" t="s">
        <v>138</v>
      </c>
      <c r="AB192" s="14" t="s">
        <v>138</v>
      </c>
      <c r="AD192" s="0" t="s">
        <v>138</v>
      </c>
      <c r="AF192" s="0">
        <v>0</v>
      </c>
      <c r="AG192" s="0">
        <v>0</v>
      </c>
      <c r="AH192" s="0" t="s">
        <v>140</v>
      </c>
      <c r="AI192" s="0" t="s">
        <v>138</v>
      </c>
      <c r="AL192" s="14"/>
      <c r="AN192" s="14"/>
      <c r="AQ192" s="0" t="s">
        <v>130</v>
      </c>
      <c r="AR192" s="0" t="s">
        <v>130</v>
      </c>
      <c r="AS192" s="0" t="s">
        <v>130</v>
      </c>
      <c r="AT192" s="0" t="s">
        <v>130</v>
      </c>
      <c r="AU192" s="0" t="s">
        <v>130</v>
      </c>
      <c r="AV192" s="0" t="s">
        <v>130</v>
      </c>
      <c r="AW192" s="0" t="s">
        <v>130</v>
      </c>
      <c r="AX192" s="0" t="s">
        <v>130</v>
      </c>
      <c r="AY192" s="0" t="s">
        <v>130</v>
      </c>
      <c r="AZ192" s="0" t="s">
        <v>130</v>
      </c>
      <c r="BA192" s="0" t="s">
        <v>130</v>
      </c>
      <c r="BB192" s="0" t="s">
        <v>130</v>
      </c>
      <c r="BC192" s="0" t="s">
        <v>130</v>
      </c>
      <c r="BD192" s="0" t="s">
        <v>130</v>
      </c>
      <c r="BE192" s="0" t="s">
        <v>130</v>
      </c>
      <c r="BF192" s="0" t="s">
        <v>130</v>
      </c>
      <c r="BG192" s="0" t="s">
        <v>130</v>
      </c>
      <c r="BH192" s="0" t="s">
        <v>130</v>
      </c>
      <c r="BI192" s="0" t="s">
        <v>130</v>
      </c>
      <c r="BJ192" s="0" t="s">
        <v>130</v>
      </c>
      <c r="BK192" s="0" t="s">
        <v>130</v>
      </c>
      <c r="BL192" s="0" t="s">
        <v>130</v>
      </c>
      <c r="BM192" s="0" t="s">
        <v>130</v>
      </c>
      <c r="BN192" s="0" t="s">
        <v>130</v>
      </c>
      <c r="BO192" s="0" t="s">
        <v>130</v>
      </c>
      <c r="BP192" s="0" t="s">
        <v>130</v>
      </c>
      <c r="BQ192" s="0" t="s">
        <v>130</v>
      </c>
      <c r="BR192" s="0" t="s">
        <v>130</v>
      </c>
      <c r="BS192" s="0" t="s">
        <v>130</v>
      </c>
      <c r="BT192" s="0" t="s">
        <v>130</v>
      </c>
      <c r="BU192" s="0" t="s">
        <v>130</v>
      </c>
      <c r="BV192" s="0" t="s">
        <v>130</v>
      </c>
      <c r="BW192" s="0" t="s">
        <v>130</v>
      </c>
      <c r="BX192" s="0" t="s">
        <v>130</v>
      </c>
      <c r="BY192" s="0" t="s">
        <v>130</v>
      </c>
      <c r="BZ192" s="0" t="s">
        <v>130</v>
      </c>
      <c r="CA192" s="0" t="s">
        <v>130</v>
      </c>
      <c r="CB192" s="0" t="s">
        <v>130</v>
      </c>
      <c r="CC192" s="0" t="s">
        <v>130</v>
      </c>
      <c r="CD192" s="0" t="s">
        <v>130</v>
      </c>
      <c r="CE192" s="0" t="s">
        <v>130</v>
      </c>
      <c r="CF192" s="0" t="s">
        <v>130</v>
      </c>
      <c r="CG192" s="0" t="s">
        <v>130</v>
      </c>
      <c r="CH192" s="0" t="s">
        <v>130</v>
      </c>
      <c r="CI192" s="0" t="s">
        <v>130</v>
      </c>
      <c r="CJ192" s="0" t="s">
        <v>130</v>
      </c>
      <c r="CK192" s="0" t="s">
        <v>130</v>
      </c>
      <c r="CL192" s="0" t="s">
        <v>130</v>
      </c>
      <c r="CM192" s="0" t="s">
        <v>130</v>
      </c>
      <c r="CN192" s="0" t="s">
        <v>130</v>
      </c>
      <c r="CO192" s="0" t="s">
        <v>130</v>
      </c>
      <c r="CP192" s="0" t="s">
        <v>130</v>
      </c>
      <c r="CQ192" s="0" t="s">
        <v>130</v>
      </c>
      <c r="CR192" s="0" t="s">
        <v>130</v>
      </c>
      <c r="CS192" s="0" t="s">
        <v>130</v>
      </c>
      <c r="CT192" s="0" t="s">
        <v>833</v>
      </c>
    </row>
    <row r="193">
      <c r="A193" s="14">
        <v>100602</v>
      </c>
      <c r="B193" s="0" t="s">
        <v>827</v>
      </c>
      <c r="C193" s="16">
        <f>HYPERLINK("https://eosportal.federatedhermes.com/companies/Q29tcGFueQppNTQxNzY=", "Ford Motor Co")</f>
      </c>
      <c r="D193" s="0" t="s">
        <v>25</v>
      </c>
      <c r="E193" s="0" t="s">
        <v>834</v>
      </c>
      <c r="F193" s="16">
        <f>HYPERLINK("https://eosportal.federatedhermes.com/engagements/RW5nYWdlbWVudAppMTkxMzI=", "Volkswagen emissions scandal")</f>
      </c>
      <c r="G193" s="14" t="s">
        <v>835</v>
      </c>
      <c r="H193" s="0" t="s">
        <v>141</v>
      </c>
      <c r="I193" s="14" t="s">
        <v>191</v>
      </c>
      <c r="J193" s="0" t="s">
        <v>153</v>
      </c>
      <c r="K193" s="0" t="s">
        <v>185</v>
      </c>
      <c r="L193" s="0" t="s">
        <v>186</v>
      </c>
      <c r="M193" s="0" t="s">
        <v>135</v>
      </c>
      <c r="N193" s="0" t="s">
        <v>136</v>
      </c>
      <c r="O193" s="0" t="s">
        <v>425</v>
      </c>
      <c r="Q193" s="0" t="s">
        <v>130</v>
      </c>
      <c r="R193" s="0" t="s">
        <v>138</v>
      </c>
      <c r="S193" s="14">
        <v>0</v>
      </c>
      <c r="T193" s="0" t="s">
        <v>200</v>
      </c>
      <c r="U193" s="0" t="s">
        <v>138</v>
      </c>
      <c r="V193" s="14" t="s">
        <v>138</v>
      </c>
      <c r="W193" s="0" t="s">
        <v>138</v>
      </c>
      <c r="X193" s="14" t="s">
        <v>138</v>
      </c>
      <c r="Y193" s="0" t="s">
        <v>138</v>
      </c>
      <c r="Z193" s="14" t="s">
        <v>138</v>
      </c>
      <c r="AA193" s="0" t="s">
        <v>138</v>
      </c>
      <c r="AB193" s="14" t="s">
        <v>138</v>
      </c>
      <c r="AD193" s="0" t="s">
        <v>138</v>
      </c>
      <c r="AF193" s="0">
        <v>0</v>
      </c>
      <c r="AG193" s="0">
        <v>0</v>
      </c>
      <c r="AH193" s="0" t="s">
        <v>140</v>
      </c>
      <c r="AI193" s="0" t="s">
        <v>138</v>
      </c>
      <c r="AL193" s="14"/>
      <c r="AN193" s="14"/>
      <c r="AQ193" s="0" t="s">
        <v>130</v>
      </c>
      <c r="AR193" s="0" t="s">
        <v>130</v>
      </c>
      <c r="AS193" s="0" t="s">
        <v>130</v>
      </c>
      <c r="AT193" s="0" t="s">
        <v>130</v>
      </c>
      <c r="AU193" s="0" t="s">
        <v>130</v>
      </c>
      <c r="AV193" s="0" t="s">
        <v>130</v>
      </c>
      <c r="AW193" s="0" t="s">
        <v>130</v>
      </c>
      <c r="AX193" s="0" t="s">
        <v>130</v>
      </c>
      <c r="AY193" s="0" t="s">
        <v>130</v>
      </c>
      <c r="AZ193" s="0" t="s">
        <v>130</v>
      </c>
      <c r="BA193" s="0" t="s">
        <v>130</v>
      </c>
      <c r="BB193" s="0" t="s">
        <v>130</v>
      </c>
      <c r="BC193" s="0" t="s">
        <v>130</v>
      </c>
      <c r="BD193" s="0" t="s">
        <v>130</v>
      </c>
      <c r="BE193" s="0" t="s">
        <v>130</v>
      </c>
      <c r="BF193" s="0" t="s">
        <v>130</v>
      </c>
      <c r="BG193" s="0" t="s">
        <v>130</v>
      </c>
      <c r="BH193" s="0" t="s">
        <v>130</v>
      </c>
      <c r="BI193" s="0" t="s">
        <v>130</v>
      </c>
      <c r="BJ193" s="0" t="s">
        <v>130</v>
      </c>
      <c r="BK193" s="0" t="s">
        <v>130</v>
      </c>
      <c r="BL193" s="0" t="s">
        <v>130</v>
      </c>
      <c r="BM193" s="0" t="s">
        <v>130</v>
      </c>
      <c r="BN193" s="0" t="s">
        <v>130</v>
      </c>
      <c r="BO193" s="0" t="s">
        <v>130</v>
      </c>
      <c r="BP193" s="0" t="s">
        <v>130</v>
      </c>
      <c r="BQ193" s="0" t="s">
        <v>130</v>
      </c>
      <c r="BR193" s="0" t="s">
        <v>130</v>
      </c>
      <c r="BS193" s="0" t="s">
        <v>130</v>
      </c>
      <c r="BT193" s="0" t="s">
        <v>130</v>
      </c>
      <c r="BU193" s="0" t="s">
        <v>130</v>
      </c>
      <c r="BV193" s="0" t="s">
        <v>130</v>
      </c>
      <c r="BW193" s="0" t="s">
        <v>130</v>
      </c>
      <c r="BX193" s="0" t="s">
        <v>130</v>
      </c>
      <c r="BY193" s="0" t="s">
        <v>130</v>
      </c>
      <c r="BZ193" s="0" t="s">
        <v>130</v>
      </c>
      <c r="CA193" s="0" t="s">
        <v>130</v>
      </c>
      <c r="CB193" s="0" t="s">
        <v>130</v>
      </c>
      <c r="CC193" s="0" t="s">
        <v>130</v>
      </c>
      <c r="CD193" s="0" t="s">
        <v>130</v>
      </c>
      <c r="CE193" s="0" t="s">
        <v>130</v>
      </c>
      <c r="CF193" s="0" t="s">
        <v>130</v>
      </c>
      <c r="CG193" s="0" t="s">
        <v>130</v>
      </c>
      <c r="CH193" s="0" t="s">
        <v>130</v>
      </c>
      <c r="CI193" s="0" t="s">
        <v>130</v>
      </c>
      <c r="CJ193" s="0" t="s">
        <v>130</v>
      </c>
      <c r="CK193" s="0" t="s">
        <v>130</v>
      </c>
      <c r="CL193" s="0" t="s">
        <v>130</v>
      </c>
      <c r="CM193" s="0" t="s">
        <v>130</v>
      </c>
      <c r="CN193" s="0" t="s">
        <v>130</v>
      </c>
      <c r="CO193" s="0" t="s">
        <v>130</v>
      </c>
      <c r="CP193" s="0" t="s">
        <v>130</v>
      </c>
      <c r="CQ193" s="0" t="s">
        <v>130</v>
      </c>
      <c r="CR193" s="0" t="s">
        <v>130</v>
      </c>
      <c r="CS193" s="0" t="s">
        <v>130</v>
      </c>
      <c r="CT193" s="0" t="s">
        <v>836</v>
      </c>
    </row>
    <row r="194">
      <c r="A194" s="14">
        <v>100602</v>
      </c>
      <c r="B194" s="0" t="s">
        <v>827</v>
      </c>
      <c r="C194" s="16">
        <f>HYPERLINK("https://eosportal.federatedhermes.com/companies/Q29tcGFueQppNTQxNzY=", "Ford Motor Co")</f>
      </c>
      <c r="D194" s="0" t="s">
        <v>25</v>
      </c>
      <c r="E194" s="0" t="s">
        <v>725</v>
      </c>
      <c r="F194" s="16">
        <f>HYPERLINK("https://eosportal.federatedhermes.com/engagements/RW5nYWdlbWVudAppMTkxMzQ=", "Improve alignment between executive pay and performance")</f>
      </c>
      <c r="G194" s="14" t="s">
        <v>837</v>
      </c>
      <c r="H194" s="0" t="s">
        <v>141</v>
      </c>
      <c r="I194" s="14" t="s">
        <v>191</v>
      </c>
      <c r="J194" s="0" t="s">
        <v>145</v>
      </c>
      <c r="K194" s="0" t="s">
        <v>146</v>
      </c>
      <c r="L194" s="0" t="s">
        <v>147</v>
      </c>
      <c r="M194" s="0" t="s">
        <v>135</v>
      </c>
      <c r="N194" s="0" t="s">
        <v>136</v>
      </c>
      <c r="O194" s="0" t="s">
        <v>425</v>
      </c>
      <c r="Q194" s="0" t="s">
        <v>130</v>
      </c>
      <c r="R194" s="0" t="s">
        <v>138</v>
      </c>
      <c r="S194" s="14">
        <v>0</v>
      </c>
      <c r="T194" s="0" t="s">
        <v>181</v>
      </c>
      <c r="U194" s="0" t="s">
        <v>138</v>
      </c>
      <c r="V194" s="14" t="s">
        <v>138</v>
      </c>
      <c r="W194" s="0" t="s">
        <v>138</v>
      </c>
      <c r="X194" s="14" t="s">
        <v>138</v>
      </c>
      <c r="Y194" s="0" t="s">
        <v>138</v>
      </c>
      <c r="Z194" s="14" t="s">
        <v>138</v>
      </c>
      <c r="AA194" s="0" t="s">
        <v>138</v>
      </c>
      <c r="AB194" s="14" t="s">
        <v>138</v>
      </c>
      <c r="AD194" s="0" t="s">
        <v>138</v>
      </c>
      <c r="AF194" s="0">
        <v>0</v>
      </c>
      <c r="AG194" s="0">
        <v>0</v>
      </c>
      <c r="AH194" s="0" t="s">
        <v>140</v>
      </c>
      <c r="AI194" s="0" t="s">
        <v>138</v>
      </c>
      <c r="AL194" s="14"/>
      <c r="AN194" s="14"/>
      <c r="AQ194" s="0" t="s">
        <v>130</v>
      </c>
      <c r="AR194" s="0" t="s">
        <v>130</v>
      </c>
      <c r="AS194" s="0" t="s">
        <v>130</v>
      </c>
      <c r="AT194" s="0" t="s">
        <v>130</v>
      </c>
      <c r="AU194" s="0" t="s">
        <v>130</v>
      </c>
      <c r="AV194" s="0" t="s">
        <v>130</v>
      </c>
      <c r="AW194" s="0" t="s">
        <v>130</v>
      </c>
      <c r="AX194" s="0" t="s">
        <v>130</v>
      </c>
      <c r="AY194" s="0" t="s">
        <v>130</v>
      </c>
      <c r="AZ194" s="0" t="s">
        <v>130</v>
      </c>
      <c r="BA194" s="0" t="s">
        <v>130</v>
      </c>
      <c r="BB194" s="0" t="s">
        <v>130</v>
      </c>
      <c r="BC194" s="0" t="s">
        <v>130</v>
      </c>
      <c r="BD194" s="0" t="s">
        <v>130</v>
      </c>
      <c r="BE194" s="0" t="s">
        <v>130</v>
      </c>
      <c r="BF194" s="0" t="s">
        <v>130</v>
      </c>
      <c r="BG194" s="0" t="s">
        <v>130</v>
      </c>
      <c r="BH194" s="0" t="s">
        <v>130</v>
      </c>
      <c r="BI194" s="0" t="s">
        <v>130</v>
      </c>
      <c r="BJ194" s="0" t="s">
        <v>130</v>
      </c>
      <c r="BK194" s="0" t="s">
        <v>130</v>
      </c>
      <c r="BL194" s="0" t="s">
        <v>130</v>
      </c>
      <c r="BM194" s="0" t="s">
        <v>130</v>
      </c>
      <c r="BN194" s="0" t="s">
        <v>130</v>
      </c>
      <c r="BO194" s="0" t="s">
        <v>130</v>
      </c>
      <c r="BP194" s="0" t="s">
        <v>130</v>
      </c>
      <c r="BQ194" s="0" t="s">
        <v>130</v>
      </c>
      <c r="BR194" s="0" t="s">
        <v>130</v>
      </c>
      <c r="BS194" s="0" t="s">
        <v>130</v>
      </c>
      <c r="BT194" s="0" t="s">
        <v>130</v>
      </c>
      <c r="BU194" s="0" t="s">
        <v>130</v>
      </c>
      <c r="BV194" s="0" t="s">
        <v>130</v>
      </c>
      <c r="BW194" s="0" t="s">
        <v>130</v>
      </c>
      <c r="BX194" s="0" t="s">
        <v>130</v>
      </c>
      <c r="BY194" s="0" t="s">
        <v>130</v>
      </c>
      <c r="BZ194" s="0" t="s">
        <v>130</v>
      </c>
      <c r="CA194" s="0" t="s">
        <v>130</v>
      </c>
      <c r="CB194" s="0" t="s">
        <v>130</v>
      </c>
      <c r="CC194" s="0" t="s">
        <v>130</v>
      </c>
      <c r="CD194" s="0" t="s">
        <v>130</v>
      </c>
      <c r="CE194" s="0" t="s">
        <v>130</v>
      </c>
      <c r="CF194" s="0" t="s">
        <v>130</v>
      </c>
      <c r="CG194" s="0" t="s">
        <v>130</v>
      </c>
      <c r="CH194" s="0" t="s">
        <v>130</v>
      </c>
      <c r="CI194" s="0" t="s">
        <v>130</v>
      </c>
      <c r="CJ194" s="0" t="s">
        <v>130</v>
      </c>
      <c r="CK194" s="0" t="s">
        <v>130</v>
      </c>
      <c r="CL194" s="0" t="s">
        <v>130</v>
      </c>
      <c r="CM194" s="0" t="s">
        <v>130</v>
      </c>
      <c r="CN194" s="0" t="s">
        <v>130</v>
      </c>
      <c r="CO194" s="0" t="s">
        <v>130</v>
      </c>
      <c r="CP194" s="0" t="s">
        <v>130</v>
      </c>
      <c r="CQ194" s="0" t="s">
        <v>130</v>
      </c>
      <c r="CR194" s="0" t="s">
        <v>130</v>
      </c>
      <c r="CS194" s="0" t="s">
        <v>130</v>
      </c>
      <c r="CT194" s="0" t="s">
        <v>838</v>
      </c>
    </row>
    <row r="195">
      <c r="A195" s="14">
        <v>100602</v>
      </c>
      <c r="B195" s="0" t="s">
        <v>827</v>
      </c>
      <c r="C195" s="16">
        <f>HYPERLINK("https://eosportal.federatedhermes.com/companies/Q29tcGFueQppNTQxNzY=", "Ford Motor Co")</f>
      </c>
      <c r="D195" s="0" t="s">
        <v>25</v>
      </c>
      <c r="E195" s="0" t="s">
        <v>839</v>
      </c>
      <c r="F195" s="16">
        <f>HYPERLINK("https://eosportal.federatedhermes.com/engagements/RW5nYWdlbWVudAppMTkxMzU=", "Climate change strategy")</f>
      </c>
      <c r="G195" s="14" t="s">
        <v>840</v>
      </c>
      <c r="H195" s="0" t="s">
        <v>141</v>
      </c>
      <c r="I195" s="14" t="s">
        <v>191</v>
      </c>
      <c r="J195" s="0" t="s">
        <v>197</v>
      </c>
      <c r="K195" s="0" t="s">
        <v>198</v>
      </c>
      <c r="L195" s="0" t="s">
        <v>220</v>
      </c>
      <c r="M195" s="0" t="s">
        <v>135</v>
      </c>
      <c r="N195" s="0" t="s">
        <v>136</v>
      </c>
      <c r="O195" s="0" t="s">
        <v>425</v>
      </c>
      <c r="Q195" s="0" t="s">
        <v>130</v>
      </c>
      <c r="R195" s="0" t="s">
        <v>138</v>
      </c>
      <c r="S195" s="14">
        <v>0</v>
      </c>
      <c r="T195" s="0" t="s">
        <v>249</v>
      </c>
      <c r="U195" s="0" t="s">
        <v>138</v>
      </c>
      <c r="V195" s="14" t="s">
        <v>138</v>
      </c>
      <c r="W195" s="0" t="s">
        <v>138</v>
      </c>
      <c r="X195" s="14" t="s">
        <v>138</v>
      </c>
      <c r="Y195" s="0" t="s">
        <v>138</v>
      </c>
      <c r="Z195" s="14" t="s">
        <v>138</v>
      </c>
      <c r="AA195" s="0" t="s">
        <v>138</v>
      </c>
      <c r="AB195" s="14" t="s">
        <v>138</v>
      </c>
      <c r="AD195" s="0" t="s">
        <v>138</v>
      </c>
      <c r="AF195" s="0">
        <v>0</v>
      </c>
      <c r="AG195" s="0">
        <v>0</v>
      </c>
      <c r="AH195" s="0" t="s">
        <v>140</v>
      </c>
      <c r="AI195" s="0" t="s">
        <v>138</v>
      </c>
      <c r="AL195" s="14"/>
      <c r="AN195" s="14"/>
      <c r="AQ195" s="0" t="s">
        <v>130</v>
      </c>
      <c r="AR195" s="0" t="s">
        <v>130</v>
      </c>
      <c r="AS195" s="0" t="s">
        <v>130</v>
      </c>
      <c r="AT195" s="0" t="s">
        <v>130</v>
      </c>
      <c r="AU195" s="0" t="s">
        <v>130</v>
      </c>
      <c r="AV195" s="0" t="s">
        <v>130</v>
      </c>
      <c r="AW195" s="0" t="s">
        <v>141</v>
      </c>
      <c r="AX195" s="0" t="s">
        <v>130</v>
      </c>
      <c r="AY195" s="0" t="s">
        <v>141</v>
      </c>
      <c r="AZ195" s="0" t="s">
        <v>130</v>
      </c>
      <c r="BA195" s="0" t="s">
        <v>130</v>
      </c>
      <c r="BB195" s="0" t="s">
        <v>130</v>
      </c>
      <c r="BC195" s="0" t="s">
        <v>141</v>
      </c>
      <c r="BD195" s="0" t="s">
        <v>130</v>
      </c>
      <c r="BE195" s="0" t="s">
        <v>130</v>
      </c>
      <c r="BF195" s="0" t="s">
        <v>130</v>
      </c>
      <c r="BG195" s="0" t="s">
        <v>130</v>
      </c>
      <c r="BH195" s="0" t="s">
        <v>130</v>
      </c>
      <c r="BI195" s="0" t="s">
        <v>130</v>
      </c>
      <c r="BJ195" s="0" t="s">
        <v>130</v>
      </c>
      <c r="BK195" s="0" t="s">
        <v>130</v>
      </c>
      <c r="BL195" s="0" t="s">
        <v>130</v>
      </c>
      <c r="BM195" s="0" t="s">
        <v>130</v>
      </c>
      <c r="BN195" s="0" t="s">
        <v>130</v>
      </c>
      <c r="BO195" s="0" t="s">
        <v>130</v>
      </c>
      <c r="BP195" s="0" t="s">
        <v>130</v>
      </c>
      <c r="BQ195" s="0" t="s">
        <v>130</v>
      </c>
      <c r="BR195" s="0" t="s">
        <v>130</v>
      </c>
      <c r="BS195" s="0" t="s">
        <v>130</v>
      </c>
      <c r="BT195" s="0" t="s">
        <v>130</v>
      </c>
      <c r="BU195" s="0" t="s">
        <v>130</v>
      </c>
      <c r="BV195" s="0" t="s">
        <v>130</v>
      </c>
      <c r="BW195" s="0" t="s">
        <v>130</v>
      </c>
      <c r="BX195" s="0" t="s">
        <v>130</v>
      </c>
      <c r="BY195" s="0" t="s">
        <v>130</v>
      </c>
      <c r="BZ195" s="0" t="s">
        <v>130</v>
      </c>
      <c r="CA195" s="0" t="s">
        <v>130</v>
      </c>
      <c r="CB195" s="0" t="s">
        <v>130</v>
      </c>
      <c r="CC195" s="0" t="s">
        <v>130</v>
      </c>
      <c r="CD195" s="0" t="s">
        <v>130</v>
      </c>
      <c r="CE195" s="0" t="s">
        <v>130</v>
      </c>
      <c r="CF195" s="0" t="s">
        <v>130</v>
      </c>
      <c r="CG195" s="0" t="s">
        <v>130</v>
      </c>
      <c r="CH195" s="0" t="s">
        <v>130</v>
      </c>
      <c r="CI195" s="0" t="s">
        <v>130</v>
      </c>
      <c r="CJ195" s="0" t="s">
        <v>130</v>
      </c>
      <c r="CK195" s="0" t="s">
        <v>130</v>
      </c>
      <c r="CL195" s="0" t="s">
        <v>130</v>
      </c>
      <c r="CM195" s="0" t="s">
        <v>130</v>
      </c>
      <c r="CN195" s="0" t="s">
        <v>130</v>
      </c>
      <c r="CO195" s="0" t="s">
        <v>130</v>
      </c>
      <c r="CP195" s="0" t="s">
        <v>130</v>
      </c>
      <c r="CQ195" s="0" t="s">
        <v>130</v>
      </c>
      <c r="CR195" s="0" t="s">
        <v>130</v>
      </c>
      <c r="CS195" s="0" t="s">
        <v>130</v>
      </c>
      <c r="CT195" s="0" t="s">
        <v>841</v>
      </c>
    </row>
    <row r="196">
      <c r="A196" s="14">
        <v>100602</v>
      </c>
      <c r="B196" s="0" t="s">
        <v>827</v>
      </c>
      <c r="C196" s="16">
        <f>HYPERLINK("https://eosportal.federatedhermes.com/companies/Q29tcGFueQppNTQxNzY=", "Ford Motor Co")</f>
      </c>
      <c r="D196" s="0" t="s">
        <v>23</v>
      </c>
      <c r="E196" s="0" t="s">
        <v>842</v>
      </c>
      <c r="F196" s="16">
        <f>HYPERLINK("https://eosportal.federatedhermes.com/engagements/RW5nYWdlbWVudAppMTkxMzk=", "Reporting of progress against strategy")</f>
      </c>
      <c r="G196" s="14" t="s">
        <v>843</v>
      </c>
      <c r="H196" s="0" t="s">
        <v>141</v>
      </c>
      <c r="I196" s="14" t="s">
        <v>191</v>
      </c>
      <c r="J196" s="0" t="s">
        <v>197</v>
      </c>
      <c r="K196" s="0" t="s">
        <v>198</v>
      </c>
      <c r="L196" s="0" t="s">
        <v>220</v>
      </c>
      <c r="M196" s="0" t="s">
        <v>135</v>
      </c>
      <c r="N196" s="0" t="s">
        <v>136</v>
      </c>
      <c r="O196" s="0" t="s">
        <v>425</v>
      </c>
      <c r="Q196" s="0" t="s">
        <v>130</v>
      </c>
      <c r="R196" s="0" t="s">
        <v>130</v>
      </c>
      <c r="S196" s="14">
        <v>0</v>
      </c>
      <c r="T196" s="0" t="s">
        <v>583</v>
      </c>
      <c r="U196" s="0" t="s">
        <v>221</v>
      </c>
      <c r="V196" s="14" t="s">
        <v>583</v>
      </c>
      <c r="W196" s="0" t="s">
        <v>221</v>
      </c>
      <c r="X196" s="14" t="s">
        <v>478</v>
      </c>
      <c r="Y196" s="0" t="s">
        <v>223</v>
      </c>
      <c r="Z196" s="14" t="s">
        <v>138</v>
      </c>
      <c r="AA196" s="0" t="s">
        <v>224</v>
      </c>
      <c r="AB196" s="14" t="s">
        <v>138</v>
      </c>
      <c r="AD196" s="0" t="s">
        <v>17</v>
      </c>
      <c r="AF196" s="0">
        <v>0</v>
      </c>
      <c r="AG196" s="0">
        <v>0</v>
      </c>
      <c r="AH196" s="0" t="s">
        <v>140</v>
      </c>
      <c r="AI196" s="0" t="s">
        <v>232</v>
      </c>
      <c r="AL196" s="14"/>
      <c r="AN196" s="14"/>
      <c r="AQ196" s="0" t="s">
        <v>130</v>
      </c>
      <c r="AR196" s="0" t="s">
        <v>130</v>
      </c>
      <c r="AS196" s="0" t="s">
        <v>130</v>
      </c>
      <c r="AT196" s="0" t="s">
        <v>130</v>
      </c>
      <c r="AU196" s="0" t="s">
        <v>130</v>
      </c>
      <c r="AV196" s="0" t="s">
        <v>130</v>
      </c>
      <c r="AW196" s="0" t="s">
        <v>141</v>
      </c>
      <c r="AX196" s="0" t="s">
        <v>130</v>
      </c>
      <c r="AY196" s="0" t="s">
        <v>141</v>
      </c>
      <c r="AZ196" s="0" t="s">
        <v>130</v>
      </c>
      <c r="BA196" s="0" t="s">
        <v>130</v>
      </c>
      <c r="BB196" s="0" t="s">
        <v>130</v>
      </c>
      <c r="BC196" s="0" t="s">
        <v>141</v>
      </c>
      <c r="BD196" s="0" t="s">
        <v>130</v>
      </c>
      <c r="BE196" s="0" t="s">
        <v>130</v>
      </c>
      <c r="BF196" s="0" t="s">
        <v>130</v>
      </c>
      <c r="BG196" s="0" t="s">
        <v>130</v>
      </c>
      <c r="BH196" s="0" t="s">
        <v>130</v>
      </c>
      <c r="BI196" s="0" t="s">
        <v>130</v>
      </c>
      <c r="BJ196" s="0" t="s">
        <v>130</v>
      </c>
      <c r="BK196" s="0" t="s">
        <v>130</v>
      </c>
      <c r="BL196" s="0" t="s">
        <v>130</v>
      </c>
      <c r="BM196" s="0" t="s">
        <v>130</v>
      </c>
      <c r="BN196" s="0" t="s">
        <v>130</v>
      </c>
      <c r="BO196" s="0" t="s">
        <v>130</v>
      </c>
      <c r="BP196" s="0" t="s">
        <v>130</v>
      </c>
      <c r="BQ196" s="0" t="s">
        <v>130</v>
      </c>
      <c r="BR196" s="0" t="s">
        <v>130</v>
      </c>
      <c r="BS196" s="0" t="s">
        <v>130</v>
      </c>
      <c r="BT196" s="0" t="s">
        <v>130</v>
      </c>
      <c r="BU196" s="0" t="s">
        <v>130</v>
      </c>
      <c r="BV196" s="0" t="s">
        <v>130</v>
      </c>
      <c r="BW196" s="0" t="s">
        <v>130</v>
      </c>
      <c r="BX196" s="0" t="s">
        <v>130</v>
      </c>
      <c r="BY196" s="0" t="s">
        <v>130</v>
      </c>
      <c r="BZ196" s="0" t="s">
        <v>130</v>
      </c>
      <c r="CA196" s="0" t="s">
        <v>130</v>
      </c>
      <c r="CB196" s="0" t="s">
        <v>130</v>
      </c>
      <c r="CC196" s="0" t="s">
        <v>130</v>
      </c>
      <c r="CD196" s="0" t="s">
        <v>130</v>
      </c>
      <c r="CE196" s="0" t="s">
        <v>130</v>
      </c>
      <c r="CF196" s="0" t="s">
        <v>130</v>
      </c>
      <c r="CG196" s="0" t="s">
        <v>130</v>
      </c>
      <c r="CH196" s="0" t="s">
        <v>130</v>
      </c>
      <c r="CI196" s="0" t="s">
        <v>130</v>
      </c>
      <c r="CJ196" s="0" t="s">
        <v>130</v>
      </c>
      <c r="CK196" s="0" t="s">
        <v>130</v>
      </c>
      <c r="CL196" s="0" t="s">
        <v>130</v>
      </c>
      <c r="CM196" s="0" t="s">
        <v>130</v>
      </c>
      <c r="CN196" s="0" t="s">
        <v>130</v>
      </c>
      <c r="CO196" s="0" t="s">
        <v>130</v>
      </c>
      <c r="CP196" s="0" t="s">
        <v>130</v>
      </c>
      <c r="CQ196" s="0" t="s">
        <v>130</v>
      </c>
      <c r="CR196" s="0" t="s">
        <v>130</v>
      </c>
      <c r="CS196" s="0" t="s">
        <v>130</v>
      </c>
      <c r="CT196" s="0" t="s">
        <v>844</v>
      </c>
    </row>
    <row r="197">
      <c r="A197" s="14">
        <v>100602</v>
      </c>
      <c r="B197" s="0" t="s">
        <v>827</v>
      </c>
      <c r="C197" s="16">
        <f>HYPERLINK("https://eosportal.federatedhermes.com/companies/Q29tcGFueQppNTQxNzY=", "Ford Motor Co")</f>
      </c>
      <c r="D197" s="0" t="s">
        <v>23</v>
      </c>
      <c r="E197" s="0" t="s">
        <v>845</v>
      </c>
      <c r="F197" s="16">
        <f>HYPERLINK("https://eosportal.federatedhermes.com/engagements/RW5nYWdlbWVudAppMTkxNDA=", "Workforce training strategy")</f>
      </c>
      <c r="G197" s="14" t="s">
        <v>846</v>
      </c>
      <c r="H197" s="0" t="s">
        <v>141</v>
      </c>
      <c r="I197" s="14" t="s">
        <v>191</v>
      </c>
      <c r="J197" s="0" t="s">
        <v>153</v>
      </c>
      <c r="K197" s="0" t="s">
        <v>154</v>
      </c>
      <c r="L197" s="0" t="s">
        <v>268</v>
      </c>
      <c r="M197" s="0" t="s">
        <v>135</v>
      </c>
      <c r="N197" s="0" t="s">
        <v>136</v>
      </c>
      <c r="O197" s="0" t="s">
        <v>425</v>
      </c>
      <c r="Q197" s="0" t="s">
        <v>141</v>
      </c>
      <c r="R197" s="0" t="s">
        <v>130</v>
      </c>
      <c r="S197" s="14">
        <v>1</v>
      </c>
      <c r="T197" s="0" t="s">
        <v>583</v>
      </c>
      <c r="U197" s="0" t="s">
        <v>221</v>
      </c>
      <c r="V197" s="14" t="s">
        <v>583</v>
      </c>
      <c r="W197" s="0" t="s">
        <v>221</v>
      </c>
      <c r="X197" s="14" t="s">
        <v>446</v>
      </c>
      <c r="Y197" s="0" t="s">
        <v>221</v>
      </c>
      <c r="Z197" s="14" t="s">
        <v>446</v>
      </c>
      <c r="AA197" s="0" t="s">
        <v>223</v>
      </c>
      <c r="AB197" s="14" t="s">
        <v>138</v>
      </c>
      <c r="AD197" s="0" t="s">
        <v>20</v>
      </c>
      <c r="AF197" s="0">
        <v>0</v>
      </c>
      <c r="AG197" s="0">
        <v>0</v>
      </c>
      <c r="AH197" s="0" t="s">
        <v>140</v>
      </c>
      <c r="AI197" s="0" t="s">
        <v>479</v>
      </c>
      <c r="AK197" s="0" t="s">
        <v>847</v>
      </c>
      <c r="AL197" s="14"/>
      <c r="AN197" s="14"/>
      <c r="AQ197" s="0" t="s">
        <v>130</v>
      </c>
      <c r="AR197" s="0" t="s">
        <v>130</v>
      </c>
      <c r="AS197" s="0" t="s">
        <v>130</v>
      </c>
      <c r="AT197" s="0" t="s">
        <v>130</v>
      </c>
      <c r="AU197" s="0" t="s">
        <v>130</v>
      </c>
      <c r="AV197" s="0" t="s">
        <v>130</v>
      </c>
      <c r="AW197" s="0" t="s">
        <v>130</v>
      </c>
      <c r="AX197" s="0" t="s">
        <v>130</v>
      </c>
      <c r="AY197" s="0" t="s">
        <v>130</v>
      </c>
      <c r="AZ197" s="0" t="s">
        <v>130</v>
      </c>
      <c r="BA197" s="0" t="s">
        <v>130</v>
      </c>
      <c r="BB197" s="0" t="s">
        <v>130</v>
      </c>
      <c r="BC197" s="0" t="s">
        <v>130</v>
      </c>
      <c r="BD197" s="0" t="s">
        <v>130</v>
      </c>
      <c r="BE197" s="0" t="s">
        <v>130</v>
      </c>
      <c r="BF197" s="0" t="s">
        <v>130</v>
      </c>
      <c r="BG197" s="0" t="s">
        <v>130</v>
      </c>
      <c r="BH197" s="0" t="s">
        <v>130</v>
      </c>
      <c r="BI197" s="0" t="s">
        <v>130</v>
      </c>
      <c r="BJ197" s="0" t="s">
        <v>130</v>
      </c>
      <c r="BK197" s="0" t="s">
        <v>130</v>
      </c>
      <c r="BL197" s="0" t="s">
        <v>130</v>
      </c>
      <c r="BM197" s="0" t="s">
        <v>130</v>
      </c>
      <c r="BN197" s="0" t="s">
        <v>130</v>
      </c>
      <c r="BO197" s="0" t="s">
        <v>130</v>
      </c>
      <c r="BP197" s="0" t="s">
        <v>130</v>
      </c>
      <c r="BQ197" s="0" t="s">
        <v>130</v>
      </c>
      <c r="BR197" s="0" t="s">
        <v>130</v>
      </c>
      <c r="BS197" s="0" t="s">
        <v>130</v>
      </c>
      <c r="BT197" s="0" t="s">
        <v>130</v>
      </c>
      <c r="BU197" s="0" t="s">
        <v>130</v>
      </c>
      <c r="BV197" s="0" t="s">
        <v>130</v>
      </c>
      <c r="BW197" s="0" t="s">
        <v>130</v>
      </c>
      <c r="BX197" s="0" t="s">
        <v>130</v>
      </c>
      <c r="BY197" s="0" t="s">
        <v>130</v>
      </c>
      <c r="BZ197" s="0" t="s">
        <v>130</v>
      </c>
      <c r="CA197" s="0" t="s">
        <v>130</v>
      </c>
      <c r="CB197" s="0" t="s">
        <v>130</v>
      </c>
      <c r="CC197" s="0" t="s">
        <v>130</v>
      </c>
      <c r="CD197" s="0" t="s">
        <v>130</v>
      </c>
      <c r="CE197" s="0" t="s">
        <v>130</v>
      </c>
      <c r="CF197" s="0" t="s">
        <v>130</v>
      </c>
      <c r="CG197" s="0" t="s">
        <v>130</v>
      </c>
      <c r="CH197" s="0" t="s">
        <v>130</v>
      </c>
      <c r="CI197" s="0" t="s">
        <v>130</v>
      </c>
      <c r="CJ197" s="0" t="s">
        <v>130</v>
      </c>
      <c r="CK197" s="0" t="s">
        <v>141</v>
      </c>
      <c r="CL197" s="0" t="s">
        <v>130</v>
      </c>
      <c r="CM197" s="0" t="s">
        <v>130</v>
      </c>
      <c r="CN197" s="0" t="s">
        <v>130</v>
      </c>
      <c r="CO197" s="0" t="s">
        <v>130</v>
      </c>
      <c r="CP197" s="0" t="s">
        <v>130</v>
      </c>
      <c r="CQ197" s="0" t="s">
        <v>130</v>
      </c>
      <c r="CR197" s="0" t="s">
        <v>130</v>
      </c>
      <c r="CS197" s="0" t="s">
        <v>130</v>
      </c>
      <c r="CT197" s="0" t="s">
        <v>848</v>
      </c>
    </row>
    <row r="198">
      <c r="A198" s="14">
        <v>100602</v>
      </c>
      <c r="B198" s="0" t="s">
        <v>827</v>
      </c>
      <c r="C198" s="16">
        <f>HYPERLINK("https://eosportal.federatedhermes.com/companies/Q29tcGFueQppNTQxNzY=", "Ford Motor Co")</f>
      </c>
      <c r="D198" s="0" t="s">
        <v>25</v>
      </c>
      <c r="E198" s="0" t="s">
        <v>849</v>
      </c>
      <c r="F198" s="16">
        <f>HYPERLINK("https://eosportal.federatedhermes.com/engagements/RW5nYWdlbWVudAppMTkxNDI=", "Restructuring and profitability")</f>
      </c>
      <c r="G198" s="14" t="s">
        <v>850</v>
      </c>
      <c r="H198" s="0" t="s">
        <v>141</v>
      </c>
      <c r="I198" s="14" t="s">
        <v>191</v>
      </c>
      <c r="J198" s="0" t="s">
        <v>132</v>
      </c>
      <c r="K198" s="0" t="s">
        <v>133</v>
      </c>
      <c r="L198" s="0" t="s">
        <v>160</v>
      </c>
      <c r="M198" s="0" t="s">
        <v>135</v>
      </c>
      <c r="N198" s="0" t="s">
        <v>136</v>
      </c>
      <c r="O198" s="0" t="s">
        <v>425</v>
      </c>
      <c r="Q198" s="0" t="s">
        <v>130</v>
      </c>
      <c r="R198" s="0" t="s">
        <v>138</v>
      </c>
      <c r="S198" s="14">
        <v>0</v>
      </c>
      <c r="T198" s="0" t="s">
        <v>288</v>
      </c>
      <c r="U198" s="0" t="s">
        <v>138</v>
      </c>
      <c r="V198" s="14" t="s">
        <v>138</v>
      </c>
      <c r="W198" s="0" t="s">
        <v>138</v>
      </c>
      <c r="X198" s="14" t="s">
        <v>138</v>
      </c>
      <c r="Y198" s="0" t="s">
        <v>138</v>
      </c>
      <c r="Z198" s="14" t="s">
        <v>138</v>
      </c>
      <c r="AA198" s="0" t="s">
        <v>138</v>
      </c>
      <c r="AB198" s="14" t="s">
        <v>138</v>
      </c>
      <c r="AD198" s="0" t="s">
        <v>138</v>
      </c>
      <c r="AF198" s="0">
        <v>0</v>
      </c>
      <c r="AG198" s="0">
        <v>0</v>
      </c>
      <c r="AH198" s="0" t="s">
        <v>140</v>
      </c>
      <c r="AI198" s="0" t="s">
        <v>138</v>
      </c>
      <c r="AL198" s="14"/>
      <c r="AN198" s="14"/>
      <c r="AQ198" s="0" t="s">
        <v>130</v>
      </c>
      <c r="AR198" s="0" t="s">
        <v>130</v>
      </c>
      <c r="AS198" s="0" t="s">
        <v>130</v>
      </c>
      <c r="AT198" s="0" t="s">
        <v>130</v>
      </c>
      <c r="AU198" s="0" t="s">
        <v>130</v>
      </c>
      <c r="AV198" s="0" t="s">
        <v>130</v>
      </c>
      <c r="AW198" s="0" t="s">
        <v>130</v>
      </c>
      <c r="AX198" s="0" t="s">
        <v>130</v>
      </c>
      <c r="AY198" s="0" t="s">
        <v>130</v>
      </c>
      <c r="AZ198" s="0" t="s">
        <v>130</v>
      </c>
      <c r="BA198" s="0" t="s">
        <v>130</v>
      </c>
      <c r="BB198" s="0" t="s">
        <v>130</v>
      </c>
      <c r="BC198" s="0" t="s">
        <v>141</v>
      </c>
      <c r="BD198" s="0" t="s">
        <v>130</v>
      </c>
      <c r="BE198" s="0" t="s">
        <v>130</v>
      </c>
      <c r="BF198" s="0" t="s">
        <v>130</v>
      </c>
      <c r="BG198" s="0" t="s">
        <v>130</v>
      </c>
      <c r="BH198" s="0" t="s">
        <v>130</v>
      </c>
      <c r="BI198" s="0" t="s">
        <v>130</v>
      </c>
      <c r="BJ198" s="0" t="s">
        <v>130</v>
      </c>
      <c r="BK198" s="0" t="s">
        <v>130</v>
      </c>
      <c r="BL198" s="0" t="s">
        <v>130</v>
      </c>
      <c r="BM198" s="0" t="s">
        <v>130</v>
      </c>
      <c r="BN198" s="0" t="s">
        <v>130</v>
      </c>
      <c r="BO198" s="0" t="s">
        <v>130</v>
      </c>
      <c r="BP198" s="0" t="s">
        <v>130</v>
      </c>
      <c r="BQ198" s="0" t="s">
        <v>130</v>
      </c>
      <c r="BR198" s="0" t="s">
        <v>130</v>
      </c>
      <c r="BS198" s="0" t="s">
        <v>130</v>
      </c>
      <c r="BT198" s="0" t="s">
        <v>130</v>
      </c>
      <c r="BU198" s="0" t="s">
        <v>130</v>
      </c>
      <c r="BV198" s="0" t="s">
        <v>130</v>
      </c>
      <c r="BW198" s="0" t="s">
        <v>130</v>
      </c>
      <c r="BX198" s="0" t="s">
        <v>130</v>
      </c>
      <c r="BY198" s="0" t="s">
        <v>130</v>
      </c>
      <c r="BZ198" s="0" t="s">
        <v>130</v>
      </c>
      <c r="CA198" s="0" t="s">
        <v>130</v>
      </c>
      <c r="CB198" s="0" t="s">
        <v>130</v>
      </c>
      <c r="CC198" s="0" t="s">
        <v>130</v>
      </c>
      <c r="CD198" s="0" t="s">
        <v>130</v>
      </c>
      <c r="CE198" s="0" t="s">
        <v>130</v>
      </c>
      <c r="CF198" s="0" t="s">
        <v>130</v>
      </c>
      <c r="CG198" s="0" t="s">
        <v>130</v>
      </c>
      <c r="CH198" s="0" t="s">
        <v>130</v>
      </c>
      <c r="CI198" s="0" t="s">
        <v>130</v>
      </c>
      <c r="CJ198" s="0" t="s">
        <v>130</v>
      </c>
      <c r="CK198" s="0" t="s">
        <v>130</v>
      </c>
      <c r="CL198" s="0" t="s">
        <v>130</v>
      </c>
      <c r="CM198" s="0" t="s">
        <v>130</v>
      </c>
      <c r="CN198" s="0" t="s">
        <v>130</v>
      </c>
      <c r="CO198" s="0" t="s">
        <v>130</v>
      </c>
      <c r="CP198" s="0" t="s">
        <v>130</v>
      </c>
      <c r="CQ198" s="0" t="s">
        <v>130</v>
      </c>
      <c r="CR198" s="0" t="s">
        <v>130</v>
      </c>
      <c r="CS198" s="0" t="s">
        <v>130</v>
      </c>
      <c r="CT198" s="0" t="s">
        <v>851</v>
      </c>
    </row>
    <row r="199">
      <c r="A199" s="14">
        <v>100602</v>
      </c>
      <c r="B199" s="0" t="s">
        <v>827</v>
      </c>
      <c r="C199" s="16">
        <f>HYPERLINK("https://eosportal.federatedhermes.com/companies/Q29tcGFueQppNTQxNzY=", "Ford Motor Co")</f>
      </c>
      <c r="D199" s="0" t="s">
        <v>25</v>
      </c>
      <c r="E199" s="0" t="s">
        <v>852</v>
      </c>
      <c r="F199" s="16">
        <f>HYPERLINK("https://eosportal.federatedhermes.com/engagements/RW5nYWdlbWVudAppMTkxNDM=", "Excessive Use of One-Time Awards")</f>
      </c>
      <c r="G199" s="14" t="s">
        <v>853</v>
      </c>
      <c r="H199" s="0" t="s">
        <v>141</v>
      </c>
      <c r="I199" s="14" t="s">
        <v>191</v>
      </c>
      <c r="J199" s="0" t="s">
        <v>145</v>
      </c>
      <c r="K199" s="0" t="s">
        <v>146</v>
      </c>
      <c r="L199" s="0" t="s">
        <v>500</v>
      </c>
      <c r="M199" s="0" t="s">
        <v>135</v>
      </c>
      <c r="N199" s="0" t="s">
        <v>136</v>
      </c>
      <c r="O199" s="0" t="s">
        <v>425</v>
      </c>
      <c r="Q199" s="0" t="s">
        <v>130</v>
      </c>
      <c r="R199" s="0" t="s">
        <v>138</v>
      </c>
      <c r="S199" s="14">
        <v>0</v>
      </c>
      <c r="T199" s="0" t="s">
        <v>148</v>
      </c>
      <c r="U199" s="0" t="s">
        <v>138</v>
      </c>
      <c r="V199" s="14" t="s">
        <v>138</v>
      </c>
      <c r="W199" s="0" t="s">
        <v>138</v>
      </c>
      <c r="X199" s="14" t="s">
        <v>138</v>
      </c>
      <c r="Y199" s="0" t="s">
        <v>138</v>
      </c>
      <c r="Z199" s="14" t="s">
        <v>138</v>
      </c>
      <c r="AA199" s="0" t="s">
        <v>138</v>
      </c>
      <c r="AB199" s="14" t="s">
        <v>138</v>
      </c>
      <c r="AD199" s="0" t="s">
        <v>138</v>
      </c>
      <c r="AF199" s="0">
        <v>0</v>
      </c>
      <c r="AG199" s="0">
        <v>0</v>
      </c>
      <c r="AH199" s="0" t="s">
        <v>140</v>
      </c>
      <c r="AI199" s="0" t="s">
        <v>138</v>
      </c>
      <c r="AL199" s="14"/>
      <c r="AN199" s="14"/>
      <c r="AQ199" s="0" t="s">
        <v>130</v>
      </c>
      <c r="AR199" s="0" t="s">
        <v>130</v>
      </c>
      <c r="AS199" s="0" t="s">
        <v>130</v>
      </c>
      <c r="AT199" s="0" t="s">
        <v>130</v>
      </c>
      <c r="AU199" s="0" t="s">
        <v>130</v>
      </c>
      <c r="AV199" s="0" t="s">
        <v>130</v>
      </c>
      <c r="AW199" s="0" t="s">
        <v>130</v>
      </c>
      <c r="AX199" s="0" t="s">
        <v>130</v>
      </c>
      <c r="AY199" s="0" t="s">
        <v>130</v>
      </c>
      <c r="AZ199" s="0" t="s">
        <v>130</v>
      </c>
      <c r="BA199" s="0" t="s">
        <v>130</v>
      </c>
      <c r="BB199" s="0" t="s">
        <v>130</v>
      </c>
      <c r="BC199" s="0" t="s">
        <v>130</v>
      </c>
      <c r="BD199" s="0" t="s">
        <v>130</v>
      </c>
      <c r="BE199" s="0" t="s">
        <v>130</v>
      </c>
      <c r="BF199" s="0" t="s">
        <v>130</v>
      </c>
      <c r="BG199" s="0" t="s">
        <v>130</v>
      </c>
      <c r="BH199" s="0" t="s">
        <v>130</v>
      </c>
      <c r="BI199" s="0" t="s">
        <v>130</v>
      </c>
      <c r="BJ199" s="0" t="s">
        <v>130</v>
      </c>
      <c r="BK199" s="0" t="s">
        <v>130</v>
      </c>
      <c r="BL199" s="0" t="s">
        <v>130</v>
      </c>
      <c r="BM199" s="0" t="s">
        <v>130</v>
      </c>
      <c r="BN199" s="0" t="s">
        <v>130</v>
      </c>
      <c r="BO199" s="0" t="s">
        <v>130</v>
      </c>
      <c r="BP199" s="0" t="s">
        <v>130</v>
      </c>
      <c r="BQ199" s="0" t="s">
        <v>130</v>
      </c>
      <c r="BR199" s="0" t="s">
        <v>130</v>
      </c>
      <c r="BS199" s="0" t="s">
        <v>130</v>
      </c>
      <c r="BT199" s="0" t="s">
        <v>130</v>
      </c>
      <c r="BU199" s="0" t="s">
        <v>130</v>
      </c>
      <c r="BV199" s="0" t="s">
        <v>130</v>
      </c>
      <c r="BW199" s="0" t="s">
        <v>130</v>
      </c>
      <c r="BX199" s="0" t="s">
        <v>130</v>
      </c>
      <c r="BY199" s="0" t="s">
        <v>130</v>
      </c>
      <c r="BZ199" s="0" t="s">
        <v>130</v>
      </c>
      <c r="CA199" s="0" t="s">
        <v>130</v>
      </c>
      <c r="CB199" s="0" t="s">
        <v>130</v>
      </c>
      <c r="CC199" s="0" t="s">
        <v>130</v>
      </c>
      <c r="CD199" s="0" t="s">
        <v>130</v>
      </c>
      <c r="CE199" s="0" t="s">
        <v>130</v>
      </c>
      <c r="CF199" s="0" t="s">
        <v>130</v>
      </c>
      <c r="CG199" s="0" t="s">
        <v>130</v>
      </c>
      <c r="CH199" s="0" t="s">
        <v>130</v>
      </c>
      <c r="CI199" s="0" t="s">
        <v>130</v>
      </c>
      <c r="CJ199" s="0" t="s">
        <v>130</v>
      </c>
      <c r="CK199" s="0" t="s">
        <v>130</v>
      </c>
      <c r="CL199" s="0" t="s">
        <v>130</v>
      </c>
      <c r="CM199" s="0" t="s">
        <v>130</v>
      </c>
      <c r="CN199" s="0" t="s">
        <v>130</v>
      </c>
      <c r="CO199" s="0" t="s">
        <v>130</v>
      </c>
      <c r="CP199" s="0" t="s">
        <v>130</v>
      </c>
      <c r="CQ199" s="0" t="s">
        <v>130</v>
      </c>
      <c r="CR199" s="0" t="s">
        <v>130</v>
      </c>
      <c r="CS199" s="0" t="s">
        <v>130</v>
      </c>
      <c r="CT199" s="0" t="s">
        <v>854</v>
      </c>
    </row>
    <row r="200">
      <c r="A200" s="14">
        <v>100602</v>
      </c>
      <c r="B200" s="0" t="s">
        <v>827</v>
      </c>
      <c r="C200" s="16">
        <f>HYPERLINK("https://eosportal.federatedhermes.com/companies/Q29tcGFueQppNTQxNzY=", "Ford Motor Co")</f>
      </c>
      <c r="D200" s="0" t="s">
        <v>25</v>
      </c>
      <c r="E200" s="0" t="s">
        <v>189</v>
      </c>
      <c r="F200" s="16">
        <f>HYPERLINK("https://eosportal.federatedhermes.com/engagements/RW5nYWdlbWVudAppMTkxNDQ=", "Lobbying &amp; Political Expenditure Disclosures")</f>
      </c>
      <c r="G200" s="14" t="s">
        <v>855</v>
      </c>
      <c r="H200" s="0" t="s">
        <v>141</v>
      </c>
      <c r="I200" s="14" t="s">
        <v>191</v>
      </c>
      <c r="J200" s="0" t="s">
        <v>153</v>
      </c>
      <c r="K200" s="0" t="s">
        <v>185</v>
      </c>
      <c r="L200" s="0" t="s">
        <v>186</v>
      </c>
      <c r="M200" s="0" t="s">
        <v>135</v>
      </c>
      <c r="N200" s="0" t="s">
        <v>136</v>
      </c>
      <c r="O200" s="0" t="s">
        <v>425</v>
      </c>
      <c r="Q200" s="0" t="s">
        <v>130</v>
      </c>
      <c r="R200" s="0" t="s">
        <v>138</v>
      </c>
      <c r="S200" s="14">
        <v>0</v>
      </c>
      <c r="T200" s="0" t="s">
        <v>148</v>
      </c>
      <c r="U200" s="0" t="s">
        <v>138</v>
      </c>
      <c r="V200" s="14" t="s">
        <v>138</v>
      </c>
      <c r="W200" s="0" t="s">
        <v>138</v>
      </c>
      <c r="X200" s="14" t="s">
        <v>138</v>
      </c>
      <c r="Y200" s="0" t="s">
        <v>138</v>
      </c>
      <c r="Z200" s="14" t="s">
        <v>138</v>
      </c>
      <c r="AA200" s="0" t="s">
        <v>138</v>
      </c>
      <c r="AB200" s="14" t="s">
        <v>138</v>
      </c>
      <c r="AD200" s="0" t="s">
        <v>138</v>
      </c>
      <c r="AF200" s="0">
        <v>0</v>
      </c>
      <c r="AG200" s="0">
        <v>0</v>
      </c>
      <c r="AH200" s="0" t="s">
        <v>140</v>
      </c>
      <c r="AI200" s="0" t="s">
        <v>138</v>
      </c>
      <c r="AL200" s="14"/>
      <c r="AN200" s="14"/>
      <c r="AQ200" s="0" t="s">
        <v>130</v>
      </c>
      <c r="AR200" s="0" t="s">
        <v>130</v>
      </c>
      <c r="AS200" s="0" t="s">
        <v>130</v>
      </c>
      <c r="AT200" s="0" t="s">
        <v>130</v>
      </c>
      <c r="AU200" s="0" t="s">
        <v>130</v>
      </c>
      <c r="AV200" s="0" t="s">
        <v>130</v>
      </c>
      <c r="AW200" s="0" t="s">
        <v>130</v>
      </c>
      <c r="AX200" s="0" t="s">
        <v>130</v>
      </c>
      <c r="AY200" s="0" t="s">
        <v>130</v>
      </c>
      <c r="AZ200" s="0" t="s">
        <v>130</v>
      </c>
      <c r="BA200" s="0" t="s">
        <v>130</v>
      </c>
      <c r="BB200" s="0" t="s">
        <v>130</v>
      </c>
      <c r="BC200" s="0" t="s">
        <v>130</v>
      </c>
      <c r="BD200" s="0" t="s">
        <v>130</v>
      </c>
      <c r="BE200" s="0" t="s">
        <v>130</v>
      </c>
      <c r="BF200" s="0" t="s">
        <v>130</v>
      </c>
      <c r="BG200" s="0" t="s">
        <v>130</v>
      </c>
      <c r="BH200" s="0" t="s">
        <v>130</v>
      </c>
      <c r="BI200" s="0" t="s">
        <v>130</v>
      </c>
      <c r="BJ200" s="0" t="s">
        <v>130</v>
      </c>
      <c r="BK200" s="0" t="s">
        <v>130</v>
      </c>
      <c r="BL200" s="0" t="s">
        <v>130</v>
      </c>
      <c r="BM200" s="0" t="s">
        <v>130</v>
      </c>
      <c r="BN200" s="0" t="s">
        <v>130</v>
      </c>
      <c r="BO200" s="0" t="s">
        <v>130</v>
      </c>
      <c r="BP200" s="0" t="s">
        <v>130</v>
      </c>
      <c r="BQ200" s="0" t="s">
        <v>130</v>
      </c>
      <c r="BR200" s="0" t="s">
        <v>130</v>
      </c>
      <c r="BS200" s="0" t="s">
        <v>130</v>
      </c>
      <c r="BT200" s="0" t="s">
        <v>130</v>
      </c>
      <c r="BU200" s="0" t="s">
        <v>130</v>
      </c>
      <c r="BV200" s="0" t="s">
        <v>130</v>
      </c>
      <c r="BW200" s="0" t="s">
        <v>130</v>
      </c>
      <c r="BX200" s="0" t="s">
        <v>130</v>
      </c>
      <c r="BY200" s="0" t="s">
        <v>130</v>
      </c>
      <c r="BZ200" s="0" t="s">
        <v>130</v>
      </c>
      <c r="CA200" s="0" t="s">
        <v>130</v>
      </c>
      <c r="CB200" s="0" t="s">
        <v>130</v>
      </c>
      <c r="CC200" s="0" t="s">
        <v>130</v>
      </c>
      <c r="CD200" s="0" t="s">
        <v>130</v>
      </c>
      <c r="CE200" s="0" t="s">
        <v>130</v>
      </c>
      <c r="CF200" s="0" t="s">
        <v>130</v>
      </c>
      <c r="CG200" s="0" t="s">
        <v>130</v>
      </c>
      <c r="CH200" s="0" t="s">
        <v>130</v>
      </c>
      <c r="CI200" s="0" t="s">
        <v>130</v>
      </c>
      <c r="CJ200" s="0" t="s">
        <v>130</v>
      </c>
      <c r="CK200" s="0" t="s">
        <v>130</v>
      </c>
      <c r="CL200" s="0" t="s">
        <v>130</v>
      </c>
      <c r="CM200" s="0" t="s">
        <v>130</v>
      </c>
      <c r="CN200" s="0" t="s">
        <v>130</v>
      </c>
      <c r="CO200" s="0" t="s">
        <v>130</v>
      </c>
      <c r="CP200" s="0" t="s">
        <v>130</v>
      </c>
      <c r="CQ200" s="0" t="s">
        <v>130</v>
      </c>
      <c r="CR200" s="0" t="s">
        <v>130</v>
      </c>
      <c r="CS200" s="0" t="s">
        <v>130</v>
      </c>
      <c r="CT200" s="0" t="s">
        <v>856</v>
      </c>
    </row>
    <row r="201">
      <c r="A201" s="14">
        <v>100602</v>
      </c>
      <c r="B201" s="0" t="s">
        <v>827</v>
      </c>
      <c r="C201" s="16">
        <f>HYPERLINK("https://eosportal.federatedhermes.com/companies/Q29tcGFueQppNTQxNzY=", "Ford Motor Co")</f>
      </c>
      <c r="D201" s="0" t="s">
        <v>25</v>
      </c>
      <c r="E201" s="0" t="s">
        <v>857</v>
      </c>
      <c r="F201" s="16">
        <f>HYPERLINK("https://eosportal.federatedhermes.com/engagements/RW5nYWdlbWVudAppMTkxNDU=", "Senior management turnover and retention")</f>
      </c>
      <c r="G201" s="14" t="s">
        <v>858</v>
      </c>
      <c r="H201" s="0" t="s">
        <v>141</v>
      </c>
      <c r="I201" s="14" t="s">
        <v>191</v>
      </c>
      <c r="J201" s="0" t="s">
        <v>145</v>
      </c>
      <c r="K201" s="0" t="s">
        <v>164</v>
      </c>
      <c r="L201" s="0" t="s">
        <v>277</v>
      </c>
      <c r="M201" s="0" t="s">
        <v>135</v>
      </c>
      <c r="N201" s="0" t="s">
        <v>136</v>
      </c>
      <c r="O201" s="0" t="s">
        <v>425</v>
      </c>
      <c r="Q201" s="0" t="s">
        <v>130</v>
      </c>
      <c r="R201" s="0" t="s">
        <v>138</v>
      </c>
      <c r="S201" s="14">
        <v>0</v>
      </c>
      <c r="T201" s="0" t="s">
        <v>206</v>
      </c>
      <c r="U201" s="0" t="s">
        <v>138</v>
      </c>
      <c r="V201" s="14" t="s">
        <v>138</v>
      </c>
      <c r="W201" s="0" t="s">
        <v>138</v>
      </c>
      <c r="X201" s="14" t="s">
        <v>138</v>
      </c>
      <c r="Y201" s="0" t="s">
        <v>138</v>
      </c>
      <c r="Z201" s="14" t="s">
        <v>138</v>
      </c>
      <c r="AA201" s="0" t="s">
        <v>138</v>
      </c>
      <c r="AB201" s="14" t="s">
        <v>138</v>
      </c>
      <c r="AD201" s="0" t="s">
        <v>138</v>
      </c>
      <c r="AF201" s="0">
        <v>0</v>
      </c>
      <c r="AG201" s="0">
        <v>0</v>
      </c>
      <c r="AH201" s="0" t="s">
        <v>140</v>
      </c>
      <c r="AI201" s="0" t="s">
        <v>138</v>
      </c>
      <c r="AL201" s="14"/>
      <c r="AN201" s="14"/>
      <c r="AQ201" s="0" t="s">
        <v>130</v>
      </c>
      <c r="AR201" s="0" t="s">
        <v>130</v>
      </c>
      <c r="AS201" s="0" t="s">
        <v>130</v>
      </c>
      <c r="AT201" s="0" t="s">
        <v>130</v>
      </c>
      <c r="AU201" s="0" t="s">
        <v>130</v>
      </c>
      <c r="AV201" s="0" t="s">
        <v>130</v>
      </c>
      <c r="AW201" s="0" t="s">
        <v>130</v>
      </c>
      <c r="AX201" s="0" t="s">
        <v>130</v>
      </c>
      <c r="AY201" s="0" t="s">
        <v>130</v>
      </c>
      <c r="AZ201" s="0" t="s">
        <v>130</v>
      </c>
      <c r="BA201" s="0" t="s">
        <v>130</v>
      </c>
      <c r="BB201" s="0" t="s">
        <v>130</v>
      </c>
      <c r="BC201" s="0" t="s">
        <v>130</v>
      </c>
      <c r="BD201" s="0" t="s">
        <v>130</v>
      </c>
      <c r="BE201" s="0" t="s">
        <v>130</v>
      </c>
      <c r="BF201" s="0" t="s">
        <v>130</v>
      </c>
      <c r="BG201" s="0" t="s">
        <v>130</v>
      </c>
      <c r="BH201" s="0" t="s">
        <v>130</v>
      </c>
      <c r="BI201" s="0" t="s">
        <v>130</v>
      </c>
      <c r="BJ201" s="0" t="s">
        <v>130</v>
      </c>
      <c r="BK201" s="0" t="s">
        <v>130</v>
      </c>
      <c r="BL201" s="0" t="s">
        <v>130</v>
      </c>
      <c r="BM201" s="0" t="s">
        <v>130</v>
      </c>
      <c r="BN201" s="0" t="s">
        <v>130</v>
      </c>
      <c r="BO201" s="0" t="s">
        <v>130</v>
      </c>
      <c r="BP201" s="0" t="s">
        <v>130</v>
      </c>
      <c r="BQ201" s="0" t="s">
        <v>130</v>
      </c>
      <c r="BR201" s="0" t="s">
        <v>130</v>
      </c>
      <c r="BS201" s="0" t="s">
        <v>130</v>
      </c>
      <c r="BT201" s="0" t="s">
        <v>130</v>
      </c>
      <c r="BU201" s="0" t="s">
        <v>130</v>
      </c>
      <c r="BV201" s="0" t="s">
        <v>130</v>
      </c>
      <c r="BW201" s="0" t="s">
        <v>130</v>
      </c>
      <c r="BX201" s="0" t="s">
        <v>130</v>
      </c>
      <c r="BY201" s="0" t="s">
        <v>130</v>
      </c>
      <c r="BZ201" s="0" t="s">
        <v>130</v>
      </c>
      <c r="CA201" s="0" t="s">
        <v>130</v>
      </c>
      <c r="CB201" s="0" t="s">
        <v>130</v>
      </c>
      <c r="CC201" s="0" t="s">
        <v>130</v>
      </c>
      <c r="CD201" s="0" t="s">
        <v>130</v>
      </c>
      <c r="CE201" s="0" t="s">
        <v>130</v>
      </c>
      <c r="CF201" s="0" t="s">
        <v>130</v>
      </c>
      <c r="CG201" s="0" t="s">
        <v>130</v>
      </c>
      <c r="CH201" s="0" t="s">
        <v>130</v>
      </c>
      <c r="CI201" s="0" t="s">
        <v>130</v>
      </c>
      <c r="CJ201" s="0" t="s">
        <v>130</v>
      </c>
      <c r="CK201" s="0" t="s">
        <v>130</v>
      </c>
      <c r="CL201" s="0" t="s">
        <v>130</v>
      </c>
      <c r="CM201" s="0" t="s">
        <v>130</v>
      </c>
      <c r="CN201" s="0" t="s">
        <v>130</v>
      </c>
      <c r="CO201" s="0" t="s">
        <v>130</v>
      </c>
      <c r="CP201" s="0" t="s">
        <v>130</v>
      </c>
      <c r="CQ201" s="0" t="s">
        <v>130</v>
      </c>
      <c r="CR201" s="0" t="s">
        <v>130</v>
      </c>
      <c r="CS201" s="0" t="s">
        <v>130</v>
      </c>
      <c r="CT201" s="0" t="s">
        <v>859</v>
      </c>
    </row>
    <row r="202">
      <c r="A202" s="14">
        <v>100602</v>
      </c>
      <c r="B202" s="0" t="s">
        <v>827</v>
      </c>
      <c r="C202" s="16">
        <f>HYPERLINK("https://eosportal.federatedhermes.com/companies/Q29tcGFueQppNTQxNzY=", "Ford Motor Co")</f>
      </c>
      <c r="D202" s="0" t="s">
        <v>25</v>
      </c>
      <c r="E202" s="0" t="s">
        <v>860</v>
      </c>
      <c r="F202" s="16">
        <f>HYPERLINK("https://eosportal.federatedhermes.com/engagements/RW5nYWdlbWVudAppMTkxNDY=", "Business Policy on Disputed Territories")</f>
      </c>
      <c r="G202" s="14" t="s">
        <v>861</v>
      </c>
      <c r="H202" s="0" t="s">
        <v>141</v>
      </c>
      <c r="I202" s="14" t="s">
        <v>191</v>
      </c>
      <c r="J202" s="0" t="s">
        <v>153</v>
      </c>
      <c r="K202" s="0" t="s">
        <v>243</v>
      </c>
      <c r="L202" s="0" t="s">
        <v>456</v>
      </c>
      <c r="M202" s="0" t="s">
        <v>135</v>
      </c>
      <c r="N202" s="0" t="s">
        <v>136</v>
      </c>
      <c r="O202" s="0" t="s">
        <v>425</v>
      </c>
      <c r="Q202" s="0" t="s">
        <v>130</v>
      </c>
      <c r="R202" s="0" t="s">
        <v>138</v>
      </c>
      <c r="S202" s="14">
        <v>0</v>
      </c>
      <c r="T202" s="0" t="s">
        <v>166</v>
      </c>
      <c r="U202" s="0" t="s">
        <v>138</v>
      </c>
      <c r="V202" s="14" t="s">
        <v>138</v>
      </c>
      <c r="W202" s="0" t="s">
        <v>138</v>
      </c>
      <c r="X202" s="14" t="s">
        <v>138</v>
      </c>
      <c r="Y202" s="0" t="s">
        <v>138</v>
      </c>
      <c r="Z202" s="14" t="s">
        <v>138</v>
      </c>
      <c r="AA202" s="0" t="s">
        <v>138</v>
      </c>
      <c r="AB202" s="14" t="s">
        <v>138</v>
      </c>
      <c r="AD202" s="0" t="s">
        <v>138</v>
      </c>
      <c r="AF202" s="0">
        <v>0</v>
      </c>
      <c r="AG202" s="0">
        <v>0</v>
      </c>
      <c r="AH202" s="0" t="s">
        <v>140</v>
      </c>
      <c r="AI202" s="0" t="s">
        <v>138</v>
      </c>
      <c r="AL202" s="14"/>
      <c r="AN202" s="14"/>
      <c r="AQ202" s="0" t="s">
        <v>130</v>
      </c>
      <c r="AR202" s="0" t="s">
        <v>130</v>
      </c>
      <c r="AS202" s="0" t="s">
        <v>130</v>
      </c>
      <c r="AT202" s="0" t="s">
        <v>130</v>
      </c>
      <c r="AU202" s="0" t="s">
        <v>130</v>
      </c>
      <c r="AV202" s="0" t="s">
        <v>130</v>
      </c>
      <c r="AW202" s="0" t="s">
        <v>130</v>
      </c>
      <c r="AX202" s="0" t="s">
        <v>130</v>
      </c>
      <c r="AY202" s="0" t="s">
        <v>130</v>
      </c>
      <c r="AZ202" s="0" t="s">
        <v>130</v>
      </c>
      <c r="BA202" s="0" t="s">
        <v>130</v>
      </c>
      <c r="BB202" s="0" t="s">
        <v>130</v>
      </c>
      <c r="BC202" s="0" t="s">
        <v>130</v>
      </c>
      <c r="BD202" s="0" t="s">
        <v>130</v>
      </c>
      <c r="BE202" s="0" t="s">
        <v>130</v>
      </c>
      <c r="BF202" s="0" t="s">
        <v>141</v>
      </c>
      <c r="BG202" s="0" t="s">
        <v>130</v>
      </c>
      <c r="BH202" s="0" t="s">
        <v>130</v>
      </c>
      <c r="BI202" s="0" t="s">
        <v>130</v>
      </c>
      <c r="BJ202" s="0" t="s">
        <v>130</v>
      </c>
      <c r="BK202" s="0" t="s">
        <v>130</v>
      </c>
      <c r="BL202" s="0" t="s">
        <v>130</v>
      </c>
      <c r="BM202" s="0" t="s">
        <v>130</v>
      </c>
      <c r="BN202" s="0" t="s">
        <v>130</v>
      </c>
      <c r="BO202" s="0" t="s">
        <v>130</v>
      </c>
      <c r="BP202" s="0" t="s">
        <v>130</v>
      </c>
      <c r="BQ202" s="0" t="s">
        <v>130</v>
      </c>
      <c r="BR202" s="0" t="s">
        <v>130</v>
      </c>
      <c r="BS202" s="0" t="s">
        <v>130</v>
      </c>
      <c r="BT202" s="0" t="s">
        <v>130</v>
      </c>
      <c r="BU202" s="0" t="s">
        <v>130</v>
      </c>
      <c r="BV202" s="0" t="s">
        <v>130</v>
      </c>
      <c r="BW202" s="0" t="s">
        <v>130</v>
      </c>
      <c r="BX202" s="0" t="s">
        <v>130</v>
      </c>
      <c r="BY202" s="0" t="s">
        <v>130</v>
      </c>
      <c r="BZ202" s="0" t="s">
        <v>130</v>
      </c>
      <c r="CA202" s="0" t="s">
        <v>130</v>
      </c>
      <c r="CB202" s="0" t="s">
        <v>130</v>
      </c>
      <c r="CC202" s="0" t="s">
        <v>130</v>
      </c>
      <c r="CD202" s="0" t="s">
        <v>130</v>
      </c>
      <c r="CE202" s="0" t="s">
        <v>130</v>
      </c>
      <c r="CF202" s="0" t="s">
        <v>130</v>
      </c>
      <c r="CG202" s="0" t="s">
        <v>130</v>
      </c>
      <c r="CH202" s="0" t="s">
        <v>130</v>
      </c>
      <c r="CI202" s="0" t="s">
        <v>130</v>
      </c>
      <c r="CJ202" s="0" t="s">
        <v>130</v>
      </c>
      <c r="CK202" s="0" t="s">
        <v>130</v>
      </c>
      <c r="CL202" s="0" t="s">
        <v>130</v>
      </c>
      <c r="CM202" s="0" t="s">
        <v>130</v>
      </c>
      <c r="CN202" s="0" t="s">
        <v>130</v>
      </c>
      <c r="CO202" s="0" t="s">
        <v>130</v>
      </c>
      <c r="CP202" s="0" t="s">
        <v>130</v>
      </c>
      <c r="CQ202" s="0" t="s">
        <v>130</v>
      </c>
      <c r="CR202" s="0" t="s">
        <v>130</v>
      </c>
      <c r="CS202" s="0" t="s">
        <v>130</v>
      </c>
      <c r="CT202" s="0" t="s">
        <v>862</v>
      </c>
    </row>
    <row r="203">
      <c r="A203" s="14">
        <v>100602</v>
      </c>
      <c r="B203" s="0" t="s">
        <v>827</v>
      </c>
      <c r="C203" s="16">
        <f>HYPERLINK("https://eosportal.federatedhermes.com/companies/Q29tcGFueQppNTQxNzY=", "Ford Motor Co")</f>
      </c>
      <c r="D203" s="0" t="s">
        <v>25</v>
      </c>
      <c r="E203" s="0" t="s">
        <v>863</v>
      </c>
      <c r="F203" s="16">
        <f>HYPERLINK("https://eosportal.federatedhermes.com/engagements/RW5nYWdlbWVudAppMTkxNDc=", "Capex disclosure concerns")</f>
      </c>
      <c r="G203" s="14" t="s">
        <v>864</v>
      </c>
      <c r="H203" s="0" t="s">
        <v>141</v>
      </c>
      <c r="I203" s="14" t="s">
        <v>191</v>
      </c>
      <c r="J203" s="0" t="s">
        <v>197</v>
      </c>
      <c r="K203" s="0" t="s">
        <v>198</v>
      </c>
      <c r="L203" s="0" t="s">
        <v>199</v>
      </c>
      <c r="M203" s="0" t="s">
        <v>135</v>
      </c>
      <c r="N203" s="0" t="s">
        <v>136</v>
      </c>
      <c r="O203" s="0" t="s">
        <v>425</v>
      </c>
      <c r="Q203" s="0" t="s">
        <v>130</v>
      </c>
      <c r="R203" s="0" t="s">
        <v>138</v>
      </c>
      <c r="S203" s="14">
        <v>0</v>
      </c>
      <c r="T203" s="0" t="s">
        <v>206</v>
      </c>
      <c r="U203" s="0" t="s">
        <v>138</v>
      </c>
      <c r="V203" s="14" t="s">
        <v>138</v>
      </c>
      <c r="W203" s="0" t="s">
        <v>138</v>
      </c>
      <c r="X203" s="14" t="s">
        <v>138</v>
      </c>
      <c r="Y203" s="0" t="s">
        <v>138</v>
      </c>
      <c r="Z203" s="14" t="s">
        <v>138</v>
      </c>
      <c r="AA203" s="0" t="s">
        <v>138</v>
      </c>
      <c r="AB203" s="14" t="s">
        <v>138</v>
      </c>
      <c r="AD203" s="0" t="s">
        <v>138</v>
      </c>
      <c r="AF203" s="0">
        <v>0</v>
      </c>
      <c r="AG203" s="0">
        <v>0</v>
      </c>
      <c r="AH203" s="0" t="s">
        <v>140</v>
      </c>
      <c r="AI203" s="0" t="s">
        <v>138</v>
      </c>
      <c r="AL203" s="14"/>
      <c r="AN203" s="14"/>
      <c r="AQ203" s="0" t="s">
        <v>130</v>
      </c>
      <c r="AR203" s="0" t="s">
        <v>130</v>
      </c>
      <c r="AS203" s="0" t="s">
        <v>130</v>
      </c>
      <c r="AT203" s="0" t="s">
        <v>130</v>
      </c>
      <c r="AU203" s="0" t="s">
        <v>130</v>
      </c>
      <c r="AV203" s="0" t="s">
        <v>130</v>
      </c>
      <c r="AW203" s="0" t="s">
        <v>130</v>
      </c>
      <c r="AX203" s="0" t="s">
        <v>130</v>
      </c>
      <c r="AY203" s="0" t="s">
        <v>130</v>
      </c>
      <c r="AZ203" s="0" t="s">
        <v>130</v>
      </c>
      <c r="BA203" s="0" t="s">
        <v>130</v>
      </c>
      <c r="BB203" s="0" t="s">
        <v>141</v>
      </c>
      <c r="BC203" s="0" t="s">
        <v>130</v>
      </c>
      <c r="BD203" s="0" t="s">
        <v>130</v>
      </c>
      <c r="BE203" s="0" t="s">
        <v>130</v>
      </c>
      <c r="BF203" s="0" t="s">
        <v>130</v>
      </c>
      <c r="BG203" s="0" t="s">
        <v>130</v>
      </c>
      <c r="BH203" s="0" t="s">
        <v>130</v>
      </c>
      <c r="BI203" s="0" t="s">
        <v>130</v>
      </c>
      <c r="BJ203" s="0" t="s">
        <v>130</v>
      </c>
      <c r="BK203" s="0" t="s">
        <v>130</v>
      </c>
      <c r="BL203" s="0" t="s">
        <v>130</v>
      </c>
      <c r="BM203" s="0" t="s">
        <v>130</v>
      </c>
      <c r="BN203" s="0" t="s">
        <v>130</v>
      </c>
      <c r="BO203" s="0" t="s">
        <v>130</v>
      </c>
      <c r="BP203" s="0" t="s">
        <v>130</v>
      </c>
      <c r="BQ203" s="0" t="s">
        <v>130</v>
      </c>
      <c r="BR203" s="0" t="s">
        <v>130</v>
      </c>
      <c r="BS203" s="0" t="s">
        <v>130</v>
      </c>
      <c r="BT203" s="0" t="s">
        <v>130</v>
      </c>
      <c r="BU203" s="0" t="s">
        <v>130</v>
      </c>
      <c r="BV203" s="0" t="s">
        <v>130</v>
      </c>
      <c r="BW203" s="0" t="s">
        <v>130</v>
      </c>
      <c r="BX203" s="0" t="s">
        <v>130</v>
      </c>
      <c r="BY203" s="0" t="s">
        <v>130</v>
      </c>
      <c r="BZ203" s="0" t="s">
        <v>130</v>
      </c>
      <c r="CA203" s="0" t="s">
        <v>130</v>
      </c>
      <c r="CB203" s="0" t="s">
        <v>130</v>
      </c>
      <c r="CC203" s="0" t="s">
        <v>130</v>
      </c>
      <c r="CD203" s="0" t="s">
        <v>130</v>
      </c>
      <c r="CE203" s="0" t="s">
        <v>130</v>
      </c>
      <c r="CF203" s="0" t="s">
        <v>130</v>
      </c>
      <c r="CG203" s="0" t="s">
        <v>130</v>
      </c>
      <c r="CH203" s="0" t="s">
        <v>130</v>
      </c>
      <c r="CI203" s="0" t="s">
        <v>130</v>
      </c>
      <c r="CJ203" s="0" t="s">
        <v>130</v>
      </c>
      <c r="CK203" s="0" t="s">
        <v>130</v>
      </c>
      <c r="CL203" s="0" t="s">
        <v>130</v>
      </c>
      <c r="CM203" s="0" t="s">
        <v>130</v>
      </c>
      <c r="CN203" s="0" t="s">
        <v>130</v>
      </c>
      <c r="CO203" s="0" t="s">
        <v>130</v>
      </c>
      <c r="CP203" s="0" t="s">
        <v>130</v>
      </c>
      <c r="CQ203" s="0" t="s">
        <v>130</v>
      </c>
      <c r="CR203" s="0" t="s">
        <v>130</v>
      </c>
      <c r="CS203" s="0" t="s">
        <v>130</v>
      </c>
      <c r="CT203" s="0" t="s">
        <v>865</v>
      </c>
    </row>
    <row r="204">
      <c r="A204" s="14">
        <v>112185</v>
      </c>
      <c r="B204" s="0" t="s">
        <v>866</v>
      </c>
      <c r="C204" s="16">
        <f>HYPERLINK("https://eosportal.federatedhermes.com/companies/Q29tcGFueQppNzc4NTQ=", "Rolls-Royce Holdings PLC")</f>
      </c>
      <c r="D204" s="0" t="s">
        <v>25</v>
      </c>
      <c r="E204" s="0" t="s">
        <v>322</v>
      </c>
      <c r="F204" s="16">
        <f>HYPERLINK("https://eosportal.federatedhermes.com/engagements/RW5nYWdlbWVudAppMTkxNzY=", "Gender diversity")</f>
      </c>
      <c r="G204" s="14" t="s">
        <v>867</v>
      </c>
      <c r="H204" s="0" t="s">
        <v>130</v>
      </c>
      <c r="I204" s="14" t="s">
        <v>319</v>
      </c>
      <c r="J204" s="0" t="s">
        <v>153</v>
      </c>
      <c r="K204" s="0" t="s">
        <v>154</v>
      </c>
      <c r="L204" s="0" t="s">
        <v>268</v>
      </c>
      <c r="M204" s="0" t="s">
        <v>272</v>
      </c>
      <c r="N204" s="0" t="s">
        <v>273</v>
      </c>
      <c r="O204" s="0" t="s">
        <v>176</v>
      </c>
      <c r="Q204" s="0" t="s">
        <v>130</v>
      </c>
      <c r="R204" s="0" t="s">
        <v>138</v>
      </c>
      <c r="S204" s="14">
        <v>0</v>
      </c>
      <c r="T204" s="0" t="s">
        <v>166</v>
      </c>
      <c r="U204" s="0" t="s">
        <v>138</v>
      </c>
      <c r="V204" s="14" t="s">
        <v>138</v>
      </c>
      <c r="W204" s="0" t="s">
        <v>138</v>
      </c>
      <c r="X204" s="14" t="s">
        <v>138</v>
      </c>
      <c r="Y204" s="0" t="s">
        <v>138</v>
      </c>
      <c r="Z204" s="14" t="s">
        <v>138</v>
      </c>
      <c r="AA204" s="0" t="s">
        <v>138</v>
      </c>
      <c r="AB204" s="14" t="s">
        <v>138</v>
      </c>
      <c r="AD204" s="0" t="s">
        <v>138</v>
      </c>
      <c r="AF204" s="0">
        <v>0</v>
      </c>
      <c r="AG204" s="0">
        <v>0</v>
      </c>
      <c r="AH204" s="0" t="s">
        <v>140</v>
      </c>
      <c r="AI204" s="0" t="s">
        <v>138</v>
      </c>
      <c r="AL204" s="14"/>
      <c r="AN204" s="14"/>
      <c r="AQ204" s="0" t="s">
        <v>130</v>
      </c>
      <c r="AR204" s="0" t="s">
        <v>130</v>
      </c>
      <c r="AS204" s="0" t="s">
        <v>130</v>
      </c>
      <c r="AT204" s="0" t="s">
        <v>141</v>
      </c>
      <c r="AU204" s="0" t="s">
        <v>141</v>
      </c>
      <c r="AV204" s="0" t="s">
        <v>130</v>
      </c>
      <c r="AW204" s="0" t="s">
        <v>130</v>
      </c>
      <c r="AX204" s="0" t="s">
        <v>130</v>
      </c>
      <c r="AY204" s="0" t="s">
        <v>130</v>
      </c>
      <c r="AZ204" s="0" t="s">
        <v>130</v>
      </c>
      <c r="BA204" s="0" t="s">
        <v>130</v>
      </c>
      <c r="BB204" s="0" t="s">
        <v>130</v>
      </c>
      <c r="BC204" s="0" t="s">
        <v>130</v>
      </c>
      <c r="BD204" s="0" t="s">
        <v>130</v>
      </c>
      <c r="BE204" s="0" t="s">
        <v>130</v>
      </c>
      <c r="BF204" s="0" t="s">
        <v>130</v>
      </c>
      <c r="BG204" s="0" t="s">
        <v>130</v>
      </c>
      <c r="BH204" s="0" t="s">
        <v>130</v>
      </c>
      <c r="BI204" s="0" t="s">
        <v>130</v>
      </c>
      <c r="BJ204" s="0" t="s">
        <v>130</v>
      </c>
      <c r="BK204" s="0" t="s">
        <v>130</v>
      </c>
      <c r="BL204" s="0" t="s">
        <v>130</v>
      </c>
      <c r="BM204" s="0" t="s">
        <v>130</v>
      </c>
      <c r="BN204" s="0" t="s">
        <v>130</v>
      </c>
      <c r="BO204" s="0" t="s">
        <v>130</v>
      </c>
      <c r="BP204" s="0" t="s">
        <v>130</v>
      </c>
      <c r="BQ204" s="0" t="s">
        <v>130</v>
      </c>
      <c r="BR204" s="0" t="s">
        <v>130</v>
      </c>
      <c r="BS204" s="0" t="s">
        <v>130</v>
      </c>
      <c r="BT204" s="0" t="s">
        <v>130</v>
      </c>
      <c r="BU204" s="0" t="s">
        <v>130</v>
      </c>
      <c r="BV204" s="0" t="s">
        <v>130</v>
      </c>
      <c r="BW204" s="0" t="s">
        <v>130</v>
      </c>
      <c r="BX204" s="0" t="s">
        <v>130</v>
      </c>
      <c r="BY204" s="0" t="s">
        <v>130</v>
      </c>
      <c r="BZ204" s="0" t="s">
        <v>130</v>
      </c>
      <c r="CA204" s="0" t="s">
        <v>130</v>
      </c>
      <c r="CB204" s="0" t="s">
        <v>130</v>
      </c>
      <c r="CC204" s="0" t="s">
        <v>130</v>
      </c>
      <c r="CD204" s="0" t="s">
        <v>130</v>
      </c>
      <c r="CE204" s="0" t="s">
        <v>130</v>
      </c>
      <c r="CF204" s="0" t="s">
        <v>130</v>
      </c>
      <c r="CG204" s="0" t="s">
        <v>130</v>
      </c>
      <c r="CH204" s="0" t="s">
        <v>130</v>
      </c>
      <c r="CI204" s="0" t="s">
        <v>130</v>
      </c>
      <c r="CJ204" s="0" t="s">
        <v>130</v>
      </c>
      <c r="CK204" s="0" t="s">
        <v>141</v>
      </c>
      <c r="CL204" s="0" t="s">
        <v>130</v>
      </c>
      <c r="CM204" s="0" t="s">
        <v>130</v>
      </c>
      <c r="CN204" s="0" t="s">
        <v>130</v>
      </c>
      <c r="CO204" s="0" t="s">
        <v>130</v>
      </c>
      <c r="CP204" s="0" t="s">
        <v>130</v>
      </c>
      <c r="CQ204" s="0" t="s">
        <v>130</v>
      </c>
      <c r="CR204" s="0" t="s">
        <v>130</v>
      </c>
      <c r="CS204" s="0" t="s">
        <v>130</v>
      </c>
      <c r="CT204" s="0" t="s">
        <v>868</v>
      </c>
    </row>
    <row r="205">
      <c r="A205" s="14">
        <v>112185</v>
      </c>
      <c r="B205" s="0" t="s">
        <v>866</v>
      </c>
      <c r="C205" s="16">
        <f>HYPERLINK("https://eosportal.federatedhermes.com/companies/Q29tcGFueQppNzc4NTQ=", "Rolls-Royce Holdings PLC")</f>
      </c>
      <c r="D205" s="0" t="s">
        <v>25</v>
      </c>
      <c r="E205" s="0" t="s">
        <v>869</v>
      </c>
      <c r="F205" s="16">
        <f>HYPERLINK("https://eosportal.federatedhermes.com/engagements/RW5nYWdlbWVudAppMTkxNzc=", "Bribery &amp; corruption risk")</f>
      </c>
      <c r="G205" s="14" t="s">
        <v>870</v>
      </c>
      <c r="H205" s="0" t="s">
        <v>130</v>
      </c>
      <c r="I205" s="14" t="s">
        <v>319</v>
      </c>
      <c r="J205" s="0" t="s">
        <v>153</v>
      </c>
      <c r="K205" s="0" t="s">
        <v>185</v>
      </c>
      <c r="L205" s="0" t="s">
        <v>871</v>
      </c>
      <c r="M205" s="0" t="s">
        <v>272</v>
      </c>
      <c r="N205" s="0" t="s">
        <v>273</v>
      </c>
      <c r="O205" s="0" t="s">
        <v>176</v>
      </c>
      <c r="Q205" s="0" t="s">
        <v>130</v>
      </c>
      <c r="R205" s="0" t="s">
        <v>138</v>
      </c>
      <c r="S205" s="14">
        <v>0</v>
      </c>
      <c r="T205" s="0" t="s">
        <v>299</v>
      </c>
      <c r="U205" s="0" t="s">
        <v>138</v>
      </c>
      <c r="V205" s="14" t="s">
        <v>138</v>
      </c>
      <c r="W205" s="0" t="s">
        <v>138</v>
      </c>
      <c r="X205" s="14" t="s">
        <v>138</v>
      </c>
      <c r="Y205" s="0" t="s">
        <v>138</v>
      </c>
      <c r="Z205" s="14" t="s">
        <v>138</v>
      </c>
      <c r="AA205" s="0" t="s">
        <v>138</v>
      </c>
      <c r="AB205" s="14" t="s">
        <v>138</v>
      </c>
      <c r="AD205" s="0" t="s">
        <v>138</v>
      </c>
      <c r="AF205" s="0">
        <v>0</v>
      </c>
      <c r="AG205" s="0">
        <v>0</v>
      </c>
      <c r="AH205" s="0" t="s">
        <v>140</v>
      </c>
      <c r="AI205" s="0" t="s">
        <v>138</v>
      </c>
      <c r="AL205" s="14"/>
      <c r="AN205" s="14"/>
      <c r="AQ205" s="0" t="s">
        <v>130</v>
      </c>
      <c r="AR205" s="0" t="s">
        <v>130</v>
      </c>
      <c r="AS205" s="0" t="s">
        <v>130</v>
      </c>
      <c r="AT205" s="0" t="s">
        <v>130</v>
      </c>
      <c r="AU205" s="0" t="s">
        <v>130</v>
      </c>
      <c r="AV205" s="0" t="s">
        <v>130</v>
      </c>
      <c r="AW205" s="0" t="s">
        <v>130</v>
      </c>
      <c r="AX205" s="0" t="s">
        <v>130</v>
      </c>
      <c r="AY205" s="0" t="s">
        <v>130</v>
      </c>
      <c r="AZ205" s="0" t="s">
        <v>130</v>
      </c>
      <c r="BA205" s="0" t="s">
        <v>130</v>
      </c>
      <c r="BB205" s="0" t="s">
        <v>130</v>
      </c>
      <c r="BC205" s="0" t="s">
        <v>130</v>
      </c>
      <c r="BD205" s="0" t="s">
        <v>130</v>
      </c>
      <c r="BE205" s="0" t="s">
        <v>130</v>
      </c>
      <c r="BF205" s="0" t="s">
        <v>141</v>
      </c>
      <c r="BG205" s="0" t="s">
        <v>130</v>
      </c>
      <c r="BH205" s="0" t="s">
        <v>130</v>
      </c>
      <c r="BI205" s="0" t="s">
        <v>130</v>
      </c>
      <c r="BJ205" s="0" t="s">
        <v>130</v>
      </c>
      <c r="BK205" s="0" t="s">
        <v>130</v>
      </c>
      <c r="BL205" s="0" t="s">
        <v>130</v>
      </c>
      <c r="BM205" s="0" t="s">
        <v>130</v>
      </c>
      <c r="BN205" s="0" t="s">
        <v>130</v>
      </c>
      <c r="BO205" s="0" t="s">
        <v>130</v>
      </c>
      <c r="BP205" s="0" t="s">
        <v>130</v>
      </c>
      <c r="BQ205" s="0" t="s">
        <v>130</v>
      </c>
      <c r="BR205" s="0" t="s">
        <v>130</v>
      </c>
      <c r="BS205" s="0" t="s">
        <v>130</v>
      </c>
      <c r="BT205" s="0" t="s">
        <v>130</v>
      </c>
      <c r="BU205" s="0" t="s">
        <v>130</v>
      </c>
      <c r="BV205" s="0" t="s">
        <v>130</v>
      </c>
      <c r="BW205" s="0" t="s">
        <v>130</v>
      </c>
      <c r="BX205" s="0" t="s">
        <v>130</v>
      </c>
      <c r="BY205" s="0" t="s">
        <v>130</v>
      </c>
      <c r="BZ205" s="0" t="s">
        <v>130</v>
      </c>
      <c r="CA205" s="0" t="s">
        <v>130</v>
      </c>
      <c r="CB205" s="0" t="s">
        <v>130</v>
      </c>
      <c r="CC205" s="0" t="s">
        <v>130</v>
      </c>
      <c r="CD205" s="0" t="s">
        <v>130</v>
      </c>
      <c r="CE205" s="0" t="s">
        <v>130</v>
      </c>
      <c r="CF205" s="0" t="s">
        <v>130</v>
      </c>
      <c r="CG205" s="0" t="s">
        <v>130</v>
      </c>
      <c r="CH205" s="0" t="s">
        <v>130</v>
      </c>
      <c r="CI205" s="0" t="s">
        <v>130</v>
      </c>
      <c r="CJ205" s="0" t="s">
        <v>130</v>
      </c>
      <c r="CK205" s="0" t="s">
        <v>130</v>
      </c>
      <c r="CL205" s="0" t="s">
        <v>130</v>
      </c>
      <c r="CM205" s="0" t="s">
        <v>130</v>
      </c>
      <c r="CN205" s="0" t="s">
        <v>130</v>
      </c>
      <c r="CO205" s="0" t="s">
        <v>130</v>
      </c>
      <c r="CP205" s="0" t="s">
        <v>130</v>
      </c>
      <c r="CQ205" s="0" t="s">
        <v>141</v>
      </c>
      <c r="CR205" s="0" t="s">
        <v>141</v>
      </c>
      <c r="CS205" s="0" t="s">
        <v>141</v>
      </c>
      <c r="CT205" s="0" t="s">
        <v>872</v>
      </c>
    </row>
    <row r="206">
      <c r="A206" s="14">
        <v>112185</v>
      </c>
      <c r="B206" s="0" t="s">
        <v>866</v>
      </c>
      <c r="C206" s="16">
        <f>HYPERLINK("https://eosportal.federatedhermes.com/companies/Q29tcGFueQppNzc4NTQ=", "Rolls-Royce Holdings PLC")</f>
      </c>
      <c r="D206" s="0" t="s">
        <v>25</v>
      </c>
      <c r="E206" s="0" t="s">
        <v>873</v>
      </c>
      <c r="F206" s="16">
        <f>HYPERLINK("https://eosportal.federatedhermes.com/engagements/RW5nYWdlbWVudAppMTkxNzg=", "Risk management")</f>
      </c>
      <c r="G206" s="14"/>
      <c r="H206" s="0" t="s">
        <v>130</v>
      </c>
      <c r="I206" s="14" t="s">
        <v>319</v>
      </c>
      <c r="J206" s="0" t="s">
        <v>132</v>
      </c>
      <c r="K206" s="0" t="s">
        <v>260</v>
      </c>
      <c r="L206" s="0" t="s">
        <v>261</v>
      </c>
      <c r="M206" s="0" t="s">
        <v>272</v>
      </c>
      <c r="N206" s="0" t="s">
        <v>273</v>
      </c>
      <c r="O206" s="0" t="s">
        <v>176</v>
      </c>
      <c r="Q206" s="0" t="s">
        <v>130</v>
      </c>
      <c r="R206" s="0" t="s">
        <v>138</v>
      </c>
      <c r="S206" s="14">
        <v>0</v>
      </c>
      <c r="T206" s="0" t="s">
        <v>874</v>
      </c>
      <c r="U206" s="0" t="s">
        <v>138</v>
      </c>
      <c r="V206" s="14" t="s">
        <v>138</v>
      </c>
      <c r="W206" s="0" t="s">
        <v>138</v>
      </c>
      <c r="X206" s="14" t="s">
        <v>138</v>
      </c>
      <c r="Y206" s="0" t="s">
        <v>138</v>
      </c>
      <c r="Z206" s="14" t="s">
        <v>138</v>
      </c>
      <c r="AA206" s="0" t="s">
        <v>138</v>
      </c>
      <c r="AB206" s="14" t="s">
        <v>138</v>
      </c>
      <c r="AD206" s="0" t="s">
        <v>138</v>
      </c>
      <c r="AF206" s="0">
        <v>0</v>
      </c>
      <c r="AG206" s="0">
        <v>0</v>
      </c>
      <c r="AH206" s="0" t="s">
        <v>140</v>
      </c>
      <c r="AI206" s="0" t="s">
        <v>138</v>
      </c>
      <c r="AL206" s="14"/>
      <c r="AN206" s="14"/>
      <c r="AQ206" s="0" t="s">
        <v>130</v>
      </c>
      <c r="AR206" s="0" t="s">
        <v>130</v>
      </c>
      <c r="AS206" s="0" t="s">
        <v>130</v>
      </c>
      <c r="AT206" s="0" t="s">
        <v>130</v>
      </c>
      <c r="AU206" s="0" t="s">
        <v>130</v>
      </c>
      <c r="AV206" s="0" t="s">
        <v>130</v>
      </c>
      <c r="AW206" s="0" t="s">
        <v>130</v>
      </c>
      <c r="AX206" s="0" t="s">
        <v>130</v>
      </c>
      <c r="AY206" s="0" t="s">
        <v>130</v>
      </c>
      <c r="AZ206" s="0" t="s">
        <v>130</v>
      </c>
      <c r="BA206" s="0" t="s">
        <v>130</v>
      </c>
      <c r="BB206" s="0" t="s">
        <v>130</v>
      </c>
      <c r="BC206" s="0" t="s">
        <v>130</v>
      </c>
      <c r="BD206" s="0" t="s">
        <v>130</v>
      </c>
      <c r="BE206" s="0" t="s">
        <v>130</v>
      </c>
      <c r="BF206" s="0" t="s">
        <v>130</v>
      </c>
      <c r="BG206" s="0" t="s">
        <v>130</v>
      </c>
      <c r="BH206" s="0" t="s">
        <v>130</v>
      </c>
      <c r="BI206" s="0" t="s">
        <v>130</v>
      </c>
      <c r="BJ206" s="0" t="s">
        <v>130</v>
      </c>
      <c r="BK206" s="0" t="s">
        <v>130</v>
      </c>
      <c r="BL206" s="0" t="s">
        <v>130</v>
      </c>
      <c r="BM206" s="0" t="s">
        <v>130</v>
      </c>
      <c r="BN206" s="0" t="s">
        <v>130</v>
      </c>
      <c r="BO206" s="0" t="s">
        <v>130</v>
      </c>
      <c r="BP206" s="0" t="s">
        <v>130</v>
      </c>
      <c r="BQ206" s="0" t="s">
        <v>130</v>
      </c>
      <c r="BR206" s="0" t="s">
        <v>130</v>
      </c>
      <c r="BS206" s="0" t="s">
        <v>130</v>
      </c>
      <c r="BT206" s="0" t="s">
        <v>130</v>
      </c>
      <c r="BU206" s="0" t="s">
        <v>130</v>
      </c>
      <c r="BV206" s="0" t="s">
        <v>130</v>
      </c>
      <c r="BW206" s="0" t="s">
        <v>130</v>
      </c>
      <c r="BX206" s="0" t="s">
        <v>130</v>
      </c>
      <c r="BY206" s="0" t="s">
        <v>130</v>
      </c>
      <c r="BZ206" s="0" t="s">
        <v>130</v>
      </c>
      <c r="CA206" s="0" t="s">
        <v>130</v>
      </c>
      <c r="CB206" s="0" t="s">
        <v>130</v>
      </c>
      <c r="CC206" s="0" t="s">
        <v>130</v>
      </c>
      <c r="CD206" s="0" t="s">
        <v>130</v>
      </c>
      <c r="CE206" s="0" t="s">
        <v>130</v>
      </c>
      <c r="CF206" s="0" t="s">
        <v>130</v>
      </c>
      <c r="CG206" s="0" t="s">
        <v>130</v>
      </c>
      <c r="CH206" s="0" t="s">
        <v>130</v>
      </c>
      <c r="CI206" s="0" t="s">
        <v>130</v>
      </c>
      <c r="CJ206" s="0" t="s">
        <v>130</v>
      </c>
      <c r="CK206" s="0" t="s">
        <v>130</v>
      </c>
      <c r="CL206" s="0" t="s">
        <v>130</v>
      </c>
      <c r="CM206" s="0" t="s">
        <v>130</v>
      </c>
      <c r="CN206" s="0" t="s">
        <v>130</v>
      </c>
      <c r="CO206" s="0" t="s">
        <v>130</v>
      </c>
      <c r="CP206" s="0" t="s">
        <v>130</v>
      </c>
      <c r="CQ206" s="0" t="s">
        <v>130</v>
      </c>
      <c r="CR206" s="0" t="s">
        <v>130</v>
      </c>
      <c r="CS206" s="0" t="s">
        <v>130</v>
      </c>
      <c r="CT206" s="0" t="s">
        <v>875</v>
      </c>
    </row>
    <row r="207">
      <c r="A207" s="14">
        <v>112185</v>
      </c>
      <c r="B207" s="0" t="s">
        <v>866</v>
      </c>
      <c r="C207" s="16">
        <f>HYPERLINK("https://eosportal.federatedhermes.com/companies/Q29tcGFueQppNzc4NTQ=", "Rolls-Royce Holdings PLC")</f>
      </c>
      <c r="D207" s="0" t="s">
        <v>25</v>
      </c>
      <c r="E207" s="0" t="s">
        <v>876</v>
      </c>
      <c r="F207" s="16">
        <f>HYPERLINK("https://eosportal.federatedhermes.com/engagements/RW5nYWdlbWVudAppMTkxNzk=", "Remuneration practice and policy")</f>
      </c>
      <c r="G207" s="14" t="s">
        <v>877</v>
      </c>
      <c r="H207" s="0" t="s">
        <v>130</v>
      </c>
      <c r="I207" s="14" t="s">
        <v>319</v>
      </c>
      <c r="J207" s="0" t="s">
        <v>145</v>
      </c>
      <c r="K207" s="0" t="s">
        <v>146</v>
      </c>
      <c r="L207" s="0" t="s">
        <v>147</v>
      </c>
      <c r="M207" s="0" t="s">
        <v>272</v>
      </c>
      <c r="N207" s="0" t="s">
        <v>273</v>
      </c>
      <c r="O207" s="0" t="s">
        <v>176</v>
      </c>
      <c r="Q207" s="0" t="s">
        <v>130</v>
      </c>
      <c r="R207" s="0" t="s">
        <v>138</v>
      </c>
      <c r="S207" s="14">
        <v>0</v>
      </c>
      <c r="T207" s="0" t="s">
        <v>239</v>
      </c>
      <c r="U207" s="0" t="s">
        <v>138</v>
      </c>
      <c r="V207" s="14" t="s">
        <v>138</v>
      </c>
      <c r="W207" s="0" t="s">
        <v>138</v>
      </c>
      <c r="X207" s="14" t="s">
        <v>138</v>
      </c>
      <c r="Y207" s="0" t="s">
        <v>138</v>
      </c>
      <c r="Z207" s="14" t="s">
        <v>138</v>
      </c>
      <c r="AA207" s="0" t="s">
        <v>138</v>
      </c>
      <c r="AB207" s="14" t="s">
        <v>138</v>
      </c>
      <c r="AD207" s="0" t="s">
        <v>138</v>
      </c>
      <c r="AF207" s="0">
        <v>0</v>
      </c>
      <c r="AG207" s="0">
        <v>0</v>
      </c>
      <c r="AH207" s="0" t="s">
        <v>140</v>
      </c>
      <c r="AI207" s="0" t="s">
        <v>138</v>
      </c>
      <c r="AL207" s="14"/>
      <c r="AN207" s="14"/>
      <c r="AQ207" s="0" t="s">
        <v>130</v>
      </c>
      <c r="AR207" s="0" t="s">
        <v>130</v>
      </c>
      <c r="AS207" s="0" t="s">
        <v>130</v>
      </c>
      <c r="AT207" s="0" t="s">
        <v>130</v>
      </c>
      <c r="AU207" s="0" t="s">
        <v>130</v>
      </c>
      <c r="AV207" s="0" t="s">
        <v>130</v>
      </c>
      <c r="AW207" s="0" t="s">
        <v>130</v>
      </c>
      <c r="AX207" s="0" t="s">
        <v>130</v>
      </c>
      <c r="AY207" s="0" t="s">
        <v>130</v>
      </c>
      <c r="AZ207" s="0" t="s">
        <v>130</v>
      </c>
      <c r="BA207" s="0" t="s">
        <v>130</v>
      </c>
      <c r="BB207" s="0" t="s">
        <v>130</v>
      </c>
      <c r="BC207" s="0" t="s">
        <v>130</v>
      </c>
      <c r="BD207" s="0" t="s">
        <v>130</v>
      </c>
      <c r="BE207" s="0" t="s">
        <v>130</v>
      </c>
      <c r="BF207" s="0" t="s">
        <v>130</v>
      </c>
      <c r="BG207" s="0" t="s">
        <v>130</v>
      </c>
      <c r="BH207" s="0" t="s">
        <v>130</v>
      </c>
      <c r="BI207" s="0" t="s">
        <v>130</v>
      </c>
      <c r="BJ207" s="0" t="s">
        <v>130</v>
      </c>
      <c r="BK207" s="0" t="s">
        <v>130</v>
      </c>
      <c r="BL207" s="0" t="s">
        <v>130</v>
      </c>
      <c r="BM207" s="0" t="s">
        <v>130</v>
      </c>
      <c r="BN207" s="0" t="s">
        <v>130</v>
      </c>
      <c r="BO207" s="0" t="s">
        <v>130</v>
      </c>
      <c r="BP207" s="0" t="s">
        <v>130</v>
      </c>
      <c r="BQ207" s="0" t="s">
        <v>130</v>
      </c>
      <c r="BR207" s="0" t="s">
        <v>130</v>
      </c>
      <c r="BS207" s="0" t="s">
        <v>130</v>
      </c>
      <c r="BT207" s="0" t="s">
        <v>130</v>
      </c>
      <c r="BU207" s="0" t="s">
        <v>130</v>
      </c>
      <c r="BV207" s="0" t="s">
        <v>130</v>
      </c>
      <c r="BW207" s="0" t="s">
        <v>130</v>
      </c>
      <c r="BX207" s="0" t="s">
        <v>130</v>
      </c>
      <c r="BY207" s="0" t="s">
        <v>130</v>
      </c>
      <c r="BZ207" s="0" t="s">
        <v>130</v>
      </c>
      <c r="CA207" s="0" t="s">
        <v>130</v>
      </c>
      <c r="CB207" s="0" t="s">
        <v>130</v>
      </c>
      <c r="CC207" s="0" t="s">
        <v>130</v>
      </c>
      <c r="CD207" s="0" t="s">
        <v>130</v>
      </c>
      <c r="CE207" s="0" t="s">
        <v>130</v>
      </c>
      <c r="CF207" s="0" t="s">
        <v>130</v>
      </c>
      <c r="CG207" s="0" t="s">
        <v>130</v>
      </c>
      <c r="CH207" s="0" t="s">
        <v>130</v>
      </c>
      <c r="CI207" s="0" t="s">
        <v>130</v>
      </c>
      <c r="CJ207" s="0" t="s">
        <v>130</v>
      </c>
      <c r="CK207" s="0" t="s">
        <v>130</v>
      </c>
      <c r="CL207" s="0" t="s">
        <v>130</v>
      </c>
      <c r="CM207" s="0" t="s">
        <v>130</v>
      </c>
      <c r="CN207" s="0" t="s">
        <v>130</v>
      </c>
      <c r="CO207" s="0" t="s">
        <v>130</v>
      </c>
      <c r="CP207" s="0" t="s">
        <v>130</v>
      </c>
      <c r="CQ207" s="0" t="s">
        <v>130</v>
      </c>
      <c r="CR207" s="0" t="s">
        <v>130</v>
      </c>
      <c r="CS207" s="0" t="s">
        <v>130</v>
      </c>
      <c r="CT207" s="0" t="s">
        <v>878</v>
      </c>
    </row>
    <row r="208">
      <c r="A208" s="14">
        <v>112185</v>
      </c>
      <c r="B208" s="0" t="s">
        <v>866</v>
      </c>
      <c r="C208" s="16">
        <f>HYPERLINK("https://eosportal.federatedhermes.com/companies/Q29tcGFueQppNzc4NTQ=", "Rolls-Royce Holdings PLC")</f>
      </c>
      <c r="D208" s="0" t="s">
        <v>25</v>
      </c>
      <c r="E208" s="0" t="s">
        <v>879</v>
      </c>
      <c r="F208" s="16">
        <f>HYPERLINK("https://eosportal.federatedhermes.com/engagements/RW5nYWdlbWVudAppMTkxODA=", "Reputation management")</f>
      </c>
      <c r="G208" s="14"/>
      <c r="H208" s="0" t="s">
        <v>130</v>
      </c>
      <c r="I208" s="14" t="s">
        <v>319</v>
      </c>
      <c r="J208" s="0" t="s">
        <v>132</v>
      </c>
      <c r="K208" s="0" t="s">
        <v>260</v>
      </c>
      <c r="L208" s="0" t="s">
        <v>261</v>
      </c>
      <c r="M208" s="0" t="s">
        <v>272</v>
      </c>
      <c r="N208" s="0" t="s">
        <v>273</v>
      </c>
      <c r="O208" s="0" t="s">
        <v>176</v>
      </c>
      <c r="Q208" s="0" t="s">
        <v>130</v>
      </c>
      <c r="R208" s="0" t="s">
        <v>138</v>
      </c>
      <c r="S208" s="14">
        <v>0</v>
      </c>
      <c r="T208" s="0" t="s">
        <v>874</v>
      </c>
      <c r="U208" s="0" t="s">
        <v>138</v>
      </c>
      <c r="V208" s="14" t="s">
        <v>138</v>
      </c>
      <c r="W208" s="0" t="s">
        <v>138</v>
      </c>
      <c r="X208" s="14" t="s">
        <v>138</v>
      </c>
      <c r="Y208" s="0" t="s">
        <v>138</v>
      </c>
      <c r="Z208" s="14" t="s">
        <v>138</v>
      </c>
      <c r="AA208" s="0" t="s">
        <v>138</v>
      </c>
      <c r="AB208" s="14" t="s">
        <v>138</v>
      </c>
      <c r="AD208" s="0" t="s">
        <v>138</v>
      </c>
      <c r="AF208" s="0">
        <v>0</v>
      </c>
      <c r="AG208" s="0">
        <v>0</v>
      </c>
      <c r="AH208" s="0" t="s">
        <v>140</v>
      </c>
      <c r="AI208" s="0" t="s">
        <v>138</v>
      </c>
      <c r="AL208" s="14"/>
      <c r="AN208" s="14"/>
      <c r="AQ208" s="0" t="s">
        <v>130</v>
      </c>
      <c r="AR208" s="0" t="s">
        <v>130</v>
      </c>
      <c r="AS208" s="0" t="s">
        <v>130</v>
      </c>
      <c r="AT208" s="0" t="s">
        <v>130</v>
      </c>
      <c r="AU208" s="0" t="s">
        <v>130</v>
      </c>
      <c r="AV208" s="0" t="s">
        <v>130</v>
      </c>
      <c r="AW208" s="0" t="s">
        <v>130</v>
      </c>
      <c r="AX208" s="0" t="s">
        <v>130</v>
      </c>
      <c r="AY208" s="0" t="s">
        <v>130</v>
      </c>
      <c r="AZ208" s="0" t="s">
        <v>130</v>
      </c>
      <c r="BA208" s="0" t="s">
        <v>130</v>
      </c>
      <c r="BB208" s="0" t="s">
        <v>130</v>
      </c>
      <c r="BC208" s="0" t="s">
        <v>130</v>
      </c>
      <c r="BD208" s="0" t="s">
        <v>130</v>
      </c>
      <c r="BE208" s="0" t="s">
        <v>130</v>
      </c>
      <c r="BF208" s="0" t="s">
        <v>130</v>
      </c>
      <c r="BG208" s="0" t="s">
        <v>130</v>
      </c>
      <c r="BH208" s="0" t="s">
        <v>130</v>
      </c>
      <c r="BI208" s="0" t="s">
        <v>130</v>
      </c>
      <c r="BJ208" s="0" t="s">
        <v>130</v>
      </c>
      <c r="BK208" s="0" t="s">
        <v>130</v>
      </c>
      <c r="BL208" s="0" t="s">
        <v>130</v>
      </c>
      <c r="BM208" s="0" t="s">
        <v>130</v>
      </c>
      <c r="BN208" s="0" t="s">
        <v>130</v>
      </c>
      <c r="BO208" s="0" t="s">
        <v>130</v>
      </c>
      <c r="BP208" s="0" t="s">
        <v>130</v>
      </c>
      <c r="BQ208" s="0" t="s">
        <v>130</v>
      </c>
      <c r="BR208" s="0" t="s">
        <v>130</v>
      </c>
      <c r="BS208" s="0" t="s">
        <v>130</v>
      </c>
      <c r="BT208" s="0" t="s">
        <v>130</v>
      </c>
      <c r="BU208" s="0" t="s">
        <v>130</v>
      </c>
      <c r="BV208" s="0" t="s">
        <v>130</v>
      </c>
      <c r="BW208" s="0" t="s">
        <v>130</v>
      </c>
      <c r="BX208" s="0" t="s">
        <v>130</v>
      </c>
      <c r="BY208" s="0" t="s">
        <v>130</v>
      </c>
      <c r="BZ208" s="0" t="s">
        <v>130</v>
      </c>
      <c r="CA208" s="0" t="s">
        <v>130</v>
      </c>
      <c r="CB208" s="0" t="s">
        <v>130</v>
      </c>
      <c r="CC208" s="0" t="s">
        <v>130</v>
      </c>
      <c r="CD208" s="0" t="s">
        <v>130</v>
      </c>
      <c r="CE208" s="0" t="s">
        <v>130</v>
      </c>
      <c r="CF208" s="0" t="s">
        <v>130</v>
      </c>
      <c r="CG208" s="0" t="s">
        <v>130</v>
      </c>
      <c r="CH208" s="0" t="s">
        <v>130</v>
      </c>
      <c r="CI208" s="0" t="s">
        <v>130</v>
      </c>
      <c r="CJ208" s="0" t="s">
        <v>130</v>
      </c>
      <c r="CK208" s="0" t="s">
        <v>130</v>
      </c>
      <c r="CL208" s="0" t="s">
        <v>130</v>
      </c>
      <c r="CM208" s="0" t="s">
        <v>130</v>
      </c>
      <c r="CN208" s="0" t="s">
        <v>130</v>
      </c>
      <c r="CO208" s="0" t="s">
        <v>130</v>
      </c>
      <c r="CP208" s="0" t="s">
        <v>130</v>
      </c>
      <c r="CQ208" s="0" t="s">
        <v>130</v>
      </c>
      <c r="CR208" s="0" t="s">
        <v>130</v>
      </c>
      <c r="CS208" s="0" t="s">
        <v>130</v>
      </c>
      <c r="CT208" s="0" t="s">
        <v>880</v>
      </c>
    </row>
    <row r="209">
      <c r="A209" s="14">
        <v>112185</v>
      </c>
      <c r="B209" s="0" t="s">
        <v>866</v>
      </c>
      <c r="C209" s="16">
        <f>HYPERLINK("https://eosportal.federatedhermes.com/companies/Q29tcGFueQppNzc4NTQ=", "Rolls-Royce Holdings PLC")</f>
      </c>
      <c r="D209" s="0" t="s">
        <v>25</v>
      </c>
      <c r="E209" s="0" t="s">
        <v>881</v>
      </c>
      <c r="F209" s="16">
        <f>HYPERLINK("https://eosportal.federatedhermes.com/engagements/RW5nYWdlbWVudAppMTkxODE=", "Sale and export controls and oversight")</f>
      </c>
      <c r="G209" s="14" t="s">
        <v>882</v>
      </c>
      <c r="H209" s="0" t="s">
        <v>130</v>
      </c>
      <c r="I209" s="14" t="s">
        <v>319</v>
      </c>
      <c r="J209" s="0" t="s">
        <v>153</v>
      </c>
      <c r="K209" s="0" t="s">
        <v>243</v>
      </c>
      <c r="L209" s="0" t="s">
        <v>571</v>
      </c>
      <c r="M209" s="0" t="s">
        <v>272</v>
      </c>
      <c r="N209" s="0" t="s">
        <v>273</v>
      </c>
      <c r="O209" s="0" t="s">
        <v>176</v>
      </c>
      <c r="Q209" s="0" t="s">
        <v>130</v>
      </c>
      <c r="R209" s="0" t="s">
        <v>138</v>
      </c>
      <c r="S209" s="14">
        <v>0</v>
      </c>
      <c r="T209" s="0" t="s">
        <v>293</v>
      </c>
      <c r="U209" s="0" t="s">
        <v>138</v>
      </c>
      <c r="V209" s="14" t="s">
        <v>138</v>
      </c>
      <c r="W209" s="0" t="s">
        <v>138</v>
      </c>
      <c r="X209" s="14" t="s">
        <v>138</v>
      </c>
      <c r="Y209" s="0" t="s">
        <v>138</v>
      </c>
      <c r="Z209" s="14" t="s">
        <v>138</v>
      </c>
      <c r="AA209" s="0" t="s">
        <v>138</v>
      </c>
      <c r="AB209" s="14" t="s">
        <v>138</v>
      </c>
      <c r="AD209" s="0" t="s">
        <v>138</v>
      </c>
      <c r="AF209" s="0">
        <v>0</v>
      </c>
      <c r="AG209" s="0">
        <v>0</v>
      </c>
      <c r="AH209" s="0" t="s">
        <v>140</v>
      </c>
      <c r="AI209" s="0" t="s">
        <v>138</v>
      </c>
      <c r="AL209" s="14"/>
      <c r="AN209" s="14"/>
      <c r="AQ209" s="0" t="s">
        <v>130</v>
      </c>
      <c r="AR209" s="0" t="s">
        <v>130</v>
      </c>
      <c r="AS209" s="0" t="s">
        <v>130</v>
      </c>
      <c r="AT209" s="0" t="s">
        <v>130</v>
      </c>
      <c r="AU209" s="0" t="s">
        <v>130</v>
      </c>
      <c r="AV209" s="0" t="s">
        <v>130</v>
      </c>
      <c r="AW209" s="0" t="s">
        <v>130</v>
      </c>
      <c r="AX209" s="0" t="s">
        <v>130</v>
      </c>
      <c r="AY209" s="0" t="s">
        <v>130</v>
      </c>
      <c r="AZ209" s="0" t="s">
        <v>130</v>
      </c>
      <c r="BA209" s="0" t="s">
        <v>130</v>
      </c>
      <c r="BB209" s="0" t="s">
        <v>130</v>
      </c>
      <c r="BC209" s="0" t="s">
        <v>130</v>
      </c>
      <c r="BD209" s="0" t="s">
        <v>130</v>
      </c>
      <c r="BE209" s="0" t="s">
        <v>130</v>
      </c>
      <c r="BF209" s="0" t="s">
        <v>130</v>
      </c>
      <c r="BG209" s="0" t="s">
        <v>130</v>
      </c>
      <c r="BH209" s="0" t="s">
        <v>130</v>
      </c>
      <c r="BI209" s="0" t="s">
        <v>130</v>
      </c>
      <c r="BJ209" s="0" t="s">
        <v>130</v>
      </c>
      <c r="BK209" s="0" t="s">
        <v>130</v>
      </c>
      <c r="BL209" s="0" t="s">
        <v>130</v>
      </c>
      <c r="BM209" s="0" t="s">
        <v>130</v>
      </c>
      <c r="BN209" s="0" t="s">
        <v>130</v>
      </c>
      <c r="BO209" s="0" t="s">
        <v>130</v>
      </c>
      <c r="BP209" s="0" t="s">
        <v>130</v>
      </c>
      <c r="BQ209" s="0" t="s">
        <v>130</v>
      </c>
      <c r="BR209" s="0" t="s">
        <v>130</v>
      </c>
      <c r="BS209" s="0" t="s">
        <v>130</v>
      </c>
      <c r="BT209" s="0" t="s">
        <v>130</v>
      </c>
      <c r="BU209" s="0" t="s">
        <v>130</v>
      </c>
      <c r="BV209" s="0" t="s">
        <v>130</v>
      </c>
      <c r="BW209" s="0" t="s">
        <v>130</v>
      </c>
      <c r="BX209" s="0" t="s">
        <v>130</v>
      </c>
      <c r="BY209" s="0" t="s">
        <v>130</v>
      </c>
      <c r="BZ209" s="0" t="s">
        <v>130</v>
      </c>
      <c r="CA209" s="0" t="s">
        <v>130</v>
      </c>
      <c r="CB209" s="0" t="s">
        <v>130</v>
      </c>
      <c r="CC209" s="0" t="s">
        <v>130</v>
      </c>
      <c r="CD209" s="0" t="s">
        <v>130</v>
      </c>
      <c r="CE209" s="0" t="s">
        <v>130</v>
      </c>
      <c r="CF209" s="0" t="s">
        <v>130</v>
      </c>
      <c r="CG209" s="0" t="s">
        <v>130</v>
      </c>
      <c r="CH209" s="0" t="s">
        <v>130</v>
      </c>
      <c r="CI209" s="0" t="s">
        <v>130</v>
      </c>
      <c r="CJ209" s="0" t="s">
        <v>130</v>
      </c>
      <c r="CK209" s="0" t="s">
        <v>130</v>
      </c>
      <c r="CL209" s="0" t="s">
        <v>130</v>
      </c>
      <c r="CM209" s="0" t="s">
        <v>130</v>
      </c>
      <c r="CN209" s="0" t="s">
        <v>130</v>
      </c>
      <c r="CO209" s="0" t="s">
        <v>130</v>
      </c>
      <c r="CP209" s="0" t="s">
        <v>130</v>
      </c>
      <c r="CQ209" s="0" t="s">
        <v>130</v>
      </c>
      <c r="CR209" s="0" t="s">
        <v>130</v>
      </c>
      <c r="CS209" s="0" t="s">
        <v>130</v>
      </c>
      <c r="CT209" s="0" t="s">
        <v>883</v>
      </c>
    </row>
    <row r="210">
      <c r="A210" s="14">
        <v>112185</v>
      </c>
      <c r="B210" s="0" t="s">
        <v>866</v>
      </c>
      <c r="C210" s="16">
        <f>HYPERLINK("https://eosportal.federatedhermes.com/companies/Q29tcGFueQppNzc4NTQ=", "Rolls-Royce Holdings PLC")</f>
      </c>
      <c r="D210" s="0" t="s">
        <v>25</v>
      </c>
      <c r="E210" s="0" t="s">
        <v>298</v>
      </c>
      <c r="F210" s="16">
        <f>HYPERLINK("https://eosportal.federatedhermes.com/engagements/RW5nYWdlbWVudAppMTkxODI=", "Corporate culture")</f>
      </c>
      <c r="G210" s="14" t="s">
        <v>291</v>
      </c>
      <c r="H210" s="0" t="s">
        <v>130</v>
      </c>
      <c r="I210" s="14" t="s">
        <v>319</v>
      </c>
      <c r="J210" s="0" t="s">
        <v>153</v>
      </c>
      <c r="K210" s="0" t="s">
        <v>185</v>
      </c>
      <c r="L210" s="0" t="s">
        <v>186</v>
      </c>
      <c r="M210" s="0" t="s">
        <v>272</v>
      </c>
      <c r="N210" s="0" t="s">
        <v>273</v>
      </c>
      <c r="O210" s="0" t="s">
        <v>176</v>
      </c>
      <c r="Q210" s="0" t="s">
        <v>130</v>
      </c>
      <c r="R210" s="0" t="s">
        <v>138</v>
      </c>
      <c r="S210" s="14">
        <v>0</v>
      </c>
      <c r="T210" s="0" t="s">
        <v>299</v>
      </c>
      <c r="U210" s="0" t="s">
        <v>138</v>
      </c>
      <c r="V210" s="14" t="s">
        <v>138</v>
      </c>
      <c r="W210" s="0" t="s">
        <v>138</v>
      </c>
      <c r="X210" s="14" t="s">
        <v>138</v>
      </c>
      <c r="Y210" s="0" t="s">
        <v>138</v>
      </c>
      <c r="Z210" s="14" t="s">
        <v>138</v>
      </c>
      <c r="AA210" s="0" t="s">
        <v>138</v>
      </c>
      <c r="AB210" s="14" t="s">
        <v>138</v>
      </c>
      <c r="AD210" s="0" t="s">
        <v>138</v>
      </c>
      <c r="AF210" s="0">
        <v>0</v>
      </c>
      <c r="AG210" s="0">
        <v>0</v>
      </c>
      <c r="AH210" s="0" t="s">
        <v>140</v>
      </c>
      <c r="AI210" s="0" t="s">
        <v>138</v>
      </c>
      <c r="AL210" s="14"/>
      <c r="AN210" s="14"/>
      <c r="AQ210" s="0" t="s">
        <v>130</v>
      </c>
      <c r="AR210" s="0" t="s">
        <v>130</v>
      </c>
      <c r="AS210" s="0" t="s">
        <v>130</v>
      </c>
      <c r="AT210" s="0" t="s">
        <v>130</v>
      </c>
      <c r="AU210" s="0" t="s">
        <v>130</v>
      </c>
      <c r="AV210" s="0" t="s">
        <v>130</v>
      </c>
      <c r="AW210" s="0" t="s">
        <v>130</v>
      </c>
      <c r="AX210" s="0" t="s">
        <v>130</v>
      </c>
      <c r="AY210" s="0" t="s">
        <v>130</v>
      </c>
      <c r="AZ210" s="0" t="s">
        <v>130</v>
      </c>
      <c r="BA210" s="0" t="s">
        <v>130</v>
      </c>
      <c r="BB210" s="0" t="s">
        <v>130</v>
      </c>
      <c r="BC210" s="0" t="s">
        <v>130</v>
      </c>
      <c r="BD210" s="0" t="s">
        <v>130</v>
      </c>
      <c r="BE210" s="0" t="s">
        <v>130</v>
      </c>
      <c r="BF210" s="0" t="s">
        <v>130</v>
      </c>
      <c r="BG210" s="0" t="s">
        <v>130</v>
      </c>
      <c r="BH210" s="0" t="s">
        <v>130</v>
      </c>
      <c r="BI210" s="0" t="s">
        <v>130</v>
      </c>
      <c r="BJ210" s="0" t="s">
        <v>130</v>
      </c>
      <c r="BK210" s="0" t="s">
        <v>130</v>
      </c>
      <c r="BL210" s="0" t="s">
        <v>130</v>
      </c>
      <c r="BM210" s="0" t="s">
        <v>130</v>
      </c>
      <c r="BN210" s="0" t="s">
        <v>130</v>
      </c>
      <c r="BO210" s="0" t="s">
        <v>130</v>
      </c>
      <c r="BP210" s="0" t="s">
        <v>130</v>
      </c>
      <c r="BQ210" s="0" t="s">
        <v>130</v>
      </c>
      <c r="BR210" s="0" t="s">
        <v>130</v>
      </c>
      <c r="BS210" s="0" t="s">
        <v>130</v>
      </c>
      <c r="BT210" s="0" t="s">
        <v>130</v>
      </c>
      <c r="BU210" s="0" t="s">
        <v>130</v>
      </c>
      <c r="BV210" s="0" t="s">
        <v>130</v>
      </c>
      <c r="BW210" s="0" t="s">
        <v>130</v>
      </c>
      <c r="BX210" s="0" t="s">
        <v>130</v>
      </c>
      <c r="BY210" s="0" t="s">
        <v>130</v>
      </c>
      <c r="BZ210" s="0" t="s">
        <v>130</v>
      </c>
      <c r="CA210" s="0" t="s">
        <v>130</v>
      </c>
      <c r="CB210" s="0" t="s">
        <v>130</v>
      </c>
      <c r="CC210" s="0" t="s">
        <v>130</v>
      </c>
      <c r="CD210" s="0" t="s">
        <v>130</v>
      </c>
      <c r="CE210" s="0" t="s">
        <v>130</v>
      </c>
      <c r="CF210" s="0" t="s">
        <v>130</v>
      </c>
      <c r="CG210" s="0" t="s">
        <v>130</v>
      </c>
      <c r="CH210" s="0" t="s">
        <v>130</v>
      </c>
      <c r="CI210" s="0" t="s">
        <v>130</v>
      </c>
      <c r="CJ210" s="0" t="s">
        <v>130</v>
      </c>
      <c r="CK210" s="0" t="s">
        <v>130</v>
      </c>
      <c r="CL210" s="0" t="s">
        <v>130</v>
      </c>
      <c r="CM210" s="0" t="s">
        <v>130</v>
      </c>
      <c r="CN210" s="0" t="s">
        <v>130</v>
      </c>
      <c r="CO210" s="0" t="s">
        <v>130</v>
      </c>
      <c r="CP210" s="0" t="s">
        <v>130</v>
      </c>
      <c r="CQ210" s="0" t="s">
        <v>130</v>
      </c>
      <c r="CR210" s="0" t="s">
        <v>130</v>
      </c>
      <c r="CS210" s="0" t="s">
        <v>130</v>
      </c>
      <c r="CT210" s="0" t="s">
        <v>884</v>
      </c>
    </row>
    <row r="211">
      <c r="A211" s="14">
        <v>112185</v>
      </c>
      <c r="B211" s="0" t="s">
        <v>866</v>
      </c>
      <c r="C211" s="16">
        <f>HYPERLINK("https://eosportal.federatedhermes.com/companies/Q29tcGFueQppNzc4NTQ=", "Rolls-Royce Holdings PLC")</f>
      </c>
      <c r="D211" s="0" t="s">
        <v>25</v>
      </c>
      <c r="E211" s="0" t="s">
        <v>885</v>
      </c>
      <c r="F211" s="16">
        <f>HYPERLINK("https://eosportal.federatedhermes.com/engagements/RW5nYWdlbWVudAppMTkxODM=", "Board-level skills and experience")</f>
      </c>
      <c r="G211" s="14"/>
      <c r="H211" s="0" t="s">
        <v>130</v>
      </c>
      <c r="I211" s="14" t="s">
        <v>319</v>
      </c>
      <c r="J211" s="0" t="s">
        <v>145</v>
      </c>
      <c r="K211" s="0" t="s">
        <v>164</v>
      </c>
      <c r="L211" s="0" t="s">
        <v>165</v>
      </c>
      <c r="M211" s="0" t="s">
        <v>272</v>
      </c>
      <c r="N211" s="0" t="s">
        <v>273</v>
      </c>
      <c r="O211" s="0" t="s">
        <v>176</v>
      </c>
      <c r="Q211" s="0" t="s">
        <v>130</v>
      </c>
      <c r="R211" s="0" t="s">
        <v>138</v>
      </c>
      <c r="S211" s="14">
        <v>0</v>
      </c>
      <c r="T211" s="0" t="s">
        <v>874</v>
      </c>
      <c r="U211" s="0" t="s">
        <v>138</v>
      </c>
      <c r="V211" s="14" t="s">
        <v>138</v>
      </c>
      <c r="W211" s="0" t="s">
        <v>138</v>
      </c>
      <c r="X211" s="14" t="s">
        <v>138</v>
      </c>
      <c r="Y211" s="0" t="s">
        <v>138</v>
      </c>
      <c r="Z211" s="14" t="s">
        <v>138</v>
      </c>
      <c r="AA211" s="0" t="s">
        <v>138</v>
      </c>
      <c r="AB211" s="14" t="s">
        <v>138</v>
      </c>
      <c r="AD211" s="0" t="s">
        <v>138</v>
      </c>
      <c r="AF211" s="0">
        <v>0</v>
      </c>
      <c r="AG211" s="0">
        <v>0</v>
      </c>
      <c r="AH211" s="0" t="s">
        <v>140</v>
      </c>
      <c r="AI211" s="0" t="s">
        <v>138</v>
      </c>
      <c r="AL211" s="14"/>
      <c r="AN211" s="14"/>
      <c r="AQ211" s="0" t="s">
        <v>130</v>
      </c>
      <c r="AR211" s="0" t="s">
        <v>130</v>
      </c>
      <c r="AS211" s="0" t="s">
        <v>130</v>
      </c>
      <c r="AT211" s="0" t="s">
        <v>130</v>
      </c>
      <c r="AU211" s="0" t="s">
        <v>130</v>
      </c>
      <c r="AV211" s="0" t="s">
        <v>130</v>
      </c>
      <c r="AW211" s="0" t="s">
        <v>130</v>
      </c>
      <c r="AX211" s="0" t="s">
        <v>130</v>
      </c>
      <c r="AY211" s="0" t="s">
        <v>130</v>
      </c>
      <c r="AZ211" s="0" t="s">
        <v>130</v>
      </c>
      <c r="BA211" s="0" t="s">
        <v>130</v>
      </c>
      <c r="BB211" s="0" t="s">
        <v>130</v>
      </c>
      <c r="BC211" s="0" t="s">
        <v>130</v>
      </c>
      <c r="BD211" s="0" t="s">
        <v>130</v>
      </c>
      <c r="BE211" s="0" t="s">
        <v>130</v>
      </c>
      <c r="BF211" s="0" t="s">
        <v>130</v>
      </c>
      <c r="BG211" s="0" t="s">
        <v>130</v>
      </c>
      <c r="BH211" s="0" t="s">
        <v>130</v>
      </c>
      <c r="BI211" s="0" t="s">
        <v>130</v>
      </c>
      <c r="BJ211" s="0" t="s">
        <v>130</v>
      </c>
      <c r="BK211" s="0" t="s">
        <v>130</v>
      </c>
      <c r="BL211" s="0" t="s">
        <v>130</v>
      </c>
      <c r="BM211" s="0" t="s">
        <v>130</v>
      </c>
      <c r="BN211" s="0" t="s">
        <v>130</v>
      </c>
      <c r="BO211" s="0" t="s">
        <v>130</v>
      </c>
      <c r="BP211" s="0" t="s">
        <v>130</v>
      </c>
      <c r="BQ211" s="0" t="s">
        <v>130</v>
      </c>
      <c r="BR211" s="0" t="s">
        <v>130</v>
      </c>
      <c r="BS211" s="0" t="s">
        <v>130</v>
      </c>
      <c r="BT211" s="0" t="s">
        <v>130</v>
      </c>
      <c r="BU211" s="0" t="s">
        <v>130</v>
      </c>
      <c r="BV211" s="0" t="s">
        <v>130</v>
      </c>
      <c r="BW211" s="0" t="s">
        <v>130</v>
      </c>
      <c r="BX211" s="0" t="s">
        <v>130</v>
      </c>
      <c r="BY211" s="0" t="s">
        <v>130</v>
      </c>
      <c r="BZ211" s="0" t="s">
        <v>130</v>
      </c>
      <c r="CA211" s="0" t="s">
        <v>130</v>
      </c>
      <c r="CB211" s="0" t="s">
        <v>130</v>
      </c>
      <c r="CC211" s="0" t="s">
        <v>130</v>
      </c>
      <c r="CD211" s="0" t="s">
        <v>130</v>
      </c>
      <c r="CE211" s="0" t="s">
        <v>130</v>
      </c>
      <c r="CF211" s="0" t="s">
        <v>130</v>
      </c>
      <c r="CG211" s="0" t="s">
        <v>130</v>
      </c>
      <c r="CH211" s="0" t="s">
        <v>130</v>
      </c>
      <c r="CI211" s="0" t="s">
        <v>130</v>
      </c>
      <c r="CJ211" s="0" t="s">
        <v>130</v>
      </c>
      <c r="CK211" s="0" t="s">
        <v>130</v>
      </c>
      <c r="CL211" s="0" t="s">
        <v>130</v>
      </c>
      <c r="CM211" s="0" t="s">
        <v>130</v>
      </c>
      <c r="CN211" s="0" t="s">
        <v>130</v>
      </c>
      <c r="CO211" s="0" t="s">
        <v>130</v>
      </c>
      <c r="CP211" s="0" t="s">
        <v>130</v>
      </c>
      <c r="CQ211" s="0" t="s">
        <v>130</v>
      </c>
      <c r="CR211" s="0" t="s">
        <v>130</v>
      </c>
      <c r="CS211" s="0" t="s">
        <v>130</v>
      </c>
      <c r="CT211" s="0" t="s">
        <v>886</v>
      </c>
    </row>
    <row r="212">
      <c r="A212" s="14">
        <v>112185</v>
      </c>
      <c r="B212" s="0" t="s">
        <v>866</v>
      </c>
      <c r="C212" s="16">
        <f>HYPERLINK("https://eosportal.federatedhermes.com/companies/Q29tcGFueQppNzc4NTQ=", "Rolls-Royce Holdings PLC")</f>
      </c>
      <c r="D212" s="0" t="s">
        <v>25</v>
      </c>
      <c r="E212" s="0" t="s">
        <v>887</v>
      </c>
      <c r="F212" s="16">
        <f>HYPERLINK("https://eosportal.federatedhermes.com/engagements/RW5nYWdlbWVudAppMTkxODY=", "Cornavirus response")</f>
      </c>
      <c r="G212" s="14" t="s">
        <v>888</v>
      </c>
      <c r="H212" s="0" t="s">
        <v>130</v>
      </c>
      <c r="I212" s="14" t="s">
        <v>319</v>
      </c>
      <c r="J212" s="0" t="s">
        <v>132</v>
      </c>
      <c r="K212" s="0" t="s">
        <v>260</v>
      </c>
      <c r="L212" s="0" t="s">
        <v>261</v>
      </c>
      <c r="M212" s="0" t="s">
        <v>272</v>
      </c>
      <c r="N212" s="0" t="s">
        <v>273</v>
      </c>
      <c r="O212" s="0" t="s">
        <v>176</v>
      </c>
      <c r="Q212" s="0" t="s">
        <v>130</v>
      </c>
      <c r="R212" s="0" t="s">
        <v>138</v>
      </c>
      <c r="S212" s="14">
        <v>0</v>
      </c>
      <c r="T212" s="0" t="s">
        <v>148</v>
      </c>
      <c r="U212" s="0" t="s">
        <v>138</v>
      </c>
      <c r="V212" s="14" t="s">
        <v>138</v>
      </c>
      <c r="W212" s="0" t="s">
        <v>138</v>
      </c>
      <c r="X212" s="14" t="s">
        <v>138</v>
      </c>
      <c r="Y212" s="0" t="s">
        <v>138</v>
      </c>
      <c r="Z212" s="14" t="s">
        <v>138</v>
      </c>
      <c r="AA212" s="0" t="s">
        <v>138</v>
      </c>
      <c r="AB212" s="14" t="s">
        <v>138</v>
      </c>
      <c r="AD212" s="0" t="s">
        <v>138</v>
      </c>
      <c r="AF212" s="0">
        <v>0</v>
      </c>
      <c r="AG212" s="0">
        <v>0</v>
      </c>
      <c r="AH212" s="0" t="s">
        <v>140</v>
      </c>
      <c r="AI212" s="0" t="s">
        <v>138</v>
      </c>
      <c r="AL212" s="14"/>
      <c r="AN212" s="14"/>
      <c r="AQ212" s="0" t="s">
        <v>130</v>
      </c>
      <c r="AR212" s="0" t="s">
        <v>130</v>
      </c>
      <c r="AS212" s="0" t="s">
        <v>130</v>
      </c>
      <c r="AT212" s="0" t="s">
        <v>130</v>
      </c>
      <c r="AU212" s="0" t="s">
        <v>130</v>
      </c>
      <c r="AV212" s="0" t="s">
        <v>130</v>
      </c>
      <c r="AW212" s="0" t="s">
        <v>130</v>
      </c>
      <c r="AX212" s="0" t="s">
        <v>130</v>
      </c>
      <c r="AY212" s="0" t="s">
        <v>130</v>
      </c>
      <c r="AZ212" s="0" t="s">
        <v>130</v>
      </c>
      <c r="BA212" s="0" t="s">
        <v>130</v>
      </c>
      <c r="BB212" s="0" t="s">
        <v>130</v>
      </c>
      <c r="BC212" s="0" t="s">
        <v>130</v>
      </c>
      <c r="BD212" s="0" t="s">
        <v>130</v>
      </c>
      <c r="BE212" s="0" t="s">
        <v>130</v>
      </c>
      <c r="BF212" s="0" t="s">
        <v>130</v>
      </c>
      <c r="BG212" s="0" t="s">
        <v>130</v>
      </c>
      <c r="BH212" s="0" t="s">
        <v>130</v>
      </c>
      <c r="BI212" s="0" t="s">
        <v>130</v>
      </c>
      <c r="BJ212" s="0" t="s">
        <v>130</v>
      </c>
      <c r="BK212" s="0" t="s">
        <v>130</v>
      </c>
      <c r="BL212" s="0" t="s">
        <v>130</v>
      </c>
      <c r="BM212" s="0" t="s">
        <v>130</v>
      </c>
      <c r="BN212" s="0" t="s">
        <v>130</v>
      </c>
      <c r="BO212" s="0" t="s">
        <v>130</v>
      </c>
      <c r="BP212" s="0" t="s">
        <v>130</v>
      </c>
      <c r="BQ212" s="0" t="s">
        <v>130</v>
      </c>
      <c r="BR212" s="0" t="s">
        <v>130</v>
      </c>
      <c r="BS212" s="0" t="s">
        <v>130</v>
      </c>
      <c r="BT212" s="0" t="s">
        <v>130</v>
      </c>
      <c r="BU212" s="0" t="s">
        <v>130</v>
      </c>
      <c r="BV212" s="0" t="s">
        <v>130</v>
      </c>
      <c r="BW212" s="0" t="s">
        <v>130</v>
      </c>
      <c r="BX212" s="0" t="s">
        <v>130</v>
      </c>
      <c r="BY212" s="0" t="s">
        <v>130</v>
      </c>
      <c r="BZ212" s="0" t="s">
        <v>130</v>
      </c>
      <c r="CA212" s="0" t="s">
        <v>130</v>
      </c>
      <c r="CB212" s="0" t="s">
        <v>130</v>
      </c>
      <c r="CC212" s="0" t="s">
        <v>130</v>
      </c>
      <c r="CD212" s="0" t="s">
        <v>130</v>
      </c>
      <c r="CE212" s="0" t="s">
        <v>130</v>
      </c>
      <c r="CF212" s="0" t="s">
        <v>130</v>
      </c>
      <c r="CG212" s="0" t="s">
        <v>130</v>
      </c>
      <c r="CH212" s="0" t="s">
        <v>130</v>
      </c>
      <c r="CI212" s="0" t="s">
        <v>130</v>
      </c>
      <c r="CJ212" s="0" t="s">
        <v>130</v>
      </c>
      <c r="CK212" s="0" t="s">
        <v>130</v>
      </c>
      <c r="CL212" s="0" t="s">
        <v>130</v>
      </c>
      <c r="CM212" s="0" t="s">
        <v>130</v>
      </c>
      <c r="CN212" s="0" t="s">
        <v>130</v>
      </c>
      <c r="CO212" s="0" t="s">
        <v>130</v>
      </c>
      <c r="CP212" s="0" t="s">
        <v>130</v>
      </c>
      <c r="CQ212" s="0" t="s">
        <v>130</v>
      </c>
      <c r="CR212" s="0" t="s">
        <v>130</v>
      </c>
      <c r="CS212" s="0" t="s">
        <v>130</v>
      </c>
      <c r="CT212" s="0" t="s">
        <v>889</v>
      </c>
    </row>
    <row r="213">
      <c r="A213" s="14">
        <v>112185</v>
      </c>
      <c r="B213" s="0" t="s">
        <v>866</v>
      </c>
      <c r="C213" s="16">
        <f>HYPERLINK("https://eosportal.federatedhermes.com/companies/Q29tcGFueQppNzc4NTQ=", "Rolls-Royce Holdings PLC")</f>
      </c>
      <c r="D213" s="0" t="s">
        <v>25</v>
      </c>
      <c r="E213" s="0" t="s">
        <v>890</v>
      </c>
      <c r="F213" s="16">
        <f>HYPERLINK("https://eosportal.federatedhermes.com/engagements/RW5nYWdlbWVudAppMTkxODc=", "Future fuel strategy")</f>
      </c>
      <c r="G213" s="14"/>
      <c r="H213" s="0" t="s">
        <v>130</v>
      </c>
      <c r="I213" s="14" t="s">
        <v>319</v>
      </c>
      <c r="J213" s="0" t="s">
        <v>197</v>
      </c>
      <c r="K213" s="0" t="s">
        <v>198</v>
      </c>
      <c r="L213" s="0" t="s">
        <v>216</v>
      </c>
      <c r="M213" s="0" t="s">
        <v>272</v>
      </c>
      <c r="N213" s="0" t="s">
        <v>273</v>
      </c>
      <c r="O213" s="0" t="s">
        <v>176</v>
      </c>
      <c r="Q213" s="0" t="s">
        <v>130</v>
      </c>
      <c r="R213" s="0" t="s">
        <v>138</v>
      </c>
      <c r="S213" s="14">
        <v>0</v>
      </c>
      <c r="T213" s="0" t="s">
        <v>874</v>
      </c>
      <c r="U213" s="0" t="s">
        <v>138</v>
      </c>
      <c r="V213" s="14" t="s">
        <v>138</v>
      </c>
      <c r="W213" s="0" t="s">
        <v>138</v>
      </c>
      <c r="X213" s="14" t="s">
        <v>138</v>
      </c>
      <c r="Y213" s="0" t="s">
        <v>138</v>
      </c>
      <c r="Z213" s="14" t="s">
        <v>138</v>
      </c>
      <c r="AA213" s="0" t="s">
        <v>138</v>
      </c>
      <c r="AB213" s="14" t="s">
        <v>138</v>
      </c>
      <c r="AD213" s="0" t="s">
        <v>138</v>
      </c>
      <c r="AF213" s="0">
        <v>0</v>
      </c>
      <c r="AG213" s="0">
        <v>0</v>
      </c>
      <c r="AH213" s="0" t="s">
        <v>140</v>
      </c>
      <c r="AI213" s="0" t="s">
        <v>138</v>
      </c>
      <c r="AL213" s="14"/>
      <c r="AN213" s="14"/>
      <c r="AQ213" s="0" t="s">
        <v>130</v>
      </c>
      <c r="AR213" s="0" t="s">
        <v>130</v>
      </c>
      <c r="AS213" s="0" t="s">
        <v>130</v>
      </c>
      <c r="AT213" s="0" t="s">
        <v>130</v>
      </c>
      <c r="AU213" s="0" t="s">
        <v>130</v>
      </c>
      <c r="AV213" s="0" t="s">
        <v>130</v>
      </c>
      <c r="AW213" s="0" t="s">
        <v>141</v>
      </c>
      <c r="AX213" s="0" t="s">
        <v>130</v>
      </c>
      <c r="AY213" s="0" t="s">
        <v>130</v>
      </c>
      <c r="AZ213" s="0" t="s">
        <v>130</v>
      </c>
      <c r="BA213" s="0" t="s">
        <v>130</v>
      </c>
      <c r="BB213" s="0" t="s">
        <v>141</v>
      </c>
      <c r="BC213" s="0" t="s">
        <v>141</v>
      </c>
      <c r="BD213" s="0" t="s">
        <v>130</v>
      </c>
      <c r="BE213" s="0" t="s">
        <v>130</v>
      </c>
      <c r="BF213" s="0" t="s">
        <v>130</v>
      </c>
      <c r="BG213" s="0" t="s">
        <v>130</v>
      </c>
      <c r="BH213" s="0" t="s">
        <v>141</v>
      </c>
      <c r="BI213" s="0" t="s">
        <v>141</v>
      </c>
      <c r="BJ213" s="0" t="s">
        <v>141</v>
      </c>
      <c r="BK213" s="0" t="s">
        <v>130</v>
      </c>
      <c r="BL213" s="0" t="s">
        <v>130</v>
      </c>
      <c r="BM213" s="0" t="s">
        <v>130</v>
      </c>
      <c r="BN213" s="0" t="s">
        <v>130</v>
      </c>
      <c r="BO213" s="0" t="s">
        <v>130</v>
      </c>
      <c r="BP213" s="0" t="s">
        <v>130</v>
      </c>
      <c r="BQ213" s="0" t="s">
        <v>130</v>
      </c>
      <c r="BR213" s="0" t="s">
        <v>130</v>
      </c>
      <c r="BS213" s="0" t="s">
        <v>130</v>
      </c>
      <c r="BT213" s="0" t="s">
        <v>130</v>
      </c>
      <c r="BU213" s="0" t="s">
        <v>130</v>
      </c>
      <c r="BV213" s="0" t="s">
        <v>141</v>
      </c>
      <c r="BW213" s="0" t="s">
        <v>141</v>
      </c>
      <c r="BX213" s="0" t="s">
        <v>130</v>
      </c>
      <c r="BY213" s="0" t="s">
        <v>130</v>
      </c>
      <c r="BZ213" s="0" t="s">
        <v>130</v>
      </c>
      <c r="CA213" s="0" t="s">
        <v>130</v>
      </c>
      <c r="CB213" s="0" t="s">
        <v>130</v>
      </c>
      <c r="CC213" s="0" t="s">
        <v>130</v>
      </c>
      <c r="CD213" s="0" t="s">
        <v>130</v>
      </c>
      <c r="CE213" s="0" t="s">
        <v>130</v>
      </c>
      <c r="CF213" s="0" t="s">
        <v>130</v>
      </c>
      <c r="CG213" s="0" t="s">
        <v>130</v>
      </c>
      <c r="CH213" s="0" t="s">
        <v>130</v>
      </c>
      <c r="CI213" s="0" t="s">
        <v>130</v>
      </c>
      <c r="CJ213" s="0" t="s">
        <v>130</v>
      </c>
      <c r="CK213" s="0" t="s">
        <v>130</v>
      </c>
      <c r="CL213" s="0" t="s">
        <v>130</v>
      </c>
      <c r="CM213" s="0" t="s">
        <v>130</v>
      </c>
      <c r="CN213" s="0" t="s">
        <v>130</v>
      </c>
      <c r="CO213" s="0" t="s">
        <v>130</v>
      </c>
      <c r="CP213" s="0" t="s">
        <v>130</v>
      </c>
      <c r="CQ213" s="0" t="s">
        <v>130</v>
      </c>
      <c r="CR213" s="0" t="s">
        <v>130</v>
      </c>
      <c r="CS213" s="0" t="s">
        <v>130</v>
      </c>
      <c r="CT213" s="0" t="s">
        <v>891</v>
      </c>
    </row>
    <row r="214">
      <c r="A214" s="14">
        <v>112185</v>
      </c>
      <c r="B214" s="0" t="s">
        <v>866</v>
      </c>
      <c r="C214" s="16">
        <f>HYPERLINK("https://eosportal.federatedhermes.com/companies/Q29tcGFueQppNzc4NTQ=", "Rolls-Royce Holdings PLC")</f>
      </c>
      <c r="D214" s="0" t="s">
        <v>25</v>
      </c>
      <c r="E214" s="0" t="s">
        <v>892</v>
      </c>
      <c r="F214" s="16">
        <f>HYPERLINK("https://eosportal.federatedhermes.com/engagements/RW5nYWdlbWVudAppMTkxODg=", "Strategic priorities for new CEO")</f>
      </c>
      <c r="G214" s="14"/>
      <c r="H214" s="0" t="s">
        <v>130</v>
      </c>
      <c r="I214" s="14" t="s">
        <v>319</v>
      </c>
      <c r="J214" s="0" t="s">
        <v>153</v>
      </c>
      <c r="K214" s="0" t="s">
        <v>243</v>
      </c>
      <c r="L214" s="0" t="s">
        <v>244</v>
      </c>
      <c r="M214" s="0" t="s">
        <v>272</v>
      </c>
      <c r="N214" s="0" t="s">
        <v>273</v>
      </c>
      <c r="O214" s="0" t="s">
        <v>176</v>
      </c>
      <c r="Q214" s="0" t="s">
        <v>130</v>
      </c>
      <c r="R214" s="0" t="s">
        <v>138</v>
      </c>
      <c r="S214" s="14">
        <v>0</v>
      </c>
      <c r="T214" s="0" t="s">
        <v>874</v>
      </c>
      <c r="U214" s="0" t="s">
        <v>138</v>
      </c>
      <c r="V214" s="14" t="s">
        <v>138</v>
      </c>
      <c r="W214" s="0" t="s">
        <v>138</v>
      </c>
      <c r="X214" s="14" t="s">
        <v>138</v>
      </c>
      <c r="Y214" s="0" t="s">
        <v>138</v>
      </c>
      <c r="Z214" s="14" t="s">
        <v>138</v>
      </c>
      <c r="AA214" s="0" t="s">
        <v>138</v>
      </c>
      <c r="AB214" s="14" t="s">
        <v>138</v>
      </c>
      <c r="AD214" s="0" t="s">
        <v>138</v>
      </c>
      <c r="AF214" s="0">
        <v>0</v>
      </c>
      <c r="AG214" s="0">
        <v>0</v>
      </c>
      <c r="AH214" s="0" t="s">
        <v>140</v>
      </c>
      <c r="AI214" s="0" t="s">
        <v>138</v>
      </c>
      <c r="AL214" s="14"/>
      <c r="AN214" s="14"/>
      <c r="AQ214" s="0" t="s">
        <v>130</v>
      </c>
      <c r="AR214" s="0" t="s">
        <v>130</v>
      </c>
      <c r="AS214" s="0" t="s">
        <v>130</v>
      </c>
      <c r="AT214" s="0" t="s">
        <v>130</v>
      </c>
      <c r="AU214" s="0" t="s">
        <v>130</v>
      </c>
      <c r="AV214" s="0" t="s">
        <v>130</v>
      </c>
      <c r="AW214" s="0" t="s">
        <v>130</v>
      </c>
      <c r="AX214" s="0" t="s">
        <v>130</v>
      </c>
      <c r="AY214" s="0" t="s">
        <v>130</v>
      </c>
      <c r="AZ214" s="0" t="s">
        <v>130</v>
      </c>
      <c r="BA214" s="0" t="s">
        <v>130</v>
      </c>
      <c r="BB214" s="0" t="s">
        <v>130</v>
      </c>
      <c r="BC214" s="0" t="s">
        <v>130</v>
      </c>
      <c r="BD214" s="0" t="s">
        <v>130</v>
      </c>
      <c r="BE214" s="0" t="s">
        <v>130</v>
      </c>
      <c r="BF214" s="0" t="s">
        <v>130</v>
      </c>
      <c r="BG214" s="0" t="s">
        <v>130</v>
      </c>
      <c r="BH214" s="0" t="s">
        <v>130</v>
      </c>
      <c r="BI214" s="0" t="s">
        <v>130</v>
      </c>
      <c r="BJ214" s="0" t="s">
        <v>130</v>
      </c>
      <c r="BK214" s="0" t="s">
        <v>130</v>
      </c>
      <c r="BL214" s="0" t="s">
        <v>130</v>
      </c>
      <c r="BM214" s="0" t="s">
        <v>130</v>
      </c>
      <c r="BN214" s="0" t="s">
        <v>130</v>
      </c>
      <c r="BO214" s="0" t="s">
        <v>130</v>
      </c>
      <c r="BP214" s="0" t="s">
        <v>130</v>
      </c>
      <c r="BQ214" s="0" t="s">
        <v>130</v>
      </c>
      <c r="BR214" s="0" t="s">
        <v>130</v>
      </c>
      <c r="BS214" s="0" t="s">
        <v>130</v>
      </c>
      <c r="BT214" s="0" t="s">
        <v>130</v>
      </c>
      <c r="BU214" s="0" t="s">
        <v>130</v>
      </c>
      <c r="BV214" s="0" t="s">
        <v>130</v>
      </c>
      <c r="BW214" s="0" t="s">
        <v>130</v>
      </c>
      <c r="BX214" s="0" t="s">
        <v>130</v>
      </c>
      <c r="BY214" s="0" t="s">
        <v>130</v>
      </c>
      <c r="BZ214" s="0" t="s">
        <v>130</v>
      </c>
      <c r="CA214" s="0" t="s">
        <v>130</v>
      </c>
      <c r="CB214" s="0" t="s">
        <v>130</v>
      </c>
      <c r="CC214" s="0" t="s">
        <v>130</v>
      </c>
      <c r="CD214" s="0" t="s">
        <v>130</v>
      </c>
      <c r="CE214" s="0" t="s">
        <v>130</v>
      </c>
      <c r="CF214" s="0" t="s">
        <v>130</v>
      </c>
      <c r="CG214" s="0" t="s">
        <v>130</v>
      </c>
      <c r="CH214" s="0" t="s">
        <v>130</v>
      </c>
      <c r="CI214" s="0" t="s">
        <v>130</v>
      </c>
      <c r="CJ214" s="0" t="s">
        <v>130</v>
      </c>
      <c r="CK214" s="0" t="s">
        <v>130</v>
      </c>
      <c r="CL214" s="0" t="s">
        <v>130</v>
      </c>
      <c r="CM214" s="0" t="s">
        <v>130</v>
      </c>
      <c r="CN214" s="0" t="s">
        <v>130</v>
      </c>
      <c r="CO214" s="0" t="s">
        <v>130</v>
      </c>
      <c r="CP214" s="0" t="s">
        <v>130</v>
      </c>
      <c r="CQ214" s="0" t="s">
        <v>130</v>
      </c>
      <c r="CR214" s="0" t="s">
        <v>130</v>
      </c>
      <c r="CS214" s="0" t="s">
        <v>130</v>
      </c>
      <c r="CT214" s="0" t="s">
        <v>893</v>
      </c>
    </row>
    <row r="215">
      <c r="A215" s="14">
        <v>112185</v>
      </c>
      <c r="B215" s="0" t="s">
        <v>866</v>
      </c>
      <c r="C215" s="16">
        <f>HYPERLINK("https://eosportal.federatedhermes.com/companies/Q29tcGFueQppNzc4NTQ=", "Rolls-Royce Holdings PLC")</f>
      </c>
      <c r="D215" s="0" t="s">
        <v>25</v>
      </c>
      <c r="E215" s="0" t="s">
        <v>894</v>
      </c>
      <c r="F215" s="16">
        <f>HYPERLINK("https://eosportal.federatedhermes.com/engagements/RW5nYWdlbWVudAppMTkxODk=", "IT security")</f>
      </c>
      <c r="G215" s="14" t="s">
        <v>291</v>
      </c>
      <c r="H215" s="0" t="s">
        <v>130</v>
      </c>
      <c r="I215" s="14" t="s">
        <v>319</v>
      </c>
      <c r="J215" s="0" t="s">
        <v>132</v>
      </c>
      <c r="K215" s="0" t="s">
        <v>260</v>
      </c>
      <c r="L215" s="0" t="s">
        <v>261</v>
      </c>
      <c r="M215" s="0" t="s">
        <v>272</v>
      </c>
      <c r="N215" s="0" t="s">
        <v>273</v>
      </c>
      <c r="O215" s="0" t="s">
        <v>176</v>
      </c>
      <c r="Q215" s="0" t="s">
        <v>130</v>
      </c>
      <c r="R215" s="0" t="s">
        <v>138</v>
      </c>
      <c r="S215" s="14">
        <v>0</v>
      </c>
      <c r="T215" s="0" t="s">
        <v>299</v>
      </c>
      <c r="U215" s="0" t="s">
        <v>138</v>
      </c>
      <c r="V215" s="14" t="s">
        <v>138</v>
      </c>
      <c r="W215" s="0" t="s">
        <v>138</v>
      </c>
      <c r="X215" s="14" t="s">
        <v>138</v>
      </c>
      <c r="Y215" s="0" t="s">
        <v>138</v>
      </c>
      <c r="Z215" s="14" t="s">
        <v>138</v>
      </c>
      <c r="AA215" s="0" t="s">
        <v>138</v>
      </c>
      <c r="AB215" s="14" t="s">
        <v>138</v>
      </c>
      <c r="AD215" s="0" t="s">
        <v>138</v>
      </c>
      <c r="AF215" s="0">
        <v>0</v>
      </c>
      <c r="AG215" s="0">
        <v>0</v>
      </c>
      <c r="AH215" s="0" t="s">
        <v>140</v>
      </c>
      <c r="AI215" s="0" t="s">
        <v>138</v>
      </c>
      <c r="AL215" s="14"/>
      <c r="AN215" s="14"/>
      <c r="AQ215" s="0" t="s">
        <v>130</v>
      </c>
      <c r="AR215" s="0" t="s">
        <v>130</v>
      </c>
      <c r="AS215" s="0" t="s">
        <v>130</v>
      </c>
      <c r="AT215" s="0" t="s">
        <v>130</v>
      </c>
      <c r="AU215" s="0" t="s">
        <v>130</v>
      </c>
      <c r="AV215" s="0" t="s">
        <v>130</v>
      </c>
      <c r="AW215" s="0" t="s">
        <v>130</v>
      </c>
      <c r="AX215" s="0" t="s">
        <v>130</v>
      </c>
      <c r="AY215" s="0" t="s">
        <v>130</v>
      </c>
      <c r="AZ215" s="0" t="s">
        <v>130</v>
      </c>
      <c r="BA215" s="0" t="s">
        <v>130</v>
      </c>
      <c r="BB215" s="0" t="s">
        <v>130</v>
      </c>
      <c r="BC215" s="0" t="s">
        <v>130</v>
      </c>
      <c r="BD215" s="0" t="s">
        <v>130</v>
      </c>
      <c r="BE215" s="0" t="s">
        <v>130</v>
      </c>
      <c r="BF215" s="0" t="s">
        <v>130</v>
      </c>
      <c r="BG215" s="0" t="s">
        <v>130</v>
      </c>
      <c r="BH215" s="0" t="s">
        <v>130</v>
      </c>
      <c r="BI215" s="0" t="s">
        <v>130</v>
      </c>
      <c r="BJ215" s="0" t="s">
        <v>130</v>
      </c>
      <c r="BK215" s="0" t="s">
        <v>130</v>
      </c>
      <c r="BL215" s="0" t="s">
        <v>130</v>
      </c>
      <c r="BM215" s="0" t="s">
        <v>130</v>
      </c>
      <c r="BN215" s="0" t="s">
        <v>130</v>
      </c>
      <c r="BO215" s="0" t="s">
        <v>130</v>
      </c>
      <c r="BP215" s="0" t="s">
        <v>130</v>
      </c>
      <c r="BQ215" s="0" t="s">
        <v>130</v>
      </c>
      <c r="BR215" s="0" t="s">
        <v>130</v>
      </c>
      <c r="BS215" s="0" t="s">
        <v>130</v>
      </c>
      <c r="BT215" s="0" t="s">
        <v>130</v>
      </c>
      <c r="BU215" s="0" t="s">
        <v>130</v>
      </c>
      <c r="BV215" s="0" t="s">
        <v>130</v>
      </c>
      <c r="BW215" s="0" t="s">
        <v>130</v>
      </c>
      <c r="BX215" s="0" t="s">
        <v>130</v>
      </c>
      <c r="BY215" s="0" t="s">
        <v>130</v>
      </c>
      <c r="BZ215" s="0" t="s">
        <v>130</v>
      </c>
      <c r="CA215" s="0" t="s">
        <v>130</v>
      </c>
      <c r="CB215" s="0" t="s">
        <v>130</v>
      </c>
      <c r="CC215" s="0" t="s">
        <v>130</v>
      </c>
      <c r="CD215" s="0" t="s">
        <v>130</v>
      </c>
      <c r="CE215" s="0" t="s">
        <v>130</v>
      </c>
      <c r="CF215" s="0" t="s">
        <v>130</v>
      </c>
      <c r="CG215" s="0" t="s">
        <v>130</v>
      </c>
      <c r="CH215" s="0" t="s">
        <v>130</v>
      </c>
      <c r="CI215" s="0" t="s">
        <v>130</v>
      </c>
      <c r="CJ215" s="0" t="s">
        <v>130</v>
      </c>
      <c r="CK215" s="0" t="s">
        <v>130</v>
      </c>
      <c r="CL215" s="0" t="s">
        <v>130</v>
      </c>
      <c r="CM215" s="0" t="s">
        <v>130</v>
      </c>
      <c r="CN215" s="0" t="s">
        <v>130</v>
      </c>
      <c r="CO215" s="0" t="s">
        <v>130</v>
      </c>
      <c r="CP215" s="0" t="s">
        <v>130</v>
      </c>
      <c r="CQ215" s="0" t="s">
        <v>130</v>
      </c>
      <c r="CR215" s="0" t="s">
        <v>130</v>
      </c>
      <c r="CS215" s="0" t="s">
        <v>130</v>
      </c>
      <c r="CT215" s="0" t="s">
        <v>895</v>
      </c>
    </row>
    <row r="216">
      <c r="A216" s="14">
        <v>112185</v>
      </c>
      <c r="B216" s="0" t="s">
        <v>866</v>
      </c>
      <c r="C216" s="16">
        <f>HYPERLINK("https://eosportal.federatedhermes.com/companies/Q29tcGFueQppNzc4NTQ=", "Rolls-Royce Holdings PLC")</f>
      </c>
      <c r="D216" s="0" t="s">
        <v>25</v>
      </c>
      <c r="E216" s="0" t="s">
        <v>896</v>
      </c>
      <c r="F216" s="16">
        <f>HYPERLINK("https://eosportal.federatedhermes.com/engagements/RW5nYWdlbWVudAppMTkxOTA=", "Safety risks")</f>
      </c>
      <c r="G216" s="14" t="s">
        <v>897</v>
      </c>
      <c r="H216" s="0" t="s">
        <v>130</v>
      </c>
      <c r="I216" s="14" t="s">
        <v>319</v>
      </c>
      <c r="J216" s="0" t="s">
        <v>153</v>
      </c>
      <c r="K216" s="0" t="s">
        <v>154</v>
      </c>
      <c r="L216" s="0" t="s">
        <v>155</v>
      </c>
      <c r="M216" s="0" t="s">
        <v>272</v>
      </c>
      <c r="N216" s="0" t="s">
        <v>273</v>
      </c>
      <c r="O216" s="0" t="s">
        <v>176</v>
      </c>
      <c r="Q216" s="0" t="s">
        <v>130</v>
      </c>
      <c r="R216" s="0" t="s">
        <v>138</v>
      </c>
      <c r="S216" s="14">
        <v>0</v>
      </c>
      <c r="T216" s="0" t="s">
        <v>874</v>
      </c>
      <c r="U216" s="0" t="s">
        <v>138</v>
      </c>
      <c r="V216" s="14" t="s">
        <v>138</v>
      </c>
      <c r="W216" s="0" t="s">
        <v>138</v>
      </c>
      <c r="X216" s="14" t="s">
        <v>138</v>
      </c>
      <c r="Y216" s="0" t="s">
        <v>138</v>
      </c>
      <c r="Z216" s="14" t="s">
        <v>138</v>
      </c>
      <c r="AA216" s="0" t="s">
        <v>138</v>
      </c>
      <c r="AB216" s="14" t="s">
        <v>138</v>
      </c>
      <c r="AD216" s="0" t="s">
        <v>138</v>
      </c>
      <c r="AF216" s="0">
        <v>0</v>
      </c>
      <c r="AG216" s="0">
        <v>0</v>
      </c>
      <c r="AH216" s="0" t="s">
        <v>140</v>
      </c>
      <c r="AI216" s="0" t="s">
        <v>138</v>
      </c>
      <c r="AL216" s="14"/>
      <c r="AN216" s="14"/>
      <c r="AQ216" s="0" t="s">
        <v>130</v>
      </c>
      <c r="AR216" s="0" t="s">
        <v>130</v>
      </c>
      <c r="AS216" s="0" t="s">
        <v>130</v>
      </c>
      <c r="AT216" s="0" t="s">
        <v>130</v>
      </c>
      <c r="AU216" s="0" t="s">
        <v>130</v>
      </c>
      <c r="AV216" s="0" t="s">
        <v>130</v>
      </c>
      <c r="AW216" s="0" t="s">
        <v>130</v>
      </c>
      <c r="AX216" s="0" t="s">
        <v>141</v>
      </c>
      <c r="AY216" s="0" t="s">
        <v>141</v>
      </c>
      <c r="AZ216" s="0" t="s">
        <v>130</v>
      </c>
      <c r="BA216" s="0" t="s">
        <v>130</v>
      </c>
      <c r="BB216" s="0" t="s">
        <v>130</v>
      </c>
      <c r="BC216" s="0" t="s">
        <v>130</v>
      </c>
      <c r="BD216" s="0" t="s">
        <v>130</v>
      </c>
      <c r="BE216" s="0" t="s">
        <v>130</v>
      </c>
      <c r="BF216" s="0" t="s">
        <v>130</v>
      </c>
      <c r="BG216" s="0" t="s">
        <v>130</v>
      </c>
      <c r="BH216" s="0" t="s">
        <v>130</v>
      </c>
      <c r="BI216" s="0" t="s">
        <v>130</v>
      </c>
      <c r="BJ216" s="0" t="s">
        <v>130</v>
      </c>
      <c r="BK216" s="0" t="s">
        <v>130</v>
      </c>
      <c r="BL216" s="0" t="s">
        <v>130</v>
      </c>
      <c r="BM216" s="0" t="s">
        <v>130</v>
      </c>
      <c r="BN216" s="0" t="s">
        <v>130</v>
      </c>
      <c r="BO216" s="0" t="s">
        <v>130</v>
      </c>
      <c r="BP216" s="0" t="s">
        <v>130</v>
      </c>
      <c r="BQ216" s="0" t="s">
        <v>130</v>
      </c>
      <c r="BR216" s="0" t="s">
        <v>130</v>
      </c>
      <c r="BS216" s="0" t="s">
        <v>130</v>
      </c>
      <c r="BT216" s="0" t="s">
        <v>130</v>
      </c>
      <c r="BU216" s="0" t="s">
        <v>130</v>
      </c>
      <c r="BV216" s="0" t="s">
        <v>130</v>
      </c>
      <c r="BW216" s="0" t="s">
        <v>130</v>
      </c>
      <c r="BX216" s="0" t="s">
        <v>130</v>
      </c>
      <c r="BY216" s="0" t="s">
        <v>130</v>
      </c>
      <c r="BZ216" s="0" t="s">
        <v>130</v>
      </c>
      <c r="CA216" s="0" t="s">
        <v>130</v>
      </c>
      <c r="CB216" s="0" t="s">
        <v>130</v>
      </c>
      <c r="CC216" s="0" t="s">
        <v>130</v>
      </c>
      <c r="CD216" s="0" t="s">
        <v>130</v>
      </c>
      <c r="CE216" s="0" t="s">
        <v>130</v>
      </c>
      <c r="CF216" s="0" t="s">
        <v>130</v>
      </c>
      <c r="CG216" s="0" t="s">
        <v>130</v>
      </c>
      <c r="CH216" s="0" t="s">
        <v>130</v>
      </c>
      <c r="CI216" s="0" t="s">
        <v>141</v>
      </c>
      <c r="CJ216" s="0" t="s">
        <v>130</v>
      </c>
      <c r="CK216" s="0" t="s">
        <v>130</v>
      </c>
      <c r="CL216" s="0" t="s">
        <v>130</v>
      </c>
      <c r="CM216" s="0" t="s">
        <v>130</v>
      </c>
      <c r="CN216" s="0" t="s">
        <v>130</v>
      </c>
      <c r="CO216" s="0" t="s">
        <v>130</v>
      </c>
      <c r="CP216" s="0" t="s">
        <v>130</v>
      </c>
      <c r="CQ216" s="0" t="s">
        <v>130</v>
      </c>
      <c r="CR216" s="0" t="s">
        <v>130</v>
      </c>
      <c r="CS216" s="0" t="s">
        <v>130</v>
      </c>
      <c r="CT216" s="0" t="s">
        <v>898</v>
      </c>
    </row>
    <row r="217">
      <c r="A217" s="14">
        <v>112185</v>
      </c>
      <c r="B217" s="0" t="s">
        <v>866</v>
      </c>
      <c r="C217" s="16">
        <f>HYPERLINK("https://eosportal.federatedhermes.com/companies/Q29tcGFueQppNzc4NTQ=", "Rolls-Royce Holdings PLC")</f>
      </c>
      <c r="D217" s="0" t="s">
        <v>25</v>
      </c>
      <c r="E217" s="0" t="s">
        <v>899</v>
      </c>
      <c r="F217" s="16">
        <f>HYPERLINK("https://eosportal.federatedhermes.com/engagements/RW5nYWdlbWVudAppMTkxOTE=", "Climate lobbying report")</f>
      </c>
      <c r="G217" s="14" t="s">
        <v>900</v>
      </c>
      <c r="H217" s="0" t="s">
        <v>130</v>
      </c>
      <c r="I217" s="14" t="s">
        <v>319</v>
      </c>
      <c r="J217" s="0" t="s">
        <v>197</v>
      </c>
      <c r="K217" s="0" t="s">
        <v>348</v>
      </c>
      <c r="L217" s="0" t="s">
        <v>650</v>
      </c>
      <c r="M217" s="0" t="s">
        <v>272</v>
      </c>
      <c r="N217" s="0" t="s">
        <v>273</v>
      </c>
      <c r="O217" s="0" t="s">
        <v>176</v>
      </c>
      <c r="Q217" s="0" t="s">
        <v>130</v>
      </c>
      <c r="R217" s="0" t="s">
        <v>138</v>
      </c>
      <c r="S217" s="14">
        <v>0</v>
      </c>
      <c r="T217" s="0" t="s">
        <v>333</v>
      </c>
      <c r="U217" s="0" t="s">
        <v>138</v>
      </c>
      <c r="V217" s="14" t="s">
        <v>138</v>
      </c>
      <c r="W217" s="0" t="s">
        <v>138</v>
      </c>
      <c r="X217" s="14" t="s">
        <v>138</v>
      </c>
      <c r="Y217" s="0" t="s">
        <v>138</v>
      </c>
      <c r="Z217" s="14" t="s">
        <v>138</v>
      </c>
      <c r="AA217" s="0" t="s">
        <v>138</v>
      </c>
      <c r="AB217" s="14" t="s">
        <v>138</v>
      </c>
      <c r="AD217" s="0" t="s">
        <v>138</v>
      </c>
      <c r="AF217" s="0">
        <v>0</v>
      </c>
      <c r="AG217" s="0">
        <v>0</v>
      </c>
      <c r="AH217" s="0" t="s">
        <v>140</v>
      </c>
      <c r="AI217" s="0" t="s">
        <v>138</v>
      </c>
      <c r="AL217" s="14"/>
      <c r="AN217" s="14"/>
      <c r="AQ217" s="0" t="s">
        <v>130</v>
      </c>
      <c r="AR217" s="0" t="s">
        <v>130</v>
      </c>
      <c r="AS217" s="0" t="s">
        <v>130</v>
      </c>
      <c r="AT217" s="0" t="s">
        <v>130</v>
      </c>
      <c r="AU217" s="0" t="s">
        <v>130</v>
      </c>
      <c r="AV217" s="0" t="s">
        <v>130</v>
      </c>
      <c r="AW217" s="0" t="s">
        <v>130</v>
      </c>
      <c r="AX217" s="0" t="s">
        <v>130</v>
      </c>
      <c r="AY217" s="0" t="s">
        <v>130</v>
      </c>
      <c r="AZ217" s="0" t="s">
        <v>130</v>
      </c>
      <c r="BA217" s="0" t="s">
        <v>130</v>
      </c>
      <c r="BB217" s="0" t="s">
        <v>130</v>
      </c>
      <c r="BC217" s="0" t="s">
        <v>141</v>
      </c>
      <c r="BD217" s="0" t="s">
        <v>130</v>
      </c>
      <c r="BE217" s="0" t="s">
        <v>130</v>
      </c>
      <c r="BF217" s="0" t="s">
        <v>130</v>
      </c>
      <c r="BG217" s="0" t="s">
        <v>130</v>
      </c>
      <c r="BH217" s="0" t="s">
        <v>130</v>
      </c>
      <c r="BI217" s="0" t="s">
        <v>130</v>
      </c>
      <c r="BJ217" s="0" t="s">
        <v>130</v>
      </c>
      <c r="BK217" s="0" t="s">
        <v>130</v>
      </c>
      <c r="BL217" s="0" t="s">
        <v>130</v>
      </c>
      <c r="BM217" s="0" t="s">
        <v>130</v>
      </c>
      <c r="BN217" s="0" t="s">
        <v>130</v>
      </c>
      <c r="BO217" s="0" t="s">
        <v>130</v>
      </c>
      <c r="BP217" s="0" t="s">
        <v>130</v>
      </c>
      <c r="BQ217" s="0" t="s">
        <v>130</v>
      </c>
      <c r="BR217" s="0" t="s">
        <v>130</v>
      </c>
      <c r="BS217" s="0" t="s">
        <v>130</v>
      </c>
      <c r="BT217" s="0" t="s">
        <v>130</v>
      </c>
      <c r="BU217" s="0" t="s">
        <v>130</v>
      </c>
      <c r="BV217" s="0" t="s">
        <v>130</v>
      </c>
      <c r="BW217" s="0" t="s">
        <v>130</v>
      </c>
      <c r="BX217" s="0" t="s">
        <v>130</v>
      </c>
      <c r="BY217" s="0" t="s">
        <v>130</v>
      </c>
      <c r="BZ217" s="0" t="s">
        <v>130</v>
      </c>
      <c r="CA217" s="0" t="s">
        <v>130</v>
      </c>
      <c r="CB217" s="0" t="s">
        <v>130</v>
      </c>
      <c r="CC217" s="0" t="s">
        <v>130</v>
      </c>
      <c r="CD217" s="0" t="s">
        <v>130</v>
      </c>
      <c r="CE217" s="0" t="s">
        <v>130</v>
      </c>
      <c r="CF217" s="0" t="s">
        <v>130</v>
      </c>
      <c r="CG217" s="0" t="s">
        <v>130</v>
      </c>
      <c r="CH217" s="0" t="s">
        <v>130</v>
      </c>
      <c r="CI217" s="0" t="s">
        <v>130</v>
      </c>
      <c r="CJ217" s="0" t="s">
        <v>130</v>
      </c>
      <c r="CK217" s="0" t="s">
        <v>130</v>
      </c>
      <c r="CL217" s="0" t="s">
        <v>130</v>
      </c>
      <c r="CM217" s="0" t="s">
        <v>130</v>
      </c>
      <c r="CN217" s="0" t="s">
        <v>130</v>
      </c>
      <c r="CO217" s="0" t="s">
        <v>130</v>
      </c>
      <c r="CP217" s="0" t="s">
        <v>130</v>
      </c>
      <c r="CQ217" s="0" t="s">
        <v>130</v>
      </c>
      <c r="CR217" s="0" t="s">
        <v>130</v>
      </c>
      <c r="CS217" s="0" t="s">
        <v>130</v>
      </c>
      <c r="CT217" s="0" t="s">
        <v>901</v>
      </c>
    </row>
    <row r="218">
      <c r="A218" s="14">
        <v>100614</v>
      </c>
      <c r="B218" s="0" t="s">
        <v>902</v>
      </c>
      <c r="C218" s="16">
        <f>HYPERLINK("https://eosportal.federatedhermes.com/companies/Q29tcGFueQppNjc3NDg=", "Freeport-McMoRan Inc")</f>
      </c>
      <c r="D218" s="0" t="s">
        <v>25</v>
      </c>
      <c r="E218" s="0" t="s">
        <v>295</v>
      </c>
      <c r="F218" s="16">
        <f>HYPERLINK("https://eosportal.federatedhermes.com/engagements/RW5nYWdlbWVudAppMTkyMDc=", "Board structure")</f>
      </c>
      <c r="G218" s="14" t="s">
        <v>903</v>
      </c>
      <c r="H218" s="0" t="s">
        <v>141</v>
      </c>
      <c r="I218" s="14" t="s">
        <v>131</v>
      </c>
      <c r="J218" s="0" t="s">
        <v>132</v>
      </c>
      <c r="K218" s="0" t="s">
        <v>260</v>
      </c>
      <c r="L218" s="0" t="s">
        <v>261</v>
      </c>
      <c r="M218" s="0" t="s">
        <v>135</v>
      </c>
      <c r="N218" s="0" t="s">
        <v>136</v>
      </c>
      <c r="O218" s="0" t="s">
        <v>373</v>
      </c>
      <c r="Q218" s="0" t="s">
        <v>130</v>
      </c>
      <c r="R218" s="0" t="s">
        <v>138</v>
      </c>
      <c r="S218" s="14">
        <v>0</v>
      </c>
      <c r="T218" s="0" t="s">
        <v>148</v>
      </c>
      <c r="U218" s="0" t="s">
        <v>138</v>
      </c>
      <c r="V218" s="14" t="s">
        <v>138</v>
      </c>
      <c r="W218" s="0" t="s">
        <v>138</v>
      </c>
      <c r="X218" s="14" t="s">
        <v>138</v>
      </c>
      <c r="Y218" s="0" t="s">
        <v>138</v>
      </c>
      <c r="Z218" s="14" t="s">
        <v>138</v>
      </c>
      <c r="AA218" s="0" t="s">
        <v>138</v>
      </c>
      <c r="AB218" s="14" t="s">
        <v>138</v>
      </c>
      <c r="AD218" s="0" t="s">
        <v>138</v>
      </c>
      <c r="AF218" s="0">
        <v>0</v>
      </c>
      <c r="AG218" s="0">
        <v>0</v>
      </c>
      <c r="AH218" s="0" t="s">
        <v>140</v>
      </c>
      <c r="AI218" s="0" t="s">
        <v>138</v>
      </c>
      <c r="AL218" s="14"/>
      <c r="AN218" s="14"/>
      <c r="AQ218" s="0" t="s">
        <v>130</v>
      </c>
      <c r="AR218" s="0" t="s">
        <v>130</v>
      </c>
      <c r="AS218" s="0" t="s">
        <v>130</v>
      </c>
      <c r="AT218" s="0" t="s">
        <v>130</v>
      </c>
      <c r="AU218" s="0" t="s">
        <v>130</v>
      </c>
      <c r="AV218" s="0" t="s">
        <v>130</v>
      </c>
      <c r="AW218" s="0" t="s">
        <v>130</v>
      </c>
      <c r="AX218" s="0" t="s">
        <v>130</v>
      </c>
      <c r="AY218" s="0" t="s">
        <v>130</v>
      </c>
      <c r="AZ218" s="0" t="s">
        <v>130</v>
      </c>
      <c r="BA218" s="0" t="s">
        <v>130</v>
      </c>
      <c r="BB218" s="0" t="s">
        <v>130</v>
      </c>
      <c r="BC218" s="0" t="s">
        <v>130</v>
      </c>
      <c r="BD218" s="0" t="s">
        <v>130</v>
      </c>
      <c r="BE218" s="0" t="s">
        <v>130</v>
      </c>
      <c r="BF218" s="0" t="s">
        <v>130</v>
      </c>
      <c r="BG218" s="0" t="s">
        <v>130</v>
      </c>
      <c r="BH218" s="0" t="s">
        <v>130</v>
      </c>
      <c r="BI218" s="0" t="s">
        <v>130</v>
      </c>
      <c r="BJ218" s="0" t="s">
        <v>130</v>
      </c>
      <c r="BK218" s="0" t="s">
        <v>130</v>
      </c>
      <c r="BL218" s="0" t="s">
        <v>130</v>
      </c>
      <c r="BM218" s="0" t="s">
        <v>130</v>
      </c>
      <c r="BN218" s="0" t="s">
        <v>130</v>
      </c>
      <c r="BO218" s="0" t="s">
        <v>130</v>
      </c>
      <c r="BP218" s="0" t="s">
        <v>130</v>
      </c>
      <c r="BQ218" s="0" t="s">
        <v>130</v>
      </c>
      <c r="BR218" s="0" t="s">
        <v>130</v>
      </c>
      <c r="BS218" s="0" t="s">
        <v>130</v>
      </c>
      <c r="BT218" s="0" t="s">
        <v>130</v>
      </c>
      <c r="BU218" s="0" t="s">
        <v>130</v>
      </c>
      <c r="BV218" s="0" t="s">
        <v>130</v>
      </c>
      <c r="BW218" s="0" t="s">
        <v>130</v>
      </c>
      <c r="BX218" s="0" t="s">
        <v>130</v>
      </c>
      <c r="BY218" s="0" t="s">
        <v>130</v>
      </c>
      <c r="BZ218" s="0" t="s">
        <v>130</v>
      </c>
      <c r="CA218" s="0" t="s">
        <v>130</v>
      </c>
      <c r="CB218" s="0" t="s">
        <v>130</v>
      </c>
      <c r="CC218" s="0" t="s">
        <v>130</v>
      </c>
      <c r="CD218" s="0" t="s">
        <v>130</v>
      </c>
      <c r="CE218" s="0" t="s">
        <v>130</v>
      </c>
      <c r="CF218" s="0" t="s">
        <v>130</v>
      </c>
      <c r="CG218" s="0" t="s">
        <v>130</v>
      </c>
      <c r="CH218" s="0" t="s">
        <v>130</v>
      </c>
      <c r="CI218" s="0" t="s">
        <v>130</v>
      </c>
      <c r="CJ218" s="0" t="s">
        <v>130</v>
      </c>
      <c r="CK218" s="0" t="s">
        <v>130</v>
      </c>
      <c r="CL218" s="0" t="s">
        <v>130</v>
      </c>
      <c r="CM218" s="0" t="s">
        <v>130</v>
      </c>
      <c r="CN218" s="0" t="s">
        <v>130</v>
      </c>
      <c r="CO218" s="0" t="s">
        <v>130</v>
      </c>
      <c r="CP218" s="0" t="s">
        <v>130</v>
      </c>
      <c r="CQ218" s="0" t="s">
        <v>130</v>
      </c>
      <c r="CR218" s="0" t="s">
        <v>130</v>
      </c>
      <c r="CS218" s="0" t="s">
        <v>130</v>
      </c>
      <c r="CT218" s="0" t="s">
        <v>904</v>
      </c>
    </row>
    <row r="219">
      <c r="A219" s="14">
        <v>100614</v>
      </c>
      <c r="B219" s="0" t="s">
        <v>902</v>
      </c>
      <c r="C219" s="16">
        <f>HYPERLINK("https://eosportal.federatedhermes.com/companies/Q29tcGFueQppNjc3NDg=", "Freeport-McMoRan Inc")</f>
      </c>
      <c r="D219" s="0" t="s">
        <v>25</v>
      </c>
      <c r="E219" s="0" t="s">
        <v>709</v>
      </c>
      <c r="F219" s="16">
        <f>HYPERLINK("https://eosportal.federatedhermes.com/engagements/RW5nYWdlbWVudAppMTkyMTY=", "Proxy access")</f>
      </c>
      <c r="G219" s="14" t="s">
        <v>905</v>
      </c>
      <c r="H219" s="0" t="s">
        <v>141</v>
      </c>
      <c r="I219" s="14" t="s">
        <v>131</v>
      </c>
      <c r="J219" s="0" t="s">
        <v>145</v>
      </c>
      <c r="K219" s="0" t="s">
        <v>400</v>
      </c>
      <c r="L219" s="0" t="s">
        <v>507</v>
      </c>
      <c r="M219" s="0" t="s">
        <v>135</v>
      </c>
      <c r="N219" s="0" t="s">
        <v>136</v>
      </c>
      <c r="O219" s="0" t="s">
        <v>373</v>
      </c>
      <c r="Q219" s="0" t="s">
        <v>130</v>
      </c>
      <c r="R219" s="0" t="s">
        <v>138</v>
      </c>
      <c r="S219" s="14">
        <v>0</v>
      </c>
      <c r="T219" s="0" t="s">
        <v>435</v>
      </c>
      <c r="U219" s="0" t="s">
        <v>138</v>
      </c>
      <c r="V219" s="14" t="s">
        <v>138</v>
      </c>
      <c r="W219" s="0" t="s">
        <v>138</v>
      </c>
      <c r="X219" s="14" t="s">
        <v>138</v>
      </c>
      <c r="Y219" s="0" t="s">
        <v>138</v>
      </c>
      <c r="Z219" s="14" t="s">
        <v>138</v>
      </c>
      <c r="AA219" s="0" t="s">
        <v>138</v>
      </c>
      <c r="AB219" s="14" t="s">
        <v>138</v>
      </c>
      <c r="AD219" s="0" t="s">
        <v>138</v>
      </c>
      <c r="AF219" s="0">
        <v>0</v>
      </c>
      <c r="AG219" s="0">
        <v>0</v>
      </c>
      <c r="AH219" s="0" t="s">
        <v>140</v>
      </c>
      <c r="AI219" s="0" t="s">
        <v>138</v>
      </c>
      <c r="AL219" s="14"/>
      <c r="AN219" s="14"/>
      <c r="AQ219" s="0" t="s">
        <v>130</v>
      </c>
      <c r="AR219" s="0" t="s">
        <v>130</v>
      </c>
      <c r="AS219" s="0" t="s">
        <v>130</v>
      </c>
      <c r="AT219" s="0" t="s">
        <v>130</v>
      </c>
      <c r="AU219" s="0" t="s">
        <v>130</v>
      </c>
      <c r="AV219" s="0" t="s">
        <v>130</v>
      </c>
      <c r="AW219" s="0" t="s">
        <v>130</v>
      </c>
      <c r="AX219" s="0" t="s">
        <v>130</v>
      </c>
      <c r="AY219" s="0" t="s">
        <v>130</v>
      </c>
      <c r="AZ219" s="0" t="s">
        <v>130</v>
      </c>
      <c r="BA219" s="0" t="s">
        <v>130</v>
      </c>
      <c r="BB219" s="0" t="s">
        <v>130</v>
      </c>
      <c r="BC219" s="0" t="s">
        <v>130</v>
      </c>
      <c r="BD219" s="0" t="s">
        <v>130</v>
      </c>
      <c r="BE219" s="0" t="s">
        <v>130</v>
      </c>
      <c r="BF219" s="0" t="s">
        <v>130</v>
      </c>
      <c r="BG219" s="0" t="s">
        <v>130</v>
      </c>
      <c r="BH219" s="0" t="s">
        <v>130</v>
      </c>
      <c r="BI219" s="0" t="s">
        <v>130</v>
      </c>
      <c r="BJ219" s="0" t="s">
        <v>130</v>
      </c>
      <c r="BK219" s="0" t="s">
        <v>130</v>
      </c>
      <c r="BL219" s="0" t="s">
        <v>130</v>
      </c>
      <c r="BM219" s="0" t="s">
        <v>130</v>
      </c>
      <c r="BN219" s="0" t="s">
        <v>130</v>
      </c>
      <c r="BO219" s="0" t="s">
        <v>130</v>
      </c>
      <c r="BP219" s="0" t="s">
        <v>130</v>
      </c>
      <c r="BQ219" s="0" t="s">
        <v>130</v>
      </c>
      <c r="BR219" s="0" t="s">
        <v>130</v>
      </c>
      <c r="BS219" s="0" t="s">
        <v>130</v>
      </c>
      <c r="BT219" s="0" t="s">
        <v>130</v>
      </c>
      <c r="BU219" s="0" t="s">
        <v>130</v>
      </c>
      <c r="BV219" s="0" t="s">
        <v>130</v>
      </c>
      <c r="BW219" s="0" t="s">
        <v>130</v>
      </c>
      <c r="BX219" s="0" t="s">
        <v>130</v>
      </c>
      <c r="BY219" s="0" t="s">
        <v>130</v>
      </c>
      <c r="BZ219" s="0" t="s">
        <v>130</v>
      </c>
      <c r="CA219" s="0" t="s">
        <v>130</v>
      </c>
      <c r="CB219" s="0" t="s">
        <v>130</v>
      </c>
      <c r="CC219" s="0" t="s">
        <v>130</v>
      </c>
      <c r="CD219" s="0" t="s">
        <v>130</v>
      </c>
      <c r="CE219" s="0" t="s">
        <v>130</v>
      </c>
      <c r="CF219" s="0" t="s">
        <v>130</v>
      </c>
      <c r="CG219" s="0" t="s">
        <v>130</v>
      </c>
      <c r="CH219" s="0" t="s">
        <v>130</v>
      </c>
      <c r="CI219" s="0" t="s">
        <v>130</v>
      </c>
      <c r="CJ219" s="0" t="s">
        <v>130</v>
      </c>
      <c r="CK219" s="0" t="s">
        <v>130</v>
      </c>
      <c r="CL219" s="0" t="s">
        <v>130</v>
      </c>
      <c r="CM219" s="0" t="s">
        <v>130</v>
      </c>
      <c r="CN219" s="0" t="s">
        <v>130</v>
      </c>
      <c r="CO219" s="0" t="s">
        <v>130</v>
      </c>
      <c r="CP219" s="0" t="s">
        <v>130</v>
      </c>
      <c r="CQ219" s="0" t="s">
        <v>130</v>
      </c>
      <c r="CR219" s="0" t="s">
        <v>130</v>
      </c>
      <c r="CS219" s="0" t="s">
        <v>130</v>
      </c>
      <c r="CT219" s="0" t="s">
        <v>906</v>
      </c>
    </row>
    <row r="220">
      <c r="A220" s="14">
        <v>100614</v>
      </c>
      <c r="B220" s="0" t="s">
        <v>902</v>
      </c>
      <c r="C220" s="16">
        <f>HYPERLINK("https://eosportal.federatedhermes.com/companies/Q29tcGFueQppNjc3NDg=", "Freeport-McMoRan Inc")</f>
      </c>
      <c r="D220" s="0" t="s">
        <v>25</v>
      </c>
      <c r="E220" s="0" t="s">
        <v>907</v>
      </c>
      <c r="F220" s="16">
        <f>HYPERLINK("https://eosportal.federatedhermes.com/engagements/RW5nYWdlbWVudAppMTkyMTc=", "Climate change")</f>
      </c>
      <c r="G220" s="14" t="s">
        <v>908</v>
      </c>
      <c r="H220" s="0" t="s">
        <v>141</v>
      </c>
      <c r="I220" s="14" t="s">
        <v>131</v>
      </c>
      <c r="J220" s="0" t="s">
        <v>132</v>
      </c>
      <c r="K220" s="0" t="s">
        <v>170</v>
      </c>
      <c r="L220" s="0" t="s">
        <v>171</v>
      </c>
      <c r="M220" s="0" t="s">
        <v>135</v>
      </c>
      <c r="N220" s="0" t="s">
        <v>136</v>
      </c>
      <c r="O220" s="0" t="s">
        <v>373</v>
      </c>
      <c r="Q220" s="0" t="s">
        <v>130</v>
      </c>
      <c r="R220" s="0" t="s">
        <v>138</v>
      </c>
      <c r="S220" s="14">
        <v>0</v>
      </c>
      <c r="T220" s="0" t="s">
        <v>557</v>
      </c>
      <c r="U220" s="0" t="s">
        <v>138</v>
      </c>
      <c r="V220" s="14" t="s">
        <v>138</v>
      </c>
      <c r="W220" s="0" t="s">
        <v>138</v>
      </c>
      <c r="X220" s="14" t="s">
        <v>138</v>
      </c>
      <c r="Y220" s="0" t="s">
        <v>138</v>
      </c>
      <c r="Z220" s="14" t="s">
        <v>138</v>
      </c>
      <c r="AA220" s="0" t="s">
        <v>138</v>
      </c>
      <c r="AB220" s="14" t="s">
        <v>138</v>
      </c>
      <c r="AD220" s="0" t="s">
        <v>138</v>
      </c>
      <c r="AF220" s="0">
        <v>0</v>
      </c>
      <c r="AG220" s="0">
        <v>0</v>
      </c>
      <c r="AH220" s="0" t="s">
        <v>140</v>
      </c>
      <c r="AI220" s="0" t="s">
        <v>138</v>
      </c>
      <c r="AL220" s="14"/>
      <c r="AN220" s="14"/>
      <c r="AQ220" s="0" t="s">
        <v>130</v>
      </c>
      <c r="AR220" s="0" t="s">
        <v>130</v>
      </c>
      <c r="AS220" s="0" t="s">
        <v>130</v>
      </c>
      <c r="AT220" s="0" t="s">
        <v>130</v>
      </c>
      <c r="AU220" s="0" t="s">
        <v>130</v>
      </c>
      <c r="AV220" s="0" t="s">
        <v>130</v>
      </c>
      <c r="AW220" s="0" t="s">
        <v>130</v>
      </c>
      <c r="AX220" s="0" t="s">
        <v>130</v>
      </c>
      <c r="AY220" s="0" t="s">
        <v>130</v>
      </c>
      <c r="AZ220" s="0" t="s">
        <v>130</v>
      </c>
      <c r="BA220" s="0" t="s">
        <v>130</v>
      </c>
      <c r="BB220" s="0" t="s">
        <v>130</v>
      </c>
      <c r="BC220" s="0" t="s">
        <v>130</v>
      </c>
      <c r="BD220" s="0" t="s">
        <v>130</v>
      </c>
      <c r="BE220" s="0" t="s">
        <v>130</v>
      </c>
      <c r="BF220" s="0" t="s">
        <v>130</v>
      </c>
      <c r="BG220" s="0" t="s">
        <v>130</v>
      </c>
      <c r="BH220" s="0" t="s">
        <v>130</v>
      </c>
      <c r="BI220" s="0" t="s">
        <v>130</v>
      </c>
      <c r="BJ220" s="0" t="s">
        <v>130</v>
      </c>
      <c r="BK220" s="0" t="s">
        <v>130</v>
      </c>
      <c r="BL220" s="0" t="s">
        <v>130</v>
      </c>
      <c r="BM220" s="0" t="s">
        <v>130</v>
      </c>
      <c r="BN220" s="0" t="s">
        <v>130</v>
      </c>
      <c r="BO220" s="0" t="s">
        <v>130</v>
      </c>
      <c r="BP220" s="0" t="s">
        <v>130</v>
      </c>
      <c r="BQ220" s="0" t="s">
        <v>130</v>
      </c>
      <c r="BR220" s="0" t="s">
        <v>130</v>
      </c>
      <c r="BS220" s="0" t="s">
        <v>130</v>
      </c>
      <c r="BT220" s="0" t="s">
        <v>130</v>
      </c>
      <c r="BU220" s="0" t="s">
        <v>130</v>
      </c>
      <c r="BV220" s="0" t="s">
        <v>130</v>
      </c>
      <c r="BW220" s="0" t="s">
        <v>130</v>
      </c>
      <c r="BX220" s="0" t="s">
        <v>130</v>
      </c>
      <c r="BY220" s="0" t="s">
        <v>130</v>
      </c>
      <c r="BZ220" s="0" t="s">
        <v>130</v>
      </c>
      <c r="CA220" s="0" t="s">
        <v>130</v>
      </c>
      <c r="CB220" s="0" t="s">
        <v>130</v>
      </c>
      <c r="CC220" s="0" t="s">
        <v>130</v>
      </c>
      <c r="CD220" s="0" t="s">
        <v>130</v>
      </c>
      <c r="CE220" s="0" t="s">
        <v>130</v>
      </c>
      <c r="CF220" s="0" t="s">
        <v>130</v>
      </c>
      <c r="CG220" s="0" t="s">
        <v>130</v>
      </c>
      <c r="CH220" s="0" t="s">
        <v>130</v>
      </c>
      <c r="CI220" s="0" t="s">
        <v>130</v>
      </c>
      <c r="CJ220" s="0" t="s">
        <v>130</v>
      </c>
      <c r="CK220" s="0" t="s">
        <v>130</v>
      </c>
      <c r="CL220" s="0" t="s">
        <v>130</v>
      </c>
      <c r="CM220" s="0" t="s">
        <v>130</v>
      </c>
      <c r="CN220" s="0" t="s">
        <v>130</v>
      </c>
      <c r="CO220" s="0" t="s">
        <v>130</v>
      </c>
      <c r="CP220" s="0" t="s">
        <v>130</v>
      </c>
      <c r="CQ220" s="0" t="s">
        <v>130</v>
      </c>
      <c r="CR220" s="0" t="s">
        <v>130</v>
      </c>
      <c r="CS220" s="0" t="s">
        <v>130</v>
      </c>
      <c r="CT220" s="0" t="s">
        <v>909</v>
      </c>
    </row>
    <row r="221">
      <c r="A221" s="14">
        <v>100614</v>
      </c>
      <c r="B221" s="0" t="s">
        <v>902</v>
      </c>
      <c r="C221" s="16">
        <f>HYPERLINK("https://eosportal.federatedhermes.com/companies/Q29tcGFueQppNjc3NDg=", "Freeport-McMoRan Inc")</f>
      </c>
      <c r="D221" s="0" t="s">
        <v>25</v>
      </c>
      <c r="E221" s="0" t="s">
        <v>729</v>
      </c>
      <c r="F221" s="16">
        <f>HYPERLINK("https://eosportal.federatedhermes.com/engagements/RW5nYWdlbWVudAppMTkyMTg=", "Board diversity")</f>
      </c>
      <c r="G221" s="14" t="s">
        <v>910</v>
      </c>
      <c r="H221" s="0" t="s">
        <v>141</v>
      </c>
      <c r="I221" s="14" t="s">
        <v>131</v>
      </c>
      <c r="J221" s="0" t="s">
        <v>145</v>
      </c>
      <c r="K221" s="0" t="s">
        <v>164</v>
      </c>
      <c r="L221" s="0" t="s">
        <v>165</v>
      </c>
      <c r="M221" s="0" t="s">
        <v>135</v>
      </c>
      <c r="N221" s="0" t="s">
        <v>136</v>
      </c>
      <c r="O221" s="0" t="s">
        <v>373</v>
      </c>
      <c r="Q221" s="0" t="s">
        <v>130</v>
      </c>
      <c r="R221" s="0" t="s">
        <v>138</v>
      </c>
      <c r="S221" s="14">
        <v>0</v>
      </c>
      <c r="T221" s="0" t="s">
        <v>303</v>
      </c>
      <c r="U221" s="0" t="s">
        <v>138</v>
      </c>
      <c r="V221" s="14" t="s">
        <v>138</v>
      </c>
      <c r="W221" s="0" t="s">
        <v>138</v>
      </c>
      <c r="X221" s="14" t="s">
        <v>138</v>
      </c>
      <c r="Y221" s="0" t="s">
        <v>138</v>
      </c>
      <c r="Z221" s="14" t="s">
        <v>138</v>
      </c>
      <c r="AA221" s="0" t="s">
        <v>138</v>
      </c>
      <c r="AB221" s="14" t="s">
        <v>138</v>
      </c>
      <c r="AD221" s="0" t="s">
        <v>138</v>
      </c>
      <c r="AF221" s="0">
        <v>0</v>
      </c>
      <c r="AG221" s="0">
        <v>0</v>
      </c>
      <c r="AH221" s="0" t="s">
        <v>140</v>
      </c>
      <c r="AI221" s="0" t="s">
        <v>138</v>
      </c>
      <c r="AL221" s="14"/>
      <c r="AN221" s="14"/>
      <c r="AQ221" s="0" t="s">
        <v>130</v>
      </c>
      <c r="AR221" s="0" t="s">
        <v>130</v>
      </c>
      <c r="AS221" s="0" t="s">
        <v>130</v>
      </c>
      <c r="AT221" s="0" t="s">
        <v>130</v>
      </c>
      <c r="AU221" s="0" t="s">
        <v>141</v>
      </c>
      <c r="AV221" s="0" t="s">
        <v>130</v>
      </c>
      <c r="AW221" s="0" t="s">
        <v>130</v>
      </c>
      <c r="AX221" s="0" t="s">
        <v>130</v>
      </c>
      <c r="AY221" s="0" t="s">
        <v>130</v>
      </c>
      <c r="AZ221" s="0" t="s">
        <v>141</v>
      </c>
      <c r="BA221" s="0" t="s">
        <v>130</v>
      </c>
      <c r="BB221" s="0" t="s">
        <v>130</v>
      </c>
      <c r="BC221" s="0" t="s">
        <v>130</v>
      </c>
      <c r="BD221" s="0" t="s">
        <v>130</v>
      </c>
      <c r="BE221" s="0" t="s">
        <v>130</v>
      </c>
      <c r="BF221" s="0" t="s">
        <v>130</v>
      </c>
      <c r="BG221" s="0" t="s">
        <v>130</v>
      </c>
      <c r="BH221" s="0" t="s">
        <v>130</v>
      </c>
      <c r="BI221" s="0" t="s">
        <v>130</v>
      </c>
      <c r="BJ221" s="0" t="s">
        <v>130</v>
      </c>
      <c r="BK221" s="0" t="s">
        <v>130</v>
      </c>
      <c r="BL221" s="0" t="s">
        <v>130</v>
      </c>
      <c r="BM221" s="0" t="s">
        <v>130</v>
      </c>
      <c r="BN221" s="0" t="s">
        <v>130</v>
      </c>
      <c r="BO221" s="0" t="s">
        <v>130</v>
      </c>
      <c r="BP221" s="0" t="s">
        <v>130</v>
      </c>
      <c r="BQ221" s="0" t="s">
        <v>130</v>
      </c>
      <c r="BR221" s="0" t="s">
        <v>130</v>
      </c>
      <c r="BS221" s="0" t="s">
        <v>130</v>
      </c>
      <c r="BT221" s="0" t="s">
        <v>130</v>
      </c>
      <c r="BU221" s="0" t="s">
        <v>130</v>
      </c>
      <c r="BV221" s="0" t="s">
        <v>130</v>
      </c>
      <c r="BW221" s="0" t="s">
        <v>130</v>
      </c>
      <c r="BX221" s="0" t="s">
        <v>130</v>
      </c>
      <c r="BY221" s="0" t="s">
        <v>130</v>
      </c>
      <c r="BZ221" s="0" t="s">
        <v>130</v>
      </c>
      <c r="CA221" s="0" t="s">
        <v>130</v>
      </c>
      <c r="CB221" s="0" t="s">
        <v>130</v>
      </c>
      <c r="CC221" s="0" t="s">
        <v>130</v>
      </c>
      <c r="CD221" s="0" t="s">
        <v>130</v>
      </c>
      <c r="CE221" s="0" t="s">
        <v>130</v>
      </c>
      <c r="CF221" s="0" t="s">
        <v>130</v>
      </c>
      <c r="CG221" s="0" t="s">
        <v>130</v>
      </c>
      <c r="CH221" s="0" t="s">
        <v>130</v>
      </c>
      <c r="CI221" s="0" t="s">
        <v>130</v>
      </c>
      <c r="CJ221" s="0" t="s">
        <v>130</v>
      </c>
      <c r="CK221" s="0" t="s">
        <v>130</v>
      </c>
      <c r="CL221" s="0" t="s">
        <v>130</v>
      </c>
      <c r="CM221" s="0" t="s">
        <v>130</v>
      </c>
      <c r="CN221" s="0" t="s">
        <v>130</v>
      </c>
      <c r="CO221" s="0" t="s">
        <v>130</v>
      </c>
      <c r="CP221" s="0" t="s">
        <v>130</v>
      </c>
      <c r="CQ221" s="0" t="s">
        <v>130</v>
      </c>
      <c r="CR221" s="0" t="s">
        <v>130</v>
      </c>
      <c r="CS221" s="0" t="s">
        <v>130</v>
      </c>
      <c r="CT221" s="0" t="s">
        <v>911</v>
      </c>
    </row>
    <row r="222">
      <c r="A222" s="14">
        <v>100614</v>
      </c>
      <c r="B222" s="0" t="s">
        <v>902</v>
      </c>
      <c r="C222" s="16">
        <f>HYPERLINK("https://eosportal.federatedhermes.com/companies/Q29tcGFueQppNjc3NDg=", "Freeport-McMoRan Inc")</f>
      </c>
      <c r="D222" s="0" t="s">
        <v>25</v>
      </c>
      <c r="E222" s="0" t="s">
        <v>912</v>
      </c>
      <c r="F222" s="16">
        <f>HYPERLINK("https://eosportal.federatedhermes.com/engagements/RW5nYWdlbWVudAppMTkyMTk=", "Executive remuneration")</f>
      </c>
      <c r="G222" s="14" t="s">
        <v>913</v>
      </c>
      <c r="H222" s="0" t="s">
        <v>141</v>
      </c>
      <c r="I222" s="14" t="s">
        <v>131</v>
      </c>
      <c r="J222" s="0" t="s">
        <v>145</v>
      </c>
      <c r="K222" s="0" t="s">
        <v>146</v>
      </c>
      <c r="L222" s="0" t="s">
        <v>147</v>
      </c>
      <c r="M222" s="0" t="s">
        <v>135</v>
      </c>
      <c r="N222" s="0" t="s">
        <v>136</v>
      </c>
      <c r="O222" s="0" t="s">
        <v>373</v>
      </c>
      <c r="Q222" s="0" t="s">
        <v>130</v>
      </c>
      <c r="R222" s="0" t="s">
        <v>138</v>
      </c>
      <c r="S222" s="14">
        <v>0</v>
      </c>
      <c r="T222" s="0" t="s">
        <v>416</v>
      </c>
      <c r="U222" s="0" t="s">
        <v>138</v>
      </c>
      <c r="V222" s="14" t="s">
        <v>138</v>
      </c>
      <c r="W222" s="0" t="s">
        <v>138</v>
      </c>
      <c r="X222" s="14" t="s">
        <v>138</v>
      </c>
      <c r="Y222" s="0" t="s">
        <v>138</v>
      </c>
      <c r="Z222" s="14" t="s">
        <v>138</v>
      </c>
      <c r="AA222" s="0" t="s">
        <v>138</v>
      </c>
      <c r="AB222" s="14" t="s">
        <v>138</v>
      </c>
      <c r="AD222" s="0" t="s">
        <v>138</v>
      </c>
      <c r="AF222" s="0">
        <v>0</v>
      </c>
      <c r="AG222" s="0">
        <v>0</v>
      </c>
      <c r="AH222" s="0" t="s">
        <v>140</v>
      </c>
      <c r="AI222" s="0" t="s">
        <v>138</v>
      </c>
      <c r="AL222" s="14"/>
      <c r="AN222" s="14"/>
      <c r="AQ222" s="0" t="s">
        <v>130</v>
      </c>
      <c r="AR222" s="0" t="s">
        <v>130</v>
      </c>
      <c r="AS222" s="0" t="s">
        <v>130</v>
      </c>
      <c r="AT222" s="0" t="s">
        <v>130</v>
      </c>
      <c r="AU222" s="0" t="s">
        <v>130</v>
      </c>
      <c r="AV222" s="0" t="s">
        <v>130</v>
      </c>
      <c r="AW222" s="0" t="s">
        <v>130</v>
      </c>
      <c r="AX222" s="0" t="s">
        <v>130</v>
      </c>
      <c r="AY222" s="0" t="s">
        <v>130</v>
      </c>
      <c r="AZ222" s="0" t="s">
        <v>130</v>
      </c>
      <c r="BA222" s="0" t="s">
        <v>130</v>
      </c>
      <c r="BB222" s="0" t="s">
        <v>130</v>
      </c>
      <c r="BC222" s="0" t="s">
        <v>130</v>
      </c>
      <c r="BD222" s="0" t="s">
        <v>130</v>
      </c>
      <c r="BE222" s="0" t="s">
        <v>130</v>
      </c>
      <c r="BF222" s="0" t="s">
        <v>130</v>
      </c>
      <c r="BG222" s="0" t="s">
        <v>130</v>
      </c>
      <c r="BH222" s="0" t="s">
        <v>130</v>
      </c>
      <c r="BI222" s="0" t="s">
        <v>130</v>
      </c>
      <c r="BJ222" s="0" t="s">
        <v>130</v>
      </c>
      <c r="BK222" s="0" t="s">
        <v>130</v>
      </c>
      <c r="BL222" s="0" t="s">
        <v>130</v>
      </c>
      <c r="BM222" s="0" t="s">
        <v>130</v>
      </c>
      <c r="BN222" s="0" t="s">
        <v>130</v>
      </c>
      <c r="BO222" s="0" t="s">
        <v>130</v>
      </c>
      <c r="BP222" s="0" t="s">
        <v>130</v>
      </c>
      <c r="BQ222" s="0" t="s">
        <v>130</v>
      </c>
      <c r="BR222" s="0" t="s">
        <v>130</v>
      </c>
      <c r="BS222" s="0" t="s">
        <v>130</v>
      </c>
      <c r="BT222" s="0" t="s">
        <v>130</v>
      </c>
      <c r="BU222" s="0" t="s">
        <v>130</v>
      </c>
      <c r="BV222" s="0" t="s">
        <v>130</v>
      </c>
      <c r="BW222" s="0" t="s">
        <v>130</v>
      </c>
      <c r="BX222" s="0" t="s">
        <v>130</v>
      </c>
      <c r="BY222" s="0" t="s">
        <v>130</v>
      </c>
      <c r="BZ222" s="0" t="s">
        <v>130</v>
      </c>
      <c r="CA222" s="0" t="s">
        <v>130</v>
      </c>
      <c r="CB222" s="0" t="s">
        <v>130</v>
      </c>
      <c r="CC222" s="0" t="s">
        <v>130</v>
      </c>
      <c r="CD222" s="0" t="s">
        <v>130</v>
      </c>
      <c r="CE222" s="0" t="s">
        <v>130</v>
      </c>
      <c r="CF222" s="0" t="s">
        <v>130</v>
      </c>
      <c r="CG222" s="0" t="s">
        <v>130</v>
      </c>
      <c r="CH222" s="0" t="s">
        <v>130</v>
      </c>
      <c r="CI222" s="0" t="s">
        <v>130</v>
      </c>
      <c r="CJ222" s="0" t="s">
        <v>130</v>
      </c>
      <c r="CK222" s="0" t="s">
        <v>130</v>
      </c>
      <c r="CL222" s="0" t="s">
        <v>130</v>
      </c>
      <c r="CM222" s="0" t="s">
        <v>130</v>
      </c>
      <c r="CN222" s="0" t="s">
        <v>130</v>
      </c>
      <c r="CO222" s="0" t="s">
        <v>130</v>
      </c>
      <c r="CP222" s="0" t="s">
        <v>130</v>
      </c>
      <c r="CQ222" s="0" t="s">
        <v>130</v>
      </c>
      <c r="CR222" s="0" t="s">
        <v>130</v>
      </c>
      <c r="CS222" s="0" t="s">
        <v>130</v>
      </c>
      <c r="CT222" s="0" t="s">
        <v>914</v>
      </c>
    </row>
    <row r="223">
      <c r="A223" s="14">
        <v>100614</v>
      </c>
      <c r="B223" s="0" t="s">
        <v>902</v>
      </c>
      <c r="C223" s="16">
        <f>HYPERLINK("https://eosportal.federatedhermes.com/companies/Q29tcGFueQppNjc3NDg=", "Freeport-McMoRan Inc")</f>
      </c>
      <c r="D223" s="0" t="s">
        <v>25</v>
      </c>
      <c r="E223" s="0" t="s">
        <v>915</v>
      </c>
      <c r="F223" s="16">
        <f>HYPERLINK("https://eosportal.federatedhermes.com/engagements/RW5nYWdlbWVudAppMTkyMjA=", "Tailings management")</f>
      </c>
      <c r="G223" s="14" t="s">
        <v>916</v>
      </c>
      <c r="H223" s="0" t="s">
        <v>141</v>
      </c>
      <c r="I223" s="14" t="s">
        <v>131</v>
      </c>
      <c r="J223" s="0" t="s">
        <v>132</v>
      </c>
      <c r="K223" s="0" t="s">
        <v>260</v>
      </c>
      <c r="L223" s="0" t="s">
        <v>261</v>
      </c>
      <c r="M223" s="0" t="s">
        <v>135</v>
      </c>
      <c r="N223" s="0" t="s">
        <v>136</v>
      </c>
      <c r="O223" s="0" t="s">
        <v>373</v>
      </c>
      <c r="Q223" s="0" t="s">
        <v>130</v>
      </c>
      <c r="R223" s="0" t="s">
        <v>138</v>
      </c>
      <c r="S223" s="14">
        <v>0</v>
      </c>
      <c r="T223" s="0" t="s">
        <v>288</v>
      </c>
      <c r="U223" s="0" t="s">
        <v>138</v>
      </c>
      <c r="V223" s="14" t="s">
        <v>138</v>
      </c>
      <c r="W223" s="0" t="s">
        <v>138</v>
      </c>
      <c r="X223" s="14" t="s">
        <v>138</v>
      </c>
      <c r="Y223" s="0" t="s">
        <v>138</v>
      </c>
      <c r="Z223" s="14" t="s">
        <v>138</v>
      </c>
      <c r="AA223" s="0" t="s">
        <v>138</v>
      </c>
      <c r="AB223" s="14" t="s">
        <v>138</v>
      </c>
      <c r="AD223" s="0" t="s">
        <v>138</v>
      </c>
      <c r="AF223" s="0">
        <v>0</v>
      </c>
      <c r="AG223" s="0">
        <v>0</v>
      </c>
      <c r="AH223" s="0" t="s">
        <v>140</v>
      </c>
      <c r="AI223" s="0" t="s">
        <v>138</v>
      </c>
      <c r="AL223" s="14"/>
      <c r="AN223" s="14"/>
      <c r="AQ223" s="0" t="s">
        <v>130</v>
      </c>
      <c r="AR223" s="0" t="s">
        <v>130</v>
      </c>
      <c r="AS223" s="0" t="s">
        <v>130</v>
      </c>
      <c r="AT223" s="0" t="s">
        <v>130</v>
      </c>
      <c r="AU223" s="0" t="s">
        <v>130</v>
      </c>
      <c r="AV223" s="0" t="s">
        <v>141</v>
      </c>
      <c r="AW223" s="0" t="s">
        <v>130</v>
      </c>
      <c r="AX223" s="0" t="s">
        <v>130</v>
      </c>
      <c r="AY223" s="0" t="s">
        <v>130</v>
      </c>
      <c r="AZ223" s="0" t="s">
        <v>130</v>
      </c>
      <c r="BA223" s="0" t="s">
        <v>130</v>
      </c>
      <c r="BB223" s="0" t="s">
        <v>130</v>
      </c>
      <c r="BC223" s="0" t="s">
        <v>130</v>
      </c>
      <c r="BD223" s="0" t="s">
        <v>141</v>
      </c>
      <c r="BE223" s="0" t="s">
        <v>130</v>
      </c>
      <c r="BF223" s="0" t="s">
        <v>130</v>
      </c>
      <c r="BG223" s="0" t="s">
        <v>130</v>
      </c>
      <c r="BH223" s="0" t="s">
        <v>130</v>
      </c>
      <c r="BI223" s="0" t="s">
        <v>130</v>
      </c>
      <c r="BJ223" s="0" t="s">
        <v>130</v>
      </c>
      <c r="BK223" s="0" t="s">
        <v>130</v>
      </c>
      <c r="BL223" s="0" t="s">
        <v>130</v>
      </c>
      <c r="BM223" s="0" t="s">
        <v>130</v>
      </c>
      <c r="BN223" s="0" t="s">
        <v>130</v>
      </c>
      <c r="BO223" s="0" t="s">
        <v>130</v>
      </c>
      <c r="BP223" s="0" t="s">
        <v>130</v>
      </c>
      <c r="BQ223" s="0" t="s">
        <v>130</v>
      </c>
      <c r="BR223" s="0" t="s">
        <v>130</v>
      </c>
      <c r="BS223" s="0" t="s">
        <v>130</v>
      </c>
      <c r="BT223" s="0" t="s">
        <v>130</v>
      </c>
      <c r="BU223" s="0" t="s">
        <v>130</v>
      </c>
      <c r="BV223" s="0" t="s">
        <v>130</v>
      </c>
      <c r="BW223" s="0" t="s">
        <v>130</v>
      </c>
      <c r="BX223" s="0" t="s">
        <v>130</v>
      </c>
      <c r="BY223" s="0" t="s">
        <v>130</v>
      </c>
      <c r="BZ223" s="0" t="s">
        <v>130</v>
      </c>
      <c r="CA223" s="0" t="s">
        <v>130</v>
      </c>
      <c r="CB223" s="0" t="s">
        <v>130</v>
      </c>
      <c r="CC223" s="0" t="s">
        <v>130</v>
      </c>
      <c r="CD223" s="0" t="s">
        <v>130</v>
      </c>
      <c r="CE223" s="0" t="s">
        <v>130</v>
      </c>
      <c r="CF223" s="0" t="s">
        <v>130</v>
      </c>
      <c r="CG223" s="0" t="s">
        <v>130</v>
      </c>
      <c r="CH223" s="0" t="s">
        <v>130</v>
      </c>
      <c r="CI223" s="0" t="s">
        <v>130</v>
      </c>
      <c r="CJ223" s="0" t="s">
        <v>130</v>
      </c>
      <c r="CK223" s="0" t="s">
        <v>130</v>
      </c>
      <c r="CL223" s="0" t="s">
        <v>130</v>
      </c>
      <c r="CM223" s="0" t="s">
        <v>130</v>
      </c>
      <c r="CN223" s="0" t="s">
        <v>130</v>
      </c>
      <c r="CO223" s="0" t="s">
        <v>130</v>
      </c>
      <c r="CP223" s="0" t="s">
        <v>130</v>
      </c>
      <c r="CQ223" s="0" t="s">
        <v>130</v>
      </c>
      <c r="CR223" s="0" t="s">
        <v>130</v>
      </c>
      <c r="CS223" s="0" t="s">
        <v>130</v>
      </c>
      <c r="CT223" s="0" t="s">
        <v>917</v>
      </c>
    </row>
    <row r="224">
      <c r="A224" s="14">
        <v>100614</v>
      </c>
      <c r="B224" s="0" t="s">
        <v>902</v>
      </c>
      <c r="C224" s="16">
        <f>HYPERLINK("https://eosportal.federatedhermes.com/companies/Q29tcGFueQppNjc3NDg=", "Freeport-McMoRan Inc")</f>
      </c>
      <c r="D224" s="0" t="s">
        <v>25</v>
      </c>
      <c r="E224" s="0" t="s">
        <v>918</v>
      </c>
      <c r="F224" s="16">
        <f>HYPERLINK("https://eosportal.federatedhermes.com/engagements/RW5nYWdlbWVudAppMTkyMjE=", "Controversy linked to UNGC Principle 7: Approach to environmental challenges")</f>
      </c>
      <c r="G224" s="14" t="s">
        <v>919</v>
      </c>
      <c r="H224" s="0" t="s">
        <v>141</v>
      </c>
      <c r="I224" s="14" t="s">
        <v>131</v>
      </c>
      <c r="J224" s="0" t="s">
        <v>197</v>
      </c>
      <c r="K224" s="0" t="s">
        <v>348</v>
      </c>
      <c r="L224" s="0" t="s">
        <v>650</v>
      </c>
      <c r="M224" s="0" t="s">
        <v>135</v>
      </c>
      <c r="N224" s="0" t="s">
        <v>136</v>
      </c>
      <c r="O224" s="0" t="s">
        <v>373</v>
      </c>
      <c r="Q224" s="0" t="s">
        <v>141</v>
      </c>
      <c r="R224" s="0" t="s">
        <v>138</v>
      </c>
      <c r="S224" s="14">
        <v>1</v>
      </c>
      <c r="T224" s="0" t="s">
        <v>920</v>
      </c>
      <c r="U224" s="0" t="s">
        <v>138</v>
      </c>
      <c r="V224" s="14" t="s">
        <v>138</v>
      </c>
      <c r="W224" s="0" t="s">
        <v>138</v>
      </c>
      <c r="X224" s="14" t="s">
        <v>138</v>
      </c>
      <c r="Y224" s="0" t="s">
        <v>138</v>
      </c>
      <c r="Z224" s="14" t="s">
        <v>138</v>
      </c>
      <c r="AA224" s="0" t="s">
        <v>138</v>
      </c>
      <c r="AB224" s="14" t="s">
        <v>138</v>
      </c>
      <c r="AD224" s="0" t="s">
        <v>138</v>
      </c>
      <c r="AF224" s="0">
        <v>0</v>
      </c>
      <c r="AG224" s="0">
        <v>0</v>
      </c>
      <c r="AH224" s="0" t="s">
        <v>140</v>
      </c>
      <c r="AI224" s="0" t="s">
        <v>138</v>
      </c>
      <c r="AK224" s="0" t="s">
        <v>587</v>
      </c>
      <c r="AL224" s="14"/>
      <c r="AN224" s="14"/>
      <c r="AQ224" s="0" t="s">
        <v>130</v>
      </c>
      <c r="AR224" s="0" t="s">
        <v>130</v>
      </c>
      <c r="AS224" s="0" t="s">
        <v>141</v>
      </c>
      <c r="AT224" s="0" t="s">
        <v>130</v>
      </c>
      <c r="AU224" s="0" t="s">
        <v>130</v>
      </c>
      <c r="AV224" s="0" t="s">
        <v>141</v>
      </c>
      <c r="AW224" s="0" t="s">
        <v>130</v>
      </c>
      <c r="AX224" s="0" t="s">
        <v>130</v>
      </c>
      <c r="AY224" s="0" t="s">
        <v>130</v>
      </c>
      <c r="AZ224" s="0" t="s">
        <v>130</v>
      </c>
      <c r="BA224" s="0" t="s">
        <v>130</v>
      </c>
      <c r="BB224" s="0" t="s">
        <v>141</v>
      </c>
      <c r="BC224" s="0" t="s">
        <v>130</v>
      </c>
      <c r="BD224" s="0" t="s">
        <v>141</v>
      </c>
      <c r="BE224" s="0" t="s">
        <v>130</v>
      </c>
      <c r="BF224" s="0" t="s">
        <v>130</v>
      </c>
      <c r="BG224" s="0" t="s">
        <v>130</v>
      </c>
      <c r="BH224" s="0" t="s">
        <v>130</v>
      </c>
      <c r="BI224" s="0" t="s">
        <v>130</v>
      </c>
      <c r="BJ224" s="0" t="s">
        <v>130</v>
      </c>
      <c r="BK224" s="0" t="s">
        <v>130</v>
      </c>
      <c r="BL224" s="0" t="s">
        <v>130</v>
      </c>
      <c r="BM224" s="0" t="s">
        <v>130</v>
      </c>
      <c r="BN224" s="0" t="s">
        <v>130</v>
      </c>
      <c r="BO224" s="0" t="s">
        <v>130</v>
      </c>
      <c r="BP224" s="0" t="s">
        <v>141</v>
      </c>
      <c r="BQ224" s="0" t="s">
        <v>130</v>
      </c>
      <c r="BR224" s="0" t="s">
        <v>130</v>
      </c>
      <c r="BS224" s="0" t="s">
        <v>130</v>
      </c>
      <c r="BT224" s="0" t="s">
        <v>130</v>
      </c>
      <c r="BU224" s="0" t="s">
        <v>130</v>
      </c>
      <c r="BV224" s="0" t="s">
        <v>130</v>
      </c>
      <c r="BW224" s="0" t="s">
        <v>130</v>
      </c>
      <c r="BX224" s="0" t="s">
        <v>130</v>
      </c>
      <c r="BY224" s="0" t="s">
        <v>130</v>
      </c>
      <c r="BZ224" s="0" t="s">
        <v>130</v>
      </c>
      <c r="CA224" s="0" t="s">
        <v>130</v>
      </c>
      <c r="CB224" s="0" t="s">
        <v>130</v>
      </c>
      <c r="CC224" s="0" t="s">
        <v>130</v>
      </c>
      <c r="CD224" s="0" t="s">
        <v>130</v>
      </c>
      <c r="CE224" s="0" t="s">
        <v>130</v>
      </c>
      <c r="CF224" s="0" t="s">
        <v>130</v>
      </c>
      <c r="CG224" s="0" t="s">
        <v>130</v>
      </c>
      <c r="CH224" s="0" t="s">
        <v>130</v>
      </c>
      <c r="CI224" s="0" t="s">
        <v>130</v>
      </c>
      <c r="CJ224" s="0" t="s">
        <v>130</v>
      </c>
      <c r="CK224" s="0" t="s">
        <v>130</v>
      </c>
      <c r="CL224" s="0" t="s">
        <v>130</v>
      </c>
      <c r="CM224" s="0" t="s">
        <v>130</v>
      </c>
      <c r="CN224" s="0" t="s">
        <v>130</v>
      </c>
      <c r="CO224" s="0" t="s">
        <v>130</v>
      </c>
      <c r="CP224" s="0" t="s">
        <v>130</v>
      </c>
      <c r="CQ224" s="0" t="s">
        <v>130</v>
      </c>
      <c r="CR224" s="0" t="s">
        <v>130</v>
      </c>
      <c r="CS224" s="0" t="s">
        <v>130</v>
      </c>
      <c r="CT224" s="0" t="s">
        <v>921</v>
      </c>
    </row>
    <row r="225">
      <c r="A225" s="14">
        <v>100614</v>
      </c>
      <c r="B225" s="0" t="s">
        <v>902</v>
      </c>
      <c r="C225" s="16">
        <f>HYPERLINK("https://eosportal.federatedhermes.com/companies/Q29tcGFueQppNjc3NDg=", "Freeport-McMoRan Inc")</f>
      </c>
      <c r="D225" s="0" t="s">
        <v>25</v>
      </c>
      <c r="E225" s="0" t="s">
        <v>922</v>
      </c>
      <c r="F225" s="16">
        <f>HYPERLINK("https://eosportal.federatedhermes.com/engagements/RW5nYWdlbWVudAppMTkyMjI=", "Human rights")</f>
      </c>
      <c r="G225" s="14" t="s">
        <v>923</v>
      </c>
      <c r="H225" s="0" t="s">
        <v>141</v>
      </c>
      <c r="I225" s="14" t="s">
        <v>131</v>
      </c>
      <c r="J225" s="0" t="s">
        <v>153</v>
      </c>
      <c r="K225" s="0" t="s">
        <v>243</v>
      </c>
      <c r="L225" s="0" t="s">
        <v>571</v>
      </c>
      <c r="M225" s="0" t="s">
        <v>135</v>
      </c>
      <c r="N225" s="0" t="s">
        <v>136</v>
      </c>
      <c r="O225" s="0" t="s">
        <v>373</v>
      </c>
      <c r="Q225" s="0" t="s">
        <v>130</v>
      </c>
      <c r="R225" s="0" t="s">
        <v>138</v>
      </c>
      <c r="S225" s="14">
        <v>0</v>
      </c>
      <c r="T225" s="0" t="s">
        <v>457</v>
      </c>
      <c r="U225" s="0" t="s">
        <v>138</v>
      </c>
      <c r="V225" s="14" t="s">
        <v>138</v>
      </c>
      <c r="W225" s="0" t="s">
        <v>138</v>
      </c>
      <c r="X225" s="14" t="s">
        <v>138</v>
      </c>
      <c r="Y225" s="0" t="s">
        <v>138</v>
      </c>
      <c r="Z225" s="14" t="s">
        <v>138</v>
      </c>
      <c r="AA225" s="0" t="s">
        <v>138</v>
      </c>
      <c r="AB225" s="14" t="s">
        <v>138</v>
      </c>
      <c r="AD225" s="0" t="s">
        <v>138</v>
      </c>
      <c r="AF225" s="0">
        <v>0</v>
      </c>
      <c r="AG225" s="0">
        <v>0</v>
      </c>
      <c r="AH225" s="0" t="s">
        <v>140</v>
      </c>
      <c r="AI225" s="0" t="s">
        <v>138</v>
      </c>
      <c r="AL225" s="14"/>
      <c r="AN225" s="14"/>
      <c r="AQ225" s="0" t="s">
        <v>130</v>
      </c>
      <c r="AR225" s="0" t="s">
        <v>130</v>
      </c>
      <c r="AS225" s="0" t="s">
        <v>130</v>
      </c>
      <c r="AT225" s="0" t="s">
        <v>130</v>
      </c>
      <c r="AU225" s="0" t="s">
        <v>130</v>
      </c>
      <c r="AV225" s="0" t="s">
        <v>130</v>
      </c>
      <c r="AW225" s="0" t="s">
        <v>130</v>
      </c>
      <c r="AX225" s="0" t="s">
        <v>130</v>
      </c>
      <c r="AY225" s="0" t="s">
        <v>130</v>
      </c>
      <c r="AZ225" s="0" t="s">
        <v>130</v>
      </c>
      <c r="BA225" s="0" t="s">
        <v>130</v>
      </c>
      <c r="BB225" s="0" t="s">
        <v>130</v>
      </c>
      <c r="BC225" s="0" t="s">
        <v>130</v>
      </c>
      <c r="BD225" s="0" t="s">
        <v>130</v>
      </c>
      <c r="BE225" s="0" t="s">
        <v>130</v>
      </c>
      <c r="BF225" s="0" t="s">
        <v>141</v>
      </c>
      <c r="BG225" s="0" t="s">
        <v>130</v>
      </c>
      <c r="BH225" s="0" t="s">
        <v>130</v>
      </c>
      <c r="BI225" s="0" t="s">
        <v>130</v>
      </c>
      <c r="BJ225" s="0" t="s">
        <v>130</v>
      </c>
      <c r="BK225" s="0" t="s">
        <v>130</v>
      </c>
      <c r="BL225" s="0" t="s">
        <v>130</v>
      </c>
      <c r="BM225" s="0" t="s">
        <v>130</v>
      </c>
      <c r="BN225" s="0" t="s">
        <v>130</v>
      </c>
      <c r="BO225" s="0" t="s">
        <v>130</v>
      </c>
      <c r="BP225" s="0" t="s">
        <v>130</v>
      </c>
      <c r="BQ225" s="0" t="s">
        <v>130</v>
      </c>
      <c r="BR225" s="0" t="s">
        <v>130</v>
      </c>
      <c r="BS225" s="0" t="s">
        <v>130</v>
      </c>
      <c r="BT225" s="0" t="s">
        <v>130</v>
      </c>
      <c r="BU225" s="0" t="s">
        <v>130</v>
      </c>
      <c r="BV225" s="0" t="s">
        <v>130</v>
      </c>
      <c r="BW225" s="0" t="s">
        <v>130</v>
      </c>
      <c r="BX225" s="0" t="s">
        <v>130</v>
      </c>
      <c r="BY225" s="0" t="s">
        <v>130</v>
      </c>
      <c r="BZ225" s="0" t="s">
        <v>130</v>
      </c>
      <c r="CA225" s="0" t="s">
        <v>130</v>
      </c>
      <c r="CB225" s="0" t="s">
        <v>130</v>
      </c>
      <c r="CC225" s="0" t="s">
        <v>130</v>
      </c>
      <c r="CD225" s="0" t="s">
        <v>130</v>
      </c>
      <c r="CE225" s="0" t="s">
        <v>130</v>
      </c>
      <c r="CF225" s="0" t="s">
        <v>130</v>
      </c>
      <c r="CG225" s="0" t="s">
        <v>130</v>
      </c>
      <c r="CH225" s="0" t="s">
        <v>130</v>
      </c>
      <c r="CI225" s="0" t="s">
        <v>130</v>
      </c>
      <c r="CJ225" s="0" t="s">
        <v>130</v>
      </c>
      <c r="CK225" s="0" t="s">
        <v>130</v>
      </c>
      <c r="CL225" s="0" t="s">
        <v>130</v>
      </c>
      <c r="CM225" s="0" t="s">
        <v>130</v>
      </c>
      <c r="CN225" s="0" t="s">
        <v>130</v>
      </c>
      <c r="CO225" s="0" t="s">
        <v>130</v>
      </c>
      <c r="CP225" s="0" t="s">
        <v>130</v>
      </c>
      <c r="CQ225" s="0" t="s">
        <v>130</v>
      </c>
      <c r="CR225" s="0" t="s">
        <v>130</v>
      </c>
      <c r="CS225" s="0" t="s">
        <v>130</v>
      </c>
      <c r="CT225" s="0" t="s">
        <v>924</v>
      </c>
    </row>
    <row r="226">
      <c r="A226" s="14">
        <v>100731</v>
      </c>
      <c r="B226" s="0" t="s">
        <v>925</v>
      </c>
      <c r="C226" s="16">
        <f>HYPERLINK("https://eosportal.federatedhermes.com/companies/Q29tcGFueQppODUyMjc=", "Hershey Co/The")</f>
      </c>
      <c r="D226" s="0" t="s">
        <v>25</v>
      </c>
      <c r="E226" s="0" t="s">
        <v>652</v>
      </c>
      <c r="F226" s="16">
        <f>HYPERLINK("https://eosportal.federatedhermes.com/engagements/RW5nYWdlbWVudAppMTkzMDA=", "Protein diversification")</f>
      </c>
      <c r="G226" s="14" t="s">
        <v>653</v>
      </c>
      <c r="H226" s="0" t="s">
        <v>130</v>
      </c>
      <c r="I226" s="14" t="s">
        <v>319</v>
      </c>
      <c r="J226" s="0" t="s">
        <v>153</v>
      </c>
      <c r="K226" s="0" t="s">
        <v>154</v>
      </c>
      <c r="L226" s="0" t="s">
        <v>268</v>
      </c>
      <c r="M226" s="0" t="s">
        <v>135</v>
      </c>
      <c r="N226" s="0" t="s">
        <v>136</v>
      </c>
      <c r="O226" s="0" t="s">
        <v>332</v>
      </c>
      <c r="Q226" s="0" t="s">
        <v>130</v>
      </c>
      <c r="R226" s="0" t="s">
        <v>138</v>
      </c>
      <c r="S226" s="14">
        <v>0</v>
      </c>
      <c r="T226" s="0" t="s">
        <v>333</v>
      </c>
      <c r="U226" s="0" t="s">
        <v>138</v>
      </c>
      <c r="V226" s="14" t="s">
        <v>138</v>
      </c>
      <c r="W226" s="0" t="s">
        <v>138</v>
      </c>
      <c r="X226" s="14" t="s">
        <v>138</v>
      </c>
      <c r="Y226" s="0" t="s">
        <v>138</v>
      </c>
      <c r="Z226" s="14" t="s">
        <v>138</v>
      </c>
      <c r="AA226" s="0" t="s">
        <v>138</v>
      </c>
      <c r="AB226" s="14" t="s">
        <v>138</v>
      </c>
      <c r="AD226" s="0" t="s">
        <v>138</v>
      </c>
      <c r="AF226" s="0">
        <v>0</v>
      </c>
      <c r="AG226" s="0">
        <v>0</v>
      </c>
      <c r="AH226" s="0" t="s">
        <v>140</v>
      </c>
      <c r="AI226" s="0" t="s">
        <v>138</v>
      </c>
      <c r="AL226" s="14"/>
      <c r="AN226" s="14"/>
      <c r="AQ226" s="0" t="s">
        <v>130</v>
      </c>
      <c r="AR226" s="0" t="s">
        <v>130</v>
      </c>
      <c r="AS226" s="0" t="s">
        <v>130</v>
      </c>
      <c r="AT226" s="0" t="s">
        <v>130</v>
      </c>
      <c r="AU226" s="0" t="s">
        <v>130</v>
      </c>
      <c r="AV226" s="0" t="s">
        <v>130</v>
      </c>
      <c r="AW226" s="0" t="s">
        <v>130</v>
      </c>
      <c r="AX226" s="0" t="s">
        <v>130</v>
      </c>
      <c r="AY226" s="0" t="s">
        <v>130</v>
      </c>
      <c r="AZ226" s="0" t="s">
        <v>130</v>
      </c>
      <c r="BA226" s="0" t="s">
        <v>130</v>
      </c>
      <c r="BB226" s="0" t="s">
        <v>141</v>
      </c>
      <c r="BC226" s="0" t="s">
        <v>141</v>
      </c>
      <c r="BD226" s="0" t="s">
        <v>130</v>
      </c>
      <c r="BE226" s="0" t="s">
        <v>130</v>
      </c>
      <c r="BF226" s="0" t="s">
        <v>130</v>
      </c>
      <c r="BG226" s="0" t="s">
        <v>130</v>
      </c>
      <c r="BH226" s="0" t="s">
        <v>130</v>
      </c>
      <c r="BI226" s="0" t="s">
        <v>130</v>
      </c>
      <c r="BJ226" s="0" t="s">
        <v>130</v>
      </c>
      <c r="BK226" s="0" t="s">
        <v>130</v>
      </c>
      <c r="BL226" s="0" t="s">
        <v>130</v>
      </c>
      <c r="BM226" s="0" t="s">
        <v>130</v>
      </c>
      <c r="BN226" s="0" t="s">
        <v>130</v>
      </c>
      <c r="BO226" s="0" t="s">
        <v>130</v>
      </c>
      <c r="BP226" s="0" t="s">
        <v>130</v>
      </c>
      <c r="BQ226" s="0" t="s">
        <v>130</v>
      </c>
      <c r="BR226" s="0" t="s">
        <v>130</v>
      </c>
      <c r="BS226" s="0" t="s">
        <v>130</v>
      </c>
      <c r="BT226" s="0" t="s">
        <v>130</v>
      </c>
      <c r="BU226" s="0" t="s">
        <v>130</v>
      </c>
      <c r="BV226" s="0" t="s">
        <v>130</v>
      </c>
      <c r="BW226" s="0" t="s">
        <v>130</v>
      </c>
      <c r="BX226" s="0" t="s">
        <v>130</v>
      </c>
      <c r="BY226" s="0" t="s">
        <v>130</v>
      </c>
      <c r="BZ226" s="0" t="s">
        <v>130</v>
      </c>
      <c r="CA226" s="0" t="s">
        <v>130</v>
      </c>
      <c r="CB226" s="0" t="s">
        <v>130</v>
      </c>
      <c r="CC226" s="0" t="s">
        <v>130</v>
      </c>
      <c r="CD226" s="0" t="s">
        <v>130</v>
      </c>
      <c r="CE226" s="0" t="s">
        <v>130</v>
      </c>
      <c r="CF226" s="0" t="s">
        <v>130</v>
      </c>
      <c r="CG226" s="0" t="s">
        <v>130</v>
      </c>
      <c r="CH226" s="0" t="s">
        <v>130</v>
      </c>
      <c r="CI226" s="0" t="s">
        <v>130</v>
      </c>
      <c r="CJ226" s="0" t="s">
        <v>130</v>
      </c>
      <c r="CK226" s="0" t="s">
        <v>141</v>
      </c>
      <c r="CL226" s="0" t="s">
        <v>130</v>
      </c>
      <c r="CM226" s="0" t="s">
        <v>130</v>
      </c>
      <c r="CN226" s="0" t="s">
        <v>130</v>
      </c>
      <c r="CO226" s="0" t="s">
        <v>130</v>
      </c>
      <c r="CP226" s="0" t="s">
        <v>130</v>
      </c>
      <c r="CQ226" s="0" t="s">
        <v>130</v>
      </c>
      <c r="CR226" s="0" t="s">
        <v>130</v>
      </c>
      <c r="CS226" s="0" t="s">
        <v>130</v>
      </c>
      <c r="CT226" s="0" t="s">
        <v>926</v>
      </c>
    </row>
    <row r="227">
      <c r="A227" s="14">
        <v>100743</v>
      </c>
      <c r="B227" s="0" t="s">
        <v>927</v>
      </c>
      <c r="C227" s="16">
        <f>HYPERLINK("https://eosportal.federatedhermes.com/companies/Q29tcGFueQppNjQzNzc=", "Home Depot Inc/The")</f>
      </c>
      <c r="D227" s="0" t="s">
        <v>23</v>
      </c>
      <c r="E227" s="0" t="s">
        <v>928</v>
      </c>
      <c r="F227" s="16">
        <f>HYPERLINK("https://eosportal.federatedhermes.com/engagements/RW5nYWdlbWVudAppMTk0MjA=", "Human rights risks in the supply chain")</f>
      </c>
      <c r="G227" s="14" t="s">
        <v>929</v>
      </c>
      <c r="H227" s="0" t="s">
        <v>141</v>
      </c>
      <c r="I227" s="14" t="s">
        <v>191</v>
      </c>
      <c r="J227" s="0" t="s">
        <v>153</v>
      </c>
      <c r="K227" s="0" t="s">
        <v>243</v>
      </c>
      <c r="L227" s="0" t="s">
        <v>244</v>
      </c>
      <c r="M227" s="0" t="s">
        <v>135</v>
      </c>
      <c r="N227" s="0" t="s">
        <v>136</v>
      </c>
      <c r="O227" s="0" t="s">
        <v>643</v>
      </c>
      <c r="Q227" s="0" t="s">
        <v>141</v>
      </c>
      <c r="R227" s="0" t="s">
        <v>130</v>
      </c>
      <c r="S227" s="14">
        <v>2</v>
      </c>
      <c r="T227" s="0" t="s">
        <v>583</v>
      </c>
      <c r="U227" s="0" t="s">
        <v>221</v>
      </c>
      <c r="V227" s="14" t="s">
        <v>583</v>
      </c>
      <c r="W227" s="0" t="s">
        <v>223</v>
      </c>
      <c r="X227" s="14" t="s">
        <v>138</v>
      </c>
      <c r="Y227" s="0" t="s">
        <v>224</v>
      </c>
      <c r="Z227" s="14" t="s">
        <v>138</v>
      </c>
      <c r="AA227" s="0" t="s">
        <v>224</v>
      </c>
      <c r="AB227" s="14" t="s">
        <v>138</v>
      </c>
      <c r="AD227" s="0" t="s">
        <v>14</v>
      </c>
      <c r="AF227" s="0">
        <v>0</v>
      </c>
      <c r="AG227" s="0">
        <v>0</v>
      </c>
      <c r="AH227" s="0" t="s">
        <v>140</v>
      </c>
      <c r="AI227" s="0" t="s">
        <v>225</v>
      </c>
      <c r="AK227" s="0" t="s">
        <v>930</v>
      </c>
      <c r="AL227" s="14"/>
      <c r="AN227" s="14"/>
      <c r="AQ227" s="0" t="s">
        <v>130</v>
      </c>
      <c r="AR227" s="0" t="s">
        <v>130</v>
      </c>
      <c r="AS227" s="0" t="s">
        <v>130</v>
      </c>
      <c r="AT227" s="0" t="s">
        <v>130</v>
      </c>
      <c r="AU227" s="0" t="s">
        <v>130</v>
      </c>
      <c r="AV227" s="0" t="s">
        <v>130</v>
      </c>
      <c r="AW227" s="0" t="s">
        <v>130</v>
      </c>
      <c r="AX227" s="0" t="s">
        <v>141</v>
      </c>
      <c r="AY227" s="0" t="s">
        <v>130</v>
      </c>
      <c r="AZ227" s="0" t="s">
        <v>130</v>
      </c>
      <c r="BA227" s="0" t="s">
        <v>130</v>
      </c>
      <c r="BB227" s="0" t="s">
        <v>130</v>
      </c>
      <c r="BC227" s="0" t="s">
        <v>130</v>
      </c>
      <c r="BD227" s="0" t="s">
        <v>130</v>
      </c>
      <c r="BE227" s="0" t="s">
        <v>130</v>
      </c>
      <c r="BF227" s="0" t="s">
        <v>130</v>
      </c>
      <c r="BG227" s="0" t="s">
        <v>130</v>
      </c>
      <c r="BH227" s="0" t="s">
        <v>130</v>
      </c>
      <c r="BI227" s="0" t="s">
        <v>130</v>
      </c>
      <c r="BJ227" s="0" t="s">
        <v>130</v>
      </c>
      <c r="BK227" s="0" t="s">
        <v>130</v>
      </c>
      <c r="BL227" s="0" t="s">
        <v>130</v>
      </c>
      <c r="BM227" s="0" t="s">
        <v>130</v>
      </c>
      <c r="BN227" s="0" t="s">
        <v>130</v>
      </c>
      <c r="BO227" s="0" t="s">
        <v>130</v>
      </c>
      <c r="BP227" s="0" t="s">
        <v>130</v>
      </c>
      <c r="BQ227" s="0" t="s">
        <v>130</v>
      </c>
      <c r="BR227" s="0" t="s">
        <v>130</v>
      </c>
      <c r="BS227" s="0" t="s">
        <v>130</v>
      </c>
      <c r="BT227" s="0" t="s">
        <v>130</v>
      </c>
      <c r="BU227" s="0" t="s">
        <v>130</v>
      </c>
      <c r="BV227" s="0" t="s">
        <v>130</v>
      </c>
      <c r="BW227" s="0" t="s">
        <v>130</v>
      </c>
      <c r="BX227" s="0" t="s">
        <v>130</v>
      </c>
      <c r="BY227" s="0" t="s">
        <v>130</v>
      </c>
      <c r="BZ227" s="0" t="s">
        <v>130</v>
      </c>
      <c r="CA227" s="0" t="s">
        <v>130</v>
      </c>
      <c r="CB227" s="0" t="s">
        <v>130</v>
      </c>
      <c r="CC227" s="0" t="s">
        <v>130</v>
      </c>
      <c r="CD227" s="0" t="s">
        <v>130</v>
      </c>
      <c r="CE227" s="0" t="s">
        <v>130</v>
      </c>
      <c r="CF227" s="0" t="s">
        <v>130</v>
      </c>
      <c r="CG227" s="0" t="s">
        <v>130</v>
      </c>
      <c r="CH227" s="0" t="s">
        <v>130</v>
      </c>
      <c r="CI227" s="0" t="s">
        <v>130</v>
      </c>
      <c r="CJ227" s="0" t="s">
        <v>130</v>
      </c>
      <c r="CK227" s="0" t="s">
        <v>130</v>
      </c>
      <c r="CL227" s="0" t="s">
        <v>130</v>
      </c>
      <c r="CM227" s="0" t="s">
        <v>130</v>
      </c>
      <c r="CN227" s="0" t="s">
        <v>130</v>
      </c>
      <c r="CO227" s="0" t="s">
        <v>130</v>
      </c>
      <c r="CP227" s="0" t="s">
        <v>130</v>
      </c>
      <c r="CQ227" s="0" t="s">
        <v>130</v>
      </c>
      <c r="CR227" s="0" t="s">
        <v>130</v>
      </c>
      <c r="CS227" s="0" t="s">
        <v>130</v>
      </c>
      <c r="CT227" s="0" t="s">
        <v>931</v>
      </c>
    </row>
    <row r="228">
      <c r="A228" s="14">
        <v>100743</v>
      </c>
      <c r="B228" s="0" t="s">
        <v>927</v>
      </c>
      <c r="C228" s="16">
        <f>HYPERLINK("https://eosportal.federatedhermes.com/companies/Q29tcGFueQppNjQzNzc=", "Home Depot Inc/The")</f>
      </c>
      <c r="D228" s="0" t="s">
        <v>25</v>
      </c>
      <c r="E228" s="0" t="s">
        <v>743</v>
      </c>
      <c r="F228" s="16">
        <f>HYPERLINK("https://eosportal.federatedhermes.com/engagements/RW5nYWdlbWVudAppMTk0MjI=", "Cyber Security")</f>
      </c>
      <c r="G228" s="14" t="s">
        <v>932</v>
      </c>
      <c r="H228" s="0" t="s">
        <v>141</v>
      </c>
      <c r="I228" s="14" t="s">
        <v>191</v>
      </c>
      <c r="J228" s="0" t="s">
        <v>132</v>
      </c>
      <c r="K228" s="0" t="s">
        <v>260</v>
      </c>
      <c r="L228" s="0" t="s">
        <v>261</v>
      </c>
      <c r="M228" s="0" t="s">
        <v>135</v>
      </c>
      <c r="N228" s="0" t="s">
        <v>136</v>
      </c>
      <c r="O228" s="0" t="s">
        <v>643</v>
      </c>
      <c r="Q228" s="0" t="s">
        <v>130</v>
      </c>
      <c r="R228" s="0" t="s">
        <v>138</v>
      </c>
      <c r="S228" s="14">
        <v>0</v>
      </c>
      <c r="T228" s="0" t="s">
        <v>333</v>
      </c>
      <c r="U228" s="0" t="s">
        <v>138</v>
      </c>
      <c r="V228" s="14" t="s">
        <v>138</v>
      </c>
      <c r="W228" s="0" t="s">
        <v>138</v>
      </c>
      <c r="X228" s="14" t="s">
        <v>138</v>
      </c>
      <c r="Y228" s="0" t="s">
        <v>138</v>
      </c>
      <c r="Z228" s="14" t="s">
        <v>138</v>
      </c>
      <c r="AA228" s="0" t="s">
        <v>138</v>
      </c>
      <c r="AB228" s="14" t="s">
        <v>138</v>
      </c>
      <c r="AD228" s="0" t="s">
        <v>138</v>
      </c>
      <c r="AF228" s="0">
        <v>0</v>
      </c>
      <c r="AG228" s="0">
        <v>0</v>
      </c>
      <c r="AH228" s="0" t="s">
        <v>140</v>
      </c>
      <c r="AI228" s="0" t="s">
        <v>138</v>
      </c>
      <c r="AL228" s="14"/>
      <c r="AN228" s="14"/>
      <c r="AQ228" s="0" t="s">
        <v>130</v>
      </c>
      <c r="AR228" s="0" t="s">
        <v>130</v>
      </c>
      <c r="AS228" s="0" t="s">
        <v>130</v>
      </c>
      <c r="AT228" s="0" t="s">
        <v>130</v>
      </c>
      <c r="AU228" s="0" t="s">
        <v>130</v>
      </c>
      <c r="AV228" s="0" t="s">
        <v>130</v>
      </c>
      <c r="AW228" s="0" t="s">
        <v>130</v>
      </c>
      <c r="AX228" s="0" t="s">
        <v>130</v>
      </c>
      <c r="AY228" s="0" t="s">
        <v>141</v>
      </c>
      <c r="AZ228" s="0" t="s">
        <v>130</v>
      </c>
      <c r="BA228" s="0" t="s">
        <v>130</v>
      </c>
      <c r="BB228" s="0" t="s">
        <v>130</v>
      </c>
      <c r="BC228" s="0" t="s">
        <v>130</v>
      </c>
      <c r="BD228" s="0" t="s">
        <v>130</v>
      </c>
      <c r="BE228" s="0" t="s">
        <v>130</v>
      </c>
      <c r="BF228" s="0" t="s">
        <v>130</v>
      </c>
      <c r="BG228" s="0" t="s">
        <v>130</v>
      </c>
      <c r="BH228" s="0" t="s">
        <v>130</v>
      </c>
      <c r="BI228" s="0" t="s">
        <v>130</v>
      </c>
      <c r="BJ228" s="0" t="s">
        <v>130</v>
      </c>
      <c r="BK228" s="0" t="s">
        <v>130</v>
      </c>
      <c r="BL228" s="0" t="s">
        <v>130</v>
      </c>
      <c r="BM228" s="0" t="s">
        <v>130</v>
      </c>
      <c r="BN228" s="0" t="s">
        <v>130</v>
      </c>
      <c r="BO228" s="0" t="s">
        <v>130</v>
      </c>
      <c r="BP228" s="0" t="s">
        <v>130</v>
      </c>
      <c r="BQ228" s="0" t="s">
        <v>130</v>
      </c>
      <c r="BR228" s="0" t="s">
        <v>130</v>
      </c>
      <c r="BS228" s="0" t="s">
        <v>130</v>
      </c>
      <c r="BT228" s="0" t="s">
        <v>130</v>
      </c>
      <c r="BU228" s="0" t="s">
        <v>130</v>
      </c>
      <c r="BV228" s="0" t="s">
        <v>130</v>
      </c>
      <c r="BW228" s="0" t="s">
        <v>130</v>
      </c>
      <c r="BX228" s="0" t="s">
        <v>130</v>
      </c>
      <c r="BY228" s="0" t="s">
        <v>130</v>
      </c>
      <c r="BZ228" s="0" t="s">
        <v>130</v>
      </c>
      <c r="CA228" s="0" t="s">
        <v>130</v>
      </c>
      <c r="CB228" s="0" t="s">
        <v>130</v>
      </c>
      <c r="CC228" s="0" t="s">
        <v>130</v>
      </c>
      <c r="CD228" s="0" t="s">
        <v>130</v>
      </c>
      <c r="CE228" s="0" t="s">
        <v>130</v>
      </c>
      <c r="CF228" s="0" t="s">
        <v>130</v>
      </c>
      <c r="CG228" s="0" t="s">
        <v>130</v>
      </c>
      <c r="CH228" s="0" t="s">
        <v>130</v>
      </c>
      <c r="CI228" s="0" t="s">
        <v>130</v>
      </c>
      <c r="CJ228" s="0" t="s">
        <v>130</v>
      </c>
      <c r="CK228" s="0" t="s">
        <v>130</v>
      </c>
      <c r="CL228" s="0" t="s">
        <v>130</v>
      </c>
      <c r="CM228" s="0" t="s">
        <v>130</v>
      </c>
      <c r="CN228" s="0" t="s">
        <v>130</v>
      </c>
      <c r="CO228" s="0" t="s">
        <v>130</v>
      </c>
      <c r="CP228" s="0" t="s">
        <v>130</v>
      </c>
      <c r="CQ228" s="0" t="s">
        <v>130</v>
      </c>
      <c r="CR228" s="0" t="s">
        <v>130</v>
      </c>
      <c r="CS228" s="0" t="s">
        <v>130</v>
      </c>
      <c r="CT228" s="0" t="s">
        <v>933</v>
      </c>
    </row>
    <row r="229">
      <c r="A229" s="14">
        <v>100743</v>
      </c>
      <c r="B229" s="0" t="s">
        <v>927</v>
      </c>
      <c r="C229" s="16">
        <f>HYPERLINK("https://eosportal.federatedhermes.com/companies/Q29tcGFueQppNjQzNzc=", "Home Depot Inc/The")</f>
      </c>
      <c r="D229" s="0" t="s">
        <v>25</v>
      </c>
      <c r="E229" s="0" t="s">
        <v>934</v>
      </c>
      <c r="F229" s="16">
        <f>HYPERLINK("https://eosportal.federatedhermes.com/engagements/RW5nYWdlbWVudAppMTk0MjM=", "Adoption of Science-based targets")</f>
      </c>
      <c r="G229" s="14" t="s">
        <v>935</v>
      </c>
      <c r="H229" s="0" t="s">
        <v>141</v>
      </c>
      <c r="I229" s="14" t="s">
        <v>191</v>
      </c>
      <c r="J229" s="0" t="s">
        <v>197</v>
      </c>
      <c r="K229" s="0" t="s">
        <v>198</v>
      </c>
      <c r="L229" s="0" t="s">
        <v>216</v>
      </c>
      <c r="M229" s="0" t="s">
        <v>135</v>
      </c>
      <c r="N229" s="0" t="s">
        <v>136</v>
      </c>
      <c r="O229" s="0" t="s">
        <v>643</v>
      </c>
      <c r="Q229" s="0" t="s">
        <v>130</v>
      </c>
      <c r="R229" s="0" t="s">
        <v>138</v>
      </c>
      <c r="S229" s="14">
        <v>0</v>
      </c>
      <c r="T229" s="0" t="s">
        <v>333</v>
      </c>
      <c r="U229" s="0" t="s">
        <v>138</v>
      </c>
      <c r="V229" s="14" t="s">
        <v>138</v>
      </c>
      <c r="W229" s="0" t="s">
        <v>138</v>
      </c>
      <c r="X229" s="14" t="s">
        <v>138</v>
      </c>
      <c r="Y229" s="0" t="s">
        <v>138</v>
      </c>
      <c r="Z229" s="14" t="s">
        <v>138</v>
      </c>
      <c r="AA229" s="0" t="s">
        <v>138</v>
      </c>
      <c r="AB229" s="14" t="s">
        <v>138</v>
      </c>
      <c r="AD229" s="0" t="s">
        <v>138</v>
      </c>
      <c r="AF229" s="0">
        <v>0</v>
      </c>
      <c r="AG229" s="0">
        <v>0</v>
      </c>
      <c r="AH229" s="0" t="s">
        <v>140</v>
      </c>
      <c r="AI229" s="0" t="s">
        <v>138</v>
      </c>
      <c r="AL229" s="14"/>
      <c r="AN229" s="14"/>
      <c r="AQ229" s="0" t="s">
        <v>130</v>
      </c>
      <c r="AR229" s="0" t="s">
        <v>130</v>
      </c>
      <c r="AS229" s="0" t="s">
        <v>130</v>
      </c>
      <c r="AT229" s="0" t="s">
        <v>130</v>
      </c>
      <c r="AU229" s="0" t="s">
        <v>130</v>
      </c>
      <c r="AV229" s="0" t="s">
        <v>130</v>
      </c>
      <c r="AW229" s="0" t="s">
        <v>141</v>
      </c>
      <c r="AX229" s="0" t="s">
        <v>130</v>
      </c>
      <c r="AY229" s="0" t="s">
        <v>130</v>
      </c>
      <c r="AZ229" s="0" t="s">
        <v>130</v>
      </c>
      <c r="BA229" s="0" t="s">
        <v>130</v>
      </c>
      <c r="BB229" s="0" t="s">
        <v>130</v>
      </c>
      <c r="BC229" s="0" t="s">
        <v>141</v>
      </c>
      <c r="BD229" s="0" t="s">
        <v>130</v>
      </c>
      <c r="BE229" s="0" t="s">
        <v>130</v>
      </c>
      <c r="BF229" s="0" t="s">
        <v>130</v>
      </c>
      <c r="BG229" s="0" t="s">
        <v>130</v>
      </c>
      <c r="BH229" s="0" t="s">
        <v>141</v>
      </c>
      <c r="BI229" s="0" t="s">
        <v>141</v>
      </c>
      <c r="BJ229" s="0" t="s">
        <v>141</v>
      </c>
      <c r="BK229" s="0" t="s">
        <v>130</v>
      </c>
      <c r="BL229" s="0" t="s">
        <v>130</v>
      </c>
      <c r="BM229" s="0" t="s">
        <v>130</v>
      </c>
      <c r="BN229" s="0" t="s">
        <v>130</v>
      </c>
      <c r="BO229" s="0" t="s">
        <v>130</v>
      </c>
      <c r="BP229" s="0" t="s">
        <v>130</v>
      </c>
      <c r="BQ229" s="0" t="s">
        <v>130</v>
      </c>
      <c r="BR229" s="0" t="s">
        <v>130</v>
      </c>
      <c r="BS229" s="0" t="s">
        <v>130</v>
      </c>
      <c r="BT229" s="0" t="s">
        <v>130</v>
      </c>
      <c r="BU229" s="0" t="s">
        <v>130</v>
      </c>
      <c r="BV229" s="0" t="s">
        <v>141</v>
      </c>
      <c r="BW229" s="0" t="s">
        <v>141</v>
      </c>
      <c r="BX229" s="0" t="s">
        <v>130</v>
      </c>
      <c r="BY229" s="0" t="s">
        <v>130</v>
      </c>
      <c r="BZ229" s="0" t="s">
        <v>130</v>
      </c>
      <c r="CA229" s="0" t="s">
        <v>130</v>
      </c>
      <c r="CB229" s="0" t="s">
        <v>130</v>
      </c>
      <c r="CC229" s="0" t="s">
        <v>130</v>
      </c>
      <c r="CD229" s="0" t="s">
        <v>130</v>
      </c>
      <c r="CE229" s="0" t="s">
        <v>130</v>
      </c>
      <c r="CF229" s="0" t="s">
        <v>130</v>
      </c>
      <c r="CG229" s="0" t="s">
        <v>130</v>
      </c>
      <c r="CH229" s="0" t="s">
        <v>130</v>
      </c>
      <c r="CI229" s="0" t="s">
        <v>130</v>
      </c>
      <c r="CJ229" s="0" t="s">
        <v>130</v>
      </c>
      <c r="CK229" s="0" t="s">
        <v>130</v>
      </c>
      <c r="CL229" s="0" t="s">
        <v>130</v>
      </c>
      <c r="CM229" s="0" t="s">
        <v>130</v>
      </c>
      <c r="CN229" s="0" t="s">
        <v>130</v>
      </c>
      <c r="CO229" s="0" t="s">
        <v>130</v>
      </c>
      <c r="CP229" s="0" t="s">
        <v>130</v>
      </c>
      <c r="CQ229" s="0" t="s">
        <v>130</v>
      </c>
      <c r="CR229" s="0" t="s">
        <v>130</v>
      </c>
      <c r="CS229" s="0" t="s">
        <v>130</v>
      </c>
      <c r="CT229" s="0" t="s">
        <v>936</v>
      </c>
    </row>
    <row r="230">
      <c r="A230" s="14">
        <v>100743</v>
      </c>
      <c r="B230" s="0" t="s">
        <v>927</v>
      </c>
      <c r="C230" s="16">
        <f>HYPERLINK("https://eosportal.federatedhermes.com/companies/Q29tcGFueQppNjQzNzc=", "Home Depot Inc/The")</f>
      </c>
      <c r="D230" s="0" t="s">
        <v>23</v>
      </c>
      <c r="E230" s="0" t="s">
        <v>937</v>
      </c>
      <c r="F230" s="16">
        <f>HYPERLINK("https://eosportal.federatedhermes.com/engagements/RW5nYWdlbWVudAppMTk0MjQ=", "CEO Shareholding Requirements")</f>
      </c>
      <c r="G230" s="14" t="s">
        <v>938</v>
      </c>
      <c r="H230" s="0" t="s">
        <v>141</v>
      </c>
      <c r="I230" s="14" t="s">
        <v>191</v>
      </c>
      <c r="J230" s="0" t="s">
        <v>145</v>
      </c>
      <c r="K230" s="0" t="s">
        <v>146</v>
      </c>
      <c r="L230" s="0" t="s">
        <v>147</v>
      </c>
      <c r="M230" s="0" t="s">
        <v>135</v>
      </c>
      <c r="N230" s="0" t="s">
        <v>136</v>
      </c>
      <c r="O230" s="0" t="s">
        <v>643</v>
      </c>
      <c r="Q230" s="0" t="s">
        <v>130</v>
      </c>
      <c r="R230" s="0" t="s">
        <v>130</v>
      </c>
      <c r="S230" s="14">
        <v>0</v>
      </c>
      <c r="T230" s="0" t="s">
        <v>231</v>
      </c>
      <c r="U230" s="0" t="s">
        <v>221</v>
      </c>
      <c r="V230" s="14" t="s">
        <v>231</v>
      </c>
      <c r="W230" s="0" t="s">
        <v>223</v>
      </c>
      <c r="X230" s="14" t="s">
        <v>138</v>
      </c>
      <c r="Y230" s="0" t="s">
        <v>224</v>
      </c>
      <c r="Z230" s="14" t="s">
        <v>138</v>
      </c>
      <c r="AA230" s="0" t="s">
        <v>224</v>
      </c>
      <c r="AB230" s="14" t="s">
        <v>138</v>
      </c>
      <c r="AD230" s="0" t="s">
        <v>14</v>
      </c>
      <c r="AF230" s="0">
        <v>0</v>
      </c>
      <c r="AG230" s="0">
        <v>0</v>
      </c>
      <c r="AH230" s="0" t="s">
        <v>140</v>
      </c>
      <c r="AI230" s="0" t="s">
        <v>225</v>
      </c>
      <c r="AL230" s="14"/>
      <c r="AN230" s="14"/>
      <c r="AQ230" s="0" t="s">
        <v>130</v>
      </c>
      <c r="AR230" s="0" t="s">
        <v>130</v>
      </c>
      <c r="AS230" s="0" t="s">
        <v>130</v>
      </c>
      <c r="AT230" s="0" t="s">
        <v>130</v>
      </c>
      <c r="AU230" s="0" t="s">
        <v>130</v>
      </c>
      <c r="AV230" s="0" t="s">
        <v>130</v>
      </c>
      <c r="AW230" s="0" t="s">
        <v>130</v>
      </c>
      <c r="AX230" s="0" t="s">
        <v>130</v>
      </c>
      <c r="AY230" s="0" t="s">
        <v>130</v>
      </c>
      <c r="AZ230" s="0" t="s">
        <v>130</v>
      </c>
      <c r="BA230" s="0" t="s">
        <v>130</v>
      </c>
      <c r="BB230" s="0" t="s">
        <v>130</v>
      </c>
      <c r="BC230" s="0" t="s">
        <v>130</v>
      </c>
      <c r="BD230" s="0" t="s">
        <v>130</v>
      </c>
      <c r="BE230" s="0" t="s">
        <v>130</v>
      </c>
      <c r="BF230" s="0" t="s">
        <v>130</v>
      </c>
      <c r="BG230" s="0" t="s">
        <v>130</v>
      </c>
      <c r="BH230" s="0" t="s">
        <v>130</v>
      </c>
      <c r="BI230" s="0" t="s">
        <v>130</v>
      </c>
      <c r="BJ230" s="0" t="s">
        <v>130</v>
      </c>
      <c r="BK230" s="0" t="s">
        <v>130</v>
      </c>
      <c r="BL230" s="0" t="s">
        <v>130</v>
      </c>
      <c r="BM230" s="0" t="s">
        <v>130</v>
      </c>
      <c r="BN230" s="0" t="s">
        <v>130</v>
      </c>
      <c r="BO230" s="0" t="s">
        <v>130</v>
      </c>
      <c r="BP230" s="0" t="s">
        <v>130</v>
      </c>
      <c r="BQ230" s="0" t="s">
        <v>130</v>
      </c>
      <c r="BR230" s="0" t="s">
        <v>130</v>
      </c>
      <c r="BS230" s="0" t="s">
        <v>130</v>
      </c>
      <c r="BT230" s="0" t="s">
        <v>130</v>
      </c>
      <c r="BU230" s="0" t="s">
        <v>130</v>
      </c>
      <c r="BV230" s="0" t="s">
        <v>130</v>
      </c>
      <c r="BW230" s="0" t="s">
        <v>130</v>
      </c>
      <c r="BX230" s="0" t="s">
        <v>130</v>
      </c>
      <c r="BY230" s="0" t="s">
        <v>130</v>
      </c>
      <c r="BZ230" s="0" t="s">
        <v>130</v>
      </c>
      <c r="CA230" s="0" t="s">
        <v>130</v>
      </c>
      <c r="CB230" s="0" t="s">
        <v>130</v>
      </c>
      <c r="CC230" s="0" t="s">
        <v>130</v>
      </c>
      <c r="CD230" s="0" t="s">
        <v>130</v>
      </c>
      <c r="CE230" s="0" t="s">
        <v>130</v>
      </c>
      <c r="CF230" s="0" t="s">
        <v>130</v>
      </c>
      <c r="CG230" s="0" t="s">
        <v>130</v>
      </c>
      <c r="CH230" s="0" t="s">
        <v>130</v>
      </c>
      <c r="CI230" s="0" t="s">
        <v>130</v>
      </c>
      <c r="CJ230" s="0" t="s">
        <v>130</v>
      </c>
      <c r="CK230" s="0" t="s">
        <v>130</v>
      </c>
      <c r="CL230" s="0" t="s">
        <v>130</v>
      </c>
      <c r="CM230" s="0" t="s">
        <v>130</v>
      </c>
      <c r="CN230" s="0" t="s">
        <v>130</v>
      </c>
      <c r="CO230" s="0" t="s">
        <v>130</v>
      </c>
      <c r="CP230" s="0" t="s">
        <v>130</v>
      </c>
      <c r="CQ230" s="0" t="s">
        <v>130</v>
      </c>
      <c r="CR230" s="0" t="s">
        <v>130</v>
      </c>
      <c r="CS230" s="0" t="s">
        <v>130</v>
      </c>
      <c r="CT230" s="0" t="s">
        <v>939</v>
      </c>
    </row>
    <row r="231">
      <c r="A231" s="14">
        <v>100743</v>
      </c>
      <c r="B231" s="0" t="s">
        <v>927</v>
      </c>
      <c r="C231" s="16">
        <f>HYPERLINK("https://eosportal.federatedhermes.com/companies/Q29tcGFueQppNjQzNzc=", "Home Depot Inc/The")</f>
      </c>
      <c r="D231" s="0" t="s">
        <v>25</v>
      </c>
      <c r="E231" s="0" t="s">
        <v>940</v>
      </c>
      <c r="F231" s="16">
        <f>HYPERLINK("https://eosportal.federatedhermes.com/engagements/RW5nYWdlbWVudAppMTk0Mjk=", "Paid sick leave for direct and indirect employees")</f>
      </c>
      <c r="G231" s="14" t="s">
        <v>941</v>
      </c>
      <c r="H231" s="0" t="s">
        <v>141</v>
      </c>
      <c r="I231" s="14" t="s">
        <v>191</v>
      </c>
      <c r="J231" s="0" t="s">
        <v>153</v>
      </c>
      <c r="K231" s="0" t="s">
        <v>154</v>
      </c>
      <c r="L231" s="0" t="s">
        <v>306</v>
      </c>
      <c r="M231" s="0" t="s">
        <v>135</v>
      </c>
      <c r="N231" s="0" t="s">
        <v>136</v>
      </c>
      <c r="O231" s="0" t="s">
        <v>643</v>
      </c>
      <c r="Q231" s="0" t="s">
        <v>141</v>
      </c>
      <c r="R231" s="0" t="s">
        <v>138</v>
      </c>
      <c r="S231" s="14">
        <v>2</v>
      </c>
      <c r="T231" s="0" t="s">
        <v>583</v>
      </c>
      <c r="U231" s="0" t="s">
        <v>138</v>
      </c>
      <c r="V231" s="14" t="s">
        <v>138</v>
      </c>
      <c r="W231" s="0" t="s">
        <v>138</v>
      </c>
      <c r="X231" s="14" t="s">
        <v>138</v>
      </c>
      <c r="Y231" s="0" t="s">
        <v>138</v>
      </c>
      <c r="Z231" s="14" t="s">
        <v>138</v>
      </c>
      <c r="AA231" s="0" t="s">
        <v>138</v>
      </c>
      <c r="AB231" s="14" t="s">
        <v>138</v>
      </c>
      <c r="AD231" s="0" t="s">
        <v>138</v>
      </c>
      <c r="AF231" s="0">
        <v>0</v>
      </c>
      <c r="AG231" s="0">
        <v>0</v>
      </c>
      <c r="AH231" s="0" t="s">
        <v>140</v>
      </c>
      <c r="AI231" s="0" t="s">
        <v>138</v>
      </c>
      <c r="AK231" s="0" t="s">
        <v>300</v>
      </c>
      <c r="AL231" s="14"/>
      <c r="AN231" s="14"/>
      <c r="AQ231" s="0" t="s">
        <v>141</v>
      </c>
      <c r="AR231" s="0" t="s">
        <v>130</v>
      </c>
      <c r="AS231" s="0" t="s">
        <v>130</v>
      </c>
      <c r="AT231" s="0" t="s">
        <v>130</v>
      </c>
      <c r="AU231" s="0" t="s">
        <v>130</v>
      </c>
      <c r="AV231" s="0" t="s">
        <v>130</v>
      </c>
      <c r="AW231" s="0" t="s">
        <v>130</v>
      </c>
      <c r="AX231" s="0" t="s">
        <v>141</v>
      </c>
      <c r="AY231" s="0" t="s">
        <v>130</v>
      </c>
      <c r="AZ231" s="0" t="s">
        <v>141</v>
      </c>
      <c r="BA231" s="0" t="s">
        <v>130</v>
      </c>
      <c r="BB231" s="0" t="s">
        <v>130</v>
      </c>
      <c r="BC231" s="0" t="s">
        <v>130</v>
      </c>
      <c r="BD231" s="0" t="s">
        <v>130</v>
      </c>
      <c r="BE231" s="0" t="s">
        <v>130</v>
      </c>
      <c r="BF231" s="0" t="s">
        <v>130</v>
      </c>
      <c r="BG231" s="0" t="s">
        <v>130</v>
      </c>
      <c r="BH231" s="0" t="s">
        <v>130</v>
      </c>
      <c r="BI231" s="0" t="s">
        <v>130</v>
      </c>
      <c r="BJ231" s="0" t="s">
        <v>130</v>
      </c>
      <c r="BK231" s="0" t="s">
        <v>130</v>
      </c>
      <c r="BL231" s="0" t="s">
        <v>130</v>
      </c>
      <c r="BM231" s="0" t="s">
        <v>130</v>
      </c>
      <c r="BN231" s="0" t="s">
        <v>130</v>
      </c>
      <c r="BO231" s="0" t="s">
        <v>130</v>
      </c>
      <c r="BP231" s="0" t="s">
        <v>130</v>
      </c>
      <c r="BQ231" s="0" t="s">
        <v>130</v>
      </c>
      <c r="BR231" s="0" t="s">
        <v>130</v>
      </c>
      <c r="BS231" s="0" t="s">
        <v>130</v>
      </c>
      <c r="BT231" s="0" t="s">
        <v>130</v>
      </c>
      <c r="BU231" s="0" t="s">
        <v>130</v>
      </c>
      <c r="BV231" s="0" t="s">
        <v>130</v>
      </c>
      <c r="BW231" s="0" t="s">
        <v>130</v>
      </c>
      <c r="BX231" s="0" t="s">
        <v>130</v>
      </c>
      <c r="BY231" s="0" t="s">
        <v>130</v>
      </c>
      <c r="BZ231" s="0" t="s">
        <v>130</v>
      </c>
      <c r="CA231" s="0" t="s">
        <v>130</v>
      </c>
      <c r="CB231" s="0" t="s">
        <v>130</v>
      </c>
      <c r="CC231" s="0" t="s">
        <v>130</v>
      </c>
      <c r="CD231" s="0" t="s">
        <v>130</v>
      </c>
      <c r="CE231" s="0" t="s">
        <v>130</v>
      </c>
      <c r="CF231" s="0" t="s">
        <v>130</v>
      </c>
      <c r="CG231" s="0" t="s">
        <v>130</v>
      </c>
      <c r="CH231" s="0" t="s">
        <v>130</v>
      </c>
      <c r="CI231" s="0" t="s">
        <v>130</v>
      </c>
      <c r="CJ231" s="0" t="s">
        <v>130</v>
      </c>
      <c r="CK231" s="0" t="s">
        <v>130</v>
      </c>
      <c r="CL231" s="0" t="s">
        <v>130</v>
      </c>
      <c r="CM231" s="0" t="s">
        <v>130</v>
      </c>
      <c r="CN231" s="0" t="s">
        <v>130</v>
      </c>
      <c r="CO231" s="0" t="s">
        <v>130</v>
      </c>
      <c r="CP231" s="0" t="s">
        <v>130</v>
      </c>
      <c r="CQ231" s="0" t="s">
        <v>130</v>
      </c>
      <c r="CR231" s="0" t="s">
        <v>130</v>
      </c>
      <c r="CS231" s="0" t="s">
        <v>130</v>
      </c>
      <c r="CT231" s="0" t="s">
        <v>942</v>
      </c>
    </row>
    <row r="232">
      <c r="A232" s="14">
        <v>100743</v>
      </c>
      <c r="B232" s="0" t="s">
        <v>927</v>
      </c>
      <c r="C232" s="16">
        <f>HYPERLINK("https://eosportal.federatedhermes.com/companies/Q29tcGFueQppNjQzNzc=", "Home Depot Inc/The")</f>
      </c>
      <c r="D232" s="0" t="s">
        <v>25</v>
      </c>
      <c r="E232" s="0" t="s">
        <v>943</v>
      </c>
      <c r="F232" s="16">
        <f>HYPERLINK("https://eosportal.federatedhermes.com/engagements/RW5nYWdlbWVudAppMTk0MzA=", "Diversity")</f>
      </c>
      <c r="G232" s="14" t="s">
        <v>944</v>
      </c>
      <c r="H232" s="0" t="s">
        <v>141</v>
      </c>
      <c r="I232" s="14" t="s">
        <v>191</v>
      </c>
      <c r="J232" s="0" t="s">
        <v>153</v>
      </c>
      <c r="K232" s="0" t="s">
        <v>154</v>
      </c>
      <c r="L232" s="0" t="s">
        <v>268</v>
      </c>
      <c r="M232" s="0" t="s">
        <v>135</v>
      </c>
      <c r="N232" s="0" t="s">
        <v>136</v>
      </c>
      <c r="O232" s="0" t="s">
        <v>643</v>
      </c>
      <c r="Q232" s="0" t="s">
        <v>141</v>
      </c>
      <c r="R232" s="0" t="s">
        <v>138</v>
      </c>
      <c r="S232" s="14">
        <v>2</v>
      </c>
      <c r="T232" s="0" t="s">
        <v>416</v>
      </c>
      <c r="U232" s="0" t="s">
        <v>138</v>
      </c>
      <c r="V232" s="14" t="s">
        <v>138</v>
      </c>
      <c r="W232" s="0" t="s">
        <v>138</v>
      </c>
      <c r="X232" s="14" t="s">
        <v>138</v>
      </c>
      <c r="Y232" s="0" t="s">
        <v>138</v>
      </c>
      <c r="Z232" s="14" t="s">
        <v>138</v>
      </c>
      <c r="AA232" s="0" t="s">
        <v>138</v>
      </c>
      <c r="AB232" s="14" t="s">
        <v>138</v>
      </c>
      <c r="AD232" s="0" t="s">
        <v>138</v>
      </c>
      <c r="AF232" s="0">
        <v>0</v>
      </c>
      <c r="AG232" s="0">
        <v>0</v>
      </c>
      <c r="AH232" s="0" t="s">
        <v>140</v>
      </c>
      <c r="AI232" s="0" t="s">
        <v>138</v>
      </c>
      <c r="AK232" s="0" t="s">
        <v>300</v>
      </c>
      <c r="AL232" s="14"/>
      <c r="AN232" s="14"/>
      <c r="AQ232" s="0" t="s">
        <v>130</v>
      </c>
      <c r="AR232" s="0" t="s">
        <v>130</v>
      </c>
      <c r="AS232" s="0" t="s">
        <v>130</v>
      </c>
      <c r="AT232" s="0" t="s">
        <v>130</v>
      </c>
      <c r="AU232" s="0" t="s">
        <v>130</v>
      </c>
      <c r="AV232" s="0" t="s">
        <v>130</v>
      </c>
      <c r="AW232" s="0" t="s">
        <v>130</v>
      </c>
      <c r="AX232" s="0" t="s">
        <v>130</v>
      </c>
      <c r="AY232" s="0" t="s">
        <v>130</v>
      </c>
      <c r="AZ232" s="0" t="s">
        <v>130</v>
      </c>
      <c r="BA232" s="0" t="s">
        <v>130</v>
      </c>
      <c r="BB232" s="0" t="s">
        <v>130</v>
      </c>
      <c r="BC232" s="0" t="s">
        <v>130</v>
      </c>
      <c r="BD232" s="0" t="s">
        <v>130</v>
      </c>
      <c r="BE232" s="0" t="s">
        <v>130</v>
      </c>
      <c r="BF232" s="0" t="s">
        <v>130</v>
      </c>
      <c r="BG232" s="0" t="s">
        <v>130</v>
      </c>
      <c r="BH232" s="0" t="s">
        <v>130</v>
      </c>
      <c r="BI232" s="0" t="s">
        <v>130</v>
      </c>
      <c r="BJ232" s="0" t="s">
        <v>130</v>
      </c>
      <c r="BK232" s="0" t="s">
        <v>130</v>
      </c>
      <c r="BL232" s="0" t="s">
        <v>130</v>
      </c>
      <c r="BM232" s="0" t="s">
        <v>130</v>
      </c>
      <c r="BN232" s="0" t="s">
        <v>130</v>
      </c>
      <c r="BO232" s="0" t="s">
        <v>130</v>
      </c>
      <c r="BP232" s="0" t="s">
        <v>130</v>
      </c>
      <c r="BQ232" s="0" t="s">
        <v>130</v>
      </c>
      <c r="BR232" s="0" t="s">
        <v>130</v>
      </c>
      <c r="BS232" s="0" t="s">
        <v>130</v>
      </c>
      <c r="BT232" s="0" t="s">
        <v>130</v>
      </c>
      <c r="BU232" s="0" t="s">
        <v>130</v>
      </c>
      <c r="BV232" s="0" t="s">
        <v>130</v>
      </c>
      <c r="BW232" s="0" t="s">
        <v>130</v>
      </c>
      <c r="BX232" s="0" t="s">
        <v>130</v>
      </c>
      <c r="BY232" s="0" t="s">
        <v>130</v>
      </c>
      <c r="BZ232" s="0" t="s">
        <v>130</v>
      </c>
      <c r="CA232" s="0" t="s">
        <v>130</v>
      </c>
      <c r="CB232" s="0" t="s">
        <v>130</v>
      </c>
      <c r="CC232" s="0" t="s">
        <v>130</v>
      </c>
      <c r="CD232" s="0" t="s">
        <v>130</v>
      </c>
      <c r="CE232" s="0" t="s">
        <v>130</v>
      </c>
      <c r="CF232" s="0" t="s">
        <v>130</v>
      </c>
      <c r="CG232" s="0" t="s">
        <v>130</v>
      </c>
      <c r="CH232" s="0" t="s">
        <v>130</v>
      </c>
      <c r="CI232" s="0" t="s">
        <v>130</v>
      </c>
      <c r="CJ232" s="0" t="s">
        <v>130</v>
      </c>
      <c r="CK232" s="0" t="s">
        <v>141</v>
      </c>
      <c r="CL232" s="0" t="s">
        <v>130</v>
      </c>
      <c r="CM232" s="0" t="s">
        <v>130</v>
      </c>
      <c r="CN232" s="0" t="s">
        <v>130</v>
      </c>
      <c r="CO232" s="0" t="s">
        <v>130</v>
      </c>
      <c r="CP232" s="0" t="s">
        <v>130</v>
      </c>
      <c r="CQ232" s="0" t="s">
        <v>130</v>
      </c>
      <c r="CR232" s="0" t="s">
        <v>130</v>
      </c>
      <c r="CS232" s="0" t="s">
        <v>130</v>
      </c>
      <c r="CT232" s="0" t="s">
        <v>945</v>
      </c>
    </row>
    <row r="233">
      <c r="A233" s="14">
        <v>100743</v>
      </c>
      <c r="B233" s="0" t="s">
        <v>927</v>
      </c>
      <c r="C233" s="16">
        <f>HYPERLINK("https://eosportal.federatedhermes.com/companies/Q29tcGFueQppNjQzNzc=", "Home Depot Inc/The")</f>
      </c>
      <c r="D233" s="0" t="s">
        <v>25</v>
      </c>
      <c r="E233" s="0" t="s">
        <v>946</v>
      </c>
      <c r="F233" s="16">
        <f>HYPERLINK("https://eosportal.federatedhermes.com/engagements/RW5nYWdlbWVudAppMTk0MzE=", "Use of prison or other forced labour")</f>
      </c>
      <c r="G233" s="14" t="s">
        <v>947</v>
      </c>
      <c r="H233" s="0" t="s">
        <v>141</v>
      </c>
      <c r="I233" s="14" t="s">
        <v>191</v>
      </c>
      <c r="J233" s="0" t="s">
        <v>153</v>
      </c>
      <c r="K233" s="0" t="s">
        <v>243</v>
      </c>
      <c r="L233" s="0" t="s">
        <v>244</v>
      </c>
      <c r="M233" s="0" t="s">
        <v>135</v>
      </c>
      <c r="N233" s="0" t="s">
        <v>136</v>
      </c>
      <c r="O233" s="0" t="s">
        <v>643</v>
      </c>
      <c r="Q233" s="0" t="s">
        <v>141</v>
      </c>
      <c r="R233" s="0" t="s">
        <v>138</v>
      </c>
      <c r="S233" s="14">
        <v>1</v>
      </c>
      <c r="T233" s="0" t="s">
        <v>166</v>
      </c>
      <c r="U233" s="0" t="s">
        <v>138</v>
      </c>
      <c r="V233" s="14" t="s">
        <v>138</v>
      </c>
      <c r="W233" s="0" t="s">
        <v>138</v>
      </c>
      <c r="X233" s="14" t="s">
        <v>138</v>
      </c>
      <c r="Y233" s="0" t="s">
        <v>138</v>
      </c>
      <c r="Z233" s="14" t="s">
        <v>138</v>
      </c>
      <c r="AA233" s="0" t="s">
        <v>138</v>
      </c>
      <c r="AB233" s="14" t="s">
        <v>138</v>
      </c>
      <c r="AD233" s="0" t="s">
        <v>138</v>
      </c>
      <c r="AF233" s="0">
        <v>0</v>
      </c>
      <c r="AG233" s="0">
        <v>0</v>
      </c>
      <c r="AH233" s="0" t="s">
        <v>140</v>
      </c>
      <c r="AI233" s="0" t="s">
        <v>138</v>
      </c>
      <c r="AK233" s="0" t="s">
        <v>300</v>
      </c>
      <c r="AL233" s="14"/>
      <c r="AN233" s="14"/>
      <c r="AQ233" s="0" t="s">
        <v>130</v>
      </c>
      <c r="AR233" s="0" t="s">
        <v>130</v>
      </c>
      <c r="AS233" s="0" t="s">
        <v>130</v>
      </c>
      <c r="AT233" s="0" t="s">
        <v>130</v>
      </c>
      <c r="AU233" s="0" t="s">
        <v>130</v>
      </c>
      <c r="AV233" s="0" t="s">
        <v>130</v>
      </c>
      <c r="AW233" s="0" t="s">
        <v>130</v>
      </c>
      <c r="AX233" s="0" t="s">
        <v>141</v>
      </c>
      <c r="AY233" s="0" t="s">
        <v>130</v>
      </c>
      <c r="AZ233" s="0" t="s">
        <v>130</v>
      </c>
      <c r="BA233" s="0" t="s">
        <v>130</v>
      </c>
      <c r="BB233" s="0" t="s">
        <v>130</v>
      </c>
      <c r="BC233" s="0" t="s">
        <v>130</v>
      </c>
      <c r="BD233" s="0" t="s">
        <v>130</v>
      </c>
      <c r="BE233" s="0" t="s">
        <v>130</v>
      </c>
      <c r="BF233" s="0" t="s">
        <v>130</v>
      </c>
      <c r="BG233" s="0" t="s">
        <v>130</v>
      </c>
      <c r="BH233" s="0" t="s">
        <v>130</v>
      </c>
      <c r="BI233" s="0" t="s">
        <v>130</v>
      </c>
      <c r="BJ233" s="0" t="s">
        <v>130</v>
      </c>
      <c r="BK233" s="0" t="s">
        <v>130</v>
      </c>
      <c r="BL233" s="0" t="s">
        <v>130</v>
      </c>
      <c r="BM233" s="0" t="s">
        <v>130</v>
      </c>
      <c r="BN233" s="0" t="s">
        <v>130</v>
      </c>
      <c r="BO233" s="0" t="s">
        <v>130</v>
      </c>
      <c r="BP233" s="0" t="s">
        <v>130</v>
      </c>
      <c r="BQ233" s="0" t="s">
        <v>130</v>
      </c>
      <c r="BR233" s="0" t="s">
        <v>130</v>
      </c>
      <c r="BS233" s="0" t="s">
        <v>130</v>
      </c>
      <c r="BT233" s="0" t="s">
        <v>130</v>
      </c>
      <c r="BU233" s="0" t="s">
        <v>130</v>
      </c>
      <c r="BV233" s="0" t="s">
        <v>130</v>
      </c>
      <c r="BW233" s="0" t="s">
        <v>130</v>
      </c>
      <c r="BX233" s="0" t="s">
        <v>130</v>
      </c>
      <c r="BY233" s="0" t="s">
        <v>130</v>
      </c>
      <c r="BZ233" s="0" t="s">
        <v>130</v>
      </c>
      <c r="CA233" s="0" t="s">
        <v>130</v>
      </c>
      <c r="CB233" s="0" t="s">
        <v>130</v>
      </c>
      <c r="CC233" s="0" t="s">
        <v>130</v>
      </c>
      <c r="CD233" s="0" t="s">
        <v>130</v>
      </c>
      <c r="CE233" s="0" t="s">
        <v>130</v>
      </c>
      <c r="CF233" s="0" t="s">
        <v>130</v>
      </c>
      <c r="CG233" s="0" t="s">
        <v>130</v>
      </c>
      <c r="CH233" s="0" t="s">
        <v>130</v>
      </c>
      <c r="CI233" s="0" t="s">
        <v>130</v>
      </c>
      <c r="CJ233" s="0" t="s">
        <v>130</v>
      </c>
      <c r="CK233" s="0" t="s">
        <v>130</v>
      </c>
      <c r="CL233" s="0" t="s">
        <v>130</v>
      </c>
      <c r="CM233" s="0" t="s">
        <v>130</v>
      </c>
      <c r="CN233" s="0" t="s">
        <v>130</v>
      </c>
      <c r="CO233" s="0" t="s">
        <v>130</v>
      </c>
      <c r="CP233" s="0" t="s">
        <v>130</v>
      </c>
      <c r="CQ233" s="0" t="s">
        <v>130</v>
      </c>
      <c r="CR233" s="0" t="s">
        <v>130</v>
      </c>
      <c r="CS233" s="0" t="s">
        <v>130</v>
      </c>
      <c r="CT233" s="0" t="s">
        <v>948</v>
      </c>
    </row>
    <row r="234">
      <c r="A234" s="14">
        <v>100747</v>
      </c>
      <c r="B234" s="0" t="s">
        <v>949</v>
      </c>
      <c r="C234" s="16">
        <f>HYPERLINK("https://eosportal.federatedhermes.com/companies/Q29tcGFueQppNzM3ODY=", "Honda Motor Co Ltd")</f>
      </c>
      <c r="D234" s="0" t="s">
        <v>25</v>
      </c>
      <c r="E234" s="0" t="s">
        <v>950</v>
      </c>
      <c r="F234" s="16">
        <f>HYPERLINK("https://eosportal.federatedhermes.com/engagements/RW5nYWdlbWVudAppMTk0MzM=", "Product safety and recall")</f>
      </c>
      <c r="G234" s="14" t="s">
        <v>951</v>
      </c>
      <c r="H234" s="0" t="s">
        <v>141</v>
      </c>
      <c r="I234" s="14" t="s">
        <v>636</v>
      </c>
      <c r="J234" s="0" t="s">
        <v>132</v>
      </c>
      <c r="K234" s="0" t="s">
        <v>260</v>
      </c>
      <c r="L234" s="0" t="s">
        <v>261</v>
      </c>
      <c r="M234" s="0" t="s">
        <v>802</v>
      </c>
      <c r="N234" s="0" t="s">
        <v>952</v>
      </c>
      <c r="O234" s="0" t="s">
        <v>425</v>
      </c>
      <c r="Q234" s="0" t="s">
        <v>130</v>
      </c>
      <c r="R234" s="0" t="s">
        <v>138</v>
      </c>
      <c r="S234" s="14">
        <v>0</v>
      </c>
      <c r="T234" s="0" t="s">
        <v>707</v>
      </c>
      <c r="U234" s="0" t="s">
        <v>138</v>
      </c>
      <c r="V234" s="14" t="s">
        <v>138</v>
      </c>
      <c r="W234" s="0" t="s">
        <v>138</v>
      </c>
      <c r="X234" s="14" t="s">
        <v>138</v>
      </c>
      <c r="Y234" s="0" t="s">
        <v>138</v>
      </c>
      <c r="Z234" s="14" t="s">
        <v>138</v>
      </c>
      <c r="AA234" s="0" t="s">
        <v>138</v>
      </c>
      <c r="AB234" s="14" t="s">
        <v>138</v>
      </c>
      <c r="AD234" s="0" t="s">
        <v>138</v>
      </c>
      <c r="AF234" s="0">
        <v>0</v>
      </c>
      <c r="AG234" s="0">
        <v>0</v>
      </c>
      <c r="AH234" s="0" t="s">
        <v>140</v>
      </c>
      <c r="AI234" s="0" t="s">
        <v>138</v>
      </c>
      <c r="AL234" s="14"/>
      <c r="AN234" s="14"/>
      <c r="AQ234" s="0" t="s">
        <v>130</v>
      </c>
      <c r="AR234" s="0" t="s">
        <v>130</v>
      </c>
      <c r="AS234" s="0" t="s">
        <v>130</v>
      </c>
      <c r="AT234" s="0" t="s">
        <v>130</v>
      </c>
      <c r="AU234" s="0" t="s">
        <v>130</v>
      </c>
      <c r="AV234" s="0" t="s">
        <v>130</v>
      </c>
      <c r="AW234" s="0" t="s">
        <v>130</v>
      </c>
      <c r="AX234" s="0" t="s">
        <v>130</v>
      </c>
      <c r="AY234" s="0" t="s">
        <v>130</v>
      </c>
      <c r="AZ234" s="0" t="s">
        <v>130</v>
      </c>
      <c r="BA234" s="0" t="s">
        <v>130</v>
      </c>
      <c r="BB234" s="0" t="s">
        <v>130</v>
      </c>
      <c r="BC234" s="0" t="s">
        <v>130</v>
      </c>
      <c r="BD234" s="0" t="s">
        <v>130</v>
      </c>
      <c r="BE234" s="0" t="s">
        <v>130</v>
      </c>
      <c r="BF234" s="0" t="s">
        <v>130</v>
      </c>
      <c r="BG234" s="0" t="s">
        <v>130</v>
      </c>
      <c r="BH234" s="0" t="s">
        <v>130</v>
      </c>
      <c r="BI234" s="0" t="s">
        <v>130</v>
      </c>
      <c r="BJ234" s="0" t="s">
        <v>130</v>
      </c>
      <c r="BK234" s="0" t="s">
        <v>130</v>
      </c>
      <c r="BL234" s="0" t="s">
        <v>130</v>
      </c>
      <c r="BM234" s="0" t="s">
        <v>130</v>
      </c>
      <c r="BN234" s="0" t="s">
        <v>130</v>
      </c>
      <c r="BO234" s="0" t="s">
        <v>130</v>
      </c>
      <c r="BP234" s="0" t="s">
        <v>130</v>
      </c>
      <c r="BQ234" s="0" t="s">
        <v>130</v>
      </c>
      <c r="BR234" s="0" t="s">
        <v>130</v>
      </c>
      <c r="BS234" s="0" t="s">
        <v>130</v>
      </c>
      <c r="BT234" s="0" t="s">
        <v>130</v>
      </c>
      <c r="BU234" s="0" t="s">
        <v>130</v>
      </c>
      <c r="BV234" s="0" t="s">
        <v>130</v>
      </c>
      <c r="BW234" s="0" t="s">
        <v>130</v>
      </c>
      <c r="BX234" s="0" t="s">
        <v>130</v>
      </c>
      <c r="BY234" s="0" t="s">
        <v>130</v>
      </c>
      <c r="BZ234" s="0" t="s">
        <v>130</v>
      </c>
      <c r="CA234" s="0" t="s">
        <v>130</v>
      </c>
      <c r="CB234" s="0" t="s">
        <v>130</v>
      </c>
      <c r="CC234" s="0" t="s">
        <v>130</v>
      </c>
      <c r="CD234" s="0" t="s">
        <v>130</v>
      </c>
      <c r="CE234" s="0" t="s">
        <v>130</v>
      </c>
      <c r="CF234" s="0" t="s">
        <v>130</v>
      </c>
      <c r="CG234" s="0" t="s">
        <v>130</v>
      </c>
      <c r="CH234" s="0" t="s">
        <v>130</v>
      </c>
      <c r="CI234" s="0" t="s">
        <v>130</v>
      </c>
      <c r="CJ234" s="0" t="s">
        <v>130</v>
      </c>
      <c r="CK234" s="0" t="s">
        <v>130</v>
      </c>
      <c r="CL234" s="0" t="s">
        <v>130</v>
      </c>
      <c r="CM234" s="0" t="s">
        <v>130</v>
      </c>
      <c r="CN234" s="0" t="s">
        <v>130</v>
      </c>
      <c r="CO234" s="0" t="s">
        <v>130</v>
      </c>
      <c r="CP234" s="0" t="s">
        <v>130</v>
      </c>
      <c r="CQ234" s="0" t="s">
        <v>130</v>
      </c>
      <c r="CR234" s="0" t="s">
        <v>130</v>
      </c>
      <c r="CS234" s="0" t="s">
        <v>130</v>
      </c>
      <c r="CT234" s="0" t="s">
        <v>953</v>
      </c>
    </row>
    <row r="235">
      <c r="A235" s="14">
        <v>100747</v>
      </c>
      <c r="B235" s="0" t="s">
        <v>949</v>
      </c>
      <c r="C235" s="16">
        <f>HYPERLINK("https://eosportal.federatedhermes.com/companies/Q29tcGFueQppNzM3ODY=", "Honda Motor Co Ltd")</f>
      </c>
      <c r="D235" s="0" t="s">
        <v>25</v>
      </c>
      <c r="E235" s="0" t="s">
        <v>954</v>
      </c>
      <c r="F235" s="16">
        <f>HYPERLINK("https://eosportal.federatedhermes.com/engagements/RW5nYWdlbWVudAppMTk0MzQ=", "Allegiant shareholding")</f>
      </c>
      <c r="G235" s="14" t="s">
        <v>955</v>
      </c>
      <c r="H235" s="0" t="s">
        <v>141</v>
      </c>
      <c r="I235" s="14" t="s">
        <v>636</v>
      </c>
      <c r="J235" s="0" t="s">
        <v>145</v>
      </c>
      <c r="K235" s="0" t="s">
        <v>400</v>
      </c>
      <c r="L235" s="0" t="s">
        <v>507</v>
      </c>
      <c r="M235" s="0" t="s">
        <v>802</v>
      </c>
      <c r="N235" s="0" t="s">
        <v>952</v>
      </c>
      <c r="O235" s="0" t="s">
        <v>425</v>
      </c>
      <c r="Q235" s="0" t="s">
        <v>130</v>
      </c>
      <c r="R235" s="0" t="s">
        <v>138</v>
      </c>
      <c r="S235" s="14">
        <v>0</v>
      </c>
      <c r="T235" s="0" t="s">
        <v>200</v>
      </c>
      <c r="U235" s="0" t="s">
        <v>138</v>
      </c>
      <c r="V235" s="14" t="s">
        <v>138</v>
      </c>
      <c r="W235" s="0" t="s">
        <v>138</v>
      </c>
      <c r="X235" s="14" t="s">
        <v>138</v>
      </c>
      <c r="Y235" s="0" t="s">
        <v>138</v>
      </c>
      <c r="Z235" s="14" t="s">
        <v>138</v>
      </c>
      <c r="AA235" s="0" t="s">
        <v>138</v>
      </c>
      <c r="AB235" s="14" t="s">
        <v>138</v>
      </c>
      <c r="AD235" s="0" t="s">
        <v>138</v>
      </c>
      <c r="AF235" s="0">
        <v>0</v>
      </c>
      <c r="AG235" s="0">
        <v>0</v>
      </c>
      <c r="AH235" s="0" t="s">
        <v>140</v>
      </c>
      <c r="AI235" s="0" t="s">
        <v>138</v>
      </c>
      <c r="AL235" s="14"/>
      <c r="AN235" s="14"/>
      <c r="AQ235" s="0" t="s">
        <v>130</v>
      </c>
      <c r="AR235" s="0" t="s">
        <v>130</v>
      </c>
      <c r="AS235" s="0" t="s">
        <v>130</v>
      </c>
      <c r="AT235" s="0" t="s">
        <v>130</v>
      </c>
      <c r="AU235" s="0" t="s">
        <v>130</v>
      </c>
      <c r="AV235" s="0" t="s">
        <v>130</v>
      </c>
      <c r="AW235" s="0" t="s">
        <v>130</v>
      </c>
      <c r="AX235" s="0" t="s">
        <v>130</v>
      </c>
      <c r="AY235" s="0" t="s">
        <v>130</v>
      </c>
      <c r="AZ235" s="0" t="s">
        <v>130</v>
      </c>
      <c r="BA235" s="0" t="s">
        <v>130</v>
      </c>
      <c r="BB235" s="0" t="s">
        <v>130</v>
      </c>
      <c r="BC235" s="0" t="s">
        <v>130</v>
      </c>
      <c r="BD235" s="0" t="s">
        <v>130</v>
      </c>
      <c r="BE235" s="0" t="s">
        <v>130</v>
      </c>
      <c r="BF235" s="0" t="s">
        <v>130</v>
      </c>
      <c r="BG235" s="0" t="s">
        <v>130</v>
      </c>
      <c r="BH235" s="0" t="s">
        <v>130</v>
      </c>
      <c r="BI235" s="0" t="s">
        <v>130</v>
      </c>
      <c r="BJ235" s="0" t="s">
        <v>130</v>
      </c>
      <c r="BK235" s="0" t="s">
        <v>130</v>
      </c>
      <c r="BL235" s="0" t="s">
        <v>130</v>
      </c>
      <c r="BM235" s="0" t="s">
        <v>130</v>
      </c>
      <c r="BN235" s="0" t="s">
        <v>130</v>
      </c>
      <c r="BO235" s="0" t="s">
        <v>130</v>
      </c>
      <c r="BP235" s="0" t="s">
        <v>130</v>
      </c>
      <c r="BQ235" s="0" t="s">
        <v>130</v>
      </c>
      <c r="BR235" s="0" t="s">
        <v>130</v>
      </c>
      <c r="BS235" s="0" t="s">
        <v>130</v>
      </c>
      <c r="BT235" s="0" t="s">
        <v>130</v>
      </c>
      <c r="BU235" s="0" t="s">
        <v>130</v>
      </c>
      <c r="BV235" s="0" t="s">
        <v>130</v>
      </c>
      <c r="BW235" s="0" t="s">
        <v>130</v>
      </c>
      <c r="BX235" s="0" t="s">
        <v>130</v>
      </c>
      <c r="BY235" s="0" t="s">
        <v>130</v>
      </c>
      <c r="BZ235" s="0" t="s">
        <v>130</v>
      </c>
      <c r="CA235" s="0" t="s">
        <v>130</v>
      </c>
      <c r="CB235" s="0" t="s">
        <v>130</v>
      </c>
      <c r="CC235" s="0" t="s">
        <v>130</v>
      </c>
      <c r="CD235" s="0" t="s">
        <v>130</v>
      </c>
      <c r="CE235" s="0" t="s">
        <v>130</v>
      </c>
      <c r="CF235" s="0" t="s">
        <v>130</v>
      </c>
      <c r="CG235" s="0" t="s">
        <v>130</v>
      </c>
      <c r="CH235" s="0" t="s">
        <v>130</v>
      </c>
      <c r="CI235" s="0" t="s">
        <v>130</v>
      </c>
      <c r="CJ235" s="0" t="s">
        <v>130</v>
      </c>
      <c r="CK235" s="0" t="s">
        <v>130</v>
      </c>
      <c r="CL235" s="0" t="s">
        <v>130</v>
      </c>
      <c r="CM235" s="0" t="s">
        <v>130</v>
      </c>
      <c r="CN235" s="0" t="s">
        <v>130</v>
      </c>
      <c r="CO235" s="0" t="s">
        <v>130</v>
      </c>
      <c r="CP235" s="0" t="s">
        <v>130</v>
      </c>
      <c r="CQ235" s="0" t="s">
        <v>130</v>
      </c>
      <c r="CR235" s="0" t="s">
        <v>130</v>
      </c>
      <c r="CS235" s="0" t="s">
        <v>130</v>
      </c>
      <c r="CT235" s="0" t="s">
        <v>956</v>
      </c>
    </row>
    <row r="236">
      <c r="A236" s="14">
        <v>100747</v>
      </c>
      <c r="B236" s="0" t="s">
        <v>949</v>
      </c>
      <c r="C236" s="16">
        <f>HYPERLINK("https://eosportal.federatedhermes.com/companies/Q29tcGFueQppNzM3ODY=", "Honda Motor Co Ltd")</f>
      </c>
      <c r="D236" s="0" t="s">
        <v>25</v>
      </c>
      <c r="E236" s="0" t="s">
        <v>957</v>
      </c>
      <c r="F236" s="16">
        <f>HYPERLINK("https://eosportal.federatedhermes.com/engagements/RW5nYWdlbWVudAppMTk0MzU=", "Environmental technology")</f>
      </c>
      <c r="G236" s="14" t="s">
        <v>958</v>
      </c>
      <c r="H236" s="0" t="s">
        <v>141</v>
      </c>
      <c r="I236" s="14" t="s">
        <v>636</v>
      </c>
      <c r="J236" s="0" t="s">
        <v>197</v>
      </c>
      <c r="K236" s="0" t="s">
        <v>198</v>
      </c>
      <c r="L236" s="0" t="s">
        <v>220</v>
      </c>
      <c r="M236" s="0" t="s">
        <v>802</v>
      </c>
      <c r="N236" s="0" t="s">
        <v>952</v>
      </c>
      <c r="O236" s="0" t="s">
        <v>425</v>
      </c>
      <c r="Q236" s="0" t="s">
        <v>130</v>
      </c>
      <c r="R236" s="0" t="s">
        <v>138</v>
      </c>
      <c r="S236" s="14">
        <v>0</v>
      </c>
      <c r="T236" s="0" t="s">
        <v>707</v>
      </c>
      <c r="U236" s="0" t="s">
        <v>138</v>
      </c>
      <c r="V236" s="14" t="s">
        <v>138</v>
      </c>
      <c r="W236" s="0" t="s">
        <v>138</v>
      </c>
      <c r="X236" s="14" t="s">
        <v>138</v>
      </c>
      <c r="Y236" s="0" t="s">
        <v>138</v>
      </c>
      <c r="Z236" s="14" t="s">
        <v>138</v>
      </c>
      <c r="AA236" s="0" t="s">
        <v>138</v>
      </c>
      <c r="AB236" s="14" t="s">
        <v>138</v>
      </c>
      <c r="AD236" s="0" t="s">
        <v>138</v>
      </c>
      <c r="AF236" s="0">
        <v>0</v>
      </c>
      <c r="AG236" s="0">
        <v>0</v>
      </c>
      <c r="AH236" s="0" t="s">
        <v>140</v>
      </c>
      <c r="AI236" s="0" t="s">
        <v>138</v>
      </c>
      <c r="AL236" s="14"/>
      <c r="AN236" s="14"/>
      <c r="AQ236" s="0" t="s">
        <v>130</v>
      </c>
      <c r="AR236" s="0" t="s">
        <v>130</v>
      </c>
      <c r="AS236" s="0" t="s">
        <v>130</v>
      </c>
      <c r="AT236" s="0" t="s">
        <v>130</v>
      </c>
      <c r="AU236" s="0" t="s">
        <v>130</v>
      </c>
      <c r="AV236" s="0" t="s">
        <v>130</v>
      </c>
      <c r="AW236" s="0" t="s">
        <v>141</v>
      </c>
      <c r="AX236" s="0" t="s">
        <v>130</v>
      </c>
      <c r="AY236" s="0" t="s">
        <v>141</v>
      </c>
      <c r="AZ236" s="0" t="s">
        <v>130</v>
      </c>
      <c r="BA236" s="0" t="s">
        <v>130</v>
      </c>
      <c r="BB236" s="0" t="s">
        <v>130</v>
      </c>
      <c r="BC236" s="0" t="s">
        <v>141</v>
      </c>
      <c r="BD236" s="0" t="s">
        <v>130</v>
      </c>
      <c r="BE236" s="0" t="s">
        <v>130</v>
      </c>
      <c r="BF236" s="0" t="s">
        <v>130</v>
      </c>
      <c r="BG236" s="0" t="s">
        <v>130</v>
      </c>
      <c r="BH236" s="0" t="s">
        <v>130</v>
      </c>
      <c r="BI236" s="0" t="s">
        <v>130</v>
      </c>
      <c r="BJ236" s="0" t="s">
        <v>130</v>
      </c>
      <c r="BK236" s="0" t="s">
        <v>130</v>
      </c>
      <c r="BL236" s="0" t="s">
        <v>130</v>
      </c>
      <c r="BM236" s="0" t="s">
        <v>130</v>
      </c>
      <c r="BN236" s="0" t="s">
        <v>130</v>
      </c>
      <c r="BO236" s="0" t="s">
        <v>130</v>
      </c>
      <c r="BP236" s="0" t="s">
        <v>130</v>
      </c>
      <c r="BQ236" s="0" t="s">
        <v>130</v>
      </c>
      <c r="BR236" s="0" t="s">
        <v>130</v>
      </c>
      <c r="BS236" s="0" t="s">
        <v>130</v>
      </c>
      <c r="BT236" s="0" t="s">
        <v>130</v>
      </c>
      <c r="BU236" s="0" t="s">
        <v>130</v>
      </c>
      <c r="BV236" s="0" t="s">
        <v>130</v>
      </c>
      <c r="BW236" s="0" t="s">
        <v>130</v>
      </c>
      <c r="BX236" s="0" t="s">
        <v>130</v>
      </c>
      <c r="BY236" s="0" t="s">
        <v>130</v>
      </c>
      <c r="BZ236" s="0" t="s">
        <v>130</v>
      </c>
      <c r="CA236" s="0" t="s">
        <v>130</v>
      </c>
      <c r="CB236" s="0" t="s">
        <v>130</v>
      </c>
      <c r="CC236" s="0" t="s">
        <v>130</v>
      </c>
      <c r="CD236" s="0" t="s">
        <v>130</v>
      </c>
      <c r="CE236" s="0" t="s">
        <v>130</v>
      </c>
      <c r="CF236" s="0" t="s">
        <v>130</v>
      </c>
      <c r="CG236" s="0" t="s">
        <v>130</v>
      </c>
      <c r="CH236" s="0" t="s">
        <v>130</v>
      </c>
      <c r="CI236" s="0" t="s">
        <v>130</v>
      </c>
      <c r="CJ236" s="0" t="s">
        <v>130</v>
      </c>
      <c r="CK236" s="0" t="s">
        <v>130</v>
      </c>
      <c r="CL236" s="0" t="s">
        <v>130</v>
      </c>
      <c r="CM236" s="0" t="s">
        <v>130</v>
      </c>
      <c r="CN236" s="0" t="s">
        <v>130</v>
      </c>
      <c r="CO236" s="0" t="s">
        <v>130</v>
      </c>
      <c r="CP236" s="0" t="s">
        <v>130</v>
      </c>
      <c r="CQ236" s="0" t="s">
        <v>130</v>
      </c>
      <c r="CR236" s="0" t="s">
        <v>130</v>
      </c>
      <c r="CS236" s="0" t="s">
        <v>130</v>
      </c>
      <c r="CT236" s="0" t="s">
        <v>959</v>
      </c>
    </row>
    <row r="237">
      <c r="A237" s="14">
        <v>100747</v>
      </c>
      <c r="B237" s="0" t="s">
        <v>949</v>
      </c>
      <c r="C237" s="16">
        <f>HYPERLINK("https://eosportal.federatedhermes.com/companies/Q29tcGFueQppNzM3ODY=", "Honda Motor Co Ltd")</f>
      </c>
      <c r="D237" s="0" t="s">
        <v>23</v>
      </c>
      <c r="E237" s="0" t="s">
        <v>960</v>
      </c>
      <c r="F237" s="16">
        <f>HYPERLINK("https://eosportal.federatedhermes.com/engagements/RW5nYWdlbWVudAppMTk0MzY=", "Fleet emissions reduction target")</f>
      </c>
      <c r="G237" s="14" t="s">
        <v>961</v>
      </c>
      <c r="H237" s="0" t="s">
        <v>141</v>
      </c>
      <c r="I237" s="14" t="s">
        <v>636</v>
      </c>
      <c r="J237" s="0" t="s">
        <v>197</v>
      </c>
      <c r="K237" s="0" t="s">
        <v>198</v>
      </c>
      <c r="L237" s="0" t="s">
        <v>216</v>
      </c>
      <c r="M237" s="0" t="s">
        <v>802</v>
      </c>
      <c r="N237" s="0" t="s">
        <v>952</v>
      </c>
      <c r="O237" s="0" t="s">
        <v>425</v>
      </c>
      <c r="Q237" s="0" t="s">
        <v>130</v>
      </c>
      <c r="R237" s="0" t="s">
        <v>130</v>
      </c>
      <c r="S237" s="14">
        <v>0</v>
      </c>
      <c r="T237" s="0" t="s">
        <v>359</v>
      </c>
      <c r="U237" s="0" t="s">
        <v>221</v>
      </c>
      <c r="V237" s="14" t="s">
        <v>359</v>
      </c>
      <c r="W237" s="0" t="s">
        <v>221</v>
      </c>
      <c r="X237" s="14" t="s">
        <v>156</v>
      </c>
      <c r="Y237" s="0" t="s">
        <v>221</v>
      </c>
      <c r="Z237" s="14" t="s">
        <v>156</v>
      </c>
      <c r="AA237" s="0" t="s">
        <v>223</v>
      </c>
      <c r="AB237" s="14" t="s">
        <v>138</v>
      </c>
      <c r="AD237" s="0" t="s">
        <v>20</v>
      </c>
      <c r="AF237" s="0">
        <v>0</v>
      </c>
      <c r="AG237" s="0">
        <v>0</v>
      </c>
      <c r="AH237" s="0" t="s">
        <v>140</v>
      </c>
      <c r="AI237" s="0" t="s">
        <v>225</v>
      </c>
      <c r="AL237" s="14"/>
      <c r="AN237" s="14"/>
      <c r="AQ237" s="0" t="s">
        <v>130</v>
      </c>
      <c r="AR237" s="0" t="s">
        <v>130</v>
      </c>
      <c r="AS237" s="0" t="s">
        <v>130</v>
      </c>
      <c r="AT237" s="0" t="s">
        <v>130</v>
      </c>
      <c r="AU237" s="0" t="s">
        <v>130</v>
      </c>
      <c r="AV237" s="0" t="s">
        <v>130</v>
      </c>
      <c r="AW237" s="0" t="s">
        <v>141</v>
      </c>
      <c r="AX237" s="0" t="s">
        <v>130</v>
      </c>
      <c r="AY237" s="0" t="s">
        <v>130</v>
      </c>
      <c r="AZ237" s="0" t="s">
        <v>130</v>
      </c>
      <c r="BA237" s="0" t="s">
        <v>130</v>
      </c>
      <c r="BB237" s="0" t="s">
        <v>130</v>
      </c>
      <c r="BC237" s="0" t="s">
        <v>141</v>
      </c>
      <c r="BD237" s="0" t="s">
        <v>130</v>
      </c>
      <c r="BE237" s="0" t="s">
        <v>130</v>
      </c>
      <c r="BF237" s="0" t="s">
        <v>130</v>
      </c>
      <c r="BG237" s="0" t="s">
        <v>130</v>
      </c>
      <c r="BH237" s="0" t="s">
        <v>141</v>
      </c>
      <c r="BI237" s="0" t="s">
        <v>141</v>
      </c>
      <c r="BJ237" s="0" t="s">
        <v>141</v>
      </c>
      <c r="BK237" s="0" t="s">
        <v>130</v>
      </c>
      <c r="BL237" s="0" t="s">
        <v>130</v>
      </c>
      <c r="BM237" s="0" t="s">
        <v>130</v>
      </c>
      <c r="BN237" s="0" t="s">
        <v>130</v>
      </c>
      <c r="BO237" s="0" t="s">
        <v>130</v>
      </c>
      <c r="BP237" s="0" t="s">
        <v>130</v>
      </c>
      <c r="BQ237" s="0" t="s">
        <v>130</v>
      </c>
      <c r="BR237" s="0" t="s">
        <v>130</v>
      </c>
      <c r="BS237" s="0" t="s">
        <v>130</v>
      </c>
      <c r="BT237" s="0" t="s">
        <v>130</v>
      </c>
      <c r="BU237" s="0" t="s">
        <v>130</v>
      </c>
      <c r="BV237" s="0" t="s">
        <v>141</v>
      </c>
      <c r="BW237" s="0" t="s">
        <v>141</v>
      </c>
      <c r="BX237" s="0" t="s">
        <v>130</v>
      </c>
      <c r="BY237" s="0" t="s">
        <v>130</v>
      </c>
      <c r="BZ237" s="0" t="s">
        <v>130</v>
      </c>
      <c r="CA237" s="0" t="s">
        <v>130</v>
      </c>
      <c r="CB237" s="0" t="s">
        <v>130</v>
      </c>
      <c r="CC237" s="0" t="s">
        <v>130</v>
      </c>
      <c r="CD237" s="0" t="s">
        <v>130</v>
      </c>
      <c r="CE237" s="0" t="s">
        <v>130</v>
      </c>
      <c r="CF237" s="0" t="s">
        <v>130</v>
      </c>
      <c r="CG237" s="0" t="s">
        <v>130</v>
      </c>
      <c r="CH237" s="0" t="s">
        <v>130</v>
      </c>
      <c r="CI237" s="0" t="s">
        <v>130</v>
      </c>
      <c r="CJ237" s="0" t="s">
        <v>130</v>
      </c>
      <c r="CK237" s="0" t="s">
        <v>130</v>
      </c>
      <c r="CL237" s="0" t="s">
        <v>130</v>
      </c>
      <c r="CM237" s="0" t="s">
        <v>130</v>
      </c>
      <c r="CN237" s="0" t="s">
        <v>130</v>
      </c>
      <c r="CO237" s="0" t="s">
        <v>130</v>
      </c>
      <c r="CP237" s="0" t="s">
        <v>130</v>
      </c>
      <c r="CQ237" s="0" t="s">
        <v>130</v>
      </c>
      <c r="CR237" s="0" t="s">
        <v>130</v>
      </c>
      <c r="CS237" s="0" t="s">
        <v>130</v>
      </c>
      <c r="CT237" s="0" t="s">
        <v>962</v>
      </c>
    </row>
    <row r="238">
      <c r="A238" s="14">
        <v>100747</v>
      </c>
      <c r="B238" s="0" t="s">
        <v>949</v>
      </c>
      <c r="C238" s="16">
        <f>HYPERLINK("https://eosportal.federatedhermes.com/companies/Q29tcGFueQppNzM3ODY=", "Honda Motor Co Ltd")</f>
      </c>
      <c r="D238" s="0" t="s">
        <v>25</v>
      </c>
      <c r="E238" s="0" t="s">
        <v>459</v>
      </c>
      <c r="F238" s="16">
        <f>HYPERLINK("https://eosportal.federatedhermes.com/engagements/RW5nYWdlbWVudAppMTk0NDA=", "Human capital management")</f>
      </c>
      <c r="G238" s="14" t="s">
        <v>963</v>
      </c>
      <c r="H238" s="0" t="s">
        <v>141</v>
      </c>
      <c r="I238" s="14" t="s">
        <v>636</v>
      </c>
      <c r="J238" s="0" t="s">
        <v>153</v>
      </c>
      <c r="K238" s="0" t="s">
        <v>154</v>
      </c>
      <c r="L238" s="0" t="s">
        <v>268</v>
      </c>
      <c r="M238" s="0" t="s">
        <v>802</v>
      </c>
      <c r="N238" s="0" t="s">
        <v>952</v>
      </c>
      <c r="O238" s="0" t="s">
        <v>425</v>
      </c>
      <c r="Q238" s="0" t="s">
        <v>130</v>
      </c>
      <c r="R238" s="0" t="s">
        <v>138</v>
      </c>
      <c r="S238" s="14">
        <v>0</v>
      </c>
      <c r="T238" s="0" t="s">
        <v>359</v>
      </c>
      <c r="U238" s="0" t="s">
        <v>138</v>
      </c>
      <c r="V238" s="14" t="s">
        <v>138</v>
      </c>
      <c r="W238" s="0" t="s">
        <v>138</v>
      </c>
      <c r="X238" s="14" t="s">
        <v>138</v>
      </c>
      <c r="Y238" s="0" t="s">
        <v>138</v>
      </c>
      <c r="Z238" s="14" t="s">
        <v>138</v>
      </c>
      <c r="AA238" s="0" t="s">
        <v>138</v>
      </c>
      <c r="AB238" s="14" t="s">
        <v>138</v>
      </c>
      <c r="AD238" s="0" t="s">
        <v>138</v>
      </c>
      <c r="AF238" s="0">
        <v>0</v>
      </c>
      <c r="AG238" s="0">
        <v>0</v>
      </c>
      <c r="AH238" s="0" t="s">
        <v>140</v>
      </c>
      <c r="AI238" s="0" t="s">
        <v>138</v>
      </c>
      <c r="AL238" s="14"/>
      <c r="AN238" s="14"/>
      <c r="AQ238" s="0" t="s">
        <v>130</v>
      </c>
      <c r="AR238" s="0" t="s">
        <v>130</v>
      </c>
      <c r="AS238" s="0" t="s">
        <v>130</v>
      </c>
      <c r="AT238" s="0" t="s">
        <v>130</v>
      </c>
      <c r="AU238" s="0" t="s">
        <v>130</v>
      </c>
      <c r="AV238" s="0" t="s">
        <v>130</v>
      </c>
      <c r="AW238" s="0" t="s">
        <v>130</v>
      </c>
      <c r="AX238" s="0" t="s">
        <v>130</v>
      </c>
      <c r="AY238" s="0" t="s">
        <v>130</v>
      </c>
      <c r="AZ238" s="0" t="s">
        <v>130</v>
      </c>
      <c r="BA238" s="0" t="s">
        <v>130</v>
      </c>
      <c r="BB238" s="0" t="s">
        <v>130</v>
      </c>
      <c r="BC238" s="0" t="s">
        <v>130</v>
      </c>
      <c r="BD238" s="0" t="s">
        <v>130</v>
      </c>
      <c r="BE238" s="0" t="s">
        <v>130</v>
      </c>
      <c r="BF238" s="0" t="s">
        <v>130</v>
      </c>
      <c r="BG238" s="0" t="s">
        <v>130</v>
      </c>
      <c r="BH238" s="0" t="s">
        <v>130</v>
      </c>
      <c r="BI238" s="0" t="s">
        <v>130</v>
      </c>
      <c r="BJ238" s="0" t="s">
        <v>130</v>
      </c>
      <c r="BK238" s="0" t="s">
        <v>130</v>
      </c>
      <c r="BL238" s="0" t="s">
        <v>130</v>
      </c>
      <c r="BM238" s="0" t="s">
        <v>130</v>
      </c>
      <c r="BN238" s="0" t="s">
        <v>130</v>
      </c>
      <c r="BO238" s="0" t="s">
        <v>130</v>
      </c>
      <c r="BP238" s="0" t="s">
        <v>130</v>
      </c>
      <c r="BQ238" s="0" t="s">
        <v>130</v>
      </c>
      <c r="BR238" s="0" t="s">
        <v>130</v>
      </c>
      <c r="BS238" s="0" t="s">
        <v>130</v>
      </c>
      <c r="BT238" s="0" t="s">
        <v>130</v>
      </c>
      <c r="BU238" s="0" t="s">
        <v>130</v>
      </c>
      <c r="BV238" s="0" t="s">
        <v>130</v>
      </c>
      <c r="BW238" s="0" t="s">
        <v>130</v>
      </c>
      <c r="BX238" s="0" t="s">
        <v>130</v>
      </c>
      <c r="BY238" s="0" t="s">
        <v>130</v>
      </c>
      <c r="BZ238" s="0" t="s">
        <v>130</v>
      </c>
      <c r="CA238" s="0" t="s">
        <v>130</v>
      </c>
      <c r="CB238" s="0" t="s">
        <v>130</v>
      </c>
      <c r="CC238" s="0" t="s">
        <v>130</v>
      </c>
      <c r="CD238" s="0" t="s">
        <v>130</v>
      </c>
      <c r="CE238" s="0" t="s">
        <v>130</v>
      </c>
      <c r="CF238" s="0" t="s">
        <v>130</v>
      </c>
      <c r="CG238" s="0" t="s">
        <v>130</v>
      </c>
      <c r="CH238" s="0" t="s">
        <v>130</v>
      </c>
      <c r="CI238" s="0" t="s">
        <v>130</v>
      </c>
      <c r="CJ238" s="0" t="s">
        <v>130</v>
      </c>
      <c r="CK238" s="0" t="s">
        <v>141</v>
      </c>
      <c r="CL238" s="0" t="s">
        <v>130</v>
      </c>
      <c r="CM238" s="0" t="s">
        <v>130</v>
      </c>
      <c r="CN238" s="0" t="s">
        <v>130</v>
      </c>
      <c r="CO238" s="0" t="s">
        <v>130</v>
      </c>
      <c r="CP238" s="0" t="s">
        <v>130</v>
      </c>
      <c r="CQ238" s="0" t="s">
        <v>130</v>
      </c>
      <c r="CR238" s="0" t="s">
        <v>130</v>
      </c>
      <c r="CS238" s="0" t="s">
        <v>130</v>
      </c>
      <c r="CT238" s="0" t="s">
        <v>964</v>
      </c>
    </row>
    <row r="239">
      <c r="A239" s="14">
        <v>100747</v>
      </c>
      <c r="B239" s="0" t="s">
        <v>949</v>
      </c>
      <c r="C239" s="16">
        <f>HYPERLINK("https://eosportal.federatedhermes.com/companies/Q29tcGFueQppNzM3ODY=", "Honda Motor Co Ltd")</f>
      </c>
      <c r="D239" s="0" t="s">
        <v>25</v>
      </c>
      <c r="E239" s="0" t="s">
        <v>965</v>
      </c>
      <c r="F239" s="16">
        <f>HYPERLINK("https://eosportal.federatedhermes.com/engagements/RW5nYWdlbWVudAppMTk0NDE=", "Science-based target")</f>
      </c>
      <c r="G239" s="14" t="s">
        <v>966</v>
      </c>
      <c r="H239" s="0" t="s">
        <v>141</v>
      </c>
      <c r="I239" s="14" t="s">
        <v>636</v>
      </c>
      <c r="J239" s="0" t="s">
        <v>197</v>
      </c>
      <c r="K239" s="0" t="s">
        <v>198</v>
      </c>
      <c r="L239" s="0" t="s">
        <v>216</v>
      </c>
      <c r="M239" s="0" t="s">
        <v>802</v>
      </c>
      <c r="N239" s="0" t="s">
        <v>952</v>
      </c>
      <c r="O239" s="0" t="s">
        <v>425</v>
      </c>
      <c r="Q239" s="0" t="s">
        <v>141</v>
      </c>
      <c r="R239" s="0" t="s">
        <v>138</v>
      </c>
      <c r="S239" s="14">
        <v>1</v>
      </c>
      <c r="T239" s="0" t="s">
        <v>359</v>
      </c>
      <c r="U239" s="0" t="s">
        <v>138</v>
      </c>
      <c r="V239" s="14" t="s">
        <v>138</v>
      </c>
      <c r="W239" s="0" t="s">
        <v>138</v>
      </c>
      <c r="X239" s="14" t="s">
        <v>138</v>
      </c>
      <c r="Y239" s="0" t="s">
        <v>138</v>
      </c>
      <c r="Z239" s="14" t="s">
        <v>138</v>
      </c>
      <c r="AA239" s="0" t="s">
        <v>138</v>
      </c>
      <c r="AB239" s="14" t="s">
        <v>138</v>
      </c>
      <c r="AD239" s="0" t="s">
        <v>138</v>
      </c>
      <c r="AF239" s="0">
        <v>0</v>
      </c>
      <c r="AG239" s="0">
        <v>0</v>
      </c>
      <c r="AH239" s="0" t="s">
        <v>140</v>
      </c>
      <c r="AI239" s="0" t="s">
        <v>138</v>
      </c>
      <c r="AK239" s="0" t="s">
        <v>584</v>
      </c>
      <c r="AL239" s="14"/>
      <c r="AN239" s="14"/>
      <c r="AQ239" s="0" t="s">
        <v>130</v>
      </c>
      <c r="AR239" s="0" t="s">
        <v>130</v>
      </c>
      <c r="AS239" s="0" t="s">
        <v>130</v>
      </c>
      <c r="AT239" s="0" t="s">
        <v>130</v>
      </c>
      <c r="AU239" s="0" t="s">
        <v>130</v>
      </c>
      <c r="AV239" s="0" t="s">
        <v>130</v>
      </c>
      <c r="AW239" s="0" t="s">
        <v>141</v>
      </c>
      <c r="AX239" s="0" t="s">
        <v>130</v>
      </c>
      <c r="AY239" s="0" t="s">
        <v>130</v>
      </c>
      <c r="AZ239" s="0" t="s">
        <v>130</v>
      </c>
      <c r="BA239" s="0" t="s">
        <v>130</v>
      </c>
      <c r="BB239" s="0" t="s">
        <v>130</v>
      </c>
      <c r="BC239" s="0" t="s">
        <v>141</v>
      </c>
      <c r="BD239" s="0" t="s">
        <v>130</v>
      </c>
      <c r="BE239" s="0" t="s">
        <v>130</v>
      </c>
      <c r="BF239" s="0" t="s">
        <v>130</v>
      </c>
      <c r="BG239" s="0" t="s">
        <v>130</v>
      </c>
      <c r="BH239" s="0" t="s">
        <v>141</v>
      </c>
      <c r="BI239" s="0" t="s">
        <v>141</v>
      </c>
      <c r="BJ239" s="0" t="s">
        <v>141</v>
      </c>
      <c r="BK239" s="0" t="s">
        <v>130</v>
      </c>
      <c r="BL239" s="0" t="s">
        <v>130</v>
      </c>
      <c r="BM239" s="0" t="s">
        <v>130</v>
      </c>
      <c r="BN239" s="0" t="s">
        <v>130</v>
      </c>
      <c r="BO239" s="0" t="s">
        <v>130</v>
      </c>
      <c r="BP239" s="0" t="s">
        <v>130</v>
      </c>
      <c r="BQ239" s="0" t="s">
        <v>130</v>
      </c>
      <c r="BR239" s="0" t="s">
        <v>130</v>
      </c>
      <c r="BS239" s="0" t="s">
        <v>130</v>
      </c>
      <c r="BT239" s="0" t="s">
        <v>130</v>
      </c>
      <c r="BU239" s="0" t="s">
        <v>130</v>
      </c>
      <c r="BV239" s="0" t="s">
        <v>141</v>
      </c>
      <c r="BW239" s="0" t="s">
        <v>141</v>
      </c>
      <c r="BX239" s="0" t="s">
        <v>130</v>
      </c>
      <c r="BY239" s="0" t="s">
        <v>130</v>
      </c>
      <c r="BZ239" s="0" t="s">
        <v>130</v>
      </c>
      <c r="CA239" s="0" t="s">
        <v>130</v>
      </c>
      <c r="CB239" s="0" t="s">
        <v>130</v>
      </c>
      <c r="CC239" s="0" t="s">
        <v>130</v>
      </c>
      <c r="CD239" s="0" t="s">
        <v>130</v>
      </c>
      <c r="CE239" s="0" t="s">
        <v>130</v>
      </c>
      <c r="CF239" s="0" t="s">
        <v>130</v>
      </c>
      <c r="CG239" s="0" t="s">
        <v>130</v>
      </c>
      <c r="CH239" s="0" t="s">
        <v>130</v>
      </c>
      <c r="CI239" s="0" t="s">
        <v>130</v>
      </c>
      <c r="CJ239" s="0" t="s">
        <v>130</v>
      </c>
      <c r="CK239" s="0" t="s">
        <v>130</v>
      </c>
      <c r="CL239" s="0" t="s">
        <v>130</v>
      </c>
      <c r="CM239" s="0" t="s">
        <v>130</v>
      </c>
      <c r="CN239" s="0" t="s">
        <v>130</v>
      </c>
      <c r="CO239" s="0" t="s">
        <v>130</v>
      </c>
      <c r="CP239" s="0" t="s">
        <v>130</v>
      </c>
      <c r="CQ239" s="0" t="s">
        <v>130</v>
      </c>
      <c r="CR239" s="0" t="s">
        <v>130</v>
      </c>
      <c r="CS239" s="0" t="s">
        <v>130</v>
      </c>
      <c r="CT239" s="0" t="s">
        <v>967</v>
      </c>
    </row>
    <row r="240">
      <c r="A240" s="14">
        <v>100747</v>
      </c>
      <c r="B240" s="0" t="s">
        <v>949</v>
      </c>
      <c r="C240" s="16">
        <f>HYPERLINK("https://eosportal.federatedhermes.com/companies/Q29tcGFueQppNzM3ODY=", "Honda Motor Co Ltd")</f>
      </c>
      <c r="D240" s="0" t="s">
        <v>25</v>
      </c>
      <c r="E240" s="0" t="s">
        <v>968</v>
      </c>
      <c r="F240" s="16">
        <f>HYPERLINK("https://eosportal.federatedhermes.com/engagements/RW5nYWdlbWVudAppMTk0NDI=", "Board effectiveness")</f>
      </c>
      <c r="G240" s="14" t="s">
        <v>969</v>
      </c>
      <c r="H240" s="0" t="s">
        <v>141</v>
      </c>
      <c r="I240" s="14" t="s">
        <v>636</v>
      </c>
      <c r="J240" s="0" t="s">
        <v>145</v>
      </c>
      <c r="K240" s="0" t="s">
        <v>164</v>
      </c>
      <c r="L240" s="0" t="s">
        <v>970</v>
      </c>
      <c r="M240" s="0" t="s">
        <v>802</v>
      </c>
      <c r="N240" s="0" t="s">
        <v>952</v>
      </c>
      <c r="O240" s="0" t="s">
        <v>425</v>
      </c>
      <c r="Q240" s="0" t="s">
        <v>130</v>
      </c>
      <c r="R240" s="0" t="s">
        <v>138</v>
      </c>
      <c r="S240" s="14">
        <v>0</v>
      </c>
      <c r="T240" s="0" t="s">
        <v>707</v>
      </c>
      <c r="U240" s="0" t="s">
        <v>138</v>
      </c>
      <c r="V240" s="14" t="s">
        <v>138</v>
      </c>
      <c r="W240" s="0" t="s">
        <v>138</v>
      </c>
      <c r="X240" s="14" t="s">
        <v>138</v>
      </c>
      <c r="Y240" s="0" t="s">
        <v>138</v>
      </c>
      <c r="Z240" s="14" t="s">
        <v>138</v>
      </c>
      <c r="AA240" s="0" t="s">
        <v>138</v>
      </c>
      <c r="AB240" s="14" t="s">
        <v>138</v>
      </c>
      <c r="AD240" s="0" t="s">
        <v>138</v>
      </c>
      <c r="AF240" s="0">
        <v>0</v>
      </c>
      <c r="AG240" s="0">
        <v>0</v>
      </c>
      <c r="AH240" s="0" t="s">
        <v>140</v>
      </c>
      <c r="AI240" s="0" t="s">
        <v>138</v>
      </c>
      <c r="AL240" s="14"/>
      <c r="AN240" s="14"/>
      <c r="AQ240" s="0" t="s">
        <v>130</v>
      </c>
      <c r="AR240" s="0" t="s">
        <v>130</v>
      </c>
      <c r="AS240" s="0" t="s">
        <v>130</v>
      </c>
      <c r="AT240" s="0" t="s">
        <v>130</v>
      </c>
      <c r="AU240" s="0" t="s">
        <v>130</v>
      </c>
      <c r="AV240" s="0" t="s">
        <v>130</v>
      </c>
      <c r="AW240" s="0" t="s">
        <v>130</v>
      </c>
      <c r="AX240" s="0" t="s">
        <v>130</v>
      </c>
      <c r="AY240" s="0" t="s">
        <v>130</v>
      </c>
      <c r="AZ240" s="0" t="s">
        <v>130</v>
      </c>
      <c r="BA240" s="0" t="s">
        <v>130</v>
      </c>
      <c r="BB240" s="0" t="s">
        <v>130</v>
      </c>
      <c r="BC240" s="0" t="s">
        <v>130</v>
      </c>
      <c r="BD240" s="0" t="s">
        <v>130</v>
      </c>
      <c r="BE240" s="0" t="s">
        <v>130</v>
      </c>
      <c r="BF240" s="0" t="s">
        <v>130</v>
      </c>
      <c r="BG240" s="0" t="s">
        <v>130</v>
      </c>
      <c r="BH240" s="0" t="s">
        <v>130</v>
      </c>
      <c r="BI240" s="0" t="s">
        <v>130</v>
      </c>
      <c r="BJ240" s="0" t="s">
        <v>130</v>
      </c>
      <c r="BK240" s="0" t="s">
        <v>130</v>
      </c>
      <c r="BL240" s="0" t="s">
        <v>130</v>
      </c>
      <c r="BM240" s="0" t="s">
        <v>130</v>
      </c>
      <c r="BN240" s="0" t="s">
        <v>130</v>
      </c>
      <c r="BO240" s="0" t="s">
        <v>130</v>
      </c>
      <c r="BP240" s="0" t="s">
        <v>130</v>
      </c>
      <c r="BQ240" s="0" t="s">
        <v>130</v>
      </c>
      <c r="BR240" s="0" t="s">
        <v>130</v>
      </c>
      <c r="BS240" s="0" t="s">
        <v>130</v>
      </c>
      <c r="BT240" s="0" t="s">
        <v>130</v>
      </c>
      <c r="BU240" s="0" t="s">
        <v>130</v>
      </c>
      <c r="BV240" s="0" t="s">
        <v>130</v>
      </c>
      <c r="BW240" s="0" t="s">
        <v>130</v>
      </c>
      <c r="BX240" s="0" t="s">
        <v>130</v>
      </c>
      <c r="BY240" s="0" t="s">
        <v>130</v>
      </c>
      <c r="BZ240" s="0" t="s">
        <v>130</v>
      </c>
      <c r="CA240" s="0" t="s">
        <v>130</v>
      </c>
      <c r="CB240" s="0" t="s">
        <v>130</v>
      </c>
      <c r="CC240" s="0" t="s">
        <v>130</v>
      </c>
      <c r="CD240" s="0" t="s">
        <v>130</v>
      </c>
      <c r="CE240" s="0" t="s">
        <v>130</v>
      </c>
      <c r="CF240" s="0" t="s">
        <v>130</v>
      </c>
      <c r="CG240" s="0" t="s">
        <v>130</v>
      </c>
      <c r="CH240" s="0" t="s">
        <v>130</v>
      </c>
      <c r="CI240" s="0" t="s">
        <v>130</v>
      </c>
      <c r="CJ240" s="0" t="s">
        <v>130</v>
      </c>
      <c r="CK240" s="0" t="s">
        <v>130</v>
      </c>
      <c r="CL240" s="0" t="s">
        <v>130</v>
      </c>
      <c r="CM240" s="0" t="s">
        <v>130</v>
      </c>
      <c r="CN240" s="0" t="s">
        <v>130</v>
      </c>
      <c r="CO240" s="0" t="s">
        <v>130</v>
      </c>
      <c r="CP240" s="0" t="s">
        <v>130</v>
      </c>
      <c r="CQ240" s="0" t="s">
        <v>130</v>
      </c>
      <c r="CR240" s="0" t="s">
        <v>130</v>
      </c>
      <c r="CS240" s="0" t="s">
        <v>130</v>
      </c>
      <c r="CT240" s="0" t="s">
        <v>971</v>
      </c>
    </row>
    <row r="241">
      <c r="A241" s="14">
        <v>100747</v>
      </c>
      <c r="B241" s="0" t="s">
        <v>949</v>
      </c>
      <c r="C241" s="16">
        <f>HYPERLINK("https://eosportal.federatedhermes.com/companies/Q29tcGFueQppNzM3ODY=", "Honda Motor Co Ltd")</f>
      </c>
      <c r="D241" s="0" t="s">
        <v>25</v>
      </c>
      <c r="E241" s="0" t="s">
        <v>972</v>
      </c>
      <c r="F241" s="16">
        <f>HYPERLINK("https://eosportal.federatedhermes.com/engagements/RW5nYWdlbWVudAppMTk0NDM=", "Sustainability Report")</f>
      </c>
      <c r="G241" s="14" t="s">
        <v>973</v>
      </c>
      <c r="H241" s="0" t="s">
        <v>141</v>
      </c>
      <c r="I241" s="14" t="s">
        <v>636</v>
      </c>
      <c r="J241" s="0" t="s">
        <v>132</v>
      </c>
      <c r="K241" s="0" t="s">
        <v>170</v>
      </c>
      <c r="L241" s="0" t="s">
        <v>171</v>
      </c>
      <c r="M241" s="0" t="s">
        <v>802</v>
      </c>
      <c r="N241" s="0" t="s">
        <v>952</v>
      </c>
      <c r="O241" s="0" t="s">
        <v>425</v>
      </c>
      <c r="Q241" s="0" t="s">
        <v>141</v>
      </c>
      <c r="R241" s="0" t="s">
        <v>138</v>
      </c>
      <c r="S241" s="14">
        <v>1</v>
      </c>
      <c r="T241" s="0" t="s">
        <v>156</v>
      </c>
      <c r="U241" s="0" t="s">
        <v>138</v>
      </c>
      <c r="V241" s="14" t="s">
        <v>138</v>
      </c>
      <c r="W241" s="0" t="s">
        <v>138</v>
      </c>
      <c r="X241" s="14" t="s">
        <v>138</v>
      </c>
      <c r="Y241" s="0" t="s">
        <v>138</v>
      </c>
      <c r="Z241" s="14" t="s">
        <v>138</v>
      </c>
      <c r="AA241" s="0" t="s">
        <v>138</v>
      </c>
      <c r="AB241" s="14" t="s">
        <v>138</v>
      </c>
      <c r="AD241" s="0" t="s">
        <v>138</v>
      </c>
      <c r="AF241" s="0">
        <v>0</v>
      </c>
      <c r="AG241" s="0">
        <v>0</v>
      </c>
      <c r="AH241" s="0" t="s">
        <v>140</v>
      </c>
      <c r="AI241" s="0" t="s">
        <v>138</v>
      </c>
      <c r="AK241" s="0" t="s">
        <v>584</v>
      </c>
      <c r="AL241" s="14"/>
      <c r="AN241" s="14"/>
      <c r="AQ241" s="0" t="s">
        <v>130</v>
      </c>
      <c r="AR241" s="0" t="s">
        <v>130</v>
      </c>
      <c r="AS241" s="0" t="s">
        <v>130</v>
      </c>
      <c r="AT241" s="0" t="s">
        <v>130</v>
      </c>
      <c r="AU241" s="0" t="s">
        <v>130</v>
      </c>
      <c r="AV241" s="0" t="s">
        <v>130</v>
      </c>
      <c r="AW241" s="0" t="s">
        <v>130</v>
      </c>
      <c r="AX241" s="0" t="s">
        <v>130</v>
      </c>
      <c r="AY241" s="0" t="s">
        <v>130</v>
      </c>
      <c r="AZ241" s="0" t="s">
        <v>130</v>
      </c>
      <c r="BA241" s="0" t="s">
        <v>130</v>
      </c>
      <c r="BB241" s="0" t="s">
        <v>130</v>
      </c>
      <c r="BC241" s="0" t="s">
        <v>130</v>
      </c>
      <c r="BD241" s="0" t="s">
        <v>130</v>
      </c>
      <c r="BE241" s="0" t="s">
        <v>130</v>
      </c>
      <c r="BF241" s="0" t="s">
        <v>130</v>
      </c>
      <c r="BG241" s="0" t="s">
        <v>130</v>
      </c>
      <c r="BH241" s="0" t="s">
        <v>130</v>
      </c>
      <c r="BI241" s="0" t="s">
        <v>130</v>
      </c>
      <c r="BJ241" s="0" t="s">
        <v>130</v>
      </c>
      <c r="BK241" s="0" t="s">
        <v>130</v>
      </c>
      <c r="BL241" s="0" t="s">
        <v>130</v>
      </c>
      <c r="BM241" s="0" t="s">
        <v>130</v>
      </c>
      <c r="BN241" s="0" t="s">
        <v>130</v>
      </c>
      <c r="BO241" s="0" t="s">
        <v>130</v>
      </c>
      <c r="BP241" s="0" t="s">
        <v>130</v>
      </c>
      <c r="BQ241" s="0" t="s">
        <v>130</v>
      </c>
      <c r="BR241" s="0" t="s">
        <v>130</v>
      </c>
      <c r="BS241" s="0" t="s">
        <v>130</v>
      </c>
      <c r="BT241" s="0" t="s">
        <v>130</v>
      </c>
      <c r="BU241" s="0" t="s">
        <v>130</v>
      </c>
      <c r="BV241" s="0" t="s">
        <v>130</v>
      </c>
      <c r="BW241" s="0" t="s">
        <v>130</v>
      </c>
      <c r="BX241" s="0" t="s">
        <v>130</v>
      </c>
      <c r="BY241" s="0" t="s">
        <v>130</v>
      </c>
      <c r="BZ241" s="0" t="s">
        <v>130</v>
      </c>
      <c r="CA241" s="0" t="s">
        <v>130</v>
      </c>
      <c r="CB241" s="0" t="s">
        <v>130</v>
      </c>
      <c r="CC241" s="0" t="s">
        <v>130</v>
      </c>
      <c r="CD241" s="0" t="s">
        <v>130</v>
      </c>
      <c r="CE241" s="0" t="s">
        <v>130</v>
      </c>
      <c r="CF241" s="0" t="s">
        <v>130</v>
      </c>
      <c r="CG241" s="0" t="s">
        <v>130</v>
      </c>
      <c r="CH241" s="0" t="s">
        <v>130</v>
      </c>
      <c r="CI241" s="0" t="s">
        <v>130</v>
      </c>
      <c r="CJ241" s="0" t="s">
        <v>130</v>
      </c>
      <c r="CK241" s="0" t="s">
        <v>130</v>
      </c>
      <c r="CL241" s="0" t="s">
        <v>130</v>
      </c>
      <c r="CM241" s="0" t="s">
        <v>130</v>
      </c>
      <c r="CN241" s="0" t="s">
        <v>130</v>
      </c>
      <c r="CO241" s="0" t="s">
        <v>130</v>
      </c>
      <c r="CP241" s="0" t="s">
        <v>130</v>
      </c>
      <c r="CQ241" s="0" t="s">
        <v>130</v>
      </c>
      <c r="CR241" s="0" t="s">
        <v>130</v>
      </c>
      <c r="CS241" s="0" t="s">
        <v>130</v>
      </c>
      <c r="CT241" s="0" t="s">
        <v>974</v>
      </c>
    </row>
    <row r="242">
      <c r="A242" s="14">
        <v>112428</v>
      </c>
      <c r="B242" s="0" t="s">
        <v>975</v>
      </c>
      <c r="C242" s="16">
        <f>HYPERLINK("https://eosportal.federatedhermes.com/companies/Q29tcGFueQppNDQ0Mjg=", "Lloyds Banking Group PLC")</f>
      </c>
      <c r="D242" s="0" t="s">
        <v>25</v>
      </c>
      <c r="E242" s="0" t="s">
        <v>976</v>
      </c>
      <c r="F242" s="16">
        <f>HYPERLINK("https://eosportal.federatedhermes.com/engagements/RW5nYWdlbWVudAppMTk0NDc=", "Purchase of preference shares")</f>
      </c>
      <c r="G242" s="14" t="s">
        <v>977</v>
      </c>
      <c r="H242" s="0" t="s">
        <v>141</v>
      </c>
      <c r="I242" s="14" t="s">
        <v>636</v>
      </c>
      <c r="J242" s="0" t="s">
        <v>153</v>
      </c>
      <c r="K242" s="0" t="s">
        <v>243</v>
      </c>
      <c r="L242" s="0" t="s">
        <v>244</v>
      </c>
      <c r="M242" s="0" t="s">
        <v>272</v>
      </c>
      <c r="N242" s="0" t="s">
        <v>273</v>
      </c>
      <c r="O242" s="0" t="s">
        <v>238</v>
      </c>
      <c r="Q242" s="0" t="s">
        <v>130</v>
      </c>
      <c r="R242" s="0" t="s">
        <v>138</v>
      </c>
      <c r="S242" s="14">
        <v>0</v>
      </c>
      <c r="T242" s="0" t="s">
        <v>487</v>
      </c>
      <c r="U242" s="0" t="s">
        <v>138</v>
      </c>
      <c r="V242" s="14" t="s">
        <v>138</v>
      </c>
      <c r="W242" s="0" t="s">
        <v>138</v>
      </c>
      <c r="X242" s="14" t="s">
        <v>138</v>
      </c>
      <c r="Y242" s="0" t="s">
        <v>138</v>
      </c>
      <c r="Z242" s="14" t="s">
        <v>138</v>
      </c>
      <c r="AA242" s="0" t="s">
        <v>138</v>
      </c>
      <c r="AB242" s="14" t="s">
        <v>138</v>
      </c>
      <c r="AD242" s="0" t="s">
        <v>138</v>
      </c>
      <c r="AF242" s="0">
        <v>0</v>
      </c>
      <c r="AG242" s="0">
        <v>0</v>
      </c>
      <c r="AH242" s="0" t="s">
        <v>140</v>
      </c>
      <c r="AI242" s="0" t="s">
        <v>138</v>
      </c>
      <c r="AL242" s="14"/>
      <c r="AN242" s="14"/>
      <c r="AQ242" s="0" t="s">
        <v>130</v>
      </c>
      <c r="AR242" s="0" t="s">
        <v>130</v>
      </c>
      <c r="AS242" s="0" t="s">
        <v>130</v>
      </c>
      <c r="AT242" s="0" t="s">
        <v>130</v>
      </c>
      <c r="AU242" s="0" t="s">
        <v>130</v>
      </c>
      <c r="AV242" s="0" t="s">
        <v>130</v>
      </c>
      <c r="AW242" s="0" t="s">
        <v>130</v>
      </c>
      <c r="AX242" s="0" t="s">
        <v>130</v>
      </c>
      <c r="AY242" s="0" t="s">
        <v>130</v>
      </c>
      <c r="AZ242" s="0" t="s">
        <v>130</v>
      </c>
      <c r="BA242" s="0" t="s">
        <v>130</v>
      </c>
      <c r="BB242" s="0" t="s">
        <v>130</v>
      </c>
      <c r="BC242" s="0" t="s">
        <v>130</v>
      </c>
      <c r="BD242" s="0" t="s">
        <v>130</v>
      </c>
      <c r="BE242" s="0" t="s">
        <v>130</v>
      </c>
      <c r="BF242" s="0" t="s">
        <v>130</v>
      </c>
      <c r="BG242" s="0" t="s">
        <v>130</v>
      </c>
      <c r="BH242" s="0" t="s">
        <v>130</v>
      </c>
      <c r="BI242" s="0" t="s">
        <v>130</v>
      </c>
      <c r="BJ242" s="0" t="s">
        <v>130</v>
      </c>
      <c r="BK242" s="0" t="s">
        <v>130</v>
      </c>
      <c r="BL242" s="0" t="s">
        <v>130</v>
      </c>
      <c r="BM242" s="0" t="s">
        <v>130</v>
      </c>
      <c r="BN242" s="0" t="s">
        <v>130</v>
      </c>
      <c r="BO242" s="0" t="s">
        <v>130</v>
      </c>
      <c r="BP242" s="0" t="s">
        <v>130</v>
      </c>
      <c r="BQ242" s="0" t="s">
        <v>130</v>
      </c>
      <c r="BR242" s="0" t="s">
        <v>130</v>
      </c>
      <c r="BS242" s="0" t="s">
        <v>130</v>
      </c>
      <c r="BT242" s="0" t="s">
        <v>130</v>
      </c>
      <c r="BU242" s="0" t="s">
        <v>130</v>
      </c>
      <c r="BV242" s="0" t="s">
        <v>130</v>
      </c>
      <c r="BW242" s="0" t="s">
        <v>130</v>
      </c>
      <c r="BX242" s="0" t="s">
        <v>130</v>
      </c>
      <c r="BY242" s="0" t="s">
        <v>130</v>
      </c>
      <c r="BZ242" s="0" t="s">
        <v>130</v>
      </c>
      <c r="CA242" s="0" t="s">
        <v>130</v>
      </c>
      <c r="CB242" s="0" t="s">
        <v>130</v>
      </c>
      <c r="CC242" s="0" t="s">
        <v>130</v>
      </c>
      <c r="CD242" s="0" t="s">
        <v>130</v>
      </c>
      <c r="CE242" s="0" t="s">
        <v>130</v>
      </c>
      <c r="CF242" s="0" t="s">
        <v>130</v>
      </c>
      <c r="CG242" s="0" t="s">
        <v>130</v>
      </c>
      <c r="CH242" s="0" t="s">
        <v>130</v>
      </c>
      <c r="CI242" s="0" t="s">
        <v>130</v>
      </c>
      <c r="CJ242" s="0" t="s">
        <v>130</v>
      </c>
      <c r="CK242" s="0" t="s">
        <v>130</v>
      </c>
      <c r="CL242" s="0" t="s">
        <v>130</v>
      </c>
      <c r="CM242" s="0" t="s">
        <v>130</v>
      </c>
      <c r="CN242" s="0" t="s">
        <v>130</v>
      </c>
      <c r="CO242" s="0" t="s">
        <v>130</v>
      </c>
      <c r="CP242" s="0" t="s">
        <v>130</v>
      </c>
      <c r="CQ242" s="0" t="s">
        <v>130</v>
      </c>
      <c r="CR242" s="0" t="s">
        <v>130</v>
      </c>
      <c r="CS242" s="0" t="s">
        <v>130</v>
      </c>
      <c r="CT242" s="0" t="s">
        <v>978</v>
      </c>
    </row>
    <row r="243">
      <c r="A243" s="14">
        <v>112428</v>
      </c>
      <c r="B243" s="0" t="s">
        <v>975</v>
      </c>
      <c r="C243" s="16">
        <f>HYPERLINK("https://eosportal.federatedhermes.com/companies/Q29tcGFueQppNDQ0Mjg=", "Lloyds Banking Group PLC")</f>
      </c>
      <c r="D243" s="0" t="s">
        <v>25</v>
      </c>
      <c r="E243" s="0" t="s">
        <v>979</v>
      </c>
      <c r="F243" s="16">
        <f>HYPERLINK("https://eosportal.federatedhermes.com/engagements/RW5nYWdlbWVudAppMTk0NDg=", "Sustainability embedded into bank's strategy")</f>
      </c>
      <c r="G243" s="14" t="s">
        <v>980</v>
      </c>
      <c r="H243" s="0" t="s">
        <v>141</v>
      </c>
      <c r="I243" s="14" t="s">
        <v>636</v>
      </c>
      <c r="J243" s="0" t="s">
        <v>153</v>
      </c>
      <c r="K243" s="0" t="s">
        <v>154</v>
      </c>
      <c r="L243" s="0" t="s">
        <v>306</v>
      </c>
      <c r="M243" s="0" t="s">
        <v>272</v>
      </c>
      <c r="N243" s="0" t="s">
        <v>273</v>
      </c>
      <c r="O243" s="0" t="s">
        <v>238</v>
      </c>
      <c r="Q243" s="0" t="s">
        <v>130</v>
      </c>
      <c r="R243" s="0" t="s">
        <v>138</v>
      </c>
      <c r="S243" s="14">
        <v>0</v>
      </c>
      <c r="T243" s="0" t="s">
        <v>920</v>
      </c>
      <c r="U243" s="0" t="s">
        <v>138</v>
      </c>
      <c r="V243" s="14" t="s">
        <v>138</v>
      </c>
      <c r="W243" s="0" t="s">
        <v>138</v>
      </c>
      <c r="X243" s="14" t="s">
        <v>138</v>
      </c>
      <c r="Y243" s="0" t="s">
        <v>138</v>
      </c>
      <c r="Z243" s="14" t="s">
        <v>138</v>
      </c>
      <c r="AA243" s="0" t="s">
        <v>138</v>
      </c>
      <c r="AB243" s="14" t="s">
        <v>138</v>
      </c>
      <c r="AD243" s="0" t="s">
        <v>138</v>
      </c>
      <c r="AF243" s="0">
        <v>0</v>
      </c>
      <c r="AG243" s="0">
        <v>0</v>
      </c>
      <c r="AH243" s="0" t="s">
        <v>140</v>
      </c>
      <c r="AI243" s="0" t="s">
        <v>138</v>
      </c>
      <c r="AL243" s="14"/>
      <c r="AN243" s="14"/>
      <c r="AQ243" s="0" t="s">
        <v>130</v>
      </c>
      <c r="AR243" s="0" t="s">
        <v>130</v>
      </c>
      <c r="AS243" s="0" t="s">
        <v>130</v>
      </c>
      <c r="AT243" s="0" t="s">
        <v>130</v>
      </c>
      <c r="AU243" s="0" t="s">
        <v>130</v>
      </c>
      <c r="AV243" s="0" t="s">
        <v>130</v>
      </c>
      <c r="AW243" s="0" t="s">
        <v>130</v>
      </c>
      <c r="AX243" s="0" t="s">
        <v>130</v>
      </c>
      <c r="AY243" s="0" t="s">
        <v>130</v>
      </c>
      <c r="AZ243" s="0" t="s">
        <v>130</v>
      </c>
      <c r="BA243" s="0" t="s">
        <v>130</v>
      </c>
      <c r="BB243" s="0" t="s">
        <v>130</v>
      </c>
      <c r="BC243" s="0" t="s">
        <v>130</v>
      </c>
      <c r="BD243" s="0" t="s">
        <v>130</v>
      </c>
      <c r="BE243" s="0" t="s">
        <v>130</v>
      </c>
      <c r="BF243" s="0" t="s">
        <v>130</v>
      </c>
      <c r="BG243" s="0" t="s">
        <v>130</v>
      </c>
      <c r="BH243" s="0" t="s">
        <v>130</v>
      </c>
      <c r="BI243" s="0" t="s">
        <v>130</v>
      </c>
      <c r="BJ243" s="0" t="s">
        <v>130</v>
      </c>
      <c r="BK243" s="0" t="s">
        <v>130</v>
      </c>
      <c r="BL243" s="0" t="s">
        <v>130</v>
      </c>
      <c r="BM243" s="0" t="s">
        <v>130</v>
      </c>
      <c r="BN243" s="0" t="s">
        <v>130</v>
      </c>
      <c r="BO243" s="0" t="s">
        <v>130</v>
      </c>
      <c r="BP243" s="0" t="s">
        <v>130</v>
      </c>
      <c r="BQ243" s="0" t="s">
        <v>130</v>
      </c>
      <c r="BR243" s="0" t="s">
        <v>130</v>
      </c>
      <c r="BS243" s="0" t="s">
        <v>130</v>
      </c>
      <c r="BT243" s="0" t="s">
        <v>130</v>
      </c>
      <c r="BU243" s="0" t="s">
        <v>130</v>
      </c>
      <c r="BV243" s="0" t="s">
        <v>130</v>
      </c>
      <c r="BW243" s="0" t="s">
        <v>130</v>
      </c>
      <c r="BX243" s="0" t="s">
        <v>130</v>
      </c>
      <c r="BY243" s="0" t="s">
        <v>130</v>
      </c>
      <c r="BZ243" s="0" t="s">
        <v>130</v>
      </c>
      <c r="CA243" s="0" t="s">
        <v>130</v>
      </c>
      <c r="CB243" s="0" t="s">
        <v>130</v>
      </c>
      <c r="CC243" s="0" t="s">
        <v>130</v>
      </c>
      <c r="CD243" s="0" t="s">
        <v>130</v>
      </c>
      <c r="CE243" s="0" t="s">
        <v>130</v>
      </c>
      <c r="CF243" s="0" t="s">
        <v>130</v>
      </c>
      <c r="CG243" s="0" t="s">
        <v>130</v>
      </c>
      <c r="CH243" s="0" t="s">
        <v>130</v>
      </c>
      <c r="CI243" s="0" t="s">
        <v>130</v>
      </c>
      <c r="CJ243" s="0" t="s">
        <v>130</v>
      </c>
      <c r="CK243" s="0" t="s">
        <v>130</v>
      </c>
      <c r="CL243" s="0" t="s">
        <v>130</v>
      </c>
      <c r="CM243" s="0" t="s">
        <v>130</v>
      </c>
      <c r="CN243" s="0" t="s">
        <v>130</v>
      </c>
      <c r="CO243" s="0" t="s">
        <v>130</v>
      </c>
      <c r="CP243" s="0" t="s">
        <v>130</v>
      </c>
      <c r="CQ243" s="0" t="s">
        <v>130</v>
      </c>
      <c r="CR243" s="0" t="s">
        <v>130</v>
      </c>
      <c r="CS243" s="0" t="s">
        <v>130</v>
      </c>
      <c r="CT243" s="0" t="s">
        <v>981</v>
      </c>
    </row>
    <row r="244">
      <c r="A244" s="14">
        <v>112428</v>
      </c>
      <c r="B244" s="0" t="s">
        <v>975</v>
      </c>
      <c r="C244" s="16">
        <f>HYPERLINK("https://eosportal.federatedhermes.com/companies/Q29tcGFueQppNDQ0Mjg=", "Lloyds Banking Group PLC")</f>
      </c>
      <c r="D244" s="0" t="s">
        <v>25</v>
      </c>
      <c r="E244" s="0" t="s">
        <v>982</v>
      </c>
      <c r="F244" s="16">
        <f>HYPERLINK("https://eosportal.federatedhermes.com/engagements/RW5nYWdlbWVudAppMTk0NDk=", "Remuneration aligned with risk and performance")</f>
      </c>
      <c r="G244" s="14" t="s">
        <v>983</v>
      </c>
      <c r="H244" s="0" t="s">
        <v>141</v>
      </c>
      <c r="I244" s="14" t="s">
        <v>636</v>
      </c>
      <c r="J244" s="0" t="s">
        <v>145</v>
      </c>
      <c r="K244" s="0" t="s">
        <v>146</v>
      </c>
      <c r="L244" s="0" t="s">
        <v>147</v>
      </c>
      <c r="M244" s="0" t="s">
        <v>272</v>
      </c>
      <c r="N244" s="0" t="s">
        <v>273</v>
      </c>
      <c r="O244" s="0" t="s">
        <v>238</v>
      </c>
      <c r="Q244" s="0" t="s">
        <v>130</v>
      </c>
      <c r="R244" s="0" t="s">
        <v>138</v>
      </c>
      <c r="S244" s="14">
        <v>0</v>
      </c>
      <c r="T244" s="0" t="s">
        <v>387</v>
      </c>
      <c r="U244" s="0" t="s">
        <v>138</v>
      </c>
      <c r="V244" s="14" t="s">
        <v>138</v>
      </c>
      <c r="W244" s="0" t="s">
        <v>138</v>
      </c>
      <c r="X244" s="14" t="s">
        <v>138</v>
      </c>
      <c r="Y244" s="0" t="s">
        <v>138</v>
      </c>
      <c r="Z244" s="14" t="s">
        <v>138</v>
      </c>
      <c r="AA244" s="0" t="s">
        <v>138</v>
      </c>
      <c r="AB244" s="14" t="s">
        <v>138</v>
      </c>
      <c r="AD244" s="0" t="s">
        <v>138</v>
      </c>
      <c r="AF244" s="0">
        <v>0</v>
      </c>
      <c r="AG244" s="0">
        <v>0</v>
      </c>
      <c r="AH244" s="0" t="s">
        <v>140</v>
      </c>
      <c r="AI244" s="0" t="s">
        <v>138</v>
      </c>
      <c r="AL244" s="14"/>
      <c r="AN244" s="14"/>
      <c r="AQ244" s="0" t="s">
        <v>130</v>
      </c>
      <c r="AR244" s="0" t="s">
        <v>130</v>
      </c>
      <c r="AS244" s="0" t="s">
        <v>130</v>
      </c>
      <c r="AT244" s="0" t="s">
        <v>130</v>
      </c>
      <c r="AU244" s="0" t="s">
        <v>130</v>
      </c>
      <c r="AV244" s="0" t="s">
        <v>130</v>
      </c>
      <c r="AW244" s="0" t="s">
        <v>130</v>
      </c>
      <c r="AX244" s="0" t="s">
        <v>130</v>
      </c>
      <c r="AY244" s="0" t="s">
        <v>130</v>
      </c>
      <c r="AZ244" s="0" t="s">
        <v>130</v>
      </c>
      <c r="BA244" s="0" t="s">
        <v>130</v>
      </c>
      <c r="BB244" s="0" t="s">
        <v>130</v>
      </c>
      <c r="BC244" s="0" t="s">
        <v>130</v>
      </c>
      <c r="BD244" s="0" t="s">
        <v>130</v>
      </c>
      <c r="BE244" s="0" t="s">
        <v>130</v>
      </c>
      <c r="BF244" s="0" t="s">
        <v>130</v>
      </c>
      <c r="BG244" s="0" t="s">
        <v>130</v>
      </c>
      <c r="BH244" s="0" t="s">
        <v>130</v>
      </c>
      <c r="BI244" s="0" t="s">
        <v>130</v>
      </c>
      <c r="BJ244" s="0" t="s">
        <v>130</v>
      </c>
      <c r="BK244" s="0" t="s">
        <v>130</v>
      </c>
      <c r="BL244" s="0" t="s">
        <v>130</v>
      </c>
      <c r="BM244" s="0" t="s">
        <v>130</v>
      </c>
      <c r="BN244" s="0" t="s">
        <v>130</v>
      </c>
      <c r="BO244" s="0" t="s">
        <v>130</v>
      </c>
      <c r="BP244" s="0" t="s">
        <v>130</v>
      </c>
      <c r="BQ244" s="0" t="s">
        <v>130</v>
      </c>
      <c r="BR244" s="0" t="s">
        <v>130</v>
      </c>
      <c r="BS244" s="0" t="s">
        <v>130</v>
      </c>
      <c r="BT244" s="0" t="s">
        <v>130</v>
      </c>
      <c r="BU244" s="0" t="s">
        <v>130</v>
      </c>
      <c r="BV244" s="0" t="s">
        <v>130</v>
      </c>
      <c r="BW244" s="0" t="s">
        <v>130</v>
      </c>
      <c r="BX244" s="0" t="s">
        <v>130</v>
      </c>
      <c r="BY244" s="0" t="s">
        <v>130</v>
      </c>
      <c r="BZ244" s="0" t="s">
        <v>130</v>
      </c>
      <c r="CA244" s="0" t="s">
        <v>130</v>
      </c>
      <c r="CB244" s="0" t="s">
        <v>130</v>
      </c>
      <c r="CC244" s="0" t="s">
        <v>130</v>
      </c>
      <c r="CD244" s="0" t="s">
        <v>130</v>
      </c>
      <c r="CE244" s="0" t="s">
        <v>130</v>
      </c>
      <c r="CF244" s="0" t="s">
        <v>130</v>
      </c>
      <c r="CG244" s="0" t="s">
        <v>130</v>
      </c>
      <c r="CH244" s="0" t="s">
        <v>130</v>
      </c>
      <c r="CI244" s="0" t="s">
        <v>130</v>
      </c>
      <c r="CJ244" s="0" t="s">
        <v>130</v>
      </c>
      <c r="CK244" s="0" t="s">
        <v>130</v>
      </c>
      <c r="CL244" s="0" t="s">
        <v>130</v>
      </c>
      <c r="CM244" s="0" t="s">
        <v>130</v>
      </c>
      <c r="CN244" s="0" t="s">
        <v>130</v>
      </c>
      <c r="CO244" s="0" t="s">
        <v>130</v>
      </c>
      <c r="CP244" s="0" t="s">
        <v>130</v>
      </c>
      <c r="CQ244" s="0" t="s">
        <v>130</v>
      </c>
      <c r="CR244" s="0" t="s">
        <v>130</v>
      </c>
      <c r="CS244" s="0" t="s">
        <v>130</v>
      </c>
      <c r="CT244" s="0" t="s">
        <v>984</v>
      </c>
    </row>
    <row r="245">
      <c r="A245" s="14">
        <v>112428</v>
      </c>
      <c r="B245" s="0" t="s">
        <v>975</v>
      </c>
      <c r="C245" s="16">
        <f>HYPERLINK("https://eosportal.federatedhermes.com/companies/Q29tcGFueQppNDQ0Mjg=", "Lloyds Banking Group PLC")</f>
      </c>
      <c r="D245" s="0" t="s">
        <v>25</v>
      </c>
      <c r="E245" s="0" t="s">
        <v>985</v>
      </c>
      <c r="F245" s="16">
        <f>HYPERLINK("https://eosportal.federatedhermes.com/engagements/RW5nYWdlbWVudAppMTk0NTA=", "Leadership structure")</f>
      </c>
      <c r="G245" s="14" t="s">
        <v>985</v>
      </c>
      <c r="H245" s="0" t="s">
        <v>141</v>
      </c>
      <c r="I245" s="14" t="s">
        <v>636</v>
      </c>
      <c r="J245" s="0" t="s">
        <v>145</v>
      </c>
      <c r="K245" s="0" t="s">
        <v>164</v>
      </c>
      <c r="L245" s="0" t="s">
        <v>277</v>
      </c>
      <c r="M245" s="0" t="s">
        <v>272</v>
      </c>
      <c r="N245" s="0" t="s">
        <v>273</v>
      </c>
      <c r="O245" s="0" t="s">
        <v>238</v>
      </c>
      <c r="Q245" s="0" t="s">
        <v>130</v>
      </c>
      <c r="R245" s="0" t="s">
        <v>138</v>
      </c>
      <c r="S245" s="14">
        <v>0</v>
      </c>
      <c r="T245" s="0" t="s">
        <v>710</v>
      </c>
      <c r="U245" s="0" t="s">
        <v>138</v>
      </c>
      <c r="V245" s="14" t="s">
        <v>138</v>
      </c>
      <c r="W245" s="0" t="s">
        <v>138</v>
      </c>
      <c r="X245" s="14" t="s">
        <v>138</v>
      </c>
      <c r="Y245" s="0" t="s">
        <v>138</v>
      </c>
      <c r="Z245" s="14" t="s">
        <v>138</v>
      </c>
      <c r="AA245" s="0" t="s">
        <v>138</v>
      </c>
      <c r="AB245" s="14" t="s">
        <v>138</v>
      </c>
      <c r="AD245" s="0" t="s">
        <v>138</v>
      </c>
      <c r="AF245" s="0">
        <v>0</v>
      </c>
      <c r="AG245" s="0">
        <v>0</v>
      </c>
      <c r="AH245" s="0" t="s">
        <v>140</v>
      </c>
      <c r="AI245" s="0" t="s">
        <v>138</v>
      </c>
      <c r="AL245" s="14"/>
      <c r="AN245" s="14"/>
      <c r="AQ245" s="0" t="s">
        <v>130</v>
      </c>
      <c r="AR245" s="0" t="s">
        <v>130</v>
      </c>
      <c r="AS245" s="0" t="s">
        <v>130</v>
      </c>
      <c r="AT245" s="0" t="s">
        <v>130</v>
      </c>
      <c r="AU245" s="0" t="s">
        <v>130</v>
      </c>
      <c r="AV245" s="0" t="s">
        <v>130</v>
      </c>
      <c r="AW245" s="0" t="s">
        <v>130</v>
      </c>
      <c r="AX245" s="0" t="s">
        <v>130</v>
      </c>
      <c r="AY245" s="0" t="s">
        <v>130</v>
      </c>
      <c r="AZ245" s="0" t="s">
        <v>130</v>
      </c>
      <c r="BA245" s="0" t="s">
        <v>130</v>
      </c>
      <c r="BB245" s="0" t="s">
        <v>130</v>
      </c>
      <c r="BC245" s="0" t="s">
        <v>130</v>
      </c>
      <c r="BD245" s="0" t="s">
        <v>130</v>
      </c>
      <c r="BE245" s="0" t="s">
        <v>130</v>
      </c>
      <c r="BF245" s="0" t="s">
        <v>130</v>
      </c>
      <c r="BG245" s="0" t="s">
        <v>130</v>
      </c>
      <c r="BH245" s="0" t="s">
        <v>130</v>
      </c>
      <c r="BI245" s="0" t="s">
        <v>130</v>
      </c>
      <c r="BJ245" s="0" t="s">
        <v>130</v>
      </c>
      <c r="BK245" s="0" t="s">
        <v>130</v>
      </c>
      <c r="BL245" s="0" t="s">
        <v>130</v>
      </c>
      <c r="BM245" s="0" t="s">
        <v>130</v>
      </c>
      <c r="BN245" s="0" t="s">
        <v>130</v>
      </c>
      <c r="BO245" s="0" t="s">
        <v>130</v>
      </c>
      <c r="BP245" s="0" t="s">
        <v>130</v>
      </c>
      <c r="BQ245" s="0" t="s">
        <v>130</v>
      </c>
      <c r="BR245" s="0" t="s">
        <v>130</v>
      </c>
      <c r="BS245" s="0" t="s">
        <v>130</v>
      </c>
      <c r="BT245" s="0" t="s">
        <v>130</v>
      </c>
      <c r="BU245" s="0" t="s">
        <v>130</v>
      </c>
      <c r="BV245" s="0" t="s">
        <v>130</v>
      </c>
      <c r="BW245" s="0" t="s">
        <v>130</v>
      </c>
      <c r="BX245" s="0" t="s">
        <v>130</v>
      </c>
      <c r="BY245" s="0" t="s">
        <v>130</v>
      </c>
      <c r="BZ245" s="0" t="s">
        <v>130</v>
      </c>
      <c r="CA245" s="0" t="s">
        <v>130</v>
      </c>
      <c r="CB245" s="0" t="s">
        <v>130</v>
      </c>
      <c r="CC245" s="0" t="s">
        <v>130</v>
      </c>
      <c r="CD245" s="0" t="s">
        <v>130</v>
      </c>
      <c r="CE245" s="0" t="s">
        <v>130</v>
      </c>
      <c r="CF245" s="0" t="s">
        <v>130</v>
      </c>
      <c r="CG245" s="0" t="s">
        <v>130</v>
      </c>
      <c r="CH245" s="0" t="s">
        <v>130</v>
      </c>
      <c r="CI245" s="0" t="s">
        <v>130</v>
      </c>
      <c r="CJ245" s="0" t="s">
        <v>130</v>
      </c>
      <c r="CK245" s="0" t="s">
        <v>130</v>
      </c>
      <c r="CL245" s="0" t="s">
        <v>130</v>
      </c>
      <c r="CM245" s="0" t="s">
        <v>130</v>
      </c>
      <c r="CN245" s="0" t="s">
        <v>130</v>
      </c>
      <c r="CO245" s="0" t="s">
        <v>130</v>
      </c>
      <c r="CP245" s="0" t="s">
        <v>130</v>
      </c>
      <c r="CQ245" s="0" t="s">
        <v>130</v>
      </c>
      <c r="CR245" s="0" t="s">
        <v>130</v>
      </c>
      <c r="CS245" s="0" t="s">
        <v>130</v>
      </c>
      <c r="CT245" s="0" t="s">
        <v>986</v>
      </c>
    </row>
    <row r="246">
      <c r="A246" s="14">
        <v>112428</v>
      </c>
      <c r="B246" s="0" t="s">
        <v>975</v>
      </c>
      <c r="C246" s="16">
        <f>HYPERLINK("https://eosportal.federatedhermes.com/companies/Q29tcGFueQppNDQ0Mjg=", "Lloyds Banking Group PLC")</f>
      </c>
      <c r="D246" s="0" t="s">
        <v>25</v>
      </c>
      <c r="E246" s="0" t="s">
        <v>198</v>
      </c>
      <c r="F246" s="16">
        <f>HYPERLINK("https://eosportal.federatedhermes.com/engagements/RW5nYWdlbWVudAppMTk0NTE=", "Climate Change")</f>
      </c>
      <c r="G246" s="14" t="s">
        <v>496</v>
      </c>
      <c r="H246" s="0" t="s">
        <v>141</v>
      </c>
      <c r="I246" s="14" t="s">
        <v>636</v>
      </c>
      <c r="J246" s="0" t="s">
        <v>197</v>
      </c>
      <c r="K246" s="0" t="s">
        <v>198</v>
      </c>
      <c r="L246" s="0" t="s">
        <v>216</v>
      </c>
      <c r="M246" s="0" t="s">
        <v>272</v>
      </c>
      <c r="N246" s="0" t="s">
        <v>273</v>
      </c>
      <c r="O246" s="0" t="s">
        <v>238</v>
      </c>
      <c r="Q246" s="0" t="s">
        <v>130</v>
      </c>
      <c r="R246" s="0" t="s">
        <v>138</v>
      </c>
      <c r="S246" s="14">
        <v>0</v>
      </c>
      <c r="T246" s="0" t="s">
        <v>327</v>
      </c>
      <c r="U246" s="0" t="s">
        <v>138</v>
      </c>
      <c r="V246" s="14" t="s">
        <v>138</v>
      </c>
      <c r="W246" s="0" t="s">
        <v>138</v>
      </c>
      <c r="X246" s="14" t="s">
        <v>138</v>
      </c>
      <c r="Y246" s="0" t="s">
        <v>138</v>
      </c>
      <c r="Z246" s="14" t="s">
        <v>138</v>
      </c>
      <c r="AA246" s="0" t="s">
        <v>138</v>
      </c>
      <c r="AB246" s="14" t="s">
        <v>138</v>
      </c>
      <c r="AD246" s="0" t="s">
        <v>138</v>
      </c>
      <c r="AF246" s="0">
        <v>0</v>
      </c>
      <c r="AG246" s="0">
        <v>0</v>
      </c>
      <c r="AH246" s="0" t="s">
        <v>140</v>
      </c>
      <c r="AI246" s="0" t="s">
        <v>138</v>
      </c>
      <c r="AL246" s="14"/>
      <c r="AN246" s="14"/>
      <c r="AQ246" s="0" t="s">
        <v>130</v>
      </c>
      <c r="AR246" s="0" t="s">
        <v>130</v>
      </c>
      <c r="AS246" s="0" t="s">
        <v>130</v>
      </c>
      <c r="AT246" s="0" t="s">
        <v>130</v>
      </c>
      <c r="AU246" s="0" t="s">
        <v>130</v>
      </c>
      <c r="AV246" s="0" t="s">
        <v>130</v>
      </c>
      <c r="AW246" s="0" t="s">
        <v>130</v>
      </c>
      <c r="AX246" s="0" t="s">
        <v>130</v>
      </c>
      <c r="AY246" s="0" t="s">
        <v>130</v>
      </c>
      <c r="AZ246" s="0" t="s">
        <v>130</v>
      </c>
      <c r="BA246" s="0" t="s">
        <v>130</v>
      </c>
      <c r="BB246" s="0" t="s">
        <v>130</v>
      </c>
      <c r="BC246" s="0" t="s">
        <v>141</v>
      </c>
      <c r="BD246" s="0" t="s">
        <v>130</v>
      </c>
      <c r="BE246" s="0" t="s">
        <v>130</v>
      </c>
      <c r="BF246" s="0" t="s">
        <v>130</v>
      </c>
      <c r="BG246" s="0" t="s">
        <v>130</v>
      </c>
      <c r="BH246" s="0" t="s">
        <v>141</v>
      </c>
      <c r="BI246" s="0" t="s">
        <v>141</v>
      </c>
      <c r="BJ246" s="0" t="s">
        <v>141</v>
      </c>
      <c r="BK246" s="0" t="s">
        <v>130</v>
      </c>
      <c r="BL246" s="0" t="s">
        <v>130</v>
      </c>
      <c r="BM246" s="0" t="s">
        <v>130</v>
      </c>
      <c r="BN246" s="0" t="s">
        <v>130</v>
      </c>
      <c r="BO246" s="0" t="s">
        <v>130</v>
      </c>
      <c r="BP246" s="0" t="s">
        <v>130</v>
      </c>
      <c r="BQ246" s="0" t="s">
        <v>130</v>
      </c>
      <c r="BR246" s="0" t="s">
        <v>130</v>
      </c>
      <c r="BS246" s="0" t="s">
        <v>130</v>
      </c>
      <c r="BT246" s="0" t="s">
        <v>130</v>
      </c>
      <c r="BU246" s="0" t="s">
        <v>130</v>
      </c>
      <c r="BV246" s="0" t="s">
        <v>141</v>
      </c>
      <c r="BW246" s="0" t="s">
        <v>141</v>
      </c>
      <c r="BX246" s="0" t="s">
        <v>130</v>
      </c>
      <c r="BY246" s="0" t="s">
        <v>130</v>
      </c>
      <c r="BZ246" s="0" t="s">
        <v>130</v>
      </c>
      <c r="CA246" s="0" t="s">
        <v>130</v>
      </c>
      <c r="CB246" s="0" t="s">
        <v>130</v>
      </c>
      <c r="CC246" s="0" t="s">
        <v>130</v>
      </c>
      <c r="CD246" s="0" t="s">
        <v>130</v>
      </c>
      <c r="CE246" s="0" t="s">
        <v>130</v>
      </c>
      <c r="CF246" s="0" t="s">
        <v>130</v>
      </c>
      <c r="CG246" s="0" t="s">
        <v>130</v>
      </c>
      <c r="CH246" s="0" t="s">
        <v>130</v>
      </c>
      <c r="CI246" s="0" t="s">
        <v>130</v>
      </c>
      <c r="CJ246" s="0" t="s">
        <v>130</v>
      </c>
      <c r="CK246" s="0" t="s">
        <v>130</v>
      </c>
      <c r="CL246" s="0" t="s">
        <v>130</v>
      </c>
      <c r="CM246" s="0" t="s">
        <v>130</v>
      </c>
      <c r="CN246" s="0" t="s">
        <v>130</v>
      </c>
      <c r="CO246" s="0" t="s">
        <v>130</v>
      </c>
      <c r="CP246" s="0" t="s">
        <v>130</v>
      </c>
      <c r="CQ246" s="0" t="s">
        <v>130</v>
      </c>
      <c r="CR246" s="0" t="s">
        <v>130</v>
      </c>
      <c r="CS246" s="0" t="s">
        <v>130</v>
      </c>
      <c r="CT246" s="0" t="s">
        <v>987</v>
      </c>
    </row>
    <row r="247">
      <c r="A247" s="14">
        <v>112428</v>
      </c>
      <c r="B247" s="0" t="s">
        <v>975</v>
      </c>
      <c r="C247" s="16">
        <f>HYPERLINK("https://eosportal.federatedhermes.com/companies/Q29tcGFueQppNDQ0Mjg=", "Lloyds Banking Group PLC")</f>
      </c>
      <c r="D247" s="0" t="s">
        <v>25</v>
      </c>
      <c r="E247" s="0" t="s">
        <v>146</v>
      </c>
      <c r="F247" s="16">
        <f>HYPERLINK("https://eosportal.federatedhermes.com/engagements/RW5nYWdlbWVudAppMTk0NTU=", "Executive Remuneration")</f>
      </c>
      <c r="G247" s="14" t="s">
        <v>988</v>
      </c>
      <c r="H247" s="0" t="s">
        <v>141</v>
      </c>
      <c r="I247" s="14" t="s">
        <v>636</v>
      </c>
      <c r="J247" s="0" t="s">
        <v>145</v>
      </c>
      <c r="K247" s="0" t="s">
        <v>146</v>
      </c>
      <c r="L247" s="0" t="s">
        <v>147</v>
      </c>
      <c r="M247" s="0" t="s">
        <v>272</v>
      </c>
      <c r="N247" s="0" t="s">
        <v>273</v>
      </c>
      <c r="O247" s="0" t="s">
        <v>238</v>
      </c>
      <c r="Q247" s="0" t="s">
        <v>130</v>
      </c>
      <c r="R247" s="0" t="s">
        <v>138</v>
      </c>
      <c r="S247" s="14">
        <v>0</v>
      </c>
      <c r="T247" s="0" t="s">
        <v>249</v>
      </c>
      <c r="U247" s="0" t="s">
        <v>138</v>
      </c>
      <c r="V247" s="14" t="s">
        <v>138</v>
      </c>
      <c r="W247" s="0" t="s">
        <v>138</v>
      </c>
      <c r="X247" s="14" t="s">
        <v>138</v>
      </c>
      <c r="Y247" s="0" t="s">
        <v>138</v>
      </c>
      <c r="Z247" s="14" t="s">
        <v>138</v>
      </c>
      <c r="AA247" s="0" t="s">
        <v>138</v>
      </c>
      <c r="AB247" s="14" t="s">
        <v>138</v>
      </c>
      <c r="AD247" s="0" t="s">
        <v>138</v>
      </c>
      <c r="AF247" s="0">
        <v>0</v>
      </c>
      <c r="AG247" s="0">
        <v>0</v>
      </c>
      <c r="AH247" s="0" t="s">
        <v>140</v>
      </c>
      <c r="AI247" s="0" t="s">
        <v>138</v>
      </c>
      <c r="AL247" s="14"/>
      <c r="AN247" s="14"/>
      <c r="AQ247" s="0" t="s">
        <v>130</v>
      </c>
      <c r="AR247" s="0" t="s">
        <v>130</v>
      </c>
      <c r="AS247" s="0" t="s">
        <v>130</v>
      </c>
      <c r="AT247" s="0" t="s">
        <v>130</v>
      </c>
      <c r="AU247" s="0" t="s">
        <v>130</v>
      </c>
      <c r="AV247" s="0" t="s">
        <v>130</v>
      </c>
      <c r="AW247" s="0" t="s">
        <v>130</v>
      </c>
      <c r="AX247" s="0" t="s">
        <v>130</v>
      </c>
      <c r="AY247" s="0" t="s">
        <v>130</v>
      </c>
      <c r="AZ247" s="0" t="s">
        <v>130</v>
      </c>
      <c r="BA247" s="0" t="s">
        <v>130</v>
      </c>
      <c r="BB247" s="0" t="s">
        <v>130</v>
      </c>
      <c r="BC247" s="0" t="s">
        <v>130</v>
      </c>
      <c r="BD247" s="0" t="s">
        <v>130</v>
      </c>
      <c r="BE247" s="0" t="s">
        <v>130</v>
      </c>
      <c r="BF247" s="0" t="s">
        <v>130</v>
      </c>
      <c r="BG247" s="0" t="s">
        <v>130</v>
      </c>
      <c r="BH247" s="0" t="s">
        <v>130</v>
      </c>
      <c r="BI247" s="0" t="s">
        <v>130</v>
      </c>
      <c r="BJ247" s="0" t="s">
        <v>130</v>
      </c>
      <c r="BK247" s="0" t="s">
        <v>130</v>
      </c>
      <c r="BL247" s="0" t="s">
        <v>130</v>
      </c>
      <c r="BM247" s="0" t="s">
        <v>130</v>
      </c>
      <c r="BN247" s="0" t="s">
        <v>130</v>
      </c>
      <c r="BO247" s="0" t="s">
        <v>130</v>
      </c>
      <c r="BP247" s="0" t="s">
        <v>130</v>
      </c>
      <c r="BQ247" s="0" t="s">
        <v>130</v>
      </c>
      <c r="BR247" s="0" t="s">
        <v>130</v>
      </c>
      <c r="BS247" s="0" t="s">
        <v>130</v>
      </c>
      <c r="BT247" s="0" t="s">
        <v>130</v>
      </c>
      <c r="BU247" s="0" t="s">
        <v>130</v>
      </c>
      <c r="BV247" s="0" t="s">
        <v>130</v>
      </c>
      <c r="BW247" s="0" t="s">
        <v>130</v>
      </c>
      <c r="BX247" s="0" t="s">
        <v>130</v>
      </c>
      <c r="BY247" s="0" t="s">
        <v>130</v>
      </c>
      <c r="BZ247" s="0" t="s">
        <v>130</v>
      </c>
      <c r="CA247" s="0" t="s">
        <v>130</v>
      </c>
      <c r="CB247" s="0" t="s">
        <v>130</v>
      </c>
      <c r="CC247" s="0" t="s">
        <v>130</v>
      </c>
      <c r="CD247" s="0" t="s">
        <v>130</v>
      </c>
      <c r="CE247" s="0" t="s">
        <v>130</v>
      </c>
      <c r="CF247" s="0" t="s">
        <v>130</v>
      </c>
      <c r="CG247" s="0" t="s">
        <v>130</v>
      </c>
      <c r="CH247" s="0" t="s">
        <v>130</v>
      </c>
      <c r="CI247" s="0" t="s">
        <v>130</v>
      </c>
      <c r="CJ247" s="0" t="s">
        <v>130</v>
      </c>
      <c r="CK247" s="0" t="s">
        <v>130</v>
      </c>
      <c r="CL247" s="0" t="s">
        <v>130</v>
      </c>
      <c r="CM247" s="0" t="s">
        <v>130</v>
      </c>
      <c r="CN247" s="0" t="s">
        <v>130</v>
      </c>
      <c r="CO247" s="0" t="s">
        <v>130</v>
      </c>
      <c r="CP247" s="0" t="s">
        <v>130</v>
      </c>
      <c r="CQ247" s="0" t="s">
        <v>130</v>
      </c>
      <c r="CR247" s="0" t="s">
        <v>130</v>
      </c>
      <c r="CS247" s="0" t="s">
        <v>130</v>
      </c>
      <c r="CT247" s="0" t="s">
        <v>989</v>
      </c>
    </row>
    <row r="248">
      <c r="A248" s="14">
        <v>112428</v>
      </c>
      <c r="B248" s="0" t="s">
        <v>975</v>
      </c>
      <c r="C248" s="16">
        <f>HYPERLINK("https://eosportal.federatedhermes.com/companies/Q29tcGFueQppNDQ0Mjg=", "Lloyds Banking Group PLC")</f>
      </c>
      <c r="D248" s="0" t="s">
        <v>25</v>
      </c>
      <c r="E248" s="0" t="s">
        <v>990</v>
      </c>
      <c r="F248" s="16">
        <f>HYPERLINK("https://eosportal.federatedhermes.com/engagements/RW5nYWdlbWVudAppMTk0NTY=", "Materiality Assessment")</f>
      </c>
      <c r="G248" s="14" t="s">
        <v>991</v>
      </c>
      <c r="H248" s="0" t="s">
        <v>141</v>
      </c>
      <c r="I248" s="14" t="s">
        <v>636</v>
      </c>
      <c r="J248" s="0" t="s">
        <v>132</v>
      </c>
      <c r="K248" s="0" t="s">
        <v>170</v>
      </c>
      <c r="L248" s="0" t="s">
        <v>171</v>
      </c>
      <c r="M248" s="0" t="s">
        <v>272</v>
      </c>
      <c r="N248" s="0" t="s">
        <v>273</v>
      </c>
      <c r="O248" s="0" t="s">
        <v>238</v>
      </c>
      <c r="Q248" s="0" t="s">
        <v>130</v>
      </c>
      <c r="R248" s="0" t="s">
        <v>138</v>
      </c>
      <c r="S248" s="14">
        <v>0</v>
      </c>
      <c r="T248" s="0" t="s">
        <v>359</v>
      </c>
      <c r="U248" s="0" t="s">
        <v>138</v>
      </c>
      <c r="V248" s="14" t="s">
        <v>138</v>
      </c>
      <c r="W248" s="0" t="s">
        <v>138</v>
      </c>
      <c r="X248" s="14" t="s">
        <v>138</v>
      </c>
      <c r="Y248" s="0" t="s">
        <v>138</v>
      </c>
      <c r="Z248" s="14" t="s">
        <v>138</v>
      </c>
      <c r="AA248" s="0" t="s">
        <v>138</v>
      </c>
      <c r="AB248" s="14" t="s">
        <v>138</v>
      </c>
      <c r="AD248" s="0" t="s">
        <v>138</v>
      </c>
      <c r="AF248" s="0">
        <v>0</v>
      </c>
      <c r="AG248" s="0">
        <v>0</v>
      </c>
      <c r="AH248" s="0" t="s">
        <v>140</v>
      </c>
      <c r="AI248" s="0" t="s">
        <v>138</v>
      </c>
      <c r="AL248" s="14"/>
      <c r="AN248" s="14"/>
      <c r="AQ248" s="0" t="s">
        <v>130</v>
      </c>
      <c r="AR248" s="0" t="s">
        <v>130</v>
      </c>
      <c r="AS248" s="0" t="s">
        <v>130</v>
      </c>
      <c r="AT248" s="0" t="s">
        <v>130</v>
      </c>
      <c r="AU248" s="0" t="s">
        <v>130</v>
      </c>
      <c r="AV248" s="0" t="s">
        <v>130</v>
      </c>
      <c r="AW248" s="0" t="s">
        <v>130</v>
      </c>
      <c r="AX248" s="0" t="s">
        <v>130</v>
      </c>
      <c r="AY248" s="0" t="s">
        <v>130</v>
      </c>
      <c r="AZ248" s="0" t="s">
        <v>130</v>
      </c>
      <c r="BA248" s="0" t="s">
        <v>130</v>
      </c>
      <c r="BB248" s="0" t="s">
        <v>141</v>
      </c>
      <c r="BC248" s="0" t="s">
        <v>130</v>
      </c>
      <c r="BD248" s="0" t="s">
        <v>130</v>
      </c>
      <c r="BE248" s="0" t="s">
        <v>130</v>
      </c>
      <c r="BF248" s="0" t="s">
        <v>130</v>
      </c>
      <c r="BG248" s="0" t="s">
        <v>130</v>
      </c>
      <c r="BH248" s="0" t="s">
        <v>130</v>
      </c>
      <c r="BI248" s="0" t="s">
        <v>130</v>
      </c>
      <c r="BJ248" s="0" t="s">
        <v>130</v>
      </c>
      <c r="BK248" s="0" t="s">
        <v>130</v>
      </c>
      <c r="BL248" s="0" t="s">
        <v>130</v>
      </c>
      <c r="BM248" s="0" t="s">
        <v>130</v>
      </c>
      <c r="BN248" s="0" t="s">
        <v>130</v>
      </c>
      <c r="BO248" s="0" t="s">
        <v>130</v>
      </c>
      <c r="BP248" s="0" t="s">
        <v>130</v>
      </c>
      <c r="BQ248" s="0" t="s">
        <v>130</v>
      </c>
      <c r="BR248" s="0" t="s">
        <v>130</v>
      </c>
      <c r="BS248" s="0" t="s">
        <v>130</v>
      </c>
      <c r="BT248" s="0" t="s">
        <v>130</v>
      </c>
      <c r="BU248" s="0" t="s">
        <v>130</v>
      </c>
      <c r="BV248" s="0" t="s">
        <v>130</v>
      </c>
      <c r="BW248" s="0" t="s">
        <v>130</v>
      </c>
      <c r="BX248" s="0" t="s">
        <v>130</v>
      </c>
      <c r="BY248" s="0" t="s">
        <v>130</v>
      </c>
      <c r="BZ248" s="0" t="s">
        <v>130</v>
      </c>
      <c r="CA248" s="0" t="s">
        <v>130</v>
      </c>
      <c r="CB248" s="0" t="s">
        <v>130</v>
      </c>
      <c r="CC248" s="0" t="s">
        <v>130</v>
      </c>
      <c r="CD248" s="0" t="s">
        <v>130</v>
      </c>
      <c r="CE248" s="0" t="s">
        <v>130</v>
      </c>
      <c r="CF248" s="0" t="s">
        <v>130</v>
      </c>
      <c r="CG248" s="0" t="s">
        <v>130</v>
      </c>
      <c r="CH248" s="0" t="s">
        <v>130</v>
      </c>
      <c r="CI248" s="0" t="s">
        <v>130</v>
      </c>
      <c r="CJ248" s="0" t="s">
        <v>130</v>
      </c>
      <c r="CK248" s="0" t="s">
        <v>130</v>
      </c>
      <c r="CL248" s="0" t="s">
        <v>130</v>
      </c>
      <c r="CM248" s="0" t="s">
        <v>130</v>
      </c>
      <c r="CN248" s="0" t="s">
        <v>130</v>
      </c>
      <c r="CO248" s="0" t="s">
        <v>130</v>
      </c>
      <c r="CP248" s="0" t="s">
        <v>130</v>
      </c>
      <c r="CQ248" s="0" t="s">
        <v>130</v>
      </c>
      <c r="CR248" s="0" t="s">
        <v>130</v>
      </c>
      <c r="CS248" s="0" t="s">
        <v>130</v>
      </c>
      <c r="CT248" s="0" t="s">
        <v>992</v>
      </c>
    </row>
    <row r="249">
      <c r="A249" s="14">
        <v>112428</v>
      </c>
      <c r="B249" s="0" t="s">
        <v>975</v>
      </c>
      <c r="C249" s="16">
        <f>HYPERLINK("https://eosportal.federatedhermes.com/companies/Q29tcGFueQppNDQ0Mjg=", "Lloyds Banking Group PLC")</f>
      </c>
      <c r="D249" s="0" t="s">
        <v>25</v>
      </c>
      <c r="E249" s="0" t="s">
        <v>993</v>
      </c>
      <c r="F249" s="16">
        <f>HYPERLINK("https://eosportal.federatedhermes.com/engagements/RW5nYWdlbWVudAppMTk0NTc=", "Executive Remuneration - Pension Contribution")</f>
      </c>
      <c r="G249" s="14" t="s">
        <v>994</v>
      </c>
      <c r="H249" s="0" t="s">
        <v>141</v>
      </c>
      <c r="I249" s="14" t="s">
        <v>636</v>
      </c>
      <c r="J249" s="0" t="s">
        <v>145</v>
      </c>
      <c r="K249" s="0" t="s">
        <v>146</v>
      </c>
      <c r="L249" s="0" t="s">
        <v>147</v>
      </c>
      <c r="M249" s="0" t="s">
        <v>272</v>
      </c>
      <c r="N249" s="0" t="s">
        <v>273</v>
      </c>
      <c r="O249" s="0" t="s">
        <v>238</v>
      </c>
      <c r="Q249" s="0" t="s">
        <v>130</v>
      </c>
      <c r="R249" s="0" t="s">
        <v>138</v>
      </c>
      <c r="S249" s="14">
        <v>0</v>
      </c>
      <c r="T249" s="0" t="s">
        <v>288</v>
      </c>
      <c r="U249" s="0" t="s">
        <v>138</v>
      </c>
      <c r="V249" s="14" t="s">
        <v>138</v>
      </c>
      <c r="W249" s="0" t="s">
        <v>138</v>
      </c>
      <c r="X249" s="14" t="s">
        <v>138</v>
      </c>
      <c r="Y249" s="0" t="s">
        <v>138</v>
      </c>
      <c r="Z249" s="14" t="s">
        <v>138</v>
      </c>
      <c r="AA249" s="0" t="s">
        <v>138</v>
      </c>
      <c r="AB249" s="14" t="s">
        <v>138</v>
      </c>
      <c r="AD249" s="0" t="s">
        <v>138</v>
      </c>
      <c r="AF249" s="0">
        <v>0</v>
      </c>
      <c r="AG249" s="0">
        <v>0</v>
      </c>
      <c r="AH249" s="0" t="s">
        <v>140</v>
      </c>
      <c r="AI249" s="0" t="s">
        <v>138</v>
      </c>
      <c r="AL249" s="14"/>
      <c r="AN249" s="14"/>
      <c r="AQ249" s="0" t="s">
        <v>130</v>
      </c>
      <c r="AR249" s="0" t="s">
        <v>130</v>
      </c>
      <c r="AS249" s="0" t="s">
        <v>130</v>
      </c>
      <c r="AT249" s="0" t="s">
        <v>130</v>
      </c>
      <c r="AU249" s="0" t="s">
        <v>130</v>
      </c>
      <c r="AV249" s="0" t="s">
        <v>130</v>
      </c>
      <c r="AW249" s="0" t="s">
        <v>130</v>
      </c>
      <c r="AX249" s="0" t="s">
        <v>130</v>
      </c>
      <c r="AY249" s="0" t="s">
        <v>130</v>
      </c>
      <c r="AZ249" s="0" t="s">
        <v>130</v>
      </c>
      <c r="BA249" s="0" t="s">
        <v>130</v>
      </c>
      <c r="BB249" s="0" t="s">
        <v>130</v>
      </c>
      <c r="BC249" s="0" t="s">
        <v>130</v>
      </c>
      <c r="BD249" s="0" t="s">
        <v>130</v>
      </c>
      <c r="BE249" s="0" t="s">
        <v>130</v>
      </c>
      <c r="BF249" s="0" t="s">
        <v>130</v>
      </c>
      <c r="BG249" s="0" t="s">
        <v>130</v>
      </c>
      <c r="BH249" s="0" t="s">
        <v>130</v>
      </c>
      <c r="BI249" s="0" t="s">
        <v>130</v>
      </c>
      <c r="BJ249" s="0" t="s">
        <v>130</v>
      </c>
      <c r="BK249" s="0" t="s">
        <v>130</v>
      </c>
      <c r="BL249" s="0" t="s">
        <v>130</v>
      </c>
      <c r="BM249" s="0" t="s">
        <v>130</v>
      </c>
      <c r="BN249" s="0" t="s">
        <v>130</v>
      </c>
      <c r="BO249" s="0" t="s">
        <v>130</v>
      </c>
      <c r="BP249" s="0" t="s">
        <v>130</v>
      </c>
      <c r="BQ249" s="0" t="s">
        <v>130</v>
      </c>
      <c r="BR249" s="0" t="s">
        <v>130</v>
      </c>
      <c r="BS249" s="0" t="s">
        <v>130</v>
      </c>
      <c r="BT249" s="0" t="s">
        <v>130</v>
      </c>
      <c r="BU249" s="0" t="s">
        <v>130</v>
      </c>
      <c r="BV249" s="0" t="s">
        <v>130</v>
      </c>
      <c r="BW249" s="0" t="s">
        <v>130</v>
      </c>
      <c r="BX249" s="0" t="s">
        <v>130</v>
      </c>
      <c r="BY249" s="0" t="s">
        <v>130</v>
      </c>
      <c r="BZ249" s="0" t="s">
        <v>130</v>
      </c>
      <c r="CA249" s="0" t="s">
        <v>130</v>
      </c>
      <c r="CB249" s="0" t="s">
        <v>130</v>
      </c>
      <c r="CC249" s="0" t="s">
        <v>130</v>
      </c>
      <c r="CD249" s="0" t="s">
        <v>130</v>
      </c>
      <c r="CE249" s="0" t="s">
        <v>130</v>
      </c>
      <c r="CF249" s="0" t="s">
        <v>130</v>
      </c>
      <c r="CG249" s="0" t="s">
        <v>130</v>
      </c>
      <c r="CH249" s="0" t="s">
        <v>130</v>
      </c>
      <c r="CI249" s="0" t="s">
        <v>130</v>
      </c>
      <c r="CJ249" s="0" t="s">
        <v>130</v>
      </c>
      <c r="CK249" s="0" t="s">
        <v>130</v>
      </c>
      <c r="CL249" s="0" t="s">
        <v>130</v>
      </c>
      <c r="CM249" s="0" t="s">
        <v>130</v>
      </c>
      <c r="CN249" s="0" t="s">
        <v>130</v>
      </c>
      <c r="CO249" s="0" t="s">
        <v>130</v>
      </c>
      <c r="CP249" s="0" t="s">
        <v>130</v>
      </c>
      <c r="CQ249" s="0" t="s">
        <v>130</v>
      </c>
      <c r="CR249" s="0" t="s">
        <v>130</v>
      </c>
      <c r="CS249" s="0" t="s">
        <v>130</v>
      </c>
      <c r="CT249" s="0" t="s">
        <v>995</v>
      </c>
    </row>
    <row r="250">
      <c r="A250" s="14">
        <v>112647</v>
      </c>
      <c r="B250" s="0" t="s">
        <v>996</v>
      </c>
      <c r="C250" s="16">
        <f>HYPERLINK("https://eosportal.federatedhermes.com/companies/Q29tcGFueQppNTIwMTk=", "Origin Energy Ltd")</f>
      </c>
      <c r="D250" s="0" t="s">
        <v>25</v>
      </c>
      <c r="E250" s="0" t="s">
        <v>773</v>
      </c>
      <c r="F250" s="16">
        <f>HYPERLINK("https://eosportal.federatedhermes.com/engagements/RW5nYWdlbWVudAppMTk0ODU=", "Best practice actions to limit climate change exposure")</f>
      </c>
      <c r="G250" s="14" t="s">
        <v>774</v>
      </c>
      <c r="H250" s="0" t="s">
        <v>141</v>
      </c>
      <c r="I250" s="14" t="s">
        <v>636</v>
      </c>
      <c r="J250" s="0" t="s">
        <v>197</v>
      </c>
      <c r="K250" s="0" t="s">
        <v>198</v>
      </c>
      <c r="L250" s="0" t="s">
        <v>216</v>
      </c>
      <c r="M250" s="0" t="s">
        <v>371</v>
      </c>
      <c r="N250" s="0" t="s">
        <v>372</v>
      </c>
      <c r="O250" s="0" t="s">
        <v>192</v>
      </c>
      <c r="Q250" s="0" t="s">
        <v>130</v>
      </c>
      <c r="R250" s="0" t="s">
        <v>138</v>
      </c>
      <c r="S250" s="14">
        <v>0</v>
      </c>
      <c r="T250" s="0" t="s">
        <v>314</v>
      </c>
      <c r="U250" s="0" t="s">
        <v>138</v>
      </c>
      <c r="V250" s="14" t="s">
        <v>138</v>
      </c>
      <c r="W250" s="0" t="s">
        <v>138</v>
      </c>
      <c r="X250" s="14" t="s">
        <v>138</v>
      </c>
      <c r="Y250" s="0" t="s">
        <v>138</v>
      </c>
      <c r="Z250" s="14" t="s">
        <v>138</v>
      </c>
      <c r="AA250" s="0" t="s">
        <v>138</v>
      </c>
      <c r="AB250" s="14" t="s">
        <v>138</v>
      </c>
      <c r="AD250" s="0" t="s">
        <v>138</v>
      </c>
      <c r="AF250" s="0">
        <v>0</v>
      </c>
      <c r="AG250" s="0">
        <v>0</v>
      </c>
      <c r="AH250" s="0" t="s">
        <v>140</v>
      </c>
      <c r="AI250" s="0" t="s">
        <v>138</v>
      </c>
      <c r="AL250" s="14"/>
      <c r="AN250" s="14"/>
      <c r="AQ250" s="0" t="s">
        <v>130</v>
      </c>
      <c r="AR250" s="0" t="s">
        <v>130</v>
      </c>
      <c r="AS250" s="0" t="s">
        <v>130</v>
      </c>
      <c r="AT250" s="0" t="s">
        <v>130</v>
      </c>
      <c r="AU250" s="0" t="s">
        <v>130</v>
      </c>
      <c r="AV250" s="0" t="s">
        <v>130</v>
      </c>
      <c r="AW250" s="0" t="s">
        <v>141</v>
      </c>
      <c r="AX250" s="0" t="s">
        <v>130</v>
      </c>
      <c r="AY250" s="0" t="s">
        <v>130</v>
      </c>
      <c r="AZ250" s="0" t="s">
        <v>130</v>
      </c>
      <c r="BA250" s="0" t="s">
        <v>130</v>
      </c>
      <c r="BB250" s="0" t="s">
        <v>130</v>
      </c>
      <c r="BC250" s="0" t="s">
        <v>141</v>
      </c>
      <c r="BD250" s="0" t="s">
        <v>130</v>
      </c>
      <c r="BE250" s="0" t="s">
        <v>130</v>
      </c>
      <c r="BF250" s="0" t="s">
        <v>130</v>
      </c>
      <c r="BG250" s="0" t="s">
        <v>130</v>
      </c>
      <c r="BH250" s="0" t="s">
        <v>141</v>
      </c>
      <c r="BI250" s="0" t="s">
        <v>141</v>
      </c>
      <c r="BJ250" s="0" t="s">
        <v>141</v>
      </c>
      <c r="BK250" s="0" t="s">
        <v>130</v>
      </c>
      <c r="BL250" s="0" t="s">
        <v>130</v>
      </c>
      <c r="BM250" s="0" t="s">
        <v>130</v>
      </c>
      <c r="BN250" s="0" t="s">
        <v>130</v>
      </c>
      <c r="BO250" s="0" t="s">
        <v>130</v>
      </c>
      <c r="BP250" s="0" t="s">
        <v>130</v>
      </c>
      <c r="BQ250" s="0" t="s">
        <v>130</v>
      </c>
      <c r="BR250" s="0" t="s">
        <v>130</v>
      </c>
      <c r="BS250" s="0" t="s">
        <v>130</v>
      </c>
      <c r="BT250" s="0" t="s">
        <v>130</v>
      </c>
      <c r="BU250" s="0" t="s">
        <v>130</v>
      </c>
      <c r="BV250" s="0" t="s">
        <v>141</v>
      </c>
      <c r="BW250" s="0" t="s">
        <v>141</v>
      </c>
      <c r="BX250" s="0" t="s">
        <v>130</v>
      </c>
      <c r="BY250" s="0" t="s">
        <v>130</v>
      </c>
      <c r="BZ250" s="0" t="s">
        <v>130</v>
      </c>
      <c r="CA250" s="0" t="s">
        <v>130</v>
      </c>
      <c r="CB250" s="0" t="s">
        <v>130</v>
      </c>
      <c r="CC250" s="0" t="s">
        <v>130</v>
      </c>
      <c r="CD250" s="0" t="s">
        <v>130</v>
      </c>
      <c r="CE250" s="0" t="s">
        <v>130</v>
      </c>
      <c r="CF250" s="0" t="s">
        <v>130</v>
      </c>
      <c r="CG250" s="0" t="s">
        <v>130</v>
      </c>
      <c r="CH250" s="0" t="s">
        <v>130</v>
      </c>
      <c r="CI250" s="0" t="s">
        <v>130</v>
      </c>
      <c r="CJ250" s="0" t="s">
        <v>130</v>
      </c>
      <c r="CK250" s="0" t="s">
        <v>130</v>
      </c>
      <c r="CL250" s="0" t="s">
        <v>130</v>
      </c>
      <c r="CM250" s="0" t="s">
        <v>130</v>
      </c>
      <c r="CN250" s="0" t="s">
        <v>130</v>
      </c>
      <c r="CO250" s="0" t="s">
        <v>130</v>
      </c>
      <c r="CP250" s="0" t="s">
        <v>130</v>
      </c>
      <c r="CQ250" s="0" t="s">
        <v>130</v>
      </c>
      <c r="CR250" s="0" t="s">
        <v>130</v>
      </c>
      <c r="CS250" s="0" t="s">
        <v>130</v>
      </c>
      <c r="CT250" s="0" t="s">
        <v>997</v>
      </c>
    </row>
    <row r="251">
      <c r="A251" s="14">
        <v>112647</v>
      </c>
      <c r="B251" s="0" t="s">
        <v>996</v>
      </c>
      <c r="C251" s="16">
        <f>HYPERLINK("https://eosportal.federatedhermes.com/companies/Q29tcGFueQppNTIwMTk=", "Origin Energy Ltd")</f>
      </c>
      <c r="D251" s="0" t="s">
        <v>25</v>
      </c>
      <c r="E251" s="0" t="s">
        <v>998</v>
      </c>
      <c r="F251" s="16">
        <f>HYPERLINK("https://eosportal.federatedhermes.com/engagements/RW5nYWdlbWVudAppMTk0ODY=", "Regnan Engagement Activity on community relations")</f>
      </c>
      <c r="G251" s="14" t="s">
        <v>999</v>
      </c>
      <c r="H251" s="0" t="s">
        <v>141</v>
      </c>
      <c r="I251" s="14" t="s">
        <v>636</v>
      </c>
      <c r="J251" s="0" t="s">
        <v>153</v>
      </c>
      <c r="K251" s="0" t="s">
        <v>243</v>
      </c>
      <c r="L251" s="0" t="s">
        <v>571</v>
      </c>
      <c r="M251" s="0" t="s">
        <v>371</v>
      </c>
      <c r="N251" s="0" t="s">
        <v>372</v>
      </c>
      <c r="O251" s="0" t="s">
        <v>192</v>
      </c>
      <c r="Q251" s="0" t="s">
        <v>130</v>
      </c>
      <c r="R251" s="0" t="s">
        <v>138</v>
      </c>
      <c r="S251" s="14">
        <v>0</v>
      </c>
      <c r="T251" s="0" t="s">
        <v>804</v>
      </c>
      <c r="U251" s="0" t="s">
        <v>138</v>
      </c>
      <c r="V251" s="14" t="s">
        <v>138</v>
      </c>
      <c r="W251" s="0" t="s">
        <v>138</v>
      </c>
      <c r="X251" s="14" t="s">
        <v>138</v>
      </c>
      <c r="Y251" s="0" t="s">
        <v>138</v>
      </c>
      <c r="Z251" s="14" t="s">
        <v>138</v>
      </c>
      <c r="AA251" s="0" t="s">
        <v>138</v>
      </c>
      <c r="AB251" s="14" t="s">
        <v>138</v>
      </c>
      <c r="AD251" s="0" t="s">
        <v>138</v>
      </c>
      <c r="AF251" s="0">
        <v>0</v>
      </c>
      <c r="AG251" s="0">
        <v>0</v>
      </c>
      <c r="AH251" s="0" t="s">
        <v>140</v>
      </c>
      <c r="AI251" s="0" t="s">
        <v>138</v>
      </c>
      <c r="AL251" s="14"/>
      <c r="AN251" s="14"/>
      <c r="AQ251" s="0" t="s">
        <v>130</v>
      </c>
      <c r="AR251" s="0" t="s">
        <v>130</v>
      </c>
      <c r="AS251" s="0" t="s">
        <v>130</v>
      </c>
      <c r="AT251" s="0" t="s">
        <v>130</v>
      </c>
      <c r="AU251" s="0" t="s">
        <v>130</v>
      </c>
      <c r="AV251" s="0" t="s">
        <v>130</v>
      </c>
      <c r="AW251" s="0" t="s">
        <v>130</v>
      </c>
      <c r="AX251" s="0" t="s">
        <v>130</v>
      </c>
      <c r="AY251" s="0" t="s">
        <v>130</v>
      </c>
      <c r="AZ251" s="0" t="s">
        <v>130</v>
      </c>
      <c r="BA251" s="0" t="s">
        <v>130</v>
      </c>
      <c r="BB251" s="0" t="s">
        <v>130</v>
      </c>
      <c r="BC251" s="0" t="s">
        <v>130</v>
      </c>
      <c r="BD251" s="0" t="s">
        <v>130</v>
      </c>
      <c r="BE251" s="0" t="s">
        <v>130</v>
      </c>
      <c r="BF251" s="0" t="s">
        <v>130</v>
      </c>
      <c r="BG251" s="0" t="s">
        <v>130</v>
      </c>
      <c r="BH251" s="0" t="s">
        <v>130</v>
      </c>
      <c r="BI251" s="0" t="s">
        <v>130</v>
      </c>
      <c r="BJ251" s="0" t="s">
        <v>130</v>
      </c>
      <c r="BK251" s="0" t="s">
        <v>130</v>
      </c>
      <c r="BL251" s="0" t="s">
        <v>130</v>
      </c>
      <c r="BM251" s="0" t="s">
        <v>130</v>
      </c>
      <c r="BN251" s="0" t="s">
        <v>130</v>
      </c>
      <c r="BO251" s="0" t="s">
        <v>130</v>
      </c>
      <c r="BP251" s="0" t="s">
        <v>130</v>
      </c>
      <c r="BQ251" s="0" t="s">
        <v>130</v>
      </c>
      <c r="BR251" s="0" t="s">
        <v>130</v>
      </c>
      <c r="BS251" s="0" t="s">
        <v>130</v>
      </c>
      <c r="BT251" s="0" t="s">
        <v>130</v>
      </c>
      <c r="BU251" s="0" t="s">
        <v>130</v>
      </c>
      <c r="BV251" s="0" t="s">
        <v>130</v>
      </c>
      <c r="BW251" s="0" t="s">
        <v>130</v>
      </c>
      <c r="BX251" s="0" t="s">
        <v>130</v>
      </c>
      <c r="BY251" s="0" t="s">
        <v>130</v>
      </c>
      <c r="BZ251" s="0" t="s">
        <v>130</v>
      </c>
      <c r="CA251" s="0" t="s">
        <v>130</v>
      </c>
      <c r="CB251" s="0" t="s">
        <v>130</v>
      </c>
      <c r="CC251" s="0" t="s">
        <v>130</v>
      </c>
      <c r="CD251" s="0" t="s">
        <v>130</v>
      </c>
      <c r="CE251" s="0" t="s">
        <v>130</v>
      </c>
      <c r="CF251" s="0" t="s">
        <v>130</v>
      </c>
      <c r="CG251" s="0" t="s">
        <v>130</v>
      </c>
      <c r="CH251" s="0" t="s">
        <v>130</v>
      </c>
      <c r="CI251" s="0" t="s">
        <v>130</v>
      </c>
      <c r="CJ251" s="0" t="s">
        <v>130</v>
      </c>
      <c r="CK251" s="0" t="s">
        <v>130</v>
      </c>
      <c r="CL251" s="0" t="s">
        <v>130</v>
      </c>
      <c r="CM251" s="0" t="s">
        <v>130</v>
      </c>
      <c r="CN251" s="0" t="s">
        <v>130</v>
      </c>
      <c r="CO251" s="0" t="s">
        <v>130</v>
      </c>
      <c r="CP251" s="0" t="s">
        <v>130</v>
      </c>
      <c r="CQ251" s="0" t="s">
        <v>130</v>
      </c>
      <c r="CR251" s="0" t="s">
        <v>130</v>
      </c>
      <c r="CS251" s="0" t="s">
        <v>130</v>
      </c>
      <c r="CT251" s="0" t="s">
        <v>1000</v>
      </c>
    </row>
    <row r="252">
      <c r="A252" s="14">
        <v>112647</v>
      </c>
      <c r="B252" s="0" t="s">
        <v>996</v>
      </c>
      <c r="C252" s="16">
        <f>HYPERLINK("https://eosportal.federatedhermes.com/companies/Q29tcGFueQppNTIwMTk=", "Origin Energy Ltd")</f>
      </c>
      <c r="D252" s="0" t="s">
        <v>25</v>
      </c>
      <c r="E252" s="0" t="s">
        <v>1001</v>
      </c>
      <c r="F252" s="16">
        <f>HYPERLINK("https://eosportal.federatedhermes.com/engagements/RW5nYWdlbWVudAppMTk0ODc=", "Regnan Engagement Activity on Remuneration")</f>
      </c>
      <c r="G252" s="14" t="s">
        <v>1002</v>
      </c>
      <c r="H252" s="0" t="s">
        <v>141</v>
      </c>
      <c r="I252" s="14" t="s">
        <v>636</v>
      </c>
      <c r="J252" s="0" t="s">
        <v>145</v>
      </c>
      <c r="K252" s="0" t="s">
        <v>146</v>
      </c>
      <c r="L252" s="0" t="s">
        <v>147</v>
      </c>
      <c r="M252" s="0" t="s">
        <v>371</v>
      </c>
      <c r="N252" s="0" t="s">
        <v>372</v>
      </c>
      <c r="O252" s="0" t="s">
        <v>192</v>
      </c>
      <c r="Q252" s="0" t="s">
        <v>130</v>
      </c>
      <c r="R252" s="0" t="s">
        <v>138</v>
      </c>
      <c r="S252" s="14">
        <v>0</v>
      </c>
      <c r="T252" s="0" t="s">
        <v>707</v>
      </c>
      <c r="U252" s="0" t="s">
        <v>138</v>
      </c>
      <c r="V252" s="14" t="s">
        <v>138</v>
      </c>
      <c r="W252" s="0" t="s">
        <v>138</v>
      </c>
      <c r="X252" s="14" t="s">
        <v>138</v>
      </c>
      <c r="Y252" s="0" t="s">
        <v>138</v>
      </c>
      <c r="Z252" s="14" t="s">
        <v>138</v>
      </c>
      <c r="AA252" s="0" t="s">
        <v>138</v>
      </c>
      <c r="AB252" s="14" t="s">
        <v>138</v>
      </c>
      <c r="AD252" s="0" t="s">
        <v>138</v>
      </c>
      <c r="AF252" s="0">
        <v>0</v>
      </c>
      <c r="AG252" s="0">
        <v>0</v>
      </c>
      <c r="AH252" s="0" t="s">
        <v>140</v>
      </c>
      <c r="AI252" s="0" t="s">
        <v>138</v>
      </c>
      <c r="AL252" s="14"/>
      <c r="AN252" s="14"/>
      <c r="AQ252" s="0" t="s">
        <v>130</v>
      </c>
      <c r="AR252" s="0" t="s">
        <v>130</v>
      </c>
      <c r="AS252" s="0" t="s">
        <v>130</v>
      </c>
      <c r="AT252" s="0" t="s">
        <v>130</v>
      </c>
      <c r="AU252" s="0" t="s">
        <v>130</v>
      </c>
      <c r="AV252" s="0" t="s">
        <v>130</v>
      </c>
      <c r="AW252" s="0" t="s">
        <v>130</v>
      </c>
      <c r="AX252" s="0" t="s">
        <v>130</v>
      </c>
      <c r="AY252" s="0" t="s">
        <v>130</v>
      </c>
      <c r="AZ252" s="0" t="s">
        <v>130</v>
      </c>
      <c r="BA252" s="0" t="s">
        <v>130</v>
      </c>
      <c r="BB252" s="0" t="s">
        <v>130</v>
      </c>
      <c r="BC252" s="0" t="s">
        <v>130</v>
      </c>
      <c r="BD252" s="0" t="s">
        <v>130</v>
      </c>
      <c r="BE252" s="0" t="s">
        <v>130</v>
      </c>
      <c r="BF252" s="0" t="s">
        <v>130</v>
      </c>
      <c r="BG252" s="0" t="s">
        <v>130</v>
      </c>
      <c r="BH252" s="0" t="s">
        <v>130</v>
      </c>
      <c r="BI252" s="0" t="s">
        <v>130</v>
      </c>
      <c r="BJ252" s="0" t="s">
        <v>130</v>
      </c>
      <c r="BK252" s="0" t="s">
        <v>130</v>
      </c>
      <c r="BL252" s="0" t="s">
        <v>130</v>
      </c>
      <c r="BM252" s="0" t="s">
        <v>130</v>
      </c>
      <c r="BN252" s="0" t="s">
        <v>130</v>
      </c>
      <c r="BO252" s="0" t="s">
        <v>130</v>
      </c>
      <c r="BP252" s="0" t="s">
        <v>130</v>
      </c>
      <c r="BQ252" s="0" t="s">
        <v>130</v>
      </c>
      <c r="BR252" s="0" t="s">
        <v>130</v>
      </c>
      <c r="BS252" s="0" t="s">
        <v>130</v>
      </c>
      <c r="BT252" s="0" t="s">
        <v>130</v>
      </c>
      <c r="BU252" s="0" t="s">
        <v>130</v>
      </c>
      <c r="BV252" s="0" t="s">
        <v>130</v>
      </c>
      <c r="BW252" s="0" t="s">
        <v>130</v>
      </c>
      <c r="BX252" s="0" t="s">
        <v>130</v>
      </c>
      <c r="BY252" s="0" t="s">
        <v>130</v>
      </c>
      <c r="BZ252" s="0" t="s">
        <v>130</v>
      </c>
      <c r="CA252" s="0" t="s">
        <v>130</v>
      </c>
      <c r="CB252" s="0" t="s">
        <v>130</v>
      </c>
      <c r="CC252" s="0" t="s">
        <v>130</v>
      </c>
      <c r="CD252" s="0" t="s">
        <v>130</v>
      </c>
      <c r="CE252" s="0" t="s">
        <v>130</v>
      </c>
      <c r="CF252" s="0" t="s">
        <v>130</v>
      </c>
      <c r="CG252" s="0" t="s">
        <v>130</v>
      </c>
      <c r="CH252" s="0" t="s">
        <v>130</v>
      </c>
      <c r="CI252" s="0" t="s">
        <v>130</v>
      </c>
      <c r="CJ252" s="0" t="s">
        <v>130</v>
      </c>
      <c r="CK252" s="0" t="s">
        <v>130</v>
      </c>
      <c r="CL252" s="0" t="s">
        <v>130</v>
      </c>
      <c r="CM252" s="0" t="s">
        <v>130</v>
      </c>
      <c r="CN252" s="0" t="s">
        <v>130</v>
      </c>
      <c r="CO252" s="0" t="s">
        <v>130</v>
      </c>
      <c r="CP252" s="0" t="s">
        <v>130</v>
      </c>
      <c r="CQ252" s="0" t="s">
        <v>130</v>
      </c>
      <c r="CR252" s="0" t="s">
        <v>130</v>
      </c>
      <c r="CS252" s="0" t="s">
        <v>130</v>
      </c>
      <c r="CT252" s="0" t="s">
        <v>1003</v>
      </c>
    </row>
    <row r="253">
      <c r="A253" s="14">
        <v>112647</v>
      </c>
      <c r="B253" s="0" t="s">
        <v>996</v>
      </c>
      <c r="C253" s="16">
        <f>HYPERLINK("https://eosportal.federatedhermes.com/companies/Q29tcGFueQppNTIwMTk=", "Origin Energy Ltd")</f>
      </c>
      <c r="D253" s="0" t="s">
        <v>25</v>
      </c>
      <c r="E253" s="0" t="s">
        <v>1004</v>
      </c>
      <c r="F253" s="16">
        <f>HYPERLINK("https://eosportal.federatedhermes.com/engagements/RW5nYWdlbWVudAppMTk0ODg=", "Regnan Engagement Activity on climate change")</f>
      </c>
      <c r="G253" s="14" t="s">
        <v>999</v>
      </c>
      <c r="H253" s="0" t="s">
        <v>141</v>
      </c>
      <c r="I253" s="14" t="s">
        <v>636</v>
      </c>
      <c r="J253" s="0" t="s">
        <v>197</v>
      </c>
      <c r="K253" s="0" t="s">
        <v>198</v>
      </c>
      <c r="L253" s="0" t="s">
        <v>216</v>
      </c>
      <c r="M253" s="0" t="s">
        <v>371</v>
      </c>
      <c r="N253" s="0" t="s">
        <v>372</v>
      </c>
      <c r="O253" s="0" t="s">
        <v>192</v>
      </c>
      <c r="Q253" s="0" t="s">
        <v>130</v>
      </c>
      <c r="R253" s="0" t="s">
        <v>138</v>
      </c>
      <c r="S253" s="14">
        <v>0</v>
      </c>
      <c r="T253" s="0" t="s">
        <v>804</v>
      </c>
      <c r="U253" s="0" t="s">
        <v>138</v>
      </c>
      <c r="V253" s="14" t="s">
        <v>138</v>
      </c>
      <c r="W253" s="0" t="s">
        <v>138</v>
      </c>
      <c r="X253" s="14" t="s">
        <v>138</v>
      </c>
      <c r="Y253" s="0" t="s">
        <v>138</v>
      </c>
      <c r="Z253" s="14" t="s">
        <v>138</v>
      </c>
      <c r="AA253" s="0" t="s">
        <v>138</v>
      </c>
      <c r="AB253" s="14" t="s">
        <v>138</v>
      </c>
      <c r="AD253" s="0" t="s">
        <v>138</v>
      </c>
      <c r="AF253" s="0">
        <v>0</v>
      </c>
      <c r="AG253" s="0">
        <v>0</v>
      </c>
      <c r="AH253" s="0" t="s">
        <v>140</v>
      </c>
      <c r="AI253" s="0" t="s">
        <v>138</v>
      </c>
      <c r="AL253" s="14"/>
      <c r="AN253" s="14"/>
      <c r="AQ253" s="0" t="s">
        <v>130</v>
      </c>
      <c r="AR253" s="0" t="s">
        <v>130</v>
      </c>
      <c r="AS253" s="0" t="s">
        <v>130</v>
      </c>
      <c r="AT253" s="0" t="s">
        <v>130</v>
      </c>
      <c r="AU253" s="0" t="s">
        <v>130</v>
      </c>
      <c r="AV253" s="0" t="s">
        <v>130</v>
      </c>
      <c r="AW253" s="0" t="s">
        <v>141</v>
      </c>
      <c r="AX253" s="0" t="s">
        <v>130</v>
      </c>
      <c r="AY253" s="0" t="s">
        <v>130</v>
      </c>
      <c r="AZ253" s="0" t="s">
        <v>130</v>
      </c>
      <c r="BA253" s="0" t="s">
        <v>130</v>
      </c>
      <c r="BB253" s="0" t="s">
        <v>141</v>
      </c>
      <c r="BC253" s="0" t="s">
        <v>141</v>
      </c>
      <c r="BD253" s="0" t="s">
        <v>130</v>
      </c>
      <c r="BE253" s="0" t="s">
        <v>130</v>
      </c>
      <c r="BF253" s="0" t="s">
        <v>130</v>
      </c>
      <c r="BG253" s="0" t="s">
        <v>130</v>
      </c>
      <c r="BH253" s="0" t="s">
        <v>141</v>
      </c>
      <c r="BI253" s="0" t="s">
        <v>141</v>
      </c>
      <c r="BJ253" s="0" t="s">
        <v>141</v>
      </c>
      <c r="BK253" s="0" t="s">
        <v>130</v>
      </c>
      <c r="BL253" s="0" t="s">
        <v>130</v>
      </c>
      <c r="BM253" s="0" t="s">
        <v>130</v>
      </c>
      <c r="BN253" s="0" t="s">
        <v>130</v>
      </c>
      <c r="BO253" s="0" t="s">
        <v>130</v>
      </c>
      <c r="BP253" s="0" t="s">
        <v>130</v>
      </c>
      <c r="BQ253" s="0" t="s">
        <v>130</v>
      </c>
      <c r="BR253" s="0" t="s">
        <v>130</v>
      </c>
      <c r="BS253" s="0" t="s">
        <v>130</v>
      </c>
      <c r="BT253" s="0" t="s">
        <v>130</v>
      </c>
      <c r="BU253" s="0" t="s">
        <v>130</v>
      </c>
      <c r="BV253" s="0" t="s">
        <v>141</v>
      </c>
      <c r="BW253" s="0" t="s">
        <v>141</v>
      </c>
      <c r="BX253" s="0" t="s">
        <v>130</v>
      </c>
      <c r="BY253" s="0" t="s">
        <v>130</v>
      </c>
      <c r="BZ253" s="0" t="s">
        <v>130</v>
      </c>
      <c r="CA253" s="0" t="s">
        <v>130</v>
      </c>
      <c r="CB253" s="0" t="s">
        <v>130</v>
      </c>
      <c r="CC253" s="0" t="s">
        <v>130</v>
      </c>
      <c r="CD253" s="0" t="s">
        <v>130</v>
      </c>
      <c r="CE253" s="0" t="s">
        <v>130</v>
      </c>
      <c r="CF253" s="0" t="s">
        <v>130</v>
      </c>
      <c r="CG253" s="0" t="s">
        <v>130</v>
      </c>
      <c r="CH253" s="0" t="s">
        <v>130</v>
      </c>
      <c r="CI253" s="0" t="s">
        <v>130</v>
      </c>
      <c r="CJ253" s="0" t="s">
        <v>130</v>
      </c>
      <c r="CK253" s="0" t="s">
        <v>130</v>
      </c>
      <c r="CL253" s="0" t="s">
        <v>130</v>
      </c>
      <c r="CM253" s="0" t="s">
        <v>130</v>
      </c>
      <c r="CN253" s="0" t="s">
        <v>130</v>
      </c>
      <c r="CO253" s="0" t="s">
        <v>130</v>
      </c>
      <c r="CP253" s="0" t="s">
        <v>130</v>
      </c>
      <c r="CQ253" s="0" t="s">
        <v>130</v>
      </c>
      <c r="CR253" s="0" t="s">
        <v>130</v>
      </c>
      <c r="CS253" s="0" t="s">
        <v>130</v>
      </c>
      <c r="CT253" s="0" t="s">
        <v>1005</v>
      </c>
    </row>
    <row r="254">
      <c r="A254" s="14">
        <v>112647</v>
      </c>
      <c r="B254" s="0" t="s">
        <v>996</v>
      </c>
      <c r="C254" s="16">
        <f>HYPERLINK("https://eosportal.federatedhermes.com/companies/Q29tcGFueQppNTIwMTk=", "Origin Energy Ltd")</f>
      </c>
      <c r="D254" s="0" t="s">
        <v>25</v>
      </c>
      <c r="E254" s="0" t="s">
        <v>1006</v>
      </c>
      <c r="F254" s="16">
        <f>HYPERLINK("https://eosportal.federatedhermes.com/engagements/RW5nYWdlbWVudAppMTk0ODk=", "Regnan Engagement Activity on water")</f>
      </c>
      <c r="G254" s="14" t="s">
        <v>999</v>
      </c>
      <c r="H254" s="0" t="s">
        <v>141</v>
      </c>
      <c r="I254" s="14" t="s">
        <v>636</v>
      </c>
      <c r="J254" s="0" t="s">
        <v>197</v>
      </c>
      <c r="K254" s="0" t="s">
        <v>337</v>
      </c>
      <c r="L254" s="0" t="s">
        <v>338</v>
      </c>
      <c r="M254" s="0" t="s">
        <v>371</v>
      </c>
      <c r="N254" s="0" t="s">
        <v>372</v>
      </c>
      <c r="O254" s="0" t="s">
        <v>192</v>
      </c>
      <c r="Q254" s="0" t="s">
        <v>130</v>
      </c>
      <c r="R254" s="0" t="s">
        <v>138</v>
      </c>
      <c r="S254" s="14">
        <v>0</v>
      </c>
      <c r="T254" s="0" t="s">
        <v>804</v>
      </c>
      <c r="U254" s="0" t="s">
        <v>138</v>
      </c>
      <c r="V254" s="14" t="s">
        <v>138</v>
      </c>
      <c r="W254" s="0" t="s">
        <v>138</v>
      </c>
      <c r="X254" s="14" t="s">
        <v>138</v>
      </c>
      <c r="Y254" s="0" t="s">
        <v>138</v>
      </c>
      <c r="Z254" s="14" t="s">
        <v>138</v>
      </c>
      <c r="AA254" s="0" t="s">
        <v>138</v>
      </c>
      <c r="AB254" s="14" t="s">
        <v>138</v>
      </c>
      <c r="AD254" s="0" t="s">
        <v>138</v>
      </c>
      <c r="AF254" s="0">
        <v>0</v>
      </c>
      <c r="AG254" s="0">
        <v>0</v>
      </c>
      <c r="AH254" s="0" t="s">
        <v>140</v>
      </c>
      <c r="AI254" s="0" t="s">
        <v>138</v>
      </c>
      <c r="AL254" s="14"/>
      <c r="AN254" s="14"/>
      <c r="AQ254" s="0" t="s">
        <v>130</v>
      </c>
      <c r="AR254" s="0" t="s">
        <v>130</v>
      </c>
      <c r="AS254" s="0" t="s">
        <v>130</v>
      </c>
      <c r="AT254" s="0" t="s">
        <v>130</v>
      </c>
      <c r="AU254" s="0" t="s">
        <v>130</v>
      </c>
      <c r="AV254" s="0" t="s">
        <v>130</v>
      </c>
      <c r="AW254" s="0" t="s">
        <v>130</v>
      </c>
      <c r="AX254" s="0" t="s">
        <v>130</v>
      </c>
      <c r="AY254" s="0" t="s">
        <v>130</v>
      </c>
      <c r="AZ254" s="0" t="s">
        <v>130</v>
      </c>
      <c r="BA254" s="0" t="s">
        <v>130</v>
      </c>
      <c r="BB254" s="0" t="s">
        <v>130</v>
      </c>
      <c r="BC254" s="0" t="s">
        <v>130</v>
      </c>
      <c r="BD254" s="0" t="s">
        <v>130</v>
      </c>
      <c r="BE254" s="0" t="s">
        <v>130</v>
      </c>
      <c r="BF254" s="0" t="s">
        <v>130</v>
      </c>
      <c r="BG254" s="0" t="s">
        <v>130</v>
      </c>
      <c r="BH254" s="0" t="s">
        <v>130</v>
      </c>
      <c r="BI254" s="0" t="s">
        <v>130</v>
      </c>
      <c r="BJ254" s="0" t="s">
        <v>130</v>
      </c>
      <c r="BK254" s="0" t="s">
        <v>130</v>
      </c>
      <c r="BL254" s="0" t="s">
        <v>130</v>
      </c>
      <c r="BM254" s="0" t="s">
        <v>130</v>
      </c>
      <c r="BN254" s="0" t="s">
        <v>130</v>
      </c>
      <c r="BO254" s="0" t="s">
        <v>130</v>
      </c>
      <c r="BP254" s="0" t="s">
        <v>130</v>
      </c>
      <c r="BQ254" s="0" t="s">
        <v>130</v>
      </c>
      <c r="BR254" s="0" t="s">
        <v>130</v>
      </c>
      <c r="BS254" s="0" t="s">
        <v>130</v>
      </c>
      <c r="BT254" s="0" t="s">
        <v>130</v>
      </c>
      <c r="BU254" s="0" t="s">
        <v>130</v>
      </c>
      <c r="BV254" s="0" t="s">
        <v>130</v>
      </c>
      <c r="BW254" s="0" t="s">
        <v>130</v>
      </c>
      <c r="BX254" s="0" t="s">
        <v>141</v>
      </c>
      <c r="BY254" s="0" t="s">
        <v>130</v>
      </c>
      <c r="BZ254" s="0" t="s">
        <v>130</v>
      </c>
      <c r="CA254" s="0" t="s">
        <v>130</v>
      </c>
      <c r="CB254" s="0" t="s">
        <v>130</v>
      </c>
      <c r="CC254" s="0" t="s">
        <v>130</v>
      </c>
      <c r="CD254" s="0" t="s">
        <v>130</v>
      </c>
      <c r="CE254" s="0" t="s">
        <v>130</v>
      </c>
      <c r="CF254" s="0" t="s">
        <v>130</v>
      </c>
      <c r="CG254" s="0" t="s">
        <v>130</v>
      </c>
      <c r="CH254" s="0" t="s">
        <v>130</v>
      </c>
      <c r="CI254" s="0" t="s">
        <v>130</v>
      </c>
      <c r="CJ254" s="0" t="s">
        <v>130</v>
      </c>
      <c r="CK254" s="0" t="s">
        <v>130</v>
      </c>
      <c r="CL254" s="0" t="s">
        <v>130</v>
      </c>
      <c r="CM254" s="0" t="s">
        <v>130</v>
      </c>
      <c r="CN254" s="0" t="s">
        <v>130</v>
      </c>
      <c r="CO254" s="0" t="s">
        <v>130</v>
      </c>
      <c r="CP254" s="0" t="s">
        <v>130</v>
      </c>
      <c r="CQ254" s="0" t="s">
        <v>130</v>
      </c>
      <c r="CR254" s="0" t="s">
        <v>130</v>
      </c>
      <c r="CS254" s="0" t="s">
        <v>130</v>
      </c>
      <c r="CT254" s="0" t="s">
        <v>1007</v>
      </c>
    </row>
    <row r="255">
      <c r="A255" s="14">
        <v>112647</v>
      </c>
      <c r="B255" s="0" t="s">
        <v>996</v>
      </c>
      <c r="C255" s="16">
        <f>HYPERLINK("https://eosportal.federatedhermes.com/companies/Q29tcGFueQppNTIwMTk=", "Origin Energy Ltd")</f>
      </c>
      <c r="D255" s="0" t="s">
        <v>25</v>
      </c>
      <c r="E255" s="0" t="s">
        <v>1008</v>
      </c>
      <c r="F255" s="16">
        <f>HYPERLINK("https://eosportal.federatedhermes.com/engagements/RW5nYWdlbWVudAppMTk0OTA=", "Regnan Engagement Activity on Executive remuneration")</f>
      </c>
      <c r="G255" s="14" t="s">
        <v>1008</v>
      </c>
      <c r="H255" s="0" t="s">
        <v>141</v>
      </c>
      <c r="I255" s="14" t="s">
        <v>636</v>
      </c>
      <c r="J255" s="0" t="s">
        <v>145</v>
      </c>
      <c r="K255" s="0" t="s">
        <v>146</v>
      </c>
      <c r="L255" s="0" t="s">
        <v>147</v>
      </c>
      <c r="M255" s="0" t="s">
        <v>371</v>
      </c>
      <c r="N255" s="0" t="s">
        <v>372</v>
      </c>
      <c r="O255" s="0" t="s">
        <v>192</v>
      </c>
      <c r="Q255" s="0" t="s">
        <v>130</v>
      </c>
      <c r="R255" s="0" t="s">
        <v>138</v>
      </c>
      <c r="S255" s="14">
        <v>0</v>
      </c>
      <c r="T255" s="0" t="s">
        <v>380</v>
      </c>
      <c r="U255" s="0" t="s">
        <v>138</v>
      </c>
      <c r="V255" s="14" t="s">
        <v>138</v>
      </c>
      <c r="W255" s="0" t="s">
        <v>138</v>
      </c>
      <c r="X255" s="14" t="s">
        <v>138</v>
      </c>
      <c r="Y255" s="0" t="s">
        <v>138</v>
      </c>
      <c r="Z255" s="14" t="s">
        <v>138</v>
      </c>
      <c r="AA255" s="0" t="s">
        <v>138</v>
      </c>
      <c r="AB255" s="14" t="s">
        <v>138</v>
      </c>
      <c r="AD255" s="0" t="s">
        <v>138</v>
      </c>
      <c r="AF255" s="0">
        <v>0</v>
      </c>
      <c r="AG255" s="0">
        <v>0</v>
      </c>
      <c r="AH255" s="0" t="s">
        <v>140</v>
      </c>
      <c r="AI255" s="0" t="s">
        <v>138</v>
      </c>
      <c r="AL255" s="14"/>
      <c r="AN255" s="14"/>
      <c r="AQ255" s="0" t="s">
        <v>130</v>
      </c>
      <c r="AR255" s="0" t="s">
        <v>130</v>
      </c>
      <c r="AS255" s="0" t="s">
        <v>130</v>
      </c>
      <c r="AT255" s="0" t="s">
        <v>130</v>
      </c>
      <c r="AU255" s="0" t="s">
        <v>130</v>
      </c>
      <c r="AV255" s="0" t="s">
        <v>130</v>
      </c>
      <c r="AW255" s="0" t="s">
        <v>130</v>
      </c>
      <c r="AX255" s="0" t="s">
        <v>130</v>
      </c>
      <c r="AY255" s="0" t="s">
        <v>130</v>
      </c>
      <c r="AZ255" s="0" t="s">
        <v>130</v>
      </c>
      <c r="BA255" s="0" t="s">
        <v>130</v>
      </c>
      <c r="BB255" s="0" t="s">
        <v>130</v>
      </c>
      <c r="BC255" s="0" t="s">
        <v>130</v>
      </c>
      <c r="BD255" s="0" t="s">
        <v>130</v>
      </c>
      <c r="BE255" s="0" t="s">
        <v>130</v>
      </c>
      <c r="BF255" s="0" t="s">
        <v>130</v>
      </c>
      <c r="BG255" s="0" t="s">
        <v>130</v>
      </c>
      <c r="BH255" s="0" t="s">
        <v>130</v>
      </c>
      <c r="BI255" s="0" t="s">
        <v>130</v>
      </c>
      <c r="BJ255" s="0" t="s">
        <v>130</v>
      </c>
      <c r="BK255" s="0" t="s">
        <v>130</v>
      </c>
      <c r="BL255" s="0" t="s">
        <v>130</v>
      </c>
      <c r="BM255" s="0" t="s">
        <v>130</v>
      </c>
      <c r="BN255" s="0" t="s">
        <v>130</v>
      </c>
      <c r="BO255" s="0" t="s">
        <v>130</v>
      </c>
      <c r="BP255" s="0" t="s">
        <v>130</v>
      </c>
      <c r="BQ255" s="0" t="s">
        <v>130</v>
      </c>
      <c r="BR255" s="0" t="s">
        <v>130</v>
      </c>
      <c r="BS255" s="0" t="s">
        <v>130</v>
      </c>
      <c r="BT255" s="0" t="s">
        <v>130</v>
      </c>
      <c r="BU255" s="0" t="s">
        <v>130</v>
      </c>
      <c r="BV255" s="0" t="s">
        <v>130</v>
      </c>
      <c r="BW255" s="0" t="s">
        <v>130</v>
      </c>
      <c r="BX255" s="0" t="s">
        <v>130</v>
      </c>
      <c r="BY255" s="0" t="s">
        <v>130</v>
      </c>
      <c r="BZ255" s="0" t="s">
        <v>130</v>
      </c>
      <c r="CA255" s="0" t="s">
        <v>130</v>
      </c>
      <c r="CB255" s="0" t="s">
        <v>130</v>
      </c>
      <c r="CC255" s="0" t="s">
        <v>130</v>
      </c>
      <c r="CD255" s="0" t="s">
        <v>130</v>
      </c>
      <c r="CE255" s="0" t="s">
        <v>130</v>
      </c>
      <c r="CF255" s="0" t="s">
        <v>130</v>
      </c>
      <c r="CG255" s="0" t="s">
        <v>130</v>
      </c>
      <c r="CH255" s="0" t="s">
        <v>130</v>
      </c>
      <c r="CI255" s="0" t="s">
        <v>130</v>
      </c>
      <c r="CJ255" s="0" t="s">
        <v>130</v>
      </c>
      <c r="CK255" s="0" t="s">
        <v>130</v>
      </c>
      <c r="CL255" s="0" t="s">
        <v>130</v>
      </c>
      <c r="CM255" s="0" t="s">
        <v>130</v>
      </c>
      <c r="CN255" s="0" t="s">
        <v>130</v>
      </c>
      <c r="CO255" s="0" t="s">
        <v>130</v>
      </c>
      <c r="CP255" s="0" t="s">
        <v>130</v>
      </c>
      <c r="CQ255" s="0" t="s">
        <v>130</v>
      </c>
      <c r="CR255" s="0" t="s">
        <v>130</v>
      </c>
      <c r="CS255" s="0" t="s">
        <v>130</v>
      </c>
      <c r="CT255" s="0" t="s">
        <v>1009</v>
      </c>
    </row>
    <row r="256">
      <c r="A256" s="14">
        <v>112647</v>
      </c>
      <c r="B256" s="0" t="s">
        <v>996</v>
      </c>
      <c r="C256" s="16">
        <f>HYPERLINK("https://eosportal.federatedhermes.com/companies/Q29tcGFueQppNTIwMTk=", "Origin Energy Ltd")</f>
      </c>
      <c r="D256" s="0" t="s">
        <v>25</v>
      </c>
      <c r="E256" s="0" t="s">
        <v>1010</v>
      </c>
      <c r="F256" s="16">
        <f>HYPERLINK("https://eosportal.federatedhermes.com/engagements/RW5nYWdlbWVudAppMTk0OTE=", "Regnan engagement activity on board structure")</f>
      </c>
      <c r="G256" s="14" t="s">
        <v>999</v>
      </c>
      <c r="H256" s="0" t="s">
        <v>141</v>
      </c>
      <c r="I256" s="14" t="s">
        <v>636</v>
      </c>
      <c r="J256" s="0" t="s">
        <v>145</v>
      </c>
      <c r="K256" s="0" t="s">
        <v>164</v>
      </c>
      <c r="L256" s="0" t="s">
        <v>165</v>
      </c>
      <c r="M256" s="0" t="s">
        <v>371</v>
      </c>
      <c r="N256" s="0" t="s">
        <v>372</v>
      </c>
      <c r="O256" s="0" t="s">
        <v>192</v>
      </c>
      <c r="Q256" s="0" t="s">
        <v>130</v>
      </c>
      <c r="R256" s="0" t="s">
        <v>138</v>
      </c>
      <c r="S256" s="14">
        <v>0</v>
      </c>
      <c r="T256" s="0" t="s">
        <v>1011</v>
      </c>
      <c r="U256" s="0" t="s">
        <v>138</v>
      </c>
      <c r="V256" s="14" t="s">
        <v>138</v>
      </c>
      <c r="W256" s="0" t="s">
        <v>138</v>
      </c>
      <c r="X256" s="14" t="s">
        <v>138</v>
      </c>
      <c r="Y256" s="0" t="s">
        <v>138</v>
      </c>
      <c r="Z256" s="14" t="s">
        <v>138</v>
      </c>
      <c r="AA256" s="0" t="s">
        <v>138</v>
      </c>
      <c r="AB256" s="14" t="s">
        <v>138</v>
      </c>
      <c r="AD256" s="0" t="s">
        <v>138</v>
      </c>
      <c r="AF256" s="0">
        <v>0</v>
      </c>
      <c r="AG256" s="0">
        <v>0</v>
      </c>
      <c r="AH256" s="0" t="s">
        <v>140</v>
      </c>
      <c r="AI256" s="0" t="s">
        <v>138</v>
      </c>
      <c r="AL256" s="14"/>
      <c r="AN256" s="14"/>
      <c r="AQ256" s="0" t="s">
        <v>130</v>
      </c>
      <c r="AR256" s="0" t="s">
        <v>130</v>
      </c>
      <c r="AS256" s="0" t="s">
        <v>130</v>
      </c>
      <c r="AT256" s="0" t="s">
        <v>130</v>
      </c>
      <c r="AU256" s="0" t="s">
        <v>130</v>
      </c>
      <c r="AV256" s="0" t="s">
        <v>130</v>
      </c>
      <c r="AW256" s="0" t="s">
        <v>130</v>
      </c>
      <c r="AX256" s="0" t="s">
        <v>130</v>
      </c>
      <c r="AY256" s="0" t="s">
        <v>130</v>
      </c>
      <c r="AZ256" s="0" t="s">
        <v>130</v>
      </c>
      <c r="BA256" s="0" t="s">
        <v>130</v>
      </c>
      <c r="BB256" s="0" t="s">
        <v>130</v>
      </c>
      <c r="BC256" s="0" t="s">
        <v>130</v>
      </c>
      <c r="BD256" s="0" t="s">
        <v>130</v>
      </c>
      <c r="BE256" s="0" t="s">
        <v>130</v>
      </c>
      <c r="BF256" s="0" t="s">
        <v>130</v>
      </c>
      <c r="BG256" s="0" t="s">
        <v>130</v>
      </c>
      <c r="BH256" s="0" t="s">
        <v>130</v>
      </c>
      <c r="BI256" s="0" t="s">
        <v>130</v>
      </c>
      <c r="BJ256" s="0" t="s">
        <v>130</v>
      </c>
      <c r="BK256" s="0" t="s">
        <v>130</v>
      </c>
      <c r="BL256" s="0" t="s">
        <v>130</v>
      </c>
      <c r="BM256" s="0" t="s">
        <v>130</v>
      </c>
      <c r="BN256" s="0" t="s">
        <v>130</v>
      </c>
      <c r="BO256" s="0" t="s">
        <v>130</v>
      </c>
      <c r="BP256" s="0" t="s">
        <v>130</v>
      </c>
      <c r="BQ256" s="0" t="s">
        <v>130</v>
      </c>
      <c r="BR256" s="0" t="s">
        <v>130</v>
      </c>
      <c r="BS256" s="0" t="s">
        <v>130</v>
      </c>
      <c r="BT256" s="0" t="s">
        <v>130</v>
      </c>
      <c r="BU256" s="0" t="s">
        <v>130</v>
      </c>
      <c r="BV256" s="0" t="s">
        <v>130</v>
      </c>
      <c r="BW256" s="0" t="s">
        <v>130</v>
      </c>
      <c r="BX256" s="0" t="s">
        <v>130</v>
      </c>
      <c r="BY256" s="0" t="s">
        <v>130</v>
      </c>
      <c r="BZ256" s="0" t="s">
        <v>130</v>
      </c>
      <c r="CA256" s="0" t="s">
        <v>130</v>
      </c>
      <c r="CB256" s="0" t="s">
        <v>130</v>
      </c>
      <c r="CC256" s="0" t="s">
        <v>130</v>
      </c>
      <c r="CD256" s="0" t="s">
        <v>130</v>
      </c>
      <c r="CE256" s="0" t="s">
        <v>130</v>
      </c>
      <c r="CF256" s="0" t="s">
        <v>130</v>
      </c>
      <c r="CG256" s="0" t="s">
        <v>130</v>
      </c>
      <c r="CH256" s="0" t="s">
        <v>130</v>
      </c>
      <c r="CI256" s="0" t="s">
        <v>130</v>
      </c>
      <c r="CJ256" s="0" t="s">
        <v>130</v>
      </c>
      <c r="CK256" s="0" t="s">
        <v>130</v>
      </c>
      <c r="CL256" s="0" t="s">
        <v>130</v>
      </c>
      <c r="CM256" s="0" t="s">
        <v>130</v>
      </c>
      <c r="CN256" s="0" t="s">
        <v>130</v>
      </c>
      <c r="CO256" s="0" t="s">
        <v>130</v>
      </c>
      <c r="CP256" s="0" t="s">
        <v>130</v>
      </c>
      <c r="CQ256" s="0" t="s">
        <v>130</v>
      </c>
      <c r="CR256" s="0" t="s">
        <v>130</v>
      </c>
      <c r="CS256" s="0" t="s">
        <v>130</v>
      </c>
      <c r="CT256" s="0" t="s">
        <v>1012</v>
      </c>
    </row>
    <row r="257">
      <c r="A257" s="14">
        <v>112647</v>
      </c>
      <c r="B257" s="0" t="s">
        <v>996</v>
      </c>
      <c r="C257" s="16">
        <f>HYPERLINK("https://eosportal.federatedhermes.com/companies/Q29tcGFueQppNTIwMTk=", "Origin Energy Ltd")</f>
      </c>
      <c r="D257" s="0" t="s">
        <v>25</v>
      </c>
      <c r="E257" s="0" t="s">
        <v>1013</v>
      </c>
      <c r="F257" s="16">
        <f>HYPERLINK("https://eosportal.federatedhermes.com/engagements/RW5nYWdlbWVudAppMTk0OTI=", "Regnan Engagement Activity on waste")</f>
      </c>
      <c r="G257" s="14" t="s">
        <v>999</v>
      </c>
      <c r="H257" s="0" t="s">
        <v>141</v>
      </c>
      <c r="I257" s="14" t="s">
        <v>636</v>
      </c>
      <c r="J257" s="0" t="s">
        <v>132</v>
      </c>
      <c r="K257" s="0" t="s">
        <v>133</v>
      </c>
      <c r="L257" s="0" t="s">
        <v>160</v>
      </c>
      <c r="M257" s="0" t="s">
        <v>371</v>
      </c>
      <c r="N257" s="0" t="s">
        <v>372</v>
      </c>
      <c r="O257" s="0" t="s">
        <v>192</v>
      </c>
      <c r="Q257" s="0" t="s">
        <v>130</v>
      </c>
      <c r="R257" s="0" t="s">
        <v>138</v>
      </c>
      <c r="S257" s="14">
        <v>0</v>
      </c>
      <c r="T257" s="0" t="s">
        <v>804</v>
      </c>
      <c r="U257" s="0" t="s">
        <v>138</v>
      </c>
      <c r="V257" s="14" t="s">
        <v>138</v>
      </c>
      <c r="W257" s="0" t="s">
        <v>138</v>
      </c>
      <c r="X257" s="14" t="s">
        <v>138</v>
      </c>
      <c r="Y257" s="0" t="s">
        <v>138</v>
      </c>
      <c r="Z257" s="14" t="s">
        <v>138</v>
      </c>
      <c r="AA257" s="0" t="s">
        <v>138</v>
      </c>
      <c r="AB257" s="14" t="s">
        <v>138</v>
      </c>
      <c r="AD257" s="0" t="s">
        <v>138</v>
      </c>
      <c r="AF257" s="0">
        <v>0</v>
      </c>
      <c r="AG257" s="0">
        <v>0</v>
      </c>
      <c r="AH257" s="0" t="s">
        <v>140</v>
      </c>
      <c r="AI257" s="0" t="s">
        <v>138</v>
      </c>
      <c r="AL257" s="14"/>
      <c r="AN257" s="14"/>
      <c r="AQ257" s="0" t="s">
        <v>130</v>
      </c>
      <c r="AR257" s="0" t="s">
        <v>130</v>
      </c>
      <c r="AS257" s="0" t="s">
        <v>130</v>
      </c>
      <c r="AT257" s="0" t="s">
        <v>130</v>
      </c>
      <c r="AU257" s="0" t="s">
        <v>130</v>
      </c>
      <c r="AV257" s="0" t="s">
        <v>130</v>
      </c>
      <c r="AW257" s="0" t="s">
        <v>130</v>
      </c>
      <c r="AX257" s="0" t="s">
        <v>130</v>
      </c>
      <c r="AY257" s="0" t="s">
        <v>130</v>
      </c>
      <c r="AZ257" s="0" t="s">
        <v>130</v>
      </c>
      <c r="BA257" s="0" t="s">
        <v>130</v>
      </c>
      <c r="BB257" s="0" t="s">
        <v>130</v>
      </c>
      <c r="BC257" s="0" t="s">
        <v>130</v>
      </c>
      <c r="BD257" s="0" t="s">
        <v>130</v>
      </c>
      <c r="BE257" s="0" t="s">
        <v>130</v>
      </c>
      <c r="BF257" s="0" t="s">
        <v>130</v>
      </c>
      <c r="BG257" s="0" t="s">
        <v>130</v>
      </c>
      <c r="BH257" s="0" t="s">
        <v>130</v>
      </c>
      <c r="BI257" s="0" t="s">
        <v>130</v>
      </c>
      <c r="BJ257" s="0" t="s">
        <v>130</v>
      </c>
      <c r="BK257" s="0" t="s">
        <v>130</v>
      </c>
      <c r="BL257" s="0" t="s">
        <v>130</v>
      </c>
      <c r="BM257" s="0" t="s">
        <v>130</v>
      </c>
      <c r="BN257" s="0" t="s">
        <v>130</v>
      </c>
      <c r="BO257" s="0" t="s">
        <v>130</v>
      </c>
      <c r="BP257" s="0" t="s">
        <v>130</v>
      </c>
      <c r="BQ257" s="0" t="s">
        <v>130</v>
      </c>
      <c r="BR257" s="0" t="s">
        <v>130</v>
      </c>
      <c r="BS257" s="0" t="s">
        <v>130</v>
      </c>
      <c r="BT257" s="0" t="s">
        <v>130</v>
      </c>
      <c r="BU257" s="0" t="s">
        <v>130</v>
      </c>
      <c r="BV257" s="0" t="s">
        <v>130</v>
      </c>
      <c r="BW257" s="0" t="s">
        <v>130</v>
      </c>
      <c r="BX257" s="0" t="s">
        <v>130</v>
      </c>
      <c r="BY257" s="0" t="s">
        <v>130</v>
      </c>
      <c r="BZ257" s="0" t="s">
        <v>130</v>
      </c>
      <c r="CA257" s="0" t="s">
        <v>130</v>
      </c>
      <c r="CB257" s="0" t="s">
        <v>130</v>
      </c>
      <c r="CC257" s="0" t="s">
        <v>130</v>
      </c>
      <c r="CD257" s="0" t="s">
        <v>130</v>
      </c>
      <c r="CE257" s="0" t="s">
        <v>130</v>
      </c>
      <c r="CF257" s="0" t="s">
        <v>130</v>
      </c>
      <c r="CG257" s="0" t="s">
        <v>130</v>
      </c>
      <c r="CH257" s="0" t="s">
        <v>130</v>
      </c>
      <c r="CI257" s="0" t="s">
        <v>130</v>
      </c>
      <c r="CJ257" s="0" t="s">
        <v>130</v>
      </c>
      <c r="CK257" s="0" t="s">
        <v>130</v>
      </c>
      <c r="CL257" s="0" t="s">
        <v>130</v>
      </c>
      <c r="CM257" s="0" t="s">
        <v>130</v>
      </c>
      <c r="CN257" s="0" t="s">
        <v>130</v>
      </c>
      <c r="CO257" s="0" t="s">
        <v>130</v>
      </c>
      <c r="CP257" s="0" t="s">
        <v>130</v>
      </c>
      <c r="CQ257" s="0" t="s">
        <v>130</v>
      </c>
      <c r="CR257" s="0" t="s">
        <v>130</v>
      </c>
      <c r="CS257" s="0" t="s">
        <v>130</v>
      </c>
      <c r="CT257" s="0" t="s">
        <v>1014</v>
      </c>
    </row>
    <row r="258">
      <c r="A258" s="14">
        <v>112647</v>
      </c>
      <c r="B258" s="0" t="s">
        <v>996</v>
      </c>
      <c r="C258" s="16">
        <f>HYPERLINK("https://eosportal.federatedhermes.com/companies/Q29tcGFueQppNTIwMTk=", "Origin Energy Ltd")</f>
      </c>
      <c r="D258" s="0" t="s">
        <v>25</v>
      </c>
      <c r="E258" s="0" t="s">
        <v>1015</v>
      </c>
      <c r="F258" s="16">
        <f>HYPERLINK("https://eosportal.federatedhermes.com/engagements/RW5nYWdlbWVudAppMTk0OTM=", "Regnan Engagement Activity on Human capital management")</f>
      </c>
      <c r="G258" s="14" t="s">
        <v>1015</v>
      </c>
      <c r="H258" s="0" t="s">
        <v>141</v>
      </c>
      <c r="I258" s="14" t="s">
        <v>636</v>
      </c>
      <c r="J258" s="0" t="s">
        <v>132</v>
      </c>
      <c r="K258" s="0" t="s">
        <v>133</v>
      </c>
      <c r="L258" s="0" t="s">
        <v>160</v>
      </c>
      <c r="M258" s="0" t="s">
        <v>371</v>
      </c>
      <c r="N258" s="0" t="s">
        <v>372</v>
      </c>
      <c r="O258" s="0" t="s">
        <v>192</v>
      </c>
      <c r="Q258" s="0" t="s">
        <v>130</v>
      </c>
      <c r="R258" s="0" t="s">
        <v>138</v>
      </c>
      <c r="S258" s="14">
        <v>0</v>
      </c>
      <c r="T258" s="0" t="s">
        <v>710</v>
      </c>
      <c r="U258" s="0" t="s">
        <v>138</v>
      </c>
      <c r="V258" s="14" t="s">
        <v>138</v>
      </c>
      <c r="W258" s="0" t="s">
        <v>138</v>
      </c>
      <c r="X258" s="14" t="s">
        <v>138</v>
      </c>
      <c r="Y258" s="0" t="s">
        <v>138</v>
      </c>
      <c r="Z258" s="14" t="s">
        <v>138</v>
      </c>
      <c r="AA258" s="0" t="s">
        <v>138</v>
      </c>
      <c r="AB258" s="14" t="s">
        <v>138</v>
      </c>
      <c r="AD258" s="0" t="s">
        <v>138</v>
      </c>
      <c r="AF258" s="0">
        <v>0</v>
      </c>
      <c r="AG258" s="0">
        <v>0</v>
      </c>
      <c r="AH258" s="0" t="s">
        <v>140</v>
      </c>
      <c r="AI258" s="0" t="s">
        <v>138</v>
      </c>
      <c r="AL258" s="14"/>
      <c r="AN258" s="14"/>
      <c r="AQ258" s="0" t="s">
        <v>130</v>
      </c>
      <c r="AR258" s="0" t="s">
        <v>130</v>
      </c>
      <c r="AS258" s="0" t="s">
        <v>130</v>
      </c>
      <c r="AT258" s="0" t="s">
        <v>130</v>
      </c>
      <c r="AU258" s="0" t="s">
        <v>130</v>
      </c>
      <c r="AV258" s="0" t="s">
        <v>130</v>
      </c>
      <c r="AW258" s="0" t="s">
        <v>130</v>
      </c>
      <c r="AX258" s="0" t="s">
        <v>130</v>
      </c>
      <c r="AY258" s="0" t="s">
        <v>130</v>
      </c>
      <c r="AZ258" s="0" t="s">
        <v>130</v>
      </c>
      <c r="BA258" s="0" t="s">
        <v>130</v>
      </c>
      <c r="BB258" s="0" t="s">
        <v>130</v>
      </c>
      <c r="BC258" s="0" t="s">
        <v>130</v>
      </c>
      <c r="BD258" s="0" t="s">
        <v>130</v>
      </c>
      <c r="BE258" s="0" t="s">
        <v>130</v>
      </c>
      <c r="BF258" s="0" t="s">
        <v>130</v>
      </c>
      <c r="BG258" s="0" t="s">
        <v>130</v>
      </c>
      <c r="BH258" s="0" t="s">
        <v>130</v>
      </c>
      <c r="BI258" s="0" t="s">
        <v>130</v>
      </c>
      <c r="BJ258" s="0" t="s">
        <v>130</v>
      </c>
      <c r="BK258" s="0" t="s">
        <v>130</v>
      </c>
      <c r="BL258" s="0" t="s">
        <v>130</v>
      </c>
      <c r="BM258" s="0" t="s">
        <v>130</v>
      </c>
      <c r="BN258" s="0" t="s">
        <v>130</v>
      </c>
      <c r="BO258" s="0" t="s">
        <v>130</v>
      </c>
      <c r="BP258" s="0" t="s">
        <v>130</v>
      </c>
      <c r="BQ258" s="0" t="s">
        <v>130</v>
      </c>
      <c r="BR258" s="0" t="s">
        <v>130</v>
      </c>
      <c r="BS258" s="0" t="s">
        <v>130</v>
      </c>
      <c r="BT258" s="0" t="s">
        <v>130</v>
      </c>
      <c r="BU258" s="0" t="s">
        <v>130</v>
      </c>
      <c r="BV258" s="0" t="s">
        <v>130</v>
      </c>
      <c r="BW258" s="0" t="s">
        <v>130</v>
      </c>
      <c r="BX258" s="0" t="s">
        <v>130</v>
      </c>
      <c r="BY258" s="0" t="s">
        <v>130</v>
      </c>
      <c r="BZ258" s="0" t="s">
        <v>130</v>
      </c>
      <c r="CA258" s="0" t="s">
        <v>130</v>
      </c>
      <c r="CB258" s="0" t="s">
        <v>130</v>
      </c>
      <c r="CC258" s="0" t="s">
        <v>130</v>
      </c>
      <c r="CD258" s="0" t="s">
        <v>130</v>
      </c>
      <c r="CE258" s="0" t="s">
        <v>130</v>
      </c>
      <c r="CF258" s="0" t="s">
        <v>130</v>
      </c>
      <c r="CG258" s="0" t="s">
        <v>130</v>
      </c>
      <c r="CH258" s="0" t="s">
        <v>130</v>
      </c>
      <c r="CI258" s="0" t="s">
        <v>130</v>
      </c>
      <c r="CJ258" s="0" t="s">
        <v>130</v>
      </c>
      <c r="CK258" s="0" t="s">
        <v>130</v>
      </c>
      <c r="CL258" s="0" t="s">
        <v>130</v>
      </c>
      <c r="CM258" s="0" t="s">
        <v>130</v>
      </c>
      <c r="CN258" s="0" t="s">
        <v>130</v>
      </c>
      <c r="CO258" s="0" t="s">
        <v>130</v>
      </c>
      <c r="CP258" s="0" t="s">
        <v>130</v>
      </c>
      <c r="CQ258" s="0" t="s">
        <v>130</v>
      </c>
      <c r="CR258" s="0" t="s">
        <v>130</v>
      </c>
      <c r="CS258" s="0" t="s">
        <v>130</v>
      </c>
      <c r="CT258" s="0" t="s">
        <v>1016</v>
      </c>
    </row>
    <row r="259">
      <c r="A259" s="14">
        <v>112647</v>
      </c>
      <c r="B259" s="0" t="s">
        <v>996</v>
      </c>
      <c r="C259" s="16">
        <f>HYPERLINK("https://eosportal.federatedhermes.com/companies/Q29tcGFueQppNTIwMTk=", "Origin Energy Ltd")</f>
      </c>
      <c r="D259" s="0" t="s">
        <v>25</v>
      </c>
      <c r="E259" s="0" t="s">
        <v>1017</v>
      </c>
      <c r="F259" s="16">
        <f>HYPERLINK("https://eosportal.federatedhermes.com/engagements/RW5nYWdlbWVudAppMTk0OTQ=", "Regnan Engagement Activity on ESG disclosure")</f>
      </c>
      <c r="G259" s="14" t="s">
        <v>999</v>
      </c>
      <c r="H259" s="0" t="s">
        <v>141</v>
      </c>
      <c r="I259" s="14" t="s">
        <v>636</v>
      </c>
      <c r="J259" s="0" t="s">
        <v>132</v>
      </c>
      <c r="K259" s="0" t="s">
        <v>170</v>
      </c>
      <c r="L259" s="0" t="s">
        <v>171</v>
      </c>
      <c r="M259" s="0" t="s">
        <v>371</v>
      </c>
      <c r="N259" s="0" t="s">
        <v>372</v>
      </c>
      <c r="O259" s="0" t="s">
        <v>192</v>
      </c>
      <c r="Q259" s="0" t="s">
        <v>130</v>
      </c>
      <c r="R259" s="0" t="s">
        <v>138</v>
      </c>
      <c r="S259" s="14">
        <v>0</v>
      </c>
      <c r="T259" s="0" t="s">
        <v>804</v>
      </c>
      <c r="U259" s="0" t="s">
        <v>138</v>
      </c>
      <c r="V259" s="14" t="s">
        <v>138</v>
      </c>
      <c r="W259" s="0" t="s">
        <v>138</v>
      </c>
      <c r="X259" s="14" t="s">
        <v>138</v>
      </c>
      <c r="Y259" s="0" t="s">
        <v>138</v>
      </c>
      <c r="Z259" s="14" t="s">
        <v>138</v>
      </c>
      <c r="AA259" s="0" t="s">
        <v>138</v>
      </c>
      <c r="AB259" s="14" t="s">
        <v>138</v>
      </c>
      <c r="AD259" s="0" t="s">
        <v>138</v>
      </c>
      <c r="AF259" s="0">
        <v>0</v>
      </c>
      <c r="AG259" s="0">
        <v>0</v>
      </c>
      <c r="AH259" s="0" t="s">
        <v>140</v>
      </c>
      <c r="AI259" s="0" t="s">
        <v>138</v>
      </c>
      <c r="AL259" s="14"/>
      <c r="AN259" s="14"/>
      <c r="AQ259" s="0" t="s">
        <v>130</v>
      </c>
      <c r="AR259" s="0" t="s">
        <v>130</v>
      </c>
      <c r="AS259" s="0" t="s">
        <v>130</v>
      </c>
      <c r="AT259" s="0" t="s">
        <v>130</v>
      </c>
      <c r="AU259" s="0" t="s">
        <v>130</v>
      </c>
      <c r="AV259" s="0" t="s">
        <v>130</v>
      </c>
      <c r="AW259" s="0" t="s">
        <v>130</v>
      </c>
      <c r="AX259" s="0" t="s">
        <v>130</v>
      </c>
      <c r="AY259" s="0" t="s">
        <v>130</v>
      </c>
      <c r="AZ259" s="0" t="s">
        <v>130</v>
      </c>
      <c r="BA259" s="0" t="s">
        <v>130</v>
      </c>
      <c r="BB259" s="0" t="s">
        <v>130</v>
      </c>
      <c r="BC259" s="0" t="s">
        <v>130</v>
      </c>
      <c r="BD259" s="0" t="s">
        <v>130</v>
      </c>
      <c r="BE259" s="0" t="s">
        <v>130</v>
      </c>
      <c r="BF259" s="0" t="s">
        <v>130</v>
      </c>
      <c r="BG259" s="0" t="s">
        <v>130</v>
      </c>
      <c r="BH259" s="0" t="s">
        <v>130</v>
      </c>
      <c r="BI259" s="0" t="s">
        <v>130</v>
      </c>
      <c r="BJ259" s="0" t="s">
        <v>130</v>
      </c>
      <c r="BK259" s="0" t="s">
        <v>130</v>
      </c>
      <c r="BL259" s="0" t="s">
        <v>130</v>
      </c>
      <c r="BM259" s="0" t="s">
        <v>130</v>
      </c>
      <c r="BN259" s="0" t="s">
        <v>130</v>
      </c>
      <c r="BO259" s="0" t="s">
        <v>130</v>
      </c>
      <c r="BP259" s="0" t="s">
        <v>130</v>
      </c>
      <c r="BQ259" s="0" t="s">
        <v>130</v>
      </c>
      <c r="BR259" s="0" t="s">
        <v>130</v>
      </c>
      <c r="BS259" s="0" t="s">
        <v>130</v>
      </c>
      <c r="BT259" s="0" t="s">
        <v>130</v>
      </c>
      <c r="BU259" s="0" t="s">
        <v>130</v>
      </c>
      <c r="BV259" s="0" t="s">
        <v>130</v>
      </c>
      <c r="BW259" s="0" t="s">
        <v>130</v>
      </c>
      <c r="BX259" s="0" t="s">
        <v>130</v>
      </c>
      <c r="BY259" s="0" t="s">
        <v>130</v>
      </c>
      <c r="BZ259" s="0" t="s">
        <v>130</v>
      </c>
      <c r="CA259" s="0" t="s">
        <v>130</v>
      </c>
      <c r="CB259" s="0" t="s">
        <v>130</v>
      </c>
      <c r="CC259" s="0" t="s">
        <v>130</v>
      </c>
      <c r="CD259" s="0" t="s">
        <v>130</v>
      </c>
      <c r="CE259" s="0" t="s">
        <v>130</v>
      </c>
      <c r="CF259" s="0" t="s">
        <v>130</v>
      </c>
      <c r="CG259" s="0" t="s">
        <v>130</v>
      </c>
      <c r="CH259" s="0" t="s">
        <v>130</v>
      </c>
      <c r="CI259" s="0" t="s">
        <v>130</v>
      </c>
      <c r="CJ259" s="0" t="s">
        <v>130</v>
      </c>
      <c r="CK259" s="0" t="s">
        <v>130</v>
      </c>
      <c r="CL259" s="0" t="s">
        <v>130</v>
      </c>
      <c r="CM259" s="0" t="s">
        <v>130</v>
      </c>
      <c r="CN259" s="0" t="s">
        <v>130</v>
      </c>
      <c r="CO259" s="0" t="s">
        <v>130</v>
      </c>
      <c r="CP259" s="0" t="s">
        <v>130</v>
      </c>
      <c r="CQ259" s="0" t="s">
        <v>130</v>
      </c>
      <c r="CR259" s="0" t="s">
        <v>130</v>
      </c>
      <c r="CS259" s="0" t="s">
        <v>130</v>
      </c>
      <c r="CT259" s="0" t="s">
        <v>1018</v>
      </c>
    </row>
    <row r="260">
      <c r="A260" s="14">
        <v>112647</v>
      </c>
      <c r="B260" s="0" t="s">
        <v>996</v>
      </c>
      <c r="C260" s="16">
        <f>HYPERLINK("https://eosportal.federatedhermes.com/companies/Q29tcGFueQppNTIwMTk=", "Origin Energy Ltd")</f>
      </c>
      <c r="D260" s="0" t="s">
        <v>25</v>
      </c>
      <c r="E260" s="0" t="s">
        <v>1019</v>
      </c>
      <c r="F260" s="16">
        <f>HYPERLINK("https://eosportal.federatedhermes.com/engagements/RW5nYWdlbWVudAppMTk0OTU=", "Regnan Engagement activity on Diversity")</f>
      </c>
      <c r="G260" s="14" t="s">
        <v>1002</v>
      </c>
      <c r="H260" s="0" t="s">
        <v>141</v>
      </c>
      <c r="I260" s="14" t="s">
        <v>636</v>
      </c>
      <c r="J260" s="0" t="s">
        <v>153</v>
      </c>
      <c r="K260" s="0" t="s">
        <v>154</v>
      </c>
      <c r="L260" s="0" t="s">
        <v>268</v>
      </c>
      <c r="M260" s="0" t="s">
        <v>371</v>
      </c>
      <c r="N260" s="0" t="s">
        <v>372</v>
      </c>
      <c r="O260" s="0" t="s">
        <v>192</v>
      </c>
      <c r="Q260" s="0" t="s">
        <v>130</v>
      </c>
      <c r="R260" s="0" t="s">
        <v>138</v>
      </c>
      <c r="S260" s="14">
        <v>0</v>
      </c>
      <c r="T260" s="0" t="s">
        <v>707</v>
      </c>
      <c r="U260" s="0" t="s">
        <v>138</v>
      </c>
      <c r="V260" s="14" t="s">
        <v>138</v>
      </c>
      <c r="W260" s="0" t="s">
        <v>138</v>
      </c>
      <c r="X260" s="14" t="s">
        <v>138</v>
      </c>
      <c r="Y260" s="0" t="s">
        <v>138</v>
      </c>
      <c r="Z260" s="14" t="s">
        <v>138</v>
      </c>
      <c r="AA260" s="0" t="s">
        <v>138</v>
      </c>
      <c r="AB260" s="14" t="s">
        <v>138</v>
      </c>
      <c r="AD260" s="0" t="s">
        <v>138</v>
      </c>
      <c r="AF260" s="0">
        <v>0</v>
      </c>
      <c r="AG260" s="0">
        <v>0</v>
      </c>
      <c r="AH260" s="0" t="s">
        <v>140</v>
      </c>
      <c r="AI260" s="0" t="s">
        <v>138</v>
      </c>
      <c r="AL260" s="14"/>
      <c r="AN260" s="14"/>
      <c r="AQ260" s="0" t="s">
        <v>130</v>
      </c>
      <c r="AR260" s="0" t="s">
        <v>130</v>
      </c>
      <c r="AS260" s="0" t="s">
        <v>130</v>
      </c>
      <c r="AT260" s="0" t="s">
        <v>130</v>
      </c>
      <c r="AU260" s="0" t="s">
        <v>130</v>
      </c>
      <c r="AV260" s="0" t="s">
        <v>130</v>
      </c>
      <c r="AW260" s="0" t="s">
        <v>130</v>
      </c>
      <c r="AX260" s="0" t="s">
        <v>130</v>
      </c>
      <c r="AY260" s="0" t="s">
        <v>130</v>
      </c>
      <c r="AZ260" s="0" t="s">
        <v>130</v>
      </c>
      <c r="BA260" s="0" t="s">
        <v>130</v>
      </c>
      <c r="BB260" s="0" t="s">
        <v>130</v>
      </c>
      <c r="BC260" s="0" t="s">
        <v>130</v>
      </c>
      <c r="BD260" s="0" t="s">
        <v>130</v>
      </c>
      <c r="BE260" s="0" t="s">
        <v>130</v>
      </c>
      <c r="BF260" s="0" t="s">
        <v>130</v>
      </c>
      <c r="BG260" s="0" t="s">
        <v>130</v>
      </c>
      <c r="BH260" s="0" t="s">
        <v>130</v>
      </c>
      <c r="BI260" s="0" t="s">
        <v>130</v>
      </c>
      <c r="BJ260" s="0" t="s">
        <v>130</v>
      </c>
      <c r="BK260" s="0" t="s">
        <v>130</v>
      </c>
      <c r="BL260" s="0" t="s">
        <v>130</v>
      </c>
      <c r="BM260" s="0" t="s">
        <v>130</v>
      </c>
      <c r="BN260" s="0" t="s">
        <v>130</v>
      </c>
      <c r="BO260" s="0" t="s">
        <v>130</v>
      </c>
      <c r="BP260" s="0" t="s">
        <v>130</v>
      </c>
      <c r="BQ260" s="0" t="s">
        <v>130</v>
      </c>
      <c r="BR260" s="0" t="s">
        <v>130</v>
      </c>
      <c r="BS260" s="0" t="s">
        <v>130</v>
      </c>
      <c r="BT260" s="0" t="s">
        <v>130</v>
      </c>
      <c r="BU260" s="0" t="s">
        <v>130</v>
      </c>
      <c r="BV260" s="0" t="s">
        <v>130</v>
      </c>
      <c r="BW260" s="0" t="s">
        <v>130</v>
      </c>
      <c r="BX260" s="0" t="s">
        <v>130</v>
      </c>
      <c r="BY260" s="0" t="s">
        <v>130</v>
      </c>
      <c r="BZ260" s="0" t="s">
        <v>130</v>
      </c>
      <c r="CA260" s="0" t="s">
        <v>130</v>
      </c>
      <c r="CB260" s="0" t="s">
        <v>130</v>
      </c>
      <c r="CC260" s="0" t="s">
        <v>130</v>
      </c>
      <c r="CD260" s="0" t="s">
        <v>130</v>
      </c>
      <c r="CE260" s="0" t="s">
        <v>130</v>
      </c>
      <c r="CF260" s="0" t="s">
        <v>130</v>
      </c>
      <c r="CG260" s="0" t="s">
        <v>130</v>
      </c>
      <c r="CH260" s="0" t="s">
        <v>130</v>
      </c>
      <c r="CI260" s="0" t="s">
        <v>130</v>
      </c>
      <c r="CJ260" s="0" t="s">
        <v>130</v>
      </c>
      <c r="CK260" s="0" t="s">
        <v>141</v>
      </c>
      <c r="CL260" s="0" t="s">
        <v>130</v>
      </c>
      <c r="CM260" s="0" t="s">
        <v>130</v>
      </c>
      <c r="CN260" s="0" t="s">
        <v>130</v>
      </c>
      <c r="CO260" s="0" t="s">
        <v>130</v>
      </c>
      <c r="CP260" s="0" t="s">
        <v>130</v>
      </c>
      <c r="CQ260" s="0" t="s">
        <v>130</v>
      </c>
      <c r="CR260" s="0" t="s">
        <v>130</v>
      </c>
      <c r="CS260" s="0" t="s">
        <v>130</v>
      </c>
      <c r="CT260" s="0" t="s">
        <v>1020</v>
      </c>
    </row>
    <row r="261">
      <c r="A261" s="14">
        <v>112647</v>
      </c>
      <c r="B261" s="0" t="s">
        <v>996</v>
      </c>
      <c r="C261" s="16">
        <f>HYPERLINK("https://eosportal.federatedhermes.com/companies/Q29tcGFueQppNTIwMTk=", "Origin Energy Ltd")</f>
      </c>
      <c r="D261" s="0" t="s">
        <v>25</v>
      </c>
      <c r="E261" s="0" t="s">
        <v>1021</v>
      </c>
      <c r="F261" s="16">
        <f>HYPERLINK("https://eosportal.federatedhermes.com/engagements/RW5nYWdlbWVudAppMTk0OTY=", "Coal Seam Gas projects")</f>
      </c>
      <c r="G261" s="14"/>
      <c r="H261" s="0" t="s">
        <v>141</v>
      </c>
      <c r="I261" s="14" t="s">
        <v>636</v>
      </c>
      <c r="J261" s="0" t="s">
        <v>197</v>
      </c>
      <c r="K261" s="0" t="s">
        <v>198</v>
      </c>
      <c r="L261" s="0" t="s">
        <v>216</v>
      </c>
      <c r="M261" s="0" t="s">
        <v>371</v>
      </c>
      <c r="N261" s="0" t="s">
        <v>372</v>
      </c>
      <c r="O261" s="0" t="s">
        <v>192</v>
      </c>
      <c r="Q261" s="0" t="s">
        <v>130</v>
      </c>
      <c r="R261" s="0" t="s">
        <v>138</v>
      </c>
      <c r="S261" s="14">
        <v>0</v>
      </c>
      <c r="T261" s="0" t="s">
        <v>293</v>
      </c>
      <c r="U261" s="0" t="s">
        <v>138</v>
      </c>
      <c r="V261" s="14" t="s">
        <v>138</v>
      </c>
      <c r="W261" s="0" t="s">
        <v>138</v>
      </c>
      <c r="X261" s="14" t="s">
        <v>138</v>
      </c>
      <c r="Y261" s="0" t="s">
        <v>138</v>
      </c>
      <c r="Z261" s="14" t="s">
        <v>138</v>
      </c>
      <c r="AA261" s="0" t="s">
        <v>138</v>
      </c>
      <c r="AB261" s="14" t="s">
        <v>138</v>
      </c>
      <c r="AD261" s="0" t="s">
        <v>138</v>
      </c>
      <c r="AF261" s="0">
        <v>0</v>
      </c>
      <c r="AG261" s="0">
        <v>0</v>
      </c>
      <c r="AH261" s="0" t="s">
        <v>140</v>
      </c>
      <c r="AI261" s="0" t="s">
        <v>138</v>
      </c>
      <c r="AL261" s="14"/>
      <c r="AN261" s="14"/>
      <c r="AQ261" s="0" t="s">
        <v>130</v>
      </c>
      <c r="AR261" s="0" t="s">
        <v>130</v>
      </c>
      <c r="AS261" s="0" t="s">
        <v>130</v>
      </c>
      <c r="AT261" s="0" t="s">
        <v>130</v>
      </c>
      <c r="AU261" s="0" t="s">
        <v>130</v>
      </c>
      <c r="AV261" s="0" t="s">
        <v>130</v>
      </c>
      <c r="AW261" s="0" t="s">
        <v>141</v>
      </c>
      <c r="AX261" s="0" t="s">
        <v>130</v>
      </c>
      <c r="AY261" s="0" t="s">
        <v>130</v>
      </c>
      <c r="AZ261" s="0" t="s">
        <v>130</v>
      </c>
      <c r="BA261" s="0" t="s">
        <v>130</v>
      </c>
      <c r="BB261" s="0" t="s">
        <v>141</v>
      </c>
      <c r="BC261" s="0" t="s">
        <v>141</v>
      </c>
      <c r="BD261" s="0" t="s">
        <v>130</v>
      </c>
      <c r="BE261" s="0" t="s">
        <v>130</v>
      </c>
      <c r="BF261" s="0" t="s">
        <v>130</v>
      </c>
      <c r="BG261" s="0" t="s">
        <v>130</v>
      </c>
      <c r="BH261" s="0" t="s">
        <v>141</v>
      </c>
      <c r="BI261" s="0" t="s">
        <v>141</v>
      </c>
      <c r="BJ261" s="0" t="s">
        <v>141</v>
      </c>
      <c r="BK261" s="0" t="s">
        <v>130</v>
      </c>
      <c r="BL261" s="0" t="s">
        <v>130</v>
      </c>
      <c r="BM261" s="0" t="s">
        <v>130</v>
      </c>
      <c r="BN261" s="0" t="s">
        <v>130</v>
      </c>
      <c r="BO261" s="0" t="s">
        <v>130</v>
      </c>
      <c r="BP261" s="0" t="s">
        <v>130</v>
      </c>
      <c r="BQ261" s="0" t="s">
        <v>130</v>
      </c>
      <c r="BR261" s="0" t="s">
        <v>130</v>
      </c>
      <c r="BS261" s="0" t="s">
        <v>130</v>
      </c>
      <c r="BT261" s="0" t="s">
        <v>130</v>
      </c>
      <c r="BU261" s="0" t="s">
        <v>130</v>
      </c>
      <c r="BV261" s="0" t="s">
        <v>141</v>
      </c>
      <c r="BW261" s="0" t="s">
        <v>141</v>
      </c>
      <c r="BX261" s="0" t="s">
        <v>130</v>
      </c>
      <c r="BY261" s="0" t="s">
        <v>130</v>
      </c>
      <c r="BZ261" s="0" t="s">
        <v>130</v>
      </c>
      <c r="CA261" s="0" t="s">
        <v>130</v>
      </c>
      <c r="CB261" s="0" t="s">
        <v>130</v>
      </c>
      <c r="CC261" s="0" t="s">
        <v>130</v>
      </c>
      <c r="CD261" s="0" t="s">
        <v>130</v>
      </c>
      <c r="CE261" s="0" t="s">
        <v>130</v>
      </c>
      <c r="CF261" s="0" t="s">
        <v>130</v>
      </c>
      <c r="CG261" s="0" t="s">
        <v>130</v>
      </c>
      <c r="CH261" s="0" t="s">
        <v>130</v>
      </c>
      <c r="CI261" s="0" t="s">
        <v>130</v>
      </c>
      <c r="CJ261" s="0" t="s">
        <v>130</v>
      </c>
      <c r="CK261" s="0" t="s">
        <v>130</v>
      </c>
      <c r="CL261" s="0" t="s">
        <v>130</v>
      </c>
      <c r="CM261" s="0" t="s">
        <v>130</v>
      </c>
      <c r="CN261" s="0" t="s">
        <v>130</v>
      </c>
      <c r="CO261" s="0" t="s">
        <v>130</v>
      </c>
      <c r="CP261" s="0" t="s">
        <v>130</v>
      </c>
      <c r="CQ261" s="0" t="s">
        <v>130</v>
      </c>
      <c r="CR261" s="0" t="s">
        <v>130</v>
      </c>
      <c r="CS261" s="0" t="s">
        <v>130</v>
      </c>
      <c r="CT261" s="0" t="s">
        <v>1022</v>
      </c>
    </row>
    <row r="262">
      <c r="A262" s="14">
        <v>112647</v>
      </c>
      <c r="B262" s="0" t="s">
        <v>996</v>
      </c>
      <c r="C262" s="16">
        <f>HYPERLINK("https://eosportal.federatedhermes.com/companies/Q29tcGFueQppNTIwMTk=", "Origin Energy Ltd")</f>
      </c>
      <c r="D262" s="0" t="s">
        <v>25</v>
      </c>
      <c r="E262" s="0" t="s">
        <v>1023</v>
      </c>
      <c r="F262" s="16">
        <f>HYPERLINK("https://eosportal.federatedhermes.com/engagements/RW5nYWdlbWVudAppMTk0OTc=", "Regnan engagement activity on unconventional gas")</f>
      </c>
      <c r="G262" s="14" t="s">
        <v>999</v>
      </c>
      <c r="H262" s="0" t="s">
        <v>141</v>
      </c>
      <c r="I262" s="14" t="s">
        <v>636</v>
      </c>
      <c r="J262" s="0" t="s">
        <v>132</v>
      </c>
      <c r="K262" s="0" t="s">
        <v>133</v>
      </c>
      <c r="L262" s="0" t="s">
        <v>160</v>
      </c>
      <c r="M262" s="0" t="s">
        <v>371</v>
      </c>
      <c r="N262" s="0" t="s">
        <v>372</v>
      </c>
      <c r="O262" s="0" t="s">
        <v>192</v>
      </c>
      <c r="Q262" s="0" t="s">
        <v>130</v>
      </c>
      <c r="R262" s="0" t="s">
        <v>138</v>
      </c>
      <c r="S262" s="14">
        <v>0</v>
      </c>
      <c r="T262" s="0" t="s">
        <v>1011</v>
      </c>
      <c r="U262" s="0" t="s">
        <v>138</v>
      </c>
      <c r="V262" s="14" t="s">
        <v>138</v>
      </c>
      <c r="W262" s="0" t="s">
        <v>138</v>
      </c>
      <c r="X262" s="14" t="s">
        <v>138</v>
      </c>
      <c r="Y262" s="0" t="s">
        <v>138</v>
      </c>
      <c r="Z262" s="14" t="s">
        <v>138</v>
      </c>
      <c r="AA262" s="0" t="s">
        <v>138</v>
      </c>
      <c r="AB262" s="14" t="s">
        <v>138</v>
      </c>
      <c r="AD262" s="0" t="s">
        <v>138</v>
      </c>
      <c r="AF262" s="0">
        <v>0</v>
      </c>
      <c r="AG262" s="0">
        <v>0</v>
      </c>
      <c r="AH262" s="0" t="s">
        <v>140</v>
      </c>
      <c r="AI262" s="0" t="s">
        <v>138</v>
      </c>
      <c r="AL262" s="14"/>
      <c r="AN262" s="14"/>
      <c r="AQ262" s="0" t="s">
        <v>130</v>
      </c>
      <c r="AR262" s="0" t="s">
        <v>130</v>
      </c>
      <c r="AS262" s="0" t="s">
        <v>130</v>
      </c>
      <c r="AT262" s="0" t="s">
        <v>130</v>
      </c>
      <c r="AU262" s="0" t="s">
        <v>130</v>
      </c>
      <c r="AV262" s="0" t="s">
        <v>130</v>
      </c>
      <c r="AW262" s="0" t="s">
        <v>130</v>
      </c>
      <c r="AX262" s="0" t="s">
        <v>130</v>
      </c>
      <c r="AY262" s="0" t="s">
        <v>130</v>
      </c>
      <c r="AZ262" s="0" t="s">
        <v>130</v>
      </c>
      <c r="BA262" s="0" t="s">
        <v>130</v>
      </c>
      <c r="BB262" s="0" t="s">
        <v>130</v>
      </c>
      <c r="BC262" s="0" t="s">
        <v>130</v>
      </c>
      <c r="BD262" s="0" t="s">
        <v>130</v>
      </c>
      <c r="BE262" s="0" t="s">
        <v>130</v>
      </c>
      <c r="BF262" s="0" t="s">
        <v>130</v>
      </c>
      <c r="BG262" s="0" t="s">
        <v>130</v>
      </c>
      <c r="BH262" s="0" t="s">
        <v>130</v>
      </c>
      <c r="BI262" s="0" t="s">
        <v>130</v>
      </c>
      <c r="BJ262" s="0" t="s">
        <v>130</v>
      </c>
      <c r="BK262" s="0" t="s">
        <v>130</v>
      </c>
      <c r="BL262" s="0" t="s">
        <v>130</v>
      </c>
      <c r="BM262" s="0" t="s">
        <v>130</v>
      </c>
      <c r="BN262" s="0" t="s">
        <v>130</v>
      </c>
      <c r="BO262" s="0" t="s">
        <v>130</v>
      </c>
      <c r="BP262" s="0" t="s">
        <v>130</v>
      </c>
      <c r="BQ262" s="0" t="s">
        <v>130</v>
      </c>
      <c r="BR262" s="0" t="s">
        <v>130</v>
      </c>
      <c r="BS262" s="0" t="s">
        <v>130</v>
      </c>
      <c r="BT262" s="0" t="s">
        <v>130</v>
      </c>
      <c r="BU262" s="0" t="s">
        <v>130</v>
      </c>
      <c r="BV262" s="0" t="s">
        <v>130</v>
      </c>
      <c r="BW262" s="0" t="s">
        <v>130</v>
      </c>
      <c r="BX262" s="0" t="s">
        <v>130</v>
      </c>
      <c r="BY262" s="0" t="s">
        <v>130</v>
      </c>
      <c r="BZ262" s="0" t="s">
        <v>130</v>
      </c>
      <c r="CA262" s="0" t="s">
        <v>130</v>
      </c>
      <c r="CB262" s="0" t="s">
        <v>130</v>
      </c>
      <c r="CC262" s="0" t="s">
        <v>130</v>
      </c>
      <c r="CD262" s="0" t="s">
        <v>130</v>
      </c>
      <c r="CE262" s="0" t="s">
        <v>130</v>
      </c>
      <c r="CF262" s="0" t="s">
        <v>130</v>
      </c>
      <c r="CG262" s="0" t="s">
        <v>130</v>
      </c>
      <c r="CH262" s="0" t="s">
        <v>130</v>
      </c>
      <c r="CI262" s="0" t="s">
        <v>130</v>
      </c>
      <c r="CJ262" s="0" t="s">
        <v>130</v>
      </c>
      <c r="CK262" s="0" t="s">
        <v>130</v>
      </c>
      <c r="CL262" s="0" t="s">
        <v>130</v>
      </c>
      <c r="CM262" s="0" t="s">
        <v>130</v>
      </c>
      <c r="CN262" s="0" t="s">
        <v>130</v>
      </c>
      <c r="CO262" s="0" t="s">
        <v>130</v>
      </c>
      <c r="CP262" s="0" t="s">
        <v>130</v>
      </c>
      <c r="CQ262" s="0" t="s">
        <v>130</v>
      </c>
      <c r="CR262" s="0" t="s">
        <v>130</v>
      </c>
      <c r="CS262" s="0" t="s">
        <v>130</v>
      </c>
      <c r="CT262" s="0" t="s">
        <v>1024</v>
      </c>
    </row>
    <row r="263">
      <c r="A263" s="14">
        <v>112647</v>
      </c>
      <c r="B263" s="0" t="s">
        <v>996</v>
      </c>
      <c r="C263" s="16">
        <f>HYPERLINK("https://eosportal.federatedhermes.com/companies/Q29tcGFueQppNTIwMTk=", "Origin Energy Ltd")</f>
      </c>
      <c r="D263" s="0" t="s">
        <v>25</v>
      </c>
      <c r="E263" s="0" t="s">
        <v>1025</v>
      </c>
      <c r="F263" s="16">
        <f>HYPERLINK("https://eosportal.federatedhermes.com/engagements/RW5nYWdlbWVudAppMTk0OTg=", "Regnan Engagement Activity on licence to operate")</f>
      </c>
      <c r="G263" s="14" t="s">
        <v>999</v>
      </c>
      <c r="H263" s="0" t="s">
        <v>141</v>
      </c>
      <c r="I263" s="14" t="s">
        <v>636</v>
      </c>
      <c r="J263" s="0" t="s">
        <v>153</v>
      </c>
      <c r="K263" s="0" t="s">
        <v>243</v>
      </c>
      <c r="L263" s="0" t="s">
        <v>571</v>
      </c>
      <c r="M263" s="0" t="s">
        <v>371</v>
      </c>
      <c r="N263" s="0" t="s">
        <v>372</v>
      </c>
      <c r="O263" s="0" t="s">
        <v>192</v>
      </c>
      <c r="Q263" s="0" t="s">
        <v>130</v>
      </c>
      <c r="R263" s="0" t="s">
        <v>138</v>
      </c>
      <c r="S263" s="14">
        <v>0</v>
      </c>
      <c r="T263" s="0" t="s">
        <v>804</v>
      </c>
      <c r="U263" s="0" t="s">
        <v>138</v>
      </c>
      <c r="V263" s="14" t="s">
        <v>138</v>
      </c>
      <c r="W263" s="0" t="s">
        <v>138</v>
      </c>
      <c r="X263" s="14" t="s">
        <v>138</v>
      </c>
      <c r="Y263" s="0" t="s">
        <v>138</v>
      </c>
      <c r="Z263" s="14" t="s">
        <v>138</v>
      </c>
      <c r="AA263" s="0" t="s">
        <v>138</v>
      </c>
      <c r="AB263" s="14" t="s">
        <v>138</v>
      </c>
      <c r="AD263" s="0" t="s">
        <v>138</v>
      </c>
      <c r="AF263" s="0">
        <v>0</v>
      </c>
      <c r="AG263" s="0">
        <v>0</v>
      </c>
      <c r="AH263" s="0" t="s">
        <v>140</v>
      </c>
      <c r="AI263" s="0" t="s">
        <v>138</v>
      </c>
      <c r="AL263" s="14"/>
      <c r="AN263" s="14"/>
      <c r="AQ263" s="0" t="s">
        <v>130</v>
      </c>
      <c r="AR263" s="0" t="s">
        <v>130</v>
      </c>
      <c r="AS263" s="0" t="s">
        <v>130</v>
      </c>
      <c r="AT263" s="0" t="s">
        <v>130</v>
      </c>
      <c r="AU263" s="0" t="s">
        <v>130</v>
      </c>
      <c r="AV263" s="0" t="s">
        <v>130</v>
      </c>
      <c r="AW263" s="0" t="s">
        <v>130</v>
      </c>
      <c r="AX263" s="0" t="s">
        <v>130</v>
      </c>
      <c r="AY263" s="0" t="s">
        <v>130</v>
      </c>
      <c r="AZ263" s="0" t="s">
        <v>130</v>
      </c>
      <c r="BA263" s="0" t="s">
        <v>130</v>
      </c>
      <c r="BB263" s="0" t="s">
        <v>130</v>
      </c>
      <c r="BC263" s="0" t="s">
        <v>130</v>
      </c>
      <c r="BD263" s="0" t="s">
        <v>130</v>
      </c>
      <c r="BE263" s="0" t="s">
        <v>130</v>
      </c>
      <c r="BF263" s="0" t="s">
        <v>130</v>
      </c>
      <c r="BG263" s="0" t="s">
        <v>130</v>
      </c>
      <c r="BH263" s="0" t="s">
        <v>130</v>
      </c>
      <c r="BI263" s="0" t="s">
        <v>130</v>
      </c>
      <c r="BJ263" s="0" t="s">
        <v>130</v>
      </c>
      <c r="BK263" s="0" t="s">
        <v>130</v>
      </c>
      <c r="BL263" s="0" t="s">
        <v>130</v>
      </c>
      <c r="BM263" s="0" t="s">
        <v>130</v>
      </c>
      <c r="BN263" s="0" t="s">
        <v>130</v>
      </c>
      <c r="BO263" s="0" t="s">
        <v>130</v>
      </c>
      <c r="BP263" s="0" t="s">
        <v>130</v>
      </c>
      <c r="BQ263" s="0" t="s">
        <v>130</v>
      </c>
      <c r="BR263" s="0" t="s">
        <v>130</v>
      </c>
      <c r="BS263" s="0" t="s">
        <v>130</v>
      </c>
      <c r="BT263" s="0" t="s">
        <v>130</v>
      </c>
      <c r="BU263" s="0" t="s">
        <v>130</v>
      </c>
      <c r="BV263" s="0" t="s">
        <v>130</v>
      </c>
      <c r="BW263" s="0" t="s">
        <v>130</v>
      </c>
      <c r="BX263" s="0" t="s">
        <v>130</v>
      </c>
      <c r="BY263" s="0" t="s">
        <v>130</v>
      </c>
      <c r="BZ263" s="0" t="s">
        <v>130</v>
      </c>
      <c r="CA263" s="0" t="s">
        <v>130</v>
      </c>
      <c r="CB263" s="0" t="s">
        <v>130</v>
      </c>
      <c r="CC263" s="0" t="s">
        <v>130</v>
      </c>
      <c r="CD263" s="0" t="s">
        <v>130</v>
      </c>
      <c r="CE263" s="0" t="s">
        <v>130</v>
      </c>
      <c r="CF263" s="0" t="s">
        <v>130</v>
      </c>
      <c r="CG263" s="0" t="s">
        <v>130</v>
      </c>
      <c r="CH263" s="0" t="s">
        <v>130</v>
      </c>
      <c r="CI263" s="0" t="s">
        <v>130</v>
      </c>
      <c r="CJ263" s="0" t="s">
        <v>130</v>
      </c>
      <c r="CK263" s="0" t="s">
        <v>130</v>
      </c>
      <c r="CL263" s="0" t="s">
        <v>130</v>
      </c>
      <c r="CM263" s="0" t="s">
        <v>130</v>
      </c>
      <c r="CN263" s="0" t="s">
        <v>130</v>
      </c>
      <c r="CO263" s="0" t="s">
        <v>130</v>
      </c>
      <c r="CP263" s="0" t="s">
        <v>130</v>
      </c>
      <c r="CQ263" s="0" t="s">
        <v>130</v>
      </c>
      <c r="CR263" s="0" t="s">
        <v>130</v>
      </c>
      <c r="CS263" s="0" t="s">
        <v>130</v>
      </c>
      <c r="CT263" s="0" t="s">
        <v>1026</v>
      </c>
    </row>
    <row r="264">
      <c r="A264" s="14">
        <v>100894</v>
      </c>
      <c r="B264" s="0" t="s">
        <v>1027</v>
      </c>
      <c r="C264" s="16">
        <f>HYPERLINK("https://eosportal.federatedhermes.com/companies/Q29tcGFueQppODU0OTg=", "Eli Lilly &amp; Co")</f>
      </c>
      <c r="D264" s="0" t="s">
        <v>25</v>
      </c>
      <c r="E264" s="0" t="s">
        <v>1028</v>
      </c>
      <c r="F264" s="16">
        <f>HYPERLINK("https://eosportal.federatedhermes.com/engagements/RW5nYWdlbWVudAppMTk1MjE=", "Demonstrate solid management of antimicrobial resistance")</f>
      </c>
      <c r="G264" s="14" t="s">
        <v>1029</v>
      </c>
      <c r="H264" s="0" t="s">
        <v>141</v>
      </c>
      <c r="I264" s="14" t="s">
        <v>636</v>
      </c>
      <c r="J264" s="0" t="s">
        <v>132</v>
      </c>
      <c r="K264" s="0" t="s">
        <v>260</v>
      </c>
      <c r="L264" s="0" t="s">
        <v>261</v>
      </c>
      <c r="M264" s="0" t="s">
        <v>135</v>
      </c>
      <c r="N264" s="0" t="s">
        <v>136</v>
      </c>
      <c r="O264" s="0" t="s">
        <v>274</v>
      </c>
      <c r="Q264" s="0" t="s">
        <v>130</v>
      </c>
      <c r="R264" s="0" t="s">
        <v>138</v>
      </c>
      <c r="S264" s="14">
        <v>0</v>
      </c>
      <c r="T264" s="0" t="s">
        <v>249</v>
      </c>
      <c r="U264" s="0" t="s">
        <v>138</v>
      </c>
      <c r="V264" s="14" t="s">
        <v>138</v>
      </c>
      <c r="W264" s="0" t="s">
        <v>138</v>
      </c>
      <c r="X264" s="14" t="s">
        <v>138</v>
      </c>
      <c r="Y264" s="0" t="s">
        <v>138</v>
      </c>
      <c r="Z264" s="14" t="s">
        <v>138</v>
      </c>
      <c r="AA264" s="0" t="s">
        <v>138</v>
      </c>
      <c r="AB264" s="14" t="s">
        <v>138</v>
      </c>
      <c r="AD264" s="0" t="s">
        <v>138</v>
      </c>
      <c r="AF264" s="0">
        <v>0</v>
      </c>
      <c r="AG264" s="0">
        <v>0</v>
      </c>
      <c r="AH264" s="0" t="s">
        <v>140</v>
      </c>
      <c r="AI264" s="0" t="s">
        <v>138</v>
      </c>
      <c r="AL264" s="14"/>
      <c r="AN264" s="14"/>
      <c r="AQ264" s="0" t="s">
        <v>130</v>
      </c>
      <c r="AR264" s="0" t="s">
        <v>130</v>
      </c>
      <c r="AS264" s="0" t="s">
        <v>141</v>
      </c>
      <c r="AT264" s="0" t="s">
        <v>130</v>
      </c>
      <c r="AU264" s="0" t="s">
        <v>130</v>
      </c>
      <c r="AV264" s="0" t="s">
        <v>130</v>
      </c>
      <c r="AW264" s="0" t="s">
        <v>130</v>
      </c>
      <c r="AX264" s="0" t="s">
        <v>130</v>
      </c>
      <c r="AY264" s="0" t="s">
        <v>130</v>
      </c>
      <c r="AZ264" s="0" t="s">
        <v>130</v>
      </c>
      <c r="BA264" s="0" t="s">
        <v>130</v>
      </c>
      <c r="BB264" s="0" t="s">
        <v>130</v>
      </c>
      <c r="BC264" s="0" t="s">
        <v>130</v>
      </c>
      <c r="BD264" s="0" t="s">
        <v>130</v>
      </c>
      <c r="BE264" s="0" t="s">
        <v>130</v>
      </c>
      <c r="BF264" s="0" t="s">
        <v>130</v>
      </c>
      <c r="BG264" s="0" t="s">
        <v>130</v>
      </c>
      <c r="BH264" s="0" t="s">
        <v>130</v>
      </c>
      <c r="BI264" s="0" t="s">
        <v>130</v>
      </c>
      <c r="BJ264" s="0" t="s">
        <v>130</v>
      </c>
      <c r="BK264" s="0" t="s">
        <v>130</v>
      </c>
      <c r="BL264" s="0" t="s">
        <v>130</v>
      </c>
      <c r="BM264" s="0" t="s">
        <v>130</v>
      </c>
      <c r="BN264" s="0" t="s">
        <v>130</v>
      </c>
      <c r="BO264" s="0" t="s">
        <v>130</v>
      </c>
      <c r="BP264" s="0" t="s">
        <v>130</v>
      </c>
      <c r="BQ264" s="0" t="s">
        <v>130</v>
      </c>
      <c r="BR264" s="0" t="s">
        <v>130</v>
      </c>
      <c r="BS264" s="0" t="s">
        <v>130</v>
      </c>
      <c r="BT264" s="0" t="s">
        <v>130</v>
      </c>
      <c r="BU264" s="0" t="s">
        <v>130</v>
      </c>
      <c r="BV264" s="0" t="s">
        <v>130</v>
      </c>
      <c r="BW264" s="0" t="s">
        <v>130</v>
      </c>
      <c r="BX264" s="0" t="s">
        <v>130</v>
      </c>
      <c r="BY264" s="0" t="s">
        <v>130</v>
      </c>
      <c r="BZ264" s="0" t="s">
        <v>130</v>
      </c>
      <c r="CA264" s="0" t="s">
        <v>130</v>
      </c>
      <c r="CB264" s="0" t="s">
        <v>130</v>
      </c>
      <c r="CC264" s="0" t="s">
        <v>130</v>
      </c>
      <c r="CD264" s="0" t="s">
        <v>130</v>
      </c>
      <c r="CE264" s="0" t="s">
        <v>130</v>
      </c>
      <c r="CF264" s="0" t="s">
        <v>130</v>
      </c>
      <c r="CG264" s="0" t="s">
        <v>130</v>
      </c>
      <c r="CH264" s="0" t="s">
        <v>130</v>
      </c>
      <c r="CI264" s="0" t="s">
        <v>130</v>
      </c>
      <c r="CJ264" s="0" t="s">
        <v>130</v>
      </c>
      <c r="CK264" s="0" t="s">
        <v>130</v>
      </c>
      <c r="CL264" s="0" t="s">
        <v>130</v>
      </c>
      <c r="CM264" s="0" t="s">
        <v>130</v>
      </c>
      <c r="CN264" s="0" t="s">
        <v>130</v>
      </c>
      <c r="CO264" s="0" t="s">
        <v>130</v>
      </c>
      <c r="CP264" s="0" t="s">
        <v>130</v>
      </c>
      <c r="CQ264" s="0" t="s">
        <v>130</v>
      </c>
      <c r="CR264" s="0" t="s">
        <v>130</v>
      </c>
      <c r="CS264" s="0" t="s">
        <v>130</v>
      </c>
      <c r="CT264" s="0" t="s">
        <v>1030</v>
      </c>
    </row>
    <row r="265">
      <c r="A265" s="14">
        <v>100894</v>
      </c>
      <c r="B265" s="0" t="s">
        <v>1027</v>
      </c>
      <c r="C265" s="16">
        <f>HYPERLINK("https://eosportal.federatedhermes.com/companies/Q29tcGFueQppODU0OTg=", "Eli Lilly &amp; Co")</f>
      </c>
      <c r="D265" s="0" t="s">
        <v>25</v>
      </c>
      <c r="E265" s="0" t="s">
        <v>1031</v>
      </c>
      <c r="F265" s="16">
        <f>HYPERLINK("https://eosportal.federatedhermes.com/engagements/RW5nYWdlbWVudAppMTk1MjI=", "Access to Medicine")</f>
      </c>
      <c r="G265" s="14" t="s">
        <v>1032</v>
      </c>
      <c r="H265" s="0" t="s">
        <v>141</v>
      </c>
      <c r="I265" s="14" t="s">
        <v>636</v>
      </c>
      <c r="J265" s="0" t="s">
        <v>153</v>
      </c>
      <c r="K265" s="0" t="s">
        <v>243</v>
      </c>
      <c r="L265" s="0" t="s">
        <v>292</v>
      </c>
      <c r="M265" s="0" t="s">
        <v>135</v>
      </c>
      <c r="N265" s="0" t="s">
        <v>136</v>
      </c>
      <c r="O265" s="0" t="s">
        <v>274</v>
      </c>
      <c r="Q265" s="0" t="s">
        <v>141</v>
      </c>
      <c r="R265" s="0" t="s">
        <v>138</v>
      </c>
      <c r="S265" s="14">
        <v>1</v>
      </c>
      <c r="T265" s="0" t="s">
        <v>249</v>
      </c>
      <c r="U265" s="0" t="s">
        <v>138</v>
      </c>
      <c r="V265" s="14" t="s">
        <v>138</v>
      </c>
      <c r="W265" s="0" t="s">
        <v>138</v>
      </c>
      <c r="X265" s="14" t="s">
        <v>138</v>
      </c>
      <c r="Y265" s="0" t="s">
        <v>138</v>
      </c>
      <c r="Z265" s="14" t="s">
        <v>138</v>
      </c>
      <c r="AA265" s="0" t="s">
        <v>138</v>
      </c>
      <c r="AB265" s="14" t="s">
        <v>138</v>
      </c>
      <c r="AD265" s="0" t="s">
        <v>138</v>
      </c>
      <c r="AF265" s="0">
        <v>0</v>
      </c>
      <c r="AG265" s="0">
        <v>0</v>
      </c>
      <c r="AH265" s="0" t="s">
        <v>140</v>
      </c>
      <c r="AI265" s="0" t="s">
        <v>138</v>
      </c>
      <c r="AK265" s="0" t="s">
        <v>413</v>
      </c>
      <c r="AL265" s="14"/>
      <c r="AN265" s="14"/>
      <c r="AQ265" s="0" t="s">
        <v>141</v>
      </c>
      <c r="AR265" s="0" t="s">
        <v>130</v>
      </c>
      <c r="AS265" s="0" t="s">
        <v>141</v>
      </c>
      <c r="AT265" s="0" t="s">
        <v>130</v>
      </c>
      <c r="AU265" s="0" t="s">
        <v>130</v>
      </c>
      <c r="AV265" s="0" t="s">
        <v>130</v>
      </c>
      <c r="AW265" s="0" t="s">
        <v>130</v>
      </c>
      <c r="AX265" s="0" t="s">
        <v>130</v>
      </c>
      <c r="AY265" s="0" t="s">
        <v>130</v>
      </c>
      <c r="AZ265" s="0" t="s">
        <v>130</v>
      </c>
      <c r="BA265" s="0" t="s">
        <v>130</v>
      </c>
      <c r="BB265" s="0" t="s">
        <v>130</v>
      </c>
      <c r="BC265" s="0" t="s">
        <v>130</v>
      </c>
      <c r="BD265" s="0" t="s">
        <v>130</v>
      </c>
      <c r="BE265" s="0" t="s">
        <v>130</v>
      </c>
      <c r="BF265" s="0" t="s">
        <v>130</v>
      </c>
      <c r="BG265" s="0" t="s">
        <v>130</v>
      </c>
      <c r="BH265" s="0" t="s">
        <v>130</v>
      </c>
      <c r="BI265" s="0" t="s">
        <v>130</v>
      </c>
      <c r="BJ265" s="0" t="s">
        <v>130</v>
      </c>
      <c r="BK265" s="0" t="s">
        <v>130</v>
      </c>
      <c r="BL265" s="0" t="s">
        <v>130</v>
      </c>
      <c r="BM265" s="0" t="s">
        <v>130</v>
      </c>
      <c r="BN265" s="0" t="s">
        <v>130</v>
      </c>
      <c r="BO265" s="0" t="s">
        <v>130</v>
      </c>
      <c r="BP265" s="0" t="s">
        <v>130</v>
      </c>
      <c r="BQ265" s="0" t="s">
        <v>130</v>
      </c>
      <c r="BR265" s="0" t="s">
        <v>130</v>
      </c>
      <c r="BS265" s="0" t="s">
        <v>130</v>
      </c>
      <c r="BT265" s="0" t="s">
        <v>130</v>
      </c>
      <c r="BU265" s="0" t="s">
        <v>130</v>
      </c>
      <c r="BV265" s="0" t="s">
        <v>130</v>
      </c>
      <c r="BW265" s="0" t="s">
        <v>130</v>
      </c>
      <c r="BX265" s="0" t="s">
        <v>130</v>
      </c>
      <c r="BY265" s="0" t="s">
        <v>130</v>
      </c>
      <c r="BZ265" s="0" t="s">
        <v>130</v>
      </c>
      <c r="CA265" s="0" t="s">
        <v>130</v>
      </c>
      <c r="CB265" s="0" t="s">
        <v>130</v>
      </c>
      <c r="CC265" s="0" t="s">
        <v>130</v>
      </c>
      <c r="CD265" s="0" t="s">
        <v>130</v>
      </c>
      <c r="CE265" s="0" t="s">
        <v>130</v>
      </c>
      <c r="CF265" s="0" t="s">
        <v>130</v>
      </c>
      <c r="CG265" s="0" t="s">
        <v>130</v>
      </c>
      <c r="CH265" s="0" t="s">
        <v>130</v>
      </c>
      <c r="CI265" s="0" t="s">
        <v>130</v>
      </c>
      <c r="CJ265" s="0" t="s">
        <v>130</v>
      </c>
      <c r="CK265" s="0" t="s">
        <v>130</v>
      </c>
      <c r="CL265" s="0" t="s">
        <v>130</v>
      </c>
      <c r="CM265" s="0" t="s">
        <v>130</v>
      </c>
      <c r="CN265" s="0" t="s">
        <v>130</v>
      </c>
      <c r="CO265" s="0" t="s">
        <v>130</v>
      </c>
      <c r="CP265" s="0" t="s">
        <v>130</v>
      </c>
      <c r="CQ265" s="0" t="s">
        <v>130</v>
      </c>
      <c r="CR265" s="0" t="s">
        <v>130</v>
      </c>
      <c r="CS265" s="0" t="s">
        <v>130</v>
      </c>
      <c r="CT265" s="0" t="s">
        <v>1033</v>
      </c>
    </row>
    <row r="266">
      <c r="A266" s="14">
        <v>100894</v>
      </c>
      <c r="B266" s="0" t="s">
        <v>1027</v>
      </c>
      <c r="C266" s="16">
        <f>HYPERLINK("https://eosportal.federatedhermes.com/companies/Q29tcGFueQppODU0OTg=", "Eli Lilly &amp; Co")</f>
      </c>
      <c r="D266" s="0" t="s">
        <v>25</v>
      </c>
      <c r="E266" s="0" t="s">
        <v>1034</v>
      </c>
      <c r="F266" s="16">
        <f>HYPERLINK("https://eosportal.federatedhermes.com/engagements/RW5nYWdlbWVudAppMTk1MjM=", "Board composition")</f>
      </c>
      <c r="G266" s="14" t="s">
        <v>1035</v>
      </c>
      <c r="H266" s="0" t="s">
        <v>141</v>
      </c>
      <c r="I266" s="14" t="s">
        <v>636</v>
      </c>
      <c r="J266" s="0" t="s">
        <v>145</v>
      </c>
      <c r="K266" s="0" t="s">
        <v>164</v>
      </c>
      <c r="L266" s="0" t="s">
        <v>165</v>
      </c>
      <c r="M266" s="0" t="s">
        <v>135</v>
      </c>
      <c r="N266" s="0" t="s">
        <v>136</v>
      </c>
      <c r="O266" s="0" t="s">
        <v>274</v>
      </c>
      <c r="Q266" s="0" t="s">
        <v>130</v>
      </c>
      <c r="R266" s="0" t="s">
        <v>138</v>
      </c>
      <c r="S266" s="14">
        <v>0</v>
      </c>
      <c r="T266" s="0" t="s">
        <v>200</v>
      </c>
      <c r="U266" s="0" t="s">
        <v>138</v>
      </c>
      <c r="V266" s="14" t="s">
        <v>138</v>
      </c>
      <c r="W266" s="0" t="s">
        <v>138</v>
      </c>
      <c r="X266" s="14" t="s">
        <v>138</v>
      </c>
      <c r="Y266" s="0" t="s">
        <v>138</v>
      </c>
      <c r="Z266" s="14" t="s">
        <v>138</v>
      </c>
      <c r="AA266" s="0" t="s">
        <v>138</v>
      </c>
      <c r="AB266" s="14" t="s">
        <v>138</v>
      </c>
      <c r="AD266" s="0" t="s">
        <v>138</v>
      </c>
      <c r="AF266" s="0">
        <v>0</v>
      </c>
      <c r="AG266" s="0">
        <v>0</v>
      </c>
      <c r="AH266" s="0" t="s">
        <v>140</v>
      </c>
      <c r="AI266" s="0" t="s">
        <v>138</v>
      </c>
      <c r="AL266" s="14"/>
      <c r="AN266" s="14"/>
      <c r="AQ266" s="0" t="s">
        <v>130</v>
      </c>
      <c r="AR266" s="0" t="s">
        <v>130</v>
      </c>
      <c r="AS266" s="0" t="s">
        <v>130</v>
      </c>
      <c r="AT266" s="0" t="s">
        <v>130</v>
      </c>
      <c r="AU266" s="0" t="s">
        <v>130</v>
      </c>
      <c r="AV266" s="0" t="s">
        <v>130</v>
      </c>
      <c r="AW266" s="0" t="s">
        <v>130</v>
      </c>
      <c r="AX266" s="0" t="s">
        <v>130</v>
      </c>
      <c r="AY266" s="0" t="s">
        <v>130</v>
      </c>
      <c r="AZ266" s="0" t="s">
        <v>130</v>
      </c>
      <c r="BA266" s="0" t="s">
        <v>130</v>
      </c>
      <c r="BB266" s="0" t="s">
        <v>130</v>
      </c>
      <c r="BC266" s="0" t="s">
        <v>130</v>
      </c>
      <c r="BD266" s="0" t="s">
        <v>130</v>
      </c>
      <c r="BE266" s="0" t="s">
        <v>130</v>
      </c>
      <c r="BF266" s="0" t="s">
        <v>130</v>
      </c>
      <c r="BG266" s="0" t="s">
        <v>130</v>
      </c>
      <c r="BH266" s="0" t="s">
        <v>130</v>
      </c>
      <c r="BI266" s="0" t="s">
        <v>130</v>
      </c>
      <c r="BJ266" s="0" t="s">
        <v>130</v>
      </c>
      <c r="BK266" s="0" t="s">
        <v>130</v>
      </c>
      <c r="BL266" s="0" t="s">
        <v>130</v>
      </c>
      <c r="BM266" s="0" t="s">
        <v>130</v>
      </c>
      <c r="BN266" s="0" t="s">
        <v>130</v>
      </c>
      <c r="BO266" s="0" t="s">
        <v>130</v>
      </c>
      <c r="BP266" s="0" t="s">
        <v>130</v>
      </c>
      <c r="BQ266" s="0" t="s">
        <v>130</v>
      </c>
      <c r="BR266" s="0" t="s">
        <v>130</v>
      </c>
      <c r="BS266" s="0" t="s">
        <v>130</v>
      </c>
      <c r="BT266" s="0" t="s">
        <v>130</v>
      </c>
      <c r="BU266" s="0" t="s">
        <v>130</v>
      </c>
      <c r="BV266" s="0" t="s">
        <v>130</v>
      </c>
      <c r="BW266" s="0" t="s">
        <v>130</v>
      </c>
      <c r="BX266" s="0" t="s">
        <v>130</v>
      </c>
      <c r="BY266" s="0" t="s">
        <v>130</v>
      </c>
      <c r="BZ266" s="0" t="s">
        <v>130</v>
      </c>
      <c r="CA266" s="0" t="s">
        <v>130</v>
      </c>
      <c r="CB266" s="0" t="s">
        <v>130</v>
      </c>
      <c r="CC266" s="0" t="s">
        <v>130</v>
      </c>
      <c r="CD266" s="0" t="s">
        <v>130</v>
      </c>
      <c r="CE266" s="0" t="s">
        <v>130</v>
      </c>
      <c r="CF266" s="0" t="s">
        <v>130</v>
      </c>
      <c r="CG266" s="0" t="s">
        <v>130</v>
      </c>
      <c r="CH266" s="0" t="s">
        <v>130</v>
      </c>
      <c r="CI266" s="0" t="s">
        <v>130</v>
      </c>
      <c r="CJ266" s="0" t="s">
        <v>130</v>
      </c>
      <c r="CK266" s="0" t="s">
        <v>130</v>
      </c>
      <c r="CL266" s="0" t="s">
        <v>130</v>
      </c>
      <c r="CM266" s="0" t="s">
        <v>130</v>
      </c>
      <c r="CN266" s="0" t="s">
        <v>130</v>
      </c>
      <c r="CO266" s="0" t="s">
        <v>130</v>
      </c>
      <c r="CP266" s="0" t="s">
        <v>130</v>
      </c>
      <c r="CQ266" s="0" t="s">
        <v>130</v>
      </c>
      <c r="CR266" s="0" t="s">
        <v>130</v>
      </c>
      <c r="CS266" s="0" t="s">
        <v>130</v>
      </c>
      <c r="CT266" s="0" t="s">
        <v>1036</v>
      </c>
    </row>
    <row r="267">
      <c r="A267" s="14">
        <v>100894</v>
      </c>
      <c r="B267" s="0" t="s">
        <v>1027</v>
      </c>
      <c r="C267" s="16">
        <f>HYPERLINK("https://eosportal.federatedhermes.com/companies/Q29tcGFueQppODU0OTg=", "Eli Lilly &amp; Co")</f>
      </c>
      <c r="D267" s="0" t="s">
        <v>25</v>
      </c>
      <c r="E267" s="0" t="s">
        <v>709</v>
      </c>
      <c r="F267" s="16">
        <f>HYPERLINK("https://eosportal.federatedhermes.com/engagements/RW5nYWdlbWVudAppMTk1MjU=", "Proxy access")</f>
      </c>
      <c r="G267" s="14" t="s">
        <v>1037</v>
      </c>
      <c r="H267" s="0" t="s">
        <v>141</v>
      </c>
      <c r="I267" s="14" t="s">
        <v>636</v>
      </c>
      <c r="J267" s="0" t="s">
        <v>145</v>
      </c>
      <c r="K267" s="0" t="s">
        <v>400</v>
      </c>
      <c r="L267" s="0" t="s">
        <v>401</v>
      </c>
      <c r="M267" s="0" t="s">
        <v>135</v>
      </c>
      <c r="N267" s="0" t="s">
        <v>136</v>
      </c>
      <c r="O267" s="0" t="s">
        <v>274</v>
      </c>
      <c r="Q267" s="0" t="s">
        <v>130</v>
      </c>
      <c r="R267" s="0" t="s">
        <v>138</v>
      </c>
      <c r="S267" s="14">
        <v>0</v>
      </c>
      <c r="T267" s="0" t="s">
        <v>487</v>
      </c>
      <c r="U267" s="0" t="s">
        <v>138</v>
      </c>
      <c r="V267" s="14" t="s">
        <v>138</v>
      </c>
      <c r="W267" s="0" t="s">
        <v>138</v>
      </c>
      <c r="X267" s="14" t="s">
        <v>138</v>
      </c>
      <c r="Y267" s="0" t="s">
        <v>138</v>
      </c>
      <c r="Z267" s="14" t="s">
        <v>138</v>
      </c>
      <c r="AA267" s="0" t="s">
        <v>138</v>
      </c>
      <c r="AB267" s="14" t="s">
        <v>138</v>
      </c>
      <c r="AD267" s="0" t="s">
        <v>138</v>
      </c>
      <c r="AF267" s="0">
        <v>0</v>
      </c>
      <c r="AG267" s="0">
        <v>0</v>
      </c>
      <c r="AH267" s="0" t="s">
        <v>140</v>
      </c>
      <c r="AI267" s="0" t="s">
        <v>138</v>
      </c>
      <c r="AL267" s="14"/>
      <c r="AN267" s="14"/>
      <c r="AQ267" s="0" t="s">
        <v>130</v>
      </c>
      <c r="AR267" s="0" t="s">
        <v>130</v>
      </c>
      <c r="AS267" s="0" t="s">
        <v>130</v>
      </c>
      <c r="AT267" s="0" t="s">
        <v>130</v>
      </c>
      <c r="AU267" s="0" t="s">
        <v>130</v>
      </c>
      <c r="AV267" s="0" t="s">
        <v>130</v>
      </c>
      <c r="AW267" s="0" t="s">
        <v>130</v>
      </c>
      <c r="AX267" s="0" t="s">
        <v>130</v>
      </c>
      <c r="AY267" s="0" t="s">
        <v>130</v>
      </c>
      <c r="AZ267" s="0" t="s">
        <v>130</v>
      </c>
      <c r="BA267" s="0" t="s">
        <v>130</v>
      </c>
      <c r="BB267" s="0" t="s">
        <v>130</v>
      </c>
      <c r="BC267" s="0" t="s">
        <v>130</v>
      </c>
      <c r="BD267" s="0" t="s">
        <v>130</v>
      </c>
      <c r="BE267" s="0" t="s">
        <v>130</v>
      </c>
      <c r="BF267" s="0" t="s">
        <v>130</v>
      </c>
      <c r="BG267" s="0" t="s">
        <v>130</v>
      </c>
      <c r="BH267" s="0" t="s">
        <v>130</v>
      </c>
      <c r="BI267" s="0" t="s">
        <v>130</v>
      </c>
      <c r="BJ267" s="0" t="s">
        <v>130</v>
      </c>
      <c r="BK267" s="0" t="s">
        <v>130</v>
      </c>
      <c r="BL267" s="0" t="s">
        <v>130</v>
      </c>
      <c r="BM267" s="0" t="s">
        <v>130</v>
      </c>
      <c r="BN267" s="0" t="s">
        <v>130</v>
      </c>
      <c r="BO267" s="0" t="s">
        <v>130</v>
      </c>
      <c r="BP267" s="0" t="s">
        <v>130</v>
      </c>
      <c r="BQ267" s="0" t="s">
        <v>130</v>
      </c>
      <c r="BR267" s="0" t="s">
        <v>130</v>
      </c>
      <c r="BS267" s="0" t="s">
        <v>130</v>
      </c>
      <c r="BT267" s="0" t="s">
        <v>130</v>
      </c>
      <c r="BU267" s="0" t="s">
        <v>130</v>
      </c>
      <c r="BV267" s="0" t="s">
        <v>130</v>
      </c>
      <c r="BW267" s="0" t="s">
        <v>130</v>
      </c>
      <c r="BX267" s="0" t="s">
        <v>130</v>
      </c>
      <c r="BY267" s="0" t="s">
        <v>130</v>
      </c>
      <c r="BZ267" s="0" t="s">
        <v>130</v>
      </c>
      <c r="CA267" s="0" t="s">
        <v>130</v>
      </c>
      <c r="CB267" s="0" t="s">
        <v>130</v>
      </c>
      <c r="CC267" s="0" t="s">
        <v>130</v>
      </c>
      <c r="CD267" s="0" t="s">
        <v>130</v>
      </c>
      <c r="CE267" s="0" t="s">
        <v>130</v>
      </c>
      <c r="CF267" s="0" t="s">
        <v>130</v>
      </c>
      <c r="CG267" s="0" t="s">
        <v>130</v>
      </c>
      <c r="CH267" s="0" t="s">
        <v>130</v>
      </c>
      <c r="CI267" s="0" t="s">
        <v>130</v>
      </c>
      <c r="CJ267" s="0" t="s">
        <v>130</v>
      </c>
      <c r="CK267" s="0" t="s">
        <v>130</v>
      </c>
      <c r="CL267" s="0" t="s">
        <v>130</v>
      </c>
      <c r="CM267" s="0" t="s">
        <v>130</v>
      </c>
      <c r="CN267" s="0" t="s">
        <v>130</v>
      </c>
      <c r="CO267" s="0" t="s">
        <v>130</v>
      </c>
      <c r="CP267" s="0" t="s">
        <v>130</v>
      </c>
      <c r="CQ267" s="0" t="s">
        <v>130</v>
      </c>
      <c r="CR267" s="0" t="s">
        <v>130</v>
      </c>
      <c r="CS267" s="0" t="s">
        <v>130</v>
      </c>
      <c r="CT267" s="0" t="s">
        <v>1038</v>
      </c>
    </row>
    <row r="268">
      <c r="A268" s="14">
        <v>100894</v>
      </c>
      <c r="B268" s="0" t="s">
        <v>1027</v>
      </c>
      <c r="C268" s="16">
        <f>HYPERLINK("https://eosportal.federatedhermes.com/companies/Q29tcGFueQppODU0OTg=", "Eli Lilly &amp; Co")</f>
      </c>
      <c r="D268" s="0" t="s">
        <v>25</v>
      </c>
      <c r="E268" s="0" t="s">
        <v>317</v>
      </c>
      <c r="F268" s="16">
        <f>HYPERLINK("https://eosportal.federatedhermes.com/engagements/RW5nYWdlbWVudAppMTk1MjY=", "Remuneration policy")</f>
      </c>
      <c r="G268" s="14" t="s">
        <v>1039</v>
      </c>
      <c r="H268" s="0" t="s">
        <v>141</v>
      </c>
      <c r="I268" s="14" t="s">
        <v>636</v>
      </c>
      <c r="J268" s="0" t="s">
        <v>145</v>
      </c>
      <c r="K268" s="0" t="s">
        <v>146</v>
      </c>
      <c r="L268" s="0" t="s">
        <v>147</v>
      </c>
      <c r="M268" s="0" t="s">
        <v>135</v>
      </c>
      <c r="N268" s="0" t="s">
        <v>136</v>
      </c>
      <c r="O268" s="0" t="s">
        <v>274</v>
      </c>
      <c r="Q268" s="0" t="s">
        <v>130</v>
      </c>
      <c r="R268" s="0" t="s">
        <v>138</v>
      </c>
      <c r="S268" s="14">
        <v>0</v>
      </c>
      <c r="T268" s="0" t="s">
        <v>591</v>
      </c>
      <c r="U268" s="0" t="s">
        <v>138</v>
      </c>
      <c r="V268" s="14" t="s">
        <v>138</v>
      </c>
      <c r="W268" s="0" t="s">
        <v>138</v>
      </c>
      <c r="X268" s="14" t="s">
        <v>138</v>
      </c>
      <c r="Y268" s="0" t="s">
        <v>138</v>
      </c>
      <c r="Z268" s="14" t="s">
        <v>138</v>
      </c>
      <c r="AA268" s="0" t="s">
        <v>138</v>
      </c>
      <c r="AB268" s="14" t="s">
        <v>138</v>
      </c>
      <c r="AD268" s="0" t="s">
        <v>138</v>
      </c>
      <c r="AF268" s="0">
        <v>0</v>
      </c>
      <c r="AG268" s="0">
        <v>0</v>
      </c>
      <c r="AH268" s="0" t="s">
        <v>140</v>
      </c>
      <c r="AI268" s="0" t="s">
        <v>138</v>
      </c>
      <c r="AL268" s="14"/>
      <c r="AN268" s="14"/>
      <c r="AQ268" s="0" t="s">
        <v>130</v>
      </c>
      <c r="AR268" s="0" t="s">
        <v>130</v>
      </c>
      <c r="AS268" s="0" t="s">
        <v>130</v>
      </c>
      <c r="AT268" s="0" t="s">
        <v>130</v>
      </c>
      <c r="AU268" s="0" t="s">
        <v>130</v>
      </c>
      <c r="AV268" s="0" t="s">
        <v>130</v>
      </c>
      <c r="AW268" s="0" t="s">
        <v>130</v>
      </c>
      <c r="AX268" s="0" t="s">
        <v>130</v>
      </c>
      <c r="AY268" s="0" t="s">
        <v>130</v>
      </c>
      <c r="AZ268" s="0" t="s">
        <v>130</v>
      </c>
      <c r="BA268" s="0" t="s">
        <v>130</v>
      </c>
      <c r="BB268" s="0" t="s">
        <v>130</v>
      </c>
      <c r="BC268" s="0" t="s">
        <v>130</v>
      </c>
      <c r="BD268" s="0" t="s">
        <v>130</v>
      </c>
      <c r="BE268" s="0" t="s">
        <v>130</v>
      </c>
      <c r="BF268" s="0" t="s">
        <v>130</v>
      </c>
      <c r="BG268" s="0" t="s">
        <v>130</v>
      </c>
      <c r="BH268" s="0" t="s">
        <v>130</v>
      </c>
      <c r="BI268" s="0" t="s">
        <v>130</v>
      </c>
      <c r="BJ268" s="0" t="s">
        <v>130</v>
      </c>
      <c r="BK268" s="0" t="s">
        <v>130</v>
      </c>
      <c r="BL268" s="0" t="s">
        <v>130</v>
      </c>
      <c r="BM268" s="0" t="s">
        <v>130</v>
      </c>
      <c r="BN268" s="0" t="s">
        <v>130</v>
      </c>
      <c r="BO268" s="0" t="s">
        <v>130</v>
      </c>
      <c r="BP268" s="0" t="s">
        <v>130</v>
      </c>
      <c r="BQ268" s="0" t="s">
        <v>130</v>
      </c>
      <c r="BR268" s="0" t="s">
        <v>130</v>
      </c>
      <c r="BS268" s="0" t="s">
        <v>130</v>
      </c>
      <c r="BT268" s="0" t="s">
        <v>130</v>
      </c>
      <c r="BU268" s="0" t="s">
        <v>130</v>
      </c>
      <c r="BV268" s="0" t="s">
        <v>130</v>
      </c>
      <c r="BW268" s="0" t="s">
        <v>130</v>
      </c>
      <c r="BX268" s="0" t="s">
        <v>130</v>
      </c>
      <c r="BY268" s="0" t="s">
        <v>130</v>
      </c>
      <c r="BZ268" s="0" t="s">
        <v>130</v>
      </c>
      <c r="CA268" s="0" t="s">
        <v>130</v>
      </c>
      <c r="CB268" s="0" t="s">
        <v>130</v>
      </c>
      <c r="CC268" s="0" t="s">
        <v>130</v>
      </c>
      <c r="CD268" s="0" t="s">
        <v>130</v>
      </c>
      <c r="CE268" s="0" t="s">
        <v>130</v>
      </c>
      <c r="CF268" s="0" t="s">
        <v>130</v>
      </c>
      <c r="CG268" s="0" t="s">
        <v>130</v>
      </c>
      <c r="CH268" s="0" t="s">
        <v>130</v>
      </c>
      <c r="CI268" s="0" t="s">
        <v>130</v>
      </c>
      <c r="CJ268" s="0" t="s">
        <v>130</v>
      </c>
      <c r="CK268" s="0" t="s">
        <v>130</v>
      </c>
      <c r="CL268" s="0" t="s">
        <v>130</v>
      </c>
      <c r="CM268" s="0" t="s">
        <v>130</v>
      </c>
      <c r="CN268" s="0" t="s">
        <v>130</v>
      </c>
      <c r="CO268" s="0" t="s">
        <v>130</v>
      </c>
      <c r="CP268" s="0" t="s">
        <v>130</v>
      </c>
      <c r="CQ268" s="0" t="s">
        <v>130</v>
      </c>
      <c r="CR268" s="0" t="s">
        <v>130</v>
      </c>
      <c r="CS268" s="0" t="s">
        <v>130</v>
      </c>
      <c r="CT268" s="0" t="s">
        <v>1040</v>
      </c>
    </row>
    <row r="269">
      <c r="A269" s="14">
        <v>100894</v>
      </c>
      <c r="B269" s="0" t="s">
        <v>1027</v>
      </c>
      <c r="C269" s="16">
        <f>HYPERLINK("https://eosportal.federatedhermes.com/companies/Q29tcGFueQppODU0OTg=", "Eli Lilly &amp; Co")</f>
      </c>
      <c r="D269" s="0" t="s">
        <v>25</v>
      </c>
      <c r="E269" s="0" t="s">
        <v>1041</v>
      </c>
      <c r="F269" s="16">
        <f>HYPERLINK("https://eosportal.federatedhermes.com/engagements/RW5nYWdlbWVudAppMTk1Mjc=", "Eliminate supermajority vote standard")</f>
      </c>
      <c r="G269" s="14" t="s">
        <v>1042</v>
      </c>
      <c r="H269" s="0" t="s">
        <v>141</v>
      </c>
      <c r="I269" s="14" t="s">
        <v>636</v>
      </c>
      <c r="J269" s="0" t="s">
        <v>145</v>
      </c>
      <c r="K269" s="0" t="s">
        <v>400</v>
      </c>
      <c r="L269" s="0" t="s">
        <v>507</v>
      </c>
      <c r="M269" s="0" t="s">
        <v>135</v>
      </c>
      <c r="N269" s="0" t="s">
        <v>136</v>
      </c>
      <c r="O269" s="0" t="s">
        <v>274</v>
      </c>
      <c r="Q269" s="0" t="s">
        <v>130</v>
      </c>
      <c r="R269" s="0" t="s">
        <v>138</v>
      </c>
      <c r="S269" s="14">
        <v>0</v>
      </c>
      <c r="T269" s="0" t="s">
        <v>355</v>
      </c>
      <c r="U269" s="0" t="s">
        <v>138</v>
      </c>
      <c r="V269" s="14" t="s">
        <v>138</v>
      </c>
      <c r="W269" s="0" t="s">
        <v>138</v>
      </c>
      <c r="X269" s="14" t="s">
        <v>138</v>
      </c>
      <c r="Y269" s="0" t="s">
        <v>138</v>
      </c>
      <c r="Z269" s="14" t="s">
        <v>138</v>
      </c>
      <c r="AA269" s="0" t="s">
        <v>138</v>
      </c>
      <c r="AB269" s="14" t="s">
        <v>138</v>
      </c>
      <c r="AD269" s="0" t="s">
        <v>138</v>
      </c>
      <c r="AF269" s="0">
        <v>0</v>
      </c>
      <c r="AG269" s="0">
        <v>0</v>
      </c>
      <c r="AH269" s="0" t="s">
        <v>140</v>
      </c>
      <c r="AI269" s="0" t="s">
        <v>138</v>
      </c>
      <c r="AL269" s="14"/>
      <c r="AN269" s="14"/>
      <c r="AQ269" s="0" t="s">
        <v>130</v>
      </c>
      <c r="AR269" s="0" t="s">
        <v>130</v>
      </c>
      <c r="AS269" s="0" t="s">
        <v>130</v>
      </c>
      <c r="AT269" s="0" t="s">
        <v>130</v>
      </c>
      <c r="AU269" s="0" t="s">
        <v>130</v>
      </c>
      <c r="AV269" s="0" t="s">
        <v>130</v>
      </c>
      <c r="AW269" s="0" t="s">
        <v>130</v>
      </c>
      <c r="AX269" s="0" t="s">
        <v>130</v>
      </c>
      <c r="AY269" s="0" t="s">
        <v>130</v>
      </c>
      <c r="AZ269" s="0" t="s">
        <v>130</v>
      </c>
      <c r="BA269" s="0" t="s">
        <v>130</v>
      </c>
      <c r="BB269" s="0" t="s">
        <v>130</v>
      </c>
      <c r="BC269" s="0" t="s">
        <v>130</v>
      </c>
      <c r="BD269" s="0" t="s">
        <v>130</v>
      </c>
      <c r="BE269" s="0" t="s">
        <v>130</v>
      </c>
      <c r="BF269" s="0" t="s">
        <v>130</v>
      </c>
      <c r="BG269" s="0" t="s">
        <v>130</v>
      </c>
      <c r="BH269" s="0" t="s">
        <v>130</v>
      </c>
      <c r="BI269" s="0" t="s">
        <v>130</v>
      </c>
      <c r="BJ269" s="0" t="s">
        <v>130</v>
      </c>
      <c r="BK269" s="0" t="s">
        <v>130</v>
      </c>
      <c r="BL269" s="0" t="s">
        <v>130</v>
      </c>
      <c r="BM269" s="0" t="s">
        <v>130</v>
      </c>
      <c r="BN269" s="0" t="s">
        <v>130</v>
      </c>
      <c r="BO269" s="0" t="s">
        <v>130</v>
      </c>
      <c r="BP269" s="0" t="s">
        <v>130</v>
      </c>
      <c r="BQ269" s="0" t="s">
        <v>130</v>
      </c>
      <c r="BR269" s="0" t="s">
        <v>130</v>
      </c>
      <c r="BS269" s="0" t="s">
        <v>130</v>
      </c>
      <c r="BT269" s="0" t="s">
        <v>130</v>
      </c>
      <c r="BU269" s="0" t="s">
        <v>130</v>
      </c>
      <c r="BV269" s="0" t="s">
        <v>130</v>
      </c>
      <c r="BW269" s="0" t="s">
        <v>130</v>
      </c>
      <c r="BX269" s="0" t="s">
        <v>130</v>
      </c>
      <c r="BY269" s="0" t="s">
        <v>130</v>
      </c>
      <c r="BZ269" s="0" t="s">
        <v>130</v>
      </c>
      <c r="CA269" s="0" t="s">
        <v>130</v>
      </c>
      <c r="CB269" s="0" t="s">
        <v>130</v>
      </c>
      <c r="CC269" s="0" t="s">
        <v>130</v>
      </c>
      <c r="CD269" s="0" t="s">
        <v>130</v>
      </c>
      <c r="CE269" s="0" t="s">
        <v>130</v>
      </c>
      <c r="CF269" s="0" t="s">
        <v>130</v>
      </c>
      <c r="CG269" s="0" t="s">
        <v>130</v>
      </c>
      <c r="CH269" s="0" t="s">
        <v>130</v>
      </c>
      <c r="CI269" s="0" t="s">
        <v>130</v>
      </c>
      <c r="CJ269" s="0" t="s">
        <v>130</v>
      </c>
      <c r="CK269" s="0" t="s">
        <v>130</v>
      </c>
      <c r="CL269" s="0" t="s">
        <v>130</v>
      </c>
      <c r="CM269" s="0" t="s">
        <v>130</v>
      </c>
      <c r="CN269" s="0" t="s">
        <v>130</v>
      </c>
      <c r="CO269" s="0" t="s">
        <v>130</v>
      </c>
      <c r="CP269" s="0" t="s">
        <v>130</v>
      </c>
      <c r="CQ269" s="0" t="s">
        <v>130</v>
      </c>
      <c r="CR269" s="0" t="s">
        <v>130</v>
      </c>
      <c r="CS269" s="0" t="s">
        <v>130</v>
      </c>
      <c r="CT269" s="0" t="s">
        <v>1043</v>
      </c>
    </row>
    <row r="270">
      <c r="A270" s="14">
        <v>100894</v>
      </c>
      <c r="B270" s="0" t="s">
        <v>1027</v>
      </c>
      <c r="C270" s="16">
        <f>HYPERLINK("https://eosportal.federatedhermes.com/companies/Q29tcGFueQppODU0OTg=", "Eli Lilly &amp; Co")</f>
      </c>
      <c r="D270" s="0" t="s">
        <v>25</v>
      </c>
      <c r="E270" s="0" t="s">
        <v>1044</v>
      </c>
      <c r="F270" s="16">
        <f>HYPERLINK("https://eosportal.federatedhermes.com/engagements/RW5nYWdlbWVudAppMTk1Mjg=", "Classified board")</f>
      </c>
      <c r="G270" s="14" t="s">
        <v>1045</v>
      </c>
      <c r="H270" s="0" t="s">
        <v>141</v>
      </c>
      <c r="I270" s="14" t="s">
        <v>636</v>
      </c>
      <c r="J270" s="0" t="s">
        <v>145</v>
      </c>
      <c r="K270" s="0" t="s">
        <v>400</v>
      </c>
      <c r="L270" s="0" t="s">
        <v>507</v>
      </c>
      <c r="M270" s="0" t="s">
        <v>135</v>
      </c>
      <c r="N270" s="0" t="s">
        <v>136</v>
      </c>
      <c r="O270" s="0" t="s">
        <v>274</v>
      </c>
      <c r="Q270" s="0" t="s">
        <v>130</v>
      </c>
      <c r="R270" s="0" t="s">
        <v>138</v>
      </c>
      <c r="S270" s="14">
        <v>0</v>
      </c>
      <c r="T270" s="0" t="s">
        <v>355</v>
      </c>
      <c r="U270" s="0" t="s">
        <v>138</v>
      </c>
      <c r="V270" s="14" t="s">
        <v>138</v>
      </c>
      <c r="W270" s="0" t="s">
        <v>138</v>
      </c>
      <c r="X270" s="14" t="s">
        <v>138</v>
      </c>
      <c r="Y270" s="0" t="s">
        <v>138</v>
      </c>
      <c r="Z270" s="14" t="s">
        <v>138</v>
      </c>
      <c r="AA270" s="0" t="s">
        <v>138</v>
      </c>
      <c r="AB270" s="14" t="s">
        <v>138</v>
      </c>
      <c r="AD270" s="0" t="s">
        <v>138</v>
      </c>
      <c r="AF270" s="0">
        <v>0</v>
      </c>
      <c r="AG270" s="0">
        <v>0</v>
      </c>
      <c r="AH270" s="0" t="s">
        <v>140</v>
      </c>
      <c r="AI270" s="0" t="s">
        <v>138</v>
      </c>
      <c r="AL270" s="14"/>
      <c r="AN270" s="14"/>
      <c r="AQ270" s="0" t="s">
        <v>130</v>
      </c>
      <c r="AR270" s="0" t="s">
        <v>130</v>
      </c>
      <c r="AS270" s="0" t="s">
        <v>130</v>
      </c>
      <c r="AT270" s="0" t="s">
        <v>130</v>
      </c>
      <c r="AU270" s="0" t="s">
        <v>130</v>
      </c>
      <c r="AV270" s="0" t="s">
        <v>130</v>
      </c>
      <c r="AW270" s="0" t="s">
        <v>130</v>
      </c>
      <c r="AX270" s="0" t="s">
        <v>130</v>
      </c>
      <c r="AY270" s="0" t="s">
        <v>130</v>
      </c>
      <c r="AZ270" s="0" t="s">
        <v>130</v>
      </c>
      <c r="BA270" s="0" t="s">
        <v>130</v>
      </c>
      <c r="BB270" s="0" t="s">
        <v>130</v>
      </c>
      <c r="BC270" s="0" t="s">
        <v>130</v>
      </c>
      <c r="BD270" s="0" t="s">
        <v>130</v>
      </c>
      <c r="BE270" s="0" t="s">
        <v>130</v>
      </c>
      <c r="BF270" s="0" t="s">
        <v>130</v>
      </c>
      <c r="BG270" s="0" t="s">
        <v>130</v>
      </c>
      <c r="BH270" s="0" t="s">
        <v>130</v>
      </c>
      <c r="BI270" s="0" t="s">
        <v>130</v>
      </c>
      <c r="BJ270" s="0" t="s">
        <v>130</v>
      </c>
      <c r="BK270" s="0" t="s">
        <v>130</v>
      </c>
      <c r="BL270" s="0" t="s">
        <v>130</v>
      </c>
      <c r="BM270" s="0" t="s">
        <v>130</v>
      </c>
      <c r="BN270" s="0" t="s">
        <v>130</v>
      </c>
      <c r="BO270" s="0" t="s">
        <v>130</v>
      </c>
      <c r="BP270" s="0" t="s">
        <v>130</v>
      </c>
      <c r="BQ270" s="0" t="s">
        <v>130</v>
      </c>
      <c r="BR270" s="0" t="s">
        <v>130</v>
      </c>
      <c r="BS270" s="0" t="s">
        <v>130</v>
      </c>
      <c r="BT270" s="0" t="s">
        <v>130</v>
      </c>
      <c r="BU270" s="0" t="s">
        <v>130</v>
      </c>
      <c r="BV270" s="0" t="s">
        <v>130</v>
      </c>
      <c r="BW270" s="0" t="s">
        <v>130</v>
      </c>
      <c r="BX270" s="0" t="s">
        <v>130</v>
      </c>
      <c r="BY270" s="0" t="s">
        <v>130</v>
      </c>
      <c r="BZ270" s="0" t="s">
        <v>130</v>
      </c>
      <c r="CA270" s="0" t="s">
        <v>130</v>
      </c>
      <c r="CB270" s="0" t="s">
        <v>130</v>
      </c>
      <c r="CC270" s="0" t="s">
        <v>130</v>
      </c>
      <c r="CD270" s="0" t="s">
        <v>130</v>
      </c>
      <c r="CE270" s="0" t="s">
        <v>130</v>
      </c>
      <c r="CF270" s="0" t="s">
        <v>130</v>
      </c>
      <c r="CG270" s="0" t="s">
        <v>130</v>
      </c>
      <c r="CH270" s="0" t="s">
        <v>130</v>
      </c>
      <c r="CI270" s="0" t="s">
        <v>130</v>
      </c>
      <c r="CJ270" s="0" t="s">
        <v>130</v>
      </c>
      <c r="CK270" s="0" t="s">
        <v>130</v>
      </c>
      <c r="CL270" s="0" t="s">
        <v>130</v>
      </c>
      <c r="CM270" s="0" t="s">
        <v>130</v>
      </c>
      <c r="CN270" s="0" t="s">
        <v>130</v>
      </c>
      <c r="CO270" s="0" t="s">
        <v>130</v>
      </c>
      <c r="CP270" s="0" t="s">
        <v>130</v>
      </c>
      <c r="CQ270" s="0" t="s">
        <v>130</v>
      </c>
      <c r="CR270" s="0" t="s">
        <v>130</v>
      </c>
      <c r="CS270" s="0" t="s">
        <v>130</v>
      </c>
      <c r="CT270" s="0" t="s">
        <v>1046</v>
      </c>
    </row>
    <row r="271">
      <c r="A271" s="14">
        <v>100894</v>
      </c>
      <c r="B271" s="0" t="s">
        <v>1027</v>
      </c>
      <c r="C271" s="16">
        <f>HYPERLINK("https://eosportal.federatedhermes.com/companies/Q29tcGFueQppODU0OTg=", "Eli Lilly &amp; Co")</f>
      </c>
      <c r="D271" s="0" t="s">
        <v>25</v>
      </c>
      <c r="E271" s="0" t="s">
        <v>1047</v>
      </c>
      <c r="F271" s="16">
        <f>HYPERLINK("https://eosportal.federatedhermes.com/engagements/RW5nYWdlbWVudAppMTk1Mjk=", "Governance of artificial intelligence")</f>
      </c>
      <c r="G271" s="14" t="s">
        <v>1048</v>
      </c>
      <c r="H271" s="0" t="s">
        <v>141</v>
      </c>
      <c r="I271" s="14" t="s">
        <v>636</v>
      </c>
      <c r="J271" s="0" t="s">
        <v>132</v>
      </c>
      <c r="K271" s="0" t="s">
        <v>260</v>
      </c>
      <c r="L271" s="0" t="s">
        <v>261</v>
      </c>
      <c r="M271" s="0" t="s">
        <v>135</v>
      </c>
      <c r="N271" s="0" t="s">
        <v>136</v>
      </c>
      <c r="O271" s="0" t="s">
        <v>274</v>
      </c>
      <c r="Q271" s="0" t="s">
        <v>141</v>
      </c>
      <c r="R271" s="0" t="s">
        <v>138</v>
      </c>
      <c r="S271" s="14">
        <v>1</v>
      </c>
      <c r="T271" s="0" t="s">
        <v>230</v>
      </c>
      <c r="U271" s="0" t="s">
        <v>138</v>
      </c>
      <c r="V271" s="14" t="s">
        <v>138</v>
      </c>
      <c r="W271" s="0" t="s">
        <v>138</v>
      </c>
      <c r="X271" s="14" t="s">
        <v>138</v>
      </c>
      <c r="Y271" s="0" t="s">
        <v>138</v>
      </c>
      <c r="Z271" s="14" t="s">
        <v>138</v>
      </c>
      <c r="AA271" s="0" t="s">
        <v>138</v>
      </c>
      <c r="AB271" s="14" t="s">
        <v>138</v>
      </c>
      <c r="AD271" s="0" t="s">
        <v>138</v>
      </c>
      <c r="AF271" s="0">
        <v>0</v>
      </c>
      <c r="AG271" s="0">
        <v>0</v>
      </c>
      <c r="AH271" s="0" t="s">
        <v>140</v>
      </c>
      <c r="AI271" s="0" t="s">
        <v>138</v>
      </c>
      <c r="AK271" s="0" t="s">
        <v>413</v>
      </c>
      <c r="AL271" s="14"/>
      <c r="AN271" s="14"/>
      <c r="AQ271" s="0" t="s">
        <v>130</v>
      </c>
      <c r="AR271" s="0" t="s">
        <v>130</v>
      </c>
      <c r="AS271" s="0" t="s">
        <v>130</v>
      </c>
      <c r="AT271" s="0" t="s">
        <v>130</v>
      </c>
      <c r="AU271" s="0" t="s">
        <v>130</v>
      </c>
      <c r="AV271" s="0" t="s">
        <v>130</v>
      </c>
      <c r="AW271" s="0" t="s">
        <v>130</v>
      </c>
      <c r="AX271" s="0" t="s">
        <v>130</v>
      </c>
      <c r="AY271" s="0" t="s">
        <v>130</v>
      </c>
      <c r="AZ271" s="0" t="s">
        <v>130</v>
      </c>
      <c r="BA271" s="0" t="s">
        <v>130</v>
      </c>
      <c r="BB271" s="0" t="s">
        <v>130</v>
      </c>
      <c r="BC271" s="0" t="s">
        <v>130</v>
      </c>
      <c r="BD271" s="0" t="s">
        <v>130</v>
      </c>
      <c r="BE271" s="0" t="s">
        <v>130</v>
      </c>
      <c r="BF271" s="0" t="s">
        <v>130</v>
      </c>
      <c r="BG271" s="0" t="s">
        <v>130</v>
      </c>
      <c r="BH271" s="0" t="s">
        <v>130</v>
      </c>
      <c r="BI271" s="0" t="s">
        <v>130</v>
      </c>
      <c r="BJ271" s="0" t="s">
        <v>130</v>
      </c>
      <c r="BK271" s="0" t="s">
        <v>130</v>
      </c>
      <c r="BL271" s="0" t="s">
        <v>130</v>
      </c>
      <c r="BM271" s="0" t="s">
        <v>130</v>
      </c>
      <c r="BN271" s="0" t="s">
        <v>130</v>
      </c>
      <c r="BO271" s="0" t="s">
        <v>130</v>
      </c>
      <c r="BP271" s="0" t="s">
        <v>130</v>
      </c>
      <c r="BQ271" s="0" t="s">
        <v>130</v>
      </c>
      <c r="BR271" s="0" t="s">
        <v>130</v>
      </c>
      <c r="BS271" s="0" t="s">
        <v>130</v>
      </c>
      <c r="BT271" s="0" t="s">
        <v>130</v>
      </c>
      <c r="BU271" s="0" t="s">
        <v>130</v>
      </c>
      <c r="BV271" s="0" t="s">
        <v>130</v>
      </c>
      <c r="BW271" s="0" t="s">
        <v>130</v>
      </c>
      <c r="BX271" s="0" t="s">
        <v>130</v>
      </c>
      <c r="BY271" s="0" t="s">
        <v>130</v>
      </c>
      <c r="BZ271" s="0" t="s">
        <v>130</v>
      </c>
      <c r="CA271" s="0" t="s">
        <v>130</v>
      </c>
      <c r="CB271" s="0" t="s">
        <v>130</v>
      </c>
      <c r="CC271" s="0" t="s">
        <v>130</v>
      </c>
      <c r="CD271" s="0" t="s">
        <v>130</v>
      </c>
      <c r="CE271" s="0" t="s">
        <v>130</v>
      </c>
      <c r="CF271" s="0" t="s">
        <v>130</v>
      </c>
      <c r="CG271" s="0" t="s">
        <v>130</v>
      </c>
      <c r="CH271" s="0" t="s">
        <v>130</v>
      </c>
      <c r="CI271" s="0" t="s">
        <v>130</v>
      </c>
      <c r="CJ271" s="0" t="s">
        <v>130</v>
      </c>
      <c r="CK271" s="0" t="s">
        <v>130</v>
      </c>
      <c r="CL271" s="0" t="s">
        <v>130</v>
      </c>
      <c r="CM271" s="0" t="s">
        <v>130</v>
      </c>
      <c r="CN271" s="0" t="s">
        <v>130</v>
      </c>
      <c r="CO271" s="0" t="s">
        <v>130</v>
      </c>
      <c r="CP271" s="0" t="s">
        <v>130</v>
      </c>
      <c r="CQ271" s="0" t="s">
        <v>130</v>
      </c>
      <c r="CR271" s="0" t="s">
        <v>130</v>
      </c>
      <c r="CS271" s="0" t="s">
        <v>130</v>
      </c>
      <c r="CT271" s="0" t="s">
        <v>1049</v>
      </c>
    </row>
    <row r="272">
      <c r="A272" s="14">
        <v>100787</v>
      </c>
      <c r="B272" s="0" t="s">
        <v>1050</v>
      </c>
      <c r="C272" s="16">
        <f>HYPERLINK("https://eosportal.federatedhermes.com/companies/Q29tcGFueQppODU5MzI=", "Trane Technologies plc")</f>
      </c>
      <c r="D272" s="0" t="s">
        <v>25</v>
      </c>
      <c r="E272" s="0" t="s">
        <v>236</v>
      </c>
      <c r="F272" s="16">
        <f>HYPERLINK("https://eosportal.federatedhermes.com/engagements/RW5nYWdlbWVudAppMTk1MzA=", "Executive pay")</f>
      </c>
      <c r="G272" s="14" t="s">
        <v>1051</v>
      </c>
      <c r="H272" s="0" t="s">
        <v>141</v>
      </c>
      <c r="I272" s="14" t="s">
        <v>131</v>
      </c>
      <c r="J272" s="0" t="s">
        <v>145</v>
      </c>
      <c r="K272" s="0" t="s">
        <v>146</v>
      </c>
      <c r="L272" s="0" t="s">
        <v>147</v>
      </c>
      <c r="M272" s="0" t="s">
        <v>378</v>
      </c>
      <c r="N272" s="0" t="s">
        <v>409</v>
      </c>
      <c r="O272" s="0" t="s">
        <v>176</v>
      </c>
      <c r="Q272" s="0" t="s">
        <v>130</v>
      </c>
      <c r="R272" s="0" t="s">
        <v>138</v>
      </c>
      <c r="S272" s="14">
        <v>0</v>
      </c>
      <c r="T272" s="0" t="s">
        <v>487</v>
      </c>
      <c r="U272" s="0" t="s">
        <v>138</v>
      </c>
      <c r="V272" s="14" t="s">
        <v>138</v>
      </c>
      <c r="W272" s="0" t="s">
        <v>138</v>
      </c>
      <c r="X272" s="14" t="s">
        <v>138</v>
      </c>
      <c r="Y272" s="0" t="s">
        <v>138</v>
      </c>
      <c r="Z272" s="14" t="s">
        <v>138</v>
      </c>
      <c r="AA272" s="0" t="s">
        <v>138</v>
      </c>
      <c r="AB272" s="14" t="s">
        <v>138</v>
      </c>
      <c r="AD272" s="0" t="s">
        <v>138</v>
      </c>
      <c r="AF272" s="0">
        <v>0</v>
      </c>
      <c r="AG272" s="0">
        <v>0</v>
      </c>
      <c r="AH272" s="0" t="s">
        <v>140</v>
      </c>
      <c r="AI272" s="0" t="s">
        <v>138</v>
      </c>
      <c r="AL272" s="14"/>
      <c r="AN272" s="14"/>
      <c r="AQ272" s="0" t="s">
        <v>130</v>
      </c>
      <c r="AR272" s="0" t="s">
        <v>130</v>
      </c>
      <c r="AS272" s="0" t="s">
        <v>130</v>
      </c>
      <c r="AT272" s="0" t="s">
        <v>130</v>
      </c>
      <c r="AU272" s="0" t="s">
        <v>130</v>
      </c>
      <c r="AV272" s="0" t="s">
        <v>130</v>
      </c>
      <c r="AW272" s="0" t="s">
        <v>130</v>
      </c>
      <c r="AX272" s="0" t="s">
        <v>130</v>
      </c>
      <c r="AY272" s="0" t="s">
        <v>130</v>
      </c>
      <c r="AZ272" s="0" t="s">
        <v>130</v>
      </c>
      <c r="BA272" s="0" t="s">
        <v>130</v>
      </c>
      <c r="BB272" s="0" t="s">
        <v>130</v>
      </c>
      <c r="BC272" s="0" t="s">
        <v>130</v>
      </c>
      <c r="BD272" s="0" t="s">
        <v>130</v>
      </c>
      <c r="BE272" s="0" t="s">
        <v>130</v>
      </c>
      <c r="BF272" s="0" t="s">
        <v>130</v>
      </c>
      <c r="BG272" s="0" t="s">
        <v>130</v>
      </c>
      <c r="BH272" s="0" t="s">
        <v>130</v>
      </c>
      <c r="BI272" s="0" t="s">
        <v>130</v>
      </c>
      <c r="BJ272" s="0" t="s">
        <v>130</v>
      </c>
      <c r="BK272" s="0" t="s">
        <v>130</v>
      </c>
      <c r="BL272" s="0" t="s">
        <v>130</v>
      </c>
      <c r="BM272" s="0" t="s">
        <v>130</v>
      </c>
      <c r="BN272" s="0" t="s">
        <v>130</v>
      </c>
      <c r="BO272" s="0" t="s">
        <v>130</v>
      </c>
      <c r="BP272" s="0" t="s">
        <v>130</v>
      </c>
      <c r="BQ272" s="0" t="s">
        <v>130</v>
      </c>
      <c r="BR272" s="0" t="s">
        <v>130</v>
      </c>
      <c r="BS272" s="0" t="s">
        <v>130</v>
      </c>
      <c r="BT272" s="0" t="s">
        <v>130</v>
      </c>
      <c r="BU272" s="0" t="s">
        <v>130</v>
      </c>
      <c r="BV272" s="0" t="s">
        <v>130</v>
      </c>
      <c r="BW272" s="0" t="s">
        <v>130</v>
      </c>
      <c r="BX272" s="0" t="s">
        <v>130</v>
      </c>
      <c r="BY272" s="0" t="s">
        <v>130</v>
      </c>
      <c r="BZ272" s="0" t="s">
        <v>130</v>
      </c>
      <c r="CA272" s="0" t="s">
        <v>130</v>
      </c>
      <c r="CB272" s="0" t="s">
        <v>130</v>
      </c>
      <c r="CC272" s="0" t="s">
        <v>130</v>
      </c>
      <c r="CD272" s="0" t="s">
        <v>130</v>
      </c>
      <c r="CE272" s="0" t="s">
        <v>130</v>
      </c>
      <c r="CF272" s="0" t="s">
        <v>130</v>
      </c>
      <c r="CG272" s="0" t="s">
        <v>130</v>
      </c>
      <c r="CH272" s="0" t="s">
        <v>130</v>
      </c>
      <c r="CI272" s="0" t="s">
        <v>130</v>
      </c>
      <c r="CJ272" s="0" t="s">
        <v>130</v>
      </c>
      <c r="CK272" s="0" t="s">
        <v>130</v>
      </c>
      <c r="CL272" s="0" t="s">
        <v>130</v>
      </c>
      <c r="CM272" s="0" t="s">
        <v>130</v>
      </c>
      <c r="CN272" s="0" t="s">
        <v>130</v>
      </c>
      <c r="CO272" s="0" t="s">
        <v>130</v>
      </c>
      <c r="CP272" s="0" t="s">
        <v>130</v>
      </c>
      <c r="CQ272" s="0" t="s">
        <v>130</v>
      </c>
      <c r="CR272" s="0" t="s">
        <v>130</v>
      </c>
      <c r="CS272" s="0" t="s">
        <v>130</v>
      </c>
      <c r="CT272" s="0" t="s">
        <v>1052</v>
      </c>
    </row>
    <row r="273">
      <c r="A273" s="14">
        <v>100787</v>
      </c>
      <c r="B273" s="0" t="s">
        <v>1050</v>
      </c>
      <c r="C273" s="16">
        <f>HYPERLINK("https://eosportal.federatedhermes.com/companies/Q29tcGFueQppODU5MzI=", "Trane Technologies plc")</f>
      </c>
      <c r="D273" s="0" t="s">
        <v>25</v>
      </c>
      <c r="E273" s="0" t="s">
        <v>1053</v>
      </c>
      <c r="F273" s="16">
        <f>HYPERLINK("https://eosportal.federatedhermes.com/engagements/RW5nYWdlbWVudAppMTk1MzE=", "Board Composition")</f>
      </c>
      <c r="G273" s="14" t="s">
        <v>1054</v>
      </c>
      <c r="H273" s="0" t="s">
        <v>141</v>
      </c>
      <c r="I273" s="14" t="s">
        <v>131</v>
      </c>
      <c r="J273" s="0" t="s">
        <v>145</v>
      </c>
      <c r="K273" s="0" t="s">
        <v>164</v>
      </c>
      <c r="L273" s="0" t="s">
        <v>165</v>
      </c>
      <c r="M273" s="0" t="s">
        <v>378</v>
      </c>
      <c r="N273" s="0" t="s">
        <v>409</v>
      </c>
      <c r="O273" s="0" t="s">
        <v>176</v>
      </c>
      <c r="Q273" s="0" t="s">
        <v>130</v>
      </c>
      <c r="R273" s="0" t="s">
        <v>138</v>
      </c>
      <c r="S273" s="14">
        <v>0</v>
      </c>
      <c r="T273" s="0" t="s">
        <v>148</v>
      </c>
      <c r="U273" s="0" t="s">
        <v>138</v>
      </c>
      <c r="V273" s="14" t="s">
        <v>138</v>
      </c>
      <c r="W273" s="0" t="s">
        <v>138</v>
      </c>
      <c r="X273" s="14" t="s">
        <v>138</v>
      </c>
      <c r="Y273" s="0" t="s">
        <v>138</v>
      </c>
      <c r="Z273" s="14" t="s">
        <v>138</v>
      </c>
      <c r="AA273" s="0" t="s">
        <v>138</v>
      </c>
      <c r="AB273" s="14" t="s">
        <v>138</v>
      </c>
      <c r="AD273" s="0" t="s">
        <v>138</v>
      </c>
      <c r="AF273" s="0">
        <v>0</v>
      </c>
      <c r="AG273" s="0">
        <v>0</v>
      </c>
      <c r="AH273" s="0" t="s">
        <v>140</v>
      </c>
      <c r="AI273" s="0" t="s">
        <v>138</v>
      </c>
      <c r="AL273" s="14"/>
      <c r="AN273" s="14"/>
      <c r="AQ273" s="0" t="s">
        <v>130</v>
      </c>
      <c r="AR273" s="0" t="s">
        <v>130</v>
      </c>
      <c r="AS273" s="0" t="s">
        <v>130</v>
      </c>
      <c r="AT273" s="0" t="s">
        <v>130</v>
      </c>
      <c r="AU273" s="0" t="s">
        <v>130</v>
      </c>
      <c r="AV273" s="0" t="s">
        <v>130</v>
      </c>
      <c r="AW273" s="0" t="s">
        <v>130</v>
      </c>
      <c r="AX273" s="0" t="s">
        <v>130</v>
      </c>
      <c r="AY273" s="0" t="s">
        <v>130</v>
      </c>
      <c r="AZ273" s="0" t="s">
        <v>130</v>
      </c>
      <c r="BA273" s="0" t="s">
        <v>130</v>
      </c>
      <c r="BB273" s="0" t="s">
        <v>130</v>
      </c>
      <c r="BC273" s="0" t="s">
        <v>130</v>
      </c>
      <c r="BD273" s="0" t="s">
        <v>130</v>
      </c>
      <c r="BE273" s="0" t="s">
        <v>130</v>
      </c>
      <c r="BF273" s="0" t="s">
        <v>130</v>
      </c>
      <c r="BG273" s="0" t="s">
        <v>130</v>
      </c>
      <c r="BH273" s="0" t="s">
        <v>130</v>
      </c>
      <c r="BI273" s="0" t="s">
        <v>130</v>
      </c>
      <c r="BJ273" s="0" t="s">
        <v>130</v>
      </c>
      <c r="BK273" s="0" t="s">
        <v>130</v>
      </c>
      <c r="BL273" s="0" t="s">
        <v>130</v>
      </c>
      <c r="BM273" s="0" t="s">
        <v>130</v>
      </c>
      <c r="BN273" s="0" t="s">
        <v>130</v>
      </c>
      <c r="BO273" s="0" t="s">
        <v>130</v>
      </c>
      <c r="BP273" s="0" t="s">
        <v>130</v>
      </c>
      <c r="BQ273" s="0" t="s">
        <v>130</v>
      </c>
      <c r="BR273" s="0" t="s">
        <v>130</v>
      </c>
      <c r="BS273" s="0" t="s">
        <v>130</v>
      </c>
      <c r="BT273" s="0" t="s">
        <v>130</v>
      </c>
      <c r="BU273" s="0" t="s">
        <v>130</v>
      </c>
      <c r="BV273" s="0" t="s">
        <v>130</v>
      </c>
      <c r="BW273" s="0" t="s">
        <v>130</v>
      </c>
      <c r="BX273" s="0" t="s">
        <v>130</v>
      </c>
      <c r="BY273" s="0" t="s">
        <v>130</v>
      </c>
      <c r="BZ273" s="0" t="s">
        <v>130</v>
      </c>
      <c r="CA273" s="0" t="s">
        <v>130</v>
      </c>
      <c r="CB273" s="0" t="s">
        <v>130</v>
      </c>
      <c r="CC273" s="0" t="s">
        <v>130</v>
      </c>
      <c r="CD273" s="0" t="s">
        <v>130</v>
      </c>
      <c r="CE273" s="0" t="s">
        <v>130</v>
      </c>
      <c r="CF273" s="0" t="s">
        <v>130</v>
      </c>
      <c r="CG273" s="0" t="s">
        <v>130</v>
      </c>
      <c r="CH273" s="0" t="s">
        <v>130</v>
      </c>
      <c r="CI273" s="0" t="s">
        <v>130</v>
      </c>
      <c r="CJ273" s="0" t="s">
        <v>130</v>
      </c>
      <c r="CK273" s="0" t="s">
        <v>130</v>
      </c>
      <c r="CL273" s="0" t="s">
        <v>130</v>
      </c>
      <c r="CM273" s="0" t="s">
        <v>130</v>
      </c>
      <c r="CN273" s="0" t="s">
        <v>130</v>
      </c>
      <c r="CO273" s="0" t="s">
        <v>130</v>
      </c>
      <c r="CP273" s="0" t="s">
        <v>130</v>
      </c>
      <c r="CQ273" s="0" t="s">
        <v>130</v>
      </c>
      <c r="CR273" s="0" t="s">
        <v>130</v>
      </c>
      <c r="CS273" s="0" t="s">
        <v>130</v>
      </c>
      <c r="CT273" s="0" t="s">
        <v>1055</v>
      </c>
    </row>
    <row r="274">
      <c r="A274" s="14">
        <v>112571</v>
      </c>
      <c r="B274" s="0" t="s">
        <v>1056</v>
      </c>
      <c r="C274" s="16">
        <f>HYPERLINK("https://eosportal.federatedhermes.com/companies/Q29tcGFueQppNTIxNzE=", "Nestle SA")</f>
      </c>
      <c r="D274" s="0" t="s">
        <v>25</v>
      </c>
      <c r="E274" s="0" t="s">
        <v>1057</v>
      </c>
      <c r="F274" s="16">
        <f>HYPERLINK("https://eosportal.federatedhermes.com/engagements/RW5nYWdlbWVudAppMTk3MDY=", "Biodiversity, deforestation, regenerative agriculture")</f>
      </c>
      <c r="G274" s="14" t="s">
        <v>1058</v>
      </c>
      <c r="H274" s="0" t="s">
        <v>141</v>
      </c>
      <c r="I274" s="14" t="s">
        <v>191</v>
      </c>
      <c r="J274" s="0" t="s">
        <v>197</v>
      </c>
      <c r="K274" s="0" t="s">
        <v>337</v>
      </c>
      <c r="L274" s="0" t="s">
        <v>576</v>
      </c>
      <c r="M274" s="0" t="s">
        <v>378</v>
      </c>
      <c r="N274" s="0" t="s">
        <v>1059</v>
      </c>
      <c r="O274" s="0" t="s">
        <v>332</v>
      </c>
      <c r="Q274" s="0" t="s">
        <v>141</v>
      </c>
      <c r="R274" s="0" t="s">
        <v>138</v>
      </c>
      <c r="S274" s="14">
        <v>1</v>
      </c>
      <c r="T274" s="0" t="s">
        <v>139</v>
      </c>
      <c r="U274" s="0" t="s">
        <v>138</v>
      </c>
      <c r="V274" s="14" t="s">
        <v>138</v>
      </c>
      <c r="W274" s="0" t="s">
        <v>138</v>
      </c>
      <c r="X274" s="14" t="s">
        <v>138</v>
      </c>
      <c r="Y274" s="0" t="s">
        <v>138</v>
      </c>
      <c r="Z274" s="14" t="s">
        <v>138</v>
      </c>
      <c r="AA274" s="0" t="s">
        <v>138</v>
      </c>
      <c r="AB274" s="14" t="s">
        <v>138</v>
      </c>
      <c r="AD274" s="0" t="s">
        <v>138</v>
      </c>
      <c r="AF274" s="0">
        <v>0</v>
      </c>
      <c r="AG274" s="0">
        <v>0</v>
      </c>
      <c r="AH274" s="0" t="s">
        <v>140</v>
      </c>
      <c r="AI274" s="0" t="s">
        <v>138</v>
      </c>
      <c r="AK274" s="0" t="s">
        <v>578</v>
      </c>
      <c r="AL274" s="14"/>
      <c r="AN274" s="14"/>
      <c r="AQ274" s="0" t="s">
        <v>130</v>
      </c>
      <c r="AR274" s="0" t="s">
        <v>141</v>
      </c>
      <c r="AS274" s="0" t="s">
        <v>130</v>
      </c>
      <c r="AT274" s="0" t="s">
        <v>130</v>
      </c>
      <c r="AU274" s="0" t="s">
        <v>130</v>
      </c>
      <c r="AV274" s="0" t="s">
        <v>130</v>
      </c>
      <c r="AW274" s="0" t="s">
        <v>130</v>
      </c>
      <c r="AX274" s="0" t="s">
        <v>130</v>
      </c>
      <c r="AY274" s="0" t="s">
        <v>130</v>
      </c>
      <c r="AZ274" s="0" t="s">
        <v>130</v>
      </c>
      <c r="BA274" s="0" t="s">
        <v>130</v>
      </c>
      <c r="BB274" s="0" t="s">
        <v>141</v>
      </c>
      <c r="BC274" s="0" t="s">
        <v>130</v>
      </c>
      <c r="BD274" s="0" t="s">
        <v>130</v>
      </c>
      <c r="BE274" s="0" t="s">
        <v>141</v>
      </c>
      <c r="BF274" s="0" t="s">
        <v>130</v>
      </c>
      <c r="BG274" s="0" t="s">
        <v>130</v>
      </c>
      <c r="BH274" s="0" t="s">
        <v>130</v>
      </c>
      <c r="BI274" s="0" t="s">
        <v>130</v>
      </c>
      <c r="BJ274" s="0" t="s">
        <v>130</v>
      </c>
      <c r="BK274" s="0" t="s">
        <v>130</v>
      </c>
      <c r="BL274" s="0" t="s">
        <v>130</v>
      </c>
      <c r="BM274" s="0" t="s">
        <v>130</v>
      </c>
      <c r="BN274" s="0" t="s">
        <v>130</v>
      </c>
      <c r="BO274" s="0" t="s">
        <v>130</v>
      </c>
      <c r="BP274" s="0" t="s">
        <v>130</v>
      </c>
      <c r="BQ274" s="0" t="s">
        <v>130</v>
      </c>
      <c r="BR274" s="0" t="s">
        <v>130</v>
      </c>
      <c r="BS274" s="0" t="s">
        <v>130</v>
      </c>
      <c r="BT274" s="0" t="s">
        <v>130</v>
      </c>
      <c r="BU274" s="0" t="s">
        <v>130</v>
      </c>
      <c r="BV274" s="0" t="s">
        <v>130</v>
      </c>
      <c r="BW274" s="0" t="s">
        <v>130</v>
      </c>
      <c r="BX274" s="0" t="s">
        <v>130</v>
      </c>
      <c r="BY274" s="0" t="s">
        <v>130</v>
      </c>
      <c r="BZ274" s="0" t="s">
        <v>130</v>
      </c>
      <c r="CA274" s="0" t="s">
        <v>130</v>
      </c>
      <c r="CB274" s="0" t="s">
        <v>130</v>
      </c>
      <c r="CC274" s="0" t="s">
        <v>130</v>
      </c>
      <c r="CD274" s="0" t="s">
        <v>130</v>
      </c>
      <c r="CE274" s="0" t="s">
        <v>130</v>
      </c>
      <c r="CF274" s="0" t="s">
        <v>130</v>
      </c>
      <c r="CG274" s="0" t="s">
        <v>130</v>
      </c>
      <c r="CH274" s="0" t="s">
        <v>130</v>
      </c>
      <c r="CI274" s="0" t="s">
        <v>130</v>
      </c>
      <c r="CJ274" s="0" t="s">
        <v>130</v>
      </c>
      <c r="CK274" s="0" t="s">
        <v>130</v>
      </c>
      <c r="CL274" s="0" t="s">
        <v>130</v>
      </c>
      <c r="CM274" s="0" t="s">
        <v>130</v>
      </c>
      <c r="CN274" s="0" t="s">
        <v>130</v>
      </c>
      <c r="CO274" s="0" t="s">
        <v>130</v>
      </c>
      <c r="CP274" s="0" t="s">
        <v>130</v>
      </c>
      <c r="CQ274" s="0" t="s">
        <v>130</v>
      </c>
      <c r="CR274" s="0" t="s">
        <v>130</v>
      </c>
      <c r="CS274" s="0" t="s">
        <v>130</v>
      </c>
      <c r="CT274" s="0" t="s">
        <v>1060</v>
      </c>
    </row>
    <row r="275">
      <c r="A275" s="14">
        <v>112571</v>
      </c>
      <c r="B275" s="0" t="s">
        <v>1056</v>
      </c>
      <c r="C275" s="16">
        <f>HYPERLINK("https://eosportal.federatedhermes.com/companies/Q29tcGFueQppNTIxNzE=", "Nestle SA")</f>
      </c>
      <c r="D275" s="0" t="s">
        <v>23</v>
      </c>
      <c r="E275" s="0" t="s">
        <v>652</v>
      </c>
      <c r="F275" s="16">
        <f>HYPERLINK("https://eosportal.federatedhermes.com/engagements/RW5nYWdlbWVudAppMTk3MTI=", "Protein diversification")</f>
      </c>
      <c r="G275" s="14" t="s">
        <v>1061</v>
      </c>
      <c r="H275" s="0" t="s">
        <v>141</v>
      </c>
      <c r="I275" s="14" t="s">
        <v>191</v>
      </c>
      <c r="J275" s="0" t="s">
        <v>197</v>
      </c>
      <c r="K275" s="0" t="s">
        <v>337</v>
      </c>
      <c r="L275" s="0" t="s">
        <v>576</v>
      </c>
      <c r="M275" s="0" t="s">
        <v>378</v>
      </c>
      <c r="N275" s="0" t="s">
        <v>1059</v>
      </c>
      <c r="O275" s="0" t="s">
        <v>332</v>
      </c>
      <c r="Q275" s="0" t="s">
        <v>141</v>
      </c>
      <c r="R275" s="0" t="s">
        <v>130</v>
      </c>
      <c r="S275" s="14">
        <v>1</v>
      </c>
      <c r="T275" s="0" t="s">
        <v>139</v>
      </c>
      <c r="U275" s="0" t="s">
        <v>221</v>
      </c>
      <c r="V275" s="14" t="s">
        <v>139</v>
      </c>
      <c r="W275" s="0" t="s">
        <v>221</v>
      </c>
      <c r="X275" s="14" t="s">
        <v>231</v>
      </c>
      <c r="Y275" s="0" t="s">
        <v>223</v>
      </c>
      <c r="Z275" s="14" t="s">
        <v>138</v>
      </c>
      <c r="AA275" s="0" t="s">
        <v>224</v>
      </c>
      <c r="AB275" s="14" t="s">
        <v>138</v>
      </c>
      <c r="AD275" s="0" t="s">
        <v>17</v>
      </c>
      <c r="AF275" s="0">
        <v>0</v>
      </c>
      <c r="AG275" s="0">
        <v>0</v>
      </c>
      <c r="AH275" s="0" t="s">
        <v>140</v>
      </c>
      <c r="AI275" s="0" t="s">
        <v>479</v>
      </c>
      <c r="AK275" s="0" t="s">
        <v>578</v>
      </c>
      <c r="AL275" s="14"/>
      <c r="AN275" s="14"/>
      <c r="AQ275" s="0" t="s">
        <v>130</v>
      </c>
      <c r="AR275" s="0" t="s">
        <v>141</v>
      </c>
      <c r="AS275" s="0" t="s">
        <v>130</v>
      </c>
      <c r="AT275" s="0" t="s">
        <v>130</v>
      </c>
      <c r="AU275" s="0" t="s">
        <v>130</v>
      </c>
      <c r="AV275" s="0" t="s">
        <v>130</v>
      </c>
      <c r="AW275" s="0" t="s">
        <v>130</v>
      </c>
      <c r="AX275" s="0" t="s">
        <v>130</v>
      </c>
      <c r="AY275" s="0" t="s">
        <v>130</v>
      </c>
      <c r="AZ275" s="0" t="s">
        <v>130</v>
      </c>
      <c r="BA275" s="0" t="s">
        <v>130</v>
      </c>
      <c r="BB275" s="0" t="s">
        <v>141</v>
      </c>
      <c r="BC275" s="0" t="s">
        <v>130</v>
      </c>
      <c r="BD275" s="0" t="s">
        <v>130</v>
      </c>
      <c r="BE275" s="0" t="s">
        <v>141</v>
      </c>
      <c r="BF275" s="0" t="s">
        <v>130</v>
      </c>
      <c r="BG275" s="0" t="s">
        <v>130</v>
      </c>
      <c r="BH275" s="0" t="s">
        <v>130</v>
      </c>
      <c r="BI275" s="0" t="s">
        <v>130</v>
      </c>
      <c r="BJ275" s="0" t="s">
        <v>130</v>
      </c>
      <c r="BK275" s="0" t="s">
        <v>130</v>
      </c>
      <c r="BL275" s="0" t="s">
        <v>130</v>
      </c>
      <c r="BM275" s="0" t="s">
        <v>130</v>
      </c>
      <c r="BN275" s="0" t="s">
        <v>130</v>
      </c>
      <c r="BO275" s="0" t="s">
        <v>130</v>
      </c>
      <c r="BP275" s="0" t="s">
        <v>130</v>
      </c>
      <c r="BQ275" s="0" t="s">
        <v>130</v>
      </c>
      <c r="BR275" s="0" t="s">
        <v>130</v>
      </c>
      <c r="BS275" s="0" t="s">
        <v>130</v>
      </c>
      <c r="BT275" s="0" t="s">
        <v>130</v>
      </c>
      <c r="BU275" s="0" t="s">
        <v>130</v>
      </c>
      <c r="BV275" s="0" t="s">
        <v>130</v>
      </c>
      <c r="BW275" s="0" t="s">
        <v>130</v>
      </c>
      <c r="BX275" s="0" t="s">
        <v>130</v>
      </c>
      <c r="BY275" s="0" t="s">
        <v>130</v>
      </c>
      <c r="BZ275" s="0" t="s">
        <v>130</v>
      </c>
      <c r="CA275" s="0" t="s">
        <v>130</v>
      </c>
      <c r="CB275" s="0" t="s">
        <v>130</v>
      </c>
      <c r="CC275" s="0" t="s">
        <v>130</v>
      </c>
      <c r="CD275" s="0" t="s">
        <v>130</v>
      </c>
      <c r="CE275" s="0" t="s">
        <v>130</v>
      </c>
      <c r="CF275" s="0" t="s">
        <v>130</v>
      </c>
      <c r="CG275" s="0" t="s">
        <v>130</v>
      </c>
      <c r="CH275" s="0" t="s">
        <v>130</v>
      </c>
      <c r="CI275" s="0" t="s">
        <v>130</v>
      </c>
      <c r="CJ275" s="0" t="s">
        <v>130</v>
      </c>
      <c r="CK275" s="0" t="s">
        <v>130</v>
      </c>
      <c r="CL275" s="0" t="s">
        <v>130</v>
      </c>
      <c r="CM275" s="0" t="s">
        <v>130</v>
      </c>
      <c r="CN275" s="0" t="s">
        <v>130</v>
      </c>
      <c r="CO275" s="0" t="s">
        <v>130</v>
      </c>
      <c r="CP275" s="0" t="s">
        <v>130</v>
      </c>
      <c r="CQ275" s="0" t="s">
        <v>130</v>
      </c>
      <c r="CR275" s="0" t="s">
        <v>130</v>
      </c>
      <c r="CS275" s="0" t="s">
        <v>130</v>
      </c>
      <c r="CT275" s="0" t="s">
        <v>1062</v>
      </c>
    </row>
    <row r="276">
      <c r="A276" s="14">
        <v>112571</v>
      </c>
      <c r="B276" s="0" t="s">
        <v>1056</v>
      </c>
      <c r="C276" s="16">
        <f>HYPERLINK("https://eosportal.federatedhermes.com/companies/Q29tcGFueQppNTIxNzE=", "Nestle SA")</f>
      </c>
      <c r="D276" s="0" t="s">
        <v>23</v>
      </c>
      <c r="E276" s="0" t="s">
        <v>1063</v>
      </c>
      <c r="F276" s="16">
        <f>HYPERLINK("https://eosportal.federatedhermes.com/engagements/RW5nYWdlbWVudAppMTk3MTQ=", "Board evaluation")</f>
      </c>
      <c r="G276" s="14" t="s">
        <v>1064</v>
      </c>
      <c r="H276" s="0" t="s">
        <v>141</v>
      </c>
      <c r="I276" s="14" t="s">
        <v>191</v>
      </c>
      <c r="J276" s="0" t="s">
        <v>145</v>
      </c>
      <c r="K276" s="0" t="s">
        <v>164</v>
      </c>
      <c r="L276" s="0" t="s">
        <v>970</v>
      </c>
      <c r="M276" s="0" t="s">
        <v>378</v>
      </c>
      <c r="N276" s="0" t="s">
        <v>1059</v>
      </c>
      <c r="O276" s="0" t="s">
        <v>332</v>
      </c>
      <c r="Q276" s="0" t="s">
        <v>130</v>
      </c>
      <c r="R276" s="0" t="s">
        <v>130</v>
      </c>
      <c r="S276" s="14">
        <v>0</v>
      </c>
      <c r="T276" s="0" t="s">
        <v>193</v>
      </c>
      <c r="U276" s="0" t="s">
        <v>221</v>
      </c>
      <c r="V276" s="14" t="s">
        <v>193</v>
      </c>
      <c r="W276" s="0" t="s">
        <v>223</v>
      </c>
      <c r="X276" s="14" t="s">
        <v>138</v>
      </c>
      <c r="Y276" s="0" t="s">
        <v>224</v>
      </c>
      <c r="Z276" s="14" t="s">
        <v>138</v>
      </c>
      <c r="AA276" s="0" t="s">
        <v>224</v>
      </c>
      <c r="AB276" s="14" t="s">
        <v>138</v>
      </c>
      <c r="AD276" s="0" t="s">
        <v>14</v>
      </c>
      <c r="AF276" s="0">
        <v>0</v>
      </c>
      <c r="AG276" s="0">
        <v>0</v>
      </c>
      <c r="AH276" s="0" t="s">
        <v>140</v>
      </c>
      <c r="AI276" s="0" t="s">
        <v>225</v>
      </c>
      <c r="AL276" s="14"/>
      <c r="AN276" s="14"/>
      <c r="AQ276" s="0" t="s">
        <v>130</v>
      </c>
      <c r="AR276" s="0" t="s">
        <v>130</v>
      </c>
      <c r="AS276" s="0" t="s">
        <v>130</v>
      </c>
      <c r="AT276" s="0" t="s">
        <v>130</v>
      </c>
      <c r="AU276" s="0" t="s">
        <v>130</v>
      </c>
      <c r="AV276" s="0" t="s">
        <v>130</v>
      </c>
      <c r="AW276" s="0" t="s">
        <v>130</v>
      </c>
      <c r="AX276" s="0" t="s">
        <v>130</v>
      </c>
      <c r="AY276" s="0" t="s">
        <v>130</v>
      </c>
      <c r="AZ276" s="0" t="s">
        <v>130</v>
      </c>
      <c r="BA276" s="0" t="s">
        <v>130</v>
      </c>
      <c r="BB276" s="0" t="s">
        <v>130</v>
      </c>
      <c r="BC276" s="0" t="s">
        <v>130</v>
      </c>
      <c r="BD276" s="0" t="s">
        <v>130</v>
      </c>
      <c r="BE276" s="0" t="s">
        <v>130</v>
      </c>
      <c r="BF276" s="0" t="s">
        <v>130</v>
      </c>
      <c r="BG276" s="0" t="s">
        <v>130</v>
      </c>
      <c r="BH276" s="0" t="s">
        <v>130</v>
      </c>
      <c r="BI276" s="0" t="s">
        <v>130</v>
      </c>
      <c r="BJ276" s="0" t="s">
        <v>130</v>
      </c>
      <c r="BK276" s="0" t="s">
        <v>130</v>
      </c>
      <c r="BL276" s="0" t="s">
        <v>130</v>
      </c>
      <c r="BM276" s="0" t="s">
        <v>130</v>
      </c>
      <c r="BN276" s="0" t="s">
        <v>130</v>
      </c>
      <c r="BO276" s="0" t="s">
        <v>130</v>
      </c>
      <c r="BP276" s="0" t="s">
        <v>130</v>
      </c>
      <c r="BQ276" s="0" t="s">
        <v>130</v>
      </c>
      <c r="BR276" s="0" t="s">
        <v>130</v>
      </c>
      <c r="BS276" s="0" t="s">
        <v>130</v>
      </c>
      <c r="BT276" s="0" t="s">
        <v>130</v>
      </c>
      <c r="BU276" s="0" t="s">
        <v>130</v>
      </c>
      <c r="BV276" s="0" t="s">
        <v>130</v>
      </c>
      <c r="BW276" s="0" t="s">
        <v>130</v>
      </c>
      <c r="BX276" s="0" t="s">
        <v>130</v>
      </c>
      <c r="BY276" s="0" t="s">
        <v>130</v>
      </c>
      <c r="BZ276" s="0" t="s">
        <v>130</v>
      </c>
      <c r="CA276" s="0" t="s">
        <v>130</v>
      </c>
      <c r="CB276" s="0" t="s">
        <v>130</v>
      </c>
      <c r="CC276" s="0" t="s">
        <v>130</v>
      </c>
      <c r="CD276" s="0" t="s">
        <v>130</v>
      </c>
      <c r="CE276" s="0" t="s">
        <v>130</v>
      </c>
      <c r="CF276" s="0" t="s">
        <v>130</v>
      </c>
      <c r="CG276" s="0" t="s">
        <v>130</v>
      </c>
      <c r="CH276" s="0" t="s">
        <v>130</v>
      </c>
      <c r="CI276" s="0" t="s">
        <v>130</v>
      </c>
      <c r="CJ276" s="0" t="s">
        <v>130</v>
      </c>
      <c r="CK276" s="0" t="s">
        <v>130</v>
      </c>
      <c r="CL276" s="0" t="s">
        <v>130</v>
      </c>
      <c r="CM276" s="0" t="s">
        <v>130</v>
      </c>
      <c r="CN276" s="0" t="s">
        <v>130</v>
      </c>
      <c r="CO276" s="0" t="s">
        <v>130</v>
      </c>
      <c r="CP276" s="0" t="s">
        <v>130</v>
      </c>
      <c r="CQ276" s="0" t="s">
        <v>130</v>
      </c>
      <c r="CR276" s="0" t="s">
        <v>130</v>
      </c>
      <c r="CS276" s="0" t="s">
        <v>130</v>
      </c>
      <c r="CT276" s="0" t="s">
        <v>1065</v>
      </c>
    </row>
    <row r="277">
      <c r="A277" s="14">
        <v>112571</v>
      </c>
      <c r="B277" s="0" t="s">
        <v>1056</v>
      </c>
      <c r="C277" s="16">
        <f>HYPERLINK("https://eosportal.federatedhermes.com/companies/Q29tcGFueQppNTIxNzE=", "Nestle SA")</f>
      </c>
      <c r="D277" s="0" t="s">
        <v>25</v>
      </c>
      <c r="E277" s="0" t="s">
        <v>1066</v>
      </c>
      <c r="F277" s="16">
        <f>HYPERLINK("https://eosportal.federatedhermes.com/engagements/RW5nYWdlbWVudAppMTk3MTU=", "Access To Nutrition")</f>
      </c>
      <c r="G277" s="14" t="s">
        <v>1067</v>
      </c>
      <c r="H277" s="0" t="s">
        <v>141</v>
      </c>
      <c r="I277" s="14" t="s">
        <v>191</v>
      </c>
      <c r="J277" s="0" t="s">
        <v>153</v>
      </c>
      <c r="K277" s="0" t="s">
        <v>243</v>
      </c>
      <c r="L277" s="0" t="s">
        <v>292</v>
      </c>
      <c r="M277" s="0" t="s">
        <v>378</v>
      </c>
      <c r="N277" s="0" t="s">
        <v>1059</v>
      </c>
      <c r="O277" s="0" t="s">
        <v>332</v>
      </c>
      <c r="Q277" s="0" t="s">
        <v>141</v>
      </c>
      <c r="R277" s="0" t="s">
        <v>138</v>
      </c>
      <c r="S277" s="14">
        <v>1</v>
      </c>
      <c r="T277" s="0" t="s">
        <v>333</v>
      </c>
      <c r="U277" s="0" t="s">
        <v>138</v>
      </c>
      <c r="V277" s="14" t="s">
        <v>138</v>
      </c>
      <c r="W277" s="0" t="s">
        <v>138</v>
      </c>
      <c r="X277" s="14" t="s">
        <v>138</v>
      </c>
      <c r="Y277" s="0" t="s">
        <v>138</v>
      </c>
      <c r="Z277" s="14" t="s">
        <v>138</v>
      </c>
      <c r="AA277" s="0" t="s">
        <v>138</v>
      </c>
      <c r="AB277" s="14" t="s">
        <v>138</v>
      </c>
      <c r="AD277" s="0" t="s">
        <v>138</v>
      </c>
      <c r="AF277" s="0">
        <v>0</v>
      </c>
      <c r="AG277" s="0">
        <v>0</v>
      </c>
      <c r="AH277" s="0" t="s">
        <v>140</v>
      </c>
      <c r="AI277" s="0" t="s">
        <v>138</v>
      </c>
      <c r="AK277" s="0" t="s">
        <v>578</v>
      </c>
      <c r="AL277" s="14"/>
      <c r="AN277" s="14"/>
      <c r="AQ277" s="0" t="s">
        <v>130</v>
      </c>
      <c r="AR277" s="0" t="s">
        <v>141</v>
      </c>
      <c r="AS277" s="0" t="s">
        <v>130</v>
      </c>
      <c r="AT277" s="0" t="s">
        <v>130</v>
      </c>
      <c r="AU277" s="0" t="s">
        <v>130</v>
      </c>
      <c r="AV277" s="0" t="s">
        <v>130</v>
      </c>
      <c r="AW277" s="0" t="s">
        <v>130</v>
      </c>
      <c r="AX277" s="0" t="s">
        <v>130</v>
      </c>
      <c r="AY277" s="0" t="s">
        <v>130</v>
      </c>
      <c r="AZ277" s="0" t="s">
        <v>130</v>
      </c>
      <c r="BA277" s="0" t="s">
        <v>130</v>
      </c>
      <c r="BB277" s="0" t="s">
        <v>130</v>
      </c>
      <c r="BC277" s="0" t="s">
        <v>130</v>
      </c>
      <c r="BD277" s="0" t="s">
        <v>130</v>
      </c>
      <c r="BE277" s="0" t="s">
        <v>130</v>
      </c>
      <c r="BF277" s="0" t="s">
        <v>130</v>
      </c>
      <c r="BG277" s="0" t="s">
        <v>130</v>
      </c>
      <c r="BH277" s="0" t="s">
        <v>130</v>
      </c>
      <c r="BI277" s="0" t="s">
        <v>130</v>
      </c>
      <c r="BJ277" s="0" t="s">
        <v>130</v>
      </c>
      <c r="BK277" s="0" t="s">
        <v>130</v>
      </c>
      <c r="BL277" s="0" t="s">
        <v>130</v>
      </c>
      <c r="BM277" s="0" t="s">
        <v>130</v>
      </c>
      <c r="BN277" s="0" t="s">
        <v>130</v>
      </c>
      <c r="BO277" s="0" t="s">
        <v>130</v>
      </c>
      <c r="BP277" s="0" t="s">
        <v>130</v>
      </c>
      <c r="BQ277" s="0" t="s">
        <v>130</v>
      </c>
      <c r="BR277" s="0" t="s">
        <v>130</v>
      </c>
      <c r="BS277" s="0" t="s">
        <v>130</v>
      </c>
      <c r="BT277" s="0" t="s">
        <v>130</v>
      </c>
      <c r="BU277" s="0" t="s">
        <v>130</v>
      </c>
      <c r="BV277" s="0" t="s">
        <v>130</v>
      </c>
      <c r="BW277" s="0" t="s">
        <v>130</v>
      </c>
      <c r="BX277" s="0" t="s">
        <v>130</v>
      </c>
      <c r="BY277" s="0" t="s">
        <v>130</v>
      </c>
      <c r="BZ277" s="0" t="s">
        <v>130</v>
      </c>
      <c r="CA277" s="0" t="s">
        <v>130</v>
      </c>
      <c r="CB277" s="0" t="s">
        <v>130</v>
      </c>
      <c r="CC277" s="0" t="s">
        <v>130</v>
      </c>
      <c r="CD277" s="0" t="s">
        <v>130</v>
      </c>
      <c r="CE277" s="0" t="s">
        <v>130</v>
      </c>
      <c r="CF277" s="0" t="s">
        <v>130</v>
      </c>
      <c r="CG277" s="0" t="s">
        <v>130</v>
      </c>
      <c r="CH277" s="0" t="s">
        <v>130</v>
      </c>
      <c r="CI277" s="0" t="s">
        <v>130</v>
      </c>
      <c r="CJ277" s="0" t="s">
        <v>130</v>
      </c>
      <c r="CK277" s="0" t="s">
        <v>130</v>
      </c>
      <c r="CL277" s="0" t="s">
        <v>130</v>
      </c>
      <c r="CM277" s="0" t="s">
        <v>130</v>
      </c>
      <c r="CN277" s="0" t="s">
        <v>130</v>
      </c>
      <c r="CO277" s="0" t="s">
        <v>130</v>
      </c>
      <c r="CP277" s="0" t="s">
        <v>130</v>
      </c>
      <c r="CQ277" s="0" t="s">
        <v>130</v>
      </c>
      <c r="CR277" s="0" t="s">
        <v>130</v>
      </c>
      <c r="CS277" s="0" t="s">
        <v>130</v>
      </c>
      <c r="CT277" s="0" t="s">
        <v>1068</v>
      </c>
    </row>
    <row r="278">
      <c r="A278" s="14">
        <v>112571</v>
      </c>
      <c r="B278" s="0" t="s">
        <v>1056</v>
      </c>
      <c r="C278" s="16">
        <f>HYPERLINK("https://eosportal.federatedhermes.com/companies/Q29tcGFueQppNTIxNzE=", "Nestle SA")</f>
      </c>
      <c r="D278" s="0" t="s">
        <v>25</v>
      </c>
      <c r="E278" s="0" t="s">
        <v>1069</v>
      </c>
      <c r="F278" s="16">
        <f>HYPERLINK("https://eosportal.federatedhermes.com/engagements/RW5nYWdlbWVudAppMTk3MTY=", "Water management")</f>
      </c>
      <c r="G278" s="14" t="s">
        <v>1070</v>
      </c>
      <c r="H278" s="0" t="s">
        <v>141</v>
      </c>
      <c r="I278" s="14" t="s">
        <v>191</v>
      </c>
      <c r="J278" s="0" t="s">
        <v>197</v>
      </c>
      <c r="K278" s="0" t="s">
        <v>337</v>
      </c>
      <c r="L278" s="0" t="s">
        <v>338</v>
      </c>
      <c r="M278" s="0" t="s">
        <v>378</v>
      </c>
      <c r="N278" s="0" t="s">
        <v>1059</v>
      </c>
      <c r="O278" s="0" t="s">
        <v>332</v>
      </c>
      <c r="Q278" s="0" t="s">
        <v>130</v>
      </c>
      <c r="R278" s="0" t="s">
        <v>138</v>
      </c>
      <c r="S278" s="14">
        <v>0</v>
      </c>
      <c r="T278" s="0" t="s">
        <v>384</v>
      </c>
      <c r="U278" s="0" t="s">
        <v>138</v>
      </c>
      <c r="V278" s="14" t="s">
        <v>138</v>
      </c>
      <c r="W278" s="0" t="s">
        <v>138</v>
      </c>
      <c r="X278" s="14" t="s">
        <v>138</v>
      </c>
      <c r="Y278" s="0" t="s">
        <v>138</v>
      </c>
      <c r="Z278" s="14" t="s">
        <v>138</v>
      </c>
      <c r="AA278" s="0" t="s">
        <v>138</v>
      </c>
      <c r="AB278" s="14" t="s">
        <v>138</v>
      </c>
      <c r="AD278" s="0" t="s">
        <v>138</v>
      </c>
      <c r="AF278" s="0">
        <v>0</v>
      </c>
      <c r="AG278" s="0">
        <v>0</v>
      </c>
      <c r="AH278" s="0" t="s">
        <v>140</v>
      </c>
      <c r="AI278" s="0" t="s">
        <v>138</v>
      </c>
      <c r="AL278" s="14"/>
      <c r="AN278" s="14"/>
      <c r="AQ278" s="0" t="s">
        <v>130</v>
      </c>
      <c r="AR278" s="0" t="s">
        <v>130</v>
      </c>
      <c r="AS278" s="0" t="s">
        <v>130</v>
      </c>
      <c r="AT278" s="0" t="s">
        <v>130</v>
      </c>
      <c r="AU278" s="0" t="s">
        <v>130</v>
      </c>
      <c r="AV278" s="0" t="s">
        <v>141</v>
      </c>
      <c r="AW278" s="0" t="s">
        <v>130</v>
      </c>
      <c r="AX278" s="0" t="s">
        <v>130</v>
      </c>
      <c r="AY278" s="0" t="s">
        <v>130</v>
      </c>
      <c r="AZ278" s="0" t="s">
        <v>130</v>
      </c>
      <c r="BA278" s="0" t="s">
        <v>130</v>
      </c>
      <c r="BB278" s="0" t="s">
        <v>130</v>
      </c>
      <c r="BC278" s="0" t="s">
        <v>130</v>
      </c>
      <c r="BD278" s="0" t="s">
        <v>130</v>
      </c>
      <c r="BE278" s="0" t="s">
        <v>130</v>
      </c>
      <c r="BF278" s="0" t="s">
        <v>130</v>
      </c>
      <c r="BG278" s="0" t="s">
        <v>130</v>
      </c>
      <c r="BH278" s="0" t="s">
        <v>130</v>
      </c>
      <c r="BI278" s="0" t="s">
        <v>130</v>
      </c>
      <c r="BJ278" s="0" t="s">
        <v>130</v>
      </c>
      <c r="BK278" s="0" t="s">
        <v>130</v>
      </c>
      <c r="BL278" s="0" t="s">
        <v>130</v>
      </c>
      <c r="BM278" s="0" t="s">
        <v>130</v>
      </c>
      <c r="BN278" s="0" t="s">
        <v>130</v>
      </c>
      <c r="BO278" s="0" t="s">
        <v>130</v>
      </c>
      <c r="BP278" s="0" t="s">
        <v>130</v>
      </c>
      <c r="BQ278" s="0" t="s">
        <v>130</v>
      </c>
      <c r="BR278" s="0" t="s">
        <v>130</v>
      </c>
      <c r="BS278" s="0" t="s">
        <v>130</v>
      </c>
      <c r="BT278" s="0" t="s">
        <v>130</v>
      </c>
      <c r="BU278" s="0" t="s">
        <v>130</v>
      </c>
      <c r="BV278" s="0" t="s">
        <v>130</v>
      </c>
      <c r="BW278" s="0" t="s">
        <v>130</v>
      </c>
      <c r="BX278" s="0" t="s">
        <v>141</v>
      </c>
      <c r="BY278" s="0" t="s">
        <v>130</v>
      </c>
      <c r="BZ278" s="0" t="s">
        <v>130</v>
      </c>
      <c r="CA278" s="0" t="s">
        <v>130</v>
      </c>
      <c r="CB278" s="0" t="s">
        <v>130</v>
      </c>
      <c r="CC278" s="0" t="s">
        <v>130</v>
      </c>
      <c r="CD278" s="0" t="s">
        <v>130</v>
      </c>
      <c r="CE278" s="0" t="s">
        <v>130</v>
      </c>
      <c r="CF278" s="0" t="s">
        <v>130</v>
      </c>
      <c r="CG278" s="0" t="s">
        <v>130</v>
      </c>
      <c r="CH278" s="0" t="s">
        <v>130</v>
      </c>
      <c r="CI278" s="0" t="s">
        <v>130</v>
      </c>
      <c r="CJ278" s="0" t="s">
        <v>130</v>
      </c>
      <c r="CK278" s="0" t="s">
        <v>130</v>
      </c>
      <c r="CL278" s="0" t="s">
        <v>130</v>
      </c>
      <c r="CM278" s="0" t="s">
        <v>130</v>
      </c>
      <c r="CN278" s="0" t="s">
        <v>130</v>
      </c>
      <c r="CO278" s="0" t="s">
        <v>130</v>
      </c>
      <c r="CP278" s="0" t="s">
        <v>130</v>
      </c>
      <c r="CQ278" s="0" t="s">
        <v>130</v>
      </c>
      <c r="CR278" s="0" t="s">
        <v>130</v>
      </c>
      <c r="CS278" s="0" t="s">
        <v>130</v>
      </c>
      <c r="CT278" s="0" t="s">
        <v>1071</v>
      </c>
    </row>
    <row r="279">
      <c r="A279" s="14">
        <v>112571</v>
      </c>
      <c r="B279" s="0" t="s">
        <v>1056</v>
      </c>
      <c r="C279" s="16">
        <f>HYPERLINK("https://eosportal.federatedhermes.com/companies/Q29tcGFueQppNTIxNzE=", "Nestle SA")</f>
      </c>
      <c r="D279" s="0" t="s">
        <v>25</v>
      </c>
      <c r="E279" s="0" t="s">
        <v>1072</v>
      </c>
      <c r="F279" s="16">
        <f>HYPERLINK("https://eosportal.federatedhermes.com/engagements/RW5nYWdlbWVudAppMTk3MTg=", "Zimbabwe Operations")</f>
      </c>
      <c r="G279" s="14" t="s">
        <v>1073</v>
      </c>
      <c r="H279" s="0" t="s">
        <v>141</v>
      </c>
      <c r="I279" s="14" t="s">
        <v>191</v>
      </c>
      <c r="J279" s="0" t="s">
        <v>153</v>
      </c>
      <c r="K279" s="0" t="s">
        <v>243</v>
      </c>
      <c r="L279" s="0" t="s">
        <v>456</v>
      </c>
      <c r="M279" s="0" t="s">
        <v>378</v>
      </c>
      <c r="N279" s="0" t="s">
        <v>1059</v>
      </c>
      <c r="O279" s="0" t="s">
        <v>332</v>
      </c>
      <c r="Q279" s="0" t="s">
        <v>130</v>
      </c>
      <c r="R279" s="0" t="s">
        <v>138</v>
      </c>
      <c r="S279" s="14">
        <v>0</v>
      </c>
      <c r="T279" s="0" t="s">
        <v>1074</v>
      </c>
      <c r="U279" s="0" t="s">
        <v>138</v>
      </c>
      <c r="V279" s="14" t="s">
        <v>138</v>
      </c>
      <c r="W279" s="0" t="s">
        <v>138</v>
      </c>
      <c r="X279" s="14" t="s">
        <v>138</v>
      </c>
      <c r="Y279" s="0" t="s">
        <v>138</v>
      </c>
      <c r="Z279" s="14" t="s">
        <v>138</v>
      </c>
      <c r="AA279" s="0" t="s">
        <v>138</v>
      </c>
      <c r="AB279" s="14" t="s">
        <v>138</v>
      </c>
      <c r="AD279" s="0" t="s">
        <v>138</v>
      </c>
      <c r="AF279" s="0">
        <v>0</v>
      </c>
      <c r="AG279" s="0">
        <v>0</v>
      </c>
      <c r="AH279" s="0" t="s">
        <v>140</v>
      </c>
      <c r="AI279" s="0" t="s">
        <v>138</v>
      </c>
      <c r="AL279" s="14"/>
      <c r="AN279" s="14"/>
      <c r="AQ279" s="0" t="s">
        <v>130</v>
      </c>
      <c r="AR279" s="0" t="s">
        <v>130</v>
      </c>
      <c r="AS279" s="0" t="s">
        <v>130</v>
      </c>
      <c r="AT279" s="0" t="s">
        <v>130</v>
      </c>
      <c r="AU279" s="0" t="s">
        <v>130</v>
      </c>
      <c r="AV279" s="0" t="s">
        <v>130</v>
      </c>
      <c r="AW279" s="0" t="s">
        <v>130</v>
      </c>
      <c r="AX279" s="0" t="s">
        <v>130</v>
      </c>
      <c r="AY279" s="0" t="s">
        <v>130</v>
      </c>
      <c r="AZ279" s="0" t="s">
        <v>130</v>
      </c>
      <c r="BA279" s="0" t="s">
        <v>130</v>
      </c>
      <c r="BB279" s="0" t="s">
        <v>130</v>
      </c>
      <c r="BC279" s="0" t="s">
        <v>130</v>
      </c>
      <c r="BD279" s="0" t="s">
        <v>130</v>
      </c>
      <c r="BE279" s="0" t="s">
        <v>130</v>
      </c>
      <c r="BF279" s="0" t="s">
        <v>130</v>
      </c>
      <c r="BG279" s="0" t="s">
        <v>130</v>
      </c>
      <c r="BH279" s="0" t="s">
        <v>130</v>
      </c>
      <c r="BI279" s="0" t="s">
        <v>130</v>
      </c>
      <c r="BJ279" s="0" t="s">
        <v>130</v>
      </c>
      <c r="BK279" s="0" t="s">
        <v>130</v>
      </c>
      <c r="BL279" s="0" t="s">
        <v>130</v>
      </c>
      <c r="BM279" s="0" t="s">
        <v>130</v>
      </c>
      <c r="BN279" s="0" t="s">
        <v>130</v>
      </c>
      <c r="BO279" s="0" t="s">
        <v>130</v>
      </c>
      <c r="BP279" s="0" t="s">
        <v>130</v>
      </c>
      <c r="BQ279" s="0" t="s">
        <v>130</v>
      </c>
      <c r="BR279" s="0" t="s">
        <v>130</v>
      </c>
      <c r="BS279" s="0" t="s">
        <v>130</v>
      </c>
      <c r="BT279" s="0" t="s">
        <v>130</v>
      </c>
      <c r="BU279" s="0" t="s">
        <v>130</v>
      </c>
      <c r="BV279" s="0" t="s">
        <v>130</v>
      </c>
      <c r="BW279" s="0" t="s">
        <v>130</v>
      </c>
      <c r="BX279" s="0" t="s">
        <v>130</v>
      </c>
      <c r="BY279" s="0" t="s">
        <v>130</v>
      </c>
      <c r="BZ279" s="0" t="s">
        <v>130</v>
      </c>
      <c r="CA279" s="0" t="s">
        <v>130</v>
      </c>
      <c r="CB279" s="0" t="s">
        <v>130</v>
      </c>
      <c r="CC279" s="0" t="s">
        <v>130</v>
      </c>
      <c r="CD279" s="0" t="s">
        <v>130</v>
      </c>
      <c r="CE279" s="0" t="s">
        <v>130</v>
      </c>
      <c r="CF279" s="0" t="s">
        <v>130</v>
      </c>
      <c r="CG279" s="0" t="s">
        <v>130</v>
      </c>
      <c r="CH279" s="0" t="s">
        <v>130</v>
      </c>
      <c r="CI279" s="0" t="s">
        <v>130</v>
      </c>
      <c r="CJ279" s="0" t="s">
        <v>130</v>
      </c>
      <c r="CK279" s="0" t="s">
        <v>130</v>
      </c>
      <c r="CL279" s="0" t="s">
        <v>130</v>
      </c>
      <c r="CM279" s="0" t="s">
        <v>130</v>
      </c>
      <c r="CN279" s="0" t="s">
        <v>130</v>
      </c>
      <c r="CO279" s="0" t="s">
        <v>130</v>
      </c>
      <c r="CP279" s="0" t="s">
        <v>130</v>
      </c>
      <c r="CQ279" s="0" t="s">
        <v>130</v>
      </c>
      <c r="CR279" s="0" t="s">
        <v>130</v>
      </c>
      <c r="CS279" s="0" t="s">
        <v>130</v>
      </c>
      <c r="CT279" s="0" t="s">
        <v>1075</v>
      </c>
    </row>
    <row r="280">
      <c r="A280" s="14">
        <v>112571</v>
      </c>
      <c r="B280" s="0" t="s">
        <v>1056</v>
      </c>
      <c r="C280" s="16">
        <f>HYPERLINK("https://eosportal.federatedhermes.com/companies/Q29tcGFueQppNTIxNzE=", "Nestle SA")</f>
      </c>
      <c r="D280" s="0" t="s">
        <v>25</v>
      </c>
      <c r="E280" s="0" t="s">
        <v>1076</v>
      </c>
      <c r="F280" s="16">
        <f>HYPERLINK("https://eosportal.federatedhermes.com/engagements/RW5nYWdlbWVudAppMTk3MTk=", "Tax policy")</f>
      </c>
      <c r="G280" s="14" t="s">
        <v>1077</v>
      </c>
      <c r="H280" s="0" t="s">
        <v>141</v>
      </c>
      <c r="I280" s="14" t="s">
        <v>191</v>
      </c>
      <c r="J280" s="0" t="s">
        <v>153</v>
      </c>
      <c r="K280" s="0" t="s">
        <v>185</v>
      </c>
      <c r="L280" s="0" t="s">
        <v>548</v>
      </c>
      <c r="M280" s="0" t="s">
        <v>378</v>
      </c>
      <c r="N280" s="0" t="s">
        <v>1059</v>
      </c>
      <c r="O280" s="0" t="s">
        <v>332</v>
      </c>
      <c r="Q280" s="0" t="s">
        <v>130</v>
      </c>
      <c r="R280" s="0" t="s">
        <v>138</v>
      </c>
      <c r="S280" s="14">
        <v>0</v>
      </c>
      <c r="T280" s="0" t="s">
        <v>343</v>
      </c>
      <c r="U280" s="0" t="s">
        <v>138</v>
      </c>
      <c r="V280" s="14" t="s">
        <v>138</v>
      </c>
      <c r="W280" s="0" t="s">
        <v>138</v>
      </c>
      <c r="X280" s="14" t="s">
        <v>138</v>
      </c>
      <c r="Y280" s="0" t="s">
        <v>138</v>
      </c>
      <c r="Z280" s="14" t="s">
        <v>138</v>
      </c>
      <c r="AA280" s="0" t="s">
        <v>138</v>
      </c>
      <c r="AB280" s="14" t="s">
        <v>138</v>
      </c>
      <c r="AD280" s="0" t="s">
        <v>138</v>
      </c>
      <c r="AF280" s="0">
        <v>0</v>
      </c>
      <c r="AG280" s="0">
        <v>0</v>
      </c>
      <c r="AH280" s="0" t="s">
        <v>140</v>
      </c>
      <c r="AI280" s="0" t="s">
        <v>138</v>
      </c>
      <c r="AL280" s="14"/>
      <c r="AN280" s="14"/>
      <c r="AQ280" s="0" t="s">
        <v>130</v>
      </c>
      <c r="AR280" s="0" t="s">
        <v>130</v>
      </c>
      <c r="AS280" s="0" t="s">
        <v>130</v>
      </c>
      <c r="AT280" s="0" t="s">
        <v>130</v>
      </c>
      <c r="AU280" s="0" t="s">
        <v>130</v>
      </c>
      <c r="AV280" s="0" t="s">
        <v>130</v>
      </c>
      <c r="AW280" s="0" t="s">
        <v>130</v>
      </c>
      <c r="AX280" s="0" t="s">
        <v>130</v>
      </c>
      <c r="AY280" s="0" t="s">
        <v>130</v>
      </c>
      <c r="AZ280" s="0" t="s">
        <v>130</v>
      </c>
      <c r="BA280" s="0" t="s">
        <v>130</v>
      </c>
      <c r="BB280" s="0" t="s">
        <v>130</v>
      </c>
      <c r="BC280" s="0" t="s">
        <v>130</v>
      </c>
      <c r="BD280" s="0" t="s">
        <v>130</v>
      </c>
      <c r="BE280" s="0" t="s">
        <v>130</v>
      </c>
      <c r="BF280" s="0" t="s">
        <v>130</v>
      </c>
      <c r="BG280" s="0" t="s">
        <v>130</v>
      </c>
      <c r="BH280" s="0" t="s">
        <v>130</v>
      </c>
      <c r="BI280" s="0" t="s">
        <v>130</v>
      </c>
      <c r="BJ280" s="0" t="s">
        <v>130</v>
      </c>
      <c r="BK280" s="0" t="s">
        <v>130</v>
      </c>
      <c r="BL280" s="0" t="s">
        <v>130</v>
      </c>
      <c r="BM280" s="0" t="s">
        <v>130</v>
      </c>
      <c r="BN280" s="0" t="s">
        <v>130</v>
      </c>
      <c r="BO280" s="0" t="s">
        <v>130</v>
      </c>
      <c r="BP280" s="0" t="s">
        <v>130</v>
      </c>
      <c r="BQ280" s="0" t="s">
        <v>130</v>
      </c>
      <c r="BR280" s="0" t="s">
        <v>130</v>
      </c>
      <c r="BS280" s="0" t="s">
        <v>130</v>
      </c>
      <c r="BT280" s="0" t="s">
        <v>130</v>
      </c>
      <c r="BU280" s="0" t="s">
        <v>130</v>
      </c>
      <c r="BV280" s="0" t="s">
        <v>130</v>
      </c>
      <c r="BW280" s="0" t="s">
        <v>130</v>
      </c>
      <c r="BX280" s="0" t="s">
        <v>130</v>
      </c>
      <c r="BY280" s="0" t="s">
        <v>130</v>
      </c>
      <c r="BZ280" s="0" t="s">
        <v>130</v>
      </c>
      <c r="CA280" s="0" t="s">
        <v>130</v>
      </c>
      <c r="CB280" s="0" t="s">
        <v>130</v>
      </c>
      <c r="CC280" s="0" t="s">
        <v>130</v>
      </c>
      <c r="CD280" s="0" t="s">
        <v>130</v>
      </c>
      <c r="CE280" s="0" t="s">
        <v>130</v>
      </c>
      <c r="CF280" s="0" t="s">
        <v>130</v>
      </c>
      <c r="CG280" s="0" t="s">
        <v>130</v>
      </c>
      <c r="CH280" s="0" t="s">
        <v>130</v>
      </c>
      <c r="CI280" s="0" t="s">
        <v>130</v>
      </c>
      <c r="CJ280" s="0" t="s">
        <v>130</v>
      </c>
      <c r="CK280" s="0" t="s">
        <v>130</v>
      </c>
      <c r="CL280" s="0" t="s">
        <v>130</v>
      </c>
      <c r="CM280" s="0" t="s">
        <v>130</v>
      </c>
      <c r="CN280" s="0" t="s">
        <v>130</v>
      </c>
      <c r="CO280" s="0" t="s">
        <v>130</v>
      </c>
      <c r="CP280" s="0" t="s">
        <v>130</v>
      </c>
      <c r="CQ280" s="0" t="s">
        <v>130</v>
      </c>
      <c r="CR280" s="0" t="s">
        <v>130</v>
      </c>
      <c r="CS280" s="0" t="s">
        <v>130</v>
      </c>
      <c r="CT280" s="0" t="s">
        <v>1078</v>
      </c>
    </row>
    <row r="281">
      <c r="A281" s="14">
        <v>112571</v>
      </c>
      <c r="B281" s="0" t="s">
        <v>1056</v>
      </c>
      <c r="C281" s="16">
        <f>HYPERLINK("https://eosportal.federatedhermes.com/companies/Q29tcGFueQppNTIxNzE=", "Nestle SA")</f>
      </c>
      <c r="D281" s="0" t="s">
        <v>25</v>
      </c>
      <c r="E281" s="0" t="s">
        <v>1079</v>
      </c>
      <c r="F281" s="16">
        <f>HYPERLINK("https://eosportal.federatedhermes.com/engagements/RW5nYWdlbWVudAppMTk3MjI=", "Plastic packaging")</f>
      </c>
      <c r="G281" s="14" t="s">
        <v>1080</v>
      </c>
      <c r="H281" s="0" t="s">
        <v>141</v>
      </c>
      <c r="I281" s="14" t="s">
        <v>191</v>
      </c>
      <c r="J281" s="0" t="s">
        <v>197</v>
      </c>
      <c r="K281" s="0" t="s">
        <v>348</v>
      </c>
      <c r="L281" s="0" t="s">
        <v>349</v>
      </c>
      <c r="M281" s="0" t="s">
        <v>378</v>
      </c>
      <c r="N281" s="0" t="s">
        <v>1059</v>
      </c>
      <c r="O281" s="0" t="s">
        <v>332</v>
      </c>
      <c r="Q281" s="0" t="s">
        <v>130</v>
      </c>
      <c r="R281" s="0" t="s">
        <v>138</v>
      </c>
      <c r="S281" s="14">
        <v>0</v>
      </c>
      <c r="T281" s="0" t="s">
        <v>359</v>
      </c>
      <c r="U281" s="0" t="s">
        <v>138</v>
      </c>
      <c r="V281" s="14" t="s">
        <v>138</v>
      </c>
      <c r="W281" s="0" t="s">
        <v>138</v>
      </c>
      <c r="X281" s="14" t="s">
        <v>138</v>
      </c>
      <c r="Y281" s="0" t="s">
        <v>138</v>
      </c>
      <c r="Z281" s="14" t="s">
        <v>138</v>
      </c>
      <c r="AA281" s="0" t="s">
        <v>138</v>
      </c>
      <c r="AB281" s="14" t="s">
        <v>138</v>
      </c>
      <c r="AD281" s="0" t="s">
        <v>138</v>
      </c>
      <c r="AF281" s="0">
        <v>0</v>
      </c>
      <c r="AG281" s="0">
        <v>0</v>
      </c>
      <c r="AH281" s="0" t="s">
        <v>140</v>
      </c>
      <c r="AI281" s="0" t="s">
        <v>138</v>
      </c>
      <c r="AL281" s="14"/>
      <c r="AN281" s="14"/>
      <c r="AQ281" s="0" t="s">
        <v>130</v>
      </c>
      <c r="AR281" s="0" t="s">
        <v>130</v>
      </c>
      <c r="AS281" s="0" t="s">
        <v>130</v>
      </c>
      <c r="AT281" s="0" t="s">
        <v>130</v>
      </c>
      <c r="AU281" s="0" t="s">
        <v>130</v>
      </c>
      <c r="AV281" s="0" t="s">
        <v>130</v>
      </c>
      <c r="AW281" s="0" t="s">
        <v>130</v>
      </c>
      <c r="AX281" s="0" t="s">
        <v>130</v>
      </c>
      <c r="AY281" s="0" t="s">
        <v>130</v>
      </c>
      <c r="AZ281" s="0" t="s">
        <v>130</v>
      </c>
      <c r="BA281" s="0" t="s">
        <v>130</v>
      </c>
      <c r="BB281" s="0" t="s">
        <v>141</v>
      </c>
      <c r="BC281" s="0" t="s">
        <v>130</v>
      </c>
      <c r="BD281" s="0" t="s">
        <v>130</v>
      </c>
      <c r="BE281" s="0" t="s">
        <v>130</v>
      </c>
      <c r="BF281" s="0" t="s">
        <v>130</v>
      </c>
      <c r="BG281" s="0" t="s">
        <v>130</v>
      </c>
      <c r="BH281" s="0" t="s">
        <v>130</v>
      </c>
      <c r="BI281" s="0" t="s">
        <v>130</v>
      </c>
      <c r="BJ281" s="0" t="s">
        <v>130</v>
      </c>
      <c r="BK281" s="0" t="s">
        <v>130</v>
      </c>
      <c r="BL281" s="0" t="s">
        <v>130</v>
      </c>
      <c r="BM281" s="0" t="s">
        <v>130</v>
      </c>
      <c r="BN281" s="0" t="s">
        <v>130</v>
      </c>
      <c r="BO281" s="0" t="s">
        <v>130</v>
      </c>
      <c r="BP281" s="0" t="s">
        <v>130</v>
      </c>
      <c r="BQ281" s="0" t="s">
        <v>130</v>
      </c>
      <c r="BR281" s="0" t="s">
        <v>130</v>
      </c>
      <c r="BS281" s="0" t="s">
        <v>130</v>
      </c>
      <c r="BT281" s="0" t="s">
        <v>130</v>
      </c>
      <c r="BU281" s="0" t="s">
        <v>130</v>
      </c>
      <c r="BV281" s="0" t="s">
        <v>130</v>
      </c>
      <c r="BW281" s="0" t="s">
        <v>130</v>
      </c>
      <c r="BX281" s="0" t="s">
        <v>130</v>
      </c>
      <c r="BY281" s="0" t="s">
        <v>130</v>
      </c>
      <c r="BZ281" s="0" t="s">
        <v>130</v>
      </c>
      <c r="CA281" s="0" t="s">
        <v>130</v>
      </c>
      <c r="CB281" s="0" t="s">
        <v>130</v>
      </c>
      <c r="CC281" s="0" t="s">
        <v>130</v>
      </c>
      <c r="CD281" s="0" t="s">
        <v>141</v>
      </c>
      <c r="CE281" s="0" t="s">
        <v>130</v>
      </c>
      <c r="CF281" s="0" t="s">
        <v>130</v>
      </c>
      <c r="CG281" s="0" t="s">
        <v>130</v>
      </c>
      <c r="CH281" s="0" t="s">
        <v>130</v>
      </c>
      <c r="CI281" s="0" t="s">
        <v>130</v>
      </c>
      <c r="CJ281" s="0" t="s">
        <v>130</v>
      </c>
      <c r="CK281" s="0" t="s">
        <v>130</v>
      </c>
      <c r="CL281" s="0" t="s">
        <v>130</v>
      </c>
      <c r="CM281" s="0" t="s">
        <v>130</v>
      </c>
      <c r="CN281" s="0" t="s">
        <v>130</v>
      </c>
      <c r="CO281" s="0" t="s">
        <v>130</v>
      </c>
      <c r="CP281" s="0" t="s">
        <v>130</v>
      </c>
      <c r="CQ281" s="0" t="s">
        <v>130</v>
      </c>
      <c r="CR281" s="0" t="s">
        <v>130</v>
      </c>
      <c r="CS281" s="0" t="s">
        <v>130</v>
      </c>
      <c r="CT281" s="0" t="s">
        <v>1081</v>
      </c>
    </row>
    <row r="282">
      <c r="A282" s="14">
        <v>112571</v>
      </c>
      <c r="B282" s="0" t="s">
        <v>1056</v>
      </c>
      <c r="C282" s="16">
        <f>HYPERLINK("https://eosportal.federatedhermes.com/companies/Q29tcGFueQppNTIxNzE=", "Nestle SA")</f>
      </c>
      <c r="D282" s="0" t="s">
        <v>25</v>
      </c>
      <c r="E282" s="0" t="s">
        <v>1082</v>
      </c>
      <c r="F282" s="16">
        <f>HYPERLINK("https://eosportal.federatedhermes.com/engagements/RW5nYWdlbWVudAppMTk3MjM=", "Strategy and risk management")</f>
      </c>
      <c r="G282" s="14" t="s">
        <v>1083</v>
      </c>
      <c r="H282" s="0" t="s">
        <v>141</v>
      </c>
      <c r="I282" s="14" t="s">
        <v>191</v>
      </c>
      <c r="J282" s="0" t="s">
        <v>153</v>
      </c>
      <c r="K282" s="0" t="s">
        <v>154</v>
      </c>
      <c r="L282" s="0" t="s">
        <v>306</v>
      </c>
      <c r="M282" s="0" t="s">
        <v>378</v>
      </c>
      <c r="N282" s="0" t="s">
        <v>1059</v>
      </c>
      <c r="O282" s="0" t="s">
        <v>332</v>
      </c>
      <c r="Q282" s="0" t="s">
        <v>141</v>
      </c>
      <c r="R282" s="0" t="s">
        <v>138</v>
      </c>
      <c r="S282" s="14">
        <v>1</v>
      </c>
      <c r="T282" s="0" t="s">
        <v>874</v>
      </c>
      <c r="U282" s="0" t="s">
        <v>138</v>
      </c>
      <c r="V282" s="14" t="s">
        <v>138</v>
      </c>
      <c r="W282" s="0" t="s">
        <v>138</v>
      </c>
      <c r="X282" s="14" t="s">
        <v>138</v>
      </c>
      <c r="Y282" s="0" t="s">
        <v>138</v>
      </c>
      <c r="Z282" s="14" t="s">
        <v>138</v>
      </c>
      <c r="AA282" s="0" t="s">
        <v>138</v>
      </c>
      <c r="AB282" s="14" t="s">
        <v>138</v>
      </c>
      <c r="AD282" s="0" t="s">
        <v>138</v>
      </c>
      <c r="AF282" s="0">
        <v>0</v>
      </c>
      <c r="AG282" s="0">
        <v>0</v>
      </c>
      <c r="AH282" s="0" t="s">
        <v>140</v>
      </c>
      <c r="AI282" s="0" t="s">
        <v>138</v>
      </c>
      <c r="AK282" s="0" t="s">
        <v>578</v>
      </c>
      <c r="AL282" s="14"/>
      <c r="AN282" s="14"/>
      <c r="AQ282" s="0" t="s">
        <v>130</v>
      </c>
      <c r="AR282" s="0" t="s">
        <v>130</v>
      </c>
      <c r="AS282" s="0" t="s">
        <v>130</v>
      </c>
      <c r="AT282" s="0" t="s">
        <v>130</v>
      </c>
      <c r="AU282" s="0" t="s">
        <v>130</v>
      </c>
      <c r="AV282" s="0" t="s">
        <v>130</v>
      </c>
      <c r="AW282" s="0" t="s">
        <v>130</v>
      </c>
      <c r="AX282" s="0" t="s">
        <v>130</v>
      </c>
      <c r="AY282" s="0" t="s">
        <v>130</v>
      </c>
      <c r="AZ282" s="0" t="s">
        <v>130</v>
      </c>
      <c r="BA282" s="0" t="s">
        <v>130</v>
      </c>
      <c r="BB282" s="0" t="s">
        <v>130</v>
      </c>
      <c r="BC282" s="0" t="s">
        <v>130</v>
      </c>
      <c r="BD282" s="0" t="s">
        <v>130</v>
      </c>
      <c r="BE282" s="0" t="s">
        <v>130</v>
      </c>
      <c r="BF282" s="0" t="s">
        <v>130</v>
      </c>
      <c r="BG282" s="0" t="s">
        <v>130</v>
      </c>
      <c r="BH282" s="0" t="s">
        <v>130</v>
      </c>
      <c r="BI282" s="0" t="s">
        <v>130</v>
      </c>
      <c r="BJ282" s="0" t="s">
        <v>130</v>
      </c>
      <c r="BK282" s="0" t="s">
        <v>130</v>
      </c>
      <c r="BL282" s="0" t="s">
        <v>130</v>
      </c>
      <c r="BM282" s="0" t="s">
        <v>130</v>
      </c>
      <c r="BN282" s="0" t="s">
        <v>130</v>
      </c>
      <c r="BO282" s="0" t="s">
        <v>130</v>
      </c>
      <c r="BP282" s="0" t="s">
        <v>130</v>
      </c>
      <c r="BQ282" s="0" t="s">
        <v>130</v>
      </c>
      <c r="BR282" s="0" t="s">
        <v>130</v>
      </c>
      <c r="BS282" s="0" t="s">
        <v>130</v>
      </c>
      <c r="BT282" s="0" t="s">
        <v>130</v>
      </c>
      <c r="BU282" s="0" t="s">
        <v>130</v>
      </c>
      <c r="BV282" s="0" t="s">
        <v>130</v>
      </c>
      <c r="BW282" s="0" t="s">
        <v>130</v>
      </c>
      <c r="BX282" s="0" t="s">
        <v>130</v>
      </c>
      <c r="BY282" s="0" t="s">
        <v>130</v>
      </c>
      <c r="BZ282" s="0" t="s">
        <v>130</v>
      </c>
      <c r="CA282" s="0" t="s">
        <v>130</v>
      </c>
      <c r="CB282" s="0" t="s">
        <v>130</v>
      </c>
      <c r="CC282" s="0" t="s">
        <v>130</v>
      </c>
      <c r="CD282" s="0" t="s">
        <v>130</v>
      </c>
      <c r="CE282" s="0" t="s">
        <v>130</v>
      </c>
      <c r="CF282" s="0" t="s">
        <v>130</v>
      </c>
      <c r="CG282" s="0" t="s">
        <v>130</v>
      </c>
      <c r="CH282" s="0" t="s">
        <v>130</v>
      </c>
      <c r="CI282" s="0" t="s">
        <v>130</v>
      </c>
      <c r="CJ282" s="0" t="s">
        <v>130</v>
      </c>
      <c r="CK282" s="0" t="s">
        <v>130</v>
      </c>
      <c r="CL282" s="0" t="s">
        <v>130</v>
      </c>
      <c r="CM282" s="0" t="s">
        <v>130</v>
      </c>
      <c r="CN282" s="0" t="s">
        <v>130</v>
      </c>
      <c r="CO282" s="0" t="s">
        <v>130</v>
      </c>
      <c r="CP282" s="0" t="s">
        <v>130</v>
      </c>
      <c r="CQ282" s="0" t="s">
        <v>130</v>
      </c>
      <c r="CR282" s="0" t="s">
        <v>130</v>
      </c>
      <c r="CS282" s="0" t="s">
        <v>130</v>
      </c>
      <c r="CT282" s="0" t="s">
        <v>1084</v>
      </c>
    </row>
    <row r="283">
      <c r="A283" s="14">
        <v>112571</v>
      </c>
      <c r="B283" s="0" t="s">
        <v>1056</v>
      </c>
      <c r="C283" s="16">
        <f>HYPERLINK("https://eosportal.federatedhermes.com/companies/Q29tcGFueQppNTIxNzE=", "Nestle SA")</f>
      </c>
      <c r="D283" s="0" t="s">
        <v>25</v>
      </c>
      <c r="E283" s="0" t="s">
        <v>968</v>
      </c>
      <c r="F283" s="16">
        <f>HYPERLINK("https://eosportal.federatedhermes.com/engagements/RW5nYWdlbWVudAppMTk3MjQ=", "Board effectiveness")</f>
      </c>
      <c r="G283" s="14" t="s">
        <v>1085</v>
      </c>
      <c r="H283" s="0" t="s">
        <v>141</v>
      </c>
      <c r="I283" s="14" t="s">
        <v>191</v>
      </c>
      <c r="J283" s="0" t="s">
        <v>145</v>
      </c>
      <c r="K283" s="0" t="s">
        <v>164</v>
      </c>
      <c r="L283" s="0" t="s">
        <v>970</v>
      </c>
      <c r="M283" s="0" t="s">
        <v>378</v>
      </c>
      <c r="N283" s="0" t="s">
        <v>1059</v>
      </c>
      <c r="O283" s="0" t="s">
        <v>332</v>
      </c>
      <c r="Q283" s="0" t="s">
        <v>130</v>
      </c>
      <c r="R283" s="0" t="s">
        <v>138</v>
      </c>
      <c r="S283" s="14">
        <v>0</v>
      </c>
      <c r="T283" s="0" t="s">
        <v>193</v>
      </c>
      <c r="U283" s="0" t="s">
        <v>138</v>
      </c>
      <c r="V283" s="14" t="s">
        <v>138</v>
      </c>
      <c r="W283" s="0" t="s">
        <v>138</v>
      </c>
      <c r="X283" s="14" t="s">
        <v>138</v>
      </c>
      <c r="Y283" s="0" t="s">
        <v>138</v>
      </c>
      <c r="Z283" s="14" t="s">
        <v>138</v>
      </c>
      <c r="AA283" s="0" t="s">
        <v>138</v>
      </c>
      <c r="AB283" s="14" t="s">
        <v>138</v>
      </c>
      <c r="AD283" s="0" t="s">
        <v>138</v>
      </c>
      <c r="AF283" s="0">
        <v>0</v>
      </c>
      <c r="AG283" s="0">
        <v>0</v>
      </c>
      <c r="AH283" s="0" t="s">
        <v>140</v>
      </c>
      <c r="AI283" s="0" t="s">
        <v>138</v>
      </c>
      <c r="AL283" s="14"/>
      <c r="AN283" s="14"/>
      <c r="AQ283" s="0" t="s">
        <v>130</v>
      </c>
      <c r="AR283" s="0" t="s">
        <v>130</v>
      </c>
      <c r="AS283" s="0" t="s">
        <v>130</v>
      </c>
      <c r="AT283" s="0" t="s">
        <v>130</v>
      </c>
      <c r="AU283" s="0" t="s">
        <v>130</v>
      </c>
      <c r="AV283" s="0" t="s">
        <v>130</v>
      </c>
      <c r="AW283" s="0" t="s">
        <v>130</v>
      </c>
      <c r="AX283" s="0" t="s">
        <v>130</v>
      </c>
      <c r="AY283" s="0" t="s">
        <v>130</v>
      </c>
      <c r="AZ283" s="0" t="s">
        <v>130</v>
      </c>
      <c r="BA283" s="0" t="s">
        <v>130</v>
      </c>
      <c r="BB283" s="0" t="s">
        <v>130</v>
      </c>
      <c r="BC283" s="0" t="s">
        <v>130</v>
      </c>
      <c r="BD283" s="0" t="s">
        <v>130</v>
      </c>
      <c r="BE283" s="0" t="s">
        <v>130</v>
      </c>
      <c r="BF283" s="0" t="s">
        <v>130</v>
      </c>
      <c r="BG283" s="0" t="s">
        <v>130</v>
      </c>
      <c r="BH283" s="0" t="s">
        <v>130</v>
      </c>
      <c r="BI283" s="0" t="s">
        <v>130</v>
      </c>
      <c r="BJ283" s="0" t="s">
        <v>130</v>
      </c>
      <c r="BK283" s="0" t="s">
        <v>130</v>
      </c>
      <c r="BL283" s="0" t="s">
        <v>130</v>
      </c>
      <c r="BM283" s="0" t="s">
        <v>130</v>
      </c>
      <c r="BN283" s="0" t="s">
        <v>130</v>
      </c>
      <c r="BO283" s="0" t="s">
        <v>130</v>
      </c>
      <c r="BP283" s="0" t="s">
        <v>130</v>
      </c>
      <c r="BQ283" s="0" t="s">
        <v>130</v>
      </c>
      <c r="BR283" s="0" t="s">
        <v>130</v>
      </c>
      <c r="BS283" s="0" t="s">
        <v>130</v>
      </c>
      <c r="BT283" s="0" t="s">
        <v>130</v>
      </c>
      <c r="BU283" s="0" t="s">
        <v>130</v>
      </c>
      <c r="BV283" s="0" t="s">
        <v>130</v>
      </c>
      <c r="BW283" s="0" t="s">
        <v>130</v>
      </c>
      <c r="BX283" s="0" t="s">
        <v>130</v>
      </c>
      <c r="BY283" s="0" t="s">
        <v>130</v>
      </c>
      <c r="BZ283" s="0" t="s">
        <v>130</v>
      </c>
      <c r="CA283" s="0" t="s">
        <v>130</v>
      </c>
      <c r="CB283" s="0" t="s">
        <v>130</v>
      </c>
      <c r="CC283" s="0" t="s">
        <v>130</v>
      </c>
      <c r="CD283" s="0" t="s">
        <v>130</v>
      </c>
      <c r="CE283" s="0" t="s">
        <v>130</v>
      </c>
      <c r="CF283" s="0" t="s">
        <v>130</v>
      </c>
      <c r="CG283" s="0" t="s">
        <v>130</v>
      </c>
      <c r="CH283" s="0" t="s">
        <v>130</v>
      </c>
      <c r="CI283" s="0" t="s">
        <v>130</v>
      </c>
      <c r="CJ283" s="0" t="s">
        <v>130</v>
      </c>
      <c r="CK283" s="0" t="s">
        <v>130</v>
      </c>
      <c r="CL283" s="0" t="s">
        <v>130</v>
      </c>
      <c r="CM283" s="0" t="s">
        <v>130</v>
      </c>
      <c r="CN283" s="0" t="s">
        <v>130</v>
      </c>
      <c r="CO283" s="0" t="s">
        <v>130</v>
      </c>
      <c r="CP283" s="0" t="s">
        <v>130</v>
      </c>
      <c r="CQ283" s="0" t="s">
        <v>130</v>
      </c>
      <c r="CR283" s="0" t="s">
        <v>130</v>
      </c>
      <c r="CS283" s="0" t="s">
        <v>130</v>
      </c>
      <c r="CT283" s="0" t="s">
        <v>1086</v>
      </c>
    </row>
    <row r="284">
      <c r="A284" s="14">
        <v>112571</v>
      </c>
      <c r="B284" s="0" t="s">
        <v>1056</v>
      </c>
      <c r="C284" s="16">
        <f>HYPERLINK("https://eosportal.federatedhermes.com/companies/Q29tcGFueQppNTIxNzE=", "Nestle SA")</f>
      </c>
      <c r="D284" s="0" t="s">
        <v>25</v>
      </c>
      <c r="E284" s="0" t="s">
        <v>1087</v>
      </c>
      <c r="F284" s="16">
        <f>HYPERLINK("https://eosportal.federatedhermes.com/engagements/RW5nYWdlbWVudAppMTk3MjU=", "Share buyback programmme")</f>
      </c>
      <c r="G284" s="14" t="s">
        <v>1088</v>
      </c>
      <c r="H284" s="0" t="s">
        <v>141</v>
      </c>
      <c r="I284" s="14" t="s">
        <v>191</v>
      </c>
      <c r="J284" s="0" t="s">
        <v>153</v>
      </c>
      <c r="K284" s="0" t="s">
        <v>154</v>
      </c>
      <c r="L284" s="0" t="s">
        <v>306</v>
      </c>
      <c r="M284" s="0" t="s">
        <v>378</v>
      </c>
      <c r="N284" s="0" t="s">
        <v>1059</v>
      </c>
      <c r="O284" s="0" t="s">
        <v>332</v>
      </c>
      <c r="Q284" s="0" t="s">
        <v>130</v>
      </c>
      <c r="R284" s="0" t="s">
        <v>138</v>
      </c>
      <c r="S284" s="14">
        <v>0</v>
      </c>
      <c r="T284" s="0" t="s">
        <v>343</v>
      </c>
      <c r="U284" s="0" t="s">
        <v>138</v>
      </c>
      <c r="V284" s="14" t="s">
        <v>138</v>
      </c>
      <c r="W284" s="0" t="s">
        <v>138</v>
      </c>
      <c r="X284" s="14" t="s">
        <v>138</v>
      </c>
      <c r="Y284" s="0" t="s">
        <v>138</v>
      </c>
      <c r="Z284" s="14" t="s">
        <v>138</v>
      </c>
      <c r="AA284" s="0" t="s">
        <v>138</v>
      </c>
      <c r="AB284" s="14" t="s">
        <v>138</v>
      </c>
      <c r="AD284" s="0" t="s">
        <v>138</v>
      </c>
      <c r="AF284" s="0">
        <v>0</v>
      </c>
      <c r="AG284" s="0">
        <v>0</v>
      </c>
      <c r="AH284" s="0" t="s">
        <v>140</v>
      </c>
      <c r="AI284" s="0" t="s">
        <v>138</v>
      </c>
      <c r="AL284" s="14"/>
      <c r="AN284" s="14"/>
      <c r="AQ284" s="0" t="s">
        <v>130</v>
      </c>
      <c r="AR284" s="0" t="s">
        <v>130</v>
      </c>
      <c r="AS284" s="0" t="s">
        <v>130</v>
      </c>
      <c r="AT284" s="0" t="s">
        <v>130</v>
      </c>
      <c r="AU284" s="0" t="s">
        <v>130</v>
      </c>
      <c r="AV284" s="0" t="s">
        <v>130</v>
      </c>
      <c r="AW284" s="0" t="s">
        <v>130</v>
      </c>
      <c r="AX284" s="0" t="s">
        <v>130</v>
      </c>
      <c r="AY284" s="0" t="s">
        <v>130</v>
      </c>
      <c r="AZ284" s="0" t="s">
        <v>130</v>
      </c>
      <c r="BA284" s="0" t="s">
        <v>130</v>
      </c>
      <c r="BB284" s="0" t="s">
        <v>130</v>
      </c>
      <c r="BC284" s="0" t="s">
        <v>130</v>
      </c>
      <c r="BD284" s="0" t="s">
        <v>130</v>
      </c>
      <c r="BE284" s="0" t="s">
        <v>130</v>
      </c>
      <c r="BF284" s="0" t="s">
        <v>130</v>
      </c>
      <c r="BG284" s="0" t="s">
        <v>130</v>
      </c>
      <c r="BH284" s="0" t="s">
        <v>130</v>
      </c>
      <c r="BI284" s="0" t="s">
        <v>130</v>
      </c>
      <c r="BJ284" s="0" t="s">
        <v>130</v>
      </c>
      <c r="BK284" s="0" t="s">
        <v>130</v>
      </c>
      <c r="BL284" s="0" t="s">
        <v>130</v>
      </c>
      <c r="BM284" s="0" t="s">
        <v>130</v>
      </c>
      <c r="BN284" s="0" t="s">
        <v>130</v>
      </c>
      <c r="BO284" s="0" t="s">
        <v>130</v>
      </c>
      <c r="BP284" s="0" t="s">
        <v>130</v>
      </c>
      <c r="BQ284" s="0" t="s">
        <v>130</v>
      </c>
      <c r="BR284" s="0" t="s">
        <v>130</v>
      </c>
      <c r="BS284" s="0" t="s">
        <v>130</v>
      </c>
      <c r="BT284" s="0" t="s">
        <v>130</v>
      </c>
      <c r="BU284" s="0" t="s">
        <v>130</v>
      </c>
      <c r="BV284" s="0" t="s">
        <v>130</v>
      </c>
      <c r="BW284" s="0" t="s">
        <v>130</v>
      </c>
      <c r="BX284" s="0" t="s">
        <v>130</v>
      </c>
      <c r="BY284" s="0" t="s">
        <v>130</v>
      </c>
      <c r="BZ284" s="0" t="s">
        <v>130</v>
      </c>
      <c r="CA284" s="0" t="s">
        <v>130</v>
      </c>
      <c r="CB284" s="0" t="s">
        <v>130</v>
      </c>
      <c r="CC284" s="0" t="s">
        <v>130</v>
      </c>
      <c r="CD284" s="0" t="s">
        <v>130</v>
      </c>
      <c r="CE284" s="0" t="s">
        <v>130</v>
      </c>
      <c r="CF284" s="0" t="s">
        <v>130</v>
      </c>
      <c r="CG284" s="0" t="s">
        <v>130</v>
      </c>
      <c r="CH284" s="0" t="s">
        <v>130</v>
      </c>
      <c r="CI284" s="0" t="s">
        <v>130</v>
      </c>
      <c r="CJ284" s="0" t="s">
        <v>130</v>
      </c>
      <c r="CK284" s="0" t="s">
        <v>130</v>
      </c>
      <c r="CL284" s="0" t="s">
        <v>130</v>
      </c>
      <c r="CM284" s="0" t="s">
        <v>130</v>
      </c>
      <c r="CN284" s="0" t="s">
        <v>130</v>
      </c>
      <c r="CO284" s="0" t="s">
        <v>130</v>
      </c>
      <c r="CP284" s="0" t="s">
        <v>130</v>
      </c>
      <c r="CQ284" s="0" t="s">
        <v>130</v>
      </c>
      <c r="CR284" s="0" t="s">
        <v>130</v>
      </c>
      <c r="CS284" s="0" t="s">
        <v>130</v>
      </c>
      <c r="CT284" s="0" t="s">
        <v>1089</v>
      </c>
    </row>
    <row r="285">
      <c r="A285" s="14">
        <v>112571</v>
      </c>
      <c r="B285" s="0" t="s">
        <v>1056</v>
      </c>
      <c r="C285" s="16">
        <f>HYPERLINK("https://eosportal.federatedhermes.com/companies/Q29tcGFueQppNTIxNzE=", "Nestle SA")</f>
      </c>
      <c r="D285" s="0" t="s">
        <v>25</v>
      </c>
      <c r="E285" s="0" t="s">
        <v>1090</v>
      </c>
      <c r="F285" s="16">
        <f>HYPERLINK("https://eosportal.federatedhermes.com/engagements/RW5nYWdlbWVudAppMTk3MjY=", "succession planning")</f>
      </c>
      <c r="G285" s="14" t="s">
        <v>1091</v>
      </c>
      <c r="H285" s="0" t="s">
        <v>141</v>
      </c>
      <c r="I285" s="14" t="s">
        <v>191</v>
      </c>
      <c r="J285" s="0" t="s">
        <v>145</v>
      </c>
      <c r="K285" s="0" t="s">
        <v>164</v>
      </c>
      <c r="L285" s="0" t="s">
        <v>277</v>
      </c>
      <c r="M285" s="0" t="s">
        <v>378</v>
      </c>
      <c r="N285" s="0" t="s">
        <v>1059</v>
      </c>
      <c r="O285" s="0" t="s">
        <v>332</v>
      </c>
      <c r="Q285" s="0" t="s">
        <v>130</v>
      </c>
      <c r="R285" s="0" t="s">
        <v>138</v>
      </c>
      <c r="S285" s="14">
        <v>0</v>
      </c>
      <c r="T285" s="0" t="s">
        <v>200</v>
      </c>
      <c r="U285" s="0" t="s">
        <v>138</v>
      </c>
      <c r="V285" s="14" t="s">
        <v>138</v>
      </c>
      <c r="W285" s="0" t="s">
        <v>138</v>
      </c>
      <c r="X285" s="14" t="s">
        <v>138</v>
      </c>
      <c r="Y285" s="0" t="s">
        <v>138</v>
      </c>
      <c r="Z285" s="14" t="s">
        <v>138</v>
      </c>
      <c r="AA285" s="0" t="s">
        <v>138</v>
      </c>
      <c r="AB285" s="14" t="s">
        <v>138</v>
      </c>
      <c r="AD285" s="0" t="s">
        <v>138</v>
      </c>
      <c r="AF285" s="0">
        <v>0</v>
      </c>
      <c r="AG285" s="0">
        <v>0</v>
      </c>
      <c r="AH285" s="0" t="s">
        <v>140</v>
      </c>
      <c r="AI285" s="0" t="s">
        <v>138</v>
      </c>
      <c r="AL285" s="14"/>
      <c r="AN285" s="14"/>
      <c r="AQ285" s="0" t="s">
        <v>130</v>
      </c>
      <c r="AR285" s="0" t="s">
        <v>130</v>
      </c>
      <c r="AS285" s="0" t="s">
        <v>130</v>
      </c>
      <c r="AT285" s="0" t="s">
        <v>130</v>
      </c>
      <c r="AU285" s="0" t="s">
        <v>130</v>
      </c>
      <c r="AV285" s="0" t="s">
        <v>130</v>
      </c>
      <c r="AW285" s="0" t="s">
        <v>130</v>
      </c>
      <c r="AX285" s="0" t="s">
        <v>130</v>
      </c>
      <c r="AY285" s="0" t="s">
        <v>130</v>
      </c>
      <c r="AZ285" s="0" t="s">
        <v>130</v>
      </c>
      <c r="BA285" s="0" t="s">
        <v>130</v>
      </c>
      <c r="BB285" s="0" t="s">
        <v>130</v>
      </c>
      <c r="BC285" s="0" t="s">
        <v>130</v>
      </c>
      <c r="BD285" s="0" t="s">
        <v>130</v>
      </c>
      <c r="BE285" s="0" t="s">
        <v>130</v>
      </c>
      <c r="BF285" s="0" t="s">
        <v>130</v>
      </c>
      <c r="BG285" s="0" t="s">
        <v>130</v>
      </c>
      <c r="BH285" s="0" t="s">
        <v>130</v>
      </c>
      <c r="BI285" s="0" t="s">
        <v>130</v>
      </c>
      <c r="BJ285" s="0" t="s">
        <v>130</v>
      </c>
      <c r="BK285" s="0" t="s">
        <v>130</v>
      </c>
      <c r="BL285" s="0" t="s">
        <v>130</v>
      </c>
      <c r="BM285" s="0" t="s">
        <v>130</v>
      </c>
      <c r="BN285" s="0" t="s">
        <v>130</v>
      </c>
      <c r="BO285" s="0" t="s">
        <v>130</v>
      </c>
      <c r="BP285" s="0" t="s">
        <v>130</v>
      </c>
      <c r="BQ285" s="0" t="s">
        <v>130</v>
      </c>
      <c r="BR285" s="0" t="s">
        <v>130</v>
      </c>
      <c r="BS285" s="0" t="s">
        <v>130</v>
      </c>
      <c r="BT285" s="0" t="s">
        <v>130</v>
      </c>
      <c r="BU285" s="0" t="s">
        <v>130</v>
      </c>
      <c r="BV285" s="0" t="s">
        <v>130</v>
      </c>
      <c r="BW285" s="0" t="s">
        <v>130</v>
      </c>
      <c r="BX285" s="0" t="s">
        <v>130</v>
      </c>
      <c r="BY285" s="0" t="s">
        <v>130</v>
      </c>
      <c r="BZ285" s="0" t="s">
        <v>130</v>
      </c>
      <c r="CA285" s="0" t="s">
        <v>130</v>
      </c>
      <c r="CB285" s="0" t="s">
        <v>130</v>
      </c>
      <c r="CC285" s="0" t="s">
        <v>130</v>
      </c>
      <c r="CD285" s="0" t="s">
        <v>130</v>
      </c>
      <c r="CE285" s="0" t="s">
        <v>130</v>
      </c>
      <c r="CF285" s="0" t="s">
        <v>130</v>
      </c>
      <c r="CG285" s="0" t="s">
        <v>130</v>
      </c>
      <c r="CH285" s="0" t="s">
        <v>130</v>
      </c>
      <c r="CI285" s="0" t="s">
        <v>130</v>
      </c>
      <c r="CJ285" s="0" t="s">
        <v>130</v>
      </c>
      <c r="CK285" s="0" t="s">
        <v>130</v>
      </c>
      <c r="CL285" s="0" t="s">
        <v>130</v>
      </c>
      <c r="CM285" s="0" t="s">
        <v>130</v>
      </c>
      <c r="CN285" s="0" t="s">
        <v>130</v>
      </c>
      <c r="CO285" s="0" t="s">
        <v>130</v>
      </c>
      <c r="CP285" s="0" t="s">
        <v>130</v>
      </c>
      <c r="CQ285" s="0" t="s">
        <v>130</v>
      </c>
      <c r="CR285" s="0" t="s">
        <v>130</v>
      </c>
      <c r="CS285" s="0" t="s">
        <v>130</v>
      </c>
      <c r="CT285" s="0" t="s">
        <v>1092</v>
      </c>
    </row>
    <row r="286">
      <c r="A286" s="14">
        <v>112571</v>
      </c>
      <c r="B286" s="0" t="s">
        <v>1056</v>
      </c>
      <c r="C286" s="16">
        <f>HYPERLINK("https://eosportal.federatedhermes.com/companies/Q29tcGFueQppNTIxNzE=", "Nestle SA")</f>
      </c>
      <c r="D286" s="0" t="s">
        <v>25</v>
      </c>
      <c r="E286" s="0" t="s">
        <v>1093</v>
      </c>
      <c r="F286" s="16">
        <f>HYPERLINK("https://eosportal.federatedhermes.com/engagements/RW5nYWdlbWVudAppMTk3Mjc=", "Board diversity gender")</f>
      </c>
      <c r="G286" s="14" t="s">
        <v>1094</v>
      </c>
      <c r="H286" s="0" t="s">
        <v>141</v>
      </c>
      <c r="I286" s="14" t="s">
        <v>191</v>
      </c>
      <c r="J286" s="0" t="s">
        <v>145</v>
      </c>
      <c r="K286" s="0" t="s">
        <v>164</v>
      </c>
      <c r="L286" s="0" t="s">
        <v>165</v>
      </c>
      <c r="M286" s="0" t="s">
        <v>378</v>
      </c>
      <c r="N286" s="0" t="s">
        <v>1059</v>
      </c>
      <c r="O286" s="0" t="s">
        <v>332</v>
      </c>
      <c r="Q286" s="0" t="s">
        <v>130</v>
      </c>
      <c r="R286" s="0" t="s">
        <v>138</v>
      </c>
      <c r="S286" s="14">
        <v>0</v>
      </c>
      <c r="T286" s="0" t="s">
        <v>457</v>
      </c>
      <c r="U286" s="0" t="s">
        <v>138</v>
      </c>
      <c r="V286" s="14" t="s">
        <v>138</v>
      </c>
      <c r="W286" s="0" t="s">
        <v>138</v>
      </c>
      <c r="X286" s="14" t="s">
        <v>138</v>
      </c>
      <c r="Y286" s="0" t="s">
        <v>138</v>
      </c>
      <c r="Z286" s="14" t="s">
        <v>138</v>
      </c>
      <c r="AA286" s="0" t="s">
        <v>138</v>
      </c>
      <c r="AB286" s="14" t="s">
        <v>138</v>
      </c>
      <c r="AD286" s="0" t="s">
        <v>138</v>
      </c>
      <c r="AF286" s="0">
        <v>0</v>
      </c>
      <c r="AG286" s="0">
        <v>0</v>
      </c>
      <c r="AH286" s="0" t="s">
        <v>140</v>
      </c>
      <c r="AI286" s="0" t="s">
        <v>138</v>
      </c>
      <c r="AL286" s="14"/>
      <c r="AN286" s="14"/>
      <c r="AQ286" s="0" t="s">
        <v>130</v>
      </c>
      <c r="AR286" s="0" t="s">
        <v>130</v>
      </c>
      <c r="AS286" s="0" t="s">
        <v>130</v>
      </c>
      <c r="AT286" s="0" t="s">
        <v>130</v>
      </c>
      <c r="AU286" s="0" t="s">
        <v>141</v>
      </c>
      <c r="AV286" s="0" t="s">
        <v>130</v>
      </c>
      <c r="AW286" s="0" t="s">
        <v>130</v>
      </c>
      <c r="AX286" s="0" t="s">
        <v>130</v>
      </c>
      <c r="AY286" s="0" t="s">
        <v>130</v>
      </c>
      <c r="AZ286" s="0" t="s">
        <v>130</v>
      </c>
      <c r="BA286" s="0" t="s">
        <v>130</v>
      </c>
      <c r="BB286" s="0" t="s">
        <v>130</v>
      </c>
      <c r="BC286" s="0" t="s">
        <v>130</v>
      </c>
      <c r="BD286" s="0" t="s">
        <v>130</v>
      </c>
      <c r="BE286" s="0" t="s">
        <v>130</v>
      </c>
      <c r="BF286" s="0" t="s">
        <v>130</v>
      </c>
      <c r="BG286" s="0" t="s">
        <v>130</v>
      </c>
      <c r="BH286" s="0" t="s">
        <v>130</v>
      </c>
      <c r="BI286" s="0" t="s">
        <v>130</v>
      </c>
      <c r="BJ286" s="0" t="s">
        <v>130</v>
      </c>
      <c r="BK286" s="0" t="s">
        <v>130</v>
      </c>
      <c r="BL286" s="0" t="s">
        <v>130</v>
      </c>
      <c r="BM286" s="0" t="s">
        <v>130</v>
      </c>
      <c r="BN286" s="0" t="s">
        <v>130</v>
      </c>
      <c r="BO286" s="0" t="s">
        <v>130</v>
      </c>
      <c r="BP286" s="0" t="s">
        <v>130</v>
      </c>
      <c r="BQ286" s="0" t="s">
        <v>130</v>
      </c>
      <c r="BR286" s="0" t="s">
        <v>130</v>
      </c>
      <c r="BS286" s="0" t="s">
        <v>130</v>
      </c>
      <c r="BT286" s="0" t="s">
        <v>130</v>
      </c>
      <c r="BU286" s="0" t="s">
        <v>130</v>
      </c>
      <c r="BV286" s="0" t="s">
        <v>130</v>
      </c>
      <c r="BW286" s="0" t="s">
        <v>130</v>
      </c>
      <c r="BX286" s="0" t="s">
        <v>130</v>
      </c>
      <c r="BY286" s="0" t="s">
        <v>130</v>
      </c>
      <c r="BZ286" s="0" t="s">
        <v>130</v>
      </c>
      <c r="CA286" s="0" t="s">
        <v>130</v>
      </c>
      <c r="CB286" s="0" t="s">
        <v>130</v>
      </c>
      <c r="CC286" s="0" t="s">
        <v>130</v>
      </c>
      <c r="CD286" s="0" t="s">
        <v>130</v>
      </c>
      <c r="CE286" s="0" t="s">
        <v>130</v>
      </c>
      <c r="CF286" s="0" t="s">
        <v>130</v>
      </c>
      <c r="CG286" s="0" t="s">
        <v>130</v>
      </c>
      <c r="CH286" s="0" t="s">
        <v>130</v>
      </c>
      <c r="CI286" s="0" t="s">
        <v>130</v>
      </c>
      <c r="CJ286" s="0" t="s">
        <v>130</v>
      </c>
      <c r="CK286" s="0" t="s">
        <v>130</v>
      </c>
      <c r="CL286" s="0" t="s">
        <v>130</v>
      </c>
      <c r="CM286" s="0" t="s">
        <v>130</v>
      </c>
      <c r="CN286" s="0" t="s">
        <v>130</v>
      </c>
      <c r="CO286" s="0" t="s">
        <v>130</v>
      </c>
      <c r="CP286" s="0" t="s">
        <v>130</v>
      </c>
      <c r="CQ286" s="0" t="s">
        <v>130</v>
      </c>
      <c r="CR286" s="0" t="s">
        <v>130</v>
      </c>
      <c r="CS286" s="0" t="s">
        <v>130</v>
      </c>
      <c r="CT286" s="0" t="s">
        <v>1095</v>
      </c>
    </row>
    <row r="287">
      <c r="A287" s="14">
        <v>112571</v>
      </c>
      <c r="B287" s="0" t="s">
        <v>1056</v>
      </c>
      <c r="C287" s="16">
        <f>HYPERLINK("https://eosportal.federatedhermes.com/companies/Q29tcGFueQppNTIxNzE=", "Nestle SA")</f>
      </c>
      <c r="D287" s="0" t="s">
        <v>25</v>
      </c>
      <c r="E287" s="0" t="s">
        <v>1096</v>
      </c>
      <c r="F287" s="16">
        <f>HYPERLINK("https://eosportal.federatedhermes.com/engagements/RW5nYWdlbWVudAppMTk3Mjg=", "Human capital reporting - Workforce Disclosure Initiative")</f>
      </c>
      <c r="G287" s="14" t="s">
        <v>1097</v>
      </c>
      <c r="H287" s="0" t="s">
        <v>141</v>
      </c>
      <c r="I287" s="14" t="s">
        <v>191</v>
      </c>
      <c r="J287" s="0" t="s">
        <v>132</v>
      </c>
      <c r="K287" s="0" t="s">
        <v>133</v>
      </c>
      <c r="L287" s="0" t="s">
        <v>160</v>
      </c>
      <c r="M287" s="0" t="s">
        <v>378</v>
      </c>
      <c r="N287" s="0" t="s">
        <v>1059</v>
      </c>
      <c r="O287" s="0" t="s">
        <v>332</v>
      </c>
      <c r="Q287" s="0" t="s">
        <v>130</v>
      </c>
      <c r="R287" s="0" t="s">
        <v>138</v>
      </c>
      <c r="S287" s="14">
        <v>0</v>
      </c>
      <c r="T287" s="0" t="s">
        <v>359</v>
      </c>
      <c r="U287" s="0" t="s">
        <v>138</v>
      </c>
      <c r="V287" s="14" t="s">
        <v>138</v>
      </c>
      <c r="W287" s="0" t="s">
        <v>138</v>
      </c>
      <c r="X287" s="14" t="s">
        <v>138</v>
      </c>
      <c r="Y287" s="0" t="s">
        <v>138</v>
      </c>
      <c r="Z287" s="14" t="s">
        <v>138</v>
      </c>
      <c r="AA287" s="0" t="s">
        <v>138</v>
      </c>
      <c r="AB287" s="14" t="s">
        <v>138</v>
      </c>
      <c r="AD287" s="0" t="s">
        <v>138</v>
      </c>
      <c r="AF287" s="0">
        <v>0</v>
      </c>
      <c r="AG287" s="0">
        <v>0</v>
      </c>
      <c r="AH287" s="0" t="s">
        <v>140</v>
      </c>
      <c r="AI287" s="0" t="s">
        <v>138</v>
      </c>
      <c r="AL287" s="14"/>
      <c r="AN287" s="14"/>
      <c r="AQ287" s="0" t="s">
        <v>130</v>
      </c>
      <c r="AR287" s="0" t="s">
        <v>130</v>
      </c>
      <c r="AS287" s="0" t="s">
        <v>130</v>
      </c>
      <c r="AT287" s="0" t="s">
        <v>130</v>
      </c>
      <c r="AU287" s="0" t="s">
        <v>130</v>
      </c>
      <c r="AV287" s="0" t="s">
        <v>130</v>
      </c>
      <c r="AW287" s="0" t="s">
        <v>130</v>
      </c>
      <c r="AX287" s="0" t="s">
        <v>130</v>
      </c>
      <c r="AY287" s="0" t="s">
        <v>130</v>
      </c>
      <c r="AZ287" s="0" t="s">
        <v>130</v>
      </c>
      <c r="BA287" s="0" t="s">
        <v>130</v>
      </c>
      <c r="BB287" s="0" t="s">
        <v>130</v>
      </c>
      <c r="BC287" s="0" t="s">
        <v>130</v>
      </c>
      <c r="BD287" s="0" t="s">
        <v>130</v>
      </c>
      <c r="BE287" s="0" t="s">
        <v>130</v>
      </c>
      <c r="BF287" s="0" t="s">
        <v>130</v>
      </c>
      <c r="BG287" s="0" t="s">
        <v>130</v>
      </c>
      <c r="BH287" s="0" t="s">
        <v>130</v>
      </c>
      <c r="BI287" s="0" t="s">
        <v>130</v>
      </c>
      <c r="BJ287" s="0" t="s">
        <v>130</v>
      </c>
      <c r="BK287" s="0" t="s">
        <v>130</v>
      </c>
      <c r="BL287" s="0" t="s">
        <v>130</v>
      </c>
      <c r="BM287" s="0" t="s">
        <v>130</v>
      </c>
      <c r="BN287" s="0" t="s">
        <v>130</v>
      </c>
      <c r="BO287" s="0" t="s">
        <v>130</v>
      </c>
      <c r="BP287" s="0" t="s">
        <v>130</v>
      </c>
      <c r="BQ287" s="0" t="s">
        <v>130</v>
      </c>
      <c r="BR287" s="0" t="s">
        <v>130</v>
      </c>
      <c r="BS287" s="0" t="s">
        <v>130</v>
      </c>
      <c r="BT287" s="0" t="s">
        <v>130</v>
      </c>
      <c r="BU287" s="0" t="s">
        <v>130</v>
      </c>
      <c r="BV287" s="0" t="s">
        <v>130</v>
      </c>
      <c r="BW287" s="0" t="s">
        <v>130</v>
      </c>
      <c r="BX287" s="0" t="s">
        <v>130</v>
      </c>
      <c r="BY287" s="0" t="s">
        <v>130</v>
      </c>
      <c r="BZ287" s="0" t="s">
        <v>130</v>
      </c>
      <c r="CA287" s="0" t="s">
        <v>130</v>
      </c>
      <c r="CB287" s="0" t="s">
        <v>130</v>
      </c>
      <c r="CC287" s="0" t="s">
        <v>130</v>
      </c>
      <c r="CD287" s="0" t="s">
        <v>130</v>
      </c>
      <c r="CE287" s="0" t="s">
        <v>130</v>
      </c>
      <c r="CF287" s="0" t="s">
        <v>130</v>
      </c>
      <c r="CG287" s="0" t="s">
        <v>130</v>
      </c>
      <c r="CH287" s="0" t="s">
        <v>130</v>
      </c>
      <c r="CI287" s="0" t="s">
        <v>130</v>
      </c>
      <c r="CJ287" s="0" t="s">
        <v>130</v>
      </c>
      <c r="CK287" s="0" t="s">
        <v>130</v>
      </c>
      <c r="CL287" s="0" t="s">
        <v>130</v>
      </c>
      <c r="CM287" s="0" t="s">
        <v>130</v>
      </c>
      <c r="CN287" s="0" t="s">
        <v>130</v>
      </c>
      <c r="CO287" s="0" t="s">
        <v>130</v>
      </c>
      <c r="CP287" s="0" t="s">
        <v>130</v>
      </c>
      <c r="CQ287" s="0" t="s">
        <v>130</v>
      </c>
      <c r="CR287" s="0" t="s">
        <v>130</v>
      </c>
      <c r="CS287" s="0" t="s">
        <v>130</v>
      </c>
      <c r="CT287" s="0" t="s">
        <v>1098</v>
      </c>
    </row>
    <row r="288">
      <c r="A288" s="14">
        <v>112571</v>
      </c>
      <c r="B288" s="0" t="s">
        <v>1056</v>
      </c>
      <c r="C288" s="16">
        <f>HYPERLINK("https://eosportal.federatedhermes.com/companies/Q29tcGFueQppNTIxNzE=", "Nestle SA")</f>
      </c>
      <c r="D288" s="0" t="s">
        <v>25</v>
      </c>
      <c r="E288" s="0" t="s">
        <v>652</v>
      </c>
      <c r="F288" s="16">
        <f>HYPERLINK("https://eosportal.federatedhermes.com/engagements/RW5nYWdlbWVudAppMTk3Mjk=", "Protein diversification")</f>
      </c>
      <c r="G288" s="14" t="s">
        <v>653</v>
      </c>
      <c r="H288" s="0" t="s">
        <v>141</v>
      </c>
      <c r="I288" s="14" t="s">
        <v>191</v>
      </c>
      <c r="J288" s="0" t="s">
        <v>197</v>
      </c>
      <c r="K288" s="0" t="s">
        <v>337</v>
      </c>
      <c r="L288" s="0" t="s">
        <v>576</v>
      </c>
      <c r="M288" s="0" t="s">
        <v>378</v>
      </c>
      <c r="N288" s="0" t="s">
        <v>1059</v>
      </c>
      <c r="O288" s="0" t="s">
        <v>332</v>
      </c>
      <c r="Q288" s="0" t="s">
        <v>130</v>
      </c>
      <c r="R288" s="0" t="s">
        <v>138</v>
      </c>
      <c r="S288" s="14">
        <v>0</v>
      </c>
      <c r="T288" s="0" t="s">
        <v>333</v>
      </c>
      <c r="U288" s="0" t="s">
        <v>138</v>
      </c>
      <c r="V288" s="14" t="s">
        <v>138</v>
      </c>
      <c r="W288" s="0" t="s">
        <v>138</v>
      </c>
      <c r="X288" s="14" t="s">
        <v>138</v>
      </c>
      <c r="Y288" s="0" t="s">
        <v>138</v>
      </c>
      <c r="Z288" s="14" t="s">
        <v>138</v>
      </c>
      <c r="AA288" s="0" t="s">
        <v>138</v>
      </c>
      <c r="AB288" s="14" t="s">
        <v>138</v>
      </c>
      <c r="AD288" s="0" t="s">
        <v>138</v>
      </c>
      <c r="AF288" s="0">
        <v>0</v>
      </c>
      <c r="AG288" s="0">
        <v>0</v>
      </c>
      <c r="AH288" s="0" t="s">
        <v>140</v>
      </c>
      <c r="AI288" s="0" t="s">
        <v>138</v>
      </c>
      <c r="AL288" s="14"/>
      <c r="AN288" s="14"/>
      <c r="AQ288" s="0" t="s">
        <v>130</v>
      </c>
      <c r="AR288" s="0" t="s">
        <v>141</v>
      </c>
      <c r="AS288" s="0" t="s">
        <v>130</v>
      </c>
      <c r="AT288" s="0" t="s">
        <v>130</v>
      </c>
      <c r="AU288" s="0" t="s">
        <v>130</v>
      </c>
      <c r="AV288" s="0" t="s">
        <v>130</v>
      </c>
      <c r="AW288" s="0" t="s">
        <v>130</v>
      </c>
      <c r="AX288" s="0" t="s">
        <v>130</v>
      </c>
      <c r="AY288" s="0" t="s">
        <v>130</v>
      </c>
      <c r="AZ288" s="0" t="s">
        <v>130</v>
      </c>
      <c r="BA288" s="0" t="s">
        <v>130</v>
      </c>
      <c r="BB288" s="0" t="s">
        <v>141</v>
      </c>
      <c r="BC288" s="0" t="s">
        <v>130</v>
      </c>
      <c r="BD288" s="0" t="s">
        <v>130</v>
      </c>
      <c r="BE288" s="0" t="s">
        <v>141</v>
      </c>
      <c r="BF288" s="0" t="s">
        <v>130</v>
      </c>
      <c r="BG288" s="0" t="s">
        <v>130</v>
      </c>
      <c r="BH288" s="0" t="s">
        <v>130</v>
      </c>
      <c r="BI288" s="0" t="s">
        <v>130</v>
      </c>
      <c r="BJ288" s="0" t="s">
        <v>130</v>
      </c>
      <c r="BK288" s="0" t="s">
        <v>130</v>
      </c>
      <c r="BL288" s="0" t="s">
        <v>130</v>
      </c>
      <c r="BM288" s="0" t="s">
        <v>130</v>
      </c>
      <c r="BN288" s="0" t="s">
        <v>130</v>
      </c>
      <c r="BO288" s="0" t="s">
        <v>130</v>
      </c>
      <c r="BP288" s="0" t="s">
        <v>130</v>
      </c>
      <c r="BQ288" s="0" t="s">
        <v>130</v>
      </c>
      <c r="BR288" s="0" t="s">
        <v>130</v>
      </c>
      <c r="BS288" s="0" t="s">
        <v>130</v>
      </c>
      <c r="BT288" s="0" t="s">
        <v>130</v>
      </c>
      <c r="BU288" s="0" t="s">
        <v>130</v>
      </c>
      <c r="BV288" s="0" t="s">
        <v>130</v>
      </c>
      <c r="BW288" s="0" t="s">
        <v>130</v>
      </c>
      <c r="BX288" s="0" t="s">
        <v>130</v>
      </c>
      <c r="BY288" s="0" t="s">
        <v>130</v>
      </c>
      <c r="BZ288" s="0" t="s">
        <v>130</v>
      </c>
      <c r="CA288" s="0" t="s">
        <v>130</v>
      </c>
      <c r="CB288" s="0" t="s">
        <v>130</v>
      </c>
      <c r="CC288" s="0" t="s">
        <v>130</v>
      </c>
      <c r="CD288" s="0" t="s">
        <v>130</v>
      </c>
      <c r="CE288" s="0" t="s">
        <v>130</v>
      </c>
      <c r="CF288" s="0" t="s">
        <v>130</v>
      </c>
      <c r="CG288" s="0" t="s">
        <v>130</v>
      </c>
      <c r="CH288" s="0" t="s">
        <v>130</v>
      </c>
      <c r="CI288" s="0" t="s">
        <v>130</v>
      </c>
      <c r="CJ288" s="0" t="s">
        <v>130</v>
      </c>
      <c r="CK288" s="0" t="s">
        <v>130</v>
      </c>
      <c r="CL288" s="0" t="s">
        <v>130</v>
      </c>
      <c r="CM288" s="0" t="s">
        <v>130</v>
      </c>
      <c r="CN288" s="0" t="s">
        <v>130</v>
      </c>
      <c r="CO288" s="0" t="s">
        <v>130</v>
      </c>
      <c r="CP288" s="0" t="s">
        <v>130</v>
      </c>
      <c r="CQ288" s="0" t="s">
        <v>130</v>
      </c>
      <c r="CR288" s="0" t="s">
        <v>130</v>
      </c>
      <c r="CS288" s="0" t="s">
        <v>130</v>
      </c>
      <c r="CT288" s="0" t="s">
        <v>1099</v>
      </c>
    </row>
    <row r="289">
      <c r="A289" s="14">
        <v>112571</v>
      </c>
      <c r="B289" s="0" t="s">
        <v>1056</v>
      </c>
      <c r="C289" s="16">
        <f>HYPERLINK("https://eosportal.federatedhermes.com/companies/Q29tcGFueQppNTIxNzE=", "Nestle SA")</f>
      </c>
      <c r="D289" s="0" t="s">
        <v>25</v>
      </c>
      <c r="E289" s="0" t="s">
        <v>1100</v>
      </c>
      <c r="F289" s="16">
        <f>HYPERLINK("https://eosportal.federatedhermes.com/engagements/RW5nYWdlbWVudAppMTk3MzA=", "Diversity executive committee")</f>
      </c>
      <c r="G289" s="14" t="s">
        <v>1101</v>
      </c>
      <c r="H289" s="0" t="s">
        <v>141</v>
      </c>
      <c r="I289" s="14" t="s">
        <v>191</v>
      </c>
      <c r="J289" s="0" t="s">
        <v>153</v>
      </c>
      <c r="K289" s="0" t="s">
        <v>154</v>
      </c>
      <c r="L289" s="0" t="s">
        <v>268</v>
      </c>
      <c r="M289" s="0" t="s">
        <v>378</v>
      </c>
      <c r="N289" s="0" t="s">
        <v>1059</v>
      </c>
      <c r="O289" s="0" t="s">
        <v>332</v>
      </c>
      <c r="Q289" s="0" t="s">
        <v>130</v>
      </c>
      <c r="R289" s="0" t="s">
        <v>138</v>
      </c>
      <c r="S289" s="14">
        <v>0</v>
      </c>
      <c r="T289" s="0" t="s">
        <v>384</v>
      </c>
      <c r="U289" s="0" t="s">
        <v>138</v>
      </c>
      <c r="V289" s="14" t="s">
        <v>138</v>
      </c>
      <c r="W289" s="0" t="s">
        <v>138</v>
      </c>
      <c r="X289" s="14" t="s">
        <v>138</v>
      </c>
      <c r="Y289" s="0" t="s">
        <v>138</v>
      </c>
      <c r="Z289" s="14" t="s">
        <v>138</v>
      </c>
      <c r="AA289" s="0" t="s">
        <v>138</v>
      </c>
      <c r="AB289" s="14" t="s">
        <v>138</v>
      </c>
      <c r="AD289" s="0" t="s">
        <v>138</v>
      </c>
      <c r="AF289" s="0">
        <v>0</v>
      </c>
      <c r="AG289" s="0">
        <v>0</v>
      </c>
      <c r="AH289" s="0" t="s">
        <v>140</v>
      </c>
      <c r="AI289" s="0" t="s">
        <v>138</v>
      </c>
      <c r="AL289" s="14"/>
      <c r="AN289" s="14"/>
      <c r="AQ289" s="0" t="s">
        <v>130</v>
      </c>
      <c r="AR289" s="0" t="s">
        <v>130</v>
      </c>
      <c r="AS289" s="0" t="s">
        <v>130</v>
      </c>
      <c r="AT289" s="0" t="s">
        <v>130</v>
      </c>
      <c r="AU289" s="0" t="s">
        <v>141</v>
      </c>
      <c r="AV289" s="0" t="s">
        <v>130</v>
      </c>
      <c r="AW289" s="0" t="s">
        <v>130</v>
      </c>
      <c r="AX289" s="0" t="s">
        <v>130</v>
      </c>
      <c r="AY289" s="0" t="s">
        <v>130</v>
      </c>
      <c r="AZ289" s="0" t="s">
        <v>130</v>
      </c>
      <c r="BA289" s="0" t="s">
        <v>130</v>
      </c>
      <c r="BB289" s="0" t="s">
        <v>130</v>
      </c>
      <c r="BC289" s="0" t="s">
        <v>130</v>
      </c>
      <c r="BD289" s="0" t="s">
        <v>130</v>
      </c>
      <c r="BE289" s="0" t="s">
        <v>130</v>
      </c>
      <c r="BF289" s="0" t="s">
        <v>130</v>
      </c>
      <c r="BG289" s="0" t="s">
        <v>130</v>
      </c>
      <c r="BH289" s="0" t="s">
        <v>130</v>
      </c>
      <c r="BI289" s="0" t="s">
        <v>130</v>
      </c>
      <c r="BJ289" s="0" t="s">
        <v>130</v>
      </c>
      <c r="BK289" s="0" t="s">
        <v>130</v>
      </c>
      <c r="BL289" s="0" t="s">
        <v>130</v>
      </c>
      <c r="BM289" s="0" t="s">
        <v>130</v>
      </c>
      <c r="BN289" s="0" t="s">
        <v>130</v>
      </c>
      <c r="BO289" s="0" t="s">
        <v>130</v>
      </c>
      <c r="BP289" s="0" t="s">
        <v>130</v>
      </c>
      <c r="BQ289" s="0" t="s">
        <v>130</v>
      </c>
      <c r="BR289" s="0" t="s">
        <v>130</v>
      </c>
      <c r="BS289" s="0" t="s">
        <v>130</v>
      </c>
      <c r="BT289" s="0" t="s">
        <v>130</v>
      </c>
      <c r="BU289" s="0" t="s">
        <v>130</v>
      </c>
      <c r="BV289" s="0" t="s">
        <v>130</v>
      </c>
      <c r="BW289" s="0" t="s">
        <v>130</v>
      </c>
      <c r="BX289" s="0" t="s">
        <v>130</v>
      </c>
      <c r="BY289" s="0" t="s">
        <v>130</v>
      </c>
      <c r="BZ289" s="0" t="s">
        <v>130</v>
      </c>
      <c r="CA289" s="0" t="s">
        <v>130</v>
      </c>
      <c r="CB289" s="0" t="s">
        <v>130</v>
      </c>
      <c r="CC289" s="0" t="s">
        <v>130</v>
      </c>
      <c r="CD289" s="0" t="s">
        <v>130</v>
      </c>
      <c r="CE289" s="0" t="s">
        <v>130</v>
      </c>
      <c r="CF289" s="0" t="s">
        <v>130</v>
      </c>
      <c r="CG289" s="0" t="s">
        <v>130</v>
      </c>
      <c r="CH289" s="0" t="s">
        <v>130</v>
      </c>
      <c r="CI289" s="0" t="s">
        <v>130</v>
      </c>
      <c r="CJ289" s="0" t="s">
        <v>130</v>
      </c>
      <c r="CK289" s="0" t="s">
        <v>141</v>
      </c>
      <c r="CL289" s="0" t="s">
        <v>130</v>
      </c>
      <c r="CM289" s="0" t="s">
        <v>130</v>
      </c>
      <c r="CN289" s="0" t="s">
        <v>130</v>
      </c>
      <c r="CO289" s="0" t="s">
        <v>130</v>
      </c>
      <c r="CP289" s="0" t="s">
        <v>130</v>
      </c>
      <c r="CQ289" s="0" t="s">
        <v>130</v>
      </c>
      <c r="CR289" s="0" t="s">
        <v>130</v>
      </c>
      <c r="CS289" s="0" t="s">
        <v>130</v>
      </c>
      <c r="CT289" s="0" t="s">
        <v>1102</v>
      </c>
    </row>
    <row r="290">
      <c r="A290" s="14">
        <v>100864</v>
      </c>
      <c r="B290" s="0" t="s">
        <v>1103</v>
      </c>
      <c r="C290" s="16">
        <f>HYPERLINK("https://eosportal.federatedhermes.com/companies/Q29tcGFueQppODI1MDM=", "Kroger Co/The")</f>
      </c>
      <c r="D290" s="0" t="s">
        <v>25</v>
      </c>
      <c r="E290" s="0" t="s">
        <v>1104</v>
      </c>
      <c r="F290" s="16">
        <f>HYPERLINK("https://eosportal.federatedhermes.com/engagements/RW5nYWdlbWVudAppMTk3OTI=", "Executive Compensation")</f>
      </c>
      <c r="G290" s="14" t="s">
        <v>1105</v>
      </c>
      <c r="H290" s="0" t="s">
        <v>130</v>
      </c>
      <c r="I290" s="14" t="s">
        <v>131</v>
      </c>
      <c r="J290" s="0" t="s">
        <v>145</v>
      </c>
      <c r="K290" s="0" t="s">
        <v>146</v>
      </c>
      <c r="L290" s="0" t="s">
        <v>147</v>
      </c>
      <c r="M290" s="0" t="s">
        <v>135</v>
      </c>
      <c r="N290" s="0" t="s">
        <v>136</v>
      </c>
      <c r="O290" s="0" t="s">
        <v>643</v>
      </c>
      <c r="Q290" s="0" t="s">
        <v>130</v>
      </c>
      <c r="R290" s="0" t="s">
        <v>138</v>
      </c>
      <c r="S290" s="14">
        <v>0</v>
      </c>
      <c r="T290" s="0" t="s">
        <v>355</v>
      </c>
      <c r="U290" s="0" t="s">
        <v>138</v>
      </c>
      <c r="V290" s="14" t="s">
        <v>138</v>
      </c>
      <c r="W290" s="0" t="s">
        <v>138</v>
      </c>
      <c r="X290" s="14" t="s">
        <v>138</v>
      </c>
      <c r="Y290" s="0" t="s">
        <v>138</v>
      </c>
      <c r="Z290" s="14" t="s">
        <v>138</v>
      </c>
      <c r="AA290" s="0" t="s">
        <v>138</v>
      </c>
      <c r="AB290" s="14" t="s">
        <v>138</v>
      </c>
      <c r="AD290" s="0" t="s">
        <v>138</v>
      </c>
      <c r="AF290" s="0">
        <v>0</v>
      </c>
      <c r="AG290" s="0">
        <v>0</v>
      </c>
      <c r="AH290" s="0" t="s">
        <v>140</v>
      </c>
      <c r="AI290" s="0" t="s">
        <v>138</v>
      </c>
      <c r="AL290" s="14"/>
      <c r="AN290" s="14"/>
      <c r="AQ290" s="0" t="s">
        <v>130</v>
      </c>
      <c r="AR290" s="0" t="s">
        <v>130</v>
      </c>
      <c r="AS290" s="0" t="s">
        <v>130</v>
      </c>
      <c r="AT290" s="0" t="s">
        <v>130</v>
      </c>
      <c r="AU290" s="0" t="s">
        <v>130</v>
      </c>
      <c r="AV290" s="0" t="s">
        <v>130</v>
      </c>
      <c r="AW290" s="0" t="s">
        <v>130</v>
      </c>
      <c r="AX290" s="0" t="s">
        <v>130</v>
      </c>
      <c r="AY290" s="0" t="s">
        <v>130</v>
      </c>
      <c r="AZ290" s="0" t="s">
        <v>130</v>
      </c>
      <c r="BA290" s="0" t="s">
        <v>130</v>
      </c>
      <c r="BB290" s="0" t="s">
        <v>130</v>
      </c>
      <c r="BC290" s="0" t="s">
        <v>130</v>
      </c>
      <c r="BD290" s="0" t="s">
        <v>130</v>
      </c>
      <c r="BE290" s="0" t="s">
        <v>130</v>
      </c>
      <c r="BF290" s="0" t="s">
        <v>130</v>
      </c>
      <c r="BG290" s="0" t="s">
        <v>130</v>
      </c>
      <c r="BH290" s="0" t="s">
        <v>130</v>
      </c>
      <c r="BI290" s="0" t="s">
        <v>130</v>
      </c>
      <c r="BJ290" s="0" t="s">
        <v>130</v>
      </c>
      <c r="BK290" s="0" t="s">
        <v>130</v>
      </c>
      <c r="BL290" s="0" t="s">
        <v>130</v>
      </c>
      <c r="BM290" s="0" t="s">
        <v>130</v>
      </c>
      <c r="BN290" s="0" t="s">
        <v>130</v>
      </c>
      <c r="BO290" s="0" t="s">
        <v>130</v>
      </c>
      <c r="BP290" s="0" t="s">
        <v>130</v>
      </c>
      <c r="BQ290" s="0" t="s">
        <v>130</v>
      </c>
      <c r="BR290" s="0" t="s">
        <v>130</v>
      </c>
      <c r="BS290" s="0" t="s">
        <v>130</v>
      </c>
      <c r="BT290" s="0" t="s">
        <v>130</v>
      </c>
      <c r="BU290" s="0" t="s">
        <v>130</v>
      </c>
      <c r="BV290" s="0" t="s">
        <v>130</v>
      </c>
      <c r="BW290" s="0" t="s">
        <v>130</v>
      </c>
      <c r="BX290" s="0" t="s">
        <v>130</v>
      </c>
      <c r="BY290" s="0" t="s">
        <v>130</v>
      </c>
      <c r="BZ290" s="0" t="s">
        <v>130</v>
      </c>
      <c r="CA290" s="0" t="s">
        <v>130</v>
      </c>
      <c r="CB290" s="0" t="s">
        <v>130</v>
      </c>
      <c r="CC290" s="0" t="s">
        <v>130</v>
      </c>
      <c r="CD290" s="0" t="s">
        <v>130</v>
      </c>
      <c r="CE290" s="0" t="s">
        <v>130</v>
      </c>
      <c r="CF290" s="0" t="s">
        <v>130</v>
      </c>
      <c r="CG290" s="0" t="s">
        <v>130</v>
      </c>
      <c r="CH290" s="0" t="s">
        <v>130</v>
      </c>
      <c r="CI290" s="0" t="s">
        <v>130</v>
      </c>
      <c r="CJ290" s="0" t="s">
        <v>130</v>
      </c>
      <c r="CK290" s="0" t="s">
        <v>130</v>
      </c>
      <c r="CL290" s="0" t="s">
        <v>130</v>
      </c>
      <c r="CM290" s="0" t="s">
        <v>130</v>
      </c>
      <c r="CN290" s="0" t="s">
        <v>130</v>
      </c>
      <c r="CO290" s="0" t="s">
        <v>130</v>
      </c>
      <c r="CP290" s="0" t="s">
        <v>130</v>
      </c>
      <c r="CQ290" s="0" t="s">
        <v>130</v>
      </c>
      <c r="CR290" s="0" t="s">
        <v>130</v>
      </c>
      <c r="CS290" s="0" t="s">
        <v>130</v>
      </c>
      <c r="CT290" s="0" t="s">
        <v>1106</v>
      </c>
    </row>
    <row r="291">
      <c r="A291" s="14">
        <v>100864</v>
      </c>
      <c r="B291" s="0" t="s">
        <v>1103</v>
      </c>
      <c r="C291" s="16">
        <f>HYPERLINK("https://eosportal.federatedhermes.com/companies/Q29tcGFueQppODI1MDM=", "Kroger Co/The")</f>
      </c>
      <c r="D291" s="0" t="s">
        <v>25</v>
      </c>
      <c r="E291" s="0" t="s">
        <v>1107</v>
      </c>
      <c r="F291" s="16">
        <f>HYPERLINK("https://eosportal.federatedhermes.com/engagements/RW5nYWdlbWVudAppMTk3OTM=", "Environmental impacts")</f>
      </c>
      <c r="G291" s="14" t="s">
        <v>1108</v>
      </c>
      <c r="H291" s="0" t="s">
        <v>130</v>
      </c>
      <c r="I291" s="14" t="s">
        <v>131</v>
      </c>
      <c r="J291" s="0" t="s">
        <v>132</v>
      </c>
      <c r="K291" s="0" t="s">
        <v>133</v>
      </c>
      <c r="L291" s="0" t="s">
        <v>160</v>
      </c>
      <c r="M291" s="0" t="s">
        <v>135</v>
      </c>
      <c r="N291" s="0" t="s">
        <v>136</v>
      </c>
      <c r="O291" s="0" t="s">
        <v>643</v>
      </c>
      <c r="Q291" s="0" t="s">
        <v>130</v>
      </c>
      <c r="R291" s="0" t="s">
        <v>138</v>
      </c>
      <c r="S291" s="14">
        <v>0</v>
      </c>
      <c r="T291" s="0" t="s">
        <v>416</v>
      </c>
      <c r="U291" s="0" t="s">
        <v>138</v>
      </c>
      <c r="V291" s="14" t="s">
        <v>138</v>
      </c>
      <c r="W291" s="0" t="s">
        <v>138</v>
      </c>
      <c r="X291" s="14" t="s">
        <v>138</v>
      </c>
      <c r="Y291" s="0" t="s">
        <v>138</v>
      </c>
      <c r="Z291" s="14" t="s">
        <v>138</v>
      </c>
      <c r="AA291" s="0" t="s">
        <v>138</v>
      </c>
      <c r="AB291" s="14" t="s">
        <v>138</v>
      </c>
      <c r="AD291" s="0" t="s">
        <v>138</v>
      </c>
      <c r="AF291" s="0">
        <v>0</v>
      </c>
      <c r="AG291" s="0">
        <v>0</v>
      </c>
      <c r="AH291" s="0" t="s">
        <v>140</v>
      </c>
      <c r="AI291" s="0" t="s">
        <v>138</v>
      </c>
      <c r="AL291" s="14"/>
      <c r="AN291" s="14"/>
      <c r="AQ291" s="0" t="s">
        <v>130</v>
      </c>
      <c r="AR291" s="0" t="s">
        <v>130</v>
      </c>
      <c r="AS291" s="0" t="s">
        <v>130</v>
      </c>
      <c r="AT291" s="0" t="s">
        <v>130</v>
      </c>
      <c r="AU291" s="0" t="s">
        <v>130</v>
      </c>
      <c r="AV291" s="0" t="s">
        <v>130</v>
      </c>
      <c r="AW291" s="0" t="s">
        <v>141</v>
      </c>
      <c r="AX291" s="0" t="s">
        <v>130</v>
      </c>
      <c r="AY291" s="0" t="s">
        <v>130</v>
      </c>
      <c r="AZ291" s="0" t="s">
        <v>130</v>
      </c>
      <c r="BA291" s="0" t="s">
        <v>130</v>
      </c>
      <c r="BB291" s="0" t="s">
        <v>141</v>
      </c>
      <c r="BC291" s="0" t="s">
        <v>141</v>
      </c>
      <c r="BD291" s="0" t="s">
        <v>130</v>
      </c>
      <c r="BE291" s="0" t="s">
        <v>130</v>
      </c>
      <c r="BF291" s="0" t="s">
        <v>130</v>
      </c>
      <c r="BG291" s="0" t="s">
        <v>130</v>
      </c>
      <c r="BH291" s="0" t="s">
        <v>130</v>
      </c>
      <c r="BI291" s="0" t="s">
        <v>130</v>
      </c>
      <c r="BJ291" s="0" t="s">
        <v>130</v>
      </c>
      <c r="BK291" s="0" t="s">
        <v>130</v>
      </c>
      <c r="BL291" s="0" t="s">
        <v>130</v>
      </c>
      <c r="BM291" s="0" t="s">
        <v>130</v>
      </c>
      <c r="BN291" s="0" t="s">
        <v>130</v>
      </c>
      <c r="BO291" s="0" t="s">
        <v>130</v>
      </c>
      <c r="BP291" s="0" t="s">
        <v>130</v>
      </c>
      <c r="BQ291" s="0" t="s">
        <v>130</v>
      </c>
      <c r="BR291" s="0" t="s">
        <v>130</v>
      </c>
      <c r="BS291" s="0" t="s">
        <v>130</v>
      </c>
      <c r="BT291" s="0" t="s">
        <v>130</v>
      </c>
      <c r="BU291" s="0" t="s">
        <v>130</v>
      </c>
      <c r="BV291" s="0" t="s">
        <v>130</v>
      </c>
      <c r="BW291" s="0" t="s">
        <v>130</v>
      </c>
      <c r="BX291" s="0" t="s">
        <v>130</v>
      </c>
      <c r="BY291" s="0" t="s">
        <v>130</v>
      </c>
      <c r="BZ291" s="0" t="s">
        <v>130</v>
      </c>
      <c r="CA291" s="0" t="s">
        <v>130</v>
      </c>
      <c r="CB291" s="0" t="s">
        <v>130</v>
      </c>
      <c r="CC291" s="0" t="s">
        <v>130</v>
      </c>
      <c r="CD291" s="0" t="s">
        <v>130</v>
      </c>
      <c r="CE291" s="0" t="s">
        <v>130</v>
      </c>
      <c r="CF291" s="0" t="s">
        <v>130</v>
      </c>
      <c r="CG291" s="0" t="s">
        <v>130</v>
      </c>
      <c r="CH291" s="0" t="s">
        <v>130</v>
      </c>
      <c r="CI291" s="0" t="s">
        <v>130</v>
      </c>
      <c r="CJ291" s="0" t="s">
        <v>130</v>
      </c>
      <c r="CK291" s="0" t="s">
        <v>130</v>
      </c>
      <c r="CL291" s="0" t="s">
        <v>130</v>
      </c>
      <c r="CM291" s="0" t="s">
        <v>130</v>
      </c>
      <c r="CN291" s="0" t="s">
        <v>130</v>
      </c>
      <c r="CO291" s="0" t="s">
        <v>130</v>
      </c>
      <c r="CP291" s="0" t="s">
        <v>130</v>
      </c>
      <c r="CQ291" s="0" t="s">
        <v>130</v>
      </c>
      <c r="CR291" s="0" t="s">
        <v>130</v>
      </c>
      <c r="CS291" s="0" t="s">
        <v>130</v>
      </c>
      <c r="CT291" s="0" t="s">
        <v>1109</v>
      </c>
    </row>
    <row r="292">
      <c r="A292" s="14">
        <v>100864</v>
      </c>
      <c r="B292" s="0" t="s">
        <v>1103</v>
      </c>
      <c r="C292" s="16">
        <f>HYPERLINK("https://eosportal.federatedhermes.com/companies/Q29tcGFueQppODI1MDM=", "Kroger Co/The")</f>
      </c>
      <c r="D292" s="0" t="s">
        <v>25</v>
      </c>
      <c r="E292" s="0" t="s">
        <v>652</v>
      </c>
      <c r="F292" s="16">
        <f>HYPERLINK("https://eosportal.federatedhermes.com/engagements/RW5nYWdlbWVudAppMTk3OTQ=", "Protein diversification")</f>
      </c>
      <c r="G292" s="14" t="s">
        <v>653</v>
      </c>
      <c r="H292" s="0" t="s">
        <v>130</v>
      </c>
      <c r="I292" s="14" t="s">
        <v>131</v>
      </c>
      <c r="J292" s="0" t="s">
        <v>197</v>
      </c>
      <c r="K292" s="0" t="s">
        <v>337</v>
      </c>
      <c r="L292" s="0" t="s">
        <v>576</v>
      </c>
      <c r="M292" s="0" t="s">
        <v>135</v>
      </c>
      <c r="N292" s="0" t="s">
        <v>136</v>
      </c>
      <c r="O292" s="0" t="s">
        <v>643</v>
      </c>
      <c r="Q292" s="0" t="s">
        <v>130</v>
      </c>
      <c r="R292" s="0" t="s">
        <v>138</v>
      </c>
      <c r="S292" s="14">
        <v>0</v>
      </c>
      <c r="T292" s="0" t="s">
        <v>333</v>
      </c>
      <c r="U292" s="0" t="s">
        <v>138</v>
      </c>
      <c r="V292" s="14" t="s">
        <v>138</v>
      </c>
      <c r="W292" s="0" t="s">
        <v>138</v>
      </c>
      <c r="X292" s="14" t="s">
        <v>138</v>
      </c>
      <c r="Y292" s="0" t="s">
        <v>138</v>
      </c>
      <c r="Z292" s="14" t="s">
        <v>138</v>
      </c>
      <c r="AA292" s="0" t="s">
        <v>138</v>
      </c>
      <c r="AB292" s="14" t="s">
        <v>138</v>
      </c>
      <c r="AD292" s="0" t="s">
        <v>138</v>
      </c>
      <c r="AF292" s="0">
        <v>0</v>
      </c>
      <c r="AG292" s="0">
        <v>0</v>
      </c>
      <c r="AH292" s="0" t="s">
        <v>140</v>
      </c>
      <c r="AI292" s="0" t="s">
        <v>138</v>
      </c>
      <c r="AL292" s="14"/>
      <c r="AN292" s="14"/>
      <c r="AQ292" s="0" t="s">
        <v>130</v>
      </c>
      <c r="AR292" s="0" t="s">
        <v>130</v>
      </c>
      <c r="AS292" s="0" t="s">
        <v>130</v>
      </c>
      <c r="AT292" s="0" t="s">
        <v>130</v>
      </c>
      <c r="AU292" s="0" t="s">
        <v>130</v>
      </c>
      <c r="AV292" s="0" t="s">
        <v>130</v>
      </c>
      <c r="AW292" s="0" t="s">
        <v>130</v>
      </c>
      <c r="AX292" s="0" t="s">
        <v>130</v>
      </c>
      <c r="AY292" s="0" t="s">
        <v>130</v>
      </c>
      <c r="AZ292" s="0" t="s">
        <v>130</v>
      </c>
      <c r="BA292" s="0" t="s">
        <v>130</v>
      </c>
      <c r="BB292" s="0" t="s">
        <v>141</v>
      </c>
      <c r="BC292" s="0" t="s">
        <v>141</v>
      </c>
      <c r="BD292" s="0" t="s">
        <v>130</v>
      </c>
      <c r="BE292" s="0" t="s">
        <v>130</v>
      </c>
      <c r="BF292" s="0" t="s">
        <v>130</v>
      </c>
      <c r="BG292" s="0" t="s">
        <v>130</v>
      </c>
      <c r="BH292" s="0" t="s">
        <v>130</v>
      </c>
      <c r="BI292" s="0" t="s">
        <v>130</v>
      </c>
      <c r="BJ292" s="0" t="s">
        <v>130</v>
      </c>
      <c r="BK292" s="0" t="s">
        <v>130</v>
      </c>
      <c r="BL292" s="0" t="s">
        <v>130</v>
      </c>
      <c r="BM292" s="0" t="s">
        <v>130</v>
      </c>
      <c r="BN292" s="0" t="s">
        <v>130</v>
      </c>
      <c r="BO292" s="0" t="s">
        <v>130</v>
      </c>
      <c r="BP292" s="0" t="s">
        <v>130</v>
      </c>
      <c r="BQ292" s="0" t="s">
        <v>130</v>
      </c>
      <c r="BR292" s="0" t="s">
        <v>130</v>
      </c>
      <c r="BS292" s="0" t="s">
        <v>130</v>
      </c>
      <c r="BT292" s="0" t="s">
        <v>130</v>
      </c>
      <c r="BU292" s="0" t="s">
        <v>130</v>
      </c>
      <c r="BV292" s="0" t="s">
        <v>130</v>
      </c>
      <c r="BW292" s="0" t="s">
        <v>130</v>
      </c>
      <c r="BX292" s="0" t="s">
        <v>130</v>
      </c>
      <c r="BY292" s="0" t="s">
        <v>130</v>
      </c>
      <c r="BZ292" s="0" t="s">
        <v>130</v>
      </c>
      <c r="CA292" s="0" t="s">
        <v>130</v>
      </c>
      <c r="CB292" s="0" t="s">
        <v>130</v>
      </c>
      <c r="CC292" s="0" t="s">
        <v>130</v>
      </c>
      <c r="CD292" s="0" t="s">
        <v>130</v>
      </c>
      <c r="CE292" s="0" t="s">
        <v>130</v>
      </c>
      <c r="CF292" s="0" t="s">
        <v>130</v>
      </c>
      <c r="CG292" s="0" t="s">
        <v>130</v>
      </c>
      <c r="CH292" s="0" t="s">
        <v>130</v>
      </c>
      <c r="CI292" s="0" t="s">
        <v>130</v>
      </c>
      <c r="CJ292" s="0" t="s">
        <v>130</v>
      </c>
      <c r="CK292" s="0" t="s">
        <v>130</v>
      </c>
      <c r="CL292" s="0" t="s">
        <v>130</v>
      </c>
      <c r="CM292" s="0" t="s">
        <v>130</v>
      </c>
      <c r="CN292" s="0" t="s">
        <v>130</v>
      </c>
      <c r="CO292" s="0" t="s">
        <v>130</v>
      </c>
      <c r="CP292" s="0" t="s">
        <v>130</v>
      </c>
      <c r="CQ292" s="0" t="s">
        <v>130</v>
      </c>
      <c r="CR292" s="0" t="s">
        <v>130</v>
      </c>
      <c r="CS292" s="0" t="s">
        <v>130</v>
      </c>
      <c r="CT292" s="0" t="s">
        <v>1110</v>
      </c>
    </row>
    <row r="293">
      <c r="A293" s="14">
        <v>100978</v>
      </c>
      <c r="B293" s="0" t="s">
        <v>1111</v>
      </c>
      <c r="C293" s="16">
        <f>HYPERLINK("https://eosportal.federatedhermes.com/companies/Q29tcGFueQppNDM5NDY=", "Merck &amp; Co Inc")</f>
      </c>
      <c r="D293" s="0" t="s">
        <v>25</v>
      </c>
      <c r="E293" s="0" t="s">
        <v>1031</v>
      </c>
      <c r="F293" s="16">
        <f>HYPERLINK("https://eosportal.federatedhermes.com/engagements/RW5nYWdlbWVudAppMTk4MTY=", "Access to Medicine")</f>
      </c>
      <c r="G293" s="14" t="s">
        <v>1112</v>
      </c>
      <c r="H293" s="0" t="s">
        <v>141</v>
      </c>
      <c r="I293" s="14" t="s">
        <v>131</v>
      </c>
      <c r="J293" s="0" t="s">
        <v>153</v>
      </c>
      <c r="K293" s="0" t="s">
        <v>243</v>
      </c>
      <c r="L293" s="0" t="s">
        <v>292</v>
      </c>
      <c r="M293" s="0" t="s">
        <v>135</v>
      </c>
      <c r="N293" s="0" t="s">
        <v>136</v>
      </c>
      <c r="O293" s="0" t="s">
        <v>274</v>
      </c>
      <c r="Q293" s="0" t="s">
        <v>141</v>
      </c>
      <c r="R293" s="0" t="s">
        <v>138</v>
      </c>
      <c r="S293" s="14">
        <v>1</v>
      </c>
      <c r="T293" s="0" t="s">
        <v>314</v>
      </c>
      <c r="U293" s="0" t="s">
        <v>138</v>
      </c>
      <c r="V293" s="14" t="s">
        <v>138</v>
      </c>
      <c r="W293" s="0" t="s">
        <v>138</v>
      </c>
      <c r="X293" s="14" t="s">
        <v>138</v>
      </c>
      <c r="Y293" s="0" t="s">
        <v>138</v>
      </c>
      <c r="Z293" s="14" t="s">
        <v>138</v>
      </c>
      <c r="AA293" s="0" t="s">
        <v>138</v>
      </c>
      <c r="AB293" s="14" t="s">
        <v>138</v>
      </c>
      <c r="AD293" s="0" t="s">
        <v>138</v>
      </c>
      <c r="AF293" s="0">
        <v>0</v>
      </c>
      <c r="AG293" s="0">
        <v>0</v>
      </c>
      <c r="AH293" s="0" t="s">
        <v>140</v>
      </c>
      <c r="AI293" s="0" t="s">
        <v>138</v>
      </c>
      <c r="AK293" s="0" t="s">
        <v>149</v>
      </c>
      <c r="AL293" s="14"/>
      <c r="AN293" s="14"/>
      <c r="AQ293" s="0" t="s">
        <v>141</v>
      </c>
      <c r="AR293" s="0" t="s">
        <v>130</v>
      </c>
      <c r="AS293" s="0" t="s">
        <v>141</v>
      </c>
      <c r="AT293" s="0" t="s">
        <v>130</v>
      </c>
      <c r="AU293" s="0" t="s">
        <v>130</v>
      </c>
      <c r="AV293" s="0" t="s">
        <v>130</v>
      </c>
      <c r="AW293" s="0" t="s">
        <v>130</v>
      </c>
      <c r="AX293" s="0" t="s">
        <v>130</v>
      </c>
      <c r="AY293" s="0" t="s">
        <v>130</v>
      </c>
      <c r="AZ293" s="0" t="s">
        <v>130</v>
      </c>
      <c r="BA293" s="0" t="s">
        <v>130</v>
      </c>
      <c r="BB293" s="0" t="s">
        <v>130</v>
      </c>
      <c r="BC293" s="0" t="s">
        <v>130</v>
      </c>
      <c r="BD293" s="0" t="s">
        <v>130</v>
      </c>
      <c r="BE293" s="0" t="s">
        <v>130</v>
      </c>
      <c r="BF293" s="0" t="s">
        <v>130</v>
      </c>
      <c r="BG293" s="0" t="s">
        <v>130</v>
      </c>
      <c r="BH293" s="0" t="s">
        <v>130</v>
      </c>
      <c r="BI293" s="0" t="s">
        <v>130</v>
      </c>
      <c r="BJ293" s="0" t="s">
        <v>130</v>
      </c>
      <c r="BK293" s="0" t="s">
        <v>130</v>
      </c>
      <c r="BL293" s="0" t="s">
        <v>130</v>
      </c>
      <c r="BM293" s="0" t="s">
        <v>130</v>
      </c>
      <c r="BN293" s="0" t="s">
        <v>130</v>
      </c>
      <c r="BO293" s="0" t="s">
        <v>130</v>
      </c>
      <c r="BP293" s="0" t="s">
        <v>130</v>
      </c>
      <c r="BQ293" s="0" t="s">
        <v>130</v>
      </c>
      <c r="BR293" s="0" t="s">
        <v>130</v>
      </c>
      <c r="BS293" s="0" t="s">
        <v>130</v>
      </c>
      <c r="BT293" s="0" t="s">
        <v>130</v>
      </c>
      <c r="BU293" s="0" t="s">
        <v>130</v>
      </c>
      <c r="BV293" s="0" t="s">
        <v>130</v>
      </c>
      <c r="BW293" s="0" t="s">
        <v>130</v>
      </c>
      <c r="BX293" s="0" t="s">
        <v>130</v>
      </c>
      <c r="BY293" s="0" t="s">
        <v>130</v>
      </c>
      <c r="BZ293" s="0" t="s">
        <v>130</v>
      </c>
      <c r="CA293" s="0" t="s">
        <v>130</v>
      </c>
      <c r="CB293" s="0" t="s">
        <v>130</v>
      </c>
      <c r="CC293" s="0" t="s">
        <v>130</v>
      </c>
      <c r="CD293" s="0" t="s">
        <v>130</v>
      </c>
      <c r="CE293" s="0" t="s">
        <v>130</v>
      </c>
      <c r="CF293" s="0" t="s">
        <v>130</v>
      </c>
      <c r="CG293" s="0" t="s">
        <v>130</v>
      </c>
      <c r="CH293" s="0" t="s">
        <v>130</v>
      </c>
      <c r="CI293" s="0" t="s">
        <v>130</v>
      </c>
      <c r="CJ293" s="0" t="s">
        <v>130</v>
      </c>
      <c r="CK293" s="0" t="s">
        <v>130</v>
      </c>
      <c r="CL293" s="0" t="s">
        <v>130</v>
      </c>
      <c r="CM293" s="0" t="s">
        <v>130</v>
      </c>
      <c r="CN293" s="0" t="s">
        <v>130</v>
      </c>
      <c r="CO293" s="0" t="s">
        <v>130</v>
      </c>
      <c r="CP293" s="0" t="s">
        <v>130</v>
      </c>
      <c r="CQ293" s="0" t="s">
        <v>130</v>
      </c>
      <c r="CR293" s="0" t="s">
        <v>130</v>
      </c>
      <c r="CS293" s="0" t="s">
        <v>130</v>
      </c>
      <c r="CT293" s="0" t="s">
        <v>1113</v>
      </c>
    </row>
    <row r="294">
      <c r="A294" s="14">
        <v>100978</v>
      </c>
      <c r="B294" s="0" t="s">
        <v>1111</v>
      </c>
      <c r="C294" s="16">
        <f>HYPERLINK("https://eosportal.federatedhermes.com/companies/Q29tcGFueQppNDM5NDY=", "Merck &amp; Co Inc")</f>
      </c>
      <c r="D294" s="0" t="s">
        <v>25</v>
      </c>
      <c r="E294" s="0" t="s">
        <v>317</v>
      </c>
      <c r="F294" s="16">
        <f>HYPERLINK("https://eosportal.federatedhermes.com/engagements/RW5nYWdlbWVudAppMTk4MjE=", "Remuneration policy")</f>
      </c>
      <c r="G294" s="14" t="s">
        <v>1114</v>
      </c>
      <c r="H294" s="0" t="s">
        <v>141</v>
      </c>
      <c r="I294" s="14" t="s">
        <v>131</v>
      </c>
      <c r="J294" s="0" t="s">
        <v>145</v>
      </c>
      <c r="K294" s="0" t="s">
        <v>146</v>
      </c>
      <c r="L294" s="0" t="s">
        <v>147</v>
      </c>
      <c r="M294" s="0" t="s">
        <v>135</v>
      </c>
      <c r="N294" s="0" t="s">
        <v>136</v>
      </c>
      <c r="O294" s="0" t="s">
        <v>274</v>
      </c>
      <c r="Q294" s="0" t="s">
        <v>141</v>
      </c>
      <c r="R294" s="0" t="s">
        <v>138</v>
      </c>
      <c r="S294" s="14">
        <v>1</v>
      </c>
      <c r="T294" s="0" t="s">
        <v>487</v>
      </c>
      <c r="U294" s="0" t="s">
        <v>138</v>
      </c>
      <c r="V294" s="14" t="s">
        <v>138</v>
      </c>
      <c r="W294" s="0" t="s">
        <v>138</v>
      </c>
      <c r="X294" s="14" t="s">
        <v>138</v>
      </c>
      <c r="Y294" s="0" t="s">
        <v>138</v>
      </c>
      <c r="Z294" s="14" t="s">
        <v>138</v>
      </c>
      <c r="AA294" s="0" t="s">
        <v>138</v>
      </c>
      <c r="AB294" s="14" t="s">
        <v>138</v>
      </c>
      <c r="AD294" s="0" t="s">
        <v>138</v>
      </c>
      <c r="AF294" s="0">
        <v>0</v>
      </c>
      <c r="AG294" s="0">
        <v>0</v>
      </c>
      <c r="AH294" s="0" t="s">
        <v>140</v>
      </c>
      <c r="AI294" s="0" t="s">
        <v>138</v>
      </c>
      <c r="AK294" s="0" t="s">
        <v>149</v>
      </c>
      <c r="AL294" s="14"/>
      <c r="AN294" s="14"/>
      <c r="AQ294" s="0" t="s">
        <v>130</v>
      </c>
      <c r="AR294" s="0" t="s">
        <v>130</v>
      </c>
      <c r="AS294" s="0" t="s">
        <v>130</v>
      </c>
      <c r="AT294" s="0" t="s">
        <v>130</v>
      </c>
      <c r="AU294" s="0" t="s">
        <v>130</v>
      </c>
      <c r="AV294" s="0" t="s">
        <v>130</v>
      </c>
      <c r="AW294" s="0" t="s">
        <v>130</v>
      </c>
      <c r="AX294" s="0" t="s">
        <v>130</v>
      </c>
      <c r="AY294" s="0" t="s">
        <v>130</v>
      </c>
      <c r="AZ294" s="0" t="s">
        <v>130</v>
      </c>
      <c r="BA294" s="0" t="s">
        <v>130</v>
      </c>
      <c r="BB294" s="0" t="s">
        <v>130</v>
      </c>
      <c r="BC294" s="0" t="s">
        <v>130</v>
      </c>
      <c r="BD294" s="0" t="s">
        <v>130</v>
      </c>
      <c r="BE294" s="0" t="s">
        <v>130</v>
      </c>
      <c r="BF294" s="0" t="s">
        <v>130</v>
      </c>
      <c r="BG294" s="0" t="s">
        <v>130</v>
      </c>
      <c r="BH294" s="0" t="s">
        <v>130</v>
      </c>
      <c r="BI294" s="0" t="s">
        <v>130</v>
      </c>
      <c r="BJ294" s="0" t="s">
        <v>130</v>
      </c>
      <c r="BK294" s="0" t="s">
        <v>130</v>
      </c>
      <c r="BL294" s="0" t="s">
        <v>130</v>
      </c>
      <c r="BM294" s="0" t="s">
        <v>130</v>
      </c>
      <c r="BN294" s="0" t="s">
        <v>130</v>
      </c>
      <c r="BO294" s="0" t="s">
        <v>130</v>
      </c>
      <c r="BP294" s="0" t="s">
        <v>130</v>
      </c>
      <c r="BQ294" s="0" t="s">
        <v>130</v>
      </c>
      <c r="BR294" s="0" t="s">
        <v>130</v>
      </c>
      <c r="BS294" s="0" t="s">
        <v>130</v>
      </c>
      <c r="BT294" s="0" t="s">
        <v>130</v>
      </c>
      <c r="BU294" s="0" t="s">
        <v>130</v>
      </c>
      <c r="BV294" s="0" t="s">
        <v>130</v>
      </c>
      <c r="BW294" s="0" t="s">
        <v>130</v>
      </c>
      <c r="BX294" s="0" t="s">
        <v>130</v>
      </c>
      <c r="BY294" s="0" t="s">
        <v>130</v>
      </c>
      <c r="BZ294" s="0" t="s">
        <v>130</v>
      </c>
      <c r="CA294" s="0" t="s">
        <v>130</v>
      </c>
      <c r="CB294" s="0" t="s">
        <v>130</v>
      </c>
      <c r="CC294" s="0" t="s">
        <v>130</v>
      </c>
      <c r="CD294" s="0" t="s">
        <v>130</v>
      </c>
      <c r="CE294" s="0" t="s">
        <v>130</v>
      </c>
      <c r="CF294" s="0" t="s">
        <v>130</v>
      </c>
      <c r="CG294" s="0" t="s">
        <v>130</v>
      </c>
      <c r="CH294" s="0" t="s">
        <v>130</v>
      </c>
      <c r="CI294" s="0" t="s">
        <v>130</v>
      </c>
      <c r="CJ294" s="0" t="s">
        <v>130</v>
      </c>
      <c r="CK294" s="0" t="s">
        <v>130</v>
      </c>
      <c r="CL294" s="0" t="s">
        <v>130</v>
      </c>
      <c r="CM294" s="0" t="s">
        <v>130</v>
      </c>
      <c r="CN294" s="0" t="s">
        <v>130</v>
      </c>
      <c r="CO294" s="0" t="s">
        <v>130</v>
      </c>
      <c r="CP294" s="0" t="s">
        <v>130</v>
      </c>
      <c r="CQ294" s="0" t="s">
        <v>130</v>
      </c>
      <c r="CR294" s="0" t="s">
        <v>130</v>
      </c>
      <c r="CS294" s="0" t="s">
        <v>130</v>
      </c>
      <c r="CT294" s="0" t="s">
        <v>1115</v>
      </c>
    </row>
    <row r="295">
      <c r="A295" s="14">
        <v>100978</v>
      </c>
      <c r="B295" s="0" t="s">
        <v>1111</v>
      </c>
      <c r="C295" s="16">
        <f>HYPERLINK("https://eosportal.federatedhermes.com/companies/Q29tcGFueQppNDM5NDY=", "Merck &amp; Co Inc")</f>
      </c>
      <c r="D295" s="0" t="s">
        <v>25</v>
      </c>
      <c r="E295" s="0" t="s">
        <v>1116</v>
      </c>
      <c r="F295" s="16">
        <f>HYPERLINK("https://eosportal.federatedhermes.com/engagements/RW5nYWdlbWVudAppMTk4MjU=", "Participation in the Access to Medicine Index")</f>
      </c>
      <c r="G295" s="14" t="s">
        <v>1117</v>
      </c>
      <c r="H295" s="0" t="s">
        <v>141</v>
      </c>
      <c r="I295" s="14" t="s">
        <v>131</v>
      </c>
      <c r="J295" s="0" t="s">
        <v>153</v>
      </c>
      <c r="K295" s="0" t="s">
        <v>243</v>
      </c>
      <c r="L295" s="0" t="s">
        <v>292</v>
      </c>
      <c r="M295" s="0" t="s">
        <v>135</v>
      </c>
      <c r="N295" s="0" t="s">
        <v>136</v>
      </c>
      <c r="O295" s="0" t="s">
        <v>274</v>
      </c>
      <c r="Q295" s="0" t="s">
        <v>130</v>
      </c>
      <c r="R295" s="0" t="s">
        <v>138</v>
      </c>
      <c r="S295" s="14">
        <v>0</v>
      </c>
      <c r="T295" s="0" t="s">
        <v>487</v>
      </c>
      <c r="U295" s="0" t="s">
        <v>138</v>
      </c>
      <c r="V295" s="14" t="s">
        <v>138</v>
      </c>
      <c r="W295" s="0" t="s">
        <v>138</v>
      </c>
      <c r="X295" s="14" t="s">
        <v>138</v>
      </c>
      <c r="Y295" s="0" t="s">
        <v>138</v>
      </c>
      <c r="Z295" s="14" t="s">
        <v>138</v>
      </c>
      <c r="AA295" s="0" t="s">
        <v>138</v>
      </c>
      <c r="AB295" s="14" t="s">
        <v>138</v>
      </c>
      <c r="AD295" s="0" t="s">
        <v>138</v>
      </c>
      <c r="AF295" s="0">
        <v>0</v>
      </c>
      <c r="AG295" s="0">
        <v>0</v>
      </c>
      <c r="AH295" s="0" t="s">
        <v>140</v>
      </c>
      <c r="AI295" s="0" t="s">
        <v>138</v>
      </c>
      <c r="AL295" s="14"/>
      <c r="AN295" s="14"/>
      <c r="AQ295" s="0" t="s">
        <v>141</v>
      </c>
      <c r="AR295" s="0" t="s">
        <v>130</v>
      </c>
      <c r="AS295" s="0" t="s">
        <v>141</v>
      </c>
      <c r="AT295" s="0" t="s">
        <v>130</v>
      </c>
      <c r="AU295" s="0" t="s">
        <v>130</v>
      </c>
      <c r="AV295" s="0" t="s">
        <v>130</v>
      </c>
      <c r="AW295" s="0" t="s">
        <v>130</v>
      </c>
      <c r="AX295" s="0" t="s">
        <v>130</v>
      </c>
      <c r="AY295" s="0" t="s">
        <v>130</v>
      </c>
      <c r="AZ295" s="0" t="s">
        <v>130</v>
      </c>
      <c r="BA295" s="0" t="s">
        <v>130</v>
      </c>
      <c r="BB295" s="0" t="s">
        <v>130</v>
      </c>
      <c r="BC295" s="0" t="s">
        <v>130</v>
      </c>
      <c r="BD295" s="0" t="s">
        <v>130</v>
      </c>
      <c r="BE295" s="0" t="s">
        <v>130</v>
      </c>
      <c r="BF295" s="0" t="s">
        <v>130</v>
      </c>
      <c r="BG295" s="0" t="s">
        <v>130</v>
      </c>
      <c r="BH295" s="0" t="s">
        <v>130</v>
      </c>
      <c r="BI295" s="0" t="s">
        <v>130</v>
      </c>
      <c r="BJ295" s="0" t="s">
        <v>130</v>
      </c>
      <c r="BK295" s="0" t="s">
        <v>130</v>
      </c>
      <c r="BL295" s="0" t="s">
        <v>130</v>
      </c>
      <c r="BM295" s="0" t="s">
        <v>130</v>
      </c>
      <c r="BN295" s="0" t="s">
        <v>130</v>
      </c>
      <c r="BO295" s="0" t="s">
        <v>130</v>
      </c>
      <c r="BP295" s="0" t="s">
        <v>130</v>
      </c>
      <c r="BQ295" s="0" t="s">
        <v>130</v>
      </c>
      <c r="BR295" s="0" t="s">
        <v>130</v>
      </c>
      <c r="BS295" s="0" t="s">
        <v>130</v>
      </c>
      <c r="BT295" s="0" t="s">
        <v>130</v>
      </c>
      <c r="BU295" s="0" t="s">
        <v>130</v>
      </c>
      <c r="BV295" s="0" t="s">
        <v>130</v>
      </c>
      <c r="BW295" s="0" t="s">
        <v>130</v>
      </c>
      <c r="BX295" s="0" t="s">
        <v>130</v>
      </c>
      <c r="BY295" s="0" t="s">
        <v>130</v>
      </c>
      <c r="BZ295" s="0" t="s">
        <v>130</v>
      </c>
      <c r="CA295" s="0" t="s">
        <v>130</v>
      </c>
      <c r="CB295" s="0" t="s">
        <v>130</v>
      </c>
      <c r="CC295" s="0" t="s">
        <v>130</v>
      </c>
      <c r="CD295" s="0" t="s">
        <v>130</v>
      </c>
      <c r="CE295" s="0" t="s">
        <v>130</v>
      </c>
      <c r="CF295" s="0" t="s">
        <v>130</v>
      </c>
      <c r="CG295" s="0" t="s">
        <v>130</v>
      </c>
      <c r="CH295" s="0" t="s">
        <v>130</v>
      </c>
      <c r="CI295" s="0" t="s">
        <v>130</v>
      </c>
      <c r="CJ295" s="0" t="s">
        <v>130</v>
      </c>
      <c r="CK295" s="0" t="s">
        <v>130</v>
      </c>
      <c r="CL295" s="0" t="s">
        <v>130</v>
      </c>
      <c r="CM295" s="0" t="s">
        <v>130</v>
      </c>
      <c r="CN295" s="0" t="s">
        <v>130</v>
      </c>
      <c r="CO295" s="0" t="s">
        <v>130</v>
      </c>
      <c r="CP295" s="0" t="s">
        <v>130</v>
      </c>
      <c r="CQ295" s="0" t="s">
        <v>130</v>
      </c>
      <c r="CR295" s="0" t="s">
        <v>130</v>
      </c>
      <c r="CS295" s="0" t="s">
        <v>130</v>
      </c>
      <c r="CT295" s="0" t="s">
        <v>1118</v>
      </c>
    </row>
    <row r="296">
      <c r="A296" s="14">
        <v>100978</v>
      </c>
      <c r="B296" s="0" t="s">
        <v>1111</v>
      </c>
      <c r="C296" s="16">
        <f>HYPERLINK("https://eosportal.federatedhermes.com/companies/Q29tcGFueQppNDM5NDY=", "Merck &amp; Co Inc")</f>
      </c>
      <c r="D296" s="0" t="s">
        <v>25</v>
      </c>
      <c r="E296" s="0" t="s">
        <v>1119</v>
      </c>
      <c r="F296" s="16">
        <f>HYPERLINK("https://eosportal.federatedhermes.com/engagements/RW5nYWdlbWVudAppMTk4MjY=", "Board responsiveness to various shareholder proposals")</f>
      </c>
      <c r="G296" s="14" t="s">
        <v>1120</v>
      </c>
      <c r="H296" s="0" t="s">
        <v>141</v>
      </c>
      <c r="I296" s="14" t="s">
        <v>131</v>
      </c>
      <c r="J296" s="0" t="s">
        <v>145</v>
      </c>
      <c r="K296" s="0" t="s">
        <v>164</v>
      </c>
      <c r="L296" s="0" t="s">
        <v>165</v>
      </c>
      <c r="M296" s="0" t="s">
        <v>135</v>
      </c>
      <c r="N296" s="0" t="s">
        <v>136</v>
      </c>
      <c r="O296" s="0" t="s">
        <v>274</v>
      </c>
      <c r="Q296" s="0" t="s">
        <v>130</v>
      </c>
      <c r="R296" s="0" t="s">
        <v>138</v>
      </c>
      <c r="S296" s="14">
        <v>0</v>
      </c>
      <c r="T296" s="0" t="s">
        <v>181</v>
      </c>
      <c r="U296" s="0" t="s">
        <v>138</v>
      </c>
      <c r="V296" s="14" t="s">
        <v>138</v>
      </c>
      <c r="W296" s="0" t="s">
        <v>138</v>
      </c>
      <c r="X296" s="14" t="s">
        <v>138</v>
      </c>
      <c r="Y296" s="0" t="s">
        <v>138</v>
      </c>
      <c r="Z296" s="14" t="s">
        <v>138</v>
      </c>
      <c r="AA296" s="0" t="s">
        <v>138</v>
      </c>
      <c r="AB296" s="14" t="s">
        <v>138</v>
      </c>
      <c r="AD296" s="0" t="s">
        <v>138</v>
      </c>
      <c r="AF296" s="0">
        <v>0</v>
      </c>
      <c r="AG296" s="0">
        <v>0</v>
      </c>
      <c r="AH296" s="0" t="s">
        <v>140</v>
      </c>
      <c r="AI296" s="0" t="s">
        <v>138</v>
      </c>
      <c r="AL296" s="14"/>
      <c r="AN296" s="14"/>
      <c r="AQ296" s="0" t="s">
        <v>130</v>
      </c>
      <c r="AR296" s="0" t="s">
        <v>130</v>
      </c>
      <c r="AS296" s="0" t="s">
        <v>130</v>
      </c>
      <c r="AT296" s="0" t="s">
        <v>130</v>
      </c>
      <c r="AU296" s="0" t="s">
        <v>130</v>
      </c>
      <c r="AV296" s="0" t="s">
        <v>130</v>
      </c>
      <c r="AW296" s="0" t="s">
        <v>130</v>
      </c>
      <c r="AX296" s="0" t="s">
        <v>130</v>
      </c>
      <c r="AY296" s="0" t="s">
        <v>130</v>
      </c>
      <c r="AZ296" s="0" t="s">
        <v>130</v>
      </c>
      <c r="BA296" s="0" t="s">
        <v>130</v>
      </c>
      <c r="BB296" s="0" t="s">
        <v>130</v>
      </c>
      <c r="BC296" s="0" t="s">
        <v>130</v>
      </c>
      <c r="BD296" s="0" t="s">
        <v>130</v>
      </c>
      <c r="BE296" s="0" t="s">
        <v>130</v>
      </c>
      <c r="BF296" s="0" t="s">
        <v>130</v>
      </c>
      <c r="BG296" s="0" t="s">
        <v>130</v>
      </c>
      <c r="BH296" s="0" t="s">
        <v>130</v>
      </c>
      <c r="BI296" s="0" t="s">
        <v>130</v>
      </c>
      <c r="BJ296" s="0" t="s">
        <v>130</v>
      </c>
      <c r="BK296" s="0" t="s">
        <v>130</v>
      </c>
      <c r="BL296" s="0" t="s">
        <v>130</v>
      </c>
      <c r="BM296" s="0" t="s">
        <v>130</v>
      </c>
      <c r="BN296" s="0" t="s">
        <v>130</v>
      </c>
      <c r="BO296" s="0" t="s">
        <v>130</v>
      </c>
      <c r="BP296" s="0" t="s">
        <v>130</v>
      </c>
      <c r="BQ296" s="0" t="s">
        <v>130</v>
      </c>
      <c r="BR296" s="0" t="s">
        <v>130</v>
      </c>
      <c r="BS296" s="0" t="s">
        <v>130</v>
      </c>
      <c r="BT296" s="0" t="s">
        <v>130</v>
      </c>
      <c r="BU296" s="0" t="s">
        <v>130</v>
      </c>
      <c r="BV296" s="0" t="s">
        <v>130</v>
      </c>
      <c r="BW296" s="0" t="s">
        <v>130</v>
      </c>
      <c r="BX296" s="0" t="s">
        <v>130</v>
      </c>
      <c r="BY296" s="0" t="s">
        <v>130</v>
      </c>
      <c r="BZ296" s="0" t="s">
        <v>130</v>
      </c>
      <c r="CA296" s="0" t="s">
        <v>130</v>
      </c>
      <c r="CB296" s="0" t="s">
        <v>130</v>
      </c>
      <c r="CC296" s="0" t="s">
        <v>130</v>
      </c>
      <c r="CD296" s="0" t="s">
        <v>130</v>
      </c>
      <c r="CE296" s="0" t="s">
        <v>130</v>
      </c>
      <c r="CF296" s="0" t="s">
        <v>130</v>
      </c>
      <c r="CG296" s="0" t="s">
        <v>130</v>
      </c>
      <c r="CH296" s="0" t="s">
        <v>130</v>
      </c>
      <c r="CI296" s="0" t="s">
        <v>130</v>
      </c>
      <c r="CJ296" s="0" t="s">
        <v>130</v>
      </c>
      <c r="CK296" s="0" t="s">
        <v>130</v>
      </c>
      <c r="CL296" s="0" t="s">
        <v>130</v>
      </c>
      <c r="CM296" s="0" t="s">
        <v>130</v>
      </c>
      <c r="CN296" s="0" t="s">
        <v>130</v>
      </c>
      <c r="CO296" s="0" t="s">
        <v>130</v>
      </c>
      <c r="CP296" s="0" t="s">
        <v>130</v>
      </c>
      <c r="CQ296" s="0" t="s">
        <v>130</v>
      </c>
      <c r="CR296" s="0" t="s">
        <v>130</v>
      </c>
      <c r="CS296" s="0" t="s">
        <v>130</v>
      </c>
      <c r="CT296" s="0" t="s">
        <v>1121</v>
      </c>
    </row>
    <row r="297">
      <c r="A297" s="14">
        <v>100995</v>
      </c>
      <c r="B297" s="0" t="s">
        <v>1122</v>
      </c>
      <c r="C297" s="16">
        <f>HYPERLINK("https://eosportal.federatedhermes.com/companies/Q29tcGFueQppNDQ3Mjc=", "Micron Technology Inc")</f>
      </c>
      <c r="D297" s="0" t="s">
        <v>25</v>
      </c>
      <c r="E297" s="0" t="s">
        <v>1123</v>
      </c>
      <c r="F297" s="16">
        <f>HYPERLINK("https://eosportal.federatedhermes.com/engagements/RW5nYWdlbWVudAppMTk4NDY=", "AGM agenda")</f>
      </c>
      <c r="G297" s="14" t="s">
        <v>1124</v>
      </c>
      <c r="H297" s="0" t="s">
        <v>141</v>
      </c>
      <c r="I297" s="14" t="s">
        <v>191</v>
      </c>
      <c r="J297" s="0" t="s">
        <v>145</v>
      </c>
      <c r="K297" s="0" t="s">
        <v>400</v>
      </c>
      <c r="L297" s="0" t="s">
        <v>507</v>
      </c>
      <c r="M297" s="0" t="s">
        <v>135</v>
      </c>
      <c r="N297" s="0" t="s">
        <v>136</v>
      </c>
      <c r="O297" s="0" t="s">
        <v>1125</v>
      </c>
      <c r="Q297" s="0" t="s">
        <v>130</v>
      </c>
      <c r="R297" s="0" t="s">
        <v>138</v>
      </c>
      <c r="S297" s="14">
        <v>0</v>
      </c>
      <c r="T297" s="0" t="s">
        <v>591</v>
      </c>
      <c r="U297" s="0" t="s">
        <v>138</v>
      </c>
      <c r="V297" s="14" t="s">
        <v>138</v>
      </c>
      <c r="W297" s="0" t="s">
        <v>138</v>
      </c>
      <c r="X297" s="14" t="s">
        <v>138</v>
      </c>
      <c r="Y297" s="0" t="s">
        <v>138</v>
      </c>
      <c r="Z297" s="14" t="s">
        <v>138</v>
      </c>
      <c r="AA297" s="0" t="s">
        <v>138</v>
      </c>
      <c r="AB297" s="14" t="s">
        <v>138</v>
      </c>
      <c r="AD297" s="0" t="s">
        <v>138</v>
      </c>
      <c r="AF297" s="0">
        <v>0</v>
      </c>
      <c r="AG297" s="0">
        <v>0</v>
      </c>
      <c r="AH297" s="0" t="s">
        <v>140</v>
      </c>
      <c r="AI297" s="0" t="s">
        <v>138</v>
      </c>
      <c r="AL297" s="14"/>
      <c r="AN297" s="14"/>
      <c r="AQ297" s="0" t="s">
        <v>130</v>
      </c>
      <c r="AR297" s="0" t="s">
        <v>130</v>
      </c>
      <c r="AS297" s="0" t="s">
        <v>130</v>
      </c>
      <c r="AT297" s="0" t="s">
        <v>130</v>
      </c>
      <c r="AU297" s="0" t="s">
        <v>130</v>
      </c>
      <c r="AV297" s="0" t="s">
        <v>130</v>
      </c>
      <c r="AW297" s="0" t="s">
        <v>130</v>
      </c>
      <c r="AX297" s="0" t="s">
        <v>130</v>
      </c>
      <c r="AY297" s="0" t="s">
        <v>130</v>
      </c>
      <c r="AZ297" s="0" t="s">
        <v>130</v>
      </c>
      <c r="BA297" s="0" t="s">
        <v>130</v>
      </c>
      <c r="BB297" s="0" t="s">
        <v>130</v>
      </c>
      <c r="BC297" s="0" t="s">
        <v>130</v>
      </c>
      <c r="BD297" s="0" t="s">
        <v>130</v>
      </c>
      <c r="BE297" s="0" t="s">
        <v>130</v>
      </c>
      <c r="BF297" s="0" t="s">
        <v>130</v>
      </c>
      <c r="BG297" s="0" t="s">
        <v>130</v>
      </c>
      <c r="BH297" s="0" t="s">
        <v>130</v>
      </c>
      <c r="BI297" s="0" t="s">
        <v>130</v>
      </c>
      <c r="BJ297" s="0" t="s">
        <v>130</v>
      </c>
      <c r="BK297" s="0" t="s">
        <v>130</v>
      </c>
      <c r="BL297" s="0" t="s">
        <v>130</v>
      </c>
      <c r="BM297" s="0" t="s">
        <v>130</v>
      </c>
      <c r="BN297" s="0" t="s">
        <v>130</v>
      </c>
      <c r="BO297" s="0" t="s">
        <v>130</v>
      </c>
      <c r="BP297" s="0" t="s">
        <v>130</v>
      </c>
      <c r="BQ297" s="0" t="s">
        <v>130</v>
      </c>
      <c r="BR297" s="0" t="s">
        <v>130</v>
      </c>
      <c r="BS297" s="0" t="s">
        <v>130</v>
      </c>
      <c r="BT297" s="0" t="s">
        <v>130</v>
      </c>
      <c r="BU297" s="0" t="s">
        <v>130</v>
      </c>
      <c r="BV297" s="0" t="s">
        <v>130</v>
      </c>
      <c r="BW297" s="0" t="s">
        <v>130</v>
      </c>
      <c r="BX297" s="0" t="s">
        <v>130</v>
      </c>
      <c r="BY297" s="0" t="s">
        <v>130</v>
      </c>
      <c r="BZ297" s="0" t="s">
        <v>130</v>
      </c>
      <c r="CA297" s="0" t="s">
        <v>130</v>
      </c>
      <c r="CB297" s="0" t="s">
        <v>130</v>
      </c>
      <c r="CC297" s="0" t="s">
        <v>130</v>
      </c>
      <c r="CD297" s="0" t="s">
        <v>130</v>
      </c>
      <c r="CE297" s="0" t="s">
        <v>130</v>
      </c>
      <c r="CF297" s="0" t="s">
        <v>130</v>
      </c>
      <c r="CG297" s="0" t="s">
        <v>130</v>
      </c>
      <c r="CH297" s="0" t="s">
        <v>130</v>
      </c>
      <c r="CI297" s="0" t="s">
        <v>130</v>
      </c>
      <c r="CJ297" s="0" t="s">
        <v>130</v>
      </c>
      <c r="CK297" s="0" t="s">
        <v>130</v>
      </c>
      <c r="CL297" s="0" t="s">
        <v>130</v>
      </c>
      <c r="CM297" s="0" t="s">
        <v>130</v>
      </c>
      <c r="CN297" s="0" t="s">
        <v>130</v>
      </c>
      <c r="CO297" s="0" t="s">
        <v>130</v>
      </c>
      <c r="CP297" s="0" t="s">
        <v>130</v>
      </c>
      <c r="CQ297" s="0" t="s">
        <v>130</v>
      </c>
      <c r="CR297" s="0" t="s">
        <v>130</v>
      </c>
      <c r="CS297" s="0" t="s">
        <v>130</v>
      </c>
      <c r="CT297" s="0" t="s">
        <v>1126</v>
      </c>
    </row>
    <row r="298">
      <c r="A298" s="14">
        <v>100995</v>
      </c>
      <c r="B298" s="0" t="s">
        <v>1122</v>
      </c>
      <c r="C298" s="16">
        <f>HYPERLINK("https://eosportal.federatedhermes.com/companies/Q29tcGFueQppNDQ3Mjc=", "Micron Technology Inc")</f>
      </c>
      <c r="D298" s="0" t="s">
        <v>25</v>
      </c>
      <c r="E298" s="0" t="s">
        <v>1127</v>
      </c>
      <c r="F298" s="16">
        <f>HYPERLINK("https://eosportal.federatedhermes.com/engagements/RW5nYWdlbWVudAppMTk4NDc=", "GHG reduction strategy")</f>
      </c>
      <c r="G298" s="14" t="s">
        <v>1128</v>
      </c>
      <c r="H298" s="0" t="s">
        <v>141</v>
      </c>
      <c r="I298" s="14" t="s">
        <v>191</v>
      </c>
      <c r="J298" s="0" t="s">
        <v>197</v>
      </c>
      <c r="K298" s="0" t="s">
        <v>198</v>
      </c>
      <c r="L298" s="0" t="s">
        <v>216</v>
      </c>
      <c r="M298" s="0" t="s">
        <v>135</v>
      </c>
      <c r="N298" s="0" t="s">
        <v>136</v>
      </c>
      <c r="O298" s="0" t="s">
        <v>1125</v>
      </c>
      <c r="Q298" s="0" t="s">
        <v>130</v>
      </c>
      <c r="R298" s="0" t="s">
        <v>138</v>
      </c>
      <c r="S298" s="14">
        <v>0</v>
      </c>
      <c r="T298" s="0" t="s">
        <v>230</v>
      </c>
      <c r="U298" s="0" t="s">
        <v>138</v>
      </c>
      <c r="V298" s="14" t="s">
        <v>138</v>
      </c>
      <c r="W298" s="0" t="s">
        <v>138</v>
      </c>
      <c r="X298" s="14" t="s">
        <v>138</v>
      </c>
      <c r="Y298" s="0" t="s">
        <v>138</v>
      </c>
      <c r="Z298" s="14" t="s">
        <v>138</v>
      </c>
      <c r="AA298" s="0" t="s">
        <v>138</v>
      </c>
      <c r="AB298" s="14" t="s">
        <v>138</v>
      </c>
      <c r="AD298" s="0" t="s">
        <v>138</v>
      </c>
      <c r="AF298" s="0">
        <v>0</v>
      </c>
      <c r="AG298" s="0">
        <v>0</v>
      </c>
      <c r="AH298" s="0" t="s">
        <v>140</v>
      </c>
      <c r="AI298" s="0" t="s">
        <v>138</v>
      </c>
      <c r="AL298" s="14"/>
      <c r="AN298" s="14"/>
      <c r="AQ298" s="0" t="s">
        <v>130</v>
      </c>
      <c r="AR298" s="0" t="s">
        <v>130</v>
      </c>
      <c r="AS298" s="0" t="s">
        <v>130</v>
      </c>
      <c r="AT298" s="0" t="s">
        <v>130</v>
      </c>
      <c r="AU298" s="0" t="s">
        <v>130</v>
      </c>
      <c r="AV298" s="0" t="s">
        <v>130</v>
      </c>
      <c r="AW298" s="0" t="s">
        <v>141</v>
      </c>
      <c r="AX298" s="0" t="s">
        <v>130</v>
      </c>
      <c r="AY298" s="0" t="s">
        <v>141</v>
      </c>
      <c r="AZ298" s="0" t="s">
        <v>130</v>
      </c>
      <c r="BA298" s="0" t="s">
        <v>130</v>
      </c>
      <c r="BB298" s="0" t="s">
        <v>130</v>
      </c>
      <c r="BC298" s="0" t="s">
        <v>141</v>
      </c>
      <c r="BD298" s="0" t="s">
        <v>130</v>
      </c>
      <c r="BE298" s="0" t="s">
        <v>130</v>
      </c>
      <c r="BF298" s="0" t="s">
        <v>130</v>
      </c>
      <c r="BG298" s="0" t="s">
        <v>130</v>
      </c>
      <c r="BH298" s="0" t="s">
        <v>141</v>
      </c>
      <c r="BI298" s="0" t="s">
        <v>141</v>
      </c>
      <c r="BJ298" s="0" t="s">
        <v>141</v>
      </c>
      <c r="BK298" s="0" t="s">
        <v>130</v>
      </c>
      <c r="BL298" s="0" t="s">
        <v>130</v>
      </c>
      <c r="BM298" s="0" t="s">
        <v>130</v>
      </c>
      <c r="BN298" s="0" t="s">
        <v>130</v>
      </c>
      <c r="BO298" s="0" t="s">
        <v>130</v>
      </c>
      <c r="BP298" s="0" t="s">
        <v>130</v>
      </c>
      <c r="BQ298" s="0" t="s">
        <v>130</v>
      </c>
      <c r="BR298" s="0" t="s">
        <v>130</v>
      </c>
      <c r="BS298" s="0" t="s">
        <v>130</v>
      </c>
      <c r="BT298" s="0" t="s">
        <v>130</v>
      </c>
      <c r="BU298" s="0" t="s">
        <v>130</v>
      </c>
      <c r="BV298" s="0" t="s">
        <v>141</v>
      </c>
      <c r="BW298" s="0" t="s">
        <v>141</v>
      </c>
      <c r="BX298" s="0" t="s">
        <v>130</v>
      </c>
      <c r="BY298" s="0" t="s">
        <v>130</v>
      </c>
      <c r="BZ298" s="0" t="s">
        <v>130</v>
      </c>
      <c r="CA298" s="0" t="s">
        <v>130</v>
      </c>
      <c r="CB298" s="0" t="s">
        <v>130</v>
      </c>
      <c r="CC298" s="0" t="s">
        <v>130</v>
      </c>
      <c r="CD298" s="0" t="s">
        <v>130</v>
      </c>
      <c r="CE298" s="0" t="s">
        <v>130</v>
      </c>
      <c r="CF298" s="0" t="s">
        <v>130</v>
      </c>
      <c r="CG298" s="0" t="s">
        <v>130</v>
      </c>
      <c r="CH298" s="0" t="s">
        <v>130</v>
      </c>
      <c r="CI298" s="0" t="s">
        <v>130</v>
      </c>
      <c r="CJ298" s="0" t="s">
        <v>130</v>
      </c>
      <c r="CK298" s="0" t="s">
        <v>130</v>
      </c>
      <c r="CL298" s="0" t="s">
        <v>130</v>
      </c>
      <c r="CM298" s="0" t="s">
        <v>130</v>
      </c>
      <c r="CN298" s="0" t="s">
        <v>130</v>
      </c>
      <c r="CO298" s="0" t="s">
        <v>130</v>
      </c>
      <c r="CP298" s="0" t="s">
        <v>130</v>
      </c>
      <c r="CQ298" s="0" t="s">
        <v>130</v>
      </c>
      <c r="CR298" s="0" t="s">
        <v>130</v>
      </c>
      <c r="CS298" s="0" t="s">
        <v>130</v>
      </c>
      <c r="CT298" s="0" t="s">
        <v>1129</v>
      </c>
    </row>
    <row r="299">
      <c r="A299" s="14">
        <v>100995</v>
      </c>
      <c r="B299" s="0" t="s">
        <v>1122</v>
      </c>
      <c r="C299" s="16">
        <f>HYPERLINK("https://eosportal.federatedhermes.com/companies/Q29tcGFueQppNDQ3Mjc=", "Micron Technology Inc")</f>
      </c>
      <c r="D299" s="0" t="s">
        <v>25</v>
      </c>
      <c r="E299" s="0" t="s">
        <v>1130</v>
      </c>
      <c r="F299" s="16">
        <f>HYPERLINK("https://eosportal.federatedhermes.com/engagements/RW5nYWdlbWVudAppMTk4NDg=", "Workforce diversity, equity and inclusion")</f>
      </c>
      <c r="G299" s="14" t="s">
        <v>1131</v>
      </c>
      <c r="H299" s="0" t="s">
        <v>141</v>
      </c>
      <c r="I299" s="14" t="s">
        <v>191</v>
      </c>
      <c r="J299" s="0" t="s">
        <v>153</v>
      </c>
      <c r="K299" s="0" t="s">
        <v>154</v>
      </c>
      <c r="L299" s="0" t="s">
        <v>268</v>
      </c>
      <c r="M299" s="0" t="s">
        <v>135</v>
      </c>
      <c r="N299" s="0" t="s">
        <v>136</v>
      </c>
      <c r="O299" s="0" t="s">
        <v>1125</v>
      </c>
      <c r="Q299" s="0" t="s">
        <v>130</v>
      </c>
      <c r="R299" s="0" t="s">
        <v>138</v>
      </c>
      <c r="S299" s="14">
        <v>0</v>
      </c>
      <c r="T299" s="0" t="s">
        <v>583</v>
      </c>
      <c r="U299" s="0" t="s">
        <v>138</v>
      </c>
      <c r="V299" s="14" t="s">
        <v>138</v>
      </c>
      <c r="W299" s="0" t="s">
        <v>138</v>
      </c>
      <c r="X299" s="14" t="s">
        <v>138</v>
      </c>
      <c r="Y299" s="0" t="s">
        <v>138</v>
      </c>
      <c r="Z299" s="14" t="s">
        <v>138</v>
      </c>
      <c r="AA299" s="0" t="s">
        <v>138</v>
      </c>
      <c r="AB299" s="14" t="s">
        <v>138</v>
      </c>
      <c r="AD299" s="0" t="s">
        <v>138</v>
      </c>
      <c r="AF299" s="0">
        <v>0</v>
      </c>
      <c r="AG299" s="0">
        <v>0</v>
      </c>
      <c r="AH299" s="0" t="s">
        <v>140</v>
      </c>
      <c r="AI299" s="0" t="s">
        <v>138</v>
      </c>
      <c r="AL299" s="14"/>
      <c r="AN299" s="14"/>
      <c r="AQ299" s="0" t="s">
        <v>130</v>
      </c>
      <c r="AR299" s="0" t="s">
        <v>130</v>
      </c>
      <c r="AS299" s="0" t="s">
        <v>130</v>
      </c>
      <c r="AT299" s="0" t="s">
        <v>130</v>
      </c>
      <c r="AU299" s="0" t="s">
        <v>130</v>
      </c>
      <c r="AV299" s="0" t="s">
        <v>130</v>
      </c>
      <c r="AW299" s="0" t="s">
        <v>130</v>
      </c>
      <c r="AX299" s="0" t="s">
        <v>130</v>
      </c>
      <c r="AY299" s="0" t="s">
        <v>130</v>
      </c>
      <c r="AZ299" s="0" t="s">
        <v>130</v>
      </c>
      <c r="BA299" s="0" t="s">
        <v>130</v>
      </c>
      <c r="BB299" s="0" t="s">
        <v>130</v>
      </c>
      <c r="BC299" s="0" t="s">
        <v>130</v>
      </c>
      <c r="BD299" s="0" t="s">
        <v>130</v>
      </c>
      <c r="BE299" s="0" t="s">
        <v>130</v>
      </c>
      <c r="BF299" s="0" t="s">
        <v>130</v>
      </c>
      <c r="BG299" s="0" t="s">
        <v>130</v>
      </c>
      <c r="BH299" s="0" t="s">
        <v>130</v>
      </c>
      <c r="BI299" s="0" t="s">
        <v>130</v>
      </c>
      <c r="BJ299" s="0" t="s">
        <v>130</v>
      </c>
      <c r="BK299" s="0" t="s">
        <v>130</v>
      </c>
      <c r="BL299" s="0" t="s">
        <v>130</v>
      </c>
      <c r="BM299" s="0" t="s">
        <v>130</v>
      </c>
      <c r="BN299" s="0" t="s">
        <v>130</v>
      </c>
      <c r="BO299" s="0" t="s">
        <v>130</v>
      </c>
      <c r="BP299" s="0" t="s">
        <v>130</v>
      </c>
      <c r="BQ299" s="0" t="s">
        <v>130</v>
      </c>
      <c r="BR299" s="0" t="s">
        <v>130</v>
      </c>
      <c r="BS299" s="0" t="s">
        <v>130</v>
      </c>
      <c r="BT299" s="0" t="s">
        <v>130</v>
      </c>
      <c r="BU299" s="0" t="s">
        <v>130</v>
      </c>
      <c r="BV299" s="0" t="s">
        <v>130</v>
      </c>
      <c r="BW299" s="0" t="s">
        <v>130</v>
      </c>
      <c r="BX299" s="0" t="s">
        <v>130</v>
      </c>
      <c r="BY299" s="0" t="s">
        <v>130</v>
      </c>
      <c r="BZ299" s="0" t="s">
        <v>130</v>
      </c>
      <c r="CA299" s="0" t="s">
        <v>130</v>
      </c>
      <c r="CB299" s="0" t="s">
        <v>130</v>
      </c>
      <c r="CC299" s="0" t="s">
        <v>130</v>
      </c>
      <c r="CD299" s="0" t="s">
        <v>130</v>
      </c>
      <c r="CE299" s="0" t="s">
        <v>130</v>
      </c>
      <c r="CF299" s="0" t="s">
        <v>130</v>
      </c>
      <c r="CG299" s="0" t="s">
        <v>130</v>
      </c>
      <c r="CH299" s="0" t="s">
        <v>130</v>
      </c>
      <c r="CI299" s="0" t="s">
        <v>130</v>
      </c>
      <c r="CJ299" s="0" t="s">
        <v>130</v>
      </c>
      <c r="CK299" s="0" t="s">
        <v>141</v>
      </c>
      <c r="CL299" s="0" t="s">
        <v>130</v>
      </c>
      <c r="CM299" s="0" t="s">
        <v>130</v>
      </c>
      <c r="CN299" s="0" t="s">
        <v>130</v>
      </c>
      <c r="CO299" s="0" t="s">
        <v>130</v>
      </c>
      <c r="CP299" s="0" t="s">
        <v>130</v>
      </c>
      <c r="CQ299" s="0" t="s">
        <v>130</v>
      </c>
      <c r="CR299" s="0" t="s">
        <v>130</v>
      </c>
      <c r="CS299" s="0" t="s">
        <v>130</v>
      </c>
      <c r="CT299" s="0" t="s">
        <v>1132</v>
      </c>
    </row>
    <row r="300">
      <c r="A300" s="14">
        <v>100995</v>
      </c>
      <c r="B300" s="0" t="s">
        <v>1122</v>
      </c>
      <c r="C300" s="16">
        <f>HYPERLINK("https://eosportal.federatedhermes.com/companies/Q29tcGFueQppNDQ3Mjc=", "Micron Technology Inc")</f>
      </c>
      <c r="D300" s="0" t="s">
        <v>25</v>
      </c>
      <c r="E300" s="0" t="s">
        <v>1133</v>
      </c>
      <c r="F300" s="16">
        <f>HYPERLINK("https://eosportal.federatedhermes.com/engagements/RW5nYWdlbWVudAppMTk4NDk=", "Disclosure of executive compensation metrics")</f>
      </c>
      <c r="G300" s="14" t="s">
        <v>1134</v>
      </c>
      <c r="H300" s="0" t="s">
        <v>141</v>
      </c>
      <c r="I300" s="14" t="s">
        <v>191</v>
      </c>
      <c r="J300" s="0" t="s">
        <v>145</v>
      </c>
      <c r="K300" s="0" t="s">
        <v>146</v>
      </c>
      <c r="L300" s="0" t="s">
        <v>147</v>
      </c>
      <c r="M300" s="0" t="s">
        <v>135</v>
      </c>
      <c r="N300" s="0" t="s">
        <v>136</v>
      </c>
      <c r="O300" s="0" t="s">
        <v>1125</v>
      </c>
      <c r="Q300" s="0" t="s">
        <v>130</v>
      </c>
      <c r="R300" s="0" t="s">
        <v>138</v>
      </c>
      <c r="S300" s="14">
        <v>0</v>
      </c>
      <c r="T300" s="0" t="s">
        <v>230</v>
      </c>
      <c r="U300" s="0" t="s">
        <v>138</v>
      </c>
      <c r="V300" s="14" t="s">
        <v>138</v>
      </c>
      <c r="W300" s="0" t="s">
        <v>138</v>
      </c>
      <c r="X300" s="14" t="s">
        <v>138</v>
      </c>
      <c r="Y300" s="0" t="s">
        <v>138</v>
      </c>
      <c r="Z300" s="14" t="s">
        <v>138</v>
      </c>
      <c r="AA300" s="0" t="s">
        <v>138</v>
      </c>
      <c r="AB300" s="14" t="s">
        <v>138</v>
      </c>
      <c r="AD300" s="0" t="s">
        <v>138</v>
      </c>
      <c r="AF300" s="0">
        <v>0</v>
      </c>
      <c r="AG300" s="0">
        <v>0</v>
      </c>
      <c r="AH300" s="0" t="s">
        <v>140</v>
      </c>
      <c r="AI300" s="0" t="s">
        <v>138</v>
      </c>
      <c r="AL300" s="14"/>
      <c r="AN300" s="14"/>
      <c r="AQ300" s="0" t="s">
        <v>130</v>
      </c>
      <c r="AR300" s="0" t="s">
        <v>130</v>
      </c>
      <c r="AS300" s="0" t="s">
        <v>130</v>
      </c>
      <c r="AT300" s="0" t="s">
        <v>130</v>
      </c>
      <c r="AU300" s="0" t="s">
        <v>130</v>
      </c>
      <c r="AV300" s="0" t="s">
        <v>130</v>
      </c>
      <c r="AW300" s="0" t="s">
        <v>130</v>
      </c>
      <c r="AX300" s="0" t="s">
        <v>130</v>
      </c>
      <c r="AY300" s="0" t="s">
        <v>130</v>
      </c>
      <c r="AZ300" s="0" t="s">
        <v>130</v>
      </c>
      <c r="BA300" s="0" t="s">
        <v>130</v>
      </c>
      <c r="BB300" s="0" t="s">
        <v>130</v>
      </c>
      <c r="BC300" s="0" t="s">
        <v>130</v>
      </c>
      <c r="BD300" s="0" t="s">
        <v>130</v>
      </c>
      <c r="BE300" s="0" t="s">
        <v>130</v>
      </c>
      <c r="BF300" s="0" t="s">
        <v>130</v>
      </c>
      <c r="BG300" s="0" t="s">
        <v>130</v>
      </c>
      <c r="BH300" s="0" t="s">
        <v>130</v>
      </c>
      <c r="BI300" s="0" t="s">
        <v>130</v>
      </c>
      <c r="BJ300" s="0" t="s">
        <v>130</v>
      </c>
      <c r="BK300" s="0" t="s">
        <v>130</v>
      </c>
      <c r="BL300" s="0" t="s">
        <v>130</v>
      </c>
      <c r="BM300" s="0" t="s">
        <v>130</v>
      </c>
      <c r="BN300" s="0" t="s">
        <v>130</v>
      </c>
      <c r="BO300" s="0" t="s">
        <v>130</v>
      </c>
      <c r="BP300" s="0" t="s">
        <v>130</v>
      </c>
      <c r="BQ300" s="0" t="s">
        <v>130</v>
      </c>
      <c r="BR300" s="0" t="s">
        <v>130</v>
      </c>
      <c r="BS300" s="0" t="s">
        <v>130</v>
      </c>
      <c r="BT300" s="0" t="s">
        <v>130</v>
      </c>
      <c r="BU300" s="0" t="s">
        <v>130</v>
      </c>
      <c r="BV300" s="0" t="s">
        <v>130</v>
      </c>
      <c r="BW300" s="0" t="s">
        <v>130</v>
      </c>
      <c r="BX300" s="0" t="s">
        <v>130</v>
      </c>
      <c r="BY300" s="0" t="s">
        <v>130</v>
      </c>
      <c r="BZ300" s="0" t="s">
        <v>130</v>
      </c>
      <c r="CA300" s="0" t="s">
        <v>130</v>
      </c>
      <c r="CB300" s="0" t="s">
        <v>130</v>
      </c>
      <c r="CC300" s="0" t="s">
        <v>130</v>
      </c>
      <c r="CD300" s="0" t="s">
        <v>130</v>
      </c>
      <c r="CE300" s="0" t="s">
        <v>130</v>
      </c>
      <c r="CF300" s="0" t="s">
        <v>130</v>
      </c>
      <c r="CG300" s="0" t="s">
        <v>130</v>
      </c>
      <c r="CH300" s="0" t="s">
        <v>130</v>
      </c>
      <c r="CI300" s="0" t="s">
        <v>130</v>
      </c>
      <c r="CJ300" s="0" t="s">
        <v>130</v>
      </c>
      <c r="CK300" s="0" t="s">
        <v>130</v>
      </c>
      <c r="CL300" s="0" t="s">
        <v>130</v>
      </c>
      <c r="CM300" s="0" t="s">
        <v>130</v>
      </c>
      <c r="CN300" s="0" t="s">
        <v>130</v>
      </c>
      <c r="CO300" s="0" t="s">
        <v>130</v>
      </c>
      <c r="CP300" s="0" t="s">
        <v>130</v>
      </c>
      <c r="CQ300" s="0" t="s">
        <v>130</v>
      </c>
      <c r="CR300" s="0" t="s">
        <v>130</v>
      </c>
      <c r="CS300" s="0" t="s">
        <v>130</v>
      </c>
      <c r="CT300" s="0" t="s">
        <v>1135</v>
      </c>
    </row>
    <row r="301">
      <c r="A301" s="14">
        <v>100995</v>
      </c>
      <c r="B301" s="0" t="s">
        <v>1122</v>
      </c>
      <c r="C301" s="16">
        <f>HYPERLINK("https://eosportal.federatedhermes.com/companies/Q29tcGFueQppNDQ3Mjc=", "Micron Technology Inc")</f>
      </c>
      <c r="D301" s="0" t="s">
        <v>25</v>
      </c>
      <c r="E301" s="0" t="s">
        <v>1136</v>
      </c>
      <c r="F301" s="16">
        <f>HYPERLINK("https://eosportal.federatedhermes.com/engagements/RW5nYWdlbWVudAppMTk4NTA=", "Pay ratios")</f>
      </c>
      <c r="G301" s="14" t="s">
        <v>1137</v>
      </c>
      <c r="H301" s="0" t="s">
        <v>141</v>
      </c>
      <c r="I301" s="14" t="s">
        <v>191</v>
      </c>
      <c r="J301" s="0" t="s">
        <v>145</v>
      </c>
      <c r="K301" s="0" t="s">
        <v>146</v>
      </c>
      <c r="L301" s="0" t="s">
        <v>500</v>
      </c>
      <c r="M301" s="0" t="s">
        <v>135</v>
      </c>
      <c r="N301" s="0" t="s">
        <v>136</v>
      </c>
      <c r="O301" s="0" t="s">
        <v>1125</v>
      </c>
      <c r="Q301" s="0" t="s">
        <v>130</v>
      </c>
      <c r="R301" s="0" t="s">
        <v>138</v>
      </c>
      <c r="S301" s="14">
        <v>0</v>
      </c>
      <c r="T301" s="0" t="s">
        <v>139</v>
      </c>
      <c r="U301" s="0" t="s">
        <v>138</v>
      </c>
      <c r="V301" s="14" t="s">
        <v>138</v>
      </c>
      <c r="W301" s="0" t="s">
        <v>138</v>
      </c>
      <c r="X301" s="14" t="s">
        <v>138</v>
      </c>
      <c r="Y301" s="0" t="s">
        <v>138</v>
      </c>
      <c r="Z301" s="14" t="s">
        <v>138</v>
      </c>
      <c r="AA301" s="0" t="s">
        <v>138</v>
      </c>
      <c r="AB301" s="14" t="s">
        <v>138</v>
      </c>
      <c r="AD301" s="0" t="s">
        <v>138</v>
      </c>
      <c r="AF301" s="0">
        <v>0</v>
      </c>
      <c r="AG301" s="0">
        <v>0</v>
      </c>
      <c r="AH301" s="0" t="s">
        <v>140</v>
      </c>
      <c r="AI301" s="0" t="s">
        <v>138</v>
      </c>
      <c r="AL301" s="14"/>
      <c r="AN301" s="14"/>
      <c r="AQ301" s="0" t="s">
        <v>130</v>
      </c>
      <c r="AR301" s="0" t="s">
        <v>130</v>
      </c>
      <c r="AS301" s="0" t="s">
        <v>130</v>
      </c>
      <c r="AT301" s="0" t="s">
        <v>130</v>
      </c>
      <c r="AU301" s="0" t="s">
        <v>130</v>
      </c>
      <c r="AV301" s="0" t="s">
        <v>130</v>
      </c>
      <c r="AW301" s="0" t="s">
        <v>130</v>
      </c>
      <c r="AX301" s="0" t="s">
        <v>130</v>
      </c>
      <c r="AY301" s="0" t="s">
        <v>130</v>
      </c>
      <c r="AZ301" s="0" t="s">
        <v>130</v>
      </c>
      <c r="BA301" s="0" t="s">
        <v>130</v>
      </c>
      <c r="BB301" s="0" t="s">
        <v>130</v>
      </c>
      <c r="BC301" s="0" t="s">
        <v>130</v>
      </c>
      <c r="BD301" s="0" t="s">
        <v>130</v>
      </c>
      <c r="BE301" s="0" t="s">
        <v>130</v>
      </c>
      <c r="BF301" s="0" t="s">
        <v>130</v>
      </c>
      <c r="BG301" s="0" t="s">
        <v>130</v>
      </c>
      <c r="BH301" s="0" t="s">
        <v>130</v>
      </c>
      <c r="BI301" s="0" t="s">
        <v>130</v>
      </c>
      <c r="BJ301" s="0" t="s">
        <v>130</v>
      </c>
      <c r="BK301" s="0" t="s">
        <v>130</v>
      </c>
      <c r="BL301" s="0" t="s">
        <v>130</v>
      </c>
      <c r="BM301" s="0" t="s">
        <v>130</v>
      </c>
      <c r="BN301" s="0" t="s">
        <v>130</v>
      </c>
      <c r="BO301" s="0" t="s">
        <v>130</v>
      </c>
      <c r="BP301" s="0" t="s">
        <v>130</v>
      </c>
      <c r="BQ301" s="0" t="s">
        <v>130</v>
      </c>
      <c r="BR301" s="0" t="s">
        <v>130</v>
      </c>
      <c r="BS301" s="0" t="s">
        <v>130</v>
      </c>
      <c r="BT301" s="0" t="s">
        <v>130</v>
      </c>
      <c r="BU301" s="0" t="s">
        <v>130</v>
      </c>
      <c r="BV301" s="0" t="s">
        <v>130</v>
      </c>
      <c r="BW301" s="0" t="s">
        <v>130</v>
      </c>
      <c r="BX301" s="0" t="s">
        <v>130</v>
      </c>
      <c r="BY301" s="0" t="s">
        <v>130</v>
      </c>
      <c r="BZ301" s="0" t="s">
        <v>130</v>
      </c>
      <c r="CA301" s="0" t="s">
        <v>130</v>
      </c>
      <c r="CB301" s="0" t="s">
        <v>130</v>
      </c>
      <c r="CC301" s="0" t="s">
        <v>130</v>
      </c>
      <c r="CD301" s="0" t="s">
        <v>130</v>
      </c>
      <c r="CE301" s="0" t="s">
        <v>130</v>
      </c>
      <c r="CF301" s="0" t="s">
        <v>130</v>
      </c>
      <c r="CG301" s="0" t="s">
        <v>130</v>
      </c>
      <c r="CH301" s="0" t="s">
        <v>130</v>
      </c>
      <c r="CI301" s="0" t="s">
        <v>130</v>
      </c>
      <c r="CJ301" s="0" t="s">
        <v>130</v>
      </c>
      <c r="CK301" s="0" t="s">
        <v>130</v>
      </c>
      <c r="CL301" s="0" t="s">
        <v>130</v>
      </c>
      <c r="CM301" s="0" t="s">
        <v>130</v>
      </c>
      <c r="CN301" s="0" t="s">
        <v>130</v>
      </c>
      <c r="CO301" s="0" t="s">
        <v>130</v>
      </c>
      <c r="CP301" s="0" t="s">
        <v>130</v>
      </c>
      <c r="CQ301" s="0" t="s">
        <v>130</v>
      </c>
      <c r="CR301" s="0" t="s">
        <v>130</v>
      </c>
      <c r="CS301" s="0" t="s">
        <v>130</v>
      </c>
      <c r="CT301" s="0" t="s">
        <v>1138</v>
      </c>
    </row>
    <row r="302">
      <c r="A302" s="14">
        <v>100995</v>
      </c>
      <c r="B302" s="0" t="s">
        <v>1122</v>
      </c>
      <c r="C302" s="16">
        <f>HYPERLINK("https://eosportal.federatedhermes.com/companies/Q29tcGFueQppNDQ3Mjc=", "Micron Technology Inc")</f>
      </c>
      <c r="D302" s="0" t="s">
        <v>25</v>
      </c>
      <c r="E302" s="0" t="s">
        <v>1139</v>
      </c>
      <c r="F302" s="16">
        <f>HYPERLINK("https://eosportal.federatedhermes.com/engagements/RW5nYWdlbWVudAppMTk4NTE=", "Conflict minerals")</f>
      </c>
      <c r="G302" s="14" t="s">
        <v>1140</v>
      </c>
      <c r="H302" s="0" t="s">
        <v>141</v>
      </c>
      <c r="I302" s="14" t="s">
        <v>191</v>
      </c>
      <c r="J302" s="0" t="s">
        <v>153</v>
      </c>
      <c r="K302" s="0" t="s">
        <v>243</v>
      </c>
      <c r="L302" s="0" t="s">
        <v>244</v>
      </c>
      <c r="M302" s="0" t="s">
        <v>135</v>
      </c>
      <c r="N302" s="0" t="s">
        <v>136</v>
      </c>
      <c r="O302" s="0" t="s">
        <v>1125</v>
      </c>
      <c r="Q302" s="0" t="s">
        <v>130</v>
      </c>
      <c r="R302" s="0" t="s">
        <v>138</v>
      </c>
      <c r="S302" s="14">
        <v>0</v>
      </c>
      <c r="T302" s="0" t="s">
        <v>139</v>
      </c>
      <c r="U302" s="0" t="s">
        <v>138</v>
      </c>
      <c r="V302" s="14" t="s">
        <v>138</v>
      </c>
      <c r="W302" s="0" t="s">
        <v>138</v>
      </c>
      <c r="X302" s="14" t="s">
        <v>138</v>
      </c>
      <c r="Y302" s="0" t="s">
        <v>138</v>
      </c>
      <c r="Z302" s="14" t="s">
        <v>138</v>
      </c>
      <c r="AA302" s="0" t="s">
        <v>138</v>
      </c>
      <c r="AB302" s="14" t="s">
        <v>138</v>
      </c>
      <c r="AD302" s="0" t="s">
        <v>138</v>
      </c>
      <c r="AF302" s="0">
        <v>0</v>
      </c>
      <c r="AG302" s="0">
        <v>0</v>
      </c>
      <c r="AH302" s="0" t="s">
        <v>140</v>
      </c>
      <c r="AI302" s="0" t="s">
        <v>138</v>
      </c>
      <c r="AL302" s="14"/>
      <c r="AN302" s="14"/>
      <c r="AQ302" s="0" t="s">
        <v>130</v>
      </c>
      <c r="AR302" s="0" t="s">
        <v>130</v>
      </c>
      <c r="AS302" s="0" t="s">
        <v>130</v>
      </c>
      <c r="AT302" s="0" t="s">
        <v>130</v>
      </c>
      <c r="AU302" s="0" t="s">
        <v>130</v>
      </c>
      <c r="AV302" s="0" t="s">
        <v>130</v>
      </c>
      <c r="AW302" s="0" t="s">
        <v>130</v>
      </c>
      <c r="AX302" s="0" t="s">
        <v>141</v>
      </c>
      <c r="AY302" s="0" t="s">
        <v>130</v>
      </c>
      <c r="AZ302" s="0" t="s">
        <v>130</v>
      </c>
      <c r="BA302" s="0" t="s">
        <v>130</v>
      </c>
      <c r="BB302" s="0" t="s">
        <v>130</v>
      </c>
      <c r="BC302" s="0" t="s">
        <v>130</v>
      </c>
      <c r="BD302" s="0" t="s">
        <v>130</v>
      </c>
      <c r="BE302" s="0" t="s">
        <v>130</v>
      </c>
      <c r="BF302" s="0" t="s">
        <v>130</v>
      </c>
      <c r="BG302" s="0" t="s">
        <v>130</v>
      </c>
      <c r="BH302" s="0" t="s">
        <v>130</v>
      </c>
      <c r="BI302" s="0" t="s">
        <v>130</v>
      </c>
      <c r="BJ302" s="0" t="s">
        <v>130</v>
      </c>
      <c r="BK302" s="0" t="s">
        <v>130</v>
      </c>
      <c r="BL302" s="0" t="s">
        <v>130</v>
      </c>
      <c r="BM302" s="0" t="s">
        <v>130</v>
      </c>
      <c r="BN302" s="0" t="s">
        <v>130</v>
      </c>
      <c r="BO302" s="0" t="s">
        <v>130</v>
      </c>
      <c r="BP302" s="0" t="s">
        <v>130</v>
      </c>
      <c r="BQ302" s="0" t="s">
        <v>130</v>
      </c>
      <c r="BR302" s="0" t="s">
        <v>130</v>
      </c>
      <c r="BS302" s="0" t="s">
        <v>130</v>
      </c>
      <c r="BT302" s="0" t="s">
        <v>130</v>
      </c>
      <c r="BU302" s="0" t="s">
        <v>130</v>
      </c>
      <c r="BV302" s="0" t="s">
        <v>130</v>
      </c>
      <c r="BW302" s="0" t="s">
        <v>130</v>
      </c>
      <c r="BX302" s="0" t="s">
        <v>130</v>
      </c>
      <c r="BY302" s="0" t="s">
        <v>130</v>
      </c>
      <c r="BZ302" s="0" t="s">
        <v>130</v>
      </c>
      <c r="CA302" s="0" t="s">
        <v>130</v>
      </c>
      <c r="CB302" s="0" t="s">
        <v>130</v>
      </c>
      <c r="CC302" s="0" t="s">
        <v>130</v>
      </c>
      <c r="CD302" s="0" t="s">
        <v>130</v>
      </c>
      <c r="CE302" s="0" t="s">
        <v>130</v>
      </c>
      <c r="CF302" s="0" t="s">
        <v>130</v>
      </c>
      <c r="CG302" s="0" t="s">
        <v>130</v>
      </c>
      <c r="CH302" s="0" t="s">
        <v>130</v>
      </c>
      <c r="CI302" s="0" t="s">
        <v>130</v>
      </c>
      <c r="CJ302" s="0" t="s">
        <v>130</v>
      </c>
      <c r="CK302" s="0" t="s">
        <v>130</v>
      </c>
      <c r="CL302" s="0" t="s">
        <v>130</v>
      </c>
      <c r="CM302" s="0" t="s">
        <v>130</v>
      </c>
      <c r="CN302" s="0" t="s">
        <v>130</v>
      </c>
      <c r="CO302" s="0" t="s">
        <v>130</v>
      </c>
      <c r="CP302" s="0" t="s">
        <v>130</v>
      </c>
      <c r="CQ302" s="0" t="s">
        <v>130</v>
      </c>
      <c r="CR302" s="0" t="s">
        <v>130</v>
      </c>
      <c r="CS302" s="0" t="s">
        <v>130</v>
      </c>
      <c r="CT302" s="0" t="s">
        <v>1141</v>
      </c>
    </row>
    <row r="303">
      <c r="A303" s="14">
        <v>101001</v>
      </c>
      <c r="B303" s="0" t="s">
        <v>1142</v>
      </c>
      <c r="C303" s="16">
        <f>HYPERLINK("https://eosportal.federatedhermes.com/companies/Q29tcGFueQppNjQzOTA=", "3M Co")</f>
      </c>
      <c r="D303" s="0" t="s">
        <v>25</v>
      </c>
      <c r="E303" s="0" t="s">
        <v>1143</v>
      </c>
      <c r="F303" s="16">
        <f>HYPERLINK("https://eosportal.federatedhermes.com/engagements/RW5nYWdlbWVudAppMTk4Nzg=", "Corporate Culture")</f>
      </c>
      <c r="G303" s="14" t="s">
        <v>1144</v>
      </c>
      <c r="H303" s="0" t="s">
        <v>141</v>
      </c>
      <c r="I303" s="14" t="s">
        <v>191</v>
      </c>
      <c r="J303" s="0" t="s">
        <v>153</v>
      </c>
      <c r="K303" s="0" t="s">
        <v>185</v>
      </c>
      <c r="L303" s="0" t="s">
        <v>186</v>
      </c>
      <c r="M303" s="0" t="s">
        <v>135</v>
      </c>
      <c r="N303" s="0" t="s">
        <v>136</v>
      </c>
      <c r="O303" s="0" t="s">
        <v>176</v>
      </c>
      <c r="Q303" s="0" t="s">
        <v>130</v>
      </c>
      <c r="R303" s="0" t="s">
        <v>138</v>
      </c>
      <c r="S303" s="14">
        <v>0</v>
      </c>
      <c r="T303" s="0" t="s">
        <v>1145</v>
      </c>
      <c r="U303" s="0" t="s">
        <v>138</v>
      </c>
      <c r="V303" s="14" t="s">
        <v>138</v>
      </c>
      <c r="W303" s="0" t="s">
        <v>138</v>
      </c>
      <c r="X303" s="14" t="s">
        <v>138</v>
      </c>
      <c r="Y303" s="0" t="s">
        <v>138</v>
      </c>
      <c r="Z303" s="14" t="s">
        <v>138</v>
      </c>
      <c r="AA303" s="0" t="s">
        <v>138</v>
      </c>
      <c r="AB303" s="14" t="s">
        <v>138</v>
      </c>
      <c r="AD303" s="0" t="s">
        <v>138</v>
      </c>
      <c r="AF303" s="0">
        <v>0</v>
      </c>
      <c r="AG303" s="0">
        <v>0</v>
      </c>
      <c r="AH303" s="0" t="s">
        <v>140</v>
      </c>
      <c r="AI303" s="0" t="s">
        <v>138</v>
      </c>
      <c r="AL303" s="14"/>
      <c r="AN303" s="14"/>
      <c r="AQ303" s="0" t="s">
        <v>130</v>
      </c>
      <c r="AR303" s="0" t="s">
        <v>130</v>
      </c>
      <c r="AS303" s="0" t="s">
        <v>130</v>
      </c>
      <c r="AT303" s="0" t="s">
        <v>130</v>
      </c>
      <c r="AU303" s="0" t="s">
        <v>130</v>
      </c>
      <c r="AV303" s="0" t="s">
        <v>130</v>
      </c>
      <c r="AW303" s="0" t="s">
        <v>130</v>
      </c>
      <c r="AX303" s="0" t="s">
        <v>130</v>
      </c>
      <c r="AY303" s="0" t="s">
        <v>130</v>
      </c>
      <c r="AZ303" s="0" t="s">
        <v>130</v>
      </c>
      <c r="BA303" s="0" t="s">
        <v>130</v>
      </c>
      <c r="BB303" s="0" t="s">
        <v>130</v>
      </c>
      <c r="BC303" s="0" t="s">
        <v>130</v>
      </c>
      <c r="BD303" s="0" t="s">
        <v>130</v>
      </c>
      <c r="BE303" s="0" t="s">
        <v>130</v>
      </c>
      <c r="BF303" s="0" t="s">
        <v>130</v>
      </c>
      <c r="BG303" s="0" t="s">
        <v>130</v>
      </c>
      <c r="BH303" s="0" t="s">
        <v>130</v>
      </c>
      <c r="BI303" s="0" t="s">
        <v>130</v>
      </c>
      <c r="BJ303" s="0" t="s">
        <v>130</v>
      </c>
      <c r="BK303" s="0" t="s">
        <v>130</v>
      </c>
      <c r="BL303" s="0" t="s">
        <v>130</v>
      </c>
      <c r="BM303" s="0" t="s">
        <v>130</v>
      </c>
      <c r="BN303" s="0" t="s">
        <v>130</v>
      </c>
      <c r="BO303" s="0" t="s">
        <v>130</v>
      </c>
      <c r="BP303" s="0" t="s">
        <v>130</v>
      </c>
      <c r="BQ303" s="0" t="s">
        <v>130</v>
      </c>
      <c r="BR303" s="0" t="s">
        <v>130</v>
      </c>
      <c r="BS303" s="0" t="s">
        <v>130</v>
      </c>
      <c r="BT303" s="0" t="s">
        <v>130</v>
      </c>
      <c r="BU303" s="0" t="s">
        <v>130</v>
      </c>
      <c r="BV303" s="0" t="s">
        <v>130</v>
      </c>
      <c r="BW303" s="0" t="s">
        <v>130</v>
      </c>
      <c r="BX303" s="0" t="s">
        <v>130</v>
      </c>
      <c r="BY303" s="0" t="s">
        <v>130</v>
      </c>
      <c r="BZ303" s="0" t="s">
        <v>130</v>
      </c>
      <c r="CA303" s="0" t="s">
        <v>130</v>
      </c>
      <c r="CB303" s="0" t="s">
        <v>130</v>
      </c>
      <c r="CC303" s="0" t="s">
        <v>130</v>
      </c>
      <c r="CD303" s="0" t="s">
        <v>130</v>
      </c>
      <c r="CE303" s="0" t="s">
        <v>130</v>
      </c>
      <c r="CF303" s="0" t="s">
        <v>130</v>
      </c>
      <c r="CG303" s="0" t="s">
        <v>130</v>
      </c>
      <c r="CH303" s="0" t="s">
        <v>130</v>
      </c>
      <c r="CI303" s="0" t="s">
        <v>130</v>
      </c>
      <c r="CJ303" s="0" t="s">
        <v>130</v>
      </c>
      <c r="CK303" s="0" t="s">
        <v>130</v>
      </c>
      <c r="CL303" s="0" t="s">
        <v>130</v>
      </c>
      <c r="CM303" s="0" t="s">
        <v>130</v>
      </c>
      <c r="CN303" s="0" t="s">
        <v>130</v>
      </c>
      <c r="CO303" s="0" t="s">
        <v>130</v>
      </c>
      <c r="CP303" s="0" t="s">
        <v>130</v>
      </c>
      <c r="CQ303" s="0" t="s">
        <v>130</v>
      </c>
      <c r="CR303" s="0" t="s">
        <v>130</v>
      </c>
      <c r="CS303" s="0" t="s">
        <v>130</v>
      </c>
      <c r="CT303" s="0" t="s">
        <v>1146</v>
      </c>
    </row>
    <row r="304">
      <c r="A304" s="14">
        <v>101001</v>
      </c>
      <c r="B304" s="0" t="s">
        <v>1142</v>
      </c>
      <c r="C304" s="16">
        <f>HYPERLINK("https://eosportal.federatedhermes.com/companies/Q29tcGFueQppNjQzOTA=", "3M Co")</f>
      </c>
      <c r="D304" s="0" t="s">
        <v>23</v>
      </c>
      <c r="E304" s="0" t="s">
        <v>1147</v>
      </c>
      <c r="F304" s="16">
        <f>HYPERLINK("https://eosportal.federatedhermes.com/engagements/RW5nYWdlbWVudAppMTk4ODA=", "Climate resilient strategy - enhanced scope")</f>
      </c>
      <c r="G304" s="14" t="s">
        <v>1148</v>
      </c>
      <c r="H304" s="0" t="s">
        <v>141</v>
      </c>
      <c r="I304" s="14" t="s">
        <v>191</v>
      </c>
      <c r="J304" s="0" t="s">
        <v>197</v>
      </c>
      <c r="K304" s="0" t="s">
        <v>198</v>
      </c>
      <c r="L304" s="0" t="s">
        <v>220</v>
      </c>
      <c r="M304" s="0" t="s">
        <v>135</v>
      </c>
      <c r="N304" s="0" t="s">
        <v>136</v>
      </c>
      <c r="O304" s="0" t="s">
        <v>176</v>
      </c>
      <c r="Q304" s="0" t="s">
        <v>130</v>
      </c>
      <c r="R304" s="0" t="s">
        <v>130</v>
      </c>
      <c r="S304" s="14">
        <v>0</v>
      </c>
      <c r="T304" s="0" t="s">
        <v>359</v>
      </c>
      <c r="U304" s="0" t="s">
        <v>221</v>
      </c>
      <c r="V304" s="14" t="s">
        <v>359</v>
      </c>
      <c r="W304" s="0" t="s">
        <v>221</v>
      </c>
      <c r="X304" s="14" t="s">
        <v>359</v>
      </c>
      <c r="Y304" s="0" t="s">
        <v>221</v>
      </c>
      <c r="Z304" s="14" t="s">
        <v>327</v>
      </c>
      <c r="AA304" s="0" t="s">
        <v>223</v>
      </c>
      <c r="AB304" s="14" t="s">
        <v>138</v>
      </c>
      <c r="AD304" s="0" t="s">
        <v>20</v>
      </c>
      <c r="AF304" s="0">
        <v>0</v>
      </c>
      <c r="AG304" s="0">
        <v>0</v>
      </c>
      <c r="AH304" s="0" t="s">
        <v>140</v>
      </c>
      <c r="AI304" s="0" t="s">
        <v>225</v>
      </c>
      <c r="AL304" s="14"/>
      <c r="AN304" s="14"/>
      <c r="AQ304" s="0" t="s">
        <v>130</v>
      </c>
      <c r="AR304" s="0" t="s">
        <v>130</v>
      </c>
      <c r="AS304" s="0" t="s">
        <v>130</v>
      </c>
      <c r="AT304" s="0" t="s">
        <v>130</v>
      </c>
      <c r="AU304" s="0" t="s">
        <v>130</v>
      </c>
      <c r="AV304" s="0" t="s">
        <v>130</v>
      </c>
      <c r="AW304" s="0" t="s">
        <v>141</v>
      </c>
      <c r="AX304" s="0" t="s">
        <v>130</v>
      </c>
      <c r="AY304" s="0" t="s">
        <v>141</v>
      </c>
      <c r="AZ304" s="0" t="s">
        <v>130</v>
      </c>
      <c r="BA304" s="0" t="s">
        <v>130</v>
      </c>
      <c r="BB304" s="0" t="s">
        <v>130</v>
      </c>
      <c r="BC304" s="0" t="s">
        <v>141</v>
      </c>
      <c r="BD304" s="0" t="s">
        <v>130</v>
      </c>
      <c r="BE304" s="0" t="s">
        <v>130</v>
      </c>
      <c r="BF304" s="0" t="s">
        <v>130</v>
      </c>
      <c r="BG304" s="0" t="s">
        <v>130</v>
      </c>
      <c r="BH304" s="0" t="s">
        <v>141</v>
      </c>
      <c r="BI304" s="0" t="s">
        <v>141</v>
      </c>
      <c r="BJ304" s="0" t="s">
        <v>141</v>
      </c>
      <c r="BK304" s="0" t="s">
        <v>130</v>
      </c>
      <c r="BL304" s="0" t="s">
        <v>130</v>
      </c>
      <c r="BM304" s="0" t="s">
        <v>130</v>
      </c>
      <c r="BN304" s="0" t="s">
        <v>130</v>
      </c>
      <c r="BO304" s="0" t="s">
        <v>130</v>
      </c>
      <c r="BP304" s="0" t="s">
        <v>130</v>
      </c>
      <c r="BQ304" s="0" t="s">
        <v>130</v>
      </c>
      <c r="BR304" s="0" t="s">
        <v>130</v>
      </c>
      <c r="BS304" s="0" t="s">
        <v>130</v>
      </c>
      <c r="BT304" s="0" t="s">
        <v>130</v>
      </c>
      <c r="BU304" s="0" t="s">
        <v>130</v>
      </c>
      <c r="BV304" s="0" t="s">
        <v>141</v>
      </c>
      <c r="BW304" s="0" t="s">
        <v>141</v>
      </c>
      <c r="BX304" s="0" t="s">
        <v>130</v>
      </c>
      <c r="BY304" s="0" t="s">
        <v>130</v>
      </c>
      <c r="BZ304" s="0" t="s">
        <v>130</v>
      </c>
      <c r="CA304" s="0" t="s">
        <v>130</v>
      </c>
      <c r="CB304" s="0" t="s">
        <v>130</v>
      </c>
      <c r="CC304" s="0" t="s">
        <v>130</v>
      </c>
      <c r="CD304" s="0" t="s">
        <v>130</v>
      </c>
      <c r="CE304" s="0" t="s">
        <v>130</v>
      </c>
      <c r="CF304" s="0" t="s">
        <v>130</v>
      </c>
      <c r="CG304" s="0" t="s">
        <v>130</v>
      </c>
      <c r="CH304" s="0" t="s">
        <v>130</v>
      </c>
      <c r="CI304" s="0" t="s">
        <v>130</v>
      </c>
      <c r="CJ304" s="0" t="s">
        <v>130</v>
      </c>
      <c r="CK304" s="0" t="s">
        <v>130</v>
      </c>
      <c r="CL304" s="0" t="s">
        <v>130</v>
      </c>
      <c r="CM304" s="0" t="s">
        <v>130</v>
      </c>
      <c r="CN304" s="0" t="s">
        <v>130</v>
      </c>
      <c r="CO304" s="0" t="s">
        <v>130</v>
      </c>
      <c r="CP304" s="0" t="s">
        <v>130</v>
      </c>
      <c r="CQ304" s="0" t="s">
        <v>130</v>
      </c>
      <c r="CR304" s="0" t="s">
        <v>130</v>
      </c>
      <c r="CS304" s="0" t="s">
        <v>130</v>
      </c>
      <c r="CT304" s="0" t="s">
        <v>1149</v>
      </c>
    </row>
    <row r="305">
      <c r="A305" s="14">
        <v>101001</v>
      </c>
      <c r="B305" s="0" t="s">
        <v>1142</v>
      </c>
      <c r="C305" s="16">
        <f>HYPERLINK("https://eosportal.federatedhermes.com/companies/Q29tcGFueQppNjQzOTA=", "3M Co")</f>
      </c>
      <c r="D305" s="0" t="s">
        <v>25</v>
      </c>
      <c r="E305" s="0" t="s">
        <v>918</v>
      </c>
      <c r="F305" s="16">
        <f>HYPERLINK("https://eosportal.federatedhermes.com/engagements/RW5nYWdlbWVudAppMTk4ODE=", "Controversy linked to UNGC Principle 7: Approach to environmental challenges")</f>
      </c>
      <c r="G305" s="14" t="s">
        <v>1150</v>
      </c>
      <c r="H305" s="0" t="s">
        <v>141</v>
      </c>
      <c r="I305" s="14" t="s">
        <v>191</v>
      </c>
      <c r="J305" s="0" t="s">
        <v>197</v>
      </c>
      <c r="K305" s="0" t="s">
        <v>348</v>
      </c>
      <c r="L305" s="0" t="s">
        <v>650</v>
      </c>
      <c r="M305" s="0" t="s">
        <v>135</v>
      </c>
      <c r="N305" s="0" t="s">
        <v>136</v>
      </c>
      <c r="O305" s="0" t="s">
        <v>176</v>
      </c>
      <c r="Q305" s="0" t="s">
        <v>141</v>
      </c>
      <c r="R305" s="0" t="s">
        <v>138</v>
      </c>
      <c r="S305" s="14">
        <v>2</v>
      </c>
      <c r="T305" s="0" t="s">
        <v>156</v>
      </c>
      <c r="U305" s="0" t="s">
        <v>138</v>
      </c>
      <c r="V305" s="14" t="s">
        <v>138</v>
      </c>
      <c r="W305" s="0" t="s">
        <v>138</v>
      </c>
      <c r="X305" s="14" t="s">
        <v>138</v>
      </c>
      <c r="Y305" s="0" t="s">
        <v>138</v>
      </c>
      <c r="Z305" s="14" t="s">
        <v>138</v>
      </c>
      <c r="AA305" s="0" t="s">
        <v>138</v>
      </c>
      <c r="AB305" s="14" t="s">
        <v>138</v>
      </c>
      <c r="AD305" s="0" t="s">
        <v>138</v>
      </c>
      <c r="AF305" s="0">
        <v>0</v>
      </c>
      <c r="AG305" s="0">
        <v>0</v>
      </c>
      <c r="AH305" s="0" t="s">
        <v>140</v>
      </c>
      <c r="AI305" s="0" t="s">
        <v>138</v>
      </c>
      <c r="AK305" s="0" t="s">
        <v>1151</v>
      </c>
      <c r="AL305" s="14"/>
      <c r="AN305" s="14"/>
      <c r="AQ305" s="0" t="s">
        <v>130</v>
      </c>
      <c r="AR305" s="0" t="s">
        <v>130</v>
      </c>
      <c r="AS305" s="0" t="s">
        <v>141</v>
      </c>
      <c r="AT305" s="0" t="s">
        <v>130</v>
      </c>
      <c r="AU305" s="0" t="s">
        <v>130</v>
      </c>
      <c r="AV305" s="0" t="s">
        <v>130</v>
      </c>
      <c r="AW305" s="0" t="s">
        <v>130</v>
      </c>
      <c r="AX305" s="0" t="s">
        <v>130</v>
      </c>
      <c r="AY305" s="0" t="s">
        <v>130</v>
      </c>
      <c r="AZ305" s="0" t="s">
        <v>130</v>
      </c>
      <c r="BA305" s="0" t="s">
        <v>130</v>
      </c>
      <c r="BB305" s="0" t="s">
        <v>141</v>
      </c>
      <c r="BC305" s="0" t="s">
        <v>130</v>
      </c>
      <c r="BD305" s="0" t="s">
        <v>130</v>
      </c>
      <c r="BE305" s="0" t="s">
        <v>130</v>
      </c>
      <c r="BF305" s="0" t="s">
        <v>130</v>
      </c>
      <c r="BG305" s="0" t="s">
        <v>130</v>
      </c>
      <c r="BH305" s="0" t="s">
        <v>130</v>
      </c>
      <c r="BI305" s="0" t="s">
        <v>130</v>
      </c>
      <c r="BJ305" s="0" t="s">
        <v>130</v>
      </c>
      <c r="BK305" s="0" t="s">
        <v>130</v>
      </c>
      <c r="BL305" s="0" t="s">
        <v>130</v>
      </c>
      <c r="BM305" s="0" t="s">
        <v>130</v>
      </c>
      <c r="BN305" s="0" t="s">
        <v>130</v>
      </c>
      <c r="BO305" s="0" t="s">
        <v>130</v>
      </c>
      <c r="BP305" s="0" t="s">
        <v>141</v>
      </c>
      <c r="BQ305" s="0" t="s">
        <v>130</v>
      </c>
      <c r="BR305" s="0" t="s">
        <v>130</v>
      </c>
      <c r="BS305" s="0" t="s">
        <v>130</v>
      </c>
      <c r="BT305" s="0" t="s">
        <v>130</v>
      </c>
      <c r="BU305" s="0" t="s">
        <v>130</v>
      </c>
      <c r="BV305" s="0" t="s">
        <v>130</v>
      </c>
      <c r="BW305" s="0" t="s">
        <v>130</v>
      </c>
      <c r="BX305" s="0" t="s">
        <v>130</v>
      </c>
      <c r="BY305" s="0" t="s">
        <v>130</v>
      </c>
      <c r="BZ305" s="0" t="s">
        <v>130</v>
      </c>
      <c r="CA305" s="0" t="s">
        <v>130</v>
      </c>
      <c r="CB305" s="0" t="s">
        <v>130</v>
      </c>
      <c r="CC305" s="0" t="s">
        <v>130</v>
      </c>
      <c r="CD305" s="0" t="s">
        <v>130</v>
      </c>
      <c r="CE305" s="0" t="s">
        <v>130</v>
      </c>
      <c r="CF305" s="0" t="s">
        <v>130</v>
      </c>
      <c r="CG305" s="0" t="s">
        <v>130</v>
      </c>
      <c r="CH305" s="0" t="s">
        <v>130</v>
      </c>
      <c r="CI305" s="0" t="s">
        <v>130</v>
      </c>
      <c r="CJ305" s="0" t="s">
        <v>130</v>
      </c>
      <c r="CK305" s="0" t="s">
        <v>130</v>
      </c>
      <c r="CL305" s="0" t="s">
        <v>130</v>
      </c>
      <c r="CM305" s="0" t="s">
        <v>130</v>
      </c>
      <c r="CN305" s="0" t="s">
        <v>130</v>
      </c>
      <c r="CO305" s="0" t="s">
        <v>130</v>
      </c>
      <c r="CP305" s="0" t="s">
        <v>130</v>
      </c>
      <c r="CQ305" s="0" t="s">
        <v>130</v>
      </c>
      <c r="CR305" s="0" t="s">
        <v>130</v>
      </c>
      <c r="CS305" s="0" t="s">
        <v>130</v>
      </c>
      <c r="CT305" s="0" t="s">
        <v>1152</v>
      </c>
    </row>
    <row r="306">
      <c r="A306" s="14">
        <v>101001</v>
      </c>
      <c r="B306" s="0" t="s">
        <v>1142</v>
      </c>
      <c r="C306" s="16">
        <f>HYPERLINK("https://eosportal.federatedhermes.com/companies/Q29tcGFueQppNjQzOTA=", "3M Co")</f>
      </c>
      <c r="D306" s="0" t="s">
        <v>25</v>
      </c>
      <c r="E306" s="0" t="s">
        <v>1034</v>
      </c>
      <c r="F306" s="16">
        <f>HYPERLINK("https://eosportal.federatedhermes.com/engagements/RW5nYWdlbWVudAppMTk4ODI=", "Board composition")</f>
      </c>
      <c r="G306" s="14" t="s">
        <v>1153</v>
      </c>
      <c r="H306" s="0" t="s">
        <v>141</v>
      </c>
      <c r="I306" s="14" t="s">
        <v>191</v>
      </c>
      <c r="J306" s="0" t="s">
        <v>153</v>
      </c>
      <c r="K306" s="0" t="s">
        <v>154</v>
      </c>
      <c r="L306" s="0" t="s">
        <v>268</v>
      </c>
      <c r="M306" s="0" t="s">
        <v>135</v>
      </c>
      <c r="N306" s="0" t="s">
        <v>136</v>
      </c>
      <c r="O306" s="0" t="s">
        <v>176</v>
      </c>
      <c r="Q306" s="0" t="s">
        <v>130</v>
      </c>
      <c r="R306" s="0" t="s">
        <v>138</v>
      </c>
      <c r="S306" s="14">
        <v>0</v>
      </c>
      <c r="T306" s="0" t="s">
        <v>288</v>
      </c>
      <c r="U306" s="0" t="s">
        <v>138</v>
      </c>
      <c r="V306" s="14" t="s">
        <v>138</v>
      </c>
      <c r="W306" s="0" t="s">
        <v>138</v>
      </c>
      <c r="X306" s="14" t="s">
        <v>138</v>
      </c>
      <c r="Y306" s="0" t="s">
        <v>138</v>
      </c>
      <c r="Z306" s="14" t="s">
        <v>138</v>
      </c>
      <c r="AA306" s="0" t="s">
        <v>138</v>
      </c>
      <c r="AB306" s="14" t="s">
        <v>138</v>
      </c>
      <c r="AD306" s="0" t="s">
        <v>138</v>
      </c>
      <c r="AF306" s="0">
        <v>0</v>
      </c>
      <c r="AG306" s="0">
        <v>0</v>
      </c>
      <c r="AH306" s="0" t="s">
        <v>140</v>
      </c>
      <c r="AI306" s="0" t="s">
        <v>138</v>
      </c>
      <c r="AL306" s="14"/>
      <c r="AN306" s="14"/>
      <c r="AQ306" s="0" t="s">
        <v>130</v>
      </c>
      <c r="AR306" s="0" t="s">
        <v>130</v>
      </c>
      <c r="AS306" s="0" t="s">
        <v>130</v>
      </c>
      <c r="AT306" s="0" t="s">
        <v>141</v>
      </c>
      <c r="AU306" s="0" t="s">
        <v>130</v>
      </c>
      <c r="AV306" s="0" t="s">
        <v>130</v>
      </c>
      <c r="AW306" s="0" t="s">
        <v>130</v>
      </c>
      <c r="AX306" s="0" t="s">
        <v>130</v>
      </c>
      <c r="AY306" s="0" t="s">
        <v>130</v>
      </c>
      <c r="AZ306" s="0" t="s">
        <v>141</v>
      </c>
      <c r="BA306" s="0" t="s">
        <v>130</v>
      </c>
      <c r="BB306" s="0" t="s">
        <v>130</v>
      </c>
      <c r="BC306" s="0" t="s">
        <v>130</v>
      </c>
      <c r="BD306" s="0" t="s">
        <v>130</v>
      </c>
      <c r="BE306" s="0" t="s">
        <v>130</v>
      </c>
      <c r="BF306" s="0" t="s">
        <v>130</v>
      </c>
      <c r="BG306" s="0" t="s">
        <v>130</v>
      </c>
      <c r="BH306" s="0" t="s">
        <v>130</v>
      </c>
      <c r="BI306" s="0" t="s">
        <v>130</v>
      </c>
      <c r="BJ306" s="0" t="s">
        <v>130</v>
      </c>
      <c r="BK306" s="0" t="s">
        <v>130</v>
      </c>
      <c r="BL306" s="0" t="s">
        <v>130</v>
      </c>
      <c r="BM306" s="0" t="s">
        <v>130</v>
      </c>
      <c r="BN306" s="0" t="s">
        <v>130</v>
      </c>
      <c r="BO306" s="0" t="s">
        <v>130</v>
      </c>
      <c r="BP306" s="0" t="s">
        <v>130</v>
      </c>
      <c r="BQ306" s="0" t="s">
        <v>130</v>
      </c>
      <c r="BR306" s="0" t="s">
        <v>130</v>
      </c>
      <c r="BS306" s="0" t="s">
        <v>130</v>
      </c>
      <c r="BT306" s="0" t="s">
        <v>130</v>
      </c>
      <c r="BU306" s="0" t="s">
        <v>130</v>
      </c>
      <c r="BV306" s="0" t="s">
        <v>130</v>
      </c>
      <c r="BW306" s="0" t="s">
        <v>130</v>
      </c>
      <c r="BX306" s="0" t="s">
        <v>130</v>
      </c>
      <c r="BY306" s="0" t="s">
        <v>130</v>
      </c>
      <c r="BZ306" s="0" t="s">
        <v>130</v>
      </c>
      <c r="CA306" s="0" t="s">
        <v>130</v>
      </c>
      <c r="CB306" s="0" t="s">
        <v>130</v>
      </c>
      <c r="CC306" s="0" t="s">
        <v>130</v>
      </c>
      <c r="CD306" s="0" t="s">
        <v>130</v>
      </c>
      <c r="CE306" s="0" t="s">
        <v>130</v>
      </c>
      <c r="CF306" s="0" t="s">
        <v>130</v>
      </c>
      <c r="CG306" s="0" t="s">
        <v>130</v>
      </c>
      <c r="CH306" s="0" t="s">
        <v>130</v>
      </c>
      <c r="CI306" s="0" t="s">
        <v>130</v>
      </c>
      <c r="CJ306" s="0" t="s">
        <v>130</v>
      </c>
      <c r="CK306" s="0" t="s">
        <v>141</v>
      </c>
      <c r="CL306" s="0" t="s">
        <v>130</v>
      </c>
      <c r="CM306" s="0" t="s">
        <v>130</v>
      </c>
      <c r="CN306" s="0" t="s">
        <v>130</v>
      </c>
      <c r="CO306" s="0" t="s">
        <v>130</v>
      </c>
      <c r="CP306" s="0" t="s">
        <v>130</v>
      </c>
      <c r="CQ306" s="0" t="s">
        <v>130</v>
      </c>
      <c r="CR306" s="0" t="s">
        <v>130</v>
      </c>
      <c r="CS306" s="0" t="s">
        <v>130</v>
      </c>
      <c r="CT306" s="0" t="s">
        <v>1154</v>
      </c>
    </row>
    <row r="307">
      <c r="A307" s="14">
        <v>101001</v>
      </c>
      <c r="B307" s="0" t="s">
        <v>1142</v>
      </c>
      <c r="C307" s="16">
        <f>HYPERLINK("https://eosportal.federatedhermes.com/companies/Q29tcGFueQppNjQzOTA=", "3M Co")</f>
      </c>
      <c r="D307" s="0" t="s">
        <v>25</v>
      </c>
      <c r="E307" s="0" t="s">
        <v>1155</v>
      </c>
      <c r="F307" s="16">
        <f>HYPERLINK("https://eosportal.federatedhermes.com/engagements/RW5nYWdlbWVudAppMTk4ODM=", "Plastics strategy")</f>
      </c>
      <c r="G307" s="14" t="s">
        <v>1156</v>
      </c>
      <c r="H307" s="0" t="s">
        <v>141</v>
      </c>
      <c r="I307" s="14" t="s">
        <v>191</v>
      </c>
      <c r="J307" s="0" t="s">
        <v>197</v>
      </c>
      <c r="K307" s="0" t="s">
        <v>348</v>
      </c>
      <c r="L307" s="0" t="s">
        <v>349</v>
      </c>
      <c r="M307" s="0" t="s">
        <v>135</v>
      </c>
      <c r="N307" s="0" t="s">
        <v>136</v>
      </c>
      <c r="O307" s="0" t="s">
        <v>176</v>
      </c>
      <c r="Q307" s="0" t="s">
        <v>130</v>
      </c>
      <c r="R307" s="0" t="s">
        <v>138</v>
      </c>
      <c r="S307" s="14">
        <v>0</v>
      </c>
      <c r="T307" s="0" t="s">
        <v>288</v>
      </c>
      <c r="U307" s="0" t="s">
        <v>138</v>
      </c>
      <c r="V307" s="14" t="s">
        <v>138</v>
      </c>
      <c r="W307" s="0" t="s">
        <v>138</v>
      </c>
      <c r="X307" s="14" t="s">
        <v>138</v>
      </c>
      <c r="Y307" s="0" t="s">
        <v>138</v>
      </c>
      <c r="Z307" s="14" t="s">
        <v>138</v>
      </c>
      <c r="AA307" s="0" t="s">
        <v>138</v>
      </c>
      <c r="AB307" s="14" t="s">
        <v>138</v>
      </c>
      <c r="AD307" s="0" t="s">
        <v>138</v>
      </c>
      <c r="AF307" s="0">
        <v>0</v>
      </c>
      <c r="AG307" s="0">
        <v>0</v>
      </c>
      <c r="AH307" s="0" t="s">
        <v>140</v>
      </c>
      <c r="AI307" s="0" t="s">
        <v>138</v>
      </c>
      <c r="AL307" s="14"/>
      <c r="AN307" s="14"/>
      <c r="AQ307" s="0" t="s">
        <v>130</v>
      </c>
      <c r="AR307" s="0" t="s">
        <v>130</v>
      </c>
      <c r="AS307" s="0" t="s">
        <v>130</v>
      </c>
      <c r="AT307" s="0" t="s">
        <v>130</v>
      </c>
      <c r="AU307" s="0" t="s">
        <v>130</v>
      </c>
      <c r="AV307" s="0" t="s">
        <v>130</v>
      </c>
      <c r="AW307" s="0" t="s">
        <v>130</v>
      </c>
      <c r="AX307" s="0" t="s">
        <v>130</v>
      </c>
      <c r="AY307" s="0" t="s">
        <v>130</v>
      </c>
      <c r="AZ307" s="0" t="s">
        <v>130</v>
      </c>
      <c r="BA307" s="0" t="s">
        <v>130</v>
      </c>
      <c r="BB307" s="0" t="s">
        <v>141</v>
      </c>
      <c r="BC307" s="0" t="s">
        <v>130</v>
      </c>
      <c r="BD307" s="0" t="s">
        <v>130</v>
      </c>
      <c r="BE307" s="0" t="s">
        <v>130</v>
      </c>
      <c r="BF307" s="0" t="s">
        <v>130</v>
      </c>
      <c r="BG307" s="0" t="s">
        <v>130</v>
      </c>
      <c r="BH307" s="0" t="s">
        <v>130</v>
      </c>
      <c r="BI307" s="0" t="s">
        <v>130</v>
      </c>
      <c r="BJ307" s="0" t="s">
        <v>130</v>
      </c>
      <c r="BK307" s="0" t="s">
        <v>130</v>
      </c>
      <c r="BL307" s="0" t="s">
        <v>130</v>
      </c>
      <c r="BM307" s="0" t="s">
        <v>130</v>
      </c>
      <c r="BN307" s="0" t="s">
        <v>130</v>
      </c>
      <c r="BO307" s="0" t="s">
        <v>130</v>
      </c>
      <c r="BP307" s="0" t="s">
        <v>130</v>
      </c>
      <c r="BQ307" s="0" t="s">
        <v>130</v>
      </c>
      <c r="BR307" s="0" t="s">
        <v>130</v>
      </c>
      <c r="BS307" s="0" t="s">
        <v>130</v>
      </c>
      <c r="BT307" s="0" t="s">
        <v>130</v>
      </c>
      <c r="BU307" s="0" t="s">
        <v>130</v>
      </c>
      <c r="BV307" s="0" t="s">
        <v>130</v>
      </c>
      <c r="BW307" s="0" t="s">
        <v>130</v>
      </c>
      <c r="BX307" s="0" t="s">
        <v>130</v>
      </c>
      <c r="BY307" s="0" t="s">
        <v>130</v>
      </c>
      <c r="BZ307" s="0" t="s">
        <v>130</v>
      </c>
      <c r="CA307" s="0" t="s">
        <v>130</v>
      </c>
      <c r="CB307" s="0" t="s">
        <v>130</v>
      </c>
      <c r="CC307" s="0" t="s">
        <v>130</v>
      </c>
      <c r="CD307" s="0" t="s">
        <v>141</v>
      </c>
      <c r="CE307" s="0" t="s">
        <v>130</v>
      </c>
      <c r="CF307" s="0" t="s">
        <v>130</v>
      </c>
      <c r="CG307" s="0" t="s">
        <v>130</v>
      </c>
      <c r="CH307" s="0" t="s">
        <v>130</v>
      </c>
      <c r="CI307" s="0" t="s">
        <v>130</v>
      </c>
      <c r="CJ307" s="0" t="s">
        <v>130</v>
      </c>
      <c r="CK307" s="0" t="s">
        <v>130</v>
      </c>
      <c r="CL307" s="0" t="s">
        <v>130</v>
      </c>
      <c r="CM307" s="0" t="s">
        <v>130</v>
      </c>
      <c r="CN307" s="0" t="s">
        <v>130</v>
      </c>
      <c r="CO307" s="0" t="s">
        <v>130</v>
      </c>
      <c r="CP307" s="0" t="s">
        <v>130</v>
      </c>
      <c r="CQ307" s="0" t="s">
        <v>130</v>
      </c>
      <c r="CR307" s="0" t="s">
        <v>130</v>
      </c>
      <c r="CS307" s="0" t="s">
        <v>130</v>
      </c>
      <c r="CT307" s="0" t="s">
        <v>1157</v>
      </c>
    </row>
    <row r="308">
      <c r="A308" s="14">
        <v>101001</v>
      </c>
      <c r="B308" s="0" t="s">
        <v>1142</v>
      </c>
      <c r="C308" s="16">
        <f>HYPERLINK("https://eosportal.federatedhermes.com/companies/Q29tcGFueQppNjQzOTA=", "3M Co")</f>
      </c>
      <c r="D308" s="0" t="s">
        <v>23</v>
      </c>
      <c r="E308" s="0" t="s">
        <v>1158</v>
      </c>
      <c r="F308" s="16">
        <f>HYPERLINK("https://eosportal.federatedhermes.com/engagements/RW5nYWdlbWVudAppMTk4ODY=", "Enhanced disclosure towards eliminating, recycling and reusing plastic")</f>
      </c>
      <c r="G308" s="14" t="s">
        <v>1159</v>
      </c>
      <c r="H308" s="0" t="s">
        <v>141</v>
      </c>
      <c r="I308" s="14" t="s">
        <v>191</v>
      </c>
      <c r="J308" s="0" t="s">
        <v>197</v>
      </c>
      <c r="K308" s="0" t="s">
        <v>348</v>
      </c>
      <c r="L308" s="0" t="s">
        <v>349</v>
      </c>
      <c r="M308" s="0" t="s">
        <v>135</v>
      </c>
      <c r="N308" s="0" t="s">
        <v>136</v>
      </c>
      <c r="O308" s="0" t="s">
        <v>176</v>
      </c>
      <c r="Q308" s="0" t="s">
        <v>130</v>
      </c>
      <c r="R308" s="0" t="s">
        <v>130</v>
      </c>
      <c r="S308" s="14">
        <v>0</v>
      </c>
      <c r="T308" s="0" t="s">
        <v>206</v>
      </c>
      <c r="U308" s="0" t="s">
        <v>221</v>
      </c>
      <c r="V308" s="14" t="s">
        <v>206</v>
      </c>
      <c r="W308" s="0" t="s">
        <v>221</v>
      </c>
      <c r="X308" s="14" t="s">
        <v>206</v>
      </c>
      <c r="Y308" s="0" t="s">
        <v>221</v>
      </c>
      <c r="Z308" s="14" t="s">
        <v>597</v>
      </c>
      <c r="AA308" s="0" t="s">
        <v>223</v>
      </c>
      <c r="AB308" s="14" t="s">
        <v>138</v>
      </c>
      <c r="AD308" s="0" t="s">
        <v>20</v>
      </c>
      <c r="AF308" s="0">
        <v>0</v>
      </c>
      <c r="AG308" s="0">
        <v>0</v>
      </c>
      <c r="AH308" s="0" t="s">
        <v>140</v>
      </c>
      <c r="AI308" s="0" t="s">
        <v>232</v>
      </c>
      <c r="AL308" s="14"/>
      <c r="AN308" s="14"/>
      <c r="AQ308" s="0" t="s">
        <v>130</v>
      </c>
      <c r="AR308" s="0" t="s">
        <v>130</v>
      </c>
      <c r="AS308" s="0" t="s">
        <v>130</v>
      </c>
      <c r="AT308" s="0" t="s">
        <v>130</v>
      </c>
      <c r="AU308" s="0" t="s">
        <v>130</v>
      </c>
      <c r="AV308" s="0" t="s">
        <v>130</v>
      </c>
      <c r="AW308" s="0" t="s">
        <v>130</v>
      </c>
      <c r="AX308" s="0" t="s">
        <v>130</v>
      </c>
      <c r="AY308" s="0" t="s">
        <v>130</v>
      </c>
      <c r="AZ308" s="0" t="s">
        <v>130</v>
      </c>
      <c r="BA308" s="0" t="s">
        <v>130</v>
      </c>
      <c r="BB308" s="0" t="s">
        <v>141</v>
      </c>
      <c r="BC308" s="0" t="s">
        <v>130</v>
      </c>
      <c r="BD308" s="0" t="s">
        <v>130</v>
      </c>
      <c r="BE308" s="0" t="s">
        <v>130</v>
      </c>
      <c r="BF308" s="0" t="s">
        <v>130</v>
      </c>
      <c r="BG308" s="0" t="s">
        <v>130</v>
      </c>
      <c r="BH308" s="0" t="s">
        <v>130</v>
      </c>
      <c r="BI308" s="0" t="s">
        <v>130</v>
      </c>
      <c r="BJ308" s="0" t="s">
        <v>130</v>
      </c>
      <c r="BK308" s="0" t="s">
        <v>130</v>
      </c>
      <c r="BL308" s="0" t="s">
        <v>130</v>
      </c>
      <c r="BM308" s="0" t="s">
        <v>130</v>
      </c>
      <c r="BN308" s="0" t="s">
        <v>130</v>
      </c>
      <c r="BO308" s="0" t="s">
        <v>130</v>
      </c>
      <c r="BP308" s="0" t="s">
        <v>130</v>
      </c>
      <c r="BQ308" s="0" t="s">
        <v>130</v>
      </c>
      <c r="BR308" s="0" t="s">
        <v>130</v>
      </c>
      <c r="BS308" s="0" t="s">
        <v>130</v>
      </c>
      <c r="BT308" s="0" t="s">
        <v>130</v>
      </c>
      <c r="BU308" s="0" t="s">
        <v>130</v>
      </c>
      <c r="BV308" s="0" t="s">
        <v>130</v>
      </c>
      <c r="BW308" s="0" t="s">
        <v>130</v>
      </c>
      <c r="BX308" s="0" t="s">
        <v>130</v>
      </c>
      <c r="BY308" s="0" t="s">
        <v>130</v>
      </c>
      <c r="BZ308" s="0" t="s">
        <v>130</v>
      </c>
      <c r="CA308" s="0" t="s">
        <v>130</v>
      </c>
      <c r="CB308" s="0" t="s">
        <v>130</v>
      </c>
      <c r="CC308" s="0" t="s">
        <v>130</v>
      </c>
      <c r="CD308" s="0" t="s">
        <v>141</v>
      </c>
      <c r="CE308" s="0" t="s">
        <v>130</v>
      </c>
      <c r="CF308" s="0" t="s">
        <v>130</v>
      </c>
      <c r="CG308" s="0" t="s">
        <v>130</v>
      </c>
      <c r="CH308" s="0" t="s">
        <v>130</v>
      </c>
      <c r="CI308" s="0" t="s">
        <v>130</v>
      </c>
      <c r="CJ308" s="0" t="s">
        <v>130</v>
      </c>
      <c r="CK308" s="0" t="s">
        <v>130</v>
      </c>
      <c r="CL308" s="0" t="s">
        <v>130</v>
      </c>
      <c r="CM308" s="0" t="s">
        <v>130</v>
      </c>
      <c r="CN308" s="0" t="s">
        <v>130</v>
      </c>
      <c r="CO308" s="0" t="s">
        <v>130</v>
      </c>
      <c r="CP308" s="0" t="s">
        <v>130</v>
      </c>
      <c r="CQ308" s="0" t="s">
        <v>130</v>
      </c>
      <c r="CR308" s="0" t="s">
        <v>130</v>
      </c>
      <c r="CS308" s="0" t="s">
        <v>130</v>
      </c>
      <c r="CT308" s="0" t="s">
        <v>1160</v>
      </c>
    </row>
    <row r="309">
      <c r="A309" s="14">
        <v>101001</v>
      </c>
      <c r="B309" s="0" t="s">
        <v>1142</v>
      </c>
      <c r="C309" s="16">
        <f>HYPERLINK("https://eosportal.federatedhermes.com/companies/Q29tcGFueQppNjQzOTA=", "3M Co")</f>
      </c>
      <c r="D309" s="0" t="s">
        <v>23</v>
      </c>
      <c r="E309" s="0" t="s">
        <v>1161</v>
      </c>
      <c r="F309" s="16">
        <f>HYPERLINK("https://eosportal.federatedhermes.com/engagements/RW5nYWdlbWVudAppMTk4ODk=", "Progress towards eliminating dependence on virgin fossil fuel plastics")</f>
      </c>
      <c r="G309" s="14" t="s">
        <v>1162</v>
      </c>
      <c r="H309" s="0" t="s">
        <v>141</v>
      </c>
      <c r="I309" s="14" t="s">
        <v>191</v>
      </c>
      <c r="J309" s="0" t="s">
        <v>197</v>
      </c>
      <c r="K309" s="0" t="s">
        <v>348</v>
      </c>
      <c r="L309" s="0" t="s">
        <v>349</v>
      </c>
      <c r="M309" s="0" t="s">
        <v>135</v>
      </c>
      <c r="N309" s="0" t="s">
        <v>136</v>
      </c>
      <c r="O309" s="0" t="s">
        <v>176</v>
      </c>
      <c r="Q309" s="0" t="s">
        <v>130</v>
      </c>
      <c r="R309" s="0" t="s">
        <v>130</v>
      </c>
      <c r="S309" s="14">
        <v>0</v>
      </c>
      <c r="T309" s="0" t="s">
        <v>206</v>
      </c>
      <c r="U309" s="0" t="s">
        <v>221</v>
      </c>
      <c r="V309" s="14" t="s">
        <v>206</v>
      </c>
      <c r="W309" s="0" t="s">
        <v>221</v>
      </c>
      <c r="X309" s="14" t="s">
        <v>355</v>
      </c>
      <c r="Y309" s="0" t="s">
        <v>221</v>
      </c>
      <c r="Z309" s="14" t="s">
        <v>478</v>
      </c>
      <c r="AA309" s="0" t="s">
        <v>223</v>
      </c>
      <c r="AB309" s="14" t="s">
        <v>138</v>
      </c>
      <c r="AD309" s="0" t="s">
        <v>20</v>
      </c>
      <c r="AF309" s="0">
        <v>0</v>
      </c>
      <c r="AG309" s="0">
        <v>0</v>
      </c>
      <c r="AH309" s="0" t="s">
        <v>140</v>
      </c>
      <c r="AI309" s="0" t="s">
        <v>232</v>
      </c>
      <c r="AL309" s="14"/>
      <c r="AN309" s="14"/>
      <c r="AQ309" s="0" t="s">
        <v>130</v>
      </c>
      <c r="AR309" s="0" t="s">
        <v>130</v>
      </c>
      <c r="AS309" s="0" t="s">
        <v>130</v>
      </c>
      <c r="AT309" s="0" t="s">
        <v>130</v>
      </c>
      <c r="AU309" s="0" t="s">
        <v>130</v>
      </c>
      <c r="AV309" s="0" t="s">
        <v>130</v>
      </c>
      <c r="AW309" s="0" t="s">
        <v>130</v>
      </c>
      <c r="AX309" s="0" t="s">
        <v>130</v>
      </c>
      <c r="AY309" s="0" t="s">
        <v>130</v>
      </c>
      <c r="AZ309" s="0" t="s">
        <v>130</v>
      </c>
      <c r="BA309" s="0" t="s">
        <v>130</v>
      </c>
      <c r="BB309" s="0" t="s">
        <v>141</v>
      </c>
      <c r="BC309" s="0" t="s">
        <v>130</v>
      </c>
      <c r="BD309" s="0" t="s">
        <v>130</v>
      </c>
      <c r="BE309" s="0" t="s">
        <v>130</v>
      </c>
      <c r="BF309" s="0" t="s">
        <v>130</v>
      </c>
      <c r="BG309" s="0" t="s">
        <v>130</v>
      </c>
      <c r="BH309" s="0" t="s">
        <v>130</v>
      </c>
      <c r="BI309" s="0" t="s">
        <v>130</v>
      </c>
      <c r="BJ309" s="0" t="s">
        <v>130</v>
      </c>
      <c r="BK309" s="0" t="s">
        <v>130</v>
      </c>
      <c r="BL309" s="0" t="s">
        <v>130</v>
      </c>
      <c r="BM309" s="0" t="s">
        <v>130</v>
      </c>
      <c r="BN309" s="0" t="s">
        <v>130</v>
      </c>
      <c r="BO309" s="0" t="s">
        <v>130</v>
      </c>
      <c r="BP309" s="0" t="s">
        <v>130</v>
      </c>
      <c r="BQ309" s="0" t="s">
        <v>130</v>
      </c>
      <c r="BR309" s="0" t="s">
        <v>130</v>
      </c>
      <c r="BS309" s="0" t="s">
        <v>130</v>
      </c>
      <c r="BT309" s="0" t="s">
        <v>130</v>
      </c>
      <c r="BU309" s="0" t="s">
        <v>130</v>
      </c>
      <c r="BV309" s="0" t="s">
        <v>130</v>
      </c>
      <c r="BW309" s="0" t="s">
        <v>130</v>
      </c>
      <c r="BX309" s="0" t="s">
        <v>130</v>
      </c>
      <c r="BY309" s="0" t="s">
        <v>130</v>
      </c>
      <c r="BZ309" s="0" t="s">
        <v>130</v>
      </c>
      <c r="CA309" s="0" t="s">
        <v>130</v>
      </c>
      <c r="CB309" s="0" t="s">
        <v>130</v>
      </c>
      <c r="CC309" s="0" t="s">
        <v>130</v>
      </c>
      <c r="CD309" s="0" t="s">
        <v>141</v>
      </c>
      <c r="CE309" s="0" t="s">
        <v>130</v>
      </c>
      <c r="CF309" s="0" t="s">
        <v>130</v>
      </c>
      <c r="CG309" s="0" t="s">
        <v>130</v>
      </c>
      <c r="CH309" s="0" t="s">
        <v>130</v>
      </c>
      <c r="CI309" s="0" t="s">
        <v>130</v>
      </c>
      <c r="CJ309" s="0" t="s">
        <v>130</v>
      </c>
      <c r="CK309" s="0" t="s">
        <v>130</v>
      </c>
      <c r="CL309" s="0" t="s">
        <v>130</v>
      </c>
      <c r="CM309" s="0" t="s">
        <v>130</v>
      </c>
      <c r="CN309" s="0" t="s">
        <v>130</v>
      </c>
      <c r="CO309" s="0" t="s">
        <v>130</v>
      </c>
      <c r="CP309" s="0" t="s">
        <v>130</v>
      </c>
      <c r="CQ309" s="0" t="s">
        <v>130</v>
      </c>
      <c r="CR309" s="0" t="s">
        <v>130</v>
      </c>
      <c r="CS309" s="0" t="s">
        <v>130</v>
      </c>
      <c r="CT309" s="0" t="s">
        <v>1163</v>
      </c>
    </row>
    <row r="310">
      <c r="A310" s="14">
        <v>101034</v>
      </c>
      <c r="B310" s="0" t="s">
        <v>1164</v>
      </c>
      <c r="C310" s="16">
        <f>HYPERLINK("https://eosportal.federatedhermes.com/companies/Q29tcGFueQppNTg5NTM=", "National Australia Bank Ltd")</f>
      </c>
      <c r="D310" s="0" t="s">
        <v>25</v>
      </c>
      <c r="E310" s="0" t="s">
        <v>1165</v>
      </c>
      <c r="F310" s="16">
        <f>HYPERLINK("https://eosportal.federatedhermes.com/engagements/RW5nYWdlbWVudAppMTk5Nzc=", "ACSI engagement activity on Climate Change - Scenario Analysis and Industry Asso")</f>
      </c>
      <c r="G310" s="14" t="s">
        <v>1166</v>
      </c>
      <c r="H310" s="0" t="s">
        <v>141</v>
      </c>
      <c r="I310" s="14" t="s">
        <v>131</v>
      </c>
      <c r="J310" s="0" t="s">
        <v>197</v>
      </c>
      <c r="K310" s="0" t="s">
        <v>198</v>
      </c>
      <c r="L310" s="0" t="s">
        <v>199</v>
      </c>
      <c r="M310" s="0" t="s">
        <v>371</v>
      </c>
      <c r="N310" s="0" t="s">
        <v>372</v>
      </c>
      <c r="O310" s="0" t="s">
        <v>238</v>
      </c>
      <c r="Q310" s="0" t="s">
        <v>130</v>
      </c>
      <c r="R310" s="0" t="s">
        <v>138</v>
      </c>
      <c r="S310" s="14">
        <v>0</v>
      </c>
      <c r="T310" s="0" t="s">
        <v>355</v>
      </c>
      <c r="U310" s="0" t="s">
        <v>138</v>
      </c>
      <c r="V310" s="14" t="s">
        <v>138</v>
      </c>
      <c r="W310" s="0" t="s">
        <v>138</v>
      </c>
      <c r="X310" s="14" t="s">
        <v>138</v>
      </c>
      <c r="Y310" s="0" t="s">
        <v>138</v>
      </c>
      <c r="Z310" s="14" t="s">
        <v>138</v>
      </c>
      <c r="AA310" s="0" t="s">
        <v>138</v>
      </c>
      <c r="AB310" s="14" t="s">
        <v>138</v>
      </c>
      <c r="AD310" s="0" t="s">
        <v>138</v>
      </c>
      <c r="AF310" s="0">
        <v>0</v>
      </c>
      <c r="AG310" s="0">
        <v>0</v>
      </c>
      <c r="AH310" s="0" t="s">
        <v>140</v>
      </c>
      <c r="AI310" s="0" t="s">
        <v>138</v>
      </c>
      <c r="AL310" s="14"/>
      <c r="AN310" s="14"/>
      <c r="AQ310" s="0" t="s">
        <v>130</v>
      </c>
      <c r="AR310" s="0" t="s">
        <v>130</v>
      </c>
      <c r="AS310" s="0" t="s">
        <v>130</v>
      </c>
      <c r="AT310" s="0" t="s">
        <v>130</v>
      </c>
      <c r="AU310" s="0" t="s">
        <v>130</v>
      </c>
      <c r="AV310" s="0" t="s">
        <v>130</v>
      </c>
      <c r="AW310" s="0" t="s">
        <v>130</v>
      </c>
      <c r="AX310" s="0" t="s">
        <v>130</v>
      </c>
      <c r="AY310" s="0" t="s">
        <v>130</v>
      </c>
      <c r="AZ310" s="0" t="s">
        <v>130</v>
      </c>
      <c r="BA310" s="0" t="s">
        <v>130</v>
      </c>
      <c r="BB310" s="0" t="s">
        <v>130</v>
      </c>
      <c r="BC310" s="0" t="s">
        <v>141</v>
      </c>
      <c r="BD310" s="0" t="s">
        <v>130</v>
      </c>
      <c r="BE310" s="0" t="s">
        <v>130</v>
      </c>
      <c r="BF310" s="0" t="s">
        <v>130</v>
      </c>
      <c r="BG310" s="0" t="s">
        <v>130</v>
      </c>
      <c r="BH310" s="0" t="s">
        <v>130</v>
      </c>
      <c r="BI310" s="0" t="s">
        <v>130</v>
      </c>
      <c r="BJ310" s="0" t="s">
        <v>130</v>
      </c>
      <c r="BK310" s="0" t="s">
        <v>130</v>
      </c>
      <c r="BL310" s="0" t="s">
        <v>130</v>
      </c>
      <c r="BM310" s="0" t="s">
        <v>130</v>
      </c>
      <c r="BN310" s="0" t="s">
        <v>130</v>
      </c>
      <c r="BO310" s="0" t="s">
        <v>130</v>
      </c>
      <c r="BP310" s="0" t="s">
        <v>130</v>
      </c>
      <c r="BQ310" s="0" t="s">
        <v>130</v>
      </c>
      <c r="BR310" s="0" t="s">
        <v>130</v>
      </c>
      <c r="BS310" s="0" t="s">
        <v>130</v>
      </c>
      <c r="BT310" s="0" t="s">
        <v>130</v>
      </c>
      <c r="BU310" s="0" t="s">
        <v>130</v>
      </c>
      <c r="BV310" s="0" t="s">
        <v>130</v>
      </c>
      <c r="BW310" s="0" t="s">
        <v>130</v>
      </c>
      <c r="BX310" s="0" t="s">
        <v>130</v>
      </c>
      <c r="BY310" s="0" t="s">
        <v>130</v>
      </c>
      <c r="BZ310" s="0" t="s">
        <v>130</v>
      </c>
      <c r="CA310" s="0" t="s">
        <v>130</v>
      </c>
      <c r="CB310" s="0" t="s">
        <v>130</v>
      </c>
      <c r="CC310" s="0" t="s">
        <v>130</v>
      </c>
      <c r="CD310" s="0" t="s">
        <v>130</v>
      </c>
      <c r="CE310" s="0" t="s">
        <v>130</v>
      </c>
      <c r="CF310" s="0" t="s">
        <v>130</v>
      </c>
      <c r="CG310" s="0" t="s">
        <v>130</v>
      </c>
      <c r="CH310" s="0" t="s">
        <v>130</v>
      </c>
      <c r="CI310" s="0" t="s">
        <v>130</v>
      </c>
      <c r="CJ310" s="0" t="s">
        <v>130</v>
      </c>
      <c r="CK310" s="0" t="s">
        <v>130</v>
      </c>
      <c r="CL310" s="0" t="s">
        <v>130</v>
      </c>
      <c r="CM310" s="0" t="s">
        <v>130</v>
      </c>
      <c r="CN310" s="0" t="s">
        <v>130</v>
      </c>
      <c r="CO310" s="0" t="s">
        <v>130</v>
      </c>
      <c r="CP310" s="0" t="s">
        <v>130</v>
      </c>
      <c r="CQ310" s="0" t="s">
        <v>130</v>
      </c>
      <c r="CR310" s="0" t="s">
        <v>130</v>
      </c>
      <c r="CS310" s="0" t="s">
        <v>130</v>
      </c>
      <c r="CT310" s="0" t="s">
        <v>1167</v>
      </c>
    </row>
    <row r="311">
      <c r="A311" s="14">
        <v>101034</v>
      </c>
      <c r="B311" s="0" t="s">
        <v>1164</v>
      </c>
      <c r="C311" s="16">
        <f>HYPERLINK("https://eosportal.federatedhermes.com/companies/Q29tcGFueQppNTg5NTM=", "National Australia Bank Ltd")</f>
      </c>
      <c r="D311" s="0" t="s">
        <v>25</v>
      </c>
      <c r="E311" s="0" t="s">
        <v>907</v>
      </c>
      <c r="F311" s="16">
        <f>HYPERLINK("https://eosportal.federatedhermes.com/engagements/RW5nYWdlbWVudAppMTk5Nzg=", "Climate change")</f>
      </c>
      <c r="G311" s="14" t="s">
        <v>1168</v>
      </c>
      <c r="H311" s="0" t="s">
        <v>141</v>
      </c>
      <c r="I311" s="14" t="s">
        <v>131</v>
      </c>
      <c r="J311" s="0" t="s">
        <v>197</v>
      </c>
      <c r="K311" s="0" t="s">
        <v>198</v>
      </c>
      <c r="L311" s="0" t="s">
        <v>199</v>
      </c>
      <c r="M311" s="0" t="s">
        <v>371</v>
      </c>
      <c r="N311" s="0" t="s">
        <v>372</v>
      </c>
      <c r="O311" s="0" t="s">
        <v>238</v>
      </c>
      <c r="Q311" s="0" t="s">
        <v>130</v>
      </c>
      <c r="R311" s="0" t="s">
        <v>138</v>
      </c>
      <c r="S311" s="14">
        <v>0</v>
      </c>
      <c r="T311" s="0" t="s">
        <v>387</v>
      </c>
      <c r="U311" s="0" t="s">
        <v>138</v>
      </c>
      <c r="V311" s="14" t="s">
        <v>138</v>
      </c>
      <c r="W311" s="0" t="s">
        <v>138</v>
      </c>
      <c r="X311" s="14" t="s">
        <v>138</v>
      </c>
      <c r="Y311" s="0" t="s">
        <v>138</v>
      </c>
      <c r="Z311" s="14" t="s">
        <v>138</v>
      </c>
      <c r="AA311" s="0" t="s">
        <v>138</v>
      </c>
      <c r="AB311" s="14" t="s">
        <v>138</v>
      </c>
      <c r="AD311" s="0" t="s">
        <v>138</v>
      </c>
      <c r="AF311" s="0">
        <v>0</v>
      </c>
      <c r="AG311" s="0">
        <v>0</v>
      </c>
      <c r="AH311" s="0" t="s">
        <v>140</v>
      </c>
      <c r="AI311" s="0" t="s">
        <v>138</v>
      </c>
      <c r="AL311" s="14"/>
      <c r="AN311" s="14"/>
      <c r="AQ311" s="0" t="s">
        <v>130</v>
      </c>
      <c r="AR311" s="0" t="s">
        <v>130</v>
      </c>
      <c r="AS311" s="0" t="s">
        <v>130</v>
      </c>
      <c r="AT311" s="0" t="s">
        <v>130</v>
      </c>
      <c r="AU311" s="0" t="s">
        <v>130</v>
      </c>
      <c r="AV311" s="0" t="s">
        <v>130</v>
      </c>
      <c r="AW311" s="0" t="s">
        <v>130</v>
      </c>
      <c r="AX311" s="0" t="s">
        <v>130</v>
      </c>
      <c r="AY311" s="0" t="s">
        <v>130</v>
      </c>
      <c r="AZ311" s="0" t="s">
        <v>130</v>
      </c>
      <c r="BA311" s="0" t="s">
        <v>130</v>
      </c>
      <c r="BB311" s="0" t="s">
        <v>141</v>
      </c>
      <c r="BC311" s="0" t="s">
        <v>130</v>
      </c>
      <c r="BD311" s="0" t="s">
        <v>130</v>
      </c>
      <c r="BE311" s="0" t="s">
        <v>130</v>
      </c>
      <c r="BF311" s="0" t="s">
        <v>130</v>
      </c>
      <c r="BG311" s="0" t="s">
        <v>130</v>
      </c>
      <c r="BH311" s="0" t="s">
        <v>130</v>
      </c>
      <c r="BI311" s="0" t="s">
        <v>130</v>
      </c>
      <c r="BJ311" s="0" t="s">
        <v>130</v>
      </c>
      <c r="BK311" s="0" t="s">
        <v>130</v>
      </c>
      <c r="BL311" s="0" t="s">
        <v>130</v>
      </c>
      <c r="BM311" s="0" t="s">
        <v>130</v>
      </c>
      <c r="BN311" s="0" t="s">
        <v>130</v>
      </c>
      <c r="BO311" s="0" t="s">
        <v>130</v>
      </c>
      <c r="BP311" s="0" t="s">
        <v>130</v>
      </c>
      <c r="BQ311" s="0" t="s">
        <v>130</v>
      </c>
      <c r="BR311" s="0" t="s">
        <v>130</v>
      </c>
      <c r="BS311" s="0" t="s">
        <v>130</v>
      </c>
      <c r="BT311" s="0" t="s">
        <v>130</v>
      </c>
      <c r="BU311" s="0" t="s">
        <v>130</v>
      </c>
      <c r="BV311" s="0" t="s">
        <v>130</v>
      </c>
      <c r="BW311" s="0" t="s">
        <v>130</v>
      </c>
      <c r="BX311" s="0" t="s">
        <v>130</v>
      </c>
      <c r="BY311" s="0" t="s">
        <v>130</v>
      </c>
      <c r="BZ311" s="0" t="s">
        <v>130</v>
      </c>
      <c r="CA311" s="0" t="s">
        <v>130</v>
      </c>
      <c r="CB311" s="0" t="s">
        <v>130</v>
      </c>
      <c r="CC311" s="0" t="s">
        <v>130</v>
      </c>
      <c r="CD311" s="0" t="s">
        <v>130</v>
      </c>
      <c r="CE311" s="0" t="s">
        <v>130</v>
      </c>
      <c r="CF311" s="0" t="s">
        <v>130</v>
      </c>
      <c r="CG311" s="0" t="s">
        <v>130</v>
      </c>
      <c r="CH311" s="0" t="s">
        <v>130</v>
      </c>
      <c r="CI311" s="0" t="s">
        <v>130</v>
      </c>
      <c r="CJ311" s="0" t="s">
        <v>130</v>
      </c>
      <c r="CK311" s="0" t="s">
        <v>130</v>
      </c>
      <c r="CL311" s="0" t="s">
        <v>130</v>
      </c>
      <c r="CM311" s="0" t="s">
        <v>130</v>
      </c>
      <c r="CN311" s="0" t="s">
        <v>130</v>
      </c>
      <c r="CO311" s="0" t="s">
        <v>130</v>
      </c>
      <c r="CP311" s="0" t="s">
        <v>130</v>
      </c>
      <c r="CQ311" s="0" t="s">
        <v>130</v>
      </c>
      <c r="CR311" s="0" t="s">
        <v>130</v>
      </c>
      <c r="CS311" s="0" t="s">
        <v>130</v>
      </c>
      <c r="CT311" s="0" t="s">
        <v>1169</v>
      </c>
    </row>
    <row r="312">
      <c r="A312" s="14">
        <v>101034</v>
      </c>
      <c r="B312" s="0" t="s">
        <v>1164</v>
      </c>
      <c r="C312" s="16">
        <f>HYPERLINK("https://eosportal.federatedhermes.com/companies/Q29tcGFueQppNTg5NTM=", "National Australia Bank Ltd")</f>
      </c>
      <c r="D312" s="0" t="s">
        <v>25</v>
      </c>
      <c r="E312" s="0" t="s">
        <v>1170</v>
      </c>
      <c r="F312" s="16">
        <f>HYPERLINK("https://eosportal.federatedhermes.com/engagements/RW5nYWdlbWVudAppMTk5Nzk=", "Culture change")</f>
      </c>
      <c r="G312" s="14" t="s">
        <v>1171</v>
      </c>
      <c r="H312" s="0" t="s">
        <v>141</v>
      </c>
      <c r="I312" s="14" t="s">
        <v>131</v>
      </c>
      <c r="J312" s="0" t="s">
        <v>153</v>
      </c>
      <c r="K312" s="0" t="s">
        <v>185</v>
      </c>
      <c r="L312" s="0" t="s">
        <v>186</v>
      </c>
      <c r="M312" s="0" t="s">
        <v>371</v>
      </c>
      <c r="N312" s="0" t="s">
        <v>372</v>
      </c>
      <c r="O312" s="0" t="s">
        <v>238</v>
      </c>
      <c r="Q312" s="0" t="s">
        <v>130</v>
      </c>
      <c r="R312" s="0" t="s">
        <v>138</v>
      </c>
      <c r="S312" s="14">
        <v>0</v>
      </c>
      <c r="T312" s="0" t="s">
        <v>156</v>
      </c>
      <c r="U312" s="0" t="s">
        <v>138</v>
      </c>
      <c r="V312" s="14" t="s">
        <v>138</v>
      </c>
      <c r="W312" s="0" t="s">
        <v>138</v>
      </c>
      <c r="X312" s="14" t="s">
        <v>138</v>
      </c>
      <c r="Y312" s="0" t="s">
        <v>138</v>
      </c>
      <c r="Z312" s="14" t="s">
        <v>138</v>
      </c>
      <c r="AA312" s="0" t="s">
        <v>138</v>
      </c>
      <c r="AB312" s="14" t="s">
        <v>138</v>
      </c>
      <c r="AD312" s="0" t="s">
        <v>138</v>
      </c>
      <c r="AF312" s="0">
        <v>0</v>
      </c>
      <c r="AG312" s="0">
        <v>0</v>
      </c>
      <c r="AH312" s="0" t="s">
        <v>140</v>
      </c>
      <c r="AI312" s="0" t="s">
        <v>138</v>
      </c>
      <c r="AL312" s="14"/>
      <c r="AN312" s="14"/>
      <c r="AQ312" s="0" t="s">
        <v>130</v>
      </c>
      <c r="AR312" s="0" t="s">
        <v>130</v>
      </c>
      <c r="AS312" s="0" t="s">
        <v>130</v>
      </c>
      <c r="AT312" s="0" t="s">
        <v>130</v>
      </c>
      <c r="AU312" s="0" t="s">
        <v>130</v>
      </c>
      <c r="AV312" s="0" t="s">
        <v>130</v>
      </c>
      <c r="AW312" s="0" t="s">
        <v>130</v>
      </c>
      <c r="AX312" s="0" t="s">
        <v>130</v>
      </c>
      <c r="AY312" s="0" t="s">
        <v>130</v>
      </c>
      <c r="AZ312" s="0" t="s">
        <v>130</v>
      </c>
      <c r="BA312" s="0" t="s">
        <v>130</v>
      </c>
      <c r="BB312" s="0" t="s">
        <v>130</v>
      </c>
      <c r="BC312" s="0" t="s">
        <v>130</v>
      </c>
      <c r="BD312" s="0" t="s">
        <v>130</v>
      </c>
      <c r="BE312" s="0" t="s">
        <v>130</v>
      </c>
      <c r="BF312" s="0" t="s">
        <v>130</v>
      </c>
      <c r="BG312" s="0" t="s">
        <v>130</v>
      </c>
      <c r="BH312" s="0" t="s">
        <v>130</v>
      </c>
      <c r="BI312" s="0" t="s">
        <v>130</v>
      </c>
      <c r="BJ312" s="0" t="s">
        <v>130</v>
      </c>
      <c r="BK312" s="0" t="s">
        <v>130</v>
      </c>
      <c r="BL312" s="0" t="s">
        <v>130</v>
      </c>
      <c r="BM312" s="0" t="s">
        <v>130</v>
      </c>
      <c r="BN312" s="0" t="s">
        <v>130</v>
      </c>
      <c r="BO312" s="0" t="s">
        <v>130</v>
      </c>
      <c r="BP312" s="0" t="s">
        <v>130</v>
      </c>
      <c r="BQ312" s="0" t="s">
        <v>130</v>
      </c>
      <c r="BR312" s="0" t="s">
        <v>130</v>
      </c>
      <c r="BS312" s="0" t="s">
        <v>130</v>
      </c>
      <c r="BT312" s="0" t="s">
        <v>130</v>
      </c>
      <c r="BU312" s="0" t="s">
        <v>130</v>
      </c>
      <c r="BV312" s="0" t="s">
        <v>130</v>
      </c>
      <c r="BW312" s="0" t="s">
        <v>130</v>
      </c>
      <c r="BX312" s="0" t="s">
        <v>130</v>
      </c>
      <c r="BY312" s="0" t="s">
        <v>130</v>
      </c>
      <c r="BZ312" s="0" t="s">
        <v>130</v>
      </c>
      <c r="CA312" s="0" t="s">
        <v>130</v>
      </c>
      <c r="CB312" s="0" t="s">
        <v>130</v>
      </c>
      <c r="CC312" s="0" t="s">
        <v>130</v>
      </c>
      <c r="CD312" s="0" t="s">
        <v>130</v>
      </c>
      <c r="CE312" s="0" t="s">
        <v>130</v>
      </c>
      <c r="CF312" s="0" t="s">
        <v>130</v>
      </c>
      <c r="CG312" s="0" t="s">
        <v>130</v>
      </c>
      <c r="CH312" s="0" t="s">
        <v>130</v>
      </c>
      <c r="CI312" s="0" t="s">
        <v>130</v>
      </c>
      <c r="CJ312" s="0" t="s">
        <v>130</v>
      </c>
      <c r="CK312" s="0" t="s">
        <v>130</v>
      </c>
      <c r="CL312" s="0" t="s">
        <v>130</v>
      </c>
      <c r="CM312" s="0" t="s">
        <v>130</v>
      </c>
      <c r="CN312" s="0" t="s">
        <v>130</v>
      </c>
      <c r="CO312" s="0" t="s">
        <v>130</v>
      </c>
      <c r="CP312" s="0" t="s">
        <v>130</v>
      </c>
      <c r="CQ312" s="0" t="s">
        <v>130</v>
      </c>
      <c r="CR312" s="0" t="s">
        <v>130</v>
      </c>
      <c r="CS312" s="0" t="s">
        <v>130</v>
      </c>
      <c r="CT312" s="0" t="s">
        <v>1172</v>
      </c>
    </row>
    <row r="313">
      <c r="A313" s="14">
        <v>101034</v>
      </c>
      <c r="B313" s="0" t="s">
        <v>1164</v>
      </c>
      <c r="C313" s="16">
        <f>HYPERLINK("https://eosportal.federatedhermes.com/companies/Q29tcGFueQppNTg5NTM=", "National Australia Bank Ltd")</f>
      </c>
      <c r="D313" s="0" t="s">
        <v>25</v>
      </c>
      <c r="E313" s="0" t="s">
        <v>1173</v>
      </c>
      <c r="F313" s="16">
        <f>HYPERLINK("https://eosportal.federatedhermes.com/engagements/RW5nYWdlbWVudAppMTk5ODA=", "'Fair Value' initiative")</f>
      </c>
      <c r="G313" s="14"/>
      <c r="H313" s="0" t="s">
        <v>141</v>
      </c>
      <c r="I313" s="14" t="s">
        <v>131</v>
      </c>
      <c r="J313" s="0" t="s">
        <v>153</v>
      </c>
      <c r="K313" s="0" t="s">
        <v>154</v>
      </c>
      <c r="L313" s="0" t="s">
        <v>306</v>
      </c>
      <c r="M313" s="0" t="s">
        <v>371</v>
      </c>
      <c r="N313" s="0" t="s">
        <v>372</v>
      </c>
      <c r="O313" s="0" t="s">
        <v>238</v>
      </c>
      <c r="Q313" s="0" t="s">
        <v>130</v>
      </c>
      <c r="R313" s="0" t="s">
        <v>138</v>
      </c>
      <c r="S313" s="14">
        <v>0</v>
      </c>
      <c r="T313" s="0" t="s">
        <v>293</v>
      </c>
      <c r="U313" s="0" t="s">
        <v>138</v>
      </c>
      <c r="V313" s="14" t="s">
        <v>138</v>
      </c>
      <c r="W313" s="0" t="s">
        <v>138</v>
      </c>
      <c r="X313" s="14" t="s">
        <v>138</v>
      </c>
      <c r="Y313" s="0" t="s">
        <v>138</v>
      </c>
      <c r="Z313" s="14" t="s">
        <v>138</v>
      </c>
      <c r="AA313" s="0" t="s">
        <v>138</v>
      </c>
      <c r="AB313" s="14" t="s">
        <v>138</v>
      </c>
      <c r="AD313" s="0" t="s">
        <v>138</v>
      </c>
      <c r="AF313" s="0">
        <v>0</v>
      </c>
      <c r="AG313" s="0">
        <v>0</v>
      </c>
      <c r="AH313" s="0" t="s">
        <v>140</v>
      </c>
      <c r="AI313" s="0" t="s">
        <v>138</v>
      </c>
      <c r="AL313" s="14"/>
      <c r="AN313" s="14"/>
      <c r="AQ313" s="0" t="s">
        <v>130</v>
      </c>
      <c r="AR313" s="0" t="s">
        <v>130</v>
      </c>
      <c r="AS313" s="0" t="s">
        <v>130</v>
      </c>
      <c r="AT313" s="0" t="s">
        <v>130</v>
      </c>
      <c r="AU313" s="0" t="s">
        <v>130</v>
      </c>
      <c r="AV313" s="0" t="s">
        <v>130</v>
      </c>
      <c r="AW313" s="0" t="s">
        <v>130</v>
      </c>
      <c r="AX313" s="0" t="s">
        <v>130</v>
      </c>
      <c r="AY313" s="0" t="s">
        <v>130</v>
      </c>
      <c r="AZ313" s="0" t="s">
        <v>130</v>
      </c>
      <c r="BA313" s="0" t="s">
        <v>130</v>
      </c>
      <c r="BB313" s="0" t="s">
        <v>130</v>
      </c>
      <c r="BC313" s="0" t="s">
        <v>130</v>
      </c>
      <c r="BD313" s="0" t="s">
        <v>130</v>
      </c>
      <c r="BE313" s="0" t="s">
        <v>130</v>
      </c>
      <c r="BF313" s="0" t="s">
        <v>130</v>
      </c>
      <c r="BG313" s="0" t="s">
        <v>130</v>
      </c>
      <c r="BH313" s="0" t="s">
        <v>130</v>
      </c>
      <c r="BI313" s="0" t="s">
        <v>130</v>
      </c>
      <c r="BJ313" s="0" t="s">
        <v>130</v>
      </c>
      <c r="BK313" s="0" t="s">
        <v>130</v>
      </c>
      <c r="BL313" s="0" t="s">
        <v>130</v>
      </c>
      <c r="BM313" s="0" t="s">
        <v>130</v>
      </c>
      <c r="BN313" s="0" t="s">
        <v>130</v>
      </c>
      <c r="BO313" s="0" t="s">
        <v>130</v>
      </c>
      <c r="BP313" s="0" t="s">
        <v>130</v>
      </c>
      <c r="BQ313" s="0" t="s">
        <v>130</v>
      </c>
      <c r="BR313" s="0" t="s">
        <v>130</v>
      </c>
      <c r="BS313" s="0" t="s">
        <v>130</v>
      </c>
      <c r="BT313" s="0" t="s">
        <v>130</v>
      </c>
      <c r="BU313" s="0" t="s">
        <v>130</v>
      </c>
      <c r="BV313" s="0" t="s">
        <v>130</v>
      </c>
      <c r="BW313" s="0" t="s">
        <v>130</v>
      </c>
      <c r="BX313" s="0" t="s">
        <v>130</v>
      </c>
      <c r="BY313" s="0" t="s">
        <v>130</v>
      </c>
      <c r="BZ313" s="0" t="s">
        <v>130</v>
      </c>
      <c r="CA313" s="0" t="s">
        <v>130</v>
      </c>
      <c r="CB313" s="0" t="s">
        <v>130</v>
      </c>
      <c r="CC313" s="0" t="s">
        <v>130</v>
      </c>
      <c r="CD313" s="0" t="s">
        <v>130</v>
      </c>
      <c r="CE313" s="0" t="s">
        <v>130</v>
      </c>
      <c r="CF313" s="0" t="s">
        <v>130</v>
      </c>
      <c r="CG313" s="0" t="s">
        <v>130</v>
      </c>
      <c r="CH313" s="0" t="s">
        <v>130</v>
      </c>
      <c r="CI313" s="0" t="s">
        <v>130</v>
      </c>
      <c r="CJ313" s="0" t="s">
        <v>130</v>
      </c>
      <c r="CK313" s="0" t="s">
        <v>130</v>
      </c>
      <c r="CL313" s="0" t="s">
        <v>130</v>
      </c>
      <c r="CM313" s="0" t="s">
        <v>130</v>
      </c>
      <c r="CN313" s="0" t="s">
        <v>130</v>
      </c>
      <c r="CO313" s="0" t="s">
        <v>130</v>
      </c>
      <c r="CP313" s="0" t="s">
        <v>130</v>
      </c>
      <c r="CQ313" s="0" t="s">
        <v>130</v>
      </c>
      <c r="CR313" s="0" t="s">
        <v>130</v>
      </c>
      <c r="CS313" s="0" t="s">
        <v>130</v>
      </c>
      <c r="CT313" s="0" t="s">
        <v>1174</v>
      </c>
    </row>
    <row r="314">
      <c r="A314" s="14">
        <v>101034</v>
      </c>
      <c r="B314" s="0" t="s">
        <v>1164</v>
      </c>
      <c r="C314" s="16">
        <f>HYPERLINK("https://eosportal.federatedhermes.com/companies/Q29tcGFueQppNTg5NTM=", "National Australia Bank Ltd")</f>
      </c>
      <c r="D314" s="0" t="s">
        <v>25</v>
      </c>
      <c r="E314" s="0" t="s">
        <v>1175</v>
      </c>
      <c r="F314" s="16">
        <f>HYPERLINK("https://eosportal.federatedhermes.com/engagements/RW5nYWdlbWVudAppMTk5ODI=", "S&amp;E risk disclosure")</f>
      </c>
      <c r="G314" s="14"/>
      <c r="H314" s="0" t="s">
        <v>141</v>
      </c>
      <c r="I314" s="14" t="s">
        <v>131</v>
      </c>
      <c r="J314" s="0" t="s">
        <v>132</v>
      </c>
      <c r="K314" s="0" t="s">
        <v>170</v>
      </c>
      <c r="L314" s="0" t="s">
        <v>171</v>
      </c>
      <c r="M314" s="0" t="s">
        <v>371</v>
      </c>
      <c r="N314" s="0" t="s">
        <v>372</v>
      </c>
      <c r="O314" s="0" t="s">
        <v>238</v>
      </c>
      <c r="Q314" s="0" t="s">
        <v>130</v>
      </c>
      <c r="R314" s="0" t="s">
        <v>138</v>
      </c>
      <c r="S314" s="14">
        <v>0</v>
      </c>
      <c r="T314" s="0" t="s">
        <v>293</v>
      </c>
      <c r="U314" s="0" t="s">
        <v>138</v>
      </c>
      <c r="V314" s="14" t="s">
        <v>138</v>
      </c>
      <c r="W314" s="0" t="s">
        <v>138</v>
      </c>
      <c r="X314" s="14" t="s">
        <v>138</v>
      </c>
      <c r="Y314" s="0" t="s">
        <v>138</v>
      </c>
      <c r="Z314" s="14" t="s">
        <v>138</v>
      </c>
      <c r="AA314" s="0" t="s">
        <v>138</v>
      </c>
      <c r="AB314" s="14" t="s">
        <v>138</v>
      </c>
      <c r="AD314" s="0" t="s">
        <v>138</v>
      </c>
      <c r="AF314" s="0">
        <v>0</v>
      </c>
      <c r="AG314" s="0">
        <v>0</v>
      </c>
      <c r="AH314" s="0" t="s">
        <v>140</v>
      </c>
      <c r="AI314" s="0" t="s">
        <v>138</v>
      </c>
      <c r="AL314" s="14"/>
      <c r="AN314" s="14"/>
      <c r="AQ314" s="0" t="s">
        <v>130</v>
      </c>
      <c r="AR314" s="0" t="s">
        <v>130</v>
      </c>
      <c r="AS314" s="0" t="s">
        <v>130</v>
      </c>
      <c r="AT314" s="0" t="s">
        <v>130</v>
      </c>
      <c r="AU314" s="0" t="s">
        <v>130</v>
      </c>
      <c r="AV314" s="0" t="s">
        <v>130</v>
      </c>
      <c r="AW314" s="0" t="s">
        <v>130</v>
      </c>
      <c r="AX314" s="0" t="s">
        <v>130</v>
      </c>
      <c r="AY314" s="0" t="s">
        <v>130</v>
      </c>
      <c r="AZ314" s="0" t="s">
        <v>130</v>
      </c>
      <c r="BA314" s="0" t="s">
        <v>130</v>
      </c>
      <c r="BB314" s="0" t="s">
        <v>130</v>
      </c>
      <c r="BC314" s="0" t="s">
        <v>130</v>
      </c>
      <c r="BD314" s="0" t="s">
        <v>130</v>
      </c>
      <c r="BE314" s="0" t="s">
        <v>130</v>
      </c>
      <c r="BF314" s="0" t="s">
        <v>130</v>
      </c>
      <c r="BG314" s="0" t="s">
        <v>130</v>
      </c>
      <c r="BH314" s="0" t="s">
        <v>130</v>
      </c>
      <c r="BI314" s="0" t="s">
        <v>130</v>
      </c>
      <c r="BJ314" s="0" t="s">
        <v>130</v>
      </c>
      <c r="BK314" s="0" t="s">
        <v>130</v>
      </c>
      <c r="BL314" s="0" t="s">
        <v>130</v>
      </c>
      <c r="BM314" s="0" t="s">
        <v>130</v>
      </c>
      <c r="BN314" s="0" t="s">
        <v>130</v>
      </c>
      <c r="BO314" s="0" t="s">
        <v>130</v>
      </c>
      <c r="BP314" s="0" t="s">
        <v>130</v>
      </c>
      <c r="BQ314" s="0" t="s">
        <v>130</v>
      </c>
      <c r="BR314" s="0" t="s">
        <v>130</v>
      </c>
      <c r="BS314" s="0" t="s">
        <v>130</v>
      </c>
      <c r="BT314" s="0" t="s">
        <v>130</v>
      </c>
      <c r="BU314" s="0" t="s">
        <v>130</v>
      </c>
      <c r="BV314" s="0" t="s">
        <v>130</v>
      </c>
      <c r="BW314" s="0" t="s">
        <v>130</v>
      </c>
      <c r="BX314" s="0" t="s">
        <v>130</v>
      </c>
      <c r="BY314" s="0" t="s">
        <v>130</v>
      </c>
      <c r="BZ314" s="0" t="s">
        <v>130</v>
      </c>
      <c r="CA314" s="0" t="s">
        <v>130</v>
      </c>
      <c r="CB314" s="0" t="s">
        <v>130</v>
      </c>
      <c r="CC314" s="0" t="s">
        <v>130</v>
      </c>
      <c r="CD314" s="0" t="s">
        <v>130</v>
      </c>
      <c r="CE314" s="0" t="s">
        <v>130</v>
      </c>
      <c r="CF314" s="0" t="s">
        <v>130</v>
      </c>
      <c r="CG314" s="0" t="s">
        <v>130</v>
      </c>
      <c r="CH314" s="0" t="s">
        <v>130</v>
      </c>
      <c r="CI314" s="0" t="s">
        <v>130</v>
      </c>
      <c r="CJ314" s="0" t="s">
        <v>130</v>
      </c>
      <c r="CK314" s="0" t="s">
        <v>130</v>
      </c>
      <c r="CL314" s="0" t="s">
        <v>130</v>
      </c>
      <c r="CM314" s="0" t="s">
        <v>130</v>
      </c>
      <c r="CN314" s="0" t="s">
        <v>130</v>
      </c>
      <c r="CO314" s="0" t="s">
        <v>130</v>
      </c>
      <c r="CP314" s="0" t="s">
        <v>130</v>
      </c>
      <c r="CQ314" s="0" t="s">
        <v>130</v>
      </c>
      <c r="CR314" s="0" t="s">
        <v>130</v>
      </c>
      <c r="CS314" s="0" t="s">
        <v>130</v>
      </c>
      <c r="CT314" s="0" t="s">
        <v>1176</v>
      </c>
    </row>
    <row r="315">
      <c r="A315" s="14">
        <v>101034</v>
      </c>
      <c r="B315" s="0" t="s">
        <v>1164</v>
      </c>
      <c r="C315" s="16">
        <f>HYPERLINK("https://eosportal.federatedhermes.com/companies/Q29tcGFueQppNTg5NTM=", "National Australia Bank Ltd")</f>
      </c>
      <c r="D315" s="0" t="s">
        <v>25</v>
      </c>
      <c r="E315" s="0" t="s">
        <v>1177</v>
      </c>
      <c r="F315" s="16">
        <f>HYPERLINK("https://eosportal.federatedhermes.com/engagements/RW5nYWdlbWVudAppMTk5ODU=", "Regnan engagement activity on Corporate culture")</f>
      </c>
      <c r="G315" s="14" t="s">
        <v>1177</v>
      </c>
      <c r="H315" s="0" t="s">
        <v>141</v>
      </c>
      <c r="I315" s="14" t="s">
        <v>131</v>
      </c>
      <c r="J315" s="0" t="s">
        <v>153</v>
      </c>
      <c r="K315" s="0" t="s">
        <v>185</v>
      </c>
      <c r="L315" s="0" t="s">
        <v>186</v>
      </c>
      <c r="M315" s="0" t="s">
        <v>371</v>
      </c>
      <c r="N315" s="0" t="s">
        <v>372</v>
      </c>
      <c r="O315" s="0" t="s">
        <v>238</v>
      </c>
      <c r="Q315" s="0" t="s">
        <v>130</v>
      </c>
      <c r="R315" s="0" t="s">
        <v>138</v>
      </c>
      <c r="S315" s="14">
        <v>0</v>
      </c>
      <c r="T315" s="0" t="s">
        <v>710</v>
      </c>
      <c r="U315" s="0" t="s">
        <v>138</v>
      </c>
      <c r="V315" s="14" t="s">
        <v>138</v>
      </c>
      <c r="W315" s="0" t="s">
        <v>138</v>
      </c>
      <c r="X315" s="14" t="s">
        <v>138</v>
      </c>
      <c r="Y315" s="0" t="s">
        <v>138</v>
      </c>
      <c r="Z315" s="14" t="s">
        <v>138</v>
      </c>
      <c r="AA315" s="0" t="s">
        <v>138</v>
      </c>
      <c r="AB315" s="14" t="s">
        <v>138</v>
      </c>
      <c r="AD315" s="0" t="s">
        <v>138</v>
      </c>
      <c r="AF315" s="0">
        <v>0</v>
      </c>
      <c r="AG315" s="0">
        <v>0</v>
      </c>
      <c r="AH315" s="0" t="s">
        <v>140</v>
      </c>
      <c r="AI315" s="0" t="s">
        <v>138</v>
      </c>
      <c r="AL315" s="14"/>
      <c r="AN315" s="14"/>
      <c r="AQ315" s="0" t="s">
        <v>130</v>
      </c>
      <c r="AR315" s="0" t="s">
        <v>130</v>
      </c>
      <c r="AS315" s="0" t="s">
        <v>130</v>
      </c>
      <c r="AT315" s="0" t="s">
        <v>130</v>
      </c>
      <c r="AU315" s="0" t="s">
        <v>130</v>
      </c>
      <c r="AV315" s="0" t="s">
        <v>130</v>
      </c>
      <c r="AW315" s="0" t="s">
        <v>130</v>
      </c>
      <c r="AX315" s="0" t="s">
        <v>130</v>
      </c>
      <c r="AY315" s="0" t="s">
        <v>130</v>
      </c>
      <c r="AZ315" s="0" t="s">
        <v>130</v>
      </c>
      <c r="BA315" s="0" t="s">
        <v>130</v>
      </c>
      <c r="BB315" s="0" t="s">
        <v>130</v>
      </c>
      <c r="BC315" s="0" t="s">
        <v>130</v>
      </c>
      <c r="BD315" s="0" t="s">
        <v>130</v>
      </c>
      <c r="BE315" s="0" t="s">
        <v>130</v>
      </c>
      <c r="BF315" s="0" t="s">
        <v>130</v>
      </c>
      <c r="BG315" s="0" t="s">
        <v>130</v>
      </c>
      <c r="BH315" s="0" t="s">
        <v>130</v>
      </c>
      <c r="BI315" s="0" t="s">
        <v>130</v>
      </c>
      <c r="BJ315" s="0" t="s">
        <v>130</v>
      </c>
      <c r="BK315" s="0" t="s">
        <v>130</v>
      </c>
      <c r="BL315" s="0" t="s">
        <v>130</v>
      </c>
      <c r="BM315" s="0" t="s">
        <v>130</v>
      </c>
      <c r="BN315" s="0" t="s">
        <v>130</v>
      </c>
      <c r="BO315" s="0" t="s">
        <v>130</v>
      </c>
      <c r="BP315" s="0" t="s">
        <v>130</v>
      </c>
      <c r="BQ315" s="0" t="s">
        <v>130</v>
      </c>
      <c r="BR315" s="0" t="s">
        <v>130</v>
      </c>
      <c r="BS315" s="0" t="s">
        <v>130</v>
      </c>
      <c r="BT315" s="0" t="s">
        <v>130</v>
      </c>
      <c r="BU315" s="0" t="s">
        <v>130</v>
      </c>
      <c r="BV315" s="0" t="s">
        <v>130</v>
      </c>
      <c r="BW315" s="0" t="s">
        <v>130</v>
      </c>
      <c r="BX315" s="0" t="s">
        <v>130</v>
      </c>
      <c r="BY315" s="0" t="s">
        <v>130</v>
      </c>
      <c r="BZ315" s="0" t="s">
        <v>130</v>
      </c>
      <c r="CA315" s="0" t="s">
        <v>130</v>
      </c>
      <c r="CB315" s="0" t="s">
        <v>130</v>
      </c>
      <c r="CC315" s="0" t="s">
        <v>130</v>
      </c>
      <c r="CD315" s="0" t="s">
        <v>130</v>
      </c>
      <c r="CE315" s="0" t="s">
        <v>130</v>
      </c>
      <c r="CF315" s="0" t="s">
        <v>130</v>
      </c>
      <c r="CG315" s="0" t="s">
        <v>130</v>
      </c>
      <c r="CH315" s="0" t="s">
        <v>130</v>
      </c>
      <c r="CI315" s="0" t="s">
        <v>130</v>
      </c>
      <c r="CJ315" s="0" t="s">
        <v>130</v>
      </c>
      <c r="CK315" s="0" t="s">
        <v>130</v>
      </c>
      <c r="CL315" s="0" t="s">
        <v>130</v>
      </c>
      <c r="CM315" s="0" t="s">
        <v>130</v>
      </c>
      <c r="CN315" s="0" t="s">
        <v>130</v>
      </c>
      <c r="CO315" s="0" t="s">
        <v>130</v>
      </c>
      <c r="CP315" s="0" t="s">
        <v>130</v>
      </c>
      <c r="CQ315" s="0" t="s">
        <v>130</v>
      </c>
      <c r="CR315" s="0" t="s">
        <v>130</v>
      </c>
      <c r="CS315" s="0" t="s">
        <v>130</v>
      </c>
      <c r="CT315" s="0" t="s">
        <v>1178</v>
      </c>
    </row>
    <row r="316">
      <c r="A316" s="14">
        <v>101034</v>
      </c>
      <c r="B316" s="0" t="s">
        <v>1164</v>
      </c>
      <c r="C316" s="16">
        <f>HYPERLINK("https://eosportal.federatedhermes.com/companies/Q29tcGFueQppNTg5NTM=", "National Australia Bank Ltd")</f>
      </c>
      <c r="D316" s="0" t="s">
        <v>25</v>
      </c>
      <c r="E316" s="0" t="s">
        <v>1179</v>
      </c>
      <c r="F316" s="16">
        <f>HYPERLINK("https://eosportal.federatedhermes.com/engagements/RW5nYWdlbWVudAppMTk5ODY=", "Regnan engagement activity on Human capital management")</f>
      </c>
      <c r="G316" s="14" t="s">
        <v>1179</v>
      </c>
      <c r="H316" s="0" t="s">
        <v>141</v>
      </c>
      <c r="I316" s="14" t="s">
        <v>131</v>
      </c>
      <c r="J316" s="0" t="s">
        <v>153</v>
      </c>
      <c r="K316" s="0" t="s">
        <v>154</v>
      </c>
      <c r="L316" s="0" t="s">
        <v>306</v>
      </c>
      <c r="M316" s="0" t="s">
        <v>371</v>
      </c>
      <c r="N316" s="0" t="s">
        <v>372</v>
      </c>
      <c r="O316" s="0" t="s">
        <v>238</v>
      </c>
      <c r="Q316" s="0" t="s">
        <v>130</v>
      </c>
      <c r="R316" s="0" t="s">
        <v>138</v>
      </c>
      <c r="S316" s="14">
        <v>0</v>
      </c>
      <c r="T316" s="0" t="s">
        <v>710</v>
      </c>
      <c r="U316" s="0" t="s">
        <v>138</v>
      </c>
      <c r="V316" s="14" t="s">
        <v>138</v>
      </c>
      <c r="W316" s="0" t="s">
        <v>138</v>
      </c>
      <c r="X316" s="14" t="s">
        <v>138</v>
      </c>
      <c r="Y316" s="0" t="s">
        <v>138</v>
      </c>
      <c r="Z316" s="14" t="s">
        <v>138</v>
      </c>
      <c r="AA316" s="0" t="s">
        <v>138</v>
      </c>
      <c r="AB316" s="14" t="s">
        <v>138</v>
      </c>
      <c r="AD316" s="0" t="s">
        <v>138</v>
      </c>
      <c r="AF316" s="0">
        <v>0</v>
      </c>
      <c r="AG316" s="0">
        <v>0</v>
      </c>
      <c r="AH316" s="0" t="s">
        <v>140</v>
      </c>
      <c r="AI316" s="0" t="s">
        <v>138</v>
      </c>
      <c r="AL316" s="14"/>
      <c r="AN316" s="14"/>
      <c r="AQ316" s="0" t="s">
        <v>130</v>
      </c>
      <c r="AR316" s="0" t="s">
        <v>130</v>
      </c>
      <c r="AS316" s="0" t="s">
        <v>130</v>
      </c>
      <c r="AT316" s="0" t="s">
        <v>130</v>
      </c>
      <c r="AU316" s="0" t="s">
        <v>130</v>
      </c>
      <c r="AV316" s="0" t="s">
        <v>130</v>
      </c>
      <c r="AW316" s="0" t="s">
        <v>130</v>
      </c>
      <c r="AX316" s="0" t="s">
        <v>130</v>
      </c>
      <c r="AY316" s="0" t="s">
        <v>130</v>
      </c>
      <c r="AZ316" s="0" t="s">
        <v>130</v>
      </c>
      <c r="BA316" s="0" t="s">
        <v>130</v>
      </c>
      <c r="BB316" s="0" t="s">
        <v>130</v>
      </c>
      <c r="BC316" s="0" t="s">
        <v>130</v>
      </c>
      <c r="BD316" s="0" t="s">
        <v>130</v>
      </c>
      <c r="BE316" s="0" t="s">
        <v>130</v>
      </c>
      <c r="BF316" s="0" t="s">
        <v>130</v>
      </c>
      <c r="BG316" s="0" t="s">
        <v>130</v>
      </c>
      <c r="BH316" s="0" t="s">
        <v>130</v>
      </c>
      <c r="BI316" s="0" t="s">
        <v>130</v>
      </c>
      <c r="BJ316" s="0" t="s">
        <v>130</v>
      </c>
      <c r="BK316" s="0" t="s">
        <v>130</v>
      </c>
      <c r="BL316" s="0" t="s">
        <v>130</v>
      </c>
      <c r="BM316" s="0" t="s">
        <v>130</v>
      </c>
      <c r="BN316" s="0" t="s">
        <v>130</v>
      </c>
      <c r="BO316" s="0" t="s">
        <v>130</v>
      </c>
      <c r="BP316" s="0" t="s">
        <v>130</v>
      </c>
      <c r="BQ316" s="0" t="s">
        <v>130</v>
      </c>
      <c r="BR316" s="0" t="s">
        <v>130</v>
      </c>
      <c r="BS316" s="0" t="s">
        <v>130</v>
      </c>
      <c r="BT316" s="0" t="s">
        <v>130</v>
      </c>
      <c r="BU316" s="0" t="s">
        <v>130</v>
      </c>
      <c r="BV316" s="0" t="s">
        <v>130</v>
      </c>
      <c r="BW316" s="0" t="s">
        <v>130</v>
      </c>
      <c r="BX316" s="0" t="s">
        <v>130</v>
      </c>
      <c r="BY316" s="0" t="s">
        <v>130</v>
      </c>
      <c r="BZ316" s="0" t="s">
        <v>130</v>
      </c>
      <c r="CA316" s="0" t="s">
        <v>130</v>
      </c>
      <c r="CB316" s="0" t="s">
        <v>130</v>
      </c>
      <c r="CC316" s="0" t="s">
        <v>130</v>
      </c>
      <c r="CD316" s="0" t="s">
        <v>130</v>
      </c>
      <c r="CE316" s="0" t="s">
        <v>130</v>
      </c>
      <c r="CF316" s="0" t="s">
        <v>130</v>
      </c>
      <c r="CG316" s="0" t="s">
        <v>130</v>
      </c>
      <c r="CH316" s="0" t="s">
        <v>130</v>
      </c>
      <c r="CI316" s="0" t="s">
        <v>130</v>
      </c>
      <c r="CJ316" s="0" t="s">
        <v>130</v>
      </c>
      <c r="CK316" s="0" t="s">
        <v>130</v>
      </c>
      <c r="CL316" s="0" t="s">
        <v>130</v>
      </c>
      <c r="CM316" s="0" t="s">
        <v>130</v>
      </c>
      <c r="CN316" s="0" t="s">
        <v>130</v>
      </c>
      <c r="CO316" s="0" t="s">
        <v>130</v>
      </c>
      <c r="CP316" s="0" t="s">
        <v>130</v>
      </c>
      <c r="CQ316" s="0" t="s">
        <v>130</v>
      </c>
      <c r="CR316" s="0" t="s">
        <v>130</v>
      </c>
      <c r="CS316" s="0" t="s">
        <v>130</v>
      </c>
      <c r="CT316" s="0" t="s">
        <v>1180</v>
      </c>
    </row>
    <row r="317">
      <c r="A317" s="14">
        <v>101034</v>
      </c>
      <c r="B317" s="0" t="s">
        <v>1164</v>
      </c>
      <c r="C317" s="16">
        <f>HYPERLINK("https://eosportal.federatedhermes.com/companies/Q29tcGFueQppNTg5NTM=", "National Australia Bank Ltd")</f>
      </c>
      <c r="D317" s="0" t="s">
        <v>25</v>
      </c>
      <c r="E317" s="0" t="s">
        <v>1181</v>
      </c>
      <c r="F317" s="16">
        <f>HYPERLINK("https://eosportal.federatedhermes.com/engagements/RW5nYWdlbWVudAppMTk5ODc=", "ESG disclosures")</f>
      </c>
      <c r="G317" s="14" t="s">
        <v>1168</v>
      </c>
      <c r="H317" s="0" t="s">
        <v>141</v>
      </c>
      <c r="I317" s="14" t="s">
        <v>131</v>
      </c>
      <c r="J317" s="0" t="s">
        <v>132</v>
      </c>
      <c r="K317" s="0" t="s">
        <v>170</v>
      </c>
      <c r="L317" s="0" t="s">
        <v>171</v>
      </c>
      <c r="M317" s="0" t="s">
        <v>371</v>
      </c>
      <c r="N317" s="0" t="s">
        <v>372</v>
      </c>
      <c r="O317" s="0" t="s">
        <v>238</v>
      </c>
      <c r="Q317" s="0" t="s">
        <v>130</v>
      </c>
      <c r="R317" s="0" t="s">
        <v>138</v>
      </c>
      <c r="S317" s="14">
        <v>0</v>
      </c>
      <c r="T317" s="0" t="s">
        <v>804</v>
      </c>
      <c r="U317" s="0" t="s">
        <v>138</v>
      </c>
      <c r="V317" s="14" t="s">
        <v>138</v>
      </c>
      <c r="W317" s="0" t="s">
        <v>138</v>
      </c>
      <c r="X317" s="14" t="s">
        <v>138</v>
      </c>
      <c r="Y317" s="0" t="s">
        <v>138</v>
      </c>
      <c r="Z317" s="14" t="s">
        <v>138</v>
      </c>
      <c r="AA317" s="0" t="s">
        <v>138</v>
      </c>
      <c r="AB317" s="14" t="s">
        <v>138</v>
      </c>
      <c r="AD317" s="0" t="s">
        <v>138</v>
      </c>
      <c r="AF317" s="0">
        <v>0</v>
      </c>
      <c r="AG317" s="0">
        <v>0</v>
      </c>
      <c r="AH317" s="0" t="s">
        <v>140</v>
      </c>
      <c r="AI317" s="0" t="s">
        <v>138</v>
      </c>
      <c r="AL317" s="14"/>
      <c r="AN317" s="14"/>
      <c r="AQ317" s="0" t="s">
        <v>130</v>
      </c>
      <c r="AR317" s="0" t="s">
        <v>130</v>
      </c>
      <c r="AS317" s="0" t="s">
        <v>130</v>
      </c>
      <c r="AT317" s="0" t="s">
        <v>130</v>
      </c>
      <c r="AU317" s="0" t="s">
        <v>130</v>
      </c>
      <c r="AV317" s="0" t="s">
        <v>130</v>
      </c>
      <c r="AW317" s="0" t="s">
        <v>130</v>
      </c>
      <c r="AX317" s="0" t="s">
        <v>130</v>
      </c>
      <c r="AY317" s="0" t="s">
        <v>130</v>
      </c>
      <c r="AZ317" s="0" t="s">
        <v>130</v>
      </c>
      <c r="BA317" s="0" t="s">
        <v>130</v>
      </c>
      <c r="BB317" s="0" t="s">
        <v>130</v>
      </c>
      <c r="BC317" s="0" t="s">
        <v>130</v>
      </c>
      <c r="BD317" s="0" t="s">
        <v>130</v>
      </c>
      <c r="BE317" s="0" t="s">
        <v>130</v>
      </c>
      <c r="BF317" s="0" t="s">
        <v>130</v>
      </c>
      <c r="BG317" s="0" t="s">
        <v>130</v>
      </c>
      <c r="BH317" s="0" t="s">
        <v>130</v>
      </c>
      <c r="BI317" s="0" t="s">
        <v>130</v>
      </c>
      <c r="BJ317" s="0" t="s">
        <v>130</v>
      </c>
      <c r="BK317" s="0" t="s">
        <v>130</v>
      </c>
      <c r="BL317" s="0" t="s">
        <v>130</v>
      </c>
      <c r="BM317" s="0" t="s">
        <v>130</v>
      </c>
      <c r="BN317" s="0" t="s">
        <v>130</v>
      </c>
      <c r="BO317" s="0" t="s">
        <v>130</v>
      </c>
      <c r="BP317" s="0" t="s">
        <v>130</v>
      </c>
      <c r="BQ317" s="0" t="s">
        <v>130</v>
      </c>
      <c r="BR317" s="0" t="s">
        <v>130</v>
      </c>
      <c r="BS317" s="0" t="s">
        <v>130</v>
      </c>
      <c r="BT317" s="0" t="s">
        <v>130</v>
      </c>
      <c r="BU317" s="0" t="s">
        <v>130</v>
      </c>
      <c r="BV317" s="0" t="s">
        <v>130</v>
      </c>
      <c r="BW317" s="0" t="s">
        <v>130</v>
      </c>
      <c r="BX317" s="0" t="s">
        <v>130</v>
      </c>
      <c r="BY317" s="0" t="s">
        <v>130</v>
      </c>
      <c r="BZ317" s="0" t="s">
        <v>130</v>
      </c>
      <c r="CA317" s="0" t="s">
        <v>130</v>
      </c>
      <c r="CB317" s="0" t="s">
        <v>130</v>
      </c>
      <c r="CC317" s="0" t="s">
        <v>130</v>
      </c>
      <c r="CD317" s="0" t="s">
        <v>130</v>
      </c>
      <c r="CE317" s="0" t="s">
        <v>130</v>
      </c>
      <c r="CF317" s="0" t="s">
        <v>130</v>
      </c>
      <c r="CG317" s="0" t="s">
        <v>130</v>
      </c>
      <c r="CH317" s="0" t="s">
        <v>130</v>
      </c>
      <c r="CI317" s="0" t="s">
        <v>130</v>
      </c>
      <c r="CJ317" s="0" t="s">
        <v>130</v>
      </c>
      <c r="CK317" s="0" t="s">
        <v>130</v>
      </c>
      <c r="CL317" s="0" t="s">
        <v>130</v>
      </c>
      <c r="CM317" s="0" t="s">
        <v>130</v>
      </c>
      <c r="CN317" s="0" t="s">
        <v>130</v>
      </c>
      <c r="CO317" s="0" t="s">
        <v>130</v>
      </c>
      <c r="CP317" s="0" t="s">
        <v>130</v>
      </c>
      <c r="CQ317" s="0" t="s">
        <v>130</v>
      </c>
      <c r="CR317" s="0" t="s">
        <v>130</v>
      </c>
      <c r="CS317" s="0" t="s">
        <v>130</v>
      </c>
      <c r="CT317" s="0" t="s">
        <v>1182</v>
      </c>
    </row>
    <row r="318">
      <c r="A318" s="14">
        <v>101034</v>
      </c>
      <c r="B318" s="0" t="s">
        <v>1164</v>
      </c>
      <c r="C318" s="16">
        <f>HYPERLINK("https://eosportal.federatedhermes.com/companies/Q29tcGFueQppNTg5NTM=", "National Australia Bank Ltd")</f>
      </c>
      <c r="D318" s="0" t="s">
        <v>25</v>
      </c>
      <c r="E318" s="0" t="s">
        <v>1183</v>
      </c>
      <c r="F318" s="16">
        <f>HYPERLINK("https://eosportal.federatedhermes.com/engagements/RW5nYWdlbWVudAppMTk5ODk=", "ACSI engagement activity on Culture - Royal Commission")</f>
      </c>
      <c r="G318" s="14" t="s">
        <v>1166</v>
      </c>
      <c r="H318" s="0" t="s">
        <v>141</v>
      </c>
      <c r="I318" s="14" t="s">
        <v>131</v>
      </c>
      <c r="J318" s="0" t="s">
        <v>153</v>
      </c>
      <c r="K318" s="0" t="s">
        <v>185</v>
      </c>
      <c r="L318" s="0" t="s">
        <v>186</v>
      </c>
      <c r="M318" s="0" t="s">
        <v>371</v>
      </c>
      <c r="N318" s="0" t="s">
        <v>372</v>
      </c>
      <c r="O318" s="0" t="s">
        <v>238</v>
      </c>
      <c r="Q318" s="0" t="s">
        <v>130</v>
      </c>
      <c r="R318" s="0" t="s">
        <v>138</v>
      </c>
      <c r="S318" s="14">
        <v>0</v>
      </c>
      <c r="T318" s="0" t="s">
        <v>355</v>
      </c>
      <c r="U318" s="0" t="s">
        <v>138</v>
      </c>
      <c r="V318" s="14" t="s">
        <v>138</v>
      </c>
      <c r="W318" s="0" t="s">
        <v>138</v>
      </c>
      <c r="X318" s="14" t="s">
        <v>138</v>
      </c>
      <c r="Y318" s="0" t="s">
        <v>138</v>
      </c>
      <c r="Z318" s="14" t="s">
        <v>138</v>
      </c>
      <c r="AA318" s="0" t="s">
        <v>138</v>
      </c>
      <c r="AB318" s="14" t="s">
        <v>138</v>
      </c>
      <c r="AD318" s="0" t="s">
        <v>138</v>
      </c>
      <c r="AF318" s="0">
        <v>0</v>
      </c>
      <c r="AG318" s="0">
        <v>0</v>
      </c>
      <c r="AH318" s="0" t="s">
        <v>140</v>
      </c>
      <c r="AI318" s="0" t="s">
        <v>138</v>
      </c>
      <c r="AL318" s="14"/>
      <c r="AN318" s="14"/>
      <c r="AQ318" s="0" t="s">
        <v>130</v>
      </c>
      <c r="AR318" s="0" t="s">
        <v>130</v>
      </c>
      <c r="AS318" s="0" t="s">
        <v>130</v>
      </c>
      <c r="AT318" s="0" t="s">
        <v>130</v>
      </c>
      <c r="AU318" s="0" t="s">
        <v>130</v>
      </c>
      <c r="AV318" s="0" t="s">
        <v>130</v>
      </c>
      <c r="AW318" s="0" t="s">
        <v>130</v>
      </c>
      <c r="AX318" s="0" t="s">
        <v>130</v>
      </c>
      <c r="AY318" s="0" t="s">
        <v>130</v>
      </c>
      <c r="AZ318" s="0" t="s">
        <v>130</v>
      </c>
      <c r="BA318" s="0" t="s">
        <v>130</v>
      </c>
      <c r="BB318" s="0" t="s">
        <v>130</v>
      </c>
      <c r="BC318" s="0" t="s">
        <v>130</v>
      </c>
      <c r="BD318" s="0" t="s">
        <v>130</v>
      </c>
      <c r="BE318" s="0" t="s">
        <v>130</v>
      </c>
      <c r="BF318" s="0" t="s">
        <v>130</v>
      </c>
      <c r="BG318" s="0" t="s">
        <v>130</v>
      </c>
      <c r="BH318" s="0" t="s">
        <v>130</v>
      </c>
      <c r="BI318" s="0" t="s">
        <v>130</v>
      </c>
      <c r="BJ318" s="0" t="s">
        <v>130</v>
      </c>
      <c r="BK318" s="0" t="s">
        <v>130</v>
      </c>
      <c r="BL318" s="0" t="s">
        <v>130</v>
      </c>
      <c r="BM318" s="0" t="s">
        <v>130</v>
      </c>
      <c r="BN318" s="0" t="s">
        <v>130</v>
      </c>
      <c r="BO318" s="0" t="s">
        <v>130</v>
      </c>
      <c r="BP318" s="0" t="s">
        <v>130</v>
      </c>
      <c r="BQ318" s="0" t="s">
        <v>130</v>
      </c>
      <c r="BR318" s="0" t="s">
        <v>130</v>
      </c>
      <c r="BS318" s="0" t="s">
        <v>130</v>
      </c>
      <c r="BT318" s="0" t="s">
        <v>130</v>
      </c>
      <c r="BU318" s="0" t="s">
        <v>130</v>
      </c>
      <c r="BV318" s="0" t="s">
        <v>130</v>
      </c>
      <c r="BW318" s="0" t="s">
        <v>130</v>
      </c>
      <c r="BX318" s="0" t="s">
        <v>130</v>
      </c>
      <c r="BY318" s="0" t="s">
        <v>130</v>
      </c>
      <c r="BZ318" s="0" t="s">
        <v>130</v>
      </c>
      <c r="CA318" s="0" t="s">
        <v>130</v>
      </c>
      <c r="CB318" s="0" t="s">
        <v>130</v>
      </c>
      <c r="CC318" s="0" t="s">
        <v>130</v>
      </c>
      <c r="CD318" s="0" t="s">
        <v>130</v>
      </c>
      <c r="CE318" s="0" t="s">
        <v>130</v>
      </c>
      <c r="CF318" s="0" t="s">
        <v>130</v>
      </c>
      <c r="CG318" s="0" t="s">
        <v>130</v>
      </c>
      <c r="CH318" s="0" t="s">
        <v>130</v>
      </c>
      <c r="CI318" s="0" t="s">
        <v>130</v>
      </c>
      <c r="CJ318" s="0" t="s">
        <v>130</v>
      </c>
      <c r="CK318" s="0" t="s">
        <v>130</v>
      </c>
      <c r="CL318" s="0" t="s">
        <v>130</v>
      </c>
      <c r="CM318" s="0" t="s">
        <v>130</v>
      </c>
      <c r="CN318" s="0" t="s">
        <v>130</v>
      </c>
      <c r="CO318" s="0" t="s">
        <v>130</v>
      </c>
      <c r="CP318" s="0" t="s">
        <v>130</v>
      </c>
      <c r="CQ318" s="0" t="s">
        <v>130</v>
      </c>
      <c r="CR318" s="0" t="s">
        <v>130</v>
      </c>
      <c r="CS318" s="0" t="s">
        <v>130</v>
      </c>
      <c r="CT318" s="0" t="s">
        <v>1184</v>
      </c>
    </row>
    <row r="319">
      <c r="A319" s="14">
        <v>101034</v>
      </c>
      <c r="B319" s="0" t="s">
        <v>1164</v>
      </c>
      <c r="C319" s="16">
        <f>HYPERLINK("https://eosportal.federatedhermes.com/companies/Q29tcGFueQppNTg5NTM=", "National Australia Bank Ltd")</f>
      </c>
      <c r="D319" s="0" t="s">
        <v>25</v>
      </c>
      <c r="E319" s="0" t="s">
        <v>341</v>
      </c>
      <c r="F319" s="16">
        <f>HYPERLINK("https://eosportal.federatedhermes.com/engagements/RW5nYWdlbWVudAppMTk5OTA=", "Remuneration")</f>
      </c>
      <c r="G319" s="14" t="s">
        <v>642</v>
      </c>
      <c r="H319" s="0" t="s">
        <v>141</v>
      </c>
      <c r="I319" s="14" t="s">
        <v>131</v>
      </c>
      <c r="J319" s="0" t="s">
        <v>145</v>
      </c>
      <c r="K319" s="0" t="s">
        <v>146</v>
      </c>
      <c r="L319" s="0" t="s">
        <v>147</v>
      </c>
      <c r="M319" s="0" t="s">
        <v>371</v>
      </c>
      <c r="N319" s="0" t="s">
        <v>372</v>
      </c>
      <c r="O319" s="0" t="s">
        <v>238</v>
      </c>
      <c r="Q319" s="0" t="s">
        <v>141</v>
      </c>
      <c r="R319" s="0" t="s">
        <v>138</v>
      </c>
      <c r="S319" s="14">
        <v>1</v>
      </c>
      <c r="T319" s="0" t="s">
        <v>384</v>
      </c>
      <c r="U319" s="0" t="s">
        <v>138</v>
      </c>
      <c r="V319" s="14" t="s">
        <v>138</v>
      </c>
      <c r="W319" s="0" t="s">
        <v>138</v>
      </c>
      <c r="X319" s="14" t="s">
        <v>138</v>
      </c>
      <c r="Y319" s="0" t="s">
        <v>138</v>
      </c>
      <c r="Z319" s="14" t="s">
        <v>138</v>
      </c>
      <c r="AA319" s="0" t="s">
        <v>138</v>
      </c>
      <c r="AB319" s="14" t="s">
        <v>138</v>
      </c>
      <c r="AD319" s="0" t="s">
        <v>138</v>
      </c>
      <c r="AF319" s="0">
        <v>0</v>
      </c>
      <c r="AG319" s="0">
        <v>0</v>
      </c>
      <c r="AH319" s="0" t="s">
        <v>140</v>
      </c>
      <c r="AI319" s="0" t="s">
        <v>138</v>
      </c>
      <c r="AK319" s="0" t="s">
        <v>578</v>
      </c>
      <c r="AL319" s="14"/>
      <c r="AN319" s="14"/>
      <c r="AQ319" s="0" t="s">
        <v>130</v>
      </c>
      <c r="AR319" s="0" t="s">
        <v>130</v>
      </c>
      <c r="AS319" s="0" t="s">
        <v>130</v>
      </c>
      <c r="AT319" s="0" t="s">
        <v>130</v>
      </c>
      <c r="AU319" s="0" t="s">
        <v>130</v>
      </c>
      <c r="AV319" s="0" t="s">
        <v>130</v>
      </c>
      <c r="AW319" s="0" t="s">
        <v>130</v>
      </c>
      <c r="AX319" s="0" t="s">
        <v>130</v>
      </c>
      <c r="AY319" s="0" t="s">
        <v>130</v>
      </c>
      <c r="AZ319" s="0" t="s">
        <v>130</v>
      </c>
      <c r="BA319" s="0" t="s">
        <v>130</v>
      </c>
      <c r="BB319" s="0" t="s">
        <v>130</v>
      </c>
      <c r="BC319" s="0" t="s">
        <v>130</v>
      </c>
      <c r="BD319" s="0" t="s">
        <v>130</v>
      </c>
      <c r="BE319" s="0" t="s">
        <v>130</v>
      </c>
      <c r="BF319" s="0" t="s">
        <v>130</v>
      </c>
      <c r="BG319" s="0" t="s">
        <v>130</v>
      </c>
      <c r="BH319" s="0" t="s">
        <v>130</v>
      </c>
      <c r="BI319" s="0" t="s">
        <v>130</v>
      </c>
      <c r="BJ319" s="0" t="s">
        <v>130</v>
      </c>
      <c r="BK319" s="0" t="s">
        <v>130</v>
      </c>
      <c r="BL319" s="0" t="s">
        <v>130</v>
      </c>
      <c r="BM319" s="0" t="s">
        <v>130</v>
      </c>
      <c r="BN319" s="0" t="s">
        <v>130</v>
      </c>
      <c r="BO319" s="0" t="s">
        <v>130</v>
      </c>
      <c r="BP319" s="0" t="s">
        <v>130</v>
      </c>
      <c r="BQ319" s="0" t="s">
        <v>130</v>
      </c>
      <c r="BR319" s="0" t="s">
        <v>130</v>
      </c>
      <c r="BS319" s="0" t="s">
        <v>130</v>
      </c>
      <c r="BT319" s="0" t="s">
        <v>130</v>
      </c>
      <c r="BU319" s="0" t="s">
        <v>130</v>
      </c>
      <c r="BV319" s="0" t="s">
        <v>130</v>
      </c>
      <c r="BW319" s="0" t="s">
        <v>130</v>
      </c>
      <c r="BX319" s="0" t="s">
        <v>130</v>
      </c>
      <c r="BY319" s="0" t="s">
        <v>130</v>
      </c>
      <c r="BZ319" s="0" t="s">
        <v>130</v>
      </c>
      <c r="CA319" s="0" t="s">
        <v>130</v>
      </c>
      <c r="CB319" s="0" t="s">
        <v>130</v>
      </c>
      <c r="CC319" s="0" t="s">
        <v>130</v>
      </c>
      <c r="CD319" s="0" t="s">
        <v>130</v>
      </c>
      <c r="CE319" s="0" t="s">
        <v>130</v>
      </c>
      <c r="CF319" s="0" t="s">
        <v>130</v>
      </c>
      <c r="CG319" s="0" t="s">
        <v>130</v>
      </c>
      <c r="CH319" s="0" t="s">
        <v>130</v>
      </c>
      <c r="CI319" s="0" t="s">
        <v>130</v>
      </c>
      <c r="CJ319" s="0" t="s">
        <v>130</v>
      </c>
      <c r="CK319" s="0" t="s">
        <v>130</v>
      </c>
      <c r="CL319" s="0" t="s">
        <v>130</v>
      </c>
      <c r="CM319" s="0" t="s">
        <v>130</v>
      </c>
      <c r="CN319" s="0" t="s">
        <v>130</v>
      </c>
      <c r="CO319" s="0" t="s">
        <v>130</v>
      </c>
      <c r="CP319" s="0" t="s">
        <v>130</v>
      </c>
      <c r="CQ319" s="0" t="s">
        <v>130</v>
      </c>
      <c r="CR319" s="0" t="s">
        <v>130</v>
      </c>
      <c r="CS319" s="0" t="s">
        <v>130</v>
      </c>
      <c r="CT319" s="0" t="s">
        <v>1185</v>
      </c>
    </row>
    <row r="320">
      <c r="A320" s="14">
        <v>101073</v>
      </c>
      <c r="B320" s="0" t="s">
        <v>1186</v>
      </c>
      <c r="C320" s="16">
        <f>HYPERLINK("https://eosportal.federatedhermes.com/companies/Q29tcGFueQppNjQzNjY=", "NIKE Inc")</f>
      </c>
      <c r="D320" s="0" t="s">
        <v>25</v>
      </c>
      <c r="E320" s="0" t="s">
        <v>1187</v>
      </c>
      <c r="F320" s="16">
        <f>HYPERLINK("https://eosportal.federatedhermes.com/engagements/RW5nYWdlbWVudAppMjAwNTI=", "Lead director powers")</f>
      </c>
      <c r="G320" s="14" t="s">
        <v>1188</v>
      </c>
      <c r="H320" s="0" t="s">
        <v>141</v>
      </c>
      <c r="I320" s="14" t="s">
        <v>191</v>
      </c>
      <c r="J320" s="0" t="s">
        <v>145</v>
      </c>
      <c r="K320" s="0" t="s">
        <v>164</v>
      </c>
      <c r="L320" s="0" t="s">
        <v>165</v>
      </c>
      <c r="M320" s="0" t="s">
        <v>135</v>
      </c>
      <c r="N320" s="0" t="s">
        <v>136</v>
      </c>
      <c r="O320" s="0" t="s">
        <v>332</v>
      </c>
      <c r="Q320" s="0" t="s">
        <v>130</v>
      </c>
      <c r="R320" s="0" t="s">
        <v>138</v>
      </c>
      <c r="S320" s="14">
        <v>0</v>
      </c>
      <c r="T320" s="0" t="s">
        <v>384</v>
      </c>
      <c r="U320" s="0" t="s">
        <v>138</v>
      </c>
      <c r="V320" s="14" t="s">
        <v>138</v>
      </c>
      <c r="W320" s="0" t="s">
        <v>138</v>
      </c>
      <c r="X320" s="14" t="s">
        <v>138</v>
      </c>
      <c r="Y320" s="0" t="s">
        <v>138</v>
      </c>
      <c r="Z320" s="14" t="s">
        <v>138</v>
      </c>
      <c r="AA320" s="0" t="s">
        <v>138</v>
      </c>
      <c r="AB320" s="14" t="s">
        <v>138</v>
      </c>
      <c r="AD320" s="0" t="s">
        <v>138</v>
      </c>
      <c r="AF320" s="0">
        <v>0</v>
      </c>
      <c r="AG320" s="0">
        <v>0</v>
      </c>
      <c r="AH320" s="0" t="s">
        <v>140</v>
      </c>
      <c r="AI320" s="0" t="s">
        <v>138</v>
      </c>
      <c r="AL320" s="14"/>
      <c r="AN320" s="14"/>
      <c r="AQ320" s="0" t="s">
        <v>130</v>
      </c>
      <c r="AR320" s="0" t="s">
        <v>130</v>
      </c>
      <c r="AS320" s="0" t="s">
        <v>130</v>
      </c>
      <c r="AT320" s="0" t="s">
        <v>130</v>
      </c>
      <c r="AU320" s="0" t="s">
        <v>130</v>
      </c>
      <c r="AV320" s="0" t="s">
        <v>130</v>
      </c>
      <c r="AW320" s="0" t="s">
        <v>130</v>
      </c>
      <c r="AX320" s="0" t="s">
        <v>130</v>
      </c>
      <c r="AY320" s="0" t="s">
        <v>130</v>
      </c>
      <c r="AZ320" s="0" t="s">
        <v>130</v>
      </c>
      <c r="BA320" s="0" t="s">
        <v>130</v>
      </c>
      <c r="BB320" s="0" t="s">
        <v>130</v>
      </c>
      <c r="BC320" s="0" t="s">
        <v>130</v>
      </c>
      <c r="BD320" s="0" t="s">
        <v>130</v>
      </c>
      <c r="BE320" s="0" t="s">
        <v>130</v>
      </c>
      <c r="BF320" s="0" t="s">
        <v>130</v>
      </c>
      <c r="BG320" s="0" t="s">
        <v>130</v>
      </c>
      <c r="BH320" s="0" t="s">
        <v>130</v>
      </c>
      <c r="BI320" s="0" t="s">
        <v>130</v>
      </c>
      <c r="BJ320" s="0" t="s">
        <v>130</v>
      </c>
      <c r="BK320" s="0" t="s">
        <v>130</v>
      </c>
      <c r="BL320" s="0" t="s">
        <v>130</v>
      </c>
      <c r="BM320" s="0" t="s">
        <v>130</v>
      </c>
      <c r="BN320" s="0" t="s">
        <v>130</v>
      </c>
      <c r="BO320" s="0" t="s">
        <v>130</v>
      </c>
      <c r="BP320" s="0" t="s">
        <v>130</v>
      </c>
      <c r="BQ320" s="0" t="s">
        <v>130</v>
      </c>
      <c r="BR320" s="0" t="s">
        <v>130</v>
      </c>
      <c r="BS320" s="0" t="s">
        <v>130</v>
      </c>
      <c r="BT320" s="0" t="s">
        <v>130</v>
      </c>
      <c r="BU320" s="0" t="s">
        <v>130</v>
      </c>
      <c r="BV320" s="0" t="s">
        <v>130</v>
      </c>
      <c r="BW320" s="0" t="s">
        <v>130</v>
      </c>
      <c r="BX320" s="0" t="s">
        <v>130</v>
      </c>
      <c r="BY320" s="0" t="s">
        <v>130</v>
      </c>
      <c r="BZ320" s="0" t="s">
        <v>130</v>
      </c>
      <c r="CA320" s="0" t="s">
        <v>130</v>
      </c>
      <c r="CB320" s="0" t="s">
        <v>130</v>
      </c>
      <c r="CC320" s="0" t="s">
        <v>130</v>
      </c>
      <c r="CD320" s="0" t="s">
        <v>130</v>
      </c>
      <c r="CE320" s="0" t="s">
        <v>130</v>
      </c>
      <c r="CF320" s="0" t="s">
        <v>130</v>
      </c>
      <c r="CG320" s="0" t="s">
        <v>130</v>
      </c>
      <c r="CH320" s="0" t="s">
        <v>130</v>
      </c>
      <c r="CI320" s="0" t="s">
        <v>130</v>
      </c>
      <c r="CJ320" s="0" t="s">
        <v>130</v>
      </c>
      <c r="CK320" s="0" t="s">
        <v>130</v>
      </c>
      <c r="CL320" s="0" t="s">
        <v>130</v>
      </c>
      <c r="CM320" s="0" t="s">
        <v>130</v>
      </c>
      <c r="CN320" s="0" t="s">
        <v>130</v>
      </c>
      <c r="CO320" s="0" t="s">
        <v>130</v>
      </c>
      <c r="CP320" s="0" t="s">
        <v>130</v>
      </c>
      <c r="CQ320" s="0" t="s">
        <v>130</v>
      </c>
      <c r="CR320" s="0" t="s">
        <v>130</v>
      </c>
      <c r="CS320" s="0" t="s">
        <v>130</v>
      </c>
      <c r="CT320" s="0" t="s">
        <v>1189</v>
      </c>
    </row>
    <row r="321">
      <c r="A321" s="14">
        <v>101073</v>
      </c>
      <c r="B321" s="0" t="s">
        <v>1186</v>
      </c>
      <c r="C321" s="16">
        <f>HYPERLINK("https://eosportal.federatedhermes.com/companies/Q29tcGFueQppNjQzNjY=", "NIKE Inc")</f>
      </c>
      <c r="D321" s="0" t="s">
        <v>25</v>
      </c>
      <c r="E321" s="0" t="s">
        <v>907</v>
      </c>
      <c r="F321" s="16">
        <f>HYPERLINK("https://eosportal.federatedhermes.com/engagements/RW5nYWdlbWVudAppMjAwNTQ=", "Climate change")</f>
      </c>
      <c r="G321" s="14" t="s">
        <v>1190</v>
      </c>
      <c r="H321" s="0" t="s">
        <v>141</v>
      </c>
      <c r="I321" s="14" t="s">
        <v>191</v>
      </c>
      <c r="J321" s="0" t="s">
        <v>197</v>
      </c>
      <c r="K321" s="0" t="s">
        <v>198</v>
      </c>
      <c r="L321" s="0" t="s">
        <v>216</v>
      </c>
      <c r="M321" s="0" t="s">
        <v>135</v>
      </c>
      <c r="N321" s="0" t="s">
        <v>136</v>
      </c>
      <c r="O321" s="0" t="s">
        <v>332</v>
      </c>
      <c r="Q321" s="0" t="s">
        <v>130</v>
      </c>
      <c r="R321" s="0" t="s">
        <v>138</v>
      </c>
      <c r="S321" s="14">
        <v>0</v>
      </c>
      <c r="T321" s="0" t="s">
        <v>384</v>
      </c>
      <c r="U321" s="0" t="s">
        <v>138</v>
      </c>
      <c r="V321" s="14" t="s">
        <v>138</v>
      </c>
      <c r="W321" s="0" t="s">
        <v>138</v>
      </c>
      <c r="X321" s="14" t="s">
        <v>138</v>
      </c>
      <c r="Y321" s="0" t="s">
        <v>138</v>
      </c>
      <c r="Z321" s="14" t="s">
        <v>138</v>
      </c>
      <c r="AA321" s="0" t="s">
        <v>138</v>
      </c>
      <c r="AB321" s="14" t="s">
        <v>138</v>
      </c>
      <c r="AD321" s="0" t="s">
        <v>138</v>
      </c>
      <c r="AF321" s="0">
        <v>0</v>
      </c>
      <c r="AG321" s="0">
        <v>0</v>
      </c>
      <c r="AH321" s="0" t="s">
        <v>140</v>
      </c>
      <c r="AI321" s="0" t="s">
        <v>138</v>
      </c>
      <c r="AL321" s="14"/>
      <c r="AN321" s="14"/>
      <c r="AQ321" s="0" t="s">
        <v>130</v>
      </c>
      <c r="AR321" s="0" t="s">
        <v>130</v>
      </c>
      <c r="AS321" s="0" t="s">
        <v>130</v>
      </c>
      <c r="AT321" s="0" t="s">
        <v>130</v>
      </c>
      <c r="AU321" s="0" t="s">
        <v>130</v>
      </c>
      <c r="AV321" s="0" t="s">
        <v>130</v>
      </c>
      <c r="AW321" s="0" t="s">
        <v>141</v>
      </c>
      <c r="AX321" s="0" t="s">
        <v>130</v>
      </c>
      <c r="AY321" s="0" t="s">
        <v>130</v>
      </c>
      <c r="AZ321" s="0" t="s">
        <v>130</v>
      </c>
      <c r="BA321" s="0" t="s">
        <v>130</v>
      </c>
      <c r="BB321" s="0" t="s">
        <v>130</v>
      </c>
      <c r="BC321" s="0" t="s">
        <v>141</v>
      </c>
      <c r="BD321" s="0" t="s">
        <v>130</v>
      </c>
      <c r="BE321" s="0" t="s">
        <v>130</v>
      </c>
      <c r="BF321" s="0" t="s">
        <v>130</v>
      </c>
      <c r="BG321" s="0" t="s">
        <v>130</v>
      </c>
      <c r="BH321" s="0" t="s">
        <v>141</v>
      </c>
      <c r="BI321" s="0" t="s">
        <v>141</v>
      </c>
      <c r="BJ321" s="0" t="s">
        <v>141</v>
      </c>
      <c r="BK321" s="0" t="s">
        <v>130</v>
      </c>
      <c r="BL321" s="0" t="s">
        <v>130</v>
      </c>
      <c r="BM321" s="0" t="s">
        <v>130</v>
      </c>
      <c r="BN321" s="0" t="s">
        <v>130</v>
      </c>
      <c r="BO321" s="0" t="s">
        <v>130</v>
      </c>
      <c r="BP321" s="0" t="s">
        <v>130</v>
      </c>
      <c r="BQ321" s="0" t="s">
        <v>130</v>
      </c>
      <c r="BR321" s="0" t="s">
        <v>130</v>
      </c>
      <c r="BS321" s="0" t="s">
        <v>130</v>
      </c>
      <c r="BT321" s="0" t="s">
        <v>130</v>
      </c>
      <c r="BU321" s="0" t="s">
        <v>130</v>
      </c>
      <c r="BV321" s="0" t="s">
        <v>141</v>
      </c>
      <c r="BW321" s="0" t="s">
        <v>141</v>
      </c>
      <c r="BX321" s="0" t="s">
        <v>130</v>
      </c>
      <c r="BY321" s="0" t="s">
        <v>130</v>
      </c>
      <c r="BZ321" s="0" t="s">
        <v>130</v>
      </c>
      <c r="CA321" s="0" t="s">
        <v>130</v>
      </c>
      <c r="CB321" s="0" t="s">
        <v>130</v>
      </c>
      <c r="CC321" s="0" t="s">
        <v>130</v>
      </c>
      <c r="CD321" s="0" t="s">
        <v>130</v>
      </c>
      <c r="CE321" s="0" t="s">
        <v>130</v>
      </c>
      <c r="CF321" s="0" t="s">
        <v>130</v>
      </c>
      <c r="CG321" s="0" t="s">
        <v>130</v>
      </c>
      <c r="CH321" s="0" t="s">
        <v>130</v>
      </c>
      <c r="CI321" s="0" t="s">
        <v>130</v>
      </c>
      <c r="CJ321" s="0" t="s">
        <v>130</v>
      </c>
      <c r="CK321" s="0" t="s">
        <v>130</v>
      </c>
      <c r="CL321" s="0" t="s">
        <v>130</v>
      </c>
      <c r="CM321" s="0" t="s">
        <v>130</v>
      </c>
      <c r="CN321" s="0" t="s">
        <v>130</v>
      </c>
      <c r="CO321" s="0" t="s">
        <v>130</v>
      </c>
      <c r="CP321" s="0" t="s">
        <v>130</v>
      </c>
      <c r="CQ321" s="0" t="s">
        <v>130</v>
      </c>
      <c r="CR321" s="0" t="s">
        <v>130</v>
      </c>
      <c r="CS321" s="0" t="s">
        <v>130</v>
      </c>
      <c r="CT321" s="0" t="s">
        <v>1191</v>
      </c>
    </row>
    <row r="322">
      <c r="A322" s="14">
        <v>101073</v>
      </c>
      <c r="B322" s="0" t="s">
        <v>1186</v>
      </c>
      <c r="C322" s="16">
        <f>HYPERLINK("https://eosportal.federatedhermes.com/companies/Q29tcGFueQppNjQzNjY=", "NIKE Inc")</f>
      </c>
      <c r="D322" s="0" t="s">
        <v>25</v>
      </c>
      <c r="E322" s="0" t="s">
        <v>236</v>
      </c>
      <c r="F322" s="16">
        <f>HYPERLINK("https://eosportal.federatedhermes.com/engagements/RW5nYWdlbWVudAppMjAwNTU=", "Executive pay")</f>
      </c>
      <c r="G322" s="14" t="s">
        <v>1192</v>
      </c>
      <c r="H322" s="0" t="s">
        <v>141</v>
      </c>
      <c r="I322" s="14" t="s">
        <v>191</v>
      </c>
      <c r="J322" s="0" t="s">
        <v>145</v>
      </c>
      <c r="K322" s="0" t="s">
        <v>146</v>
      </c>
      <c r="L322" s="0" t="s">
        <v>147</v>
      </c>
      <c r="M322" s="0" t="s">
        <v>135</v>
      </c>
      <c r="N322" s="0" t="s">
        <v>136</v>
      </c>
      <c r="O322" s="0" t="s">
        <v>332</v>
      </c>
      <c r="Q322" s="0" t="s">
        <v>130</v>
      </c>
      <c r="R322" s="0" t="s">
        <v>138</v>
      </c>
      <c r="S322" s="14">
        <v>0</v>
      </c>
      <c r="T322" s="0" t="s">
        <v>359</v>
      </c>
      <c r="U322" s="0" t="s">
        <v>138</v>
      </c>
      <c r="V322" s="14" t="s">
        <v>138</v>
      </c>
      <c r="W322" s="0" t="s">
        <v>138</v>
      </c>
      <c r="X322" s="14" t="s">
        <v>138</v>
      </c>
      <c r="Y322" s="0" t="s">
        <v>138</v>
      </c>
      <c r="Z322" s="14" t="s">
        <v>138</v>
      </c>
      <c r="AA322" s="0" t="s">
        <v>138</v>
      </c>
      <c r="AB322" s="14" t="s">
        <v>138</v>
      </c>
      <c r="AD322" s="0" t="s">
        <v>138</v>
      </c>
      <c r="AF322" s="0">
        <v>0</v>
      </c>
      <c r="AG322" s="0">
        <v>0</v>
      </c>
      <c r="AH322" s="0" t="s">
        <v>140</v>
      </c>
      <c r="AI322" s="0" t="s">
        <v>138</v>
      </c>
      <c r="AL322" s="14"/>
      <c r="AN322" s="14"/>
      <c r="AQ322" s="0" t="s">
        <v>130</v>
      </c>
      <c r="AR322" s="0" t="s">
        <v>130</v>
      </c>
      <c r="AS322" s="0" t="s">
        <v>130</v>
      </c>
      <c r="AT322" s="0" t="s">
        <v>130</v>
      </c>
      <c r="AU322" s="0" t="s">
        <v>130</v>
      </c>
      <c r="AV322" s="0" t="s">
        <v>130</v>
      </c>
      <c r="AW322" s="0" t="s">
        <v>130</v>
      </c>
      <c r="AX322" s="0" t="s">
        <v>130</v>
      </c>
      <c r="AY322" s="0" t="s">
        <v>130</v>
      </c>
      <c r="AZ322" s="0" t="s">
        <v>130</v>
      </c>
      <c r="BA322" s="0" t="s">
        <v>130</v>
      </c>
      <c r="BB322" s="0" t="s">
        <v>130</v>
      </c>
      <c r="BC322" s="0" t="s">
        <v>130</v>
      </c>
      <c r="BD322" s="0" t="s">
        <v>130</v>
      </c>
      <c r="BE322" s="0" t="s">
        <v>130</v>
      </c>
      <c r="BF322" s="0" t="s">
        <v>130</v>
      </c>
      <c r="BG322" s="0" t="s">
        <v>130</v>
      </c>
      <c r="BH322" s="0" t="s">
        <v>130</v>
      </c>
      <c r="BI322" s="0" t="s">
        <v>130</v>
      </c>
      <c r="BJ322" s="0" t="s">
        <v>130</v>
      </c>
      <c r="BK322" s="0" t="s">
        <v>130</v>
      </c>
      <c r="BL322" s="0" t="s">
        <v>130</v>
      </c>
      <c r="BM322" s="0" t="s">
        <v>130</v>
      </c>
      <c r="BN322" s="0" t="s">
        <v>130</v>
      </c>
      <c r="BO322" s="0" t="s">
        <v>130</v>
      </c>
      <c r="BP322" s="0" t="s">
        <v>130</v>
      </c>
      <c r="BQ322" s="0" t="s">
        <v>130</v>
      </c>
      <c r="BR322" s="0" t="s">
        <v>130</v>
      </c>
      <c r="BS322" s="0" t="s">
        <v>130</v>
      </c>
      <c r="BT322" s="0" t="s">
        <v>130</v>
      </c>
      <c r="BU322" s="0" t="s">
        <v>130</v>
      </c>
      <c r="BV322" s="0" t="s">
        <v>130</v>
      </c>
      <c r="BW322" s="0" t="s">
        <v>130</v>
      </c>
      <c r="BX322" s="0" t="s">
        <v>130</v>
      </c>
      <c r="BY322" s="0" t="s">
        <v>130</v>
      </c>
      <c r="BZ322" s="0" t="s">
        <v>130</v>
      </c>
      <c r="CA322" s="0" t="s">
        <v>130</v>
      </c>
      <c r="CB322" s="0" t="s">
        <v>130</v>
      </c>
      <c r="CC322" s="0" t="s">
        <v>130</v>
      </c>
      <c r="CD322" s="0" t="s">
        <v>130</v>
      </c>
      <c r="CE322" s="0" t="s">
        <v>130</v>
      </c>
      <c r="CF322" s="0" t="s">
        <v>130</v>
      </c>
      <c r="CG322" s="0" t="s">
        <v>130</v>
      </c>
      <c r="CH322" s="0" t="s">
        <v>130</v>
      </c>
      <c r="CI322" s="0" t="s">
        <v>130</v>
      </c>
      <c r="CJ322" s="0" t="s">
        <v>130</v>
      </c>
      <c r="CK322" s="0" t="s">
        <v>130</v>
      </c>
      <c r="CL322" s="0" t="s">
        <v>130</v>
      </c>
      <c r="CM322" s="0" t="s">
        <v>130</v>
      </c>
      <c r="CN322" s="0" t="s">
        <v>130</v>
      </c>
      <c r="CO322" s="0" t="s">
        <v>130</v>
      </c>
      <c r="CP322" s="0" t="s">
        <v>130</v>
      </c>
      <c r="CQ322" s="0" t="s">
        <v>130</v>
      </c>
      <c r="CR322" s="0" t="s">
        <v>130</v>
      </c>
      <c r="CS322" s="0" t="s">
        <v>130</v>
      </c>
      <c r="CT322" s="0" t="s">
        <v>1193</v>
      </c>
    </row>
    <row r="323">
      <c r="A323" s="14">
        <v>101073</v>
      </c>
      <c r="B323" s="0" t="s">
        <v>1186</v>
      </c>
      <c r="C323" s="16">
        <f>HYPERLINK("https://eosportal.federatedhermes.com/companies/Q29tcGFueQppNjQzNjY=", "NIKE Inc")</f>
      </c>
      <c r="D323" s="0" t="s">
        <v>25</v>
      </c>
      <c r="E323" s="0" t="s">
        <v>1194</v>
      </c>
      <c r="F323" s="16">
        <f>HYPERLINK("https://eosportal.federatedhermes.com/engagements/RW5nYWdlbWVudAppMjAwNTY=", "Diversity and inclusion")</f>
      </c>
      <c r="G323" s="14" t="s">
        <v>1195</v>
      </c>
      <c r="H323" s="0" t="s">
        <v>141</v>
      </c>
      <c r="I323" s="14" t="s">
        <v>191</v>
      </c>
      <c r="J323" s="0" t="s">
        <v>153</v>
      </c>
      <c r="K323" s="0" t="s">
        <v>154</v>
      </c>
      <c r="L323" s="0" t="s">
        <v>155</v>
      </c>
      <c r="M323" s="0" t="s">
        <v>135</v>
      </c>
      <c r="N323" s="0" t="s">
        <v>136</v>
      </c>
      <c r="O323" s="0" t="s">
        <v>332</v>
      </c>
      <c r="Q323" s="0" t="s">
        <v>141</v>
      </c>
      <c r="R323" s="0" t="s">
        <v>138</v>
      </c>
      <c r="S323" s="14">
        <v>1</v>
      </c>
      <c r="T323" s="0" t="s">
        <v>1145</v>
      </c>
      <c r="U323" s="0" t="s">
        <v>138</v>
      </c>
      <c r="V323" s="14" t="s">
        <v>138</v>
      </c>
      <c r="W323" s="0" t="s">
        <v>138</v>
      </c>
      <c r="X323" s="14" t="s">
        <v>138</v>
      </c>
      <c r="Y323" s="0" t="s">
        <v>138</v>
      </c>
      <c r="Z323" s="14" t="s">
        <v>138</v>
      </c>
      <c r="AA323" s="0" t="s">
        <v>138</v>
      </c>
      <c r="AB323" s="14" t="s">
        <v>138</v>
      </c>
      <c r="AD323" s="0" t="s">
        <v>138</v>
      </c>
      <c r="AF323" s="0">
        <v>0</v>
      </c>
      <c r="AG323" s="0">
        <v>0</v>
      </c>
      <c r="AH323" s="0" t="s">
        <v>140</v>
      </c>
      <c r="AI323" s="0" t="s">
        <v>138</v>
      </c>
      <c r="AK323" s="0" t="s">
        <v>1196</v>
      </c>
      <c r="AL323" s="14"/>
      <c r="AN323" s="14"/>
      <c r="AQ323" s="0" t="s">
        <v>130</v>
      </c>
      <c r="AR323" s="0" t="s">
        <v>130</v>
      </c>
      <c r="AS323" s="0" t="s">
        <v>130</v>
      </c>
      <c r="AT323" s="0" t="s">
        <v>130</v>
      </c>
      <c r="AU323" s="0" t="s">
        <v>130</v>
      </c>
      <c r="AV323" s="0" t="s">
        <v>130</v>
      </c>
      <c r="AW323" s="0" t="s">
        <v>130</v>
      </c>
      <c r="AX323" s="0" t="s">
        <v>141</v>
      </c>
      <c r="AY323" s="0" t="s">
        <v>130</v>
      </c>
      <c r="AZ323" s="0" t="s">
        <v>141</v>
      </c>
      <c r="BA323" s="0" t="s">
        <v>130</v>
      </c>
      <c r="BB323" s="0" t="s">
        <v>130</v>
      </c>
      <c r="BC323" s="0" t="s">
        <v>130</v>
      </c>
      <c r="BD323" s="0" t="s">
        <v>130</v>
      </c>
      <c r="BE323" s="0" t="s">
        <v>130</v>
      </c>
      <c r="BF323" s="0" t="s">
        <v>130</v>
      </c>
      <c r="BG323" s="0" t="s">
        <v>130</v>
      </c>
      <c r="BH323" s="0" t="s">
        <v>130</v>
      </c>
      <c r="BI323" s="0" t="s">
        <v>130</v>
      </c>
      <c r="BJ323" s="0" t="s">
        <v>130</v>
      </c>
      <c r="BK323" s="0" t="s">
        <v>130</v>
      </c>
      <c r="BL323" s="0" t="s">
        <v>130</v>
      </c>
      <c r="BM323" s="0" t="s">
        <v>130</v>
      </c>
      <c r="BN323" s="0" t="s">
        <v>130</v>
      </c>
      <c r="BO323" s="0" t="s">
        <v>130</v>
      </c>
      <c r="BP323" s="0" t="s">
        <v>130</v>
      </c>
      <c r="BQ323" s="0" t="s">
        <v>130</v>
      </c>
      <c r="BR323" s="0" t="s">
        <v>130</v>
      </c>
      <c r="BS323" s="0" t="s">
        <v>130</v>
      </c>
      <c r="BT323" s="0" t="s">
        <v>130</v>
      </c>
      <c r="BU323" s="0" t="s">
        <v>130</v>
      </c>
      <c r="BV323" s="0" t="s">
        <v>130</v>
      </c>
      <c r="BW323" s="0" t="s">
        <v>130</v>
      </c>
      <c r="BX323" s="0" t="s">
        <v>130</v>
      </c>
      <c r="BY323" s="0" t="s">
        <v>130</v>
      </c>
      <c r="BZ323" s="0" t="s">
        <v>130</v>
      </c>
      <c r="CA323" s="0" t="s">
        <v>130</v>
      </c>
      <c r="CB323" s="0" t="s">
        <v>130</v>
      </c>
      <c r="CC323" s="0" t="s">
        <v>130</v>
      </c>
      <c r="CD323" s="0" t="s">
        <v>130</v>
      </c>
      <c r="CE323" s="0" t="s">
        <v>130</v>
      </c>
      <c r="CF323" s="0" t="s">
        <v>130</v>
      </c>
      <c r="CG323" s="0" t="s">
        <v>130</v>
      </c>
      <c r="CH323" s="0" t="s">
        <v>130</v>
      </c>
      <c r="CI323" s="0" t="s">
        <v>141</v>
      </c>
      <c r="CJ323" s="0" t="s">
        <v>130</v>
      </c>
      <c r="CK323" s="0" t="s">
        <v>130</v>
      </c>
      <c r="CL323" s="0" t="s">
        <v>130</v>
      </c>
      <c r="CM323" s="0" t="s">
        <v>130</v>
      </c>
      <c r="CN323" s="0" t="s">
        <v>130</v>
      </c>
      <c r="CO323" s="0" t="s">
        <v>130</v>
      </c>
      <c r="CP323" s="0" t="s">
        <v>130</v>
      </c>
      <c r="CQ323" s="0" t="s">
        <v>130</v>
      </c>
      <c r="CR323" s="0" t="s">
        <v>130</v>
      </c>
      <c r="CS323" s="0" t="s">
        <v>130</v>
      </c>
      <c r="CT323" s="0" t="s">
        <v>1197</v>
      </c>
    </row>
    <row r="324">
      <c r="A324" s="14">
        <v>101073</v>
      </c>
      <c r="B324" s="0" t="s">
        <v>1186</v>
      </c>
      <c r="C324" s="16">
        <f>HYPERLINK("https://eosportal.federatedhermes.com/companies/Q29tcGFueQppNjQzNjY=", "NIKE Inc")</f>
      </c>
      <c r="D324" s="0" t="s">
        <v>25</v>
      </c>
      <c r="E324" s="0" t="s">
        <v>1198</v>
      </c>
      <c r="F324" s="16">
        <f>HYPERLINK("https://eosportal.federatedhermes.com/engagements/RW5nYWdlbWVudAppMjAwNTc=", "Tax strategy and disclosure")</f>
      </c>
      <c r="G324" s="14" t="s">
        <v>1199</v>
      </c>
      <c r="H324" s="0" t="s">
        <v>141</v>
      </c>
      <c r="I324" s="14" t="s">
        <v>191</v>
      </c>
      <c r="J324" s="0" t="s">
        <v>153</v>
      </c>
      <c r="K324" s="0" t="s">
        <v>185</v>
      </c>
      <c r="L324" s="0" t="s">
        <v>548</v>
      </c>
      <c r="M324" s="0" t="s">
        <v>135</v>
      </c>
      <c r="N324" s="0" t="s">
        <v>136</v>
      </c>
      <c r="O324" s="0" t="s">
        <v>332</v>
      </c>
      <c r="Q324" s="0" t="s">
        <v>130</v>
      </c>
      <c r="R324" s="0" t="s">
        <v>138</v>
      </c>
      <c r="S324" s="14">
        <v>0</v>
      </c>
      <c r="T324" s="0" t="s">
        <v>343</v>
      </c>
      <c r="U324" s="0" t="s">
        <v>138</v>
      </c>
      <c r="V324" s="14" t="s">
        <v>138</v>
      </c>
      <c r="W324" s="0" t="s">
        <v>138</v>
      </c>
      <c r="X324" s="14" t="s">
        <v>138</v>
      </c>
      <c r="Y324" s="0" t="s">
        <v>138</v>
      </c>
      <c r="Z324" s="14" t="s">
        <v>138</v>
      </c>
      <c r="AA324" s="0" t="s">
        <v>138</v>
      </c>
      <c r="AB324" s="14" t="s">
        <v>138</v>
      </c>
      <c r="AD324" s="0" t="s">
        <v>138</v>
      </c>
      <c r="AF324" s="0">
        <v>0</v>
      </c>
      <c r="AG324" s="0">
        <v>0</v>
      </c>
      <c r="AH324" s="0" t="s">
        <v>140</v>
      </c>
      <c r="AI324" s="0" t="s">
        <v>138</v>
      </c>
      <c r="AL324" s="14"/>
      <c r="AN324" s="14"/>
      <c r="AQ324" s="0" t="s">
        <v>130</v>
      </c>
      <c r="AR324" s="0" t="s">
        <v>130</v>
      </c>
      <c r="AS324" s="0" t="s">
        <v>130</v>
      </c>
      <c r="AT324" s="0" t="s">
        <v>130</v>
      </c>
      <c r="AU324" s="0" t="s">
        <v>130</v>
      </c>
      <c r="AV324" s="0" t="s">
        <v>130</v>
      </c>
      <c r="AW324" s="0" t="s">
        <v>130</v>
      </c>
      <c r="AX324" s="0" t="s">
        <v>130</v>
      </c>
      <c r="AY324" s="0" t="s">
        <v>130</v>
      </c>
      <c r="AZ324" s="0" t="s">
        <v>130</v>
      </c>
      <c r="BA324" s="0" t="s">
        <v>130</v>
      </c>
      <c r="BB324" s="0" t="s">
        <v>130</v>
      </c>
      <c r="BC324" s="0" t="s">
        <v>130</v>
      </c>
      <c r="BD324" s="0" t="s">
        <v>130</v>
      </c>
      <c r="BE324" s="0" t="s">
        <v>130</v>
      </c>
      <c r="BF324" s="0" t="s">
        <v>130</v>
      </c>
      <c r="BG324" s="0" t="s">
        <v>141</v>
      </c>
      <c r="BH324" s="0" t="s">
        <v>130</v>
      </c>
      <c r="BI324" s="0" t="s">
        <v>130</v>
      </c>
      <c r="BJ324" s="0" t="s">
        <v>130</v>
      </c>
      <c r="BK324" s="0" t="s">
        <v>130</v>
      </c>
      <c r="BL324" s="0" t="s">
        <v>130</v>
      </c>
      <c r="BM324" s="0" t="s">
        <v>130</v>
      </c>
      <c r="BN324" s="0" t="s">
        <v>130</v>
      </c>
      <c r="BO324" s="0" t="s">
        <v>130</v>
      </c>
      <c r="BP324" s="0" t="s">
        <v>130</v>
      </c>
      <c r="BQ324" s="0" t="s">
        <v>130</v>
      </c>
      <c r="BR324" s="0" t="s">
        <v>130</v>
      </c>
      <c r="BS324" s="0" t="s">
        <v>130</v>
      </c>
      <c r="BT324" s="0" t="s">
        <v>130</v>
      </c>
      <c r="BU324" s="0" t="s">
        <v>130</v>
      </c>
      <c r="BV324" s="0" t="s">
        <v>130</v>
      </c>
      <c r="BW324" s="0" t="s">
        <v>130</v>
      </c>
      <c r="BX324" s="0" t="s">
        <v>130</v>
      </c>
      <c r="BY324" s="0" t="s">
        <v>130</v>
      </c>
      <c r="BZ324" s="0" t="s">
        <v>130</v>
      </c>
      <c r="CA324" s="0" t="s">
        <v>130</v>
      </c>
      <c r="CB324" s="0" t="s">
        <v>130</v>
      </c>
      <c r="CC324" s="0" t="s">
        <v>130</v>
      </c>
      <c r="CD324" s="0" t="s">
        <v>130</v>
      </c>
      <c r="CE324" s="0" t="s">
        <v>130</v>
      </c>
      <c r="CF324" s="0" t="s">
        <v>130</v>
      </c>
      <c r="CG324" s="0" t="s">
        <v>130</v>
      </c>
      <c r="CH324" s="0" t="s">
        <v>130</v>
      </c>
      <c r="CI324" s="0" t="s">
        <v>130</v>
      </c>
      <c r="CJ324" s="0" t="s">
        <v>130</v>
      </c>
      <c r="CK324" s="0" t="s">
        <v>130</v>
      </c>
      <c r="CL324" s="0" t="s">
        <v>130</v>
      </c>
      <c r="CM324" s="0" t="s">
        <v>130</v>
      </c>
      <c r="CN324" s="0" t="s">
        <v>130</v>
      </c>
      <c r="CO324" s="0" t="s">
        <v>130</v>
      </c>
      <c r="CP324" s="0" t="s">
        <v>130</v>
      </c>
      <c r="CQ324" s="0" t="s">
        <v>130</v>
      </c>
      <c r="CR324" s="0" t="s">
        <v>130</v>
      </c>
      <c r="CS324" s="0" t="s">
        <v>130</v>
      </c>
      <c r="CT324" s="0" t="s">
        <v>1200</v>
      </c>
    </row>
    <row r="325">
      <c r="A325" s="14">
        <v>101073</v>
      </c>
      <c r="B325" s="0" t="s">
        <v>1186</v>
      </c>
      <c r="C325" s="16">
        <f>HYPERLINK("https://eosportal.federatedhermes.com/companies/Q29tcGFueQppNjQzNjY=", "NIKE Inc")</f>
      </c>
      <c r="D325" s="0" t="s">
        <v>25</v>
      </c>
      <c r="E325" s="0" t="s">
        <v>1201</v>
      </c>
      <c r="F325" s="16">
        <f>HYPERLINK("https://eosportal.federatedhermes.com/engagements/RW5nYWdlbWVudAppMjAwNTg=", "Working conditions")</f>
      </c>
      <c r="G325" s="14" t="s">
        <v>1202</v>
      </c>
      <c r="H325" s="0" t="s">
        <v>141</v>
      </c>
      <c r="I325" s="14" t="s">
        <v>191</v>
      </c>
      <c r="J325" s="0" t="s">
        <v>153</v>
      </c>
      <c r="K325" s="0" t="s">
        <v>243</v>
      </c>
      <c r="L325" s="0" t="s">
        <v>244</v>
      </c>
      <c r="M325" s="0" t="s">
        <v>135</v>
      </c>
      <c r="N325" s="0" t="s">
        <v>136</v>
      </c>
      <c r="O325" s="0" t="s">
        <v>332</v>
      </c>
      <c r="Q325" s="0" t="s">
        <v>141</v>
      </c>
      <c r="R325" s="0" t="s">
        <v>138</v>
      </c>
      <c r="S325" s="14">
        <v>1</v>
      </c>
      <c r="T325" s="0" t="s">
        <v>314</v>
      </c>
      <c r="U325" s="0" t="s">
        <v>138</v>
      </c>
      <c r="V325" s="14" t="s">
        <v>138</v>
      </c>
      <c r="W325" s="0" t="s">
        <v>138</v>
      </c>
      <c r="X325" s="14" t="s">
        <v>138</v>
      </c>
      <c r="Y325" s="0" t="s">
        <v>138</v>
      </c>
      <c r="Z325" s="14" t="s">
        <v>138</v>
      </c>
      <c r="AA325" s="0" t="s">
        <v>138</v>
      </c>
      <c r="AB325" s="14" t="s">
        <v>138</v>
      </c>
      <c r="AD325" s="0" t="s">
        <v>138</v>
      </c>
      <c r="AF325" s="0">
        <v>0</v>
      </c>
      <c r="AG325" s="0">
        <v>0</v>
      </c>
      <c r="AH325" s="0" t="s">
        <v>140</v>
      </c>
      <c r="AI325" s="0" t="s">
        <v>138</v>
      </c>
      <c r="AK325" s="0" t="s">
        <v>1196</v>
      </c>
      <c r="AL325" s="14"/>
      <c r="AN325" s="14"/>
      <c r="AQ325" s="0" t="s">
        <v>130</v>
      </c>
      <c r="AR325" s="0" t="s">
        <v>130</v>
      </c>
      <c r="AS325" s="0" t="s">
        <v>130</v>
      </c>
      <c r="AT325" s="0" t="s">
        <v>130</v>
      </c>
      <c r="AU325" s="0" t="s">
        <v>130</v>
      </c>
      <c r="AV325" s="0" t="s">
        <v>130</v>
      </c>
      <c r="AW325" s="0" t="s">
        <v>130</v>
      </c>
      <c r="AX325" s="0" t="s">
        <v>141</v>
      </c>
      <c r="AY325" s="0" t="s">
        <v>130</v>
      </c>
      <c r="AZ325" s="0" t="s">
        <v>130</v>
      </c>
      <c r="BA325" s="0" t="s">
        <v>130</v>
      </c>
      <c r="BB325" s="0" t="s">
        <v>130</v>
      </c>
      <c r="BC325" s="0" t="s">
        <v>130</v>
      </c>
      <c r="BD325" s="0" t="s">
        <v>130</v>
      </c>
      <c r="BE325" s="0" t="s">
        <v>130</v>
      </c>
      <c r="BF325" s="0" t="s">
        <v>130</v>
      </c>
      <c r="BG325" s="0" t="s">
        <v>130</v>
      </c>
      <c r="BH325" s="0" t="s">
        <v>130</v>
      </c>
      <c r="BI325" s="0" t="s">
        <v>130</v>
      </c>
      <c r="BJ325" s="0" t="s">
        <v>130</v>
      </c>
      <c r="BK325" s="0" t="s">
        <v>130</v>
      </c>
      <c r="BL325" s="0" t="s">
        <v>130</v>
      </c>
      <c r="BM325" s="0" t="s">
        <v>130</v>
      </c>
      <c r="BN325" s="0" t="s">
        <v>130</v>
      </c>
      <c r="BO325" s="0" t="s">
        <v>130</v>
      </c>
      <c r="BP325" s="0" t="s">
        <v>130</v>
      </c>
      <c r="BQ325" s="0" t="s">
        <v>130</v>
      </c>
      <c r="BR325" s="0" t="s">
        <v>130</v>
      </c>
      <c r="BS325" s="0" t="s">
        <v>130</v>
      </c>
      <c r="BT325" s="0" t="s">
        <v>130</v>
      </c>
      <c r="BU325" s="0" t="s">
        <v>130</v>
      </c>
      <c r="BV325" s="0" t="s">
        <v>130</v>
      </c>
      <c r="BW325" s="0" t="s">
        <v>130</v>
      </c>
      <c r="BX325" s="0" t="s">
        <v>130</v>
      </c>
      <c r="BY325" s="0" t="s">
        <v>130</v>
      </c>
      <c r="BZ325" s="0" t="s">
        <v>130</v>
      </c>
      <c r="CA325" s="0" t="s">
        <v>130</v>
      </c>
      <c r="CB325" s="0" t="s">
        <v>130</v>
      </c>
      <c r="CC325" s="0" t="s">
        <v>130</v>
      </c>
      <c r="CD325" s="0" t="s">
        <v>130</v>
      </c>
      <c r="CE325" s="0" t="s">
        <v>130</v>
      </c>
      <c r="CF325" s="0" t="s">
        <v>130</v>
      </c>
      <c r="CG325" s="0" t="s">
        <v>130</v>
      </c>
      <c r="CH325" s="0" t="s">
        <v>130</v>
      </c>
      <c r="CI325" s="0" t="s">
        <v>130</v>
      </c>
      <c r="CJ325" s="0" t="s">
        <v>130</v>
      </c>
      <c r="CK325" s="0" t="s">
        <v>130</v>
      </c>
      <c r="CL325" s="0" t="s">
        <v>130</v>
      </c>
      <c r="CM325" s="0" t="s">
        <v>130</v>
      </c>
      <c r="CN325" s="0" t="s">
        <v>130</v>
      </c>
      <c r="CO325" s="0" t="s">
        <v>130</v>
      </c>
      <c r="CP325" s="0" t="s">
        <v>130</v>
      </c>
      <c r="CQ325" s="0" t="s">
        <v>130</v>
      </c>
      <c r="CR325" s="0" t="s">
        <v>130</v>
      </c>
      <c r="CS325" s="0" t="s">
        <v>130</v>
      </c>
      <c r="CT325" s="0" t="s">
        <v>1203</v>
      </c>
    </row>
    <row r="326">
      <c r="A326" s="14">
        <v>101073</v>
      </c>
      <c r="B326" s="0" t="s">
        <v>1186</v>
      </c>
      <c r="C326" s="16">
        <f>HYPERLINK("https://eosportal.federatedhermes.com/companies/Q29tcGFueQppNjQzNjY=", "NIKE Inc")</f>
      </c>
      <c r="D326" s="0" t="s">
        <v>25</v>
      </c>
      <c r="E326" s="0" t="s">
        <v>1204</v>
      </c>
      <c r="F326" s="16">
        <f>HYPERLINK("https://eosportal.federatedhermes.com/engagements/RW5nYWdlbWVudAppMjAwNTk=", "Political donations")</f>
      </c>
      <c r="G326" s="14" t="s">
        <v>1205</v>
      </c>
      <c r="H326" s="0" t="s">
        <v>141</v>
      </c>
      <c r="I326" s="14" t="s">
        <v>191</v>
      </c>
      <c r="J326" s="0" t="s">
        <v>153</v>
      </c>
      <c r="K326" s="0" t="s">
        <v>185</v>
      </c>
      <c r="L326" s="0" t="s">
        <v>186</v>
      </c>
      <c r="M326" s="0" t="s">
        <v>135</v>
      </c>
      <c r="N326" s="0" t="s">
        <v>136</v>
      </c>
      <c r="O326" s="0" t="s">
        <v>332</v>
      </c>
      <c r="Q326" s="0" t="s">
        <v>130</v>
      </c>
      <c r="R326" s="0" t="s">
        <v>138</v>
      </c>
      <c r="S326" s="14">
        <v>0</v>
      </c>
      <c r="T326" s="0" t="s">
        <v>320</v>
      </c>
      <c r="U326" s="0" t="s">
        <v>138</v>
      </c>
      <c r="V326" s="14" t="s">
        <v>138</v>
      </c>
      <c r="W326" s="0" t="s">
        <v>138</v>
      </c>
      <c r="X326" s="14" t="s">
        <v>138</v>
      </c>
      <c r="Y326" s="0" t="s">
        <v>138</v>
      </c>
      <c r="Z326" s="14" t="s">
        <v>138</v>
      </c>
      <c r="AA326" s="0" t="s">
        <v>138</v>
      </c>
      <c r="AB326" s="14" t="s">
        <v>138</v>
      </c>
      <c r="AD326" s="0" t="s">
        <v>138</v>
      </c>
      <c r="AF326" s="0">
        <v>0</v>
      </c>
      <c r="AG326" s="0">
        <v>0</v>
      </c>
      <c r="AH326" s="0" t="s">
        <v>140</v>
      </c>
      <c r="AI326" s="0" t="s">
        <v>138</v>
      </c>
      <c r="AL326" s="14"/>
      <c r="AN326" s="14"/>
      <c r="AQ326" s="0" t="s">
        <v>130</v>
      </c>
      <c r="AR326" s="0" t="s">
        <v>130</v>
      </c>
      <c r="AS326" s="0" t="s">
        <v>130</v>
      </c>
      <c r="AT326" s="0" t="s">
        <v>130</v>
      </c>
      <c r="AU326" s="0" t="s">
        <v>130</v>
      </c>
      <c r="AV326" s="0" t="s">
        <v>130</v>
      </c>
      <c r="AW326" s="0" t="s">
        <v>130</v>
      </c>
      <c r="AX326" s="0" t="s">
        <v>130</v>
      </c>
      <c r="AY326" s="0" t="s">
        <v>130</v>
      </c>
      <c r="AZ326" s="0" t="s">
        <v>130</v>
      </c>
      <c r="BA326" s="0" t="s">
        <v>130</v>
      </c>
      <c r="BB326" s="0" t="s">
        <v>130</v>
      </c>
      <c r="BC326" s="0" t="s">
        <v>130</v>
      </c>
      <c r="BD326" s="0" t="s">
        <v>130</v>
      </c>
      <c r="BE326" s="0" t="s">
        <v>130</v>
      </c>
      <c r="BF326" s="0" t="s">
        <v>130</v>
      </c>
      <c r="BG326" s="0" t="s">
        <v>130</v>
      </c>
      <c r="BH326" s="0" t="s">
        <v>130</v>
      </c>
      <c r="BI326" s="0" t="s">
        <v>130</v>
      </c>
      <c r="BJ326" s="0" t="s">
        <v>130</v>
      </c>
      <c r="BK326" s="0" t="s">
        <v>130</v>
      </c>
      <c r="BL326" s="0" t="s">
        <v>130</v>
      </c>
      <c r="BM326" s="0" t="s">
        <v>130</v>
      </c>
      <c r="BN326" s="0" t="s">
        <v>130</v>
      </c>
      <c r="BO326" s="0" t="s">
        <v>130</v>
      </c>
      <c r="BP326" s="0" t="s">
        <v>130</v>
      </c>
      <c r="BQ326" s="0" t="s">
        <v>130</v>
      </c>
      <c r="BR326" s="0" t="s">
        <v>130</v>
      </c>
      <c r="BS326" s="0" t="s">
        <v>130</v>
      </c>
      <c r="BT326" s="0" t="s">
        <v>130</v>
      </c>
      <c r="BU326" s="0" t="s">
        <v>130</v>
      </c>
      <c r="BV326" s="0" t="s">
        <v>130</v>
      </c>
      <c r="BW326" s="0" t="s">
        <v>130</v>
      </c>
      <c r="BX326" s="0" t="s">
        <v>130</v>
      </c>
      <c r="BY326" s="0" t="s">
        <v>130</v>
      </c>
      <c r="BZ326" s="0" t="s">
        <v>130</v>
      </c>
      <c r="CA326" s="0" t="s">
        <v>130</v>
      </c>
      <c r="CB326" s="0" t="s">
        <v>130</v>
      </c>
      <c r="CC326" s="0" t="s">
        <v>130</v>
      </c>
      <c r="CD326" s="0" t="s">
        <v>130</v>
      </c>
      <c r="CE326" s="0" t="s">
        <v>130</v>
      </c>
      <c r="CF326" s="0" t="s">
        <v>130</v>
      </c>
      <c r="CG326" s="0" t="s">
        <v>130</v>
      </c>
      <c r="CH326" s="0" t="s">
        <v>130</v>
      </c>
      <c r="CI326" s="0" t="s">
        <v>130</v>
      </c>
      <c r="CJ326" s="0" t="s">
        <v>130</v>
      </c>
      <c r="CK326" s="0" t="s">
        <v>130</v>
      </c>
      <c r="CL326" s="0" t="s">
        <v>130</v>
      </c>
      <c r="CM326" s="0" t="s">
        <v>130</v>
      </c>
      <c r="CN326" s="0" t="s">
        <v>130</v>
      </c>
      <c r="CO326" s="0" t="s">
        <v>130</v>
      </c>
      <c r="CP326" s="0" t="s">
        <v>130</v>
      </c>
      <c r="CQ326" s="0" t="s">
        <v>130</v>
      </c>
      <c r="CR326" s="0" t="s">
        <v>130</v>
      </c>
      <c r="CS326" s="0" t="s">
        <v>130</v>
      </c>
      <c r="CT326" s="0" t="s">
        <v>1206</v>
      </c>
    </row>
    <row r="327">
      <c r="A327" s="14">
        <v>101073</v>
      </c>
      <c r="B327" s="0" t="s">
        <v>1186</v>
      </c>
      <c r="C327" s="16">
        <f>HYPERLINK("https://eosportal.federatedhermes.com/companies/Q29tcGFueQppNjQzNjY=", "NIKE Inc")</f>
      </c>
      <c r="D327" s="0" t="s">
        <v>25</v>
      </c>
      <c r="E327" s="0" t="s">
        <v>1207</v>
      </c>
      <c r="F327" s="16">
        <f>HYPERLINK("https://eosportal.federatedhermes.com/engagements/RW5nYWdlbWVudAppMjAwNjA=", "Sustainability programme")</f>
      </c>
      <c r="G327" s="14" t="s">
        <v>1208</v>
      </c>
      <c r="H327" s="0" t="s">
        <v>141</v>
      </c>
      <c r="I327" s="14" t="s">
        <v>191</v>
      </c>
      <c r="J327" s="0" t="s">
        <v>132</v>
      </c>
      <c r="K327" s="0" t="s">
        <v>170</v>
      </c>
      <c r="L327" s="0" t="s">
        <v>171</v>
      </c>
      <c r="M327" s="0" t="s">
        <v>135</v>
      </c>
      <c r="N327" s="0" t="s">
        <v>136</v>
      </c>
      <c r="O327" s="0" t="s">
        <v>332</v>
      </c>
      <c r="Q327" s="0" t="s">
        <v>141</v>
      </c>
      <c r="R327" s="0" t="s">
        <v>138</v>
      </c>
      <c r="S327" s="14">
        <v>1</v>
      </c>
      <c r="T327" s="0" t="s">
        <v>314</v>
      </c>
      <c r="U327" s="0" t="s">
        <v>138</v>
      </c>
      <c r="V327" s="14" t="s">
        <v>138</v>
      </c>
      <c r="W327" s="0" t="s">
        <v>138</v>
      </c>
      <c r="X327" s="14" t="s">
        <v>138</v>
      </c>
      <c r="Y327" s="0" t="s">
        <v>138</v>
      </c>
      <c r="Z327" s="14" t="s">
        <v>138</v>
      </c>
      <c r="AA327" s="0" t="s">
        <v>138</v>
      </c>
      <c r="AB327" s="14" t="s">
        <v>138</v>
      </c>
      <c r="AD327" s="0" t="s">
        <v>138</v>
      </c>
      <c r="AF327" s="0">
        <v>0</v>
      </c>
      <c r="AG327" s="0">
        <v>0</v>
      </c>
      <c r="AH327" s="0" t="s">
        <v>140</v>
      </c>
      <c r="AI327" s="0" t="s">
        <v>138</v>
      </c>
      <c r="AK327" s="0" t="s">
        <v>1196</v>
      </c>
      <c r="AL327" s="14"/>
      <c r="AN327" s="14"/>
      <c r="AQ327" s="0" t="s">
        <v>130</v>
      </c>
      <c r="AR327" s="0" t="s">
        <v>130</v>
      </c>
      <c r="AS327" s="0" t="s">
        <v>130</v>
      </c>
      <c r="AT327" s="0" t="s">
        <v>130</v>
      </c>
      <c r="AU327" s="0" t="s">
        <v>130</v>
      </c>
      <c r="AV327" s="0" t="s">
        <v>130</v>
      </c>
      <c r="AW327" s="0" t="s">
        <v>130</v>
      </c>
      <c r="AX327" s="0" t="s">
        <v>130</v>
      </c>
      <c r="AY327" s="0" t="s">
        <v>130</v>
      </c>
      <c r="AZ327" s="0" t="s">
        <v>130</v>
      </c>
      <c r="BA327" s="0" t="s">
        <v>130</v>
      </c>
      <c r="BB327" s="0" t="s">
        <v>130</v>
      </c>
      <c r="BC327" s="0" t="s">
        <v>130</v>
      </c>
      <c r="BD327" s="0" t="s">
        <v>130</v>
      </c>
      <c r="BE327" s="0" t="s">
        <v>130</v>
      </c>
      <c r="BF327" s="0" t="s">
        <v>130</v>
      </c>
      <c r="BG327" s="0" t="s">
        <v>130</v>
      </c>
      <c r="BH327" s="0" t="s">
        <v>130</v>
      </c>
      <c r="BI327" s="0" t="s">
        <v>130</v>
      </c>
      <c r="BJ327" s="0" t="s">
        <v>130</v>
      </c>
      <c r="BK327" s="0" t="s">
        <v>130</v>
      </c>
      <c r="BL327" s="0" t="s">
        <v>130</v>
      </c>
      <c r="BM327" s="0" t="s">
        <v>130</v>
      </c>
      <c r="BN327" s="0" t="s">
        <v>130</v>
      </c>
      <c r="BO327" s="0" t="s">
        <v>130</v>
      </c>
      <c r="BP327" s="0" t="s">
        <v>130</v>
      </c>
      <c r="BQ327" s="0" t="s">
        <v>130</v>
      </c>
      <c r="BR327" s="0" t="s">
        <v>130</v>
      </c>
      <c r="BS327" s="0" t="s">
        <v>130</v>
      </c>
      <c r="BT327" s="0" t="s">
        <v>130</v>
      </c>
      <c r="BU327" s="0" t="s">
        <v>130</v>
      </c>
      <c r="BV327" s="0" t="s">
        <v>130</v>
      </c>
      <c r="BW327" s="0" t="s">
        <v>130</v>
      </c>
      <c r="BX327" s="0" t="s">
        <v>130</v>
      </c>
      <c r="BY327" s="0" t="s">
        <v>130</v>
      </c>
      <c r="BZ327" s="0" t="s">
        <v>130</v>
      </c>
      <c r="CA327" s="0" t="s">
        <v>130</v>
      </c>
      <c r="CB327" s="0" t="s">
        <v>130</v>
      </c>
      <c r="CC327" s="0" t="s">
        <v>130</v>
      </c>
      <c r="CD327" s="0" t="s">
        <v>130</v>
      </c>
      <c r="CE327" s="0" t="s">
        <v>130</v>
      </c>
      <c r="CF327" s="0" t="s">
        <v>130</v>
      </c>
      <c r="CG327" s="0" t="s">
        <v>130</v>
      </c>
      <c r="CH327" s="0" t="s">
        <v>130</v>
      </c>
      <c r="CI327" s="0" t="s">
        <v>130</v>
      </c>
      <c r="CJ327" s="0" t="s">
        <v>130</v>
      </c>
      <c r="CK327" s="0" t="s">
        <v>130</v>
      </c>
      <c r="CL327" s="0" t="s">
        <v>130</v>
      </c>
      <c r="CM327" s="0" t="s">
        <v>130</v>
      </c>
      <c r="CN327" s="0" t="s">
        <v>130</v>
      </c>
      <c r="CO327" s="0" t="s">
        <v>130</v>
      </c>
      <c r="CP327" s="0" t="s">
        <v>130</v>
      </c>
      <c r="CQ327" s="0" t="s">
        <v>130</v>
      </c>
      <c r="CR327" s="0" t="s">
        <v>130</v>
      </c>
      <c r="CS327" s="0" t="s">
        <v>130</v>
      </c>
      <c r="CT327" s="0" t="s">
        <v>1209</v>
      </c>
    </row>
    <row r="328">
      <c r="A328" s="14">
        <v>101073</v>
      </c>
      <c r="B328" s="0" t="s">
        <v>1186</v>
      </c>
      <c r="C328" s="16">
        <f>HYPERLINK("https://eosportal.federatedhermes.com/companies/Q29tcGFueQppNjQzNjY=", "NIKE Inc")</f>
      </c>
      <c r="D328" s="0" t="s">
        <v>25</v>
      </c>
      <c r="E328" s="0" t="s">
        <v>1210</v>
      </c>
      <c r="F328" s="16">
        <f>HYPERLINK("https://eosportal.federatedhermes.com/engagements/RW5nYWdlbWVudAppMjAwNjE=", "Dual class share structure")</f>
      </c>
      <c r="G328" s="14" t="s">
        <v>1211</v>
      </c>
      <c r="H328" s="0" t="s">
        <v>141</v>
      </c>
      <c r="I328" s="14" t="s">
        <v>191</v>
      </c>
      <c r="J328" s="0" t="s">
        <v>132</v>
      </c>
      <c r="K328" s="0" t="s">
        <v>133</v>
      </c>
      <c r="L328" s="0" t="s">
        <v>134</v>
      </c>
      <c r="M328" s="0" t="s">
        <v>135</v>
      </c>
      <c r="N328" s="0" t="s">
        <v>136</v>
      </c>
      <c r="O328" s="0" t="s">
        <v>332</v>
      </c>
      <c r="Q328" s="0" t="s">
        <v>130</v>
      </c>
      <c r="R328" s="0" t="s">
        <v>138</v>
      </c>
      <c r="S328" s="14">
        <v>0</v>
      </c>
      <c r="T328" s="0" t="s">
        <v>384</v>
      </c>
      <c r="U328" s="0" t="s">
        <v>138</v>
      </c>
      <c r="V328" s="14" t="s">
        <v>138</v>
      </c>
      <c r="W328" s="0" t="s">
        <v>138</v>
      </c>
      <c r="X328" s="14" t="s">
        <v>138</v>
      </c>
      <c r="Y328" s="0" t="s">
        <v>138</v>
      </c>
      <c r="Z328" s="14" t="s">
        <v>138</v>
      </c>
      <c r="AA328" s="0" t="s">
        <v>138</v>
      </c>
      <c r="AB328" s="14" t="s">
        <v>138</v>
      </c>
      <c r="AD328" s="0" t="s">
        <v>138</v>
      </c>
      <c r="AF328" s="0">
        <v>0</v>
      </c>
      <c r="AG328" s="0">
        <v>0</v>
      </c>
      <c r="AH328" s="0" t="s">
        <v>140</v>
      </c>
      <c r="AI328" s="0" t="s">
        <v>138</v>
      </c>
      <c r="AL328" s="14"/>
      <c r="AN328" s="14"/>
      <c r="AQ328" s="0" t="s">
        <v>130</v>
      </c>
      <c r="AR328" s="0" t="s">
        <v>130</v>
      </c>
      <c r="AS328" s="0" t="s">
        <v>130</v>
      </c>
      <c r="AT328" s="0" t="s">
        <v>130</v>
      </c>
      <c r="AU328" s="0" t="s">
        <v>130</v>
      </c>
      <c r="AV328" s="0" t="s">
        <v>130</v>
      </c>
      <c r="AW328" s="0" t="s">
        <v>130</v>
      </c>
      <c r="AX328" s="0" t="s">
        <v>130</v>
      </c>
      <c r="AY328" s="0" t="s">
        <v>130</v>
      </c>
      <c r="AZ328" s="0" t="s">
        <v>130</v>
      </c>
      <c r="BA328" s="0" t="s">
        <v>130</v>
      </c>
      <c r="BB328" s="0" t="s">
        <v>130</v>
      </c>
      <c r="BC328" s="0" t="s">
        <v>130</v>
      </c>
      <c r="BD328" s="0" t="s">
        <v>130</v>
      </c>
      <c r="BE328" s="0" t="s">
        <v>130</v>
      </c>
      <c r="BF328" s="0" t="s">
        <v>130</v>
      </c>
      <c r="BG328" s="0" t="s">
        <v>130</v>
      </c>
      <c r="BH328" s="0" t="s">
        <v>130</v>
      </c>
      <c r="BI328" s="0" t="s">
        <v>130</v>
      </c>
      <c r="BJ328" s="0" t="s">
        <v>130</v>
      </c>
      <c r="BK328" s="0" t="s">
        <v>130</v>
      </c>
      <c r="BL328" s="0" t="s">
        <v>130</v>
      </c>
      <c r="BM328" s="0" t="s">
        <v>130</v>
      </c>
      <c r="BN328" s="0" t="s">
        <v>130</v>
      </c>
      <c r="BO328" s="0" t="s">
        <v>130</v>
      </c>
      <c r="BP328" s="0" t="s">
        <v>130</v>
      </c>
      <c r="BQ328" s="0" t="s">
        <v>130</v>
      </c>
      <c r="BR328" s="0" t="s">
        <v>130</v>
      </c>
      <c r="BS328" s="0" t="s">
        <v>130</v>
      </c>
      <c r="BT328" s="0" t="s">
        <v>130</v>
      </c>
      <c r="BU328" s="0" t="s">
        <v>130</v>
      </c>
      <c r="BV328" s="0" t="s">
        <v>130</v>
      </c>
      <c r="BW328" s="0" t="s">
        <v>130</v>
      </c>
      <c r="BX328" s="0" t="s">
        <v>130</v>
      </c>
      <c r="BY328" s="0" t="s">
        <v>130</v>
      </c>
      <c r="BZ328" s="0" t="s">
        <v>130</v>
      </c>
      <c r="CA328" s="0" t="s">
        <v>130</v>
      </c>
      <c r="CB328" s="0" t="s">
        <v>130</v>
      </c>
      <c r="CC328" s="0" t="s">
        <v>130</v>
      </c>
      <c r="CD328" s="0" t="s">
        <v>130</v>
      </c>
      <c r="CE328" s="0" t="s">
        <v>130</v>
      </c>
      <c r="CF328" s="0" t="s">
        <v>130</v>
      </c>
      <c r="CG328" s="0" t="s">
        <v>130</v>
      </c>
      <c r="CH328" s="0" t="s">
        <v>130</v>
      </c>
      <c r="CI328" s="0" t="s">
        <v>130</v>
      </c>
      <c r="CJ328" s="0" t="s">
        <v>130</v>
      </c>
      <c r="CK328" s="0" t="s">
        <v>130</v>
      </c>
      <c r="CL328" s="0" t="s">
        <v>130</v>
      </c>
      <c r="CM328" s="0" t="s">
        <v>130</v>
      </c>
      <c r="CN328" s="0" t="s">
        <v>130</v>
      </c>
      <c r="CO328" s="0" t="s">
        <v>130</v>
      </c>
      <c r="CP328" s="0" t="s">
        <v>130</v>
      </c>
      <c r="CQ328" s="0" t="s">
        <v>130</v>
      </c>
      <c r="CR328" s="0" t="s">
        <v>130</v>
      </c>
      <c r="CS328" s="0" t="s">
        <v>130</v>
      </c>
      <c r="CT328" s="0" t="s">
        <v>1212</v>
      </c>
    </row>
    <row r="329">
      <c r="A329" s="14">
        <v>101073</v>
      </c>
      <c r="B329" s="0" t="s">
        <v>1186</v>
      </c>
      <c r="C329" s="16">
        <f>HYPERLINK("https://eosportal.federatedhermes.com/companies/Q29tcGFueQppNjQzNjY=", "NIKE Inc")</f>
      </c>
      <c r="D329" s="0" t="s">
        <v>25</v>
      </c>
      <c r="E329" s="0" t="s">
        <v>1213</v>
      </c>
      <c r="F329" s="16">
        <f>HYPERLINK("https://eosportal.federatedhermes.com/engagements/RW5nYWdlbWVudAppMjAwNjI=", "Racial justice")</f>
      </c>
      <c r="G329" s="14" t="s">
        <v>1214</v>
      </c>
      <c r="H329" s="0" t="s">
        <v>141</v>
      </c>
      <c r="I329" s="14" t="s">
        <v>191</v>
      </c>
      <c r="J329" s="0" t="s">
        <v>197</v>
      </c>
      <c r="K329" s="0" t="s">
        <v>198</v>
      </c>
      <c r="L329" s="0" t="s">
        <v>199</v>
      </c>
      <c r="M329" s="0" t="s">
        <v>135</v>
      </c>
      <c r="N329" s="0" t="s">
        <v>136</v>
      </c>
      <c r="O329" s="0" t="s">
        <v>332</v>
      </c>
      <c r="Q329" s="0" t="s">
        <v>130</v>
      </c>
      <c r="R329" s="0" t="s">
        <v>138</v>
      </c>
      <c r="S329" s="14">
        <v>0</v>
      </c>
      <c r="T329" s="0" t="s">
        <v>139</v>
      </c>
      <c r="U329" s="0" t="s">
        <v>138</v>
      </c>
      <c r="V329" s="14" t="s">
        <v>138</v>
      </c>
      <c r="W329" s="0" t="s">
        <v>138</v>
      </c>
      <c r="X329" s="14" t="s">
        <v>138</v>
      </c>
      <c r="Y329" s="0" t="s">
        <v>138</v>
      </c>
      <c r="Z329" s="14" t="s">
        <v>138</v>
      </c>
      <c r="AA329" s="0" t="s">
        <v>138</v>
      </c>
      <c r="AB329" s="14" t="s">
        <v>138</v>
      </c>
      <c r="AD329" s="0" t="s">
        <v>138</v>
      </c>
      <c r="AF329" s="0">
        <v>0</v>
      </c>
      <c r="AG329" s="0">
        <v>0</v>
      </c>
      <c r="AH329" s="0" t="s">
        <v>140</v>
      </c>
      <c r="AI329" s="0" t="s">
        <v>138</v>
      </c>
      <c r="AL329" s="14"/>
      <c r="AN329" s="14"/>
      <c r="AQ329" s="0" t="s">
        <v>130</v>
      </c>
      <c r="AR329" s="0" t="s">
        <v>130</v>
      </c>
      <c r="AS329" s="0" t="s">
        <v>130</v>
      </c>
      <c r="AT329" s="0" t="s">
        <v>130</v>
      </c>
      <c r="AU329" s="0" t="s">
        <v>130</v>
      </c>
      <c r="AV329" s="0" t="s">
        <v>130</v>
      </c>
      <c r="AW329" s="0" t="s">
        <v>130</v>
      </c>
      <c r="AX329" s="0" t="s">
        <v>130</v>
      </c>
      <c r="AY329" s="0" t="s">
        <v>130</v>
      </c>
      <c r="AZ329" s="0" t="s">
        <v>141</v>
      </c>
      <c r="BA329" s="0" t="s">
        <v>130</v>
      </c>
      <c r="BB329" s="0" t="s">
        <v>130</v>
      </c>
      <c r="BC329" s="0" t="s">
        <v>130</v>
      </c>
      <c r="BD329" s="0" t="s">
        <v>130</v>
      </c>
      <c r="BE329" s="0" t="s">
        <v>130</v>
      </c>
      <c r="BF329" s="0" t="s">
        <v>141</v>
      </c>
      <c r="BG329" s="0" t="s">
        <v>130</v>
      </c>
      <c r="BH329" s="0" t="s">
        <v>130</v>
      </c>
      <c r="BI329" s="0" t="s">
        <v>130</v>
      </c>
      <c r="BJ329" s="0" t="s">
        <v>130</v>
      </c>
      <c r="BK329" s="0" t="s">
        <v>130</v>
      </c>
      <c r="BL329" s="0" t="s">
        <v>130</v>
      </c>
      <c r="BM329" s="0" t="s">
        <v>130</v>
      </c>
      <c r="BN329" s="0" t="s">
        <v>130</v>
      </c>
      <c r="BO329" s="0" t="s">
        <v>130</v>
      </c>
      <c r="BP329" s="0" t="s">
        <v>130</v>
      </c>
      <c r="BQ329" s="0" t="s">
        <v>130</v>
      </c>
      <c r="BR329" s="0" t="s">
        <v>130</v>
      </c>
      <c r="BS329" s="0" t="s">
        <v>130</v>
      </c>
      <c r="BT329" s="0" t="s">
        <v>130</v>
      </c>
      <c r="BU329" s="0" t="s">
        <v>130</v>
      </c>
      <c r="BV329" s="0" t="s">
        <v>130</v>
      </c>
      <c r="BW329" s="0" t="s">
        <v>130</v>
      </c>
      <c r="BX329" s="0" t="s">
        <v>130</v>
      </c>
      <c r="BY329" s="0" t="s">
        <v>130</v>
      </c>
      <c r="BZ329" s="0" t="s">
        <v>130</v>
      </c>
      <c r="CA329" s="0" t="s">
        <v>130</v>
      </c>
      <c r="CB329" s="0" t="s">
        <v>130</v>
      </c>
      <c r="CC329" s="0" t="s">
        <v>130</v>
      </c>
      <c r="CD329" s="0" t="s">
        <v>130</v>
      </c>
      <c r="CE329" s="0" t="s">
        <v>130</v>
      </c>
      <c r="CF329" s="0" t="s">
        <v>130</v>
      </c>
      <c r="CG329" s="0" t="s">
        <v>130</v>
      </c>
      <c r="CH329" s="0" t="s">
        <v>130</v>
      </c>
      <c r="CI329" s="0" t="s">
        <v>130</v>
      </c>
      <c r="CJ329" s="0" t="s">
        <v>130</v>
      </c>
      <c r="CK329" s="0" t="s">
        <v>130</v>
      </c>
      <c r="CL329" s="0" t="s">
        <v>130</v>
      </c>
      <c r="CM329" s="0" t="s">
        <v>130</v>
      </c>
      <c r="CN329" s="0" t="s">
        <v>130</v>
      </c>
      <c r="CO329" s="0" t="s">
        <v>130</v>
      </c>
      <c r="CP329" s="0" t="s">
        <v>130</v>
      </c>
      <c r="CQ329" s="0" t="s">
        <v>130</v>
      </c>
      <c r="CR329" s="0" t="s">
        <v>130</v>
      </c>
      <c r="CS329" s="0" t="s">
        <v>130</v>
      </c>
      <c r="CT329" s="0" t="s">
        <v>1215</v>
      </c>
    </row>
    <row r="330">
      <c r="A330" s="14">
        <v>101073</v>
      </c>
      <c r="B330" s="0" t="s">
        <v>1186</v>
      </c>
      <c r="C330" s="16">
        <f>HYPERLINK("https://eosportal.federatedhermes.com/companies/Q29tcGFueQppNjQzNjY=", "NIKE Inc")</f>
      </c>
      <c r="D330" s="0" t="s">
        <v>25</v>
      </c>
      <c r="E330" s="0" t="s">
        <v>1216</v>
      </c>
      <c r="F330" s="16">
        <f>HYPERLINK("https://eosportal.federatedhermes.com/engagements/RW5nYWdlbWVudAppMjAwNjM=", "Human rights of Uyghar people")</f>
      </c>
      <c r="G330" s="14" t="s">
        <v>1217</v>
      </c>
      <c r="H330" s="0" t="s">
        <v>141</v>
      </c>
      <c r="I330" s="14" t="s">
        <v>191</v>
      </c>
      <c r="J330" s="0" t="s">
        <v>153</v>
      </c>
      <c r="K330" s="0" t="s">
        <v>243</v>
      </c>
      <c r="L330" s="0" t="s">
        <v>456</v>
      </c>
      <c r="M330" s="0" t="s">
        <v>135</v>
      </c>
      <c r="N330" s="0" t="s">
        <v>136</v>
      </c>
      <c r="O330" s="0" t="s">
        <v>332</v>
      </c>
      <c r="Q330" s="0" t="s">
        <v>141</v>
      </c>
      <c r="R330" s="0" t="s">
        <v>138</v>
      </c>
      <c r="S330" s="14">
        <v>1</v>
      </c>
      <c r="T330" s="0" t="s">
        <v>139</v>
      </c>
      <c r="U330" s="0" t="s">
        <v>138</v>
      </c>
      <c r="V330" s="14" t="s">
        <v>138</v>
      </c>
      <c r="W330" s="0" t="s">
        <v>138</v>
      </c>
      <c r="X330" s="14" t="s">
        <v>138</v>
      </c>
      <c r="Y330" s="0" t="s">
        <v>138</v>
      </c>
      <c r="Z330" s="14" t="s">
        <v>138</v>
      </c>
      <c r="AA330" s="0" t="s">
        <v>138</v>
      </c>
      <c r="AB330" s="14" t="s">
        <v>138</v>
      </c>
      <c r="AD330" s="0" t="s">
        <v>138</v>
      </c>
      <c r="AF330" s="0">
        <v>0</v>
      </c>
      <c r="AG330" s="0">
        <v>0</v>
      </c>
      <c r="AH330" s="0" t="s">
        <v>140</v>
      </c>
      <c r="AI330" s="0" t="s">
        <v>138</v>
      </c>
      <c r="AK330" s="0" t="s">
        <v>1196</v>
      </c>
      <c r="AL330" s="14"/>
      <c r="AN330" s="14"/>
      <c r="AQ330" s="0" t="s">
        <v>130</v>
      </c>
      <c r="AR330" s="0" t="s">
        <v>130</v>
      </c>
      <c r="AS330" s="0" t="s">
        <v>130</v>
      </c>
      <c r="AT330" s="0" t="s">
        <v>130</v>
      </c>
      <c r="AU330" s="0" t="s">
        <v>130</v>
      </c>
      <c r="AV330" s="0" t="s">
        <v>130</v>
      </c>
      <c r="AW330" s="0" t="s">
        <v>130</v>
      </c>
      <c r="AX330" s="0" t="s">
        <v>141</v>
      </c>
      <c r="AY330" s="0" t="s">
        <v>130</v>
      </c>
      <c r="AZ330" s="0" t="s">
        <v>130</v>
      </c>
      <c r="BA330" s="0" t="s">
        <v>130</v>
      </c>
      <c r="BB330" s="0" t="s">
        <v>130</v>
      </c>
      <c r="BC330" s="0" t="s">
        <v>130</v>
      </c>
      <c r="BD330" s="0" t="s">
        <v>130</v>
      </c>
      <c r="BE330" s="0" t="s">
        <v>130</v>
      </c>
      <c r="BF330" s="0" t="s">
        <v>141</v>
      </c>
      <c r="BG330" s="0" t="s">
        <v>130</v>
      </c>
      <c r="BH330" s="0" t="s">
        <v>130</v>
      </c>
      <c r="BI330" s="0" t="s">
        <v>130</v>
      </c>
      <c r="BJ330" s="0" t="s">
        <v>130</v>
      </c>
      <c r="BK330" s="0" t="s">
        <v>130</v>
      </c>
      <c r="BL330" s="0" t="s">
        <v>130</v>
      </c>
      <c r="BM330" s="0" t="s">
        <v>130</v>
      </c>
      <c r="BN330" s="0" t="s">
        <v>130</v>
      </c>
      <c r="BO330" s="0" t="s">
        <v>130</v>
      </c>
      <c r="BP330" s="0" t="s">
        <v>130</v>
      </c>
      <c r="BQ330" s="0" t="s">
        <v>130</v>
      </c>
      <c r="BR330" s="0" t="s">
        <v>130</v>
      </c>
      <c r="BS330" s="0" t="s">
        <v>130</v>
      </c>
      <c r="BT330" s="0" t="s">
        <v>130</v>
      </c>
      <c r="BU330" s="0" t="s">
        <v>130</v>
      </c>
      <c r="BV330" s="0" t="s">
        <v>130</v>
      </c>
      <c r="BW330" s="0" t="s">
        <v>130</v>
      </c>
      <c r="BX330" s="0" t="s">
        <v>130</v>
      </c>
      <c r="BY330" s="0" t="s">
        <v>130</v>
      </c>
      <c r="BZ330" s="0" t="s">
        <v>130</v>
      </c>
      <c r="CA330" s="0" t="s">
        <v>130</v>
      </c>
      <c r="CB330" s="0" t="s">
        <v>130</v>
      </c>
      <c r="CC330" s="0" t="s">
        <v>130</v>
      </c>
      <c r="CD330" s="0" t="s">
        <v>130</v>
      </c>
      <c r="CE330" s="0" t="s">
        <v>130</v>
      </c>
      <c r="CF330" s="0" t="s">
        <v>130</v>
      </c>
      <c r="CG330" s="0" t="s">
        <v>130</v>
      </c>
      <c r="CH330" s="0" t="s">
        <v>130</v>
      </c>
      <c r="CI330" s="0" t="s">
        <v>130</v>
      </c>
      <c r="CJ330" s="0" t="s">
        <v>130</v>
      </c>
      <c r="CK330" s="0" t="s">
        <v>130</v>
      </c>
      <c r="CL330" s="0" t="s">
        <v>130</v>
      </c>
      <c r="CM330" s="0" t="s">
        <v>130</v>
      </c>
      <c r="CN330" s="0" t="s">
        <v>130</v>
      </c>
      <c r="CO330" s="0" t="s">
        <v>130</v>
      </c>
      <c r="CP330" s="0" t="s">
        <v>130</v>
      </c>
      <c r="CQ330" s="0" t="s">
        <v>130</v>
      </c>
      <c r="CR330" s="0" t="s">
        <v>130</v>
      </c>
      <c r="CS330" s="0" t="s">
        <v>130</v>
      </c>
      <c r="CT330" s="0" t="s">
        <v>1218</v>
      </c>
    </row>
    <row r="331">
      <c r="A331" s="14">
        <v>113129</v>
      </c>
      <c r="B331" s="0" t="s">
        <v>1219</v>
      </c>
      <c r="C331" s="16">
        <f>HYPERLINK("https://eosportal.federatedhermes.com/companies/Q29tcGFueQppNDY5NDc=", "Wesfarmers Ltd")</f>
      </c>
      <c r="D331" s="0" t="s">
        <v>25</v>
      </c>
      <c r="E331" s="0" t="s">
        <v>341</v>
      </c>
      <c r="F331" s="16">
        <f>HYPERLINK("https://eosportal.federatedhermes.com/engagements/RW5nYWdlbWVudAppMjAwNjQ=", "Remuneration")</f>
      </c>
      <c r="G331" s="14" t="s">
        <v>642</v>
      </c>
      <c r="H331" s="0" t="s">
        <v>130</v>
      </c>
      <c r="I331" s="14" t="s">
        <v>319</v>
      </c>
      <c r="J331" s="0" t="s">
        <v>145</v>
      </c>
      <c r="K331" s="0" t="s">
        <v>146</v>
      </c>
      <c r="L331" s="0" t="s">
        <v>147</v>
      </c>
      <c r="M331" s="0" t="s">
        <v>371</v>
      </c>
      <c r="N331" s="0" t="s">
        <v>372</v>
      </c>
      <c r="O331" s="0" t="s">
        <v>643</v>
      </c>
      <c r="Q331" s="0" t="s">
        <v>141</v>
      </c>
      <c r="R331" s="0" t="s">
        <v>138</v>
      </c>
      <c r="S331" s="14">
        <v>1</v>
      </c>
      <c r="T331" s="0" t="s">
        <v>193</v>
      </c>
      <c r="U331" s="0" t="s">
        <v>138</v>
      </c>
      <c r="V331" s="14" t="s">
        <v>138</v>
      </c>
      <c r="W331" s="0" t="s">
        <v>138</v>
      </c>
      <c r="X331" s="14" t="s">
        <v>138</v>
      </c>
      <c r="Y331" s="0" t="s">
        <v>138</v>
      </c>
      <c r="Z331" s="14" t="s">
        <v>138</v>
      </c>
      <c r="AA331" s="0" t="s">
        <v>138</v>
      </c>
      <c r="AB331" s="14" t="s">
        <v>138</v>
      </c>
      <c r="AD331" s="0" t="s">
        <v>138</v>
      </c>
      <c r="AF331" s="0">
        <v>0</v>
      </c>
      <c r="AG331" s="0">
        <v>0</v>
      </c>
      <c r="AH331" s="0" t="s">
        <v>140</v>
      </c>
      <c r="AI331" s="0" t="s">
        <v>138</v>
      </c>
      <c r="AK331" s="0" t="s">
        <v>1220</v>
      </c>
      <c r="AL331" s="14"/>
      <c r="AN331" s="14"/>
      <c r="AQ331" s="0" t="s">
        <v>130</v>
      </c>
      <c r="AR331" s="0" t="s">
        <v>130</v>
      </c>
      <c r="AS331" s="0" t="s">
        <v>130</v>
      </c>
      <c r="AT331" s="0" t="s">
        <v>130</v>
      </c>
      <c r="AU331" s="0" t="s">
        <v>130</v>
      </c>
      <c r="AV331" s="0" t="s">
        <v>130</v>
      </c>
      <c r="AW331" s="0" t="s">
        <v>130</v>
      </c>
      <c r="AX331" s="0" t="s">
        <v>130</v>
      </c>
      <c r="AY331" s="0" t="s">
        <v>130</v>
      </c>
      <c r="AZ331" s="0" t="s">
        <v>130</v>
      </c>
      <c r="BA331" s="0" t="s">
        <v>130</v>
      </c>
      <c r="BB331" s="0" t="s">
        <v>130</v>
      </c>
      <c r="BC331" s="0" t="s">
        <v>130</v>
      </c>
      <c r="BD331" s="0" t="s">
        <v>130</v>
      </c>
      <c r="BE331" s="0" t="s">
        <v>130</v>
      </c>
      <c r="BF331" s="0" t="s">
        <v>130</v>
      </c>
      <c r="BG331" s="0" t="s">
        <v>130</v>
      </c>
      <c r="BH331" s="0" t="s">
        <v>130</v>
      </c>
      <c r="BI331" s="0" t="s">
        <v>130</v>
      </c>
      <c r="BJ331" s="0" t="s">
        <v>130</v>
      </c>
      <c r="BK331" s="0" t="s">
        <v>130</v>
      </c>
      <c r="BL331" s="0" t="s">
        <v>130</v>
      </c>
      <c r="BM331" s="0" t="s">
        <v>130</v>
      </c>
      <c r="BN331" s="0" t="s">
        <v>130</v>
      </c>
      <c r="BO331" s="0" t="s">
        <v>130</v>
      </c>
      <c r="BP331" s="0" t="s">
        <v>130</v>
      </c>
      <c r="BQ331" s="0" t="s">
        <v>130</v>
      </c>
      <c r="BR331" s="0" t="s">
        <v>130</v>
      </c>
      <c r="BS331" s="0" t="s">
        <v>130</v>
      </c>
      <c r="BT331" s="0" t="s">
        <v>130</v>
      </c>
      <c r="BU331" s="0" t="s">
        <v>130</v>
      </c>
      <c r="BV331" s="0" t="s">
        <v>130</v>
      </c>
      <c r="BW331" s="0" t="s">
        <v>130</v>
      </c>
      <c r="BX331" s="0" t="s">
        <v>130</v>
      </c>
      <c r="BY331" s="0" t="s">
        <v>130</v>
      </c>
      <c r="BZ331" s="0" t="s">
        <v>130</v>
      </c>
      <c r="CA331" s="0" t="s">
        <v>130</v>
      </c>
      <c r="CB331" s="0" t="s">
        <v>130</v>
      </c>
      <c r="CC331" s="0" t="s">
        <v>130</v>
      </c>
      <c r="CD331" s="0" t="s">
        <v>130</v>
      </c>
      <c r="CE331" s="0" t="s">
        <v>130</v>
      </c>
      <c r="CF331" s="0" t="s">
        <v>130</v>
      </c>
      <c r="CG331" s="0" t="s">
        <v>130</v>
      </c>
      <c r="CH331" s="0" t="s">
        <v>130</v>
      </c>
      <c r="CI331" s="0" t="s">
        <v>130</v>
      </c>
      <c r="CJ331" s="0" t="s">
        <v>130</v>
      </c>
      <c r="CK331" s="0" t="s">
        <v>130</v>
      </c>
      <c r="CL331" s="0" t="s">
        <v>130</v>
      </c>
      <c r="CM331" s="0" t="s">
        <v>130</v>
      </c>
      <c r="CN331" s="0" t="s">
        <v>130</v>
      </c>
      <c r="CO331" s="0" t="s">
        <v>130</v>
      </c>
      <c r="CP331" s="0" t="s">
        <v>130</v>
      </c>
      <c r="CQ331" s="0" t="s">
        <v>130</v>
      </c>
      <c r="CR331" s="0" t="s">
        <v>130</v>
      </c>
      <c r="CS331" s="0" t="s">
        <v>130</v>
      </c>
      <c r="CT331" s="0" t="s">
        <v>1221</v>
      </c>
    </row>
    <row r="332">
      <c r="A332" s="14">
        <v>113129</v>
      </c>
      <c r="B332" s="0" t="s">
        <v>1219</v>
      </c>
      <c r="C332" s="16">
        <f>HYPERLINK("https://eosportal.federatedhermes.com/companies/Q29tcGFueQppNDY5NDc=", "Wesfarmers Ltd")</f>
      </c>
      <c r="D332" s="0" t="s">
        <v>25</v>
      </c>
      <c r="E332" s="0" t="s">
        <v>652</v>
      </c>
      <c r="F332" s="16">
        <f>HYPERLINK("https://eosportal.federatedhermes.com/engagements/RW5nYWdlbWVudAppMjAwNjk=", "Protein diversification")</f>
      </c>
      <c r="G332" s="14" t="s">
        <v>653</v>
      </c>
      <c r="H332" s="0" t="s">
        <v>130</v>
      </c>
      <c r="I332" s="14" t="s">
        <v>319</v>
      </c>
      <c r="J332" s="0" t="s">
        <v>197</v>
      </c>
      <c r="K332" s="0" t="s">
        <v>337</v>
      </c>
      <c r="L332" s="0" t="s">
        <v>1222</v>
      </c>
      <c r="M332" s="0" t="s">
        <v>371</v>
      </c>
      <c r="N332" s="0" t="s">
        <v>372</v>
      </c>
      <c r="O332" s="0" t="s">
        <v>643</v>
      </c>
      <c r="Q332" s="0" t="s">
        <v>130</v>
      </c>
      <c r="R332" s="0" t="s">
        <v>138</v>
      </c>
      <c r="S332" s="14">
        <v>0</v>
      </c>
      <c r="T332" s="0" t="s">
        <v>333</v>
      </c>
      <c r="U332" s="0" t="s">
        <v>138</v>
      </c>
      <c r="V332" s="14" t="s">
        <v>138</v>
      </c>
      <c r="W332" s="0" t="s">
        <v>138</v>
      </c>
      <c r="X332" s="14" t="s">
        <v>138</v>
      </c>
      <c r="Y332" s="0" t="s">
        <v>138</v>
      </c>
      <c r="Z332" s="14" t="s">
        <v>138</v>
      </c>
      <c r="AA332" s="0" t="s">
        <v>138</v>
      </c>
      <c r="AB332" s="14" t="s">
        <v>138</v>
      </c>
      <c r="AD332" s="0" t="s">
        <v>138</v>
      </c>
      <c r="AF332" s="0">
        <v>0</v>
      </c>
      <c r="AG332" s="0">
        <v>0</v>
      </c>
      <c r="AH332" s="0" t="s">
        <v>140</v>
      </c>
      <c r="AI332" s="0" t="s">
        <v>138</v>
      </c>
      <c r="AL332" s="14"/>
      <c r="AN332" s="14"/>
      <c r="AQ332" s="0" t="s">
        <v>130</v>
      </c>
      <c r="AR332" s="0" t="s">
        <v>130</v>
      </c>
      <c r="AS332" s="0" t="s">
        <v>130</v>
      </c>
      <c r="AT332" s="0" t="s">
        <v>130</v>
      </c>
      <c r="AU332" s="0" t="s">
        <v>130</v>
      </c>
      <c r="AV332" s="0" t="s">
        <v>130</v>
      </c>
      <c r="AW332" s="0" t="s">
        <v>130</v>
      </c>
      <c r="AX332" s="0" t="s">
        <v>130</v>
      </c>
      <c r="AY332" s="0" t="s">
        <v>130</v>
      </c>
      <c r="AZ332" s="0" t="s">
        <v>130</v>
      </c>
      <c r="BA332" s="0" t="s">
        <v>130</v>
      </c>
      <c r="BB332" s="0" t="s">
        <v>141</v>
      </c>
      <c r="BC332" s="0" t="s">
        <v>141</v>
      </c>
      <c r="BD332" s="0" t="s">
        <v>130</v>
      </c>
      <c r="BE332" s="0" t="s">
        <v>130</v>
      </c>
      <c r="BF332" s="0" t="s">
        <v>130</v>
      </c>
      <c r="BG332" s="0" t="s">
        <v>130</v>
      </c>
      <c r="BH332" s="0" t="s">
        <v>130</v>
      </c>
      <c r="BI332" s="0" t="s">
        <v>130</v>
      </c>
      <c r="BJ332" s="0" t="s">
        <v>130</v>
      </c>
      <c r="BK332" s="0" t="s">
        <v>130</v>
      </c>
      <c r="BL332" s="0" t="s">
        <v>130</v>
      </c>
      <c r="BM332" s="0" t="s">
        <v>130</v>
      </c>
      <c r="BN332" s="0" t="s">
        <v>130</v>
      </c>
      <c r="BO332" s="0" t="s">
        <v>130</v>
      </c>
      <c r="BP332" s="0" t="s">
        <v>130</v>
      </c>
      <c r="BQ332" s="0" t="s">
        <v>130</v>
      </c>
      <c r="BR332" s="0" t="s">
        <v>130</v>
      </c>
      <c r="BS332" s="0" t="s">
        <v>130</v>
      </c>
      <c r="BT332" s="0" t="s">
        <v>130</v>
      </c>
      <c r="BU332" s="0" t="s">
        <v>130</v>
      </c>
      <c r="BV332" s="0" t="s">
        <v>130</v>
      </c>
      <c r="BW332" s="0" t="s">
        <v>130</v>
      </c>
      <c r="BX332" s="0" t="s">
        <v>130</v>
      </c>
      <c r="BY332" s="0" t="s">
        <v>130</v>
      </c>
      <c r="BZ332" s="0" t="s">
        <v>130</v>
      </c>
      <c r="CA332" s="0" t="s">
        <v>130</v>
      </c>
      <c r="CB332" s="0" t="s">
        <v>130</v>
      </c>
      <c r="CC332" s="0" t="s">
        <v>130</v>
      </c>
      <c r="CD332" s="0" t="s">
        <v>130</v>
      </c>
      <c r="CE332" s="0" t="s">
        <v>130</v>
      </c>
      <c r="CF332" s="0" t="s">
        <v>130</v>
      </c>
      <c r="CG332" s="0" t="s">
        <v>130</v>
      </c>
      <c r="CH332" s="0" t="s">
        <v>130</v>
      </c>
      <c r="CI332" s="0" t="s">
        <v>130</v>
      </c>
      <c r="CJ332" s="0" t="s">
        <v>130</v>
      </c>
      <c r="CK332" s="0" t="s">
        <v>130</v>
      </c>
      <c r="CL332" s="0" t="s">
        <v>130</v>
      </c>
      <c r="CM332" s="0" t="s">
        <v>130</v>
      </c>
      <c r="CN332" s="0" t="s">
        <v>130</v>
      </c>
      <c r="CO332" s="0" t="s">
        <v>130</v>
      </c>
      <c r="CP332" s="0" t="s">
        <v>130</v>
      </c>
      <c r="CQ332" s="0" t="s">
        <v>130</v>
      </c>
      <c r="CR332" s="0" t="s">
        <v>130</v>
      </c>
      <c r="CS332" s="0" t="s">
        <v>130</v>
      </c>
      <c r="CT332" s="0" t="s">
        <v>1223</v>
      </c>
    </row>
    <row r="333">
      <c r="A333" s="14">
        <v>113129</v>
      </c>
      <c r="B333" s="0" t="s">
        <v>1219</v>
      </c>
      <c r="C333" s="16">
        <f>HYPERLINK("https://eosportal.federatedhermes.com/companies/Q29tcGFueQppNDY5NDc=", "Wesfarmers Ltd")</f>
      </c>
      <c r="D333" s="0" t="s">
        <v>25</v>
      </c>
      <c r="E333" s="0" t="s">
        <v>1224</v>
      </c>
      <c r="F333" s="16">
        <f>HYPERLINK("https://eosportal.federatedhermes.com/engagements/RW5nYWdlbWVudAppMjAwNzA=", "Regnan engagement activity on problem gambling")</f>
      </c>
      <c r="G333" s="14" t="s">
        <v>1224</v>
      </c>
      <c r="H333" s="0" t="s">
        <v>130</v>
      </c>
      <c r="I333" s="14" t="s">
        <v>319</v>
      </c>
      <c r="J333" s="0" t="s">
        <v>153</v>
      </c>
      <c r="K333" s="0" t="s">
        <v>185</v>
      </c>
      <c r="L333" s="0" t="s">
        <v>626</v>
      </c>
      <c r="M333" s="0" t="s">
        <v>371</v>
      </c>
      <c r="N333" s="0" t="s">
        <v>372</v>
      </c>
      <c r="O333" s="0" t="s">
        <v>643</v>
      </c>
      <c r="Q333" s="0" t="s">
        <v>130</v>
      </c>
      <c r="R333" s="0" t="s">
        <v>138</v>
      </c>
      <c r="S333" s="14">
        <v>0</v>
      </c>
      <c r="T333" s="0" t="s">
        <v>387</v>
      </c>
      <c r="U333" s="0" t="s">
        <v>138</v>
      </c>
      <c r="V333" s="14" t="s">
        <v>138</v>
      </c>
      <c r="W333" s="0" t="s">
        <v>138</v>
      </c>
      <c r="X333" s="14" t="s">
        <v>138</v>
      </c>
      <c r="Y333" s="0" t="s">
        <v>138</v>
      </c>
      <c r="Z333" s="14" t="s">
        <v>138</v>
      </c>
      <c r="AA333" s="0" t="s">
        <v>138</v>
      </c>
      <c r="AB333" s="14" t="s">
        <v>138</v>
      </c>
      <c r="AD333" s="0" t="s">
        <v>138</v>
      </c>
      <c r="AF333" s="0">
        <v>0</v>
      </c>
      <c r="AG333" s="0">
        <v>0</v>
      </c>
      <c r="AH333" s="0" t="s">
        <v>140</v>
      </c>
      <c r="AI333" s="0" t="s">
        <v>138</v>
      </c>
      <c r="AL333" s="14"/>
      <c r="AN333" s="14"/>
      <c r="AQ333" s="0" t="s">
        <v>130</v>
      </c>
      <c r="AR333" s="0" t="s">
        <v>130</v>
      </c>
      <c r="AS333" s="0" t="s">
        <v>130</v>
      </c>
      <c r="AT333" s="0" t="s">
        <v>130</v>
      </c>
      <c r="AU333" s="0" t="s">
        <v>130</v>
      </c>
      <c r="AV333" s="0" t="s">
        <v>130</v>
      </c>
      <c r="AW333" s="0" t="s">
        <v>130</v>
      </c>
      <c r="AX333" s="0" t="s">
        <v>130</v>
      </c>
      <c r="AY333" s="0" t="s">
        <v>130</v>
      </c>
      <c r="AZ333" s="0" t="s">
        <v>130</v>
      </c>
      <c r="BA333" s="0" t="s">
        <v>130</v>
      </c>
      <c r="BB333" s="0" t="s">
        <v>130</v>
      </c>
      <c r="BC333" s="0" t="s">
        <v>130</v>
      </c>
      <c r="BD333" s="0" t="s">
        <v>130</v>
      </c>
      <c r="BE333" s="0" t="s">
        <v>130</v>
      </c>
      <c r="BF333" s="0" t="s">
        <v>130</v>
      </c>
      <c r="BG333" s="0" t="s">
        <v>130</v>
      </c>
      <c r="BH333" s="0" t="s">
        <v>130</v>
      </c>
      <c r="BI333" s="0" t="s">
        <v>130</v>
      </c>
      <c r="BJ333" s="0" t="s">
        <v>130</v>
      </c>
      <c r="BK333" s="0" t="s">
        <v>130</v>
      </c>
      <c r="BL333" s="0" t="s">
        <v>130</v>
      </c>
      <c r="BM333" s="0" t="s">
        <v>130</v>
      </c>
      <c r="BN333" s="0" t="s">
        <v>130</v>
      </c>
      <c r="BO333" s="0" t="s">
        <v>130</v>
      </c>
      <c r="BP333" s="0" t="s">
        <v>130</v>
      </c>
      <c r="BQ333" s="0" t="s">
        <v>130</v>
      </c>
      <c r="BR333" s="0" t="s">
        <v>130</v>
      </c>
      <c r="BS333" s="0" t="s">
        <v>130</v>
      </c>
      <c r="BT333" s="0" t="s">
        <v>130</v>
      </c>
      <c r="BU333" s="0" t="s">
        <v>130</v>
      </c>
      <c r="BV333" s="0" t="s">
        <v>130</v>
      </c>
      <c r="BW333" s="0" t="s">
        <v>130</v>
      </c>
      <c r="BX333" s="0" t="s">
        <v>130</v>
      </c>
      <c r="BY333" s="0" t="s">
        <v>130</v>
      </c>
      <c r="BZ333" s="0" t="s">
        <v>130</v>
      </c>
      <c r="CA333" s="0" t="s">
        <v>130</v>
      </c>
      <c r="CB333" s="0" t="s">
        <v>130</v>
      </c>
      <c r="CC333" s="0" t="s">
        <v>130</v>
      </c>
      <c r="CD333" s="0" t="s">
        <v>130</v>
      </c>
      <c r="CE333" s="0" t="s">
        <v>130</v>
      </c>
      <c r="CF333" s="0" t="s">
        <v>130</v>
      </c>
      <c r="CG333" s="0" t="s">
        <v>130</v>
      </c>
      <c r="CH333" s="0" t="s">
        <v>130</v>
      </c>
      <c r="CI333" s="0" t="s">
        <v>130</v>
      </c>
      <c r="CJ333" s="0" t="s">
        <v>130</v>
      </c>
      <c r="CK333" s="0" t="s">
        <v>130</v>
      </c>
      <c r="CL333" s="0" t="s">
        <v>130</v>
      </c>
      <c r="CM333" s="0" t="s">
        <v>130</v>
      </c>
      <c r="CN333" s="0" t="s">
        <v>130</v>
      </c>
      <c r="CO333" s="0" t="s">
        <v>130</v>
      </c>
      <c r="CP333" s="0" t="s">
        <v>130</v>
      </c>
      <c r="CQ333" s="0" t="s">
        <v>130</v>
      </c>
      <c r="CR333" s="0" t="s">
        <v>130</v>
      </c>
      <c r="CS333" s="0" t="s">
        <v>130</v>
      </c>
      <c r="CT333" s="0" t="s">
        <v>1225</v>
      </c>
    </row>
    <row r="334">
      <c r="A334" s="14">
        <v>113129</v>
      </c>
      <c r="B334" s="0" t="s">
        <v>1219</v>
      </c>
      <c r="C334" s="16">
        <f>HYPERLINK("https://eosportal.federatedhermes.com/companies/Q29tcGFueQppNDY5NDc=", "Wesfarmers Ltd")</f>
      </c>
      <c r="D334" s="0" t="s">
        <v>25</v>
      </c>
      <c r="E334" s="0" t="s">
        <v>1226</v>
      </c>
      <c r="F334" s="16">
        <f>HYPERLINK("https://eosportal.federatedhermes.com/engagements/RW5nYWdlbWVudAppMjAwNzE=", "Regnan engagement activity on diversity")</f>
      </c>
      <c r="G334" s="14" t="s">
        <v>1226</v>
      </c>
      <c r="H334" s="0" t="s">
        <v>130</v>
      </c>
      <c r="I334" s="14" t="s">
        <v>319</v>
      </c>
      <c r="J334" s="0" t="s">
        <v>153</v>
      </c>
      <c r="K334" s="0" t="s">
        <v>154</v>
      </c>
      <c r="L334" s="0" t="s">
        <v>268</v>
      </c>
      <c r="M334" s="0" t="s">
        <v>371</v>
      </c>
      <c r="N334" s="0" t="s">
        <v>372</v>
      </c>
      <c r="O334" s="0" t="s">
        <v>643</v>
      </c>
      <c r="Q334" s="0" t="s">
        <v>130</v>
      </c>
      <c r="R334" s="0" t="s">
        <v>138</v>
      </c>
      <c r="S334" s="14">
        <v>0</v>
      </c>
      <c r="T334" s="0" t="s">
        <v>181</v>
      </c>
      <c r="U334" s="0" t="s">
        <v>138</v>
      </c>
      <c r="V334" s="14" t="s">
        <v>138</v>
      </c>
      <c r="W334" s="0" t="s">
        <v>138</v>
      </c>
      <c r="X334" s="14" t="s">
        <v>138</v>
      </c>
      <c r="Y334" s="0" t="s">
        <v>138</v>
      </c>
      <c r="Z334" s="14" t="s">
        <v>138</v>
      </c>
      <c r="AA334" s="0" t="s">
        <v>138</v>
      </c>
      <c r="AB334" s="14" t="s">
        <v>138</v>
      </c>
      <c r="AD334" s="0" t="s">
        <v>138</v>
      </c>
      <c r="AF334" s="0">
        <v>0</v>
      </c>
      <c r="AG334" s="0">
        <v>0</v>
      </c>
      <c r="AH334" s="0" t="s">
        <v>140</v>
      </c>
      <c r="AI334" s="0" t="s">
        <v>138</v>
      </c>
      <c r="AL334" s="14"/>
      <c r="AN334" s="14"/>
      <c r="AQ334" s="0" t="s">
        <v>130</v>
      </c>
      <c r="AR334" s="0" t="s">
        <v>130</v>
      </c>
      <c r="AS334" s="0" t="s">
        <v>130</v>
      </c>
      <c r="AT334" s="0" t="s">
        <v>130</v>
      </c>
      <c r="AU334" s="0" t="s">
        <v>130</v>
      </c>
      <c r="AV334" s="0" t="s">
        <v>130</v>
      </c>
      <c r="AW334" s="0" t="s">
        <v>130</v>
      </c>
      <c r="AX334" s="0" t="s">
        <v>130</v>
      </c>
      <c r="AY334" s="0" t="s">
        <v>130</v>
      </c>
      <c r="AZ334" s="0" t="s">
        <v>130</v>
      </c>
      <c r="BA334" s="0" t="s">
        <v>130</v>
      </c>
      <c r="BB334" s="0" t="s">
        <v>130</v>
      </c>
      <c r="BC334" s="0" t="s">
        <v>130</v>
      </c>
      <c r="BD334" s="0" t="s">
        <v>130</v>
      </c>
      <c r="BE334" s="0" t="s">
        <v>130</v>
      </c>
      <c r="BF334" s="0" t="s">
        <v>130</v>
      </c>
      <c r="BG334" s="0" t="s">
        <v>130</v>
      </c>
      <c r="BH334" s="0" t="s">
        <v>130</v>
      </c>
      <c r="BI334" s="0" t="s">
        <v>130</v>
      </c>
      <c r="BJ334" s="0" t="s">
        <v>130</v>
      </c>
      <c r="BK334" s="0" t="s">
        <v>130</v>
      </c>
      <c r="BL334" s="0" t="s">
        <v>130</v>
      </c>
      <c r="BM334" s="0" t="s">
        <v>130</v>
      </c>
      <c r="BN334" s="0" t="s">
        <v>130</v>
      </c>
      <c r="BO334" s="0" t="s">
        <v>130</v>
      </c>
      <c r="BP334" s="0" t="s">
        <v>130</v>
      </c>
      <c r="BQ334" s="0" t="s">
        <v>130</v>
      </c>
      <c r="BR334" s="0" t="s">
        <v>130</v>
      </c>
      <c r="BS334" s="0" t="s">
        <v>130</v>
      </c>
      <c r="BT334" s="0" t="s">
        <v>130</v>
      </c>
      <c r="BU334" s="0" t="s">
        <v>130</v>
      </c>
      <c r="BV334" s="0" t="s">
        <v>130</v>
      </c>
      <c r="BW334" s="0" t="s">
        <v>130</v>
      </c>
      <c r="BX334" s="0" t="s">
        <v>130</v>
      </c>
      <c r="BY334" s="0" t="s">
        <v>130</v>
      </c>
      <c r="BZ334" s="0" t="s">
        <v>130</v>
      </c>
      <c r="CA334" s="0" t="s">
        <v>130</v>
      </c>
      <c r="CB334" s="0" t="s">
        <v>130</v>
      </c>
      <c r="CC334" s="0" t="s">
        <v>130</v>
      </c>
      <c r="CD334" s="0" t="s">
        <v>130</v>
      </c>
      <c r="CE334" s="0" t="s">
        <v>130</v>
      </c>
      <c r="CF334" s="0" t="s">
        <v>130</v>
      </c>
      <c r="CG334" s="0" t="s">
        <v>130</v>
      </c>
      <c r="CH334" s="0" t="s">
        <v>130</v>
      </c>
      <c r="CI334" s="0" t="s">
        <v>130</v>
      </c>
      <c r="CJ334" s="0" t="s">
        <v>130</v>
      </c>
      <c r="CK334" s="0" t="s">
        <v>141</v>
      </c>
      <c r="CL334" s="0" t="s">
        <v>130</v>
      </c>
      <c r="CM334" s="0" t="s">
        <v>130</v>
      </c>
      <c r="CN334" s="0" t="s">
        <v>130</v>
      </c>
      <c r="CO334" s="0" t="s">
        <v>130</v>
      </c>
      <c r="CP334" s="0" t="s">
        <v>130</v>
      </c>
      <c r="CQ334" s="0" t="s">
        <v>130</v>
      </c>
      <c r="CR334" s="0" t="s">
        <v>130</v>
      </c>
      <c r="CS334" s="0" t="s">
        <v>130</v>
      </c>
      <c r="CT334" s="0" t="s">
        <v>1227</v>
      </c>
    </row>
    <row r="335">
      <c r="A335" s="14">
        <v>113129</v>
      </c>
      <c r="B335" s="0" t="s">
        <v>1219</v>
      </c>
      <c r="C335" s="16">
        <f>HYPERLINK("https://eosportal.federatedhermes.com/companies/Q29tcGFueQppNDY5NDc=", "Wesfarmers Ltd")</f>
      </c>
      <c r="D335" s="0" t="s">
        <v>25</v>
      </c>
      <c r="E335" s="0" t="s">
        <v>276</v>
      </c>
      <c r="F335" s="16">
        <f>HYPERLINK("https://eosportal.federatedhermes.com/engagements/RW5nYWdlbWVudAppMjAwNzI=", "Succession planning")</f>
      </c>
      <c r="G335" s="14" t="s">
        <v>276</v>
      </c>
      <c r="H335" s="0" t="s">
        <v>130</v>
      </c>
      <c r="I335" s="14" t="s">
        <v>319</v>
      </c>
      <c r="J335" s="0" t="s">
        <v>145</v>
      </c>
      <c r="K335" s="0" t="s">
        <v>164</v>
      </c>
      <c r="L335" s="0" t="s">
        <v>277</v>
      </c>
      <c r="M335" s="0" t="s">
        <v>371</v>
      </c>
      <c r="N335" s="0" t="s">
        <v>372</v>
      </c>
      <c r="O335" s="0" t="s">
        <v>643</v>
      </c>
      <c r="Q335" s="0" t="s">
        <v>130</v>
      </c>
      <c r="R335" s="0" t="s">
        <v>138</v>
      </c>
      <c r="S335" s="14">
        <v>0</v>
      </c>
      <c r="T335" s="0" t="s">
        <v>435</v>
      </c>
      <c r="U335" s="0" t="s">
        <v>138</v>
      </c>
      <c r="V335" s="14" t="s">
        <v>138</v>
      </c>
      <c r="W335" s="0" t="s">
        <v>138</v>
      </c>
      <c r="X335" s="14" t="s">
        <v>138</v>
      </c>
      <c r="Y335" s="0" t="s">
        <v>138</v>
      </c>
      <c r="Z335" s="14" t="s">
        <v>138</v>
      </c>
      <c r="AA335" s="0" t="s">
        <v>138</v>
      </c>
      <c r="AB335" s="14" t="s">
        <v>138</v>
      </c>
      <c r="AD335" s="0" t="s">
        <v>138</v>
      </c>
      <c r="AF335" s="0">
        <v>0</v>
      </c>
      <c r="AG335" s="0">
        <v>0</v>
      </c>
      <c r="AH335" s="0" t="s">
        <v>140</v>
      </c>
      <c r="AI335" s="0" t="s">
        <v>138</v>
      </c>
      <c r="AL335" s="14"/>
      <c r="AN335" s="14"/>
      <c r="AQ335" s="0" t="s">
        <v>130</v>
      </c>
      <c r="AR335" s="0" t="s">
        <v>130</v>
      </c>
      <c r="AS335" s="0" t="s">
        <v>130</v>
      </c>
      <c r="AT335" s="0" t="s">
        <v>130</v>
      </c>
      <c r="AU335" s="0" t="s">
        <v>130</v>
      </c>
      <c r="AV335" s="0" t="s">
        <v>130</v>
      </c>
      <c r="AW335" s="0" t="s">
        <v>130</v>
      </c>
      <c r="AX335" s="0" t="s">
        <v>130</v>
      </c>
      <c r="AY335" s="0" t="s">
        <v>130</v>
      </c>
      <c r="AZ335" s="0" t="s">
        <v>130</v>
      </c>
      <c r="BA335" s="0" t="s">
        <v>130</v>
      </c>
      <c r="BB335" s="0" t="s">
        <v>130</v>
      </c>
      <c r="BC335" s="0" t="s">
        <v>130</v>
      </c>
      <c r="BD335" s="0" t="s">
        <v>130</v>
      </c>
      <c r="BE335" s="0" t="s">
        <v>130</v>
      </c>
      <c r="BF335" s="0" t="s">
        <v>130</v>
      </c>
      <c r="BG335" s="0" t="s">
        <v>130</v>
      </c>
      <c r="BH335" s="0" t="s">
        <v>130</v>
      </c>
      <c r="BI335" s="0" t="s">
        <v>130</v>
      </c>
      <c r="BJ335" s="0" t="s">
        <v>130</v>
      </c>
      <c r="BK335" s="0" t="s">
        <v>130</v>
      </c>
      <c r="BL335" s="0" t="s">
        <v>130</v>
      </c>
      <c r="BM335" s="0" t="s">
        <v>130</v>
      </c>
      <c r="BN335" s="0" t="s">
        <v>130</v>
      </c>
      <c r="BO335" s="0" t="s">
        <v>130</v>
      </c>
      <c r="BP335" s="0" t="s">
        <v>130</v>
      </c>
      <c r="BQ335" s="0" t="s">
        <v>130</v>
      </c>
      <c r="BR335" s="0" t="s">
        <v>130</v>
      </c>
      <c r="BS335" s="0" t="s">
        <v>130</v>
      </c>
      <c r="BT335" s="0" t="s">
        <v>130</v>
      </c>
      <c r="BU335" s="0" t="s">
        <v>130</v>
      </c>
      <c r="BV335" s="0" t="s">
        <v>130</v>
      </c>
      <c r="BW335" s="0" t="s">
        <v>130</v>
      </c>
      <c r="BX335" s="0" t="s">
        <v>130</v>
      </c>
      <c r="BY335" s="0" t="s">
        <v>130</v>
      </c>
      <c r="BZ335" s="0" t="s">
        <v>130</v>
      </c>
      <c r="CA335" s="0" t="s">
        <v>130</v>
      </c>
      <c r="CB335" s="0" t="s">
        <v>130</v>
      </c>
      <c r="CC335" s="0" t="s">
        <v>130</v>
      </c>
      <c r="CD335" s="0" t="s">
        <v>130</v>
      </c>
      <c r="CE335" s="0" t="s">
        <v>130</v>
      </c>
      <c r="CF335" s="0" t="s">
        <v>130</v>
      </c>
      <c r="CG335" s="0" t="s">
        <v>130</v>
      </c>
      <c r="CH335" s="0" t="s">
        <v>130</v>
      </c>
      <c r="CI335" s="0" t="s">
        <v>130</v>
      </c>
      <c r="CJ335" s="0" t="s">
        <v>130</v>
      </c>
      <c r="CK335" s="0" t="s">
        <v>130</v>
      </c>
      <c r="CL335" s="0" t="s">
        <v>130</v>
      </c>
      <c r="CM335" s="0" t="s">
        <v>130</v>
      </c>
      <c r="CN335" s="0" t="s">
        <v>130</v>
      </c>
      <c r="CO335" s="0" t="s">
        <v>130</v>
      </c>
      <c r="CP335" s="0" t="s">
        <v>130</v>
      </c>
      <c r="CQ335" s="0" t="s">
        <v>130</v>
      </c>
      <c r="CR335" s="0" t="s">
        <v>130</v>
      </c>
      <c r="CS335" s="0" t="s">
        <v>130</v>
      </c>
      <c r="CT335" s="0" t="s">
        <v>1228</v>
      </c>
    </row>
    <row r="336">
      <c r="A336" s="14">
        <v>113129</v>
      </c>
      <c r="B336" s="0" t="s">
        <v>1219</v>
      </c>
      <c r="C336" s="16">
        <f>HYPERLINK("https://eosportal.federatedhermes.com/companies/Q29tcGFueQppNDY5NDc=", "Wesfarmers Ltd")</f>
      </c>
      <c r="D336" s="0" t="s">
        <v>25</v>
      </c>
      <c r="E336" s="0" t="s">
        <v>1229</v>
      </c>
      <c r="F336" s="16">
        <f>HYPERLINK("https://eosportal.federatedhermes.com/engagements/RW5nYWdlbWVudAppMjAwNzM=", "Regnan engagement activity on ESG disclosure")</f>
      </c>
      <c r="G336" s="14" t="s">
        <v>1229</v>
      </c>
      <c r="H336" s="0" t="s">
        <v>130</v>
      </c>
      <c r="I336" s="14" t="s">
        <v>319</v>
      </c>
      <c r="J336" s="0" t="s">
        <v>132</v>
      </c>
      <c r="K336" s="0" t="s">
        <v>170</v>
      </c>
      <c r="L336" s="0" t="s">
        <v>171</v>
      </c>
      <c r="M336" s="0" t="s">
        <v>371</v>
      </c>
      <c r="N336" s="0" t="s">
        <v>372</v>
      </c>
      <c r="O336" s="0" t="s">
        <v>643</v>
      </c>
      <c r="Q336" s="0" t="s">
        <v>130</v>
      </c>
      <c r="R336" s="0" t="s">
        <v>138</v>
      </c>
      <c r="S336" s="14">
        <v>0</v>
      </c>
      <c r="T336" s="0" t="s">
        <v>387</v>
      </c>
      <c r="U336" s="0" t="s">
        <v>138</v>
      </c>
      <c r="V336" s="14" t="s">
        <v>138</v>
      </c>
      <c r="W336" s="0" t="s">
        <v>138</v>
      </c>
      <c r="X336" s="14" t="s">
        <v>138</v>
      </c>
      <c r="Y336" s="0" t="s">
        <v>138</v>
      </c>
      <c r="Z336" s="14" t="s">
        <v>138</v>
      </c>
      <c r="AA336" s="0" t="s">
        <v>138</v>
      </c>
      <c r="AB336" s="14" t="s">
        <v>138</v>
      </c>
      <c r="AD336" s="0" t="s">
        <v>138</v>
      </c>
      <c r="AF336" s="0">
        <v>0</v>
      </c>
      <c r="AG336" s="0">
        <v>0</v>
      </c>
      <c r="AH336" s="0" t="s">
        <v>140</v>
      </c>
      <c r="AI336" s="0" t="s">
        <v>138</v>
      </c>
      <c r="AL336" s="14"/>
      <c r="AN336" s="14"/>
      <c r="AQ336" s="0" t="s">
        <v>130</v>
      </c>
      <c r="AR336" s="0" t="s">
        <v>130</v>
      </c>
      <c r="AS336" s="0" t="s">
        <v>130</v>
      </c>
      <c r="AT336" s="0" t="s">
        <v>130</v>
      </c>
      <c r="AU336" s="0" t="s">
        <v>130</v>
      </c>
      <c r="AV336" s="0" t="s">
        <v>130</v>
      </c>
      <c r="AW336" s="0" t="s">
        <v>130</v>
      </c>
      <c r="AX336" s="0" t="s">
        <v>130</v>
      </c>
      <c r="AY336" s="0" t="s">
        <v>130</v>
      </c>
      <c r="AZ336" s="0" t="s">
        <v>130</v>
      </c>
      <c r="BA336" s="0" t="s">
        <v>130</v>
      </c>
      <c r="BB336" s="0" t="s">
        <v>130</v>
      </c>
      <c r="BC336" s="0" t="s">
        <v>130</v>
      </c>
      <c r="BD336" s="0" t="s">
        <v>130</v>
      </c>
      <c r="BE336" s="0" t="s">
        <v>130</v>
      </c>
      <c r="BF336" s="0" t="s">
        <v>130</v>
      </c>
      <c r="BG336" s="0" t="s">
        <v>130</v>
      </c>
      <c r="BH336" s="0" t="s">
        <v>130</v>
      </c>
      <c r="BI336" s="0" t="s">
        <v>130</v>
      </c>
      <c r="BJ336" s="0" t="s">
        <v>130</v>
      </c>
      <c r="BK336" s="0" t="s">
        <v>130</v>
      </c>
      <c r="BL336" s="0" t="s">
        <v>130</v>
      </c>
      <c r="BM336" s="0" t="s">
        <v>130</v>
      </c>
      <c r="BN336" s="0" t="s">
        <v>130</v>
      </c>
      <c r="BO336" s="0" t="s">
        <v>130</v>
      </c>
      <c r="BP336" s="0" t="s">
        <v>130</v>
      </c>
      <c r="BQ336" s="0" t="s">
        <v>130</v>
      </c>
      <c r="BR336" s="0" t="s">
        <v>130</v>
      </c>
      <c r="BS336" s="0" t="s">
        <v>130</v>
      </c>
      <c r="BT336" s="0" t="s">
        <v>130</v>
      </c>
      <c r="BU336" s="0" t="s">
        <v>130</v>
      </c>
      <c r="BV336" s="0" t="s">
        <v>130</v>
      </c>
      <c r="BW336" s="0" t="s">
        <v>130</v>
      </c>
      <c r="BX336" s="0" t="s">
        <v>130</v>
      </c>
      <c r="BY336" s="0" t="s">
        <v>130</v>
      </c>
      <c r="BZ336" s="0" t="s">
        <v>130</v>
      </c>
      <c r="CA336" s="0" t="s">
        <v>130</v>
      </c>
      <c r="CB336" s="0" t="s">
        <v>130</v>
      </c>
      <c r="CC336" s="0" t="s">
        <v>130</v>
      </c>
      <c r="CD336" s="0" t="s">
        <v>130</v>
      </c>
      <c r="CE336" s="0" t="s">
        <v>130</v>
      </c>
      <c r="CF336" s="0" t="s">
        <v>130</v>
      </c>
      <c r="CG336" s="0" t="s">
        <v>130</v>
      </c>
      <c r="CH336" s="0" t="s">
        <v>130</v>
      </c>
      <c r="CI336" s="0" t="s">
        <v>130</v>
      </c>
      <c r="CJ336" s="0" t="s">
        <v>130</v>
      </c>
      <c r="CK336" s="0" t="s">
        <v>130</v>
      </c>
      <c r="CL336" s="0" t="s">
        <v>130</v>
      </c>
      <c r="CM336" s="0" t="s">
        <v>130</v>
      </c>
      <c r="CN336" s="0" t="s">
        <v>130</v>
      </c>
      <c r="CO336" s="0" t="s">
        <v>130</v>
      </c>
      <c r="CP336" s="0" t="s">
        <v>130</v>
      </c>
      <c r="CQ336" s="0" t="s">
        <v>130</v>
      </c>
      <c r="CR336" s="0" t="s">
        <v>130</v>
      </c>
      <c r="CS336" s="0" t="s">
        <v>130</v>
      </c>
      <c r="CT336" s="0" t="s">
        <v>1230</v>
      </c>
    </row>
    <row r="337">
      <c r="A337" s="14">
        <v>113129</v>
      </c>
      <c r="B337" s="0" t="s">
        <v>1219</v>
      </c>
      <c r="C337" s="16">
        <f>HYPERLINK("https://eosportal.federatedhermes.com/companies/Q29tcGFueQppNDY5NDc=", "Wesfarmers Ltd")</f>
      </c>
      <c r="D337" s="0" t="s">
        <v>25</v>
      </c>
      <c r="E337" s="0" t="s">
        <v>1231</v>
      </c>
      <c r="F337" s="16">
        <f>HYPERLINK("https://eosportal.federatedhermes.com/engagements/RW5nYWdlbWVudAppMjAwNzQ=", "Regnan Engagement Activity on remuneration")</f>
      </c>
      <c r="G337" s="14" t="s">
        <v>999</v>
      </c>
      <c r="H337" s="0" t="s">
        <v>130</v>
      </c>
      <c r="I337" s="14" t="s">
        <v>319</v>
      </c>
      <c r="J337" s="0" t="s">
        <v>145</v>
      </c>
      <c r="K337" s="0" t="s">
        <v>146</v>
      </c>
      <c r="L337" s="0" t="s">
        <v>147</v>
      </c>
      <c r="M337" s="0" t="s">
        <v>371</v>
      </c>
      <c r="N337" s="0" t="s">
        <v>372</v>
      </c>
      <c r="O337" s="0" t="s">
        <v>643</v>
      </c>
      <c r="Q337" s="0" t="s">
        <v>130</v>
      </c>
      <c r="R337" s="0" t="s">
        <v>138</v>
      </c>
      <c r="S337" s="14">
        <v>0</v>
      </c>
      <c r="T337" s="0" t="s">
        <v>804</v>
      </c>
      <c r="U337" s="0" t="s">
        <v>138</v>
      </c>
      <c r="V337" s="14" t="s">
        <v>138</v>
      </c>
      <c r="W337" s="0" t="s">
        <v>138</v>
      </c>
      <c r="X337" s="14" t="s">
        <v>138</v>
      </c>
      <c r="Y337" s="0" t="s">
        <v>138</v>
      </c>
      <c r="Z337" s="14" t="s">
        <v>138</v>
      </c>
      <c r="AA337" s="0" t="s">
        <v>138</v>
      </c>
      <c r="AB337" s="14" t="s">
        <v>138</v>
      </c>
      <c r="AD337" s="0" t="s">
        <v>138</v>
      </c>
      <c r="AF337" s="0">
        <v>0</v>
      </c>
      <c r="AG337" s="0">
        <v>0</v>
      </c>
      <c r="AH337" s="0" t="s">
        <v>140</v>
      </c>
      <c r="AI337" s="0" t="s">
        <v>138</v>
      </c>
      <c r="AL337" s="14"/>
      <c r="AN337" s="14"/>
      <c r="AQ337" s="0" t="s">
        <v>130</v>
      </c>
      <c r="AR337" s="0" t="s">
        <v>130</v>
      </c>
      <c r="AS337" s="0" t="s">
        <v>130</v>
      </c>
      <c r="AT337" s="0" t="s">
        <v>130</v>
      </c>
      <c r="AU337" s="0" t="s">
        <v>130</v>
      </c>
      <c r="AV337" s="0" t="s">
        <v>130</v>
      </c>
      <c r="AW337" s="0" t="s">
        <v>130</v>
      </c>
      <c r="AX337" s="0" t="s">
        <v>130</v>
      </c>
      <c r="AY337" s="0" t="s">
        <v>130</v>
      </c>
      <c r="AZ337" s="0" t="s">
        <v>130</v>
      </c>
      <c r="BA337" s="0" t="s">
        <v>130</v>
      </c>
      <c r="BB337" s="0" t="s">
        <v>130</v>
      </c>
      <c r="BC337" s="0" t="s">
        <v>130</v>
      </c>
      <c r="BD337" s="0" t="s">
        <v>130</v>
      </c>
      <c r="BE337" s="0" t="s">
        <v>130</v>
      </c>
      <c r="BF337" s="0" t="s">
        <v>130</v>
      </c>
      <c r="BG337" s="0" t="s">
        <v>130</v>
      </c>
      <c r="BH337" s="0" t="s">
        <v>130</v>
      </c>
      <c r="BI337" s="0" t="s">
        <v>130</v>
      </c>
      <c r="BJ337" s="0" t="s">
        <v>130</v>
      </c>
      <c r="BK337" s="0" t="s">
        <v>130</v>
      </c>
      <c r="BL337" s="0" t="s">
        <v>130</v>
      </c>
      <c r="BM337" s="0" t="s">
        <v>130</v>
      </c>
      <c r="BN337" s="0" t="s">
        <v>130</v>
      </c>
      <c r="BO337" s="0" t="s">
        <v>130</v>
      </c>
      <c r="BP337" s="0" t="s">
        <v>130</v>
      </c>
      <c r="BQ337" s="0" t="s">
        <v>130</v>
      </c>
      <c r="BR337" s="0" t="s">
        <v>130</v>
      </c>
      <c r="BS337" s="0" t="s">
        <v>130</v>
      </c>
      <c r="BT337" s="0" t="s">
        <v>130</v>
      </c>
      <c r="BU337" s="0" t="s">
        <v>130</v>
      </c>
      <c r="BV337" s="0" t="s">
        <v>130</v>
      </c>
      <c r="BW337" s="0" t="s">
        <v>130</v>
      </c>
      <c r="BX337" s="0" t="s">
        <v>130</v>
      </c>
      <c r="BY337" s="0" t="s">
        <v>130</v>
      </c>
      <c r="BZ337" s="0" t="s">
        <v>130</v>
      </c>
      <c r="CA337" s="0" t="s">
        <v>130</v>
      </c>
      <c r="CB337" s="0" t="s">
        <v>130</v>
      </c>
      <c r="CC337" s="0" t="s">
        <v>130</v>
      </c>
      <c r="CD337" s="0" t="s">
        <v>130</v>
      </c>
      <c r="CE337" s="0" t="s">
        <v>130</v>
      </c>
      <c r="CF337" s="0" t="s">
        <v>130</v>
      </c>
      <c r="CG337" s="0" t="s">
        <v>130</v>
      </c>
      <c r="CH337" s="0" t="s">
        <v>130</v>
      </c>
      <c r="CI337" s="0" t="s">
        <v>130</v>
      </c>
      <c r="CJ337" s="0" t="s">
        <v>130</v>
      </c>
      <c r="CK337" s="0" t="s">
        <v>130</v>
      </c>
      <c r="CL337" s="0" t="s">
        <v>130</v>
      </c>
      <c r="CM337" s="0" t="s">
        <v>130</v>
      </c>
      <c r="CN337" s="0" t="s">
        <v>130</v>
      </c>
      <c r="CO337" s="0" t="s">
        <v>130</v>
      </c>
      <c r="CP337" s="0" t="s">
        <v>130</v>
      </c>
      <c r="CQ337" s="0" t="s">
        <v>130</v>
      </c>
      <c r="CR337" s="0" t="s">
        <v>130</v>
      </c>
      <c r="CS337" s="0" t="s">
        <v>130</v>
      </c>
      <c r="CT337" s="0" t="s">
        <v>1232</v>
      </c>
    </row>
    <row r="338">
      <c r="A338" s="14">
        <v>113129</v>
      </c>
      <c r="B338" s="0" t="s">
        <v>1219</v>
      </c>
      <c r="C338" s="16">
        <f>HYPERLINK("https://eosportal.federatedhermes.com/companies/Q29tcGFueQppNDY5NDc=", "Wesfarmers Ltd")</f>
      </c>
      <c r="D338" s="0" t="s">
        <v>25</v>
      </c>
      <c r="E338" s="0" t="s">
        <v>1233</v>
      </c>
      <c r="F338" s="16">
        <f>HYPERLINK("https://eosportal.federatedhermes.com/engagements/RW5nYWdlbWVudAppMjAwNzU=", "Regnan Engagement Activity on Health &amp; Safety")</f>
      </c>
      <c r="G338" s="14" t="s">
        <v>1234</v>
      </c>
      <c r="H338" s="0" t="s">
        <v>130</v>
      </c>
      <c r="I338" s="14" t="s">
        <v>319</v>
      </c>
      <c r="J338" s="0" t="s">
        <v>153</v>
      </c>
      <c r="K338" s="0" t="s">
        <v>154</v>
      </c>
      <c r="L338" s="0" t="s">
        <v>306</v>
      </c>
      <c r="M338" s="0" t="s">
        <v>371</v>
      </c>
      <c r="N338" s="0" t="s">
        <v>372</v>
      </c>
      <c r="O338" s="0" t="s">
        <v>643</v>
      </c>
      <c r="Q338" s="0" t="s">
        <v>130</v>
      </c>
      <c r="R338" s="0" t="s">
        <v>138</v>
      </c>
      <c r="S338" s="14">
        <v>0</v>
      </c>
      <c r="T338" s="0" t="s">
        <v>710</v>
      </c>
      <c r="U338" s="0" t="s">
        <v>138</v>
      </c>
      <c r="V338" s="14" t="s">
        <v>138</v>
      </c>
      <c r="W338" s="0" t="s">
        <v>138</v>
      </c>
      <c r="X338" s="14" t="s">
        <v>138</v>
      </c>
      <c r="Y338" s="0" t="s">
        <v>138</v>
      </c>
      <c r="Z338" s="14" t="s">
        <v>138</v>
      </c>
      <c r="AA338" s="0" t="s">
        <v>138</v>
      </c>
      <c r="AB338" s="14" t="s">
        <v>138</v>
      </c>
      <c r="AD338" s="0" t="s">
        <v>138</v>
      </c>
      <c r="AF338" s="0">
        <v>0</v>
      </c>
      <c r="AG338" s="0">
        <v>0</v>
      </c>
      <c r="AH338" s="0" t="s">
        <v>140</v>
      </c>
      <c r="AI338" s="0" t="s">
        <v>138</v>
      </c>
      <c r="AL338" s="14"/>
      <c r="AN338" s="14"/>
      <c r="AQ338" s="0" t="s">
        <v>130</v>
      </c>
      <c r="AR338" s="0" t="s">
        <v>130</v>
      </c>
      <c r="AS338" s="0" t="s">
        <v>130</v>
      </c>
      <c r="AT338" s="0" t="s">
        <v>130</v>
      </c>
      <c r="AU338" s="0" t="s">
        <v>130</v>
      </c>
      <c r="AV338" s="0" t="s">
        <v>130</v>
      </c>
      <c r="AW338" s="0" t="s">
        <v>130</v>
      </c>
      <c r="AX338" s="0" t="s">
        <v>130</v>
      </c>
      <c r="AY338" s="0" t="s">
        <v>130</v>
      </c>
      <c r="AZ338" s="0" t="s">
        <v>130</v>
      </c>
      <c r="BA338" s="0" t="s">
        <v>130</v>
      </c>
      <c r="BB338" s="0" t="s">
        <v>130</v>
      </c>
      <c r="BC338" s="0" t="s">
        <v>130</v>
      </c>
      <c r="BD338" s="0" t="s">
        <v>130</v>
      </c>
      <c r="BE338" s="0" t="s">
        <v>130</v>
      </c>
      <c r="BF338" s="0" t="s">
        <v>130</v>
      </c>
      <c r="BG338" s="0" t="s">
        <v>130</v>
      </c>
      <c r="BH338" s="0" t="s">
        <v>130</v>
      </c>
      <c r="BI338" s="0" t="s">
        <v>130</v>
      </c>
      <c r="BJ338" s="0" t="s">
        <v>130</v>
      </c>
      <c r="BK338" s="0" t="s">
        <v>130</v>
      </c>
      <c r="BL338" s="0" t="s">
        <v>130</v>
      </c>
      <c r="BM338" s="0" t="s">
        <v>130</v>
      </c>
      <c r="BN338" s="0" t="s">
        <v>130</v>
      </c>
      <c r="BO338" s="0" t="s">
        <v>130</v>
      </c>
      <c r="BP338" s="0" t="s">
        <v>130</v>
      </c>
      <c r="BQ338" s="0" t="s">
        <v>130</v>
      </c>
      <c r="BR338" s="0" t="s">
        <v>130</v>
      </c>
      <c r="BS338" s="0" t="s">
        <v>130</v>
      </c>
      <c r="BT338" s="0" t="s">
        <v>130</v>
      </c>
      <c r="BU338" s="0" t="s">
        <v>130</v>
      </c>
      <c r="BV338" s="0" t="s">
        <v>130</v>
      </c>
      <c r="BW338" s="0" t="s">
        <v>130</v>
      </c>
      <c r="BX338" s="0" t="s">
        <v>130</v>
      </c>
      <c r="BY338" s="0" t="s">
        <v>130</v>
      </c>
      <c r="BZ338" s="0" t="s">
        <v>130</v>
      </c>
      <c r="CA338" s="0" t="s">
        <v>130</v>
      </c>
      <c r="CB338" s="0" t="s">
        <v>130</v>
      </c>
      <c r="CC338" s="0" t="s">
        <v>130</v>
      </c>
      <c r="CD338" s="0" t="s">
        <v>130</v>
      </c>
      <c r="CE338" s="0" t="s">
        <v>130</v>
      </c>
      <c r="CF338" s="0" t="s">
        <v>130</v>
      </c>
      <c r="CG338" s="0" t="s">
        <v>130</v>
      </c>
      <c r="CH338" s="0" t="s">
        <v>130</v>
      </c>
      <c r="CI338" s="0" t="s">
        <v>130</v>
      </c>
      <c r="CJ338" s="0" t="s">
        <v>130</v>
      </c>
      <c r="CK338" s="0" t="s">
        <v>130</v>
      </c>
      <c r="CL338" s="0" t="s">
        <v>130</v>
      </c>
      <c r="CM338" s="0" t="s">
        <v>130</v>
      </c>
      <c r="CN338" s="0" t="s">
        <v>130</v>
      </c>
      <c r="CO338" s="0" t="s">
        <v>130</v>
      </c>
      <c r="CP338" s="0" t="s">
        <v>130</v>
      </c>
      <c r="CQ338" s="0" t="s">
        <v>130</v>
      </c>
      <c r="CR338" s="0" t="s">
        <v>130</v>
      </c>
      <c r="CS338" s="0" t="s">
        <v>130</v>
      </c>
      <c r="CT338" s="0" t="s">
        <v>1235</v>
      </c>
    </row>
    <row r="339">
      <c r="A339" s="14">
        <v>113129</v>
      </c>
      <c r="B339" s="0" t="s">
        <v>1219</v>
      </c>
      <c r="C339" s="16">
        <f>HYPERLINK("https://eosportal.federatedhermes.com/companies/Q29tcGFueQppNDY5NDc=", "Wesfarmers Ltd")</f>
      </c>
      <c r="D339" s="0" t="s">
        <v>25</v>
      </c>
      <c r="E339" s="0" t="s">
        <v>1236</v>
      </c>
      <c r="F339" s="16">
        <f>HYPERLINK("https://eosportal.federatedhermes.com/engagements/RW5nYWdlbWVudAppMjAwNzY=", "Regnan Engagement Activity on corporate culture")</f>
      </c>
      <c r="G339" s="14" t="s">
        <v>999</v>
      </c>
      <c r="H339" s="0" t="s">
        <v>130</v>
      </c>
      <c r="I339" s="14" t="s">
        <v>319</v>
      </c>
      <c r="J339" s="0" t="s">
        <v>153</v>
      </c>
      <c r="K339" s="0" t="s">
        <v>185</v>
      </c>
      <c r="L339" s="0" t="s">
        <v>186</v>
      </c>
      <c r="M339" s="0" t="s">
        <v>371</v>
      </c>
      <c r="N339" s="0" t="s">
        <v>372</v>
      </c>
      <c r="O339" s="0" t="s">
        <v>643</v>
      </c>
      <c r="Q339" s="0" t="s">
        <v>130</v>
      </c>
      <c r="R339" s="0" t="s">
        <v>138</v>
      </c>
      <c r="S339" s="14">
        <v>0</v>
      </c>
      <c r="T339" s="0" t="s">
        <v>804</v>
      </c>
      <c r="U339" s="0" t="s">
        <v>138</v>
      </c>
      <c r="V339" s="14" t="s">
        <v>138</v>
      </c>
      <c r="W339" s="0" t="s">
        <v>138</v>
      </c>
      <c r="X339" s="14" t="s">
        <v>138</v>
      </c>
      <c r="Y339" s="0" t="s">
        <v>138</v>
      </c>
      <c r="Z339" s="14" t="s">
        <v>138</v>
      </c>
      <c r="AA339" s="0" t="s">
        <v>138</v>
      </c>
      <c r="AB339" s="14" t="s">
        <v>138</v>
      </c>
      <c r="AD339" s="0" t="s">
        <v>138</v>
      </c>
      <c r="AF339" s="0">
        <v>0</v>
      </c>
      <c r="AG339" s="0">
        <v>0</v>
      </c>
      <c r="AH339" s="0" t="s">
        <v>140</v>
      </c>
      <c r="AI339" s="0" t="s">
        <v>138</v>
      </c>
      <c r="AL339" s="14"/>
      <c r="AN339" s="14"/>
      <c r="AQ339" s="0" t="s">
        <v>130</v>
      </c>
      <c r="AR339" s="0" t="s">
        <v>130</v>
      </c>
      <c r="AS339" s="0" t="s">
        <v>130</v>
      </c>
      <c r="AT339" s="0" t="s">
        <v>130</v>
      </c>
      <c r="AU339" s="0" t="s">
        <v>130</v>
      </c>
      <c r="AV339" s="0" t="s">
        <v>130</v>
      </c>
      <c r="AW339" s="0" t="s">
        <v>130</v>
      </c>
      <c r="AX339" s="0" t="s">
        <v>130</v>
      </c>
      <c r="AY339" s="0" t="s">
        <v>130</v>
      </c>
      <c r="AZ339" s="0" t="s">
        <v>130</v>
      </c>
      <c r="BA339" s="0" t="s">
        <v>130</v>
      </c>
      <c r="BB339" s="0" t="s">
        <v>130</v>
      </c>
      <c r="BC339" s="0" t="s">
        <v>130</v>
      </c>
      <c r="BD339" s="0" t="s">
        <v>130</v>
      </c>
      <c r="BE339" s="0" t="s">
        <v>130</v>
      </c>
      <c r="BF339" s="0" t="s">
        <v>130</v>
      </c>
      <c r="BG339" s="0" t="s">
        <v>130</v>
      </c>
      <c r="BH339" s="0" t="s">
        <v>130</v>
      </c>
      <c r="BI339" s="0" t="s">
        <v>130</v>
      </c>
      <c r="BJ339" s="0" t="s">
        <v>130</v>
      </c>
      <c r="BK339" s="0" t="s">
        <v>130</v>
      </c>
      <c r="BL339" s="0" t="s">
        <v>130</v>
      </c>
      <c r="BM339" s="0" t="s">
        <v>130</v>
      </c>
      <c r="BN339" s="0" t="s">
        <v>130</v>
      </c>
      <c r="BO339" s="0" t="s">
        <v>130</v>
      </c>
      <c r="BP339" s="0" t="s">
        <v>130</v>
      </c>
      <c r="BQ339" s="0" t="s">
        <v>130</v>
      </c>
      <c r="BR339" s="0" t="s">
        <v>130</v>
      </c>
      <c r="BS339" s="0" t="s">
        <v>130</v>
      </c>
      <c r="BT339" s="0" t="s">
        <v>130</v>
      </c>
      <c r="BU339" s="0" t="s">
        <v>130</v>
      </c>
      <c r="BV339" s="0" t="s">
        <v>130</v>
      </c>
      <c r="BW339" s="0" t="s">
        <v>130</v>
      </c>
      <c r="BX339" s="0" t="s">
        <v>130</v>
      </c>
      <c r="BY339" s="0" t="s">
        <v>130</v>
      </c>
      <c r="BZ339" s="0" t="s">
        <v>130</v>
      </c>
      <c r="CA339" s="0" t="s">
        <v>130</v>
      </c>
      <c r="CB339" s="0" t="s">
        <v>130</v>
      </c>
      <c r="CC339" s="0" t="s">
        <v>130</v>
      </c>
      <c r="CD339" s="0" t="s">
        <v>130</v>
      </c>
      <c r="CE339" s="0" t="s">
        <v>130</v>
      </c>
      <c r="CF339" s="0" t="s">
        <v>130</v>
      </c>
      <c r="CG339" s="0" t="s">
        <v>130</v>
      </c>
      <c r="CH339" s="0" t="s">
        <v>130</v>
      </c>
      <c r="CI339" s="0" t="s">
        <v>130</v>
      </c>
      <c r="CJ339" s="0" t="s">
        <v>130</v>
      </c>
      <c r="CK339" s="0" t="s">
        <v>130</v>
      </c>
      <c r="CL339" s="0" t="s">
        <v>130</v>
      </c>
      <c r="CM339" s="0" t="s">
        <v>130</v>
      </c>
      <c r="CN339" s="0" t="s">
        <v>130</v>
      </c>
      <c r="CO339" s="0" t="s">
        <v>130</v>
      </c>
      <c r="CP339" s="0" t="s">
        <v>130</v>
      </c>
      <c r="CQ339" s="0" t="s">
        <v>130</v>
      </c>
      <c r="CR339" s="0" t="s">
        <v>130</v>
      </c>
      <c r="CS339" s="0" t="s">
        <v>130</v>
      </c>
      <c r="CT339" s="0" t="s">
        <v>1237</v>
      </c>
    </row>
    <row r="340">
      <c r="A340" s="14">
        <v>113129</v>
      </c>
      <c r="B340" s="0" t="s">
        <v>1219</v>
      </c>
      <c r="C340" s="16">
        <f>HYPERLINK("https://eosportal.federatedhermes.com/companies/Q29tcGFueQppNDY5NDc=", "Wesfarmers Ltd")</f>
      </c>
      <c r="D340" s="0" t="s">
        <v>25</v>
      </c>
      <c r="E340" s="0" t="s">
        <v>998</v>
      </c>
      <c r="F340" s="16">
        <f>HYPERLINK("https://eosportal.federatedhermes.com/engagements/RW5nYWdlbWVudAppMjAwNzc=", "Regnan Engagement Activity on community relations")</f>
      </c>
      <c r="G340" s="14" t="s">
        <v>999</v>
      </c>
      <c r="H340" s="0" t="s">
        <v>130</v>
      </c>
      <c r="I340" s="14" t="s">
        <v>319</v>
      </c>
      <c r="J340" s="0" t="s">
        <v>153</v>
      </c>
      <c r="K340" s="0" t="s">
        <v>243</v>
      </c>
      <c r="L340" s="0" t="s">
        <v>571</v>
      </c>
      <c r="M340" s="0" t="s">
        <v>371</v>
      </c>
      <c r="N340" s="0" t="s">
        <v>372</v>
      </c>
      <c r="O340" s="0" t="s">
        <v>643</v>
      </c>
      <c r="Q340" s="0" t="s">
        <v>130</v>
      </c>
      <c r="R340" s="0" t="s">
        <v>138</v>
      </c>
      <c r="S340" s="14">
        <v>0</v>
      </c>
      <c r="T340" s="0" t="s">
        <v>804</v>
      </c>
      <c r="U340" s="0" t="s">
        <v>138</v>
      </c>
      <c r="V340" s="14" t="s">
        <v>138</v>
      </c>
      <c r="W340" s="0" t="s">
        <v>138</v>
      </c>
      <c r="X340" s="14" t="s">
        <v>138</v>
      </c>
      <c r="Y340" s="0" t="s">
        <v>138</v>
      </c>
      <c r="Z340" s="14" t="s">
        <v>138</v>
      </c>
      <c r="AA340" s="0" t="s">
        <v>138</v>
      </c>
      <c r="AB340" s="14" t="s">
        <v>138</v>
      </c>
      <c r="AD340" s="0" t="s">
        <v>138</v>
      </c>
      <c r="AF340" s="0">
        <v>0</v>
      </c>
      <c r="AG340" s="0">
        <v>0</v>
      </c>
      <c r="AH340" s="0" t="s">
        <v>140</v>
      </c>
      <c r="AI340" s="0" t="s">
        <v>138</v>
      </c>
      <c r="AL340" s="14"/>
      <c r="AN340" s="14"/>
      <c r="AQ340" s="0" t="s">
        <v>130</v>
      </c>
      <c r="AR340" s="0" t="s">
        <v>130</v>
      </c>
      <c r="AS340" s="0" t="s">
        <v>130</v>
      </c>
      <c r="AT340" s="0" t="s">
        <v>130</v>
      </c>
      <c r="AU340" s="0" t="s">
        <v>130</v>
      </c>
      <c r="AV340" s="0" t="s">
        <v>130</v>
      </c>
      <c r="AW340" s="0" t="s">
        <v>130</v>
      </c>
      <c r="AX340" s="0" t="s">
        <v>130</v>
      </c>
      <c r="AY340" s="0" t="s">
        <v>130</v>
      </c>
      <c r="AZ340" s="0" t="s">
        <v>130</v>
      </c>
      <c r="BA340" s="0" t="s">
        <v>130</v>
      </c>
      <c r="BB340" s="0" t="s">
        <v>130</v>
      </c>
      <c r="BC340" s="0" t="s">
        <v>130</v>
      </c>
      <c r="BD340" s="0" t="s">
        <v>130</v>
      </c>
      <c r="BE340" s="0" t="s">
        <v>130</v>
      </c>
      <c r="BF340" s="0" t="s">
        <v>130</v>
      </c>
      <c r="BG340" s="0" t="s">
        <v>130</v>
      </c>
      <c r="BH340" s="0" t="s">
        <v>130</v>
      </c>
      <c r="BI340" s="0" t="s">
        <v>130</v>
      </c>
      <c r="BJ340" s="0" t="s">
        <v>130</v>
      </c>
      <c r="BK340" s="0" t="s">
        <v>130</v>
      </c>
      <c r="BL340" s="0" t="s">
        <v>130</v>
      </c>
      <c r="BM340" s="0" t="s">
        <v>130</v>
      </c>
      <c r="BN340" s="0" t="s">
        <v>130</v>
      </c>
      <c r="BO340" s="0" t="s">
        <v>130</v>
      </c>
      <c r="BP340" s="0" t="s">
        <v>130</v>
      </c>
      <c r="BQ340" s="0" t="s">
        <v>130</v>
      </c>
      <c r="BR340" s="0" t="s">
        <v>130</v>
      </c>
      <c r="BS340" s="0" t="s">
        <v>130</v>
      </c>
      <c r="BT340" s="0" t="s">
        <v>130</v>
      </c>
      <c r="BU340" s="0" t="s">
        <v>130</v>
      </c>
      <c r="BV340" s="0" t="s">
        <v>130</v>
      </c>
      <c r="BW340" s="0" t="s">
        <v>130</v>
      </c>
      <c r="BX340" s="0" t="s">
        <v>130</v>
      </c>
      <c r="BY340" s="0" t="s">
        <v>130</v>
      </c>
      <c r="BZ340" s="0" t="s">
        <v>130</v>
      </c>
      <c r="CA340" s="0" t="s">
        <v>130</v>
      </c>
      <c r="CB340" s="0" t="s">
        <v>130</v>
      </c>
      <c r="CC340" s="0" t="s">
        <v>130</v>
      </c>
      <c r="CD340" s="0" t="s">
        <v>130</v>
      </c>
      <c r="CE340" s="0" t="s">
        <v>130</v>
      </c>
      <c r="CF340" s="0" t="s">
        <v>130</v>
      </c>
      <c r="CG340" s="0" t="s">
        <v>130</v>
      </c>
      <c r="CH340" s="0" t="s">
        <v>130</v>
      </c>
      <c r="CI340" s="0" t="s">
        <v>130</v>
      </c>
      <c r="CJ340" s="0" t="s">
        <v>130</v>
      </c>
      <c r="CK340" s="0" t="s">
        <v>130</v>
      </c>
      <c r="CL340" s="0" t="s">
        <v>130</v>
      </c>
      <c r="CM340" s="0" t="s">
        <v>130</v>
      </c>
      <c r="CN340" s="0" t="s">
        <v>130</v>
      </c>
      <c r="CO340" s="0" t="s">
        <v>130</v>
      </c>
      <c r="CP340" s="0" t="s">
        <v>130</v>
      </c>
      <c r="CQ340" s="0" t="s">
        <v>130</v>
      </c>
      <c r="CR340" s="0" t="s">
        <v>130</v>
      </c>
      <c r="CS340" s="0" t="s">
        <v>130</v>
      </c>
      <c r="CT340" s="0" t="s">
        <v>1238</v>
      </c>
    </row>
    <row r="341">
      <c r="A341" s="14">
        <v>113129</v>
      </c>
      <c r="B341" s="0" t="s">
        <v>1219</v>
      </c>
      <c r="C341" s="16">
        <f>HYPERLINK("https://eosportal.federatedhermes.com/companies/Q29tcGFueQppNDY5NDc=", "Wesfarmers Ltd")</f>
      </c>
      <c r="D341" s="0" t="s">
        <v>25</v>
      </c>
      <c r="E341" s="0" t="s">
        <v>1239</v>
      </c>
      <c r="F341" s="16">
        <f>HYPERLINK("https://eosportal.federatedhermes.com/engagements/RW5nYWdlbWVudAppMjAwNzg=", "Regnan Engagement Activity on supply chain")</f>
      </c>
      <c r="G341" s="14" t="s">
        <v>999</v>
      </c>
      <c r="H341" s="0" t="s">
        <v>130</v>
      </c>
      <c r="I341" s="14" t="s">
        <v>319</v>
      </c>
      <c r="J341" s="0" t="s">
        <v>153</v>
      </c>
      <c r="K341" s="0" t="s">
        <v>185</v>
      </c>
      <c r="L341" s="0" t="s">
        <v>186</v>
      </c>
      <c r="M341" s="0" t="s">
        <v>371</v>
      </c>
      <c r="N341" s="0" t="s">
        <v>372</v>
      </c>
      <c r="O341" s="0" t="s">
        <v>643</v>
      </c>
      <c r="Q341" s="0" t="s">
        <v>130</v>
      </c>
      <c r="R341" s="0" t="s">
        <v>138</v>
      </c>
      <c r="S341" s="14">
        <v>0</v>
      </c>
      <c r="T341" s="0" t="s">
        <v>804</v>
      </c>
      <c r="U341" s="0" t="s">
        <v>138</v>
      </c>
      <c r="V341" s="14" t="s">
        <v>138</v>
      </c>
      <c r="W341" s="0" t="s">
        <v>138</v>
      </c>
      <c r="X341" s="14" t="s">
        <v>138</v>
      </c>
      <c r="Y341" s="0" t="s">
        <v>138</v>
      </c>
      <c r="Z341" s="14" t="s">
        <v>138</v>
      </c>
      <c r="AA341" s="0" t="s">
        <v>138</v>
      </c>
      <c r="AB341" s="14" t="s">
        <v>138</v>
      </c>
      <c r="AD341" s="0" t="s">
        <v>138</v>
      </c>
      <c r="AF341" s="0">
        <v>0</v>
      </c>
      <c r="AG341" s="0">
        <v>0</v>
      </c>
      <c r="AH341" s="0" t="s">
        <v>140</v>
      </c>
      <c r="AI341" s="0" t="s">
        <v>138</v>
      </c>
      <c r="AL341" s="14"/>
      <c r="AN341" s="14"/>
      <c r="AQ341" s="0" t="s">
        <v>130</v>
      </c>
      <c r="AR341" s="0" t="s">
        <v>130</v>
      </c>
      <c r="AS341" s="0" t="s">
        <v>130</v>
      </c>
      <c r="AT341" s="0" t="s">
        <v>130</v>
      </c>
      <c r="AU341" s="0" t="s">
        <v>130</v>
      </c>
      <c r="AV341" s="0" t="s">
        <v>130</v>
      </c>
      <c r="AW341" s="0" t="s">
        <v>130</v>
      </c>
      <c r="AX341" s="0" t="s">
        <v>130</v>
      </c>
      <c r="AY341" s="0" t="s">
        <v>130</v>
      </c>
      <c r="AZ341" s="0" t="s">
        <v>130</v>
      </c>
      <c r="BA341" s="0" t="s">
        <v>130</v>
      </c>
      <c r="BB341" s="0" t="s">
        <v>130</v>
      </c>
      <c r="BC341" s="0" t="s">
        <v>130</v>
      </c>
      <c r="BD341" s="0" t="s">
        <v>130</v>
      </c>
      <c r="BE341" s="0" t="s">
        <v>130</v>
      </c>
      <c r="BF341" s="0" t="s">
        <v>130</v>
      </c>
      <c r="BG341" s="0" t="s">
        <v>130</v>
      </c>
      <c r="BH341" s="0" t="s">
        <v>130</v>
      </c>
      <c r="BI341" s="0" t="s">
        <v>130</v>
      </c>
      <c r="BJ341" s="0" t="s">
        <v>130</v>
      </c>
      <c r="BK341" s="0" t="s">
        <v>130</v>
      </c>
      <c r="BL341" s="0" t="s">
        <v>130</v>
      </c>
      <c r="BM341" s="0" t="s">
        <v>130</v>
      </c>
      <c r="BN341" s="0" t="s">
        <v>130</v>
      </c>
      <c r="BO341" s="0" t="s">
        <v>130</v>
      </c>
      <c r="BP341" s="0" t="s">
        <v>130</v>
      </c>
      <c r="BQ341" s="0" t="s">
        <v>130</v>
      </c>
      <c r="BR341" s="0" t="s">
        <v>130</v>
      </c>
      <c r="BS341" s="0" t="s">
        <v>130</v>
      </c>
      <c r="BT341" s="0" t="s">
        <v>130</v>
      </c>
      <c r="BU341" s="0" t="s">
        <v>130</v>
      </c>
      <c r="BV341" s="0" t="s">
        <v>130</v>
      </c>
      <c r="BW341" s="0" t="s">
        <v>130</v>
      </c>
      <c r="BX341" s="0" t="s">
        <v>130</v>
      </c>
      <c r="BY341" s="0" t="s">
        <v>130</v>
      </c>
      <c r="BZ341" s="0" t="s">
        <v>130</v>
      </c>
      <c r="CA341" s="0" t="s">
        <v>130</v>
      </c>
      <c r="CB341" s="0" t="s">
        <v>130</v>
      </c>
      <c r="CC341" s="0" t="s">
        <v>130</v>
      </c>
      <c r="CD341" s="0" t="s">
        <v>130</v>
      </c>
      <c r="CE341" s="0" t="s">
        <v>130</v>
      </c>
      <c r="CF341" s="0" t="s">
        <v>130</v>
      </c>
      <c r="CG341" s="0" t="s">
        <v>130</v>
      </c>
      <c r="CH341" s="0" t="s">
        <v>130</v>
      </c>
      <c r="CI341" s="0" t="s">
        <v>130</v>
      </c>
      <c r="CJ341" s="0" t="s">
        <v>130</v>
      </c>
      <c r="CK341" s="0" t="s">
        <v>130</v>
      </c>
      <c r="CL341" s="0" t="s">
        <v>130</v>
      </c>
      <c r="CM341" s="0" t="s">
        <v>130</v>
      </c>
      <c r="CN341" s="0" t="s">
        <v>130</v>
      </c>
      <c r="CO341" s="0" t="s">
        <v>130</v>
      </c>
      <c r="CP341" s="0" t="s">
        <v>130</v>
      </c>
      <c r="CQ341" s="0" t="s">
        <v>130</v>
      </c>
      <c r="CR341" s="0" t="s">
        <v>130</v>
      </c>
      <c r="CS341" s="0" t="s">
        <v>130</v>
      </c>
      <c r="CT341" s="0" t="s">
        <v>1240</v>
      </c>
    </row>
    <row r="342">
      <c r="A342" s="14">
        <v>113129</v>
      </c>
      <c r="B342" s="0" t="s">
        <v>1219</v>
      </c>
      <c r="C342" s="16">
        <f>HYPERLINK("https://eosportal.federatedhermes.com/companies/Q29tcGFueQppNDY5NDc=", "Wesfarmers Ltd")</f>
      </c>
      <c r="D342" s="0" t="s">
        <v>25</v>
      </c>
      <c r="E342" s="0" t="s">
        <v>1241</v>
      </c>
      <c r="F342" s="16">
        <f>HYPERLINK("https://eosportal.federatedhermes.com/engagements/RW5nYWdlbWVudAppMjAwNzk=", "Western Saharan phosphate")</f>
      </c>
      <c r="G342" s="14" t="s">
        <v>1242</v>
      </c>
      <c r="H342" s="0" t="s">
        <v>130</v>
      </c>
      <c r="I342" s="14" t="s">
        <v>319</v>
      </c>
      <c r="J342" s="0" t="s">
        <v>153</v>
      </c>
      <c r="K342" s="0" t="s">
        <v>185</v>
      </c>
      <c r="L342" s="0" t="s">
        <v>186</v>
      </c>
      <c r="M342" s="0" t="s">
        <v>371</v>
      </c>
      <c r="N342" s="0" t="s">
        <v>372</v>
      </c>
      <c r="O342" s="0" t="s">
        <v>643</v>
      </c>
      <c r="Q342" s="0" t="s">
        <v>130</v>
      </c>
      <c r="R342" s="0" t="s">
        <v>138</v>
      </c>
      <c r="S342" s="14">
        <v>0</v>
      </c>
      <c r="T342" s="0" t="s">
        <v>1243</v>
      </c>
      <c r="U342" s="0" t="s">
        <v>138</v>
      </c>
      <c r="V342" s="14" t="s">
        <v>138</v>
      </c>
      <c r="W342" s="0" t="s">
        <v>138</v>
      </c>
      <c r="X342" s="14" t="s">
        <v>138</v>
      </c>
      <c r="Y342" s="0" t="s">
        <v>138</v>
      </c>
      <c r="Z342" s="14" t="s">
        <v>138</v>
      </c>
      <c r="AA342" s="0" t="s">
        <v>138</v>
      </c>
      <c r="AB342" s="14" t="s">
        <v>138</v>
      </c>
      <c r="AD342" s="0" t="s">
        <v>138</v>
      </c>
      <c r="AF342" s="0">
        <v>0</v>
      </c>
      <c r="AG342" s="0">
        <v>0</v>
      </c>
      <c r="AH342" s="0" t="s">
        <v>140</v>
      </c>
      <c r="AI342" s="0" t="s">
        <v>138</v>
      </c>
      <c r="AL342" s="14"/>
      <c r="AN342" s="14"/>
      <c r="AQ342" s="0" t="s">
        <v>130</v>
      </c>
      <c r="AR342" s="0" t="s">
        <v>130</v>
      </c>
      <c r="AS342" s="0" t="s">
        <v>130</v>
      </c>
      <c r="AT342" s="0" t="s">
        <v>130</v>
      </c>
      <c r="AU342" s="0" t="s">
        <v>130</v>
      </c>
      <c r="AV342" s="0" t="s">
        <v>130</v>
      </c>
      <c r="AW342" s="0" t="s">
        <v>130</v>
      </c>
      <c r="AX342" s="0" t="s">
        <v>130</v>
      </c>
      <c r="AY342" s="0" t="s">
        <v>130</v>
      </c>
      <c r="AZ342" s="0" t="s">
        <v>130</v>
      </c>
      <c r="BA342" s="0" t="s">
        <v>130</v>
      </c>
      <c r="BB342" s="0" t="s">
        <v>130</v>
      </c>
      <c r="BC342" s="0" t="s">
        <v>130</v>
      </c>
      <c r="BD342" s="0" t="s">
        <v>130</v>
      </c>
      <c r="BE342" s="0" t="s">
        <v>130</v>
      </c>
      <c r="BF342" s="0" t="s">
        <v>130</v>
      </c>
      <c r="BG342" s="0" t="s">
        <v>130</v>
      </c>
      <c r="BH342" s="0" t="s">
        <v>130</v>
      </c>
      <c r="BI342" s="0" t="s">
        <v>130</v>
      </c>
      <c r="BJ342" s="0" t="s">
        <v>130</v>
      </c>
      <c r="BK342" s="0" t="s">
        <v>130</v>
      </c>
      <c r="BL342" s="0" t="s">
        <v>130</v>
      </c>
      <c r="BM342" s="0" t="s">
        <v>130</v>
      </c>
      <c r="BN342" s="0" t="s">
        <v>130</v>
      </c>
      <c r="BO342" s="0" t="s">
        <v>130</v>
      </c>
      <c r="BP342" s="0" t="s">
        <v>130</v>
      </c>
      <c r="BQ342" s="0" t="s">
        <v>130</v>
      </c>
      <c r="BR342" s="0" t="s">
        <v>130</v>
      </c>
      <c r="BS342" s="0" t="s">
        <v>130</v>
      </c>
      <c r="BT342" s="0" t="s">
        <v>130</v>
      </c>
      <c r="BU342" s="0" t="s">
        <v>130</v>
      </c>
      <c r="BV342" s="0" t="s">
        <v>130</v>
      </c>
      <c r="BW342" s="0" t="s">
        <v>130</v>
      </c>
      <c r="BX342" s="0" t="s">
        <v>130</v>
      </c>
      <c r="BY342" s="0" t="s">
        <v>130</v>
      </c>
      <c r="BZ342" s="0" t="s">
        <v>130</v>
      </c>
      <c r="CA342" s="0" t="s">
        <v>130</v>
      </c>
      <c r="CB342" s="0" t="s">
        <v>130</v>
      </c>
      <c r="CC342" s="0" t="s">
        <v>130</v>
      </c>
      <c r="CD342" s="0" t="s">
        <v>130</v>
      </c>
      <c r="CE342" s="0" t="s">
        <v>130</v>
      </c>
      <c r="CF342" s="0" t="s">
        <v>130</v>
      </c>
      <c r="CG342" s="0" t="s">
        <v>130</v>
      </c>
      <c r="CH342" s="0" t="s">
        <v>130</v>
      </c>
      <c r="CI342" s="0" t="s">
        <v>130</v>
      </c>
      <c r="CJ342" s="0" t="s">
        <v>130</v>
      </c>
      <c r="CK342" s="0" t="s">
        <v>130</v>
      </c>
      <c r="CL342" s="0" t="s">
        <v>130</v>
      </c>
      <c r="CM342" s="0" t="s">
        <v>130</v>
      </c>
      <c r="CN342" s="0" t="s">
        <v>130</v>
      </c>
      <c r="CO342" s="0" t="s">
        <v>130</v>
      </c>
      <c r="CP342" s="0" t="s">
        <v>130</v>
      </c>
      <c r="CQ342" s="0" t="s">
        <v>130</v>
      </c>
      <c r="CR342" s="0" t="s">
        <v>130</v>
      </c>
      <c r="CS342" s="0" t="s">
        <v>130</v>
      </c>
      <c r="CT342" s="0" t="s">
        <v>1244</v>
      </c>
    </row>
    <row r="343">
      <c r="A343" s="14">
        <v>101153</v>
      </c>
      <c r="B343" s="0" t="s">
        <v>1245</v>
      </c>
      <c r="C343" s="16">
        <f>HYPERLINK("https://eosportal.federatedhermes.com/companies/Q29tcGFueQppODA2MDM=", "PPL Corp")</f>
      </c>
      <c r="D343" s="0" t="s">
        <v>25</v>
      </c>
      <c r="E343" s="0" t="s">
        <v>1246</v>
      </c>
      <c r="F343" s="16">
        <f>HYPERLINK("https://eosportal.federatedhermes.com/engagements/RW5nYWdlbWVudAppMjAwOTk=", "Consumer Facing Strategy")</f>
      </c>
      <c r="G343" s="14" t="s">
        <v>1247</v>
      </c>
      <c r="H343" s="0" t="s">
        <v>130</v>
      </c>
      <c r="I343" s="14" t="s">
        <v>131</v>
      </c>
      <c r="J343" s="0" t="s">
        <v>153</v>
      </c>
      <c r="K343" s="0" t="s">
        <v>154</v>
      </c>
      <c r="L343" s="0" t="s">
        <v>306</v>
      </c>
      <c r="M343" s="0" t="s">
        <v>135</v>
      </c>
      <c r="N343" s="0" t="s">
        <v>136</v>
      </c>
      <c r="O343" s="0" t="s">
        <v>192</v>
      </c>
      <c r="Q343" s="0" t="s">
        <v>130</v>
      </c>
      <c r="R343" s="0" t="s">
        <v>138</v>
      </c>
      <c r="S343" s="14">
        <v>0</v>
      </c>
      <c r="T343" s="0" t="s">
        <v>394</v>
      </c>
      <c r="U343" s="0" t="s">
        <v>138</v>
      </c>
      <c r="V343" s="14" t="s">
        <v>138</v>
      </c>
      <c r="W343" s="0" t="s">
        <v>138</v>
      </c>
      <c r="X343" s="14" t="s">
        <v>138</v>
      </c>
      <c r="Y343" s="0" t="s">
        <v>138</v>
      </c>
      <c r="Z343" s="14" t="s">
        <v>138</v>
      </c>
      <c r="AA343" s="0" t="s">
        <v>138</v>
      </c>
      <c r="AB343" s="14" t="s">
        <v>138</v>
      </c>
      <c r="AD343" s="0" t="s">
        <v>138</v>
      </c>
      <c r="AF343" s="0">
        <v>0</v>
      </c>
      <c r="AG343" s="0">
        <v>0</v>
      </c>
      <c r="AH343" s="0" t="s">
        <v>140</v>
      </c>
      <c r="AI343" s="0" t="s">
        <v>138</v>
      </c>
      <c r="AL343" s="14"/>
      <c r="AN343" s="14"/>
      <c r="AQ343" s="0" t="s">
        <v>130</v>
      </c>
      <c r="AR343" s="0" t="s">
        <v>130</v>
      </c>
      <c r="AS343" s="0" t="s">
        <v>130</v>
      </c>
      <c r="AT343" s="0" t="s">
        <v>130</v>
      </c>
      <c r="AU343" s="0" t="s">
        <v>130</v>
      </c>
      <c r="AV343" s="0" t="s">
        <v>130</v>
      </c>
      <c r="AW343" s="0" t="s">
        <v>141</v>
      </c>
      <c r="AX343" s="0" t="s">
        <v>130</v>
      </c>
      <c r="AY343" s="0" t="s">
        <v>130</v>
      </c>
      <c r="AZ343" s="0" t="s">
        <v>130</v>
      </c>
      <c r="BA343" s="0" t="s">
        <v>130</v>
      </c>
      <c r="BB343" s="0" t="s">
        <v>130</v>
      </c>
      <c r="BC343" s="0" t="s">
        <v>130</v>
      </c>
      <c r="BD343" s="0" t="s">
        <v>130</v>
      </c>
      <c r="BE343" s="0" t="s">
        <v>130</v>
      </c>
      <c r="BF343" s="0" t="s">
        <v>130</v>
      </c>
      <c r="BG343" s="0" t="s">
        <v>130</v>
      </c>
      <c r="BH343" s="0" t="s">
        <v>130</v>
      </c>
      <c r="BI343" s="0" t="s">
        <v>130</v>
      </c>
      <c r="BJ343" s="0" t="s">
        <v>130</v>
      </c>
      <c r="BK343" s="0" t="s">
        <v>130</v>
      </c>
      <c r="BL343" s="0" t="s">
        <v>130</v>
      </c>
      <c r="BM343" s="0" t="s">
        <v>130</v>
      </c>
      <c r="BN343" s="0" t="s">
        <v>130</v>
      </c>
      <c r="BO343" s="0" t="s">
        <v>130</v>
      </c>
      <c r="BP343" s="0" t="s">
        <v>130</v>
      </c>
      <c r="BQ343" s="0" t="s">
        <v>130</v>
      </c>
      <c r="BR343" s="0" t="s">
        <v>130</v>
      </c>
      <c r="BS343" s="0" t="s">
        <v>130</v>
      </c>
      <c r="BT343" s="0" t="s">
        <v>130</v>
      </c>
      <c r="BU343" s="0" t="s">
        <v>130</v>
      </c>
      <c r="BV343" s="0" t="s">
        <v>130</v>
      </c>
      <c r="BW343" s="0" t="s">
        <v>130</v>
      </c>
      <c r="BX343" s="0" t="s">
        <v>130</v>
      </c>
      <c r="BY343" s="0" t="s">
        <v>130</v>
      </c>
      <c r="BZ343" s="0" t="s">
        <v>130</v>
      </c>
      <c r="CA343" s="0" t="s">
        <v>130</v>
      </c>
      <c r="CB343" s="0" t="s">
        <v>130</v>
      </c>
      <c r="CC343" s="0" t="s">
        <v>130</v>
      </c>
      <c r="CD343" s="0" t="s">
        <v>130</v>
      </c>
      <c r="CE343" s="0" t="s">
        <v>130</v>
      </c>
      <c r="CF343" s="0" t="s">
        <v>130</v>
      </c>
      <c r="CG343" s="0" t="s">
        <v>130</v>
      </c>
      <c r="CH343" s="0" t="s">
        <v>130</v>
      </c>
      <c r="CI343" s="0" t="s">
        <v>130</v>
      </c>
      <c r="CJ343" s="0" t="s">
        <v>130</v>
      </c>
      <c r="CK343" s="0" t="s">
        <v>130</v>
      </c>
      <c r="CL343" s="0" t="s">
        <v>130</v>
      </c>
      <c r="CM343" s="0" t="s">
        <v>130</v>
      </c>
      <c r="CN343" s="0" t="s">
        <v>130</v>
      </c>
      <c r="CO343" s="0" t="s">
        <v>130</v>
      </c>
      <c r="CP343" s="0" t="s">
        <v>130</v>
      </c>
      <c r="CQ343" s="0" t="s">
        <v>130</v>
      </c>
      <c r="CR343" s="0" t="s">
        <v>130</v>
      </c>
      <c r="CS343" s="0" t="s">
        <v>130</v>
      </c>
      <c r="CT343" s="0" t="s">
        <v>1248</v>
      </c>
    </row>
    <row r="344">
      <c r="A344" s="14">
        <v>101153</v>
      </c>
      <c r="B344" s="0" t="s">
        <v>1245</v>
      </c>
      <c r="C344" s="16">
        <f>HYPERLINK("https://eosportal.federatedhermes.com/companies/Q29tcGFueQppODA2MDM=", "PPL Corp")</f>
      </c>
      <c r="D344" s="0" t="s">
        <v>25</v>
      </c>
      <c r="E344" s="0" t="s">
        <v>773</v>
      </c>
      <c r="F344" s="16">
        <f>HYPERLINK("https://eosportal.federatedhermes.com/engagements/RW5nYWdlbWVudAppMjAxMDA=", "Best practice actions to limit climate change exposure")</f>
      </c>
      <c r="G344" s="14" t="s">
        <v>1249</v>
      </c>
      <c r="H344" s="0" t="s">
        <v>130</v>
      </c>
      <c r="I344" s="14" t="s">
        <v>131</v>
      </c>
      <c r="J344" s="0" t="s">
        <v>197</v>
      </c>
      <c r="K344" s="0" t="s">
        <v>198</v>
      </c>
      <c r="L344" s="0" t="s">
        <v>199</v>
      </c>
      <c r="M344" s="0" t="s">
        <v>135</v>
      </c>
      <c r="N344" s="0" t="s">
        <v>136</v>
      </c>
      <c r="O344" s="0" t="s">
        <v>192</v>
      </c>
      <c r="Q344" s="0" t="s">
        <v>130</v>
      </c>
      <c r="R344" s="0" t="s">
        <v>138</v>
      </c>
      <c r="S344" s="14">
        <v>0</v>
      </c>
      <c r="T344" s="0" t="s">
        <v>384</v>
      </c>
      <c r="U344" s="0" t="s">
        <v>138</v>
      </c>
      <c r="V344" s="14" t="s">
        <v>138</v>
      </c>
      <c r="W344" s="0" t="s">
        <v>138</v>
      </c>
      <c r="X344" s="14" t="s">
        <v>138</v>
      </c>
      <c r="Y344" s="0" t="s">
        <v>138</v>
      </c>
      <c r="Z344" s="14" t="s">
        <v>138</v>
      </c>
      <c r="AA344" s="0" t="s">
        <v>138</v>
      </c>
      <c r="AB344" s="14" t="s">
        <v>138</v>
      </c>
      <c r="AD344" s="0" t="s">
        <v>138</v>
      </c>
      <c r="AF344" s="0">
        <v>0</v>
      </c>
      <c r="AG344" s="0">
        <v>0</v>
      </c>
      <c r="AH344" s="0" t="s">
        <v>140</v>
      </c>
      <c r="AI344" s="0" t="s">
        <v>138</v>
      </c>
      <c r="AL344" s="14"/>
      <c r="AN344" s="14"/>
      <c r="AQ344" s="0" t="s">
        <v>130</v>
      </c>
      <c r="AR344" s="0" t="s">
        <v>130</v>
      </c>
      <c r="AS344" s="0" t="s">
        <v>130</v>
      </c>
      <c r="AT344" s="0" t="s">
        <v>130</v>
      </c>
      <c r="AU344" s="0" t="s">
        <v>130</v>
      </c>
      <c r="AV344" s="0" t="s">
        <v>130</v>
      </c>
      <c r="AW344" s="0" t="s">
        <v>130</v>
      </c>
      <c r="AX344" s="0" t="s">
        <v>130</v>
      </c>
      <c r="AY344" s="0" t="s">
        <v>130</v>
      </c>
      <c r="AZ344" s="0" t="s">
        <v>130</v>
      </c>
      <c r="BA344" s="0" t="s">
        <v>130</v>
      </c>
      <c r="BB344" s="0" t="s">
        <v>141</v>
      </c>
      <c r="BC344" s="0" t="s">
        <v>130</v>
      </c>
      <c r="BD344" s="0" t="s">
        <v>130</v>
      </c>
      <c r="BE344" s="0" t="s">
        <v>130</v>
      </c>
      <c r="BF344" s="0" t="s">
        <v>130</v>
      </c>
      <c r="BG344" s="0" t="s">
        <v>130</v>
      </c>
      <c r="BH344" s="0" t="s">
        <v>130</v>
      </c>
      <c r="BI344" s="0" t="s">
        <v>130</v>
      </c>
      <c r="BJ344" s="0" t="s">
        <v>130</v>
      </c>
      <c r="BK344" s="0" t="s">
        <v>130</v>
      </c>
      <c r="BL344" s="0" t="s">
        <v>130</v>
      </c>
      <c r="BM344" s="0" t="s">
        <v>130</v>
      </c>
      <c r="BN344" s="0" t="s">
        <v>130</v>
      </c>
      <c r="BO344" s="0" t="s">
        <v>130</v>
      </c>
      <c r="BP344" s="0" t="s">
        <v>130</v>
      </c>
      <c r="BQ344" s="0" t="s">
        <v>130</v>
      </c>
      <c r="BR344" s="0" t="s">
        <v>130</v>
      </c>
      <c r="BS344" s="0" t="s">
        <v>130</v>
      </c>
      <c r="BT344" s="0" t="s">
        <v>130</v>
      </c>
      <c r="BU344" s="0" t="s">
        <v>130</v>
      </c>
      <c r="BV344" s="0" t="s">
        <v>130</v>
      </c>
      <c r="BW344" s="0" t="s">
        <v>130</v>
      </c>
      <c r="BX344" s="0" t="s">
        <v>130</v>
      </c>
      <c r="BY344" s="0" t="s">
        <v>130</v>
      </c>
      <c r="BZ344" s="0" t="s">
        <v>130</v>
      </c>
      <c r="CA344" s="0" t="s">
        <v>130</v>
      </c>
      <c r="CB344" s="0" t="s">
        <v>130</v>
      </c>
      <c r="CC344" s="0" t="s">
        <v>130</v>
      </c>
      <c r="CD344" s="0" t="s">
        <v>130</v>
      </c>
      <c r="CE344" s="0" t="s">
        <v>130</v>
      </c>
      <c r="CF344" s="0" t="s">
        <v>130</v>
      </c>
      <c r="CG344" s="0" t="s">
        <v>130</v>
      </c>
      <c r="CH344" s="0" t="s">
        <v>130</v>
      </c>
      <c r="CI344" s="0" t="s">
        <v>130</v>
      </c>
      <c r="CJ344" s="0" t="s">
        <v>130</v>
      </c>
      <c r="CK344" s="0" t="s">
        <v>130</v>
      </c>
      <c r="CL344" s="0" t="s">
        <v>130</v>
      </c>
      <c r="CM344" s="0" t="s">
        <v>130</v>
      </c>
      <c r="CN344" s="0" t="s">
        <v>130</v>
      </c>
      <c r="CO344" s="0" t="s">
        <v>130</v>
      </c>
      <c r="CP344" s="0" t="s">
        <v>130</v>
      </c>
      <c r="CQ344" s="0" t="s">
        <v>130</v>
      </c>
      <c r="CR344" s="0" t="s">
        <v>130</v>
      </c>
      <c r="CS344" s="0" t="s">
        <v>130</v>
      </c>
      <c r="CT344" s="0" t="s">
        <v>1250</v>
      </c>
    </row>
    <row r="345">
      <c r="A345" s="14">
        <v>101153</v>
      </c>
      <c r="B345" s="0" t="s">
        <v>1245</v>
      </c>
      <c r="C345" s="16">
        <f>HYPERLINK("https://eosportal.federatedhermes.com/companies/Q29tcGFueQppODA2MDM=", "PPL Corp")</f>
      </c>
      <c r="D345" s="0" t="s">
        <v>25</v>
      </c>
      <c r="E345" s="0" t="s">
        <v>1034</v>
      </c>
      <c r="F345" s="16">
        <f>HYPERLINK("https://eosportal.federatedhermes.com/engagements/RW5nYWdlbWVudAppMjAxMDE=", "Board composition")</f>
      </c>
      <c r="G345" s="14" t="s">
        <v>1251</v>
      </c>
      <c r="H345" s="0" t="s">
        <v>130</v>
      </c>
      <c r="I345" s="14" t="s">
        <v>131</v>
      </c>
      <c r="J345" s="0" t="s">
        <v>145</v>
      </c>
      <c r="K345" s="0" t="s">
        <v>164</v>
      </c>
      <c r="L345" s="0" t="s">
        <v>165</v>
      </c>
      <c r="M345" s="0" t="s">
        <v>135</v>
      </c>
      <c r="N345" s="0" t="s">
        <v>136</v>
      </c>
      <c r="O345" s="0" t="s">
        <v>192</v>
      </c>
      <c r="Q345" s="0" t="s">
        <v>130</v>
      </c>
      <c r="R345" s="0" t="s">
        <v>138</v>
      </c>
      <c r="S345" s="14">
        <v>0</v>
      </c>
      <c r="T345" s="0" t="s">
        <v>193</v>
      </c>
      <c r="U345" s="0" t="s">
        <v>138</v>
      </c>
      <c r="V345" s="14" t="s">
        <v>138</v>
      </c>
      <c r="W345" s="0" t="s">
        <v>138</v>
      </c>
      <c r="X345" s="14" t="s">
        <v>138</v>
      </c>
      <c r="Y345" s="0" t="s">
        <v>138</v>
      </c>
      <c r="Z345" s="14" t="s">
        <v>138</v>
      </c>
      <c r="AA345" s="0" t="s">
        <v>138</v>
      </c>
      <c r="AB345" s="14" t="s">
        <v>138</v>
      </c>
      <c r="AD345" s="0" t="s">
        <v>138</v>
      </c>
      <c r="AF345" s="0">
        <v>0</v>
      </c>
      <c r="AG345" s="0">
        <v>0</v>
      </c>
      <c r="AH345" s="0" t="s">
        <v>140</v>
      </c>
      <c r="AI345" s="0" t="s">
        <v>138</v>
      </c>
      <c r="AL345" s="14"/>
      <c r="AN345" s="14"/>
      <c r="AQ345" s="0" t="s">
        <v>130</v>
      </c>
      <c r="AR345" s="0" t="s">
        <v>130</v>
      </c>
      <c r="AS345" s="0" t="s">
        <v>130</v>
      </c>
      <c r="AT345" s="0" t="s">
        <v>130</v>
      </c>
      <c r="AU345" s="0" t="s">
        <v>130</v>
      </c>
      <c r="AV345" s="0" t="s">
        <v>130</v>
      </c>
      <c r="AW345" s="0" t="s">
        <v>130</v>
      </c>
      <c r="AX345" s="0" t="s">
        <v>130</v>
      </c>
      <c r="AY345" s="0" t="s">
        <v>130</v>
      </c>
      <c r="AZ345" s="0" t="s">
        <v>130</v>
      </c>
      <c r="BA345" s="0" t="s">
        <v>130</v>
      </c>
      <c r="BB345" s="0" t="s">
        <v>130</v>
      </c>
      <c r="BC345" s="0" t="s">
        <v>130</v>
      </c>
      <c r="BD345" s="0" t="s">
        <v>130</v>
      </c>
      <c r="BE345" s="0" t="s">
        <v>130</v>
      </c>
      <c r="BF345" s="0" t="s">
        <v>130</v>
      </c>
      <c r="BG345" s="0" t="s">
        <v>130</v>
      </c>
      <c r="BH345" s="0" t="s">
        <v>130</v>
      </c>
      <c r="BI345" s="0" t="s">
        <v>130</v>
      </c>
      <c r="BJ345" s="0" t="s">
        <v>130</v>
      </c>
      <c r="BK345" s="0" t="s">
        <v>130</v>
      </c>
      <c r="BL345" s="0" t="s">
        <v>130</v>
      </c>
      <c r="BM345" s="0" t="s">
        <v>130</v>
      </c>
      <c r="BN345" s="0" t="s">
        <v>130</v>
      </c>
      <c r="BO345" s="0" t="s">
        <v>130</v>
      </c>
      <c r="BP345" s="0" t="s">
        <v>130</v>
      </c>
      <c r="BQ345" s="0" t="s">
        <v>130</v>
      </c>
      <c r="BR345" s="0" t="s">
        <v>130</v>
      </c>
      <c r="BS345" s="0" t="s">
        <v>130</v>
      </c>
      <c r="BT345" s="0" t="s">
        <v>130</v>
      </c>
      <c r="BU345" s="0" t="s">
        <v>130</v>
      </c>
      <c r="BV345" s="0" t="s">
        <v>130</v>
      </c>
      <c r="BW345" s="0" t="s">
        <v>130</v>
      </c>
      <c r="BX345" s="0" t="s">
        <v>130</v>
      </c>
      <c r="BY345" s="0" t="s">
        <v>130</v>
      </c>
      <c r="BZ345" s="0" t="s">
        <v>130</v>
      </c>
      <c r="CA345" s="0" t="s">
        <v>130</v>
      </c>
      <c r="CB345" s="0" t="s">
        <v>130</v>
      </c>
      <c r="CC345" s="0" t="s">
        <v>130</v>
      </c>
      <c r="CD345" s="0" t="s">
        <v>130</v>
      </c>
      <c r="CE345" s="0" t="s">
        <v>130</v>
      </c>
      <c r="CF345" s="0" t="s">
        <v>130</v>
      </c>
      <c r="CG345" s="0" t="s">
        <v>130</v>
      </c>
      <c r="CH345" s="0" t="s">
        <v>130</v>
      </c>
      <c r="CI345" s="0" t="s">
        <v>130</v>
      </c>
      <c r="CJ345" s="0" t="s">
        <v>130</v>
      </c>
      <c r="CK345" s="0" t="s">
        <v>130</v>
      </c>
      <c r="CL345" s="0" t="s">
        <v>130</v>
      </c>
      <c r="CM345" s="0" t="s">
        <v>130</v>
      </c>
      <c r="CN345" s="0" t="s">
        <v>130</v>
      </c>
      <c r="CO345" s="0" t="s">
        <v>130</v>
      </c>
      <c r="CP345" s="0" t="s">
        <v>130</v>
      </c>
      <c r="CQ345" s="0" t="s">
        <v>130</v>
      </c>
      <c r="CR345" s="0" t="s">
        <v>130</v>
      </c>
      <c r="CS345" s="0" t="s">
        <v>130</v>
      </c>
      <c r="CT345" s="0" t="s">
        <v>1252</v>
      </c>
    </row>
    <row r="346">
      <c r="A346" s="14">
        <v>101153</v>
      </c>
      <c r="B346" s="0" t="s">
        <v>1245</v>
      </c>
      <c r="C346" s="16">
        <f>HYPERLINK("https://eosportal.federatedhermes.com/companies/Q29tcGFueQppODA2MDM=", "PPL Corp")</f>
      </c>
      <c r="D346" s="0" t="s">
        <v>23</v>
      </c>
      <c r="E346" s="0" t="s">
        <v>1253</v>
      </c>
      <c r="F346" s="16">
        <f>HYPERLINK("https://eosportal.federatedhermes.com/engagements/RW5nYWdlbWVudAppMjAxMDI=", "Senior management metrics disclosure")</f>
      </c>
      <c r="G346" s="14" t="s">
        <v>1254</v>
      </c>
      <c r="H346" s="0" t="s">
        <v>130</v>
      </c>
      <c r="I346" s="14" t="s">
        <v>131</v>
      </c>
      <c r="J346" s="0" t="s">
        <v>153</v>
      </c>
      <c r="K346" s="0" t="s">
        <v>154</v>
      </c>
      <c r="L346" s="0" t="s">
        <v>268</v>
      </c>
      <c r="M346" s="0" t="s">
        <v>135</v>
      </c>
      <c r="N346" s="0" t="s">
        <v>136</v>
      </c>
      <c r="O346" s="0" t="s">
        <v>192</v>
      </c>
      <c r="Q346" s="0" t="s">
        <v>130</v>
      </c>
      <c r="R346" s="0" t="s">
        <v>130</v>
      </c>
      <c r="S346" s="14">
        <v>0</v>
      </c>
      <c r="T346" s="0" t="s">
        <v>206</v>
      </c>
      <c r="U346" s="0" t="s">
        <v>221</v>
      </c>
      <c r="V346" s="14" t="s">
        <v>206</v>
      </c>
      <c r="W346" s="0" t="s">
        <v>221</v>
      </c>
      <c r="X346" s="14" t="s">
        <v>206</v>
      </c>
      <c r="Y346" s="0" t="s">
        <v>221</v>
      </c>
      <c r="Z346" s="14" t="s">
        <v>360</v>
      </c>
      <c r="AA346" s="0" t="s">
        <v>1255</v>
      </c>
      <c r="AB346" s="14" t="s">
        <v>361</v>
      </c>
      <c r="AD346" s="0" t="s">
        <v>1256</v>
      </c>
      <c r="AF346" s="0">
        <v>0</v>
      </c>
      <c r="AG346" s="0">
        <v>0</v>
      </c>
      <c r="AH346" s="0" t="s">
        <v>140</v>
      </c>
      <c r="AI346" s="0" t="s">
        <v>1255</v>
      </c>
      <c r="AJ346" s="0" t="s">
        <v>1257</v>
      </c>
      <c r="AL346" s="14"/>
      <c r="AN346" s="14"/>
      <c r="AQ346" s="0" t="s">
        <v>130</v>
      </c>
      <c r="AR346" s="0" t="s">
        <v>130</v>
      </c>
      <c r="AS346" s="0" t="s">
        <v>130</v>
      </c>
      <c r="AT346" s="0" t="s">
        <v>130</v>
      </c>
      <c r="AU346" s="0" t="s">
        <v>141</v>
      </c>
      <c r="AV346" s="0" t="s">
        <v>130</v>
      </c>
      <c r="AW346" s="0" t="s">
        <v>130</v>
      </c>
      <c r="AX346" s="0" t="s">
        <v>130</v>
      </c>
      <c r="AY346" s="0" t="s">
        <v>130</v>
      </c>
      <c r="AZ346" s="0" t="s">
        <v>130</v>
      </c>
      <c r="BA346" s="0" t="s">
        <v>130</v>
      </c>
      <c r="BB346" s="0" t="s">
        <v>130</v>
      </c>
      <c r="BC346" s="0" t="s">
        <v>130</v>
      </c>
      <c r="BD346" s="0" t="s">
        <v>130</v>
      </c>
      <c r="BE346" s="0" t="s">
        <v>130</v>
      </c>
      <c r="BF346" s="0" t="s">
        <v>130</v>
      </c>
      <c r="BG346" s="0" t="s">
        <v>130</v>
      </c>
      <c r="BH346" s="0" t="s">
        <v>130</v>
      </c>
      <c r="BI346" s="0" t="s">
        <v>130</v>
      </c>
      <c r="BJ346" s="0" t="s">
        <v>130</v>
      </c>
      <c r="BK346" s="0" t="s">
        <v>130</v>
      </c>
      <c r="BL346" s="0" t="s">
        <v>130</v>
      </c>
      <c r="BM346" s="0" t="s">
        <v>130</v>
      </c>
      <c r="BN346" s="0" t="s">
        <v>130</v>
      </c>
      <c r="BO346" s="0" t="s">
        <v>130</v>
      </c>
      <c r="BP346" s="0" t="s">
        <v>130</v>
      </c>
      <c r="BQ346" s="0" t="s">
        <v>130</v>
      </c>
      <c r="BR346" s="0" t="s">
        <v>130</v>
      </c>
      <c r="BS346" s="0" t="s">
        <v>130</v>
      </c>
      <c r="BT346" s="0" t="s">
        <v>130</v>
      </c>
      <c r="BU346" s="0" t="s">
        <v>130</v>
      </c>
      <c r="BV346" s="0" t="s">
        <v>130</v>
      </c>
      <c r="BW346" s="0" t="s">
        <v>130</v>
      </c>
      <c r="BX346" s="0" t="s">
        <v>130</v>
      </c>
      <c r="BY346" s="0" t="s">
        <v>130</v>
      </c>
      <c r="BZ346" s="0" t="s">
        <v>130</v>
      </c>
      <c r="CA346" s="0" t="s">
        <v>130</v>
      </c>
      <c r="CB346" s="0" t="s">
        <v>130</v>
      </c>
      <c r="CC346" s="0" t="s">
        <v>130</v>
      </c>
      <c r="CD346" s="0" t="s">
        <v>130</v>
      </c>
      <c r="CE346" s="0" t="s">
        <v>130</v>
      </c>
      <c r="CF346" s="0" t="s">
        <v>130</v>
      </c>
      <c r="CG346" s="0" t="s">
        <v>130</v>
      </c>
      <c r="CH346" s="0" t="s">
        <v>130</v>
      </c>
      <c r="CI346" s="0" t="s">
        <v>130</v>
      </c>
      <c r="CJ346" s="0" t="s">
        <v>130</v>
      </c>
      <c r="CK346" s="0" t="s">
        <v>141</v>
      </c>
      <c r="CL346" s="0" t="s">
        <v>130</v>
      </c>
      <c r="CM346" s="0" t="s">
        <v>130</v>
      </c>
      <c r="CN346" s="0" t="s">
        <v>130</v>
      </c>
      <c r="CO346" s="0" t="s">
        <v>130</v>
      </c>
      <c r="CP346" s="0" t="s">
        <v>130</v>
      </c>
      <c r="CQ346" s="0" t="s">
        <v>130</v>
      </c>
      <c r="CR346" s="0" t="s">
        <v>130</v>
      </c>
      <c r="CS346" s="0" t="s">
        <v>130</v>
      </c>
      <c r="CT346" s="0" t="s">
        <v>1258</v>
      </c>
    </row>
    <row r="347">
      <c r="A347" s="14">
        <v>101153</v>
      </c>
      <c r="B347" s="0" t="s">
        <v>1245</v>
      </c>
      <c r="C347" s="16">
        <f>HYPERLINK("https://eosportal.federatedhermes.com/companies/Q29tcGFueQppODA2MDM=", "PPL Corp")</f>
      </c>
      <c r="D347" s="0" t="s">
        <v>23</v>
      </c>
      <c r="E347" s="0" t="s">
        <v>1259</v>
      </c>
      <c r="F347" s="16">
        <f>HYPERLINK("https://eosportal.federatedhermes.com/engagements/RW5nYWdlbWVudAppMjAxMDM=", "Net Positive Impact on Biodiversity")</f>
      </c>
      <c r="G347" s="14" t="s">
        <v>1260</v>
      </c>
      <c r="H347" s="0" t="s">
        <v>130</v>
      </c>
      <c r="I347" s="14" t="s">
        <v>131</v>
      </c>
      <c r="J347" s="0" t="s">
        <v>197</v>
      </c>
      <c r="K347" s="0" t="s">
        <v>337</v>
      </c>
      <c r="L347" s="0" t="s">
        <v>576</v>
      </c>
      <c r="M347" s="0" t="s">
        <v>135</v>
      </c>
      <c r="N347" s="0" t="s">
        <v>136</v>
      </c>
      <c r="O347" s="0" t="s">
        <v>192</v>
      </c>
      <c r="Q347" s="0" t="s">
        <v>141</v>
      </c>
      <c r="R347" s="0" t="s">
        <v>141</v>
      </c>
      <c r="S347" s="14">
        <v>1</v>
      </c>
      <c r="T347" s="0" t="s">
        <v>206</v>
      </c>
      <c r="U347" s="0" t="s">
        <v>221</v>
      </c>
      <c r="V347" s="14" t="s">
        <v>206</v>
      </c>
      <c r="W347" s="0" t="s">
        <v>221</v>
      </c>
      <c r="X347" s="14" t="s">
        <v>206</v>
      </c>
      <c r="Y347" s="0" t="s">
        <v>221</v>
      </c>
      <c r="Z347" s="14" t="s">
        <v>361</v>
      </c>
      <c r="AA347" s="0" t="s">
        <v>221</v>
      </c>
      <c r="AB347" s="14" t="s">
        <v>361</v>
      </c>
      <c r="AC347" s="0" t="s">
        <v>1261</v>
      </c>
      <c r="AD347" s="0" t="s">
        <v>362</v>
      </c>
      <c r="AE347" s="0" t="s">
        <v>1262</v>
      </c>
      <c r="AF347" s="0">
        <v>2</v>
      </c>
      <c r="AG347" s="0">
        <v>0</v>
      </c>
      <c r="AH347" s="0" t="s">
        <v>140</v>
      </c>
      <c r="AI347" s="0" t="s">
        <v>221</v>
      </c>
      <c r="AJ347" s="0" t="s">
        <v>364</v>
      </c>
      <c r="AK347" s="0" t="s">
        <v>930</v>
      </c>
      <c r="AL347" s="14"/>
      <c r="AN347" s="14"/>
      <c r="AQ347" s="0" t="s">
        <v>130</v>
      </c>
      <c r="AR347" s="0" t="s">
        <v>141</v>
      </c>
      <c r="AS347" s="0" t="s">
        <v>130</v>
      </c>
      <c r="AT347" s="0" t="s">
        <v>130</v>
      </c>
      <c r="AU347" s="0" t="s">
        <v>130</v>
      </c>
      <c r="AV347" s="0" t="s">
        <v>141</v>
      </c>
      <c r="AW347" s="0" t="s">
        <v>130</v>
      </c>
      <c r="AX347" s="0" t="s">
        <v>130</v>
      </c>
      <c r="AY347" s="0" t="s">
        <v>130</v>
      </c>
      <c r="AZ347" s="0" t="s">
        <v>130</v>
      </c>
      <c r="BA347" s="0" t="s">
        <v>141</v>
      </c>
      <c r="BB347" s="0" t="s">
        <v>141</v>
      </c>
      <c r="BC347" s="0" t="s">
        <v>130</v>
      </c>
      <c r="BD347" s="0" t="s">
        <v>141</v>
      </c>
      <c r="BE347" s="0" t="s">
        <v>141</v>
      </c>
      <c r="BF347" s="0" t="s">
        <v>130</v>
      </c>
      <c r="BG347" s="0" t="s">
        <v>130</v>
      </c>
      <c r="BH347" s="0" t="s">
        <v>130</v>
      </c>
      <c r="BI347" s="0" t="s">
        <v>130</v>
      </c>
      <c r="BJ347" s="0" t="s">
        <v>130</v>
      </c>
      <c r="BK347" s="0" t="s">
        <v>130</v>
      </c>
      <c r="BL347" s="0" t="s">
        <v>130</v>
      </c>
      <c r="BM347" s="0" t="s">
        <v>130</v>
      </c>
      <c r="BN347" s="0" t="s">
        <v>130</v>
      </c>
      <c r="BO347" s="0" t="s">
        <v>130</v>
      </c>
      <c r="BP347" s="0" t="s">
        <v>130</v>
      </c>
      <c r="BQ347" s="0" t="s">
        <v>130</v>
      </c>
      <c r="BR347" s="0" t="s">
        <v>130</v>
      </c>
      <c r="BS347" s="0" t="s">
        <v>130</v>
      </c>
      <c r="BT347" s="0" t="s">
        <v>130</v>
      </c>
      <c r="BU347" s="0" t="s">
        <v>130</v>
      </c>
      <c r="BV347" s="0" t="s">
        <v>130</v>
      </c>
      <c r="BW347" s="0" t="s">
        <v>130</v>
      </c>
      <c r="BX347" s="0" t="s">
        <v>130</v>
      </c>
      <c r="BY347" s="0" t="s">
        <v>130</v>
      </c>
      <c r="BZ347" s="0" t="s">
        <v>130</v>
      </c>
      <c r="CA347" s="0" t="s">
        <v>130</v>
      </c>
      <c r="CB347" s="0" t="s">
        <v>130</v>
      </c>
      <c r="CC347" s="0" t="s">
        <v>130</v>
      </c>
      <c r="CD347" s="0" t="s">
        <v>130</v>
      </c>
      <c r="CE347" s="0" t="s">
        <v>130</v>
      </c>
      <c r="CF347" s="0" t="s">
        <v>130</v>
      </c>
      <c r="CG347" s="0" t="s">
        <v>130</v>
      </c>
      <c r="CH347" s="0" t="s">
        <v>130</v>
      </c>
      <c r="CI347" s="0" t="s">
        <v>130</v>
      </c>
      <c r="CJ347" s="0" t="s">
        <v>130</v>
      </c>
      <c r="CK347" s="0" t="s">
        <v>130</v>
      </c>
      <c r="CL347" s="0" t="s">
        <v>130</v>
      </c>
      <c r="CM347" s="0" t="s">
        <v>130</v>
      </c>
      <c r="CN347" s="0" t="s">
        <v>130</v>
      </c>
      <c r="CO347" s="0" t="s">
        <v>130</v>
      </c>
      <c r="CP347" s="0" t="s">
        <v>130</v>
      </c>
      <c r="CQ347" s="0" t="s">
        <v>130</v>
      </c>
      <c r="CR347" s="0" t="s">
        <v>130</v>
      </c>
      <c r="CS347" s="0" t="s">
        <v>130</v>
      </c>
      <c r="CT347" s="0" t="s">
        <v>1263</v>
      </c>
    </row>
    <row r="348">
      <c r="A348" s="14">
        <v>101153</v>
      </c>
      <c r="B348" s="0" t="s">
        <v>1245</v>
      </c>
      <c r="C348" s="16">
        <f>HYPERLINK("https://eosportal.federatedhermes.com/companies/Q29tcGFueQppODA2MDM=", "PPL Corp")</f>
      </c>
      <c r="D348" s="0" t="s">
        <v>23</v>
      </c>
      <c r="E348" s="0" t="s">
        <v>228</v>
      </c>
      <c r="F348" s="16">
        <f>HYPERLINK("https://eosportal.federatedhermes.com/engagements/RW5nYWdlbWVudAppMjAxMDQ=", "Climate strategy")</f>
      </c>
      <c r="G348" s="14" t="s">
        <v>1264</v>
      </c>
      <c r="H348" s="0" t="s">
        <v>130</v>
      </c>
      <c r="I348" s="14" t="s">
        <v>131</v>
      </c>
      <c r="J348" s="0" t="s">
        <v>197</v>
      </c>
      <c r="K348" s="0" t="s">
        <v>198</v>
      </c>
      <c r="L348" s="0" t="s">
        <v>220</v>
      </c>
      <c r="M348" s="0" t="s">
        <v>135</v>
      </c>
      <c r="N348" s="0" t="s">
        <v>136</v>
      </c>
      <c r="O348" s="0" t="s">
        <v>192</v>
      </c>
      <c r="Q348" s="0" t="s">
        <v>141</v>
      </c>
      <c r="R348" s="0" t="s">
        <v>130</v>
      </c>
      <c r="S348" s="14">
        <v>1</v>
      </c>
      <c r="T348" s="0" t="s">
        <v>206</v>
      </c>
      <c r="U348" s="0" t="s">
        <v>221</v>
      </c>
      <c r="V348" s="14" t="s">
        <v>206</v>
      </c>
      <c r="W348" s="0" t="s">
        <v>221</v>
      </c>
      <c r="X348" s="14" t="s">
        <v>206</v>
      </c>
      <c r="Y348" s="0" t="s">
        <v>221</v>
      </c>
      <c r="Z348" s="14" t="s">
        <v>231</v>
      </c>
      <c r="AA348" s="0" t="s">
        <v>223</v>
      </c>
      <c r="AB348" s="14" t="s">
        <v>138</v>
      </c>
      <c r="AD348" s="0" t="s">
        <v>20</v>
      </c>
      <c r="AF348" s="0">
        <v>0</v>
      </c>
      <c r="AG348" s="0">
        <v>0</v>
      </c>
      <c r="AH348" s="0" t="s">
        <v>140</v>
      </c>
      <c r="AI348" s="0" t="s">
        <v>232</v>
      </c>
      <c r="AK348" s="0" t="s">
        <v>930</v>
      </c>
      <c r="AL348" s="14"/>
      <c r="AN348" s="14"/>
      <c r="AQ348" s="0" t="s">
        <v>130</v>
      </c>
      <c r="AR348" s="0" t="s">
        <v>130</v>
      </c>
      <c r="AS348" s="0" t="s">
        <v>130</v>
      </c>
      <c r="AT348" s="0" t="s">
        <v>130</v>
      </c>
      <c r="AU348" s="0" t="s">
        <v>130</v>
      </c>
      <c r="AV348" s="0" t="s">
        <v>130</v>
      </c>
      <c r="AW348" s="0" t="s">
        <v>141</v>
      </c>
      <c r="AX348" s="0" t="s">
        <v>130</v>
      </c>
      <c r="AY348" s="0" t="s">
        <v>141</v>
      </c>
      <c r="AZ348" s="0" t="s">
        <v>130</v>
      </c>
      <c r="BA348" s="0" t="s">
        <v>130</v>
      </c>
      <c r="BB348" s="0" t="s">
        <v>130</v>
      </c>
      <c r="BC348" s="0" t="s">
        <v>141</v>
      </c>
      <c r="BD348" s="0" t="s">
        <v>130</v>
      </c>
      <c r="BE348" s="0" t="s">
        <v>130</v>
      </c>
      <c r="BF348" s="0" t="s">
        <v>130</v>
      </c>
      <c r="BG348" s="0" t="s">
        <v>130</v>
      </c>
      <c r="BH348" s="0" t="s">
        <v>141</v>
      </c>
      <c r="BI348" s="0" t="s">
        <v>141</v>
      </c>
      <c r="BJ348" s="0" t="s">
        <v>141</v>
      </c>
      <c r="BK348" s="0" t="s">
        <v>130</v>
      </c>
      <c r="BL348" s="0" t="s">
        <v>130</v>
      </c>
      <c r="BM348" s="0" t="s">
        <v>130</v>
      </c>
      <c r="BN348" s="0" t="s">
        <v>130</v>
      </c>
      <c r="BO348" s="0" t="s">
        <v>130</v>
      </c>
      <c r="BP348" s="0" t="s">
        <v>130</v>
      </c>
      <c r="BQ348" s="0" t="s">
        <v>130</v>
      </c>
      <c r="BR348" s="0" t="s">
        <v>130</v>
      </c>
      <c r="BS348" s="0" t="s">
        <v>130</v>
      </c>
      <c r="BT348" s="0" t="s">
        <v>130</v>
      </c>
      <c r="BU348" s="0" t="s">
        <v>130</v>
      </c>
      <c r="BV348" s="0" t="s">
        <v>141</v>
      </c>
      <c r="BW348" s="0" t="s">
        <v>141</v>
      </c>
      <c r="BX348" s="0" t="s">
        <v>130</v>
      </c>
      <c r="BY348" s="0" t="s">
        <v>130</v>
      </c>
      <c r="BZ348" s="0" t="s">
        <v>130</v>
      </c>
      <c r="CA348" s="0" t="s">
        <v>130</v>
      </c>
      <c r="CB348" s="0" t="s">
        <v>130</v>
      </c>
      <c r="CC348" s="0" t="s">
        <v>130</v>
      </c>
      <c r="CD348" s="0" t="s">
        <v>130</v>
      </c>
      <c r="CE348" s="0" t="s">
        <v>130</v>
      </c>
      <c r="CF348" s="0" t="s">
        <v>130</v>
      </c>
      <c r="CG348" s="0" t="s">
        <v>130</v>
      </c>
      <c r="CH348" s="0" t="s">
        <v>130</v>
      </c>
      <c r="CI348" s="0" t="s">
        <v>130</v>
      </c>
      <c r="CJ348" s="0" t="s">
        <v>130</v>
      </c>
      <c r="CK348" s="0" t="s">
        <v>130</v>
      </c>
      <c r="CL348" s="0" t="s">
        <v>130</v>
      </c>
      <c r="CM348" s="0" t="s">
        <v>130</v>
      </c>
      <c r="CN348" s="0" t="s">
        <v>130</v>
      </c>
      <c r="CO348" s="0" t="s">
        <v>130</v>
      </c>
      <c r="CP348" s="0" t="s">
        <v>130</v>
      </c>
      <c r="CQ348" s="0" t="s">
        <v>130</v>
      </c>
      <c r="CR348" s="0" t="s">
        <v>130</v>
      </c>
      <c r="CS348" s="0" t="s">
        <v>130</v>
      </c>
      <c r="CT348" s="0" t="s">
        <v>1265</v>
      </c>
    </row>
    <row r="349">
      <c r="A349" s="14">
        <v>101153</v>
      </c>
      <c r="B349" s="0" t="s">
        <v>1245</v>
      </c>
      <c r="C349" s="16">
        <f>HYPERLINK("https://eosportal.federatedhermes.com/companies/Q29tcGFueQppODA2MDM=", "PPL Corp")</f>
      </c>
      <c r="D349" s="0" t="s">
        <v>23</v>
      </c>
      <c r="E349" s="0" t="s">
        <v>1266</v>
      </c>
      <c r="F349" s="16">
        <f>HYPERLINK("https://eosportal.federatedhermes.com/engagements/RW5nYWdlbWVudAppMjAxMDU=", "Climate resilient asset plan")</f>
      </c>
      <c r="G349" s="14" t="s">
        <v>1267</v>
      </c>
      <c r="H349" s="0" t="s">
        <v>130</v>
      </c>
      <c r="I349" s="14" t="s">
        <v>131</v>
      </c>
      <c r="J349" s="0" t="s">
        <v>197</v>
      </c>
      <c r="K349" s="0" t="s">
        <v>198</v>
      </c>
      <c r="L349" s="0" t="s">
        <v>220</v>
      </c>
      <c r="M349" s="0" t="s">
        <v>135</v>
      </c>
      <c r="N349" s="0" t="s">
        <v>136</v>
      </c>
      <c r="O349" s="0" t="s">
        <v>192</v>
      </c>
      <c r="Q349" s="0" t="s">
        <v>141</v>
      </c>
      <c r="R349" s="0" t="s">
        <v>141</v>
      </c>
      <c r="S349" s="14">
        <v>1</v>
      </c>
      <c r="T349" s="0" t="s">
        <v>394</v>
      </c>
      <c r="U349" s="0" t="s">
        <v>221</v>
      </c>
      <c r="V349" s="14" t="s">
        <v>394</v>
      </c>
      <c r="W349" s="0" t="s">
        <v>221</v>
      </c>
      <c r="X349" s="14" t="s">
        <v>394</v>
      </c>
      <c r="Y349" s="0" t="s">
        <v>221</v>
      </c>
      <c r="Z349" s="14" t="s">
        <v>231</v>
      </c>
      <c r="AA349" s="0" t="s">
        <v>221</v>
      </c>
      <c r="AB349" s="14" t="s">
        <v>361</v>
      </c>
      <c r="AC349" s="0" t="s">
        <v>20</v>
      </c>
      <c r="AD349" s="0" t="s">
        <v>362</v>
      </c>
      <c r="AE349" s="0" t="s">
        <v>363</v>
      </c>
      <c r="AF349" s="0">
        <v>1</v>
      </c>
      <c r="AG349" s="0">
        <v>0</v>
      </c>
      <c r="AH349" s="0" t="s">
        <v>140</v>
      </c>
      <c r="AI349" s="0" t="s">
        <v>598</v>
      </c>
      <c r="AJ349" s="0" t="s">
        <v>364</v>
      </c>
      <c r="AK349" s="0" t="s">
        <v>930</v>
      </c>
      <c r="AL349" s="14" t="s">
        <v>1268</v>
      </c>
      <c r="AM349" s="0" t="s">
        <v>366</v>
      </c>
      <c r="AN349" s="14"/>
      <c r="AQ349" s="0" t="s">
        <v>130</v>
      </c>
      <c r="AR349" s="0" t="s">
        <v>130</v>
      </c>
      <c r="AS349" s="0" t="s">
        <v>130</v>
      </c>
      <c r="AT349" s="0" t="s">
        <v>130</v>
      </c>
      <c r="AU349" s="0" t="s">
        <v>130</v>
      </c>
      <c r="AV349" s="0" t="s">
        <v>130</v>
      </c>
      <c r="AW349" s="0" t="s">
        <v>141</v>
      </c>
      <c r="AX349" s="0" t="s">
        <v>130</v>
      </c>
      <c r="AY349" s="0" t="s">
        <v>141</v>
      </c>
      <c r="AZ349" s="0" t="s">
        <v>130</v>
      </c>
      <c r="BA349" s="0" t="s">
        <v>130</v>
      </c>
      <c r="BB349" s="0" t="s">
        <v>130</v>
      </c>
      <c r="BC349" s="0" t="s">
        <v>141</v>
      </c>
      <c r="BD349" s="0" t="s">
        <v>130</v>
      </c>
      <c r="BE349" s="0" t="s">
        <v>130</v>
      </c>
      <c r="BF349" s="0" t="s">
        <v>130</v>
      </c>
      <c r="BG349" s="0" t="s">
        <v>130</v>
      </c>
      <c r="BH349" s="0" t="s">
        <v>130</v>
      </c>
      <c r="BI349" s="0" t="s">
        <v>130</v>
      </c>
      <c r="BJ349" s="0" t="s">
        <v>130</v>
      </c>
      <c r="BK349" s="0" t="s">
        <v>130</v>
      </c>
      <c r="BL349" s="0" t="s">
        <v>130</v>
      </c>
      <c r="BM349" s="0" t="s">
        <v>130</v>
      </c>
      <c r="BN349" s="0" t="s">
        <v>130</v>
      </c>
      <c r="BO349" s="0" t="s">
        <v>130</v>
      </c>
      <c r="BP349" s="0" t="s">
        <v>130</v>
      </c>
      <c r="BQ349" s="0" t="s">
        <v>130</v>
      </c>
      <c r="BR349" s="0" t="s">
        <v>130</v>
      </c>
      <c r="BS349" s="0" t="s">
        <v>130</v>
      </c>
      <c r="BT349" s="0" t="s">
        <v>130</v>
      </c>
      <c r="BU349" s="0" t="s">
        <v>130</v>
      </c>
      <c r="BV349" s="0" t="s">
        <v>130</v>
      </c>
      <c r="BW349" s="0" t="s">
        <v>130</v>
      </c>
      <c r="BX349" s="0" t="s">
        <v>130</v>
      </c>
      <c r="BY349" s="0" t="s">
        <v>130</v>
      </c>
      <c r="BZ349" s="0" t="s">
        <v>130</v>
      </c>
      <c r="CA349" s="0" t="s">
        <v>130</v>
      </c>
      <c r="CB349" s="0" t="s">
        <v>130</v>
      </c>
      <c r="CC349" s="0" t="s">
        <v>130</v>
      </c>
      <c r="CD349" s="0" t="s">
        <v>130</v>
      </c>
      <c r="CE349" s="0" t="s">
        <v>130</v>
      </c>
      <c r="CF349" s="0" t="s">
        <v>130</v>
      </c>
      <c r="CG349" s="0" t="s">
        <v>130</v>
      </c>
      <c r="CH349" s="0" t="s">
        <v>130</v>
      </c>
      <c r="CI349" s="0" t="s">
        <v>130</v>
      </c>
      <c r="CJ349" s="0" t="s">
        <v>130</v>
      </c>
      <c r="CK349" s="0" t="s">
        <v>130</v>
      </c>
      <c r="CL349" s="0" t="s">
        <v>130</v>
      </c>
      <c r="CM349" s="0" t="s">
        <v>130</v>
      </c>
      <c r="CN349" s="0" t="s">
        <v>130</v>
      </c>
      <c r="CO349" s="0" t="s">
        <v>130</v>
      </c>
      <c r="CP349" s="0" t="s">
        <v>130</v>
      </c>
      <c r="CQ349" s="0" t="s">
        <v>130</v>
      </c>
      <c r="CR349" s="0" t="s">
        <v>130</v>
      </c>
      <c r="CS349" s="0" t="s">
        <v>130</v>
      </c>
      <c r="CT349" s="0" t="s">
        <v>1269</v>
      </c>
    </row>
    <row r="350">
      <c r="A350" s="14">
        <v>113148</v>
      </c>
      <c r="B350" s="0" t="s">
        <v>1270</v>
      </c>
      <c r="C350" s="16">
        <f>HYPERLINK("https://eosportal.federatedhermes.com/companies/Q29tcGFueQppNTIyNjI=", "Woolworths Group Ltd")</f>
      </c>
      <c r="D350" s="0" t="s">
        <v>25</v>
      </c>
      <c r="E350" s="0" t="s">
        <v>1271</v>
      </c>
      <c r="F350" s="16">
        <f>HYPERLINK("https://eosportal.federatedhermes.com/engagements/RW5nYWdlbWVudAppMjAxMDY=", "ACSI engagement activity on domestic supply chain and modern slavery")</f>
      </c>
      <c r="G350" s="14" t="s">
        <v>1272</v>
      </c>
      <c r="H350" s="0" t="s">
        <v>130</v>
      </c>
      <c r="I350" s="14" t="s">
        <v>319</v>
      </c>
      <c r="J350" s="0" t="s">
        <v>153</v>
      </c>
      <c r="K350" s="0" t="s">
        <v>243</v>
      </c>
      <c r="L350" s="0" t="s">
        <v>244</v>
      </c>
      <c r="M350" s="0" t="s">
        <v>371</v>
      </c>
      <c r="N350" s="0" t="s">
        <v>372</v>
      </c>
      <c r="O350" s="0" t="s">
        <v>643</v>
      </c>
      <c r="Q350" s="0" t="s">
        <v>130</v>
      </c>
      <c r="R350" s="0" t="s">
        <v>138</v>
      </c>
      <c r="S350" s="14">
        <v>0</v>
      </c>
      <c r="T350" s="0" t="s">
        <v>166</v>
      </c>
      <c r="U350" s="0" t="s">
        <v>138</v>
      </c>
      <c r="V350" s="14" t="s">
        <v>138</v>
      </c>
      <c r="W350" s="0" t="s">
        <v>138</v>
      </c>
      <c r="X350" s="14" t="s">
        <v>138</v>
      </c>
      <c r="Y350" s="0" t="s">
        <v>138</v>
      </c>
      <c r="Z350" s="14" t="s">
        <v>138</v>
      </c>
      <c r="AA350" s="0" t="s">
        <v>138</v>
      </c>
      <c r="AB350" s="14" t="s">
        <v>138</v>
      </c>
      <c r="AD350" s="0" t="s">
        <v>138</v>
      </c>
      <c r="AF350" s="0">
        <v>0</v>
      </c>
      <c r="AG350" s="0">
        <v>0</v>
      </c>
      <c r="AH350" s="0" t="s">
        <v>140</v>
      </c>
      <c r="AI350" s="0" t="s">
        <v>138</v>
      </c>
      <c r="AL350" s="14"/>
      <c r="AN350" s="14"/>
      <c r="AQ350" s="0" t="s">
        <v>130</v>
      </c>
      <c r="AR350" s="0" t="s">
        <v>130</v>
      </c>
      <c r="AS350" s="0" t="s">
        <v>130</v>
      </c>
      <c r="AT350" s="0" t="s">
        <v>130</v>
      </c>
      <c r="AU350" s="0" t="s">
        <v>130</v>
      </c>
      <c r="AV350" s="0" t="s">
        <v>130</v>
      </c>
      <c r="AW350" s="0" t="s">
        <v>130</v>
      </c>
      <c r="AX350" s="0" t="s">
        <v>141</v>
      </c>
      <c r="AY350" s="0" t="s">
        <v>130</v>
      </c>
      <c r="AZ350" s="0" t="s">
        <v>130</v>
      </c>
      <c r="BA350" s="0" t="s">
        <v>130</v>
      </c>
      <c r="BB350" s="0" t="s">
        <v>130</v>
      </c>
      <c r="BC350" s="0" t="s">
        <v>130</v>
      </c>
      <c r="BD350" s="0" t="s">
        <v>130</v>
      </c>
      <c r="BE350" s="0" t="s">
        <v>130</v>
      </c>
      <c r="BF350" s="0" t="s">
        <v>130</v>
      </c>
      <c r="BG350" s="0" t="s">
        <v>130</v>
      </c>
      <c r="BH350" s="0" t="s">
        <v>130</v>
      </c>
      <c r="BI350" s="0" t="s">
        <v>130</v>
      </c>
      <c r="BJ350" s="0" t="s">
        <v>130</v>
      </c>
      <c r="BK350" s="0" t="s">
        <v>130</v>
      </c>
      <c r="BL350" s="0" t="s">
        <v>130</v>
      </c>
      <c r="BM350" s="0" t="s">
        <v>130</v>
      </c>
      <c r="BN350" s="0" t="s">
        <v>130</v>
      </c>
      <c r="BO350" s="0" t="s">
        <v>130</v>
      </c>
      <c r="BP350" s="0" t="s">
        <v>130</v>
      </c>
      <c r="BQ350" s="0" t="s">
        <v>130</v>
      </c>
      <c r="BR350" s="0" t="s">
        <v>130</v>
      </c>
      <c r="BS350" s="0" t="s">
        <v>130</v>
      </c>
      <c r="BT350" s="0" t="s">
        <v>130</v>
      </c>
      <c r="BU350" s="0" t="s">
        <v>130</v>
      </c>
      <c r="BV350" s="0" t="s">
        <v>130</v>
      </c>
      <c r="BW350" s="0" t="s">
        <v>130</v>
      </c>
      <c r="BX350" s="0" t="s">
        <v>130</v>
      </c>
      <c r="BY350" s="0" t="s">
        <v>130</v>
      </c>
      <c r="BZ350" s="0" t="s">
        <v>130</v>
      </c>
      <c r="CA350" s="0" t="s">
        <v>130</v>
      </c>
      <c r="CB350" s="0" t="s">
        <v>130</v>
      </c>
      <c r="CC350" s="0" t="s">
        <v>130</v>
      </c>
      <c r="CD350" s="0" t="s">
        <v>130</v>
      </c>
      <c r="CE350" s="0" t="s">
        <v>130</v>
      </c>
      <c r="CF350" s="0" t="s">
        <v>130</v>
      </c>
      <c r="CG350" s="0" t="s">
        <v>130</v>
      </c>
      <c r="CH350" s="0" t="s">
        <v>130</v>
      </c>
      <c r="CI350" s="0" t="s">
        <v>130</v>
      </c>
      <c r="CJ350" s="0" t="s">
        <v>130</v>
      </c>
      <c r="CK350" s="0" t="s">
        <v>130</v>
      </c>
      <c r="CL350" s="0" t="s">
        <v>130</v>
      </c>
      <c r="CM350" s="0" t="s">
        <v>130</v>
      </c>
      <c r="CN350" s="0" t="s">
        <v>130</v>
      </c>
      <c r="CO350" s="0" t="s">
        <v>130</v>
      </c>
      <c r="CP350" s="0" t="s">
        <v>130</v>
      </c>
      <c r="CQ350" s="0" t="s">
        <v>130</v>
      </c>
      <c r="CR350" s="0" t="s">
        <v>130</v>
      </c>
      <c r="CS350" s="0" t="s">
        <v>130</v>
      </c>
      <c r="CT350" s="0" t="s">
        <v>1273</v>
      </c>
    </row>
    <row r="351">
      <c r="A351" s="14">
        <v>113148</v>
      </c>
      <c r="B351" s="0" t="s">
        <v>1270</v>
      </c>
      <c r="C351" s="16">
        <f>HYPERLINK("https://eosportal.federatedhermes.com/companies/Q29tcGFueQppNTIyNjI=", "Woolworths Group Ltd")</f>
      </c>
      <c r="D351" s="0" t="s">
        <v>25</v>
      </c>
      <c r="E351" s="0" t="s">
        <v>652</v>
      </c>
      <c r="F351" s="16">
        <f>HYPERLINK("https://eosportal.federatedhermes.com/engagements/RW5nYWdlbWVudAppMjAxMDc=", "Protein diversification")</f>
      </c>
      <c r="G351" s="14" t="s">
        <v>653</v>
      </c>
      <c r="H351" s="0" t="s">
        <v>130</v>
      </c>
      <c r="I351" s="14" t="s">
        <v>319</v>
      </c>
      <c r="J351" s="0" t="s">
        <v>197</v>
      </c>
      <c r="K351" s="0" t="s">
        <v>337</v>
      </c>
      <c r="L351" s="0" t="s">
        <v>576</v>
      </c>
      <c r="M351" s="0" t="s">
        <v>371</v>
      </c>
      <c r="N351" s="0" t="s">
        <v>372</v>
      </c>
      <c r="O351" s="0" t="s">
        <v>643</v>
      </c>
      <c r="Q351" s="0" t="s">
        <v>130</v>
      </c>
      <c r="R351" s="0" t="s">
        <v>138</v>
      </c>
      <c r="S351" s="14">
        <v>0</v>
      </c>
      <c r="T351" s="0" t="s">
        <v>333</v>
      </c>
      <c r="U351" s="0" t="s">
        <v>138</v>
      </c>
      <c r="V351" s="14" t="s">
        <v>138</v>
      </c>
      <c r="W351" s="0" t="s">
        <v>138</v>
      </c>
      <c r="X351" s="14" t="s">
        <v>138</v>
      </c>
      <c r="Y351" s="0" t="s">
        <v>138</v>
      </c>
      <c r="Z351" s="14" t="s">
        <v>138</v>
      </c>
      <c r="AA351" s="0" t="s">
        <v>138</v>
      </c>
      <c r="AB351" s="14" t="s">
        <v>138</v>
      </c>
      <c r="AD351" s="0" t="s">
        <v>138</v>
      </c>
      <c r="AF351" s="0">
        <v>0</v>
      </c>
      <c r="AG351" s="0">
        <v>0</v>
      </c>
      <c r="AH351" s="0" t="s">
        <v>140</v>
      </c>
      <c r="AI351" s="0" t="s">
        <v>138</v>
      </c>
      <c r="AL351" s="14"/>
      <c r="AN351" s="14"/>
      <c r="AQ351" s="0" t="s">
        <v>130</v>
      </c>
      <c r="AR351" s="0" t="s">
        <v>130</v>
      </c>
      <c r="AS351" s="0" t="s">
        <v>130</v>
      </c>
      <c r="AT351" s="0" t="s">
        <v>130</v>
      </c>
      <c r="AU351" s="0" t="s">
        <v>130</v>
      </c>
      <c r="AV351" s="0" t="s">
        <v>130</v>
      </c>
      <c r="AW351" s="0" t="s">
        <v>130</v>
      </c>
      <c r="AX351" s="0" t="s">
        <v>130</v>
      </c>
      <c r="AY351" s="0" t="s">
        <v>130</v>
      </c>
      <c r="AZ351" s="0" t="s">
        <v>130</v>
      </c>
      <c r="BA351" s="0" t="s">
        <v>130</v>
      </c>
      <c r="BB351" s="0" t="s">
        <v>141</v>
      </c>
      <c r="BC351" s="0" t="s">
        <v>141</v>
      </c>
      <c r="BD351" s="0" t="s">
        <v>130</v>
      </c>
      <c r="BE351" s="0" t="s">
        <v>130</v>
      </c>
      <c r="BF351" s="0" t="s">
        <v>130</v>
      </c>
      <c r="BG351" s="0" t="s">
        <v>130</v>
      </c>
      <c r="BH351" s="0" t="s">
        <v>130</v>
      </c>
      <c r="BI351" s="0" t="s">
        <v>130</v>
      </c>
      <c r="BJ351" s="0" t="s">
        <v>130</v>
      </c>
      <c r="BK351" s="0" t="s">
        <v>130</v>
      </c>
      <c r="BL351" s="0" t="s">
        <v>130</v>
      </c>
      <c r="BM351" s="0" t="s">
        <v>130</v>
      </c>
      <c r="BN351" s="0" t="s">
        <v>130</v>
      </c>
      <c r="BO351" s="0" t="s">
        <v>130</v>
      </c>
      <c r="BP351" s="0" t="s">
        <v>130</v>
      </c>
      <c r="BQ351" s="0" t="s">
        <v>130</v>
      </c>
      <c r="BR351" s="0" t="s">
        <v>130</v>
      </c>
      <c r="BS351" s="0" t="s">
        <v>130</v>
      </c>
      <c r="BT351" s="0" t="s">
        <v>130</v>
      </c>
      <c r="BU351" s="0" t="s">
        <v>130</v>
      </c>
      <c r="BV351" s="0" t="s">
        <v>130</v>
      </c>
      <c r="BW351" s="0" t="s">
        <v>130</v>
      </c>
      <c r="BX351" s="0" t="s">
        <v>130</v>
      </c>
      <c r="BY351" s="0" t="s">
        <v>130</v>
      </c>
      <c r="BZ351" s="0" t="s">
        <v>130</v>
      </c>
      <c r="CA351" s="0" t="s">
        <v>130</v>
      </c>
      <c r="CB351" s="0" t="s">
        <v>130</v>
      </c>
      <c r="CC351" s="0" t="s">
        <v>130</v>
      </c>
      <c r="CD351" s="0" t="s">
        <v>130</v>
      </c>
      <c r="CE351" s="0" t="s">
        <v>130</v>
      </c>
      <c r="CF351" s="0" t="s">
        <v>130</v>
      </c>
      <c r="CG351" s="0" t="s">
        <v>130</v>
      </c>
      <c r="CH351" s="0" t="s">
        <v>130</v>
      </c>
      <c r="CI351" s="0" t="s">
        <v>130</v>
      </c>
      <c r="CJ351" s="0" t="s">
        <v>130</v>
      </c>
      <c r="CK351" s="0" t="s">
        <v>130</v>
      </c>
      <c r="CL351" s="0" t="s">
        <v>130</v>
      </c>
      <c r="CM351" s="0" t="s">
        <v>130</v>
      </c>
      <c r="CN351" s="0" t="s">
        <v>130</v>
      </c>
      <c r="CO351" s="0" t="s">
        <v>130</v>
      </c>
      <c r="CP351" s="0" t="s">
        <v>130</v>
      </c>
      <c r="CQ351" s="0" t="s">
        <v>130</v>
      </c>
      <c r="CR351" s="0" t="s">
        <v>130</v>
      </c>
      <c r="CS351" s="0" t="s">
        <v>130</v>
      </c>
      <c r="CT351" s="0" t="s">
        <v>1274</v>
      </c>
    </row>
    <row r="352">
      <c r="A352" s="14">
        <v>101166</v>
      </c>
      <c r="B352" s="0" t="s">
        <v>1275</v>
      </c>
      <c r="C352" s="16">
        <f>HYPERLINK("https://eosportal.federatedhermes.com/companies/Q29tcGFueQppODU4OTI=", "Pfizer Inc")</f>
      </c>
      <c r="D352" s="0" t="s">
        <v>25</v>
      </c>
      <c r="E352" s="0" t="s">
        <v>1276</v>
      </c>
      <c r="F352" s="16">
        <f>HYPERLINK("https://eosportal.federatedhermes.com/engagements/RW5nYWdlbWVudAppMjAxMjk=", "Political and lobbying disclosure")</f>
      </c>
      <c r="G352" s="14" t="s">
        <v>1277</v>
      </c>
      <c r="H352" s="0" t="s">
        <v>141</v>
      </c>
      <c r="I352" s="14" t="s">
        <v>636</v>
      </c>
      <c r="J352" s="0" t="s">
        <v>153</v>
      </c>
      <c r="K352" s="0" t="s">
        <v>185</v>
      </c>
      <c r="L352" s="0" t="s">
        <v>186</v>
      </c>
      <c r="M352" s="0" t="s">
        <v>135</v>
      </c>
      <c r="N352" s="0" t="s">
        <v>136</v>
      </c>
      <c r="O352" s="0" t="s">
        <v>274</v>
      </c>
      <c r="Q352" s="0" t="s">
        <v>130</v>
      </c>
      <c r="R352" s="0" t="s">
        <v>138</v>
      </c>
      <c r="S352" s="14">
        <v>0</v>
      </c>
      <c r="T352" s="0" t="s">
        <v>299</v>
      </c>
      <c r="U352" s="0" t="s">
        <v>138</v>
      </c>
      <c r="V352" s="14" t="s">
        <v>138</v>
      </c>
      <c r="W352" s="0" t="s">
        <v>138</v>
      </c>
      <c r="X352" s="14" t="s">
        <v>138</v>
      </c>
      <c r="Y352" s="0" t="s">
        <v>138</v>
      </c>
      <c r="Z352" s="14" t="s">
        <v>138</v>
      </c>
      <c r="AA352" s="0" t="s">
        <v>138</v>
      </c>
      <c r="AB352" s="14" t="s">
        <v>138</v>
      </c>
      <c r="AD352" s="0" t="s">
        <v>138</v>
      </c>
      <c r="AF352" s="0">
        <v>0</v>
      </c>
      <c r="AG352" s="0">
        <v>0</v>
      </c>
      <c r="AH352" s="0" t="s">
        <v>140</v>
      </c>
      <c r="AI352" s="0" t="s">
        <v>138</v>
      </c>
      <c r="AL352" s="14"/>
      <c r="AN352" s="14"/>
      <c r="AQ352" s="0" t="s">
        <v>130</v>
      </c>
      <c r="AR352" s="0" t="s">
        <v>130</v>
      </c>
      <c r="AS352" s="0" t="s">
        <v>130</v>
      </c>
      <c r="AT352" s="0" t="s">
        <v>130</v>
      </c>
      <c r="AU352" s="0" t="s">
        <v>130</v>
      </c>
      <c r="AV352" s="0" t="s">
        <v>130</v>
      </c>
      <c r="AW352" s="0" t="s">
        <v>130</v>
      </c>
      <c r="AX352" s="0" t="s">
        <v>130</v>
      </c>
      <c r="AY352" s="0" t="s">
        <v>130</v>
      </c>
      <c r="AZ352" s="0" t="s">
        <v>130</v>
      </c>
      <c r="BA352" s="0" t="s">
        <v>130</v>
      </c>
      <c r="BB352" s="0" t="s">
        <v>130</v>
      </c>
      <c r="BC352" s="0" t="s">
        <v>130</v>
      </c>
      <c r="BD352" s="0" t="s">
        <v>130</v>
      </c>
      <c r="BE352" s="0" t="s">
        <v>130</v>
      </c>
      <c r="BF352" s="0" t="s">
        <v>130</v>
      </c>
      <c r="BG352" s="0" t="s">
        <v>130</v>
      </c>
      <c r="BH352" s="0" t="s">
        <v>130</v>
      </c>
      <c r="BI352" s="0" t="s">
        <v>130</v>
      </c>
      <c r="BJ352" s="0" t="s">
        <v>130</v>
      </c>
      <c r="BK352" s="0" t="s">
        <v>130</v>
      </c>
      <c r="BL352" s="0" t="s">
        <v>130</v>
      </c>
      <c r="BM352" s="0" t="s">
        <v>130</v>
      </c>
      <c r="BN352" s="0" t="s">
        <v>130</v>
      </c>
      <c r="BO352" s="0" t="s">
        <v>130</v>
      </c>
      <c r="BP352" s="0" t="s">
        <v>130</v>
      </c>
      <c r="BQ352" s="0" t="s">
        <v>130</v>
      </c>
      <c r="BR352" s="0" t="s">
        <v>130</v>
      </c>
      <c r="BS352" s="0" t="s">
        <v>130</v>
      </c>
      <c r="BT352" s="0" t="s">
        <v>130</v>
      </c>
      <c r="BU352" s="0" t="s">
        <v>130</v>
      </c>
      <c r="BV352" s="0" t="s">
        <v>130</v>
      </c>
      <c r="BW352" s="0" t="s">
        <v>130</v>
      </c>
      <c r="BX352" s="0" t="s">
        <v>130</v>
      </c>
      <c r="BY352" s="0" t="s">
        <v>130</v>
      </c>
      <c r="BZ352" s="0" t="s">
        <v>130</v>
      </c>
      <c r="CA352" s="0" t="s">
        <v>130</v>
      </c>
      <c r="CB352" s="0" t="s">
        <v>130</v>
      </c>
      <c r="CC352" s="0" t="s">
        <v>130</v>
      </c>
      <c r="CD352" s="0" t="s">
        <v>130</v>
      </c>
      <c r="CE352" s="0" t="s">
        <v>130</v>
      </c>
      <c r="CF352" s="0" t="s">
        <v>130</v>
      </c>
      <c r="CG352" s="0" t="s">
        <v>130</v>
      </c>
      <c r="CH352" s="0" t="s">
        <v>130</v>
      </c>
      <c r="CI352" s="0" t="s">
        <v>130</v>
      </c>
      <c r="CJ352" s="0" t="s">
        <v>130</v>
      </c>
      <c r="CK352" s="0" t="s">
        <v>130</v>
      </c>
      <c r="CL352" s="0" t="s">
        <v>130</v>
      </c>
      <c r="CM352" s="0" t="s">
        <v>130</v>
      </c>
      <c r="CN352" s="0" t="s">
        <v>130</v>
      </c>
      <c r="CO352" s="0" t="s">
        <v>130</v>
      </c>
      <c r="CP352" s="0" t="s">
        <v>130</v>
      </c>
      <c r="CQ352" s="0" t="s">
        <v>130</v>
      </c>
      <c r="CR352" s="0" t="s">
        <v>130</v>
      </c>
      <c r="CS352" s="0" t="s">
        <v>130</v>
      </c>
      <c r="CT352" s="0" t="s">
        <v>1278</v>
      </c>
    </row>
    <row r="353">
      <c r="A353" s="14">
        <v>101166</v>
      </c>
      <c r="B353" s="0" t="s">
        <v>1275</v>
      </c>
      <c r="C353" s="16">
        <f>HYPERLINK("https://eosportal.federatedhermes.com/companies/Q29tcGFueQppODU4OTI=", "Pfizer Inc")</f>
      </c>
      <c r="D353" s="0" t="s">
        <v>25</v>
      </c>
      <c r="E353" s="0" t="s">
        <v>1279</v>
      </c>
      <c r="F353" s="16">
        <f>HYPERLINK("https://eosportal.federatedhermes.com/engagements/RW5nYWdlbWVudAppMjAxMzA=", "COVID response")</f>
      </c>
      <c r="G353" s="14" t="s">
        <v>1280</v>
      </c>
      <c r="H353" s="0" t="s">
        <v>141</v>
      </c>
      <c r="I353" s="14" t="s">
        <v>636</v>
      </c>
      <c r="J353" s="0" t="s">
        <v>132</v>
      </c>
      <c r="K353" s="0" t="s">
        <v>133</v>
      </c>
      <c r="L353" s="0" t="s">
        <v>134</v>
      </c>
      <c r="M353" s="0" t="s">
        <v>135</v>
      </c>
      <c r="N353" s="0" t="s">
        <v>136</v>
      </c>
      <c r="O353" s="0" t="s">
        <v>274</v>
      </c>
      <c r="Q353" s="0" t="s">
        <v>130</v>
      </c>
      <c r="R353" s="0" t="s">
        <v>138</v>
      </c>
      <c r="S353" s="14">
        <v>0</v>
      </c>
      <c r="T353" s="0" t="s">
        <v>139</v>
      </c>
      <c r="U353" s="0" t="s">
        <v>138</v>
      </c>
      <c r="V353" s="14" t="s">
        <v>138</v>
      </c>
      <c r="W353" s="0" t="s">
        <v>138</v>
      </c>
      <c r="X353" s="14" t="s">
        <v>138</v>
      </c>
      <c r="Y353" s="0" t="s">
        <v>138</v>
      </c>
      <c r="Z353" s="14" t="s">
        <v>138</v>
      </c>
      <c r="AA353" s="0" t="s">
        <v>138</v>
      </c>
      <c r="AB353" s="14" t="s">
        <v>138</v>
      </c>
      <c r="AD353" s="0" t="s">
        <v>138</v>
      </c>
      <c r="AF353" s="0">
        <v>0</v>
      </c>
      <c r="AG353" s="0">
        <v>0</v>
      </c>
      <c r="AH353" s="0" t="s">
        <v>140</v>
      </c>
      <c r="AI353" s="0" t="s">
        <v>138</v>
      </c>
      <c r="AL353" s="14"/>
      <c r="AN353" s="14"/>
      <c r="AQ353" s="0" t="s">
        <v>130</v>
      </c>
      <c r="AR353" s="0" t="s">
        <v>130</v>
      </c>
      <c r="AS353" s="0" t="s">
        <v>130</v>
      </c>
      <c r="AT353" s="0" t="s">
        <v>130</v>
      </c>
      <c r="AU353" s="0" t="s">
        <v>130</v>
      </c>
      <c r="AV353" s="0" t="s">
        <v>130</v>
      </c>
      <c r="AW353" s="0" t="s">
        <v>130</v>
      </c>
      <c r="AX353" s="0" t="s">
        <v>130</v>
      </c>
      <c r="AY353" s="0" t="s">
        <v>130</v>
      </c>
      <c r="AZ353" s="0" t="s">
        <v>130</v>
      </c>
      <c r="BA353" s="0" t="s">
        <v>130</v>
      </c>
      <c r="BB353" s="0" t="s">
        <v>130</v>
      </c>
      <c r="BC353" s="0" t="s">
        <v>130</v>
      </c>
      <c r="BD353" s="0" t="s">
        <v>130</v>
      </c>
      <c r="BE353" s="0" t="s">
        <v>130</v>
      </c>
      <c r="BF353" s="0" t="s">
        <v>130</v>
      </c>
      <c r="BG353" s="0" t="s">
        <v>130</v>
      </c>
      <c r="BH353" s="0" t="s">
        <v>130</v>
      </c>
      <c r="BI353" s="0" t="s">
        <v>130</v>
      </c>
      <c r="BJ353" s="0" t="s">
        <v>130</v>
      </c>
      <c r="BK353" s="0" t="s">
        <v>130</v>
      </c>
      <c r="BL353" s="0" t="s">
        <v>130</v>
      </c>
      <c r="BM353" s="0" t="s">
        <v>130</v>
      </c>
      <c r="BN353" s="0" t="s">
        <v>130</v>
      </c>
      <c r="BO353" s="0" t="s">
        <v>130</v>
      </c>
      <c r="BP353" s="0" t="s">
        <v>130</v>
      </c>
      <c r="BQ353" s="0" t="s">
        <v>130</v>
      </c>
      <c r="BR353" s="0" t="s">
        <v>130</v>
      </c>
      <c r="BS353" s="0" t="s">
        <v>130</v>
      </c>
      <c r="BT353" s="0" t="s">
        <v>130</v>
      </c>
      <c r="BU353" s="0" t="s">
        <v>130</v>
      </c>
      <c r="BV353" s="0" t="s">
        <v>130</v>
      </c>
      <c r="BW353" s="0" t="s">
        <v>130</v>
      </c>
      <c r="BX353" s="0" t="s">
        <v>130</v>
      </c>
      <c r="BY353" s="0" t="s">
        <v>130</v>
      </c>
      <c r="BZ353" s="0" t="s">
        <v>130</v>
      </c>
      <c r="CA353" s="0" t="s">
        <v>130</v>
      </c>
      <c r="CB353" s="0" t="s">
        <v>130</v>
      </c>
      <c r="CC353" s="0" t="s">
        <v>130</v>
      </c>
      <c r="CD353" s="0" t="s">
        <v>130</v>
      </c>
      <c r="CE353" s="0" t="s">
        <v>130</v>
      </c>
      <c r="CF353" s="0" t="s">
        <v>130</v>
      </c>
      <c r="CG353" s="0" t="s">
        <v>130</v>
      </c>
      <c r="CH353" s="0" t="s">
        <v>130</v>
      </c>
      <c r="CI353" s="0" t="s">
        <v>130</v>
      </c>
      <c r="CJ353" s="0" t="s">
        <v>130</v>
      </c>
      <c r="CK353" s="0" t="s">
        <v>130</v>
      </c>
      <c r="CL353" s="0" t="s">
        <v>130</v>
      </c>
      <c r="CM353" s="0" t="s">
        <v>130</v>
      </c>
      <c r="CN353" s="0" t="s">
        <v>130</v>
      </c>
      <c r="CO353" s="0" t="s">
        <v>130</v>
      </c>
      <c r="CP353" s="0" t="s">
        <v>130</v>
      </c>
      <c r="CQ353" s="0" t="s">
        <v>130</v>
      </c>
      <c r="CR353" s="0" t="s">
        <v>130</v>
      </c>
      <c r="CS353" s="0" t="s">
        <v>130</v>
      </c>
      <c r="CT353" s="0" t="s">
        <v>1281</v>
      </c>
    </row>
    <row r="354">
      <c r="A354" s="14">
        <v>101166</v>
      </c>
      <c r="B354" s="0" t="s">
        <v>1275</v>
      </c>
      <c r="C354" s="16">
        <f>HYPERLINK("https://eosportal.federatedhermes.com/companies/Q29tcGFueQppODU4OTI=", "Pfizer Inc")</f>
      </c>
      <c r="D354" s="0" t="s">
        <v>25</v>
      </c>
      <c r="E354" s="0" t="s">
        <v>1282</v>
      </c>
      <c r="F354" s="16">
        <f>HYPERLINK("https://eosportal.federatedhermes.com/engagements/RW5nYWdlbWVudAppMjAxMzE=", "Opioid addiction in the US")</f>
      </c>
      <c r="G354" s="14" t="s">
        <v>1283</v>
      </c>
      <c r="H354" s="0" t="s">
        <v>141</v>
      </c>
      <c r="I354" s="14" t="s">
        <v>636</v>
      </c>
      <c r="J354" s="0" t="s">
        <v>153</v>
      </c>
      <c r="K354" s="0" t="s">
        <v>185</v>
      </c>
      <c r="L354" s="0" t="s">
        <v>626</v>
      </c>
      <c r="M354" s="0" t="s">
        <v>135</v>
      </c>
      <c r="N354" s="0" t="s">
        <v>136</v>
      </c>
      <c r="O354" s="0" t="s">
        <v>274</v>
      </c>
      <c r="Q354" s="0" t="s">
        <v>130</v>
      </c>
      <c r="R354" s="0" t="s">
        <v>138</v>
      </c>
      <c r="S354" s="14">
        <v>0</v>
      </c>
      <c r="T354" s="0" t="s">
        <v>314</v>
      </c>
      <c r="U354" s="0" t="s">
        <v>138</v>
      </c>
      <c r="V354" s="14" t="s">
        <v>138</v>
      </c>
      <c r="W354" s="0" t="s">
        <v>138</v>
      </c>
      <c r="X354" s="14" t="s">
        <v>138</v>
      </c>
      <c r="Y354" s="0" t="s">
        <v>138</v>
      </c>
      <c r="Z354" s="14" t="s">
        <v>138</v>
      </c>
      <c r="AA354" s="0" t="s">
        <v>138</v>
      </c>
      <c r="AB354" s="14" t="s">
        <v>138</v>
      </c>
      <c r="AD354" s="0" t="s">
        <v>138</v>
      </c>
      <c r="AF354" s="0">
        <v>0</v>
      </c>
      <c r="AG354" s="0">
        <v>0</v>
      </c>
      <c r="AH354" s="0" t="s">
        <v>140</v>
      </c>
      <c r="AI354" s="0" t="s">
        <v>138</v>
      </c>
      <c r="AL354" s="14"/>
      <c r="AN354" s="14"/>
      <c r="AQ354" s="0" t="s">
        <v>130</v>
      </c>
      <c r="AR354" s="0" t="s">
        <v>130</v>
      </c>
      <c r="AS354" s="0" t="s">
        <v>141</v>
      </c>
      <c r="AT354" s="0" t="s">
        <v>130</v>
      </c>
      <c r="AU354" s="0" t="s">
        <v>130</v>
      </c>
      <c r="AV354" s="0" t="s">
        <v>130</v>
      </c>
      <c r="AW354" s="0" t="s">
        <v>130</v>
      </c>
      <c r="AX354" s="0" t="s">
        <v>130</v>
      </c>
      <c r="AY354" s="0" t="s">
        <v>130</v>
      </c>
      <c r="AZ354" s="0" t="s">
        <v>130</v>
      </c>
      <c r="BA354" s="0" t="s">
        <v>130</v>
      </c>
      <c r="BB354" s="0" t="s">
        <v>130</v>
      </c>
      <c r="BC354" s="0" t="s">
        <v>130</v>
      </c>
      <c r="BD354" s="0" t="s">
        <v>130</v>
      </c>
      <c r="BE354" s="0" t="s">
        <v>130</v>
      </c>
      <c r="BF354" s="0" t="s">
        <v>130</v>
      </c>
      <c r="BG354" s="0" t="s">
        <v>130</v>
      </c>
      <c r="BH354" s="0" t="s">
        <v>130</v>
      </c>
      <c r="BI354" s="0" t="s">
        <v>130</v>
      </c>
      <c r="BJ354" s="0" t="s">
        <v>130</v>
      </c>
      <c r="BK354" s="0" t="s">
        <v>130</v>
      </c>
      <c r="BL354" s="0" t="s">
        <v>130</v>
      </c>
      <c r="BM354" s="0" t="s">
        <v>130</v>
      </c>
      <c r="BN354" s="0" t="s">
        <v>130</v>
      </c>
      <c r="BO354" s="0" t="s">
        <v>130</v>
      </c>
      <c r="BP354" s="0" t="s">
        <v>130</v>
      </c>
      <c r="BQ354" s="0" t="s">
        <v>130</v>
      </c>
      <c r="BR354" s="0" t="s">
        <v>130</v>
      </c>
      <c r="BS354" s="0" t="s">
        <v>130</v>
      </c>
      <c r="BT354" s="0" t="s">
        <v>130</v>
      </c>
      <c r="BU354" s="0" t="s">
        <v>130</v>
      </c>
      <c r="BV354" s="0" t="s">
        <v>130</v>
      </c>
      <c r="BW354" s="0" t="s">
        <v>130</v>
      </c>
      <c r="BX354" s="0" t="s">
        <v>130</v>
      </c>
      <c r="BY354" s="0" t="s">
        <v>130</v>
      </c>
      <c r="BZ354" s="0" t="s">
        <v>130</v>
      </c>
      <c r="CA354" s="0" t="s">
        <v>130</v>
      </c>
      <c r="CB354" s="0" t="s">
        <v>130</v>
      </c>
      <c r="CC354" s="0" t="s">
        <v>130</v>
      </c>
      <c r="CD354" s="0" t="s">
        <v>130</v>
      </c>
      <c r="CE354" s="0" t="s">
        <v>130</v>
      </c>
      <c r="CF354" s="0" t="s">
        <v>130</v>
      </c>
      <c r="CG354" s="0" t="s">
        <v>130</v>
      </c>
      <c r="CH354" s="0" t="s">
        <v>130</v>
      </c>
      <c r="CI354" s="0" t="s">
        <v>130</v>
      </c>
      <c r="CJ354" s="0" t="s">
        <v>130</v>
      </c>
      <c r="CK354" s="0" t="s">
        <v>130</v>
      </c>
      <c r="CL354" s="0" t="s">
        <v>130</v>
      </c>
      <c r="CM354" s="0" t="s">
        <v>130</v>
      </c>
      <c r="CN354" s="0" t="s">
        <v>130</v>
      </c>
      <c r="CO354" s="0" t="s">
        <v>130</v>
      </c>
      <c r="CP354" s="0" t="s">
        <v>130</v>
      </c>
      <c r="CQ354" s="0" t="s">
        <v>130</v>
      </c>
      <c r="CR354" s="0" t="s">
        <v>130</v>
      </c>
      <c r="CS354" s="0" t="s">
        <v>130</v>
      </c>
      <c r="CT354" s="0" t="s">
        <v>1284</v>
      </c>
    </row>
    <row r="355">
      <c r="A355" s="14">
        <v>101166</v>
      </c>
      <c r="B355" s="0" t="s">
        <v>1275</v>
      </c>
      <c r="C355" s="16">
        <f>HYPERLINK("https://eosportal.federatedhermes.com/companies/Q29tcGFueQppODU4OTI=", "Pfizer Inc")</f>
      </c>
      <c r="D355" s="0" t="s">
        <v>25</v>
      </c>
      <c r="E355" s="0" t="s">
        <v>907</v>
      </c>
      <c r="F355" s="16">
        <f>HYPERLINK("https://eosportal.federatedhermes.com/engagements/RW5nYWdlbWVudAppMjAxMzM=", "Climate change")</f>
      </c>
      <c r="G355" s="14" t="s">
        <v>1285</v>
      </c>
      <c r="H355" s="0" t="s">
        <v>141</v>
      </c>
      <c r="I355" s="14" t="s">
        <v>636</v>
      </c>
      <c r="J355" s="0" t="s">
        <v>197</v>
      </c>
      <c r="K355" s="0" t="s">
        <v>198</v>
      </c>
      <c r="L355" s="0" t="s">
        <v>199</v>
      </c>
      <c r="M355" s="0" t="s">
        <v>135</v>
      </c>
      <c r="N355" s="0" t="s">
        <v>136</v>
      </c>
      <c r="O355" s="0" t="s">
        <v>274</v>
      </c>
      <c r="Q355" s="0" t="s">
        <v>130</v>
      </c>
      <c r="R355" s="0" t="s">
        <v>138</v>
      </c>
      <c r="S355" s="14">
        <v>0</v>
      </c>
      <c r="T355" s="0" t="s">
        <v>707</v>
      </c>
      <c r="U355" s="0" t="s">
        <v>138</v>
      </c>
      <c r="V355" s="14" t="s">
        <v>138</v>
      </c>
      <c r="W355" s="0" t="s">
        <v>138</v>
      </c>
      <c r="X355" s="14" t="s">
        <v>138</v>
      </c>
      <c r="Y355" s="0" t="s">
        <v>138</v>
      </c>
      <c r="Z355" s="14" t="s">
        <v>138</v>
      </c>
      <c r="AA355" s="0" t="s">
        <v>138</v>
      </c>
      <c r="AB355" s="14" t="s">
        <v>138</v>
      </c>
      <c r="AD355" s="0" t="s">
        <v>138</v>
      </c>
      <c r="AF355" s="0">
        <v>0</v>
      </c>
      <c r="AG355" s="0">
        <v>0</v>
      </c>
      <c r="AH355" s="0" t="s">
        <v>140</v>
      </c>
      <c r="AI355" s="0" t="s">
        <v>138</v>
      </c>
      <c r="AL355" s="14"/>
      <c r="AN355" s="14"/>
      <c r="AQ355" s="0" t="s">
        <v>130</v>
      </c>
      <c r="AR355" s="0" t="s">
        <v>130</v>
      </c>
      <c r="AS355" s="0" t="s">
        <v>130</v>
      </c>
      <c r="AT355" s="0" t="s">
        <v>130</v>
      </c>
      <c r="AU355" s="0" t="s">
        <v>130</v>
      </c>
      <c r="AV355" s="0" t="s">
        <v>130</v>
      </c>
      <c r="AW355" s="0" t="s">
        <v>130</v>
      </c>
      <c r="AX355" s="0" t="s">
        <v>130</v>
      </c>
      <c r="AY355" s="0" t="s">
        <v>130</v>
      </c>
      <c r="AZ355" s="0" t="s">
        <v>130</v>
      </c>
      <c r="BA355" s="0" t="s">
        <v>130</v>
      </c>
      <c r="BB355" s="0" t="s">
        <v>141</v>
      </c>
      <c r="BC355" s="0" t="s">
        <v>130</v>
      </c>
      <c r="BD355" s="0" t="s">
        <v>130</v>
      </c>
      <c r="BE355" s="0" t="s">
        <v>130</v>
      </c>
      <c r="BF355" s="0" t="s">
        <v>130</v>
      </c>
      <c r="BG355" s="0" t="s">
        <v>130</v>
      </c>
      <c r="BH355" s="0" t="s">
        <v>130</v>
      </c>
      <c r="BI355" s="0" t="s">
        <v>130</v>
      </c>
      <c r="BJ355" s="0" t="s">
        <v>130</v>
      </c>
      <c r="BK355" s="0" t="s">
        <v>130</v>
      </c>
      <c r="BL355" s="0" t="s">
        <v>130</v>
      </c>
      <c r="BM355" s="0" t="s">
        <v>130</v>
      </c>
      <c r="BN355" s="0" t="s">
        <v>130</v>
      </c>
      <c r="BO355" s="0" t="s">
        <v>130</v>
      </c>
      <c r="BP355" s="0" t="s">
        <v>130</v>
      </c>
      <c r="BQ355" s="0" t="s">
        <v>130</v>
      </c>
      <c r="BR355" s="0" t="s">
        <v>130</v>
      </c>
      <c r="BS355" s="0" t="s">
        <v>130</v>
      </c>
      <c r="BT355" s="0" t="s">
        <v>130</v>
      </c>
      <c r="BU355" s="0" t="s">
        <v>130</v>
      </c>
      <c r="BV355" s="0" t="s">
        <v>130</v>
      </c>
      <c r="BW355" s="0" t="s">
        <v>130</v>
      </c>
      <c r="BX355" s="0" t="s">
        <v>130</v>
      </c>
      <c r="BY355" s="0" t="s">
        <v>130</v>
      </c>
      <c r="BZ355" s="0" t="s">
        <v>130</v>
      </c>
      <c r="CA355" s="0" t="s">
        <v>130</v>
      </c>
      <c r="CB355" s="0" t="s">
        <v>130</v>
      </c>
      <c r="CC355" s="0" t="s">
        <v>130</v>
      </c>
      <c r="CD355" s="0" t="s">
        <v>130</v>
      </c>
      <c r="CE355" s="0" t="s">
        <v>130</v>
      </c>
      <c r="CF355" s="0" t="s">
        <v>130</v>
      </c>
      <c r="CG355" s="0" t="s">
        <v>130</v>
      </c>
      <c r="CH355" s="0" t="s">
        <v>130</v>
      </c>
      <c r="CI355" s="0" t="s">
        <v>130</v>
      </c>
      <c r="CJ355" s="0" t="s">
        <v>130</v>
      </c>
      <c r="CK355" s="0" t="s">
        <v>130</v>
      </c>
      <c r="CL355" s="0" t="s">
        <v>130</v>
      </c>
      <c r="CM355" s="0" t="s">
        <v>130</v>
      </c>
      <c r="CN355" s="0" t="s">
        <v>130</v>
      </c>
      <c r="CO355" s="0" t="s">
        <v>130</v>
      </c>
      <c r="CP355" s="0" t="s">
        <v>130</v>
      </c>
      <c r="CQ355" s="0" t="s">
        <v>130</v>
      </c>
      <c r="CR355" s="0" t="s">
        <v>130</v>
      </c>
      <c r="CS355" s="0" t="s">
        <v>130</v>
      </c>
      <c r="CT355" s="0" t="s">
        <v>1286</v>
      </c>
    </row>
    <row r="356">
      <c r="A356" s="14">
        <v>101166</v>
      </c>
      <c r="B356" s="0" t="s">
        <v>1275</v>
      </c>
      <c r="C356" s="16">
        <f>HYPERLINK("https://eosportal.federatedhermes.com/companies/Q29tcGFueQppODU4OTI=", "Pfizer Inc")</f>
      </c>
      <c r="D356" s="0" t="s">
        <v>25</v>
      </c>
      <c r="E356" s="0" t="s">
        <v>1287</v>
      </c>
      <c r="F356" s="16">
        <f>HYPERLINK("https://eosportal.federatedhermes.com/engagements/RW5nYWdlbWVudAppMjAxMzQ=", "Access to medicine")</f>
      </c>
      <c r="G356" s="14" t="s">
        <v>1288</v>
      </c>
      <c r="H356" s="0" t="s">
        <v>141</v>
      </c>
      <c r="I356" s="14" t="s">
        <v>636</v>
      </c>
      <c r="J356" s="0" t="s">
        <v>153</v>
      </c>
      <c r="K356" s="0" t="s">
        <v>243</v>
      </c>
      <c r="L356" s="0" t="s">
        <v>292</v>
      </c>
      <c r="M356" s="0" t="s">
        <v>135</v>
      </c>
      <c r="N356" s="0" t="s">
        <v>136</v>
      </c>
      <c r="O356" s="0" t="s">
        <v>274</v>
      </c>
      <c r="Q356" s="0" t="s">
        <v>141</v>
      </c>
      <c r="R356" s="0" t="s">
        <v>138</v>
      </c>
      <c r="S356" s="14">
        <v>1</v>
      </c>
      <c r="T356" s="0" t="s">
        <v>487</v>
      </c>
      <c r="U356" s="0" t="s">
        <v>138</v>
      </c>
      <c r="V356" s="14" t="s">
        <v>138</v>
      </c>
      <c r="W356" s="0" t="s">
        <v>138</v>
      </c>
      <c r="X356" s="14" t="s">
        <v>138</v>
      </c>
      <c r="Y356" s="0" t="s">
        <v>138</v>
      </c>
      <c r="Z356" s="14" t="s">
        <v>138</v>
      </c>
      <c r="AA356" s="0" t="s">
        <v>138</v>
      </c>
      <c r="AB356" s="14" t="s">
        <v>138</v>
      </c>
      <c r="AD356" s="0" t="s">
        <v>138</v>
      </c>
      <c r="AF356" s="0">
        <v>0</v>
      </c>
      <c r="AG356" s="0">
        <v>0</v>
      </c>
      <c r="AH356" s="0" t="s">
        <v>140</v>
      </c>
      <c r="AI356" s="0" t="s">
        <v>138</v>
      </c>
      <c r="AK356" s="0" t="s">
        <v>1289</v>
      </c>
      <c r="AL356" s="14"/>
      <c r="AN356" s="14"/>
      <c r="AQ356" s="0" t="s">
        <v>141</v>
      </c>
      <c r="AR356" s="0" t="s">
        <v>130</v>
      </c>
      <c r="AS356" s="0" t="s">
        <v>141</v>
      </c>
      <c r="AT356" s="0" t="s">
        <v>130</v>
      </c>
      <c r="AU356" s="0" t="s">
        <v>130</v>
      </c>
      <c r="AV356" s="0" t="s">
        <v>130</v>
      </c>
      <c r="AW356" s="0" t="s">
        <v>130</v>
      </c>
      <c r="AX356" s="0" t="s">
        <v>130</v>
      </c>
      <c r="AY356" s="0" t="s">
        <v>130</v>
      </c>
      <c r="AZ356" s="0" t="s">
        <v>130</v>
      </c>
      <c r="BA356" s="0" t="s">
        <v>130</v>
      </c>
      <c r="BB356" s="0" t="s">
        <v>130</v>
      </c>
      <c r="BC356" s="0" t="s">
        <v>130</v>
      </c>
      <c r="BD356" s="0" t="s">
        <v>130</v>
      </c>
      <c r="BE356" s="0" t="s">
        <v>130</v>
      </c>
      <c r="BF356" s="0" t="s">
        <v>130</v>
      </c>
      <c r="BG356" s="0" t="s">
        <v>130</v>
      </c>
      <c r="BH356" s="0" t="s">
        <v>130</v>
      </c>
      <c r="BI356" s="0" t="s">
        <v>130</v>
      </c>
      <c r="BJ356" s="0" t="s">
        <v>130</v>
      </c>
      <c r="BK356" s="0" t="s">
        <v>130</v>
      </c>
      <c r="BL356" s="0" t="s">
        <v>130</v>
      </c>
      <c r="BM356" s="0" t="s">
        <v>130</v>
      </c>
      <c r="BN356" s="0" t="s">
        <v>130</v>
      </c>
      <c r="BO356" s="0" t="s">
        <v>130</v>
      </c>
      <c r="BP356" s="0" t="s">
        <v>130</v>
      </c>
      <c r="BQ356" s="0" t="s">
        <v>130</v>
      </c>
      <c r="BR356" s="0" t="s">
        <v>130</v>
      </c>
      <c r="BS356" s="0" t="s">
        <v>130</v>
      </c>
      <c r="BT356" s="0" t="s">
        <v>130</v>
      </c>
      <c r="BU356" s="0" t="s">
        <v>130</v>
      </c>
      <c r="BV356" s="0" t="s">
        <v>130</v>
      </c>
      <c r="BW356" s="0" t="s">
        <v>130</v>
      </c>
      <c r="BX356" s="0" t="s">
        <v>130</v>
      </c>
      <c r="BY356" s="0" t="s">
        <v>130</v>
      </c>
      <c r="BZ356" s="0" t="s">
        <v>130</v>
      </c>
      <c r="CA356" s="0" t="s">
        <v>130</v>
      </c>
      <c r="CB356" s="0" t="s">
        <v>130</v>
      </c>
      <c r="CC356" s="0" t="s">
        <v>130</v>
      </c>
      <c r="CD356" s="0" t="s">
        <v>130</v>
      </c>
      <c r="CE356" s="0" t="s">
        <v>130</v>
      </c>
      <c r="CF356" s="0" t="s">
        <v>130</v>
      </c>
      <c r="CG356" s="0" t="s">
        <v>130</v>
      </c>
      <c r="CH356" s="0" t="s">
        <v>130</v>
      </c>
      <c r="CI356" s="0" t="s">
        <v>130</v>
      </c>
      <c r="CJ356" s="0" t="s">
        <v>130</v>
      </c>
      <c r="CK356" s="0" t="s">
        <v>130</v>
      </c>
      <c r="CL356" s="0" t="s">
        <v>130</v>
      </c>
      <c r="CM356" s="0" t="s">
        <v>130</v>
      </c>
      <c r="CN356" s="0" t="s">
        <v>130</v>
      </c>
      <c r="CO356" s="0" t="s">
        <v>130</v>
      </c>
      <c r="CP356" s="0" t="s">
        <v>130</v>
      </c>
      <c r="CQ356" s="0" t="s">
        <v>130</v>
      </c>
      <c r="CR356" s="0" t="s">
        <v>130</v>
      </c>
      <c r="CS356" s="0" t="s">
        <v>130</v>
      </c>
      <c r="CT356" s="0" t="s">
        <v>1290</v>
      </c>
    </row>
    <row r="357">
      <c r="A357" s="14">
        <v>101166</v>
      </c>
      <c r="B357" s="0" t="s">
        <v>1275</v>
      </c>
      <c r="C357" s="16">
        <f>HYPERLINK("https://eosportal.federatedhermes.com/companies/Q29tcGFueQppODU4OTI=", "Pfizer Inc")</f>
      </c>
      <c r="D357" s="0" t="s">
        <v>25</v>
      </c>
      <c r="E357" s="0" t="s">
        <v>1291</v>
      </c>
      <c r="F357" s="16">
        <f>HYPERLINK("https://eosportal.federatedhermes.com/engagements/RW5nYWdlbWVudAppMjAxMzU=", "Political spending policy")</f>
      </c>
      <c r="G357" s="14" t="s">
        <v>1292</v>
      </c>
      <c r="H357" s="0" t="s">
        <v>141</v>
      </c>
      <c r="I357" s="14" t="s">
        <v>636</v>
      </c>
      <c r="J357" s="0" t="s">
        <v>153</v>
      </c>
      <c r="K357" s="0" t="s">
        <v>185</v>
      </c>
      <c r="L357" s="0" t="s">
        <v>186</v>
      </c>
      <c r="M357" s="0" t="s">
        <v>135</v>
      </c>
      <c r="N357" s="0" t="s">
        <v>136</v>
      </c>
      <c r="O357" s="0" t="s">
        <v>274</v>
      </c>
      <c r="Q357" s="0" t="s">
        <v>130</v>
      </c>
      <c r="R357" s="0" t="s">
        <v>138</v>
      </c>
      <c r="S357" s="14">
        <v>0</v>
      </c>
      <c r="T357" s="0" t="s">
        <v>380</v>
      </c>
      <c r="U357" s="0" t="s">
        <v>138</v>
      </c>
      <c r="V357" s="14" t="s">
        <v>138</v>
      </c>
      <c r="W357" s="0" t="s">
        <v>138</v>
      </c>
      <c r="X357" s="14" t="s">
        <v>138</v>
      </c>
      <c r="Y357" s="0" t="s">
        <v>138</v>
      </c>
      <c r="Z357" s="14" t="s">
        <v>138</v>
      </c>
      <c r="AA357" s="0" t="s">
        <v>138</v>
      </c>
      <c r="AB357" s="14" t="s">
        <v>138</v>
      </c>
      <c r="AD357" s="0" t="s">
        <v>138</v>
      </c>
      <c r="AF357" s="0">
        <v>0</v>
      </c>
      <c r="AG357" s="0">
        <v>0</v>
      </c>
      <c r="AH357" s="0" t="s">
        <v>140</v>
      </c>
      <c r="AI357" s="0" t="s">
        <v>138</v>
      </c>
      <c r="AL357" s="14"/>
      <c r="AN357" s="14"/>
      <c r="AQ357" s="0" t="s">
        <v>130</v>
      </c>
      <c r="AR357" s="0" t="s">
        <v>130</v>
      </c>
      <c r="AS357" s="0" t="s">
        <v>130</v>
      </c>
      <c r="AT357" s="0" t="s">
        <v>130</v>
      </c>
      <c r="AU357" s="0" t="s">
        <v>130</v>
      </c>
      <c r="AV357" s="0" t="s">
        <v>130</v>
      </c>
      <c r="AW357" s="0" t="s">
        <v>130</v>
      </c>
      <c r="AX357" s="0" t="s">
        <v>130</v>
      </c>
      <c r="AY357" s="0" t="s">
        <v>130</v>
      </c>
      <c r="AZ357" s="0" t="s">
        <v>130</v>
      </c>
      <c r="BA357" s="0" t="s">
        <v>130</v>
      </c>
      <c r="BB357" s="0" t="s">
        <v>130</v>
      </c>
      <c r="BC357" s="0" t="s">
        <v>130</v>
      </c>
      <c r="BD357" s="0" t="s">
        <v>130</v>
      </c>
      <c r="BE357" s="0" t="s">
        <v>130</v>
      </c>
      <c r="BF357" s="0" t="s">
        <v>130</v>
      </c>
      <c r="BG357" s="0" t="s">
        <v>130</v>
      </c>
      <c r="BH357" s="0" t="s">
        <v>130</v>
      </c>
      <c r="BI357" s="0" t="s">
        <v>130</v>
      </c>
      <c r="BJ357" s="0" t="s">
        <v>130</v>
      </c>
      <c r="BK357" s="0" t="s">
        <v>130</v>
      </c>
      <c r="BL357" s="0" t="s">
        <v>130</v>
      </c>
      <c r="BM357" s="0" t="s">
        <v>130</v>
      </c>
      <c r="BN357" s="0" t="s">
        <v>130</v>
      </c>
      <c r="BO357" s="0" t="s">
        <v>130</v>
      </c>
      <c r="BP357" s="0" t="s">
        <v>130</v>
      </c>
      <c r="BQ357" s="0" t="s">
        <v>130</v>
      </c>
      <c r="BR357" s="0" t="s">
        <v>130</v>
      </c>
      <c r="BS357" s="0" t="s">
        <v>130</v>
      </c>
      <c r="BT357" s="0" t="s">
        <v>130</v>
      </c>
      <c r="BU357" s="0" t="s">
        <v>130</v>
      </c>
      <c r="BV357" s="0" t="s">
        <v>130</v>
      </c>
      <c r="BW357" s="0" t="s">
        <v>130</v>
      </c>
      <c r="BX357" s="0" t="s">
        <v>130</v>
      </c>
      <c r="BY357" s="0" t="s">
        <v>130</v>
      </c>
      <c r="BZ357" s="0" t="s">
        <v>130</v>
      </c>
      <c r="CA357" s="0" t="s">
        <v>130</v>
      </c>
      <c r="CB357" s="0" t="s">
        <v>130</v>
      </c>
      <c r="CC357" s="0" t="s">
        <v>130</v>
      </c>
      <c r="CD357" s="0" t="s">
        <v>130</v>
      </c>
      <c r="CE357" s="0" t="s">
        <v>130</v>
      </c>
      <c r="CF357" s="0" t="s">
        <v>130</v>
      </c>
      <c r="CG357" s="0" t="s">
        <v>130</v>
      </c>
      <c r="CH357" s="0" t="s">
        <v>130</v>
      </c>
      <c r="CI357" s="0" t="s">
        <v>130</v>
      </c>
      <c r="CJ357" s="0" t="s">
        <v>130</v>
      </c>
      <c r="CK357" s="0" t="s">
        <v>130</v>
      </c>
      <c r="CL357" s="0" t="s">
        <v>130</v>
      </c>
      <c r="CM357" s="0" t="s">
        <v>130</v>
      </c>
      <c r="CN357" s="0" t="s">
        <v>130</v>
      </c>
      <c r="CO357" s="0" t="s">
        <v>130</v>
      </c>
      <c r="CP357" s="0" t="s">
        <v>130</v>
      </c>
      <c r="CQ357" s="0" t="s">
        <v>130</v>
      </c>
      <c r="CR357" s="0" t="s">
        <v>130</v>
      </c>
      <c r="CS357" s="0" t="s">
        <v>130</v>
      </c>
      <c r="CT357" s="0" t="s">
        <v>1293</v>
      </c>
    </row>
    <row r="358">
      <c r="A358" s="14">
        <v>101166</v>
      </c>
      <c r="B358" s="0" t="s">
        <v>1275</v>
      </c>
      <c r="C358" s="16">
        <f>HYPERLINK("https://eosportal.federatedhermes.com/companies/Q29tcGFueQppODU4OTI=", "Pfizer Inc")</f>
      </c>
      <c r="D358" s="0" t="s">
        <v>25</v>
      </c>
      <c r="E358" s="0" t="s">
        <v>1294</v>
      </c>
      <c r="F358" s="16">
        <f>HYPERLINK("https://eosportal.federatedhermes.com/engagements/RW5nYWdlbWVudAppMjAxNDY=", "Merger with Wyeth")</f>
      </c>
      <c r="G358" s="14" t="s">
        <v>1295</v>
      </c>
      <c r="H358" s="0" t="s">
        <v>141</v>
      </c>
      <c r="I358" s="14" t="s">
        <v>636</v>
      </c>
      <c r="J358" s="0" t="s">
        <v>153</v>
      </c>
      <c r="K358" s="0" t="s">
        <v>154</v>
      </c>
      <c r="L358" s="0" t="s">
        <v>306</v>
      </c>
      <c r="M358" s="0" t="s">
        <v>135</v>
      </c>
      <c r="N358" s="0" t="s">
        <v>136</v>
      </c>
      <c r="O358" s="0" t="s">
        <v>274</v>
      </c>
      <c r="Q358" s="0" t="s">
        <v>130</v>
      </c>
      <c r="R358" s="0" t="s">
        <v>138</v>
      </c>
      <c r="S358" s="14">
        <v>0</v>
      </c>
      <c r="T358" s="0" t="s">
        <v>1296</v>
      </c>
      <c r="U358" s="0" t="s">
        <v>138</v>
      </c>
      <c r="V358" s="14" t="s">
        <v>138</v>
      </c>
      <c r="W358" s="0" t="s">
        <v>138</v>
      </c>
      <c r="X358" s="14" t="s">
        <v>138</v>
      </c>
      <c r="Y358" s="0" t="s">
        <v>138</v>
      </c>
      <c r="Z358" s="14" t="s">
        <v>138</v>
      </c>
      <c r="AA358" s="0" t="s">
        <v>138</v>
      </c>
      <c r="AB358" s="14" t="s">
        <v>138</v>
      </c>
      <c r="AD358" s="0" t="s">
        <v>138</v>
      </c>
      <c r="AF358" s="0">
        <v>0</v>
      </c>
      <c r="AG358" s="0">
        <v>0</v>
      </c>
      <c r="AH358" s="0" t="s">
        <v>140</v>
      </c>
      <c r="AI358" s="0" t="s">
        <v>138</v>
      </c>
      <c r="AL358" s="14"/>
      <c r="AN358" s="14"/>
      <c r="AQ358" s="0" t="s">
        <v>130</v>
      </c>
      <c r="AR358" s="0" t="s">
        <v>130</v>
      </c>
      <c r="AS358" s="0" t="s">
        <v>130</v>
      </c>
      <c r="AT358" s="0" t="s">
        <v>130</v>
      </c>
      <c r="AU358" s="0" t="s">
        <v>130</v>
      </c>
      <c r="AV358" s="0" t="s">
        <v>130</v>
      </c>
      <c r="AW358" s="0" t="s">
        <v>130</v>
      </c>
      <c r="AX358" s="0" t="s">
        <v>130</v>
      </c>
      <c r="AY358" s="0" t="s">
        <v>130</v>
      </c>
      <c r="AZ358" s="0" t="s">
        <v>130</v>
      </c>
      <c r="BA358" s="0" t="s">
        <v>130</v>
      </c>
      <c r="BB358" s="0" t="s">
        <v>130</v>
      </c>
      <c r="BC358" s="0" t="s">
        <v>130</v>
      </c>
      <c r="BD358" s="0" t="s">
        <v>130</v>
      </c>
      <c r="BE358" s="0" t="s">
        <v>130</v>
      </c>
      <c r="BF358" s="0" t="s">
        <v>130</v>
      </c>
      <c r="BG358" s="0" t="s">
        <v>130</v>
      </c>
      <c r="BH358" s="0" t="s">
        <v>130</v>
      </c>
      <c r="BI358" s="0" t="s">
        <v>130</v>
      </c>
      <c r="BJ358" s="0" t="s">
        <v>130</v>
      </c>
      <c r="BK358" s="0" t="s">
        <v>130</v>
      </c>
      <c r="BL358" s="0" t="s">
        <v>130</v>
      </c>
      <c r="BM358" s="0" t="s">
        <v>130</v>
      </c>
      <c r="BN358" s="0" t="s">
        <v>130</v>
      </c>
      <c r="BO358" s="0" t="s">
        <v>130</v>
      </c>
      <c r="BP358" s="0" t="s">
        <v>130</v>
      </c>
      <c r="BQ358" s="0" t="s">
        <v>130</v>
      </c>
      <c r="BR358" s="0" t="s">
        <v>130</v>
      </c>
      <c r="BS358" s="0" t="s">
        <v>130</v>
      </c>
      <c r="BT358" s="0" t="s">
        <v>130</v>
      </c>
      <c r="BU358" s="0" t="s">
        <v>130</v>
      </c>
      <c r="BV358" s="0" t="s">
        <v>130</v>
      </c>
      <c r="BW358" s="0" t="s">
        <v>130</v>
      </c>
      <c r="BX358" s="0" t="s">
        <v>130</v>
      </c>
      <c r="BY358" s="0" t="s">
        <v>130</v>
      </c>
      <c r="BZ358" s="0" t="s">
        <v>130</v>
      </c>
      <c r="CA358" s="0" t="s">
        <v>130</v>
      </c>
      <c r="CB358" s="0" t="s">
        <v>130</v>
      </c>
      <c r="CC358" s="0" t="s">
        <v>130</v>
      </c>
      <c r="CD358" s="0" t="s">
        <v>130</v>
      </c>
      <c r="CE358" s="0" t="s">
        <v>130</v>
      </c>
      <c r="CF358" s="0" t="s">
        <v>130</v>
      </c>
      <c r="CG358" s="0" t="s">
        <v>130</v>
      </c>
      <c r="CH358" s="0" t="s">
        <v>130</v>
      </c>
      <c r="CI358" s="0" t="s">
        <v>130</v>
      </c>
      <c r="CJ358" s="0" t="s">
        <v>130</v>
      </c>
      <c r="CK358" s="0" t="s">
        <v>130</v>
      </c>
      <c r="CL358" s="0" t="s">
        <v>130</v>
      </c>
      <c r="CM358" s="0" t="s">
        <v>130</v>
      </c>
      <c r="CN358" s="0" t="s">
        <v>130</v>
      </c>
      <c r="CO358" s="0" t="s">
        <v>130</v>
      </c>
      <c r="CP358" s="0" t="s">
        <v>130</v>
      </c>
      <c r="CQ358" s="0" t="s">
        <v>130</v>
      </c>
      <c r="CR358" s="0" t="s">
        <v>130</v>
      </c>
      <c r="CS358" s="0" t="s">
        <v>130</v>
      </c>
      <c r="CT358" s="0" t="s">
        <v>1297</v>
      </c>
    </row>
    <row r="359">
      <c r="A359" s="14">
        <v>101166</v>
      </c>
      <c r="B359" s="0" t="s">
        <v>1275</v>
      </c>
      <c r="C359" s="16">
        <f>HYPERLINK("https://eosportal.federatedhermes.com/companies/Q29tcGFueQppODU4OTI=", "Pfizer Inc")</f>
      </c>
      <c r="D359" s="0" t="s">
        <v>25</v>
      </c>
      <c r="E359" s="0" t="s">
        <v>1298</v>
      </c>
      <c r="F359" s="16">
        <f>HYPERLINK("https://eosportal.federatedhermes.com/engagements/RW5nYWdlbWVudAppMjAxNDk=", "Compliance and risk management")</f>
      </c>
      <c r="G359" s="14" t="s">
        <v>1299</v>
      </c>
      <c r="H359" s="0" t="s">
        <v>141</v>
      </c>
      <c r="I359" s="14" t="s">
        <v>636</v>
      </c>
      <c r="J359" s="0" t="s">
        <v>132</v>
      </c>
      <c r="K359" s="0" t="s">
        <v>260</v>
      </c>
      <c r="L359" s="0" t="s">
        <v>261</v>
      </c>
      <c r="M359" s="0" t="s">
        <v>135</v>
      </c>
      <c r="N359" s="0" t="s">
        <v>136</v>
      </c>
      <c r="O359" s="0" t="s">
        <v>274</v>
      </c>
      <c r="Q359" s="0" t="s">
        <v>130</v>
      </c>
      <c r="R359" s="0" t="s">
        <v>138</v>
      </c>
      <c r="S359" s="14">
        <v>0</v>
      </c>
      <c r="T359" s="0" t="s">
        <v>293</v>
      </c>
      <c r="U359" s="0" t="s">
        <v>138</v>
      </c>
      <c r="V359" s="14" t="s">
        <v>138</v>
      </c>
      <c r="W359" s="0" t="s">
        <v>138</v>
      </c>
      <c r="X359" s="14" t="s">
        <v>138</v>
      </c>
      <c r="Y359" s="0" t="s">
        <v>138</v>
      </c>
      <c r="Z359" s="14" t="s">
        <v>138</v>
      </c>
      <c r="AA359" s="0" t="s">
        <v>138</v>
      </c>
      <c r="AB359" s="14" t="s">
        <v>138</v>
      </c>
      <c r="AD359" s="0" t="s">
        <v>138</v>
      </c>
      <c r="AF359" s="0">
        <v>0</v>
      </c>
      <c r="AG359" s="0">
        <v>0</v>
      </c>
      <c r="AH359" s="0" t="s">
        <v>140</v>
      </c>
      <c r="AI359" s="0" t="s">
        <v>138</v>
      </c>
      <c r="AL359" s="14"/>
      <c r="AN359" s="14"/>
      <c r="AQ359" s="0" t="s">
        <v>130</v>
      </c>
      <c r="AR359" s="0" t="s">
        <v>130</v>
      </c>
      <c r="AS359" s="0" t="s">
        <v>130</v>
      </c>
      <c r="AT359" s="0" t="s">
        <v>130</v>
      </c>
      <c r="AU359" s="0" t="s">
        <v>130</v>
      </c>
      <c r="AV359" s="0" t="s">
        <v>130</v>
      </c>
      <c r="AW359" s="0" t="s">
        <v>130</v>
      </c>
      <c r="AX359" s="0" t="s">
        <v>130</v>
      </c>
      <c r="AY359" s="0" t="s">
        <v>130</v>
      </c>
      <c r="AZ359" s="0" t="s">
        <v>130</v>
      </c>
      <c r="BA359" s="0" t="s">
        <v>130</v>
      </c>
      <c r="BB359" s="0" t="s">
        <v>130</v>
      </c>
      <c r="BC359" s="0" t="s">
        <v>130</v>
      </c>
      <c r="BD359" s="0" t="s">
        <v>130</v>
      </c>
      <c r="BE359" s="0" t="s">
        <v>130</v>
      </c>
      <c r="BF359" s="0" t="s">
        <v>130</v>
      </c>
      <c r="BG359" s="0" t="s">
        <v>130</v>
      </c>
      <c r="BH359" s="0" t="s">
        <v>130</v>
      </c>
      <c r="BI359" s="0" t="s">
        <v>130</v>
      </c>
      <c r="BJ359" s="0" t="s">
        <v>130</v>
      </c>
      <c r="BK359" s="0" t="s">
        <v>130</v>
      </c>
      <c r="BL359" s="0" t="s">
        <v>130</v>
      </c>
      <c r="BM359" s="0" t="s">
        <v>130</v>
      </c>
      <c r="BN359" s="0" t="s">
        <v>130</v>
      </c>
      <c r="BO359" s="0" t="s">
        <v>130</v>
      </c>
      <c r="BP359" s="0" t="s">
        <v>130</v>
      </c>
      <c r="BQ359" s="0" t="s">
        <v>130</v>
      </c>
      <c r="BR359" s="0" t="s">
        <v>130</v>
      </c>
      <c r="BS359" s="0" t="s">
        <v>130</v>
      </c>
      <c r="BT359" s="0" t="s">
        <v>130</v>
      </c>
      <c r="BU359" s="0" t="s">
        <v>130</v>
      </c>
      <c r="BV359" s="0" t="s">
        <v>130</v>
      </c>
      <c r="BW359" s="0" t="s">
        <v>130</v>
      </c>
      <c r="BX359" s="0" t="s">
        <v>130</v>
      </c>
      <c r="BY359" s="0" t="s">
        <v>130</v>
      </c>
      <c r="BZ359" s="0" t="s">
        <v>130</v>
      </c>
      <c r="CA359" s="0" t="s">
        <v>130</v>
      </c>
      <c r="CB359" s="0" t="s">
        <v>130</v>
      </c>
      <c r="CC359" s="0" t="s">
        <v>130</v>
      </c>
      <c r="CD359" s="0" t="s">
        <v>130</v>
      </c>
      <c r="CE359" s="0" t="s">
        <v>130</v>
      </c>
      <c r="CF359" s="0" t="s">
        <v>130</v>
      </c>
      <c r="CG359" s="0" t="s">
        <v>130</v>
      </c>
      <c r="CH359" s="0" t="s">
        <v>130</v>
      </c>
      <c r="CI359" s="0" t="s">
        <v>130</v>
      </c>
      <c r="CJ359" s="0" t="s">
        <v>130</v>
      </c>
      <c r="CK359" s="0" t="s">
        <v>130</v>
      </c>
      <c r="CL359" s="0" t="s">
        <v>130</v>
      </c>
      <c r="CM359" s="0" t="s">
        <v>130</v>
      </c>
      <c r="CN359" s="0" t="s">
        <v>130</v>
      </c>
      <c r="CO359" s="0" t="s">
        <v>130</v>
      </c>
      <c r="CP359" s="0" t="s">
        <v>130</v>
      </c>
      <c r="CQ359" s="0" t="s">
        <v>130</v>
      </c>
      <c r="CR359" s="0" t="s">
        <v>130</v>
      </c>
      <c r="CS359" s="0" t="s">
        <v>130</v>
      </c>
      <c r="CT359" s="0" t="s">
        <v>1300</v>
      </c>
    </row>
    <row r="360">
      <c r="A360" s="14">
        <v>101166</v>
      </c>
      <c r="B360" s="0" t="s">
        <v>1275</v>
      </c>
      <c r="C360" s="16">
        <f>HYPERLINK("https://eosportal.federatedhermes.com/companies/Q29tcGFueQppODU4OTI=", "Pfizer Inc")</f>
      </c>
      <c r="D360" s="0" t="s">
        <v>25</v>
      </c>
      <c r="E360" s="0" t="s">
        <v>1301</v>
      </c>
      <c r="F360" s="16">
        <f>HYPERLINK("https://eosportal.federatedhermes.com/engagements/RW5nYWdlbWVudAppMjAxNTA=", "Corporate strategy regarding AstraZeneca deal")</f>
      </c>
      <c r="G360" s="14" t="s">
        <v>1302</v>
      </c>
      <c r="H360" s="0" t="s">
        <v>141</v>
      </c>
      <c r="I360" s="14" t="s">
        <v>636</v>
      </c>
      <c r="J360" s="0" t="s">
        <v>153</v>
      </c>
      <c r="K360" s="0" t="s">
        <v>185</v>
      </c>
      <c r="L360" s="0" t="s">
        <v>186</v>
      </c>
      <c r="M360" s="0" t="s">
        <v>135</v>
      </c>
      <c r="N360" s="0" t="s">
        <v>136</v>
      </c>
      <c r="O360" s="0" t="s">
        <v>274</v>
      </c>
      <c r="Q360" s="0" t="s">
        <v>130</v>
      </c>
      <c r="R360" s="0" t="s">
        <v>138</v>
      </c>
      <c r="S360" s="14">
        <v>0</v>
      </c>
      <c r="T360" s="0" t="s">
        <v>181</v>
      </c>
      <c r="U360" s="0" t="s">
        <v>138</v>
      </c>
      <c r="V360" s="14" t="s">
        <v>138</v>
      </c>
      <c r="W360" s="0" t="s">
        <v>138</v>
      </c>
      <c r="X360" s="14" t="s">
        <v>138</v>
      </c>
      <c r="Y360" s="0" t="s">
        <v>138</v>
      </c>
      <c r="Z360" s="14" t="s">
        <v>138</v>
      </c>
      <c r="AA360" s="0" t="s">
        <v>138</v>
      </c>
      <c r="AB360" s="14" t="s">
        <v>138</v>
      </c>
      <c r="AD360" s="0" t="s">
        <v>138</v>
      </c>
      <c r="AF360" s="0">
        <v>0</v>
      </c>
      <c r="AG360" s="0">
        <v>0</v>
      </c>
      <c r="AH360" s="0" t="s">
        <v>140</v>
      </c>
      <c r="AI360" s="0" t="s">
        <v>138</v>
      </c>
      <c r="AL360" s="14"/>
      <c r="AN360" s="14"/>
      <c r="AQ360" s="0" t="s">
        <v>130</v>
      </c>
      <c r="AR360" s="0" t="s">
        <v>130</v>
      </c>
      <c r="AS360" s="0" t="s">
        <v>130</v>
      </c>
      <c r="AT360" s="0" t="s">
        <v>130</v>
      </c>
      <c r="AU360" s="0" t="s">
        <v>130</v>
      </c>
      <c r="AV360" s="0" t="s">
        <v>130</v>
      </c>
      <c r="AW360" s="0" t="s">
        <v>130</v>
      </c>
      <c r="AX360" s="0" t="s">
        <v>130</v>
      </c>
      <c r="AY360" s="0" t="s">
        <v>130</v>
      </c>
      <c r="AZ360" s="0" t="s">
        <v>130</v>
      </c>
      <c r="BA360" s="0" t="s">
        <v>130</v>
      </c>
      <c r="BB360" s="0" t="s">
        <v>130</v>
      </c>
      <c r="BC360" s="0" t="s">
        <v>130</v>
      </c>
      <c r="BD360" s="0" t="s">
        <v>130</v>
      </c>
      <c r="BE360" s="0" t="s">
        <v>130</v>
      </c>
      <c r="BF360" s="0" t="s">
        <v>130</v>
      </c>
      <c r="BG360" s="0" t="s">
        <v>130</v>
      </c>
      <c r="BH360" s="0" t="s">
        <v>130</v>
      </c>
      <c r="BI360" s="0" t="s">
        <v>130</v>
      </c>
      <c r="BJ360" s="0" t="s">
        <v>130</v>
      </c>
      <c r="BK360" s="0" t="s">
        <v>130</v>
      </c>
      <c r="BL360" s="0" t="s">
        <v>130</v>
      </c>
      <c r="BM360" s="0" t="s">
        <v>130</v>
      </c>
      <c r="BN360" s="0" t="s">
        <v>130</v>
      </c>
      <c r="BO360" s="0" t="s">
        <v>130</v>
      </c>
      <c r="BP360" s="0" t="s">
        <v>130</v>
      </c>
      <c r="BQ360" s="0" t="s">
        <v>130</v>
      </c>
      <c r="BR360" s="0" t="s">
        <v>130</v>
      </c>
      <c r="BS360" s="0" t="s">
        <v>130</v>
      </c>
      <c r="BT360" s="0" t="s">
        <v>130</v>
      </c>
      <c r="BU360" s="0" t="s">
        <v>130</v>
      </c>
      <c r="BV360" s="0" t="s">
        <v>130</v>
      </c>
      <c r="BW360" s="0" t="s">
        <v>130</v>
      </c>
      <c r="BX360" s="0" t="s">
        <v>130</v>
      </c>
      <c r="BY360" s="0" t="s">
        <v>130</v>
      </c>
      <c r="BZ360" s="0" t="s">
        <v>130</v>
      </c>
      <c r="CA360" s="0" t="s">
        <v>130</v>
      </c>
      <c r="CB360" s="0" t="s">
        <v>130</v>
      </c>
      <c r="CC360" s="0" t="s">
        <v>130</v>
      </c>
      <c r="CD360" s="0" t="s">
        <v>130</v>
      </c>
      <c r="CE360" s="0" t="s">
        <v>130</v>
      </c>
      <c r="CF360" s="0" t="s">
        <v>130</v>
      </c>
      <c r="CG360" s="0" t="s">
        <v>130</v>
      </c>
      <c r="CH360" s="0" t="s">
        <v>130</v>
      </c>
      <c r="CI360" s="0" t="s">
        <v>130</v>
      </c>
      <c r="CJ360" s="0" t="s">
        <v>130</v>
      </c>
      <c r="CK360" s="0" t="s">
        <v>130</v>
      </c>
      <c r="CL360" s="0" t="s">
        <v>130</v>
      </c>
      <c r="CM360" s="0" t="s">
        <v>130</v>
      </c>
      <c r="CN360" s="0" t="s">
        <v>130</v>
      </c>
      <c r="CO360" s="0" t="s">
        <v>130</v>
      </c>
      <c r="CP360" s="0" t="s">
        <v>130</v>
      </c>
      <c r="CQ360" s="0" t="s">
        <v>130</v>
      </c>
      <c r="CR360" s="0" t="s">
        <v>130</v>
      </c>
      <c r="CS360" s="0" t="s">
        <v>130</v>
      </c>
      <c r="CT360" s="0" t="s">
        <v>1303</v>
      </c>
    </row>
    <row r="361">
      <c r="A361" s="14">
        <v>101166</v>
      </c>
      <c r="B361" s="0" t="s">
        <v>1275</v>
      </c>
      <c r="C361" s="16">
        <f>HYPERLINK("https://eosportal.federatedhermes.com/companies/Q29tcGFueQppODU4OTI=", "Pfizer Inc")</f>
      </c>
      <c r="D361" s="0" t="s">
        <v>25</v>
      </c>
      <c r="E361" s="0" t="s">
        <v>985</v>
      </c>
      <c r="F361" s="16">
        <f>HYPERLINK("https://eosportal.federatedhermes.com/engagements/RW5nYWdlbWVudAppMjAxNTE=", "Leadership structure")</f>
      </c>
      <c r="G361" s="14" t="s">
        <v>1304</v>
      </c>
      <c r="H361" s="0" t="s">
        <v>141</v>
      </c>
      <c r="I361" s="14" t="s">
        <v>636</v>
      </c>
      <c r="J361" s="0" t="s">
        <v>145</v>
      </c>
      <c r="K361" s="0" t="s">
        <v>164</v>
      </c>
      <c r="L361" s="0" t="s">
        <v>165</v>
      </c>
      <c r="M361" s="0" t="s">
        <v>135</v>
      </c>
      <c r="N361" s="0" t="s">
        <v>136</v>
      </c>
      <c r="O361" s="0" t="s">
        <v>274</v>
      </c>
      <c r="Q361" s="0" t="s">
        <v>130</v>
      </c>
      <c r="R361" s="0" t="s">
        <v>138</v>
      </c>
      <c r="S361" s="14">
        <v>0</v>
      </c>
      <c r="T361" s="0" t="s">
        <v>1305</v>
      </c>
      <c r="U361" s="0" t="s">
        <v>138</v>
      </c>
      <c r="V361" s="14" t="s">
        <v>138</v>
      </c>
      <c r="W361" s="0" t="s">
        <v>138</v>
      </c>
      <c r="X361" s="14" t="s">
        <v>138</v>
      </c>
      <c r="Y361" s="0" t="s">
        <v>138</v>
      </c>
      <c r="Z361" s="14" t="s">
        <v>138</v>
      </c>
      <c r="AA361" s="0" t="s">
        <v>138</v>
      </c>
      <c r="AB361" s="14" t="s">
        <v>138</v>
      </c>
      <c r="AD361" s="0" t="s">
        <v>138</v>
      </c>
      <c r="AF361" s="0">
        <v>0</v>
      </c>
      <c r="AG361" s="0">
        <v>0</v>
      </c>
      <c r="AH361" s="0" t="s">
        <v>140</v>
      </c>
      <c r="AI361" s="0" t="s">
        <v>138</v>
      </c>
      <c r="AL361" s="14"/>
      <c r="AN361" s="14"/>
      <c r="AQ361" s="0" t="s">
        <v>130</v>
      </c>
      <c r="AR361" s="0" t="s">
        <v>130</v>
      </c>
      <c r="AS361" s="0" t="s">
        <v>130</v>
      </c>
      <c r="AT361" s="0" t="s">
        <v>130</v>
      </c>
      <c r="AU361" s="0" t="s">
        <v>130</v>
      </c>
      <c r="AV361" s="0" t="s">
        <v>130</v>
      </c>
      <c r="AW361" s="0" t="s">
        <v>130</v>
      </c>
      <c r="AX361" s="0" t="s">
        <v>130</v>
      </c>
      <c r="AY361" s="0" t="s">
        <v>130</v>
      </c>
      <c r="AZ361" s="0" t="s">
        <v>130</v>
      </c>
      <c r="BA361" s="0" t="s">
        <v>130</v>
      </c>
      <c r="BB361" s="0" t="s">
        <v>130</v>
      </c>
      <c r="BC361" s="0" t="s">
        <v>130</v>
      </c>
      <c r="BD361" s="0" t="s">
        <v>130</v>
      </c>
      <c r="BE361" s="0" t="s">
        <v>130</v>
      </c>
      <c r="BF361" s="0" t="s">
        <v>130</v>
      </c>
      <c r="BG361" s="0" t="s">
        <v>130</v>
      </c>
      <c r="BH361" s="0" t="s">
        <v>130</v>
      </c>
      <c r="BI361" s="0" t="s">
        <v>130</v>
      </c>
      <c r="BJ361" s="0" t="s">
        <v>130</v>
      </c>
      <c r="BK361" s="0" t="s">
        <v>130</v>
      </c>
      <c r="BL361" s="0" t="s">
        <v>130</v>
      </c>
      <c r="BM361" s="0" t="s">
        <v>130</v>
      </c>
      <c r="BN361" s="0" t="s">
        <v>130</v>
      </c>
      <c r="BO361" s="0" t="s">
        <v>130</v>
      </c>
      <c r="BP361" s="0" t="s">
        <v>130</v>
      </c>
      <c r="BQ361" s="0" t="s">
        <v>130</v>
      </c>
      <c r="BR361" s="0" t="s">
        <v>130</v>
      </c>
      <c r="BS361" s="0" t="s">
        <v>130</v>
      </c>
      <c r="BT361" s="0" t="s">
        <v>130</v>
      </c>
      <c r="BU361" s="0" t="s">
        <v>130</v>
      </c>
      <c r="BV361" s="0" t="s">
        <v>130</v>
      </c>
      <c r="BW361" s="0" t="s">
        <v>130</v>
      </c>
      <c r="BX361" s="0" t="s">
        <v>130</v>
      </c>
      <c r="BY361" s="0" t="s">
        <v>130</v>
      </c>
      <c r="BZ361" s="0" t="s">
        <v>130</v>
      </c>
      <c r="CA361" s="0" t="s">
        <v>130</v>
      </c>
      <c r="CB361" s="0" t="s">
        <v>130</v>
      </c>
      <c r="CC361" s="0" t="s">
        <v>130</v>
      </c>
      <c r="CD361" s="0" t="s">
        <v>130</v>
      </c>
      <c r="CE361" s="0" t="s">
        <v>130</v>
      </c>
      <c r="CF361" s="0" t="s">
        <v>130</v>
      </c>
      <c r="CG361" s="0" t="s">
        <v>130</v>
      </c>
      <c r="CH361" s="0" t="s">
        <v>130</v>
      </c>
      <c r="CI361" s="0" t="s">
        <v>130</v>
      </c>
      <c r="CJ361" s="0" t="s">
        <v>130</v>
      </c>
      <c r="CK361" s="0" t="s">
        <v>130</v>
      </c>
      <c r="CL361" s="0" t="s">
        <v>130</v>
      </c>
      <c r="CM361" s="0" t="s">
        <v>130</v>
      </c>
      <c r="CN361" s="0" t="s">
        <v>130</v>
      </c>
      <c r="CO361" s="0" t="s">
        <v>130</v>
      </c>
      <c r="CP361" s="0" t="s">
        <v>130</v>
      </c>
      <c r="CQ361" s="0" t="s">
        <v>130</v>
      </c>
      <c r="CR361" s="0" t="s">
        <v>130</v>
      </c>
      <c r="CS361" s="0" t="s">
        <v>130</v>
      </c>
      <c r="CT361" s="0" t="s">
        <v>1306</v>
      </c>
    </row>
    <row r="362">
      <c r="A362" s="14">
        <v>101166</v>
      </c>
      <c r="B362" s="0" t="s">
        <v>1275</v>
      </c>
      <c r="C362" s="16">
        <f>HYPERLINK("https://eosportal.federatedhermes.com/companies/Q29tcGFueQppODU4OTI=", "Pfizer Inc")</f>
      </c>
      <c r="D362" s="0" t="s">
        <v>25</v>
      </c>
      <c r="E362" s="0" t="s">
        <v>1307</v>
      </c>
      <c r="F362" s="16">
        <f>HYPERLINK("https://eosportal.federatedhermes.com/engagements/RW5nYWdlbWVudAppMjAxNTI=", "Anti-counterfeiting measures")</f>
      </c>
      <c r="G362" s="14" t="s">
        <v>1308</v>
      </c>
      <c r="H362" s="0" t="s">
        <v>141</v>
      </c>
      <c r="I362" s="14" t="s">
        <v>636</v>
      </c>
      <c r="J362" s="0" t="s">
        <v>153</v>
      </c>
      <c r="K362" s="0" t="s">
        <v>185</v>
      </c>
      <c r="L362" s="0" t="s">
        <v>186</v>
      </c>
      <c r="M362" s="0" t="s">
        <v>135</v>
      </c>
      <c r="N362" s="0" t="s">
        <v>136</v>
      </c>
      <c r="O362" s="0" t="s">
        <v>274</v>
      </c>
      <c r="Q362" s="0" t="s">
        <v>130</v>
      </c>
      <c r="R362" s="0" t="s">
        <v>138</v>
      </c>
      <c r="S362" s="14">
        <v>0</v>
      </c>
      <c r="T362" s="0" t="s">
        <v>380</v>
      </c>
      <c r="U362" s="0" t="s">
        <v>138</v>
      </c>
      <c r="V362" s="14" t="s">
        <v>138</v>
      </c>
      <c r="W362" s="0" t="s">
        <v>138</v>
      </c>
      <c r="X362" s="14" t="s">
        <v>138</v>
      </c>
      <c r="Y362" s="0" t="s">
        <v>138</v>
      </c>
      <c r="Z362" s="14" t="s">
        <v>138</v>
      </c>
      <c r="AA362" s="0" t="s">
        <v>138</v>
      </c>
      <c r="AB362" s="14" t="s">
        <v>138</v>
      </c>
      <c r="AD362" s="0" t="s">
        <v>138</v>
      </c>
      <c r="AF362" s="0">
        <v>0</v>
      </c>
      <c r="AG362" s="0">
        <v>0</v>
      </c>
      <c r="AH362" s="0" t="s">
        <v>140</v>
      </c>
      <c r="AI362" s="0" t="s">
        <v>138</v>
      </c>
      <c r="AL362" s="14"/>
      <c r="AN362" s="14"/>
      <c r="AQ362" s="0" t="s">
        <v>130</v>
      </c>
      <c r="AR362" s="0" t="s">
        <v>130</v>
      </c>
      <c r="AS362" s="0" t="s">
        <v>130</v>
      </c>
      <c r="AT362" s="0" t="s">
        <v>130</v>
      </c>
      <c r="AU362" s="0" t="s">
        <v>130</v>
      </c>
      <c r="AV362" s="0" t="s">
        <v>130</v>
      </c>
      <c r="AW362" s="0" t="s">
        <v>130</v>
      </c>
      <c r="AX362" s="0" t="s">
        <v>130</v>
      </c>
      <c r="AY362" s="0" t="s">
        <v>130</v>
      </c>
      <c r="AZ362" s="0" t="s">
        <v>130</v>
      </c>
      <c r="BA362" s="0" t="s">
        <v>130</v>
      </c>
      <c r="BB362" s="0" t="s">
        <v>130</v>
      </c>
      <c r="BC362" s="0" t="s">
        <v>130</v>
      </c>
      <c r="BD362" s="0" t="s">
        <v>130</v>
      </c>
      <c r="BE362" s="0" t="s">
        <v>130</v>
      </c>
      <c r="BF362" s="0" t="s">
        <v>130</v>
      </c>
      <c r="BG362" s="0" t="s">
        <v>130</v>
      </c>
      <c r="BH362" s="0" t="s">
        <v>130</v>
      </c>
      <c r="BI362" s="0" t="s">
        <v>130</v>
      </c>
      <c r="BJ362" s="0" t="s">
        <v>130</v>
      </c>
      <c r="BK362" s="0" t="s">
        <v>130</v>
      </c>
      <c r="BL362" s="0" t="s">
        <v>130</v>
      </c>
      <c r="BM362" s="0" t="s">
        <v>130</v>
      </c>
      <c r="BN362" s="0" t="s">
        <v>130</v>
      </c>
      <c r="BO362" s="0" t="s">
        <v>130</v>
      </c>
      <c r="BP362" s="0" t="s">
        <v>130</v>
      </c>
      <c r="BQ362" s="0" t="s">
        <v>130</v>
      </c>
      <c r="BR362" s="0" t="s">
        <v>130</v>
      </c>
      <c r="BS362" s="0" t="s">
        <v>130</v>
      </c>
      <c r="BT362" s="0" t="s">
        <v>130</v>
      </c>
      <c r="BU362" s="0" t="s">
        <v>130</v>
      </c>
      <c r="BV362" s="0" t="s">
        <v>130</v>
      </c>
      <c r="BW362" s="0" t="s">
        <v>130</v>
      </c>
      <c r="BX362" s="0" t="s">
        <v>130</v>
      </c>
      <c r="BY362" s="0" t="s">
        <v>130</v>
      </c>
      <c r="BZ362" s="0" t="s">
        <v>130</v>
      </c>
      <c r="CA362" s="0" t="s">
        <v>130</v>
      </c>
      <c r="CB362" s="0" t="s">
        <v>130</v>
      </c>
      <c r="CC362" s="0" t="s">
        <v>130</v>
      </c>
      <c r="CD362" s="0" t="s">
        <v>130</v>
      </c>
      <c r="CE362" s="0" t="s">
        <v>130</v>
      </c>
      <c r="CF362" s="0" t="s">
        <v>130</v>
      </c>
      <c r="CG362" s="0" t="s">
        <v>130</v>
      </c>
      <c r="CH362" s="0" t="s">
        <v>130</v>
      </c>
      <c r="CI362" s="0" t="s">
        <v>130</v>
      </c>
      <c r="CJ362" s="0" t="s">
        <v>130</v>
      </c>
      <c r="CK362" s="0" t="s">
        <v>130</v>
      </c>
      <c r="CL362" s="0" t="s">
        <v>130</v>
      </c>
      <c r="CM362" s="0" t="s">
        <v>130</v>
      </c>
      <c r="CN362" s="0" t="s">
        <v>130</v>
      </c>
      <c r="CO362" s="0" t="s">
        <v>130</v>
      </c>
      <c r="CP362" s="0" t="s">
        <v>130</v>
      </c>
      <c r="CQ362" s="0" t="s">
        <v>130</v>
      </c>
      <c r="CR362" s="0" t="s">
        <v>130</v>
      </c>
      <c r="CS362" s="0" t="s">
        <v>130</v>
      </c>
      <c r="CT362" s="0" t="s">
        <v>1309</v>
      </c>
    </row>
    <row r="363">
      <c r="A363" s="14">
        <v>101166</v>
      </c>
      <c r="B363" s="0" t="s">
        <v>1275</v>
      </c>
      <c r="C363" s="16">
        <f>HYPERLINK("https://eosportal.federatedhermes.com/companies/Q29tcGFueQppODU4OTI=", "Pfizer Inc")</f>
      </c>
      <c r="D363" s="0" t="s">
        <v>25</v>
      </c>
      <c r="E363" s="0" t="s">
        <v>1310</v>
      </c>
      <c r="F363" s="16">
        <f>HYPERLINK("https://eosportal.federatedhermes.com/engagements/RW5nYWdlbWVudAppMjAxNTU=", "Misuse of medications in capital punishment")</f>
      </c>
      <c r="G363" s="14" t="s">
        <v>1311</v>
      </c>
      <c r="H363" s="0" t="s">
        <v>141</v>
      </c>
      <c r="I363" s="14" t="s">
        <v>636</v>
      </c>
      <c r="J363" s="0" t="s">
        <v>153</v>
      </c>
      <c r="K363" s="0" t="s">
        <v>185</v>
      </c>
      <c r="L363" s="0" t="s">
        <v>186</v>
      </c>
      <c r="M363" s="0" t="s">
        <v>135</v>
      </c>
      <c r="N363" s="0" t="s">
        <v>136</v>
      </c>
      <c r="O363" s="0" t="s">
        <v>274</v>
      </c>
      <c r="Q363" s="0" t="s">
        <v>130</v>
      </c>
      <c r="R363" s="0" t="s">
        <v>138</v>
      </c>
      <c r="S363" s="14">
        <v>0</v>
      </c>
      <c r="T363" s="0" t="s">
        <v>333</v>
      </c>
      <c r="U363" s="0" t="s">
        <v>138</v>
      </c>
      <c r="V363" s="14" t="s">
        <v>138</v>
      </c>
      <c r="W363" s="0" t="s">
        <v>138</v>
      </c>
      <c r="X363" s="14" t="s">
        <v>138</v>
      </c>
      <c r="Y363" s="0" t="s">
        <v>138</v>
      </c>
      <c r="Z363" s="14" t="s">
        <v>138</v>
      </c>
      <c r="AA363" s="0" t="s">
        <v>138</v>
      </c>
      <c r="AB363" s="14" t="s">
        <v>138</v>
      </c>
      <c r="AD363" s="0" t="s">
        <v>138</v>
      </c>
      <c r="AF363" s="0">
        <v>0</v>
      </c>
      <c r="AG363" s="0">
        <v>0</v>
      </c>
      <c r="AH363" s="0" t="s">
        <v>140</v>
      </c>
      <c r="AI363" s="0" t="s">
        <v>138</v>
      </c>
      <c r="AL363" s="14"/>
      <c r="AN363" s="14"/>
      <c r="AQ363" s="0" t="s">
        <v>130</v>
      </c>
      <c r="AR363" s="0" t="s">
        <v>130</v>
      </c>
      <c r="AS363" s="0" t="s">
        <v>141</v>
      </c>
      <c r="AT363" s="0" t="s">
        <v>130</v>
      </c>
      <c r="AU363" s="0" t="s">
        <v>130</v>
      </c>
      <c r="AV363" s="0" t="s">
        <v>130</v>
      </c>
      <c r="AW363" s="0" t="s">
        <v>130</v>
      </c>
      <c r="AX363" s="0" t="s">
        <v>130</v>
      </c>
      <c r="AY363" s="0" t="s">
        <v>130</v>
      </c>
      <c r="AZ363" s="0" t="s">
        <v>130</v>
      </c>
      <c r="BA363" s="0" t="s">
        <v>130</v>
      </c>
      <c r="BB363" s="0" t="s">
        <v>130</v>
      </c>
      <c r="BC363" s="0" t="s">
        <v>130</v>
      </c>
      <c r="BD363" s="0" t="s">
        <v>130</v>
      </c>
      <c r="BE363" s="0" t="s">
        <v>130</v>
      </c>
      <c r="BF363" s="0" t="s">
        <v>130</v>
      </c>
      <c r="BG363" s="0" t="s">
        <v>130</v>
      </c>
      <c r="BH363" s="0" t="s">
        <v>130</v>
      </c>
      <c r="BI363" s="0" t="s">
        <v>130</v>
      </c>
      <c r="BJ363" s="0" t="s">
        <v>130</v>
      </c>
      <c r="BK363" s="0" t="s">
        <v>130</v>
      </c>
      <c r="BL363" s="0" t="s">
        <v>130</v>
      </c>
      <c r="BM363" s="0" t="s">
        <v>130</v>
      </c>
      <c r="BN363" s="0" t="s">
        <v>130</v>
      </c>
      <c r="BO363" s="0" t="s">
        <v>130</v>
      </c>
      <c r="BP363" s="0" t="s">
        <v>130</v>
      </c>
      <c r="BQ363" s="0" t="s">
        <v>130</v>
      </c>
      <c r="BR363" s="0" t="s">
        <v>130</v>
      </c>
      <c r="BS363" s="0" t="s">
        <v>130</v>
      </c>
      <c r="BT363" s="0" t="s">
        <v>130</v>
      </c>
      <c r="BU363" s="0" t="s">
        <v>130</v>
      </c>
      <c r="BV363" s="0" t="s">
        <v>130</v>
      </c>
      <c r="BW363" s="0" t="s">
        <v>130</v>
      </c>
      <c r="BX363" s="0" t="s">
        <v>130</v>
      </c>
      <c r="BY363" s="0" t="s">
        <v>130</v>
      </c>
      <c r="BZ363" s="0" t="s">
        <v>130</v>
      </c>
      <c r="CA363" s="0" t="s">
        <v>130</v>
      </c>
      <c r="CB363" s="0" t="s">
        <v>130</v>
      </c>
      <c r="CC363" s="0" t="s">
        <v>130</v>
      </c>
      <c r="CD363" s="0" t="s">
        <v>130</v>
      </c>
      <c r="CE363" s="0" t="s">
        <v>130</v>
      </c>
      <c r="CF363" s="0" t="s">
        <v>130</v>
      </c>
      <c r="CG363" s="0" t="s">
        <v>130</v>
      </c>
      <c r="CH363" s="0" t="s">
        <v>130</v>
      </c>
      <c r="CI363" s="0" t="s">
        <v>130</v>
      </c>
      <c r="CJ363" s="0" t="s">
        <v>130</v>
      </c>
      <c r="CK363" s="0" t="s">
        <v>130</v>
      </c>
      <c r="CL363" s="0" t="s">
        <v>130</v>
      </c>
      <c r="CM363" s="0" t="s">
        <v>130</v>
      </c>
      <c r="CN363" s="0" t="s">
        <v>130</v>
      </c>
      <c r="CO363" s="0" t="s">
        <v>130</v>
      </c>
      <c r="CP363" s="0" t="s">
        <v>130</v>
      </c>
      <c r="CQ363" s="0" t="s">
        <v>130</v>
      </c>
      <c r="CR363" s="0" t="s">
        <v>130</v>
      </c>
      <c r="CS363" s="0" t="s">
        <v>130</v>
      </c>
      <c r="CT363" s="0" t="s">
        <v>1312</v>
      </c>
    </row>
    <row r="364">
      <c r="A364" s="14">
        <v>101166</v>
      </c>
      <c r="B364" s="0" t="s">
        <v>1275</v>
      </c>
      <c r="C364" s="16">
        <f>HYPERLINK("https://eosportal.federatedhermes.com/companies/Q29tcGFueQppODU4OTI=", "Pfizer Inc")</f>
      </c>
      <c r="D364" s="0" t="s">
        <v>25</v>
      </c>
      <c r="E364" s="0" t="s">
        <v>1313</v>
      </c>
      <c r="F364" s="16">
        <f>HYPERLINK("https://eosportal.federatedhermes.com/engagements/RW5nYWdlbWVudAppMjAxNTY=", "Manufacturing quality")</f>
      </c>
      <c r="G364" s="14" t="s">
        <v>1314</v>
      </c>
      <c r="H364" s="0" t="s">
        <v>141</v>
      </c>
      <c r="I364" s="14" t="s">
        <v>636</v>
      </c>
      <c r="J364" s="0" t="s">
        <v>132</v>
      </c>
      <c r="K364" s="0" t="s">
        <v>260</v>
      </c>
      <c r="L364" s="0" t="s">
        <v>261</v>
      </c>
      <c r="M364" s="0" t="s">
        <v>135</v>
      </c>
      <c r="N364" s="0" t="s">
        <v>136</v>
      </c>
      <c r="O364" s="0" t="s">
        <v>274</v>
      </c>
      <c r="Q364" s="0" t="s">
        <v>130</v>
      </c>
      <c r="R364" s="0" t="s">
        <v>138</v>
      </c>
      <c r="S364" s="14">
        <v>0</v>
      </c>
      <c r="T364" s="0" t="s">
        <v>343</v>
      </c>
      <c r="U364" s="0" t="s">
        <v>138</v>
      </c>
      <c r="V364" s="14" t="s">
        <v>138</v>
      </c>
      <c r="W364" s="0" t="s">
        <v>138</v>
      </c>
      <c r="X364" s="14" t="s">
        <v>138</v>
      </c>
      <c r="Y364" s="0" t="s">
        <v>138</v>
      </c>
      <c r="Z364" s="14" t="s">
        <v>138</v>
      </c>
      <c r="AA364" s="0" t="s">
        <v>138</v>
      </c>
      <c r="AB364" s="14" t="s">
        <v>138</v>
      </c>
      <c r="AD364" s="0" t="s">
        <v>138</v>
      </c>
      <c r="AF364" s="0">
        <v>0</v>
      </c>
      <c r="AG364" s="0">
        <v>0</v>
      </c>
      <c r="AH364" s="0" t="s">
        <v>140</v>
      </c>
      <c r="AI364" s="0" t="s">
        <v>138</v>
      </c>
      <c r="AL364" s="14"/>
      <c r="AN364" s="14"/>
      <c r="AQ364" s="0" t="s">
        <v>130</v>
      </c>
      <c r="AR364" s="0" t="s">
        <v>130</v>
      </c>
      <c r="AS364" s="0" t="s">
        <v>130</v>
      </c>
      <c r="AT364" s="0" t="s">
        <v>130</v>
      </c>
      <c r="AU364" s="0" t="s">
        <v>130</v>
      </c>
      <c r="AV364" s="0" t="s">
        <v>130</v>
      </c>
      <c r="AW364" s="0" t="s">
        <v>130</v>
      </c>
      <c r="AX364" s="0" t="s">
        <v>130</v>
      </c>
      <c r="AY364" s="0" t="s">
        <v>130</v>
      </c>
      <c r="AZ364" s="0" t="s">
        <v>130</v>
      </c>
      <c r="BA364" s="0" t="s">
        <v>130</v>
      </c>
      <c r="BB364" s="0" t="s">
        <v>130</v>
      </c>
      <c r="BC364" s="0" t="s">
        <v>130</v>
      </c>
      <c r="BD364" s="0" t="s">
        <v>130</v>
      </c>
      <c r="BE364" s="0" t="s">
        <v>130</v>
      </c>
      <c r="BF364" s="0" t="s">
        <v>130</v>
      </c>
      <c r="BG364" s="0" t="s">
        <v>130</v>
      </c>
      <c r="BH364" s="0" t="s">
        <v>130</v>
      </c>
      <c r="BI364" s="0" t="s">
        <v>130</v>
      </c>
      <c r="BJ364" s="0" t="s">
        <v>130</v>
      </c>
      <c r="BK364" s="0" t="s">
        <v>130</v>
      </c>
      <c r="BL364" s="0" t="s">
        <v>130</v>
      </c>
      <c r="BM364" s="0" t="s">
        <v>130</v>
      </c>
      <c r="BN364" s="0" t="s">
        <v>130</v>
      </c>
      <c r="BO364" s="0" t="s">
        <v>130</v>
      </c>
      <c r="BP364" s="0" t="s">
        <v>130</v>
      </c>
      <c r="BQ364" s="0" t="s">
        <v>130</v>
      </c>
      <c r="BR364" s="0" t="s">
        <v>130</v>
      </c>
      <c r="BS364" s="0" t="s">
        <v>130</v>
      </c>
      <c r="BT364" s="0" t="s">
        <v>130</v>
      </c>
      <c r="BU364" s="0" t="s">
        <v>130</v>
      </c>
      <c r="BV364" s="0" t="s">
        <v>130</v>
      </c>
      <c r="BW364" s="0" t="s">
        <v>130</v>
      </c>
      <c r="BX364" s="0" t="s">
        <v>130</v>
      </c>
      <c r="BY364" s="0" t="s">
        <v>130</v>
      </c>
      <c r="BZ364" s="0" t="s">
        <v>130</v>
      </c>
      <c r="CA364" s="0" t="s">
        <v>130</v>
      </c>
      <c r="CB364" s="0" t="s">
        <v>130</v>
      </c>
      <c r="CC364" s="0" t="s">
        <v>130</v>
      </c>
      <c r="CD364" s="0" t="s">
        <v>130</v>
      </c>
      <c r="CE364" s="0" t="s">
        <v>130</v>
      </c>
      <c r="CF364" s="0" t="s">
        <v>130</v>
      </c>
      <c r="CG364" s="0" t="s">
        <v>130</v>
      </c>
      <c r="CH364" s="0" t="s">
        <v>130</v>
      </c>
      <c r="CI364" s="0" t="s">
        <v>130</v>
      </c>
      <c r="CJ364" s="0" t="s">
        <v>130</v>
      </c>
      <c r="CK364" s="0" t="s">
        <v>130</v>
      </c>
      <c r="CL364" s="0" t="s">
        <v>130</v>
      </c>
      <c r="CM364" s="0" t="s">
        <v>130</v>
      </c>
      <c r="CN364" s="0" t="s">
        <v>130</v>
      </c>
      <c r="CO364" s="0" t="s">
        <v>130</v>
      </c>
      <c r="CP364" s="0" t="s">
        <v>130</v>
      </c>
      <c r="CQ364" s="0" t="s">
        <v>130</v>
      </c>
      <c r="CR364" s="0" t="s">
        <v>130</v>
      </c>
      <c r="CS364" s="0" t="s">
        <v>130</v>
      </c>
      <c r="CT364" s="0" t="s">
        <v>1315</v>
      </c>
    </row>
    <row r="365">
      <c r="A365" s="14">
        <v>101166</v>
      </c>
      <c r="B365" s="0" t="s">
        <v>1275</v>
      </c>
      <c r="C365" s="16">
        <f>HYPERLINK("https://eosportal.federatedhermes.com/companies/Q29tcGFueQppODU4OTI=", "Pfizer Inc")</f>
      </c>
      <c r="D365" s="0" t="s">
        <v>25</v>
      </c>
      <c r="E365" s="0" t="s">
        <v>1316</v>
      </c>
      <c r="F365" s="16">
        <f>HYPERLINK("https://eosportal.federatedhermes.com/engagements/RW5nYWdlbWVudAppMjAxNTc=", "Responsiveness to shareholders and enhanced disclosures re. votes and proposals")</f>
      </c>
      <c r="G365" s="14" t="s">
        <v>1317</v>
      </c>
      <c r="H365" s="0" t="s">
        <v>141</v>
      </c>
      <c r="I365" s="14" t="s">
        <v>636</v>
      </c>
      <c r="J365" s="0" t="s">
        <v>145</v>
      </c>
      <c r="K365" s="0" t="s">
        <v>400</v>
      </c>
      <c r="L365" s="0" t="s">
        <v>507</v>
      </c>
      <c r="M365" s="0" t="s">
        <v>135</v>
      </c>
      <c r="N365" s="0" t="s">
        <v>136</v>
      </c>
      <c r="O365" s="0" t="s">
        <v>274</v>
      </c>
      <c r="Q365" s="0" t="s">
        <v>130</v>
      </c>
      <c r="R365" s="0" t="s">
        <v>138</v>
      </c>
      <c r="S365" s="14">
        <v>0</v>
      </c>
      <c r="T365" s="0" t="s">
        <v>299</v>
      </c>
      <c r="U365" s="0" t="s">
        <v>138</v>
      </c>
      <c r="V365" s="14" t="s">
        <v>138</v>
      </c>
      <c r="W365" s="0" t="s">
        <v>138</v>
      </c>
      <c r="X365" s="14" t="s">
        <v>138</v>
      </c>
      <c r="Y365" s="0" t="s">
        <v>138</v>
      </c>
      <c r="Z365" s="14" t="s">
        <v>138</v>
      </c>
      <c r="AA365" s="0" t="s">
        <v>138</v>
      </c>
      <c r="AB365" s="14" t="s">
        <v>138</v>
      </c>
      <c r="AD365" s="0" t="s">
        <v>138</v>
      </c>
      <c r="AF365" s="0">
        <v>0</v>
      </c>
      <c r="AG365" s="0">
        <v>0</v>
      </c>
      <c r="AH365" s="0" t="s">
        <v>140</v>
      </c>
      <c r="AI365" s="0" t="s">
        <v>138</v>
      </c>
      <c r="AL365" s="14"/>
      <c r="AN365" s="14"/>
      <c r="AQ365" s="0" t="s">
        <v>130</v>
      </c>
      <c r="AR365" s="0" t="s">
        <v>130</v>
      </c>
      <c r="AS365" s="0" t="s">
        <v>130</v>
      </c>
      <c r="AT365" s="0" t="s">
        <v>130</v>
      </c>
      <c r="AU365" s="0" t="s">
        <v>130</v>
      </c>
      <c r="AV365" s="0" t="s">
        <v>130</v>
      </c>
      <c r="AW365" s="0" t="s">
        <v>130</v>
      </c>
      <c r="AX365" s="0" t="s">
        <v>130</v>
      </c>
      <c r="AY365" s="0" t="s">
        <v>130</v>
      </c>
      <c r="AZ365" s="0" t="s">
        <v>130</v>
      </c>
      <c r="BA365" s="0" t="s">
        <v>130</v>
      </c>
      <c r="BB365" s="0" t="s">
        <v>130</v>
      </c>
      <c r="BC365" s="0" t="s">
        <v>130</v>
      </c>
      <c r="BD365" s="0" t="s">
        <v>130</v>
      </c>
      <c r="BE365" s="0" t="s">
        <v>130</v>
      </c>
      <c r="BF365" s="0" t="s">
        <v>130</v>
      </c>
      <c r="BG365" s="0" t="s">
        <v>130</v>
      </c>
      <c r="BH365" s="0" t="s">
        <v>130</v>
      </c>
      <c r="BI365" s="0" t="s">
        <v>130</v>
      </c>
      <c r="BJ365" s="0" t="s">
        <v>130</v>
      </c>
      <c r="BK365" s="0" t="s">
        <v>130</v>
      </c>
      <c r="BL365" s="0" t="s">
        <v>130</v>
      </c>
      <c r="BM365" s="0" t="s">
        <v>130</v>
      </c>
      <c r="BN365" s="0" t="s">
        <v>130</v>
      </c>
      <c r="BO365" s="0" t="s">
        <v>130</v>
      </c>
      <c r="BP365" s="0" t="s">
        <v>130</v>
      </c>
      <c r="BQ365" s="0" t="s">
        <v>130</v>
      </c>
      <c r="BR365" s="0" t="s">
        <v>130</v>
      </c>
      <c r="BS365" s="0" t="s">
        <v>130</v>
      </c>
      <c r="BT365" s="0" t="s">
        <v>130</v>
      </c>
      <c r="BU365" s="0" t="s">
        <v>130</v>
      </c>
      <c r="BV365" s="0" t="s">
        <v>130</v>
      </c>
      <c r="BW365" s="0" t="s">
        <v>130</v>
      </c>
      <c r="BX365" s="0" t="s">
        <v>130</v>
      </c>
      <c r="BY365" s="0" t="s">
        <v>130</v>
      </c>
      <c r="BZ365" s="0" t="s">
        <v>130</v>
      </c>
      <c r="CA365" s="0" t="s">
        <v>130</v>
      </c>
      <c r="CB365" s="0" t="s">
        <v>130</v>
      </c>
      <c r="CC365" s="0" t="s">
        <v>130</v>
      </c>
      <c r="CD365" s="0" t="s">
        <v>130</v>
      </c>
      <c r="CE365" s="0" t="s">
        <v>130</v>
      </c>
      <c r="CF365" s="0" t="s">
        <v>130</v>
      </c>
      <c r="CG365" s="0" t="s">
        <v>130</v>
      </c>
      <c r="CH365" s="0" t="s">
        <v>130</v>
      </c>
      <c r="CI365" s="0" t="s">
        <v>130</v>
      </c>
      <c r="CJ365" s="0" t="s">
        <v>130</v>
      </c>
      <c r="CK365" s="0" t="s">
        <v>130</v>
      </c>
      <c r="CL365" s="0" t="s">
        <v>130</v>
      </c>
      <c r="CM365" s="0" t="s">
        <v>130</v>
      </c>
      <c r="CN365" s="0" t="s">
        <v>130</v>
      </c>
      <c r="CO365" s="0" t="s">
        <v>130</v>
      </c>
      <c r="CP365" s="0" t="s">
        <v>130</v>
      </c>
      <c r="CQ365" s="0" t="s">
        <v>130</v>
      </c>
      <c r="CR365" s="0" t="s">
        <v>130</v>
      </c>
      <c r="CS365" s="0" t="s">
        <v>130</v>
      </c>
      <c r="CT365" s="0" t="s">
        <v>1318</v>
      </c>
    </row>
    <row r="366">
      <c r="A366" s="14">
        <v>101092</v>
      </c>
      <c r="B366" s="0" t="s">
        <v>1319</v>
      </c>
      <c r="C366" s="16">
        <f>HYPERLINK("https://eosportal.federatedhermes.com/companies/Q29tcGFueQppNzc5MzU=", "Wells Fargo &amp; Co")</f>
      </c>
      <c r="D366" s="0" t="s">
        <v>25</v>
      </c>
      <c r="E366" s="0" t="s">
        <v>295</v>
      </c>
      <c r="F366" s="16">
        <f>HYPERLINK("https://eosportal.federatedhermes.com/engagements/RW5nYWdlbWVudAppMjAxNzc=", "Board structure")</f>
      </c>
      <c r="G366" s="14" t="s">
        <v>1320</v>
      </c>
      <c r="H366" s="0" t="s">
        <v>141</v>
      </c>
      <c r="I366" s="14" t="s">
        <v>191</v>
      </c>
      <c r="J366" s="0" t="s">
        <v>145</v>
      </c>
      <c r="K366" s="0" t="s">
        <v>164</v>
      </c>
      <c r="L366" s="0" t="s">
        <v>165</v>
      </c>
      <c r="M366" s="0" t="s">
        <v>135</v>
      </c>
      <c r="N366" s="0" t="s">
        <v>136</v>
      </c>
      <c r="O366" s="0" t="s">
        <v>238</v>
      </c>
      <c r="Q366" s="0" t="s">
        <v>130</v>
      </c>
      <c r="R366" s="0" t="s">
        <v>138</v>
      </c>
      <c r="S366" s="14">
        <v>0</v>
      </c>
      <c r="T366" s="0" t="s">
        <v>1321</v>
      </c>
      <c r="U366" s="0" t="s">
        <v>138</v>
      </c>
      <c r="V366" s="14" t="s">
        <v>138</v>
      </c>
      <c r="W366" s="0" t="s">
        <v>138</v>
      </c>
      <c r="X366" s="14" t="s">
        <v>138</v>
      </c>
      <c r="Y366" s="0" t="s">
        <v>138</v>
      </c>
      <c r="Z366" s="14" t="s">
        <v>138</v>
      </c>
      <c r="AA366" s="0" t="s">
        <v>138</v>
      </c>
      <c r="AB366" s="14" t="s">
        <v>138</v>
      </c>
      <c r="AD366" s="0" t="s">
        <v>138</v>
      </c>
      <c r="AF366" s="0">
        <v>0</v>
      </c>
      <c r="AG366" s="0">
        <v>0</v>
      </c>
      <c r="AH366" s="0" t="s">
        <v>140</v>
      </c>
      <c r="AI366" s="0" t="s">
        <v>138</v>
      </c>
      <c r="AL366" s="14"/>
      <c r="AN366" s="14"/>
      <c r="AQ366" s="0" t="s">
        <v>130</v>
      </c>
      <c r="AR366" s="0" t="s">
        <v>130</v>
      </c>
      <c r="AS366" s="0" t="s">
        <v>130</v>
      </c>
      <c r="AT366" s="0" t="s">
        <v>130</v>
      </c>
      <c r="AU366" s="0" t="s">
        <v>130</v>
      </c>
      <c r="AV366" s="0" t="s">
        <v>130</v>
      </c>
      <c r="AW366" s="0" t="s">
        <v>130</v>
      </c>
      <c r="AX366" s="0" t="s">
        <v>130</v>
      </c>
      <c r="AY366" s="0" t="s">
        <v>130</v>
      </c>
      <c r="AZ366" s="0" t="s">
        <v>130</v>
      </c>
      <c r="BA366" s="0" t="s">
        <v>130</v>
      </c>
      <c r="BB366" s="0" t="s">
        <v>130</v>
      </c>
      <c r="BC366" s="0" t="s">
        <v>130</v>
      </c>
      <c r="BD366" s="0" t="s">
        <v>130</v>
      </c>
      <c r="BE366" s="0" t="s">
        <v>130</v>
      </c>
      <c r="BF366" s="0" t="s">
        <v>130</v>
      </c>
      <c r="BG366" s="0" t="s">
        <v>130</v>
      </c>
      <c r="BH366" s="0" t="s">
        <v>130</v>
      </c>
      <c r="BI366" s="0" t="s">
        <v>130</v>
      </c>
      <c r="BJ366" s="0" t="s">
        <v>130</v>
      </c>
      <c r="BK366" s="0" t="s">
        <v>130</v>
      </c>
      <c r="BL366" s="0" t="s">
        <v>130</v>
      </c>
      <c r="BM366" s="0" t="s">
        <v>130</v>
      </c>
      <c r="BN366" s="0" t="s">
        <v>130</v>
      </c>
      <c r="BO366" s="0" t="s">
        <v>130</v>
      </c>
      <c r="BP366" s="0" t="s">
        <v>130</v>
      </c>
      <c r="BQ366" s="0" t="s">
        <v>130</v>
      </c>
      <c r="BR366" s="0" t="s">
        <v>130</v>
      </c>
      <c r="BS366" s="0" t="s">
        <v>130</v>
      </c>
      <c r="BT366" s="0" t="s">
        <v>130</v>
      </c>
      <c r="BU366" s="0" t="s">
        <v>130</v>
      </c>
      <c r="BV366" s="0" t="s">
        <v>130</v>
      </c>
      <c r="BW366" s="0" t="s">
        <v>130</v>
      </c>
      <c r="BX366" s="0" t="s">
        <v>130</v>
      </c>
      <c r="BY366" s="0" t="s">
        <v>130</v>
      </c>
      <c r="BZ366" s="0" t="s">
        <v>130</v>
      </c>
      <c r="CA366" s="0" t="s">
        <v>130</v>
      </c>
      <c r="CB366" s="0" t="s">
        <v>130</v>
      </c>
      <c r="CC366" s="0" t="s">
        <v>130</v>
      </c>
      <c r="CD366" s="0" t="s">
        <v>130</v>
      </c>
      <c r="CE366" s="0" t="s">
        <v>130</v>
      </c>
      <c r="CF366" s="0" t="s">
        <v>130</v>
      </c>
      <c r="CG366" s="0" t="s">
        <v>130</v>
      </c>
      <c r="CH366" s="0" t="s">
        <v>130</v>
      </c>
      <c r="CI366" s="0" t="s">
        <v>130</v>
      </c>
      <c r="CJ366" s="0" t="s">
        <v>130</v>
      </c>
      <c r="CK366" s="0" t="s">
        <v>130</v>
      </c>
      <c r="CL366" s="0" t="s">
        <v>130</v>
      </c>
      <c r="CM366" s="0" t="s">
        <v>130</v>
      </c>
      <c r="CN366" s="0" t="s">
        <v>130</v>
      </c>
      <c r="CO366" s="0" t="s">
        <v>130</v>
      </c>
      <c r="CP366" s="0" t="s">
        <v>130</v>
      </c>
      <c r="CQ366" s="0" t="s">
        <v>130</v>
      </c>
      <c r="CR366" s="0" t="s">
        <v>130</v>
      </c>
      <c r="CS366" s="0" t="s">
        <v>130</v>
      </c>
      <c r="CT366" s="0" t="s">
        <v>1322</v>
      </c>
    </row>
    <row r="367">
      <c r="A367" s="14">
        <v>101092</v>
      </c>
      <c r="B367" s="0" t="s">
        <v>1319</v>
      </c>
      <c r="C367" s="16">
        <f>HYPERLINK("https://eosportal.federatedhermes.com/companies/Q29tcGFueQppNzc5MzU=", "Wells Fargo &amp; Co")</f>
      </c>
      <c r="D367" s="0" t="s">
        <v>25</v>
      </c>
      <c r="E367" s="0" t="s">
        <v>1323</v>
      </c>
      <c r="F367" s="16">
        <f>HYPERLINK("https://eosportal.federatedhermes.com/engagements/RW5nYWdlbWVudAppMjAxNzg=", "Special meeting")</f>
      </c>
      <c r="G367" s="14" t="s">
        <v>1324</v>
      </c>
      <c r="H367" s="0" t="s">
        <v>141</v>
      </c>
      <c r="I367" s="14" t="s">
        <v>191</v>
      </c>
      <c r="J367" s="0" t="s">
        <v>145</v>
      </c>
      <c r="K367" s="0" t="s">
        <v>400</v>
      </c>
      <c r="L367" s="0" t="s">
        <v>507</v>
      </c>
      <c r="M367" s="0" t="s">
        <v>135</v>
      </c>
      <c r="N367" s="0" t="s">
        <v>136</v>
      </c>
      <c r="O367" s="0" t="s">
        <v>238</v>
      </c>
      <c r="Q367" s="0" t="s">
        <v>130</v>
      </c>
      <c r="R367" s="0" t="s">
        <v>138</v>
      </c>
      <c r="S367" s="14">
        <v>0</v>
      </c>
      <c r="T367" s="0" t="s">
        <v>487</v>
      </c>
      <c r="U367" s="0" t="s">
        <v>138</v>
      </c>
      <c r="V367" s="14" t="s">
        <v>138</v>
      </c>
      <c r="W367" s="0" t="s">
        <v>138</v>
      </c>
      <c r="X367" s="14" t="s">
        <v>138</v>
      </c>
      <c r="Y367" s="0" t="s">
        <v>138</v>
      </c>
      <c r="Z367" s="14" t="s">
        <v>138</v>
      </c>
      <c r="AA367" s="0" t="s">
        <v>138</v>
      </c>
      <c r="AB367" s="14" t="s">
        <v>138</v>
      </c>
      <c r="AD367" s="0" t="s">
        <v>138</v>
      </c>
      <c r="AF367" s="0">
        <v>0</v>
      </c>
      <c r="AG367" s="0">
        <v>0</v>
      </c>
      <c r="AH367" s="0" t="s">
        <v>140</v>
      </c>
      <c r="AI367" s="0" t="s">
        <v>138</v>
      </c>
      <c r="AL367" s="14"/>
      <c r="AN367" s="14"/>
      <c r="AQ367" s="0" t="s">
        <v>130</v>
      </c>
      <c r="AR367" s="0" t="s">
        <v>130</v>
      </c>
      <c r="AS367" s="0" t="s">
        <v>130</v>
      </c>
      <c r="AT367" s="0" t="s">
        <v>130</v>
      </c>
      <c r="AU367" s="0" t="s">
        <v>130</v>
      </c>
      <c r="AV367" s="0" t="s">
        <v>130</v>
      </c>
      <c r="AW367" s="0" t="s">
        <v>130</v>
      </c>
      <c r="AX367" s="0" t="s">
        <v>130</v>
      </c>
      <c r="AY367" s="0" t="s">
        <v>130</v>
      </c>
      <c r="AZ367" s="0" t="s">
        <v>130</v>
      </c>
      <c r="BA367" s="0" t="s">
        <v>130</v>
      </c>
      <c r="BB367" s="0" t="s">
        <v>130</v>
      </c>
      <c r="BC367" s="0" t="s">
        <v>130</v>
      </c>
      <c r="BD367" s="0" t="s">
        <v>130</v>
      </c>
      <c r="BE367" s="0" t="s">
        <v>130</v>
      </c>
      <c r="BF367" s="0" t="s">
        <v>130</v>
      </c>
      <c r="BG367" s="0" t="s">
        <v>130</v>
      </c>
      <c r="BH367" s="0" t="s">
        <v>130</v>
      </c>
      <c r="BI367" s="0" t="s">
        <v>130</v>
      </c>
      <c r="BJ367" s="0" t="s">
        <v>130</v>
      </c>
      <c r="BK367" s="0" t="s">
        <v>130</v>
      </c>
      <c r="BL367" s="0" t="s">
        <v>130</v>
      </c>
      <c r="BM367" s="0" t="s">
        <v>130</v>
      </c>
      <c r="BN367" s="0" t="s">
        <v>130</v>
      </c>
      <c r="BO367" s="0" t="s">
        <v>130</v>
      </c>
      <c r="BP367" s="0" t="s">
        <v>130</v>
      </c>
      <c r="BQ367" s="0" t="s">
        <v>130</v>
      </c>
      <c r="BR367" s="0" t="s">
        <v>130</v>
      </c>
      <c r="BS367" s="0" t="s">
        <v>130</v>
      </c>
      <c r="BT367" s="0" t="s">
        <v>130</v>
      </c>
      <c r="BU367" s="0" t="s">
        <v>130</v>
      </c>
      <c r="BV367" s="0" t="s">
        <v>130</v>
      </c>
      <c r="BW367" s="0" t="s">
        <v>130</v>
      </c>
      <c r="BX367" s="0" t="s">
        <v>130</v>
      </c>
      <c r="BY367" s="0" t="s">
        <v>130</v>
      </c>
      <c r="BZ367" s="0" t="s">
        <v>130</v>
      </c>
      <c r="CA367" s="0" t="s">
        <v>130</v>
      </c>
      <c r="CB367" s="0" t="s">
        <v>130</v>
      </c>
      <c r="CC367" s="0" t="s">
        <v>130</v>
      </c>
      <c r="CD367" s="0" t="s">
        <v>130</v>
      </c>
      <c r="CE367" s="0" t="s">
        <v>130</v>
      </c>
      <c r="CF367" s="0" t="s">
        <v>130</v>
      </c>
      <c r="CG367" s="0" t="s">
        <v>130</v>
      </c>
      <c r="CH367" s="0" t="s">
        <v>130</v>
      </c>
      <c r="CI367" s="0" t="s">
        <v>130</v>
      </c>
      <c r="CJ367" s="0" t="s">
        <v>130</v>
      </c>
      <c r="CK367" s="0" t="s">
        <v>130</v>
      </c>
      <c r="CL367" s="0" t="s">
        <v>130</v>
      </c>
      <c r="CM367" s="0" t="s">
        <v>130</v>
      </c>
      <c r="CN367" s="0" t="s">
        <v>130</v>
      </c>
      <c r="CO367" s="0" t="s">
        <v>130</v>
      </c>
      <c r="CP367" s="0" t="s">
        <v>130</v>
      </c>
      <c r="CQ367" s="0" t="s">
        <v>130</v>
      </c>
      <c r="CR367" s="0" t="s">
        <v>130</v>
      </c>
      <c r="CS367" s="0" t="s">
        <v>130</v>
      </c>
      <c r="CT367" s="0" t="s">
        <v>1325</v>
      </c>
    </row>
    <row r="368">
      <c r="A368" s="14">
        <v>101092</v>
      </c>
      <c r="B368" s="0" t="s">
        <v>1319</v>
      </c>
      <c r="C368" s="16">
        <f>HYPERLINK("https://eosportal.federatedhermes.com/companies/Q29tcGFueQppNzc5MzU=", "Wells Fargo &amp; Co")</f>
      </c>
      <c r="D368" s="0" t="s">
        <v>25</v>
      </c>
      <c r="E368" s="0" t="s">
        <v>143</v>
      </c>
      <c r="F368" s="16">
        <f>HYPERLINK("https://eosportal.federatedhermes.com/engagements/RW5nYWdlbWVudAppMjAxNzk=", "Executive compensation")</f>
      </c>
      <c r="G368" s="14" t="s">
        <v>1326</v>
      </c>
      <c r="H368" s="0" t="s">
        <v>141</v>
      </c>
      <c r="I368" s="14" t="s">
        <v>191</v>
      </c>
      <c r="J368" s="0" t="s">
        <v>145</v>
      </c>
      <c r="K368" s="0" t="s">
        <v>146</v>
      </c>
      <c r="L368" s="0" t="s">
        <v>147</v>
      </c>
      <c r="M368" s="0" t="s">
        <v>135</v>
      </c>
      <c r="N368" s="0" t="s">
        <v>136</v>
      </c>
      <c r="O368" s="0" t="s">
        <v>238</v>
      </c>
      <c r="Q368" s="0" t="s">
        <v>130</v>
      </c>
      <c r="R368" s="0" t="s">
        <v>138</v>
      </c>
      <c r="S368" s="14">
        <v>0</v>
      </c>
      <c r="T368" s="0" t="s">
        <v>387</v>
      </c>
      <c r="U368" s="0" t="s">
        <v>138</v>
      </c>
      <c r="V368" s="14" t="s">
        <v>138</v>
      </c>
      <c r="W368" s="0" t="s">
        <v>138</v>
      </c>
      <c r="X368" s="14" t="s">
        <v>138</v>
      </c>
      <c r="Y368" s="0" t="s">
        <v>138</v>
      </c>
      <c r="Z368" s="14" t="s">
        <v>138</v>
      </c>
      <c r="AA368" s="0" t="s">
        <v>138</v>
      </c>
      <c r="AB368" s="14" t="s">
        <v>138</v>
      </c>
      <c r="AD368" s="0" t="s">
        <v>138</v>
      </c>
      <c r="AF368" s="0">
        <v>0</v>
      </c>
      <c r="AG368" s="0">
        <v>0</v>
      </c>
      <c r="AH368" s="0" t="s">
        <v>140</v>
      </c>
      <c r="AI368" s="0" t="s">
        <v>138</v>
      </c>
      <c r="AL368" s="14"/>
      <c r="AN368" s="14"/>
      <c r="AQ368" s="0" t="s">
        <v>130</v>
      </c>
      <c r="AR368" s="0" t="s">
        <v>130</v>
      </c>
      <c r="AS368" s="0" t="s">
        <v>130</v>
      </c>
      <c r="AT368" s="0" t="s">
        <v>130</v>
      </c>
      <c r="AU368" s="0" t="s">
        <v>130</v>
      </c>
      <c r="AV368" s="0" t="s">
        <v>130</v>
      </c>
      <c r="AW368" s="0" t="s">
        <v>130</v>
      </c>
      <c r="AX368" s="0" t="s">
        <v>130</v>
      </c>
      <c r="AY368" s="0" t="s">
        <v>130</v>
      </c>
      <c r="AZ368" s="0" t="s">
        <v>130</v>
      </c>
      <c r="BA368" s="0" t="s">
        <v>130</v>
      </c>
      <c r="BB368" s="0" t="s">
        <v>130</v>
      </c>
      <c r="BC368" s="0" t="s">
        <v>130</v>
      </c>
      <c r="BD368" s="0" t="s">
        <v>130</v>
      </c>
      <c r="BE368" s="0" t="s">
        <v>130</v>
      </c>
      <c r="BF368" s="0" t="s">
        <v>130</v>
      </c>
      <c r="BG368" s="0" t="s">
        <v>130</v>
      </c>
      <c r="BH368" s="0" t="s">
        <v>130</v>
      </c>
      <c r="BI368" s="0" t="s">
        <v>130</v>
      </c>
      <c r="BJ368" s="0" t="s">
        <v>130</v>
      </c>
      <c r="BK368" s="0" t="s">
        <v>130</v>
      </c>
      <c r="BL368" s="0" t="s">
        <v>130</v>
      </c>
      <c r="BM368" s="0" t="s">
        <v>130</v>
      </c>
      <c r="BN368" s="0" t="s">
        <v>130</v>
      </c>
      <c r="BO368" s="0" t="s">
        <v>130</v>
      </c>
      <c r="BP368" s="0" t="s">
        <v>130</v>
      </c>
      <c r="BQ368" s="0" t="s">
        <v>130</v>
      </c>
      <c r="BR368" s="0" t="s">
        <v>130</v>
      </c>
      <c r="BS368" s="0" t="s">
        <v>130</v>
      </c>
      <c r="BT368" s="0" t="s">
        <v>130</v>
      </c>
      <c r="BU368" s="0" t="s">
        <v>130</v>
      </c>
      <c r="BV368" s="0" t="s">
        <v>130</v>
      </c>
      <c r="BW368" s="0" t="s">
        <v>130</v>
      </c>
      <c r="BX368" s="0" t="s">
        <v>130</v>
      </c>
      <c r="BY368" s="0" t="s">
        <v>130</v>
      </c>
      <c r="BZ368" s="0" t="s">
        <v>130</v>
      </c>
      <c r="CA368" s="0" t="s">
        <v>130</v>
      </c>
      <c r="CB368" s="0" t="s">
        <v>130</v>
      </c>
      <c r="CC368" s="0" t="s">
        <v>130</v>
      </c>
      <c r="CD368" s="0" t="s">
        <v>130</v>
      </c>
      <c r="CE368" s="0" t="s">
        <v>130</v>
      </c>
      <c r="CF368" s="0" t="s">
        <v>130</v>
      </c>
      <c r="CG368" s="0" t="s">
        <v>130</v>
      </c>
      <c r="CH368" s="0" t="s">
        <v>130</v>
      </c>
      <c r="CI368" s="0" t="s">
        <v>130</v>
      </c>
      <c r="CJ368" s="0" t="s">
        <v>130</v>
      </c>
      <c r="CK368" s="0" t="s">
        <v>130</v>
      </c>
      <c r="CL368" s="0" t="s">
        <v>130</v>
      </c>
      <c r="CM368" s="0" t="s">
        <v>130</v>
      </c>
      <c r="CN368" s="0" t="s">
        <v>130</v>
      </c>
      <c r="CO368" s="0" t="s">
        <v>130</v>
      </c>
      <c r="CP368" s="0" t="s">
        <v>130</v>
      </c>
      <c r="CQ368" s="0" t="s">
        <v>130</v>
      </c>
      <c r="CR368" s="0" t="s">
        <v>130</v>
      </c>
      <c r="CS368" s="0" t="s">
        <v>130</v>
      </c>
      <c r="CT368" s="0" t="s">
        <v>1327</v>
      </c>
    </row>
    <row r="369">
      <c r="A369" s="14">
        <v>101092</v>
      </c>
      <c r="B369" s="0" t="s">
        <v>1319</v>
      </c>
      <c r="C369" s="16">
        <f>HYPERLINK("https://eosportal.federatedhermes.com/companies/Q29tcGFueQppNzc5MzU=", "Wells Fargo &amp; Co")</f>
      </c>
      <c r="D369" s="0" t="s">
        <v>25</v>
      </c>
      <c r="E369" s="0" t="s">
        <v>389</v>
      </c>
      <c r="F369" s="16">
        <f>HYPERLINK("https://eosportal.federatedhermes.com/engagements/RW5nYWdlbWVudAppMjAxODA=", "Responsible lending")</f>
      </c>
      <c r="G369" s="14" t="s">
        <v>1328</v>
      </c>
      <c r="H369" s="0" t="s">
        <v>141</v>
      </c>
      <c r="I369" s="14" t="s">
        <v>191</v>
      </c>
      <c r="J369" s="0" t="s">
        <v>153</v>
      </c>
      <c r="K369" s="0" t="s">
        <v>185</v>
      </c>
      <c r="L369" s="0" t="s">
        <v>186</v>
      </c>
      <c r="M369" s="0" t="s">
        <v>135</v>
      </c>
      <c r="N369" s="0" t="s">
        <v>136</v>
      </c>
      <c r="O369" s="0" t="s">
        <v>238</v>
      </c>
      <c r="Q369" s="0" t="s">
        <v>130</v>
      </c>
      <c r="R369" s="0" t="s">
        <v>138</v>
      </c>
      <c r="S369" s="14">
        <v>0</v>
      </c>
      <c r="T369" s="0" t="s">
        <v>380</v>
      </c>
      <c r="U369" s="0" t="s">
        <v>138</v>
      </c>
      <c r="V369" s="14" t="s">
        <v>138</v>
      </c>
      <c r="W369" s="0" t="s">
        <v>138</v>
      </c>
      <c r="X369" s="14" t="s">
        <v>138</v>
      </c>
      <c r="Y369" s="0" t="s">
        <v>138</v>
      </c>
      <c r="Z369" s="14" t="s">
        <v>138</v>
      </c>
      <c r="AA369" s="0" t="s">
        <v>138</v>
      </c>
      <c r="AB369" s="14" t="s">
        <v>138</v>
      </c>
      <c r="AD369" s="0" t="s">
        <v>138</v>
      </c>
      <c r="AF369" s="0">
        <v>0</v>
      </c>
      <c r="AG369" s="0">
        <v>0</v>
      </c>
      <c r="AH369" s="0" t="s">
        <v>140</v>
      </c>
      <c r="AI369" s="0" t="s">
        <v>138</v>
      </c>
      <c r="AL369" s="14"/>
      <c r="AN369" s="14"/>
      <c r="AQ369" s="0" t="s">
        <v>130</v>
      </c>
      <c r="AR369" s="0" t="s">
        <v>130</v>
      </c>
      <c r="AS369" s="0" t="s">
        <v>130</v>
      </c>
      <c r="AT369" s="0" t="s">
        <v>130</v>
      </c>
      <c r="AU369" s="0" t="s">
        <v>130</v>
      </c>
      <c r="AV369" s="0" t="s">
        <v>130</v>
      </c>
      <c r="AW369" s="0" t="s">
        <v>130</v>
      </c>
      <c r="AX369" s="0" t="s">
        <v>130</v>
      </c>
      <c r="AY369" s="0" t="s">
        <v>130</v>
      </c>
      <c r="AZ369" s="0" t="s">
        <v>130</v>
      </c>
      <c r="BA369" s="0" t="s">
        <v>130</v>
      </c>
      <c r="BB369" s="0" t="s">
        <v>130</v>
      </c>
      <c r="BC369" s="0" t="s">
        <v>130</v>
      </c>
      <c r="BD369" s="0" t="s">
        <v>130</v>
      </c>
      <c r="BE369" s="0" t="s">
        <v>130</v>
      </c>
      <c r="BF369" s="0" t="s">
        <v>130</v>
      </c>
      <c r="BG369" s="0" t="s">
        <v>130</v>
      </c>
      <c r="BH369" s="0" t="s">
        <v>130</v>
      </c>
      <c r="BI369" s="0" t="s">
        <v>130</v>
      </c>
      <c r="BJ369" s="0" t="s">
        <v>130</v>
      </c>
      <c r="BK369" s="0" t="s">
        <v>130</v>
      </c>
      <c r="BL369" s="0" t="s">
        <v>130</v>
      </c>
      <c r="BM369" s="0" t="s">
        <v>130</v>
      </c>
      <c r="BN369" s="0" t="s">
        <v>130</v>
      </c>
      <c r="BO369" s="0" t="s">
        <v>130</v>
      </c>
      <c r="BP369" s="0" t="s">
        <v>130</v>
      </c>
      <c r="BQ369" s="0" t="s">
        <v>130</v>
      </c>
      <c r="BR369" s="0" t="s">
        <v>130</v>
      </c>
      <c r="BS369" s="0" t="s">
        <v>130</v>
      </c>
      <c r="BT369" s="0" t="s">
        <v>130</v>
      </c>
      <c r="BU369" s="0" t="s">
        <v>130</v>
      </c>
      <c r="BV369" s="0" t="s">
        <v>130</v>
      </c>
      <c r="BW369" s="0" t="s">
        <v>130</v>
      </c>
      <c r="BX369" s="0" t="s">
        <v>130</v>
      </c>
      <c r="BY369" s="0" t="s">
        <v>130</v>
      </c>
      <c r="BZ369" s="0" t="s">
        <v>130</v>
      </c>
      <c r="CA369" s="0" t="s">
        <v>130</v>
      </c>
      <c r="CB369" s="0" t="s">
        <v>130</v>
      </c>
      <c r="CC369" s="0" t="s">
        <v>130</v>
      </c>
      <c r="CD369" s="0" t="s">
        <v>130</v>
      </c>
      <c r="CE369" s="0" t="s">
        <v>130</v>
      </c>
      <c r="CF369" s="0" t="s">
        <v>130</v>
      </c>
      <c r="CG369" s="0" t="s">
        <v>130</v>
      </c>
      <c r="CH369" s="0" t="s">
        <v>130</v>
      </c>
      <c r="CI369" s="0" t="s">
        <v>130</v>
      </c>
      <c r="CJ369" s="0" t="s">
        <v>130</v>
      </c>
      <c r="CK369" s="0" t="s">
        <v>130</v>
      </c>
      <c r="CL369" s="0" t="s">
        <v>130</v>
      </c>
      <c r="CM369" s="0" t="s">
        <v>130</v>
      </c>
      <c r="CN369" s="0" t="s">
        <v>130</v>
      </c>
      <c r="CO369" s="0" t="s">
        <v>130</v>
      </c>
      <c r="CP369" s="0" t="s">
        <v>130</v>
      </c>
      <c r="CQ369" s="0" t="s">
        <v>130</v>
      </c>
      <c r="CR369" s="0" t="s">
        <v>130</v>
      </c>
      <c r="CS369" s="0" t="s">
        <v>130</v>
      </c>
      <c r="CT369" s="0" t="s">
        <v>1329</v>
      </c>
    </row>
    <row r="370">
      <c r="A370" s="14">
        <v>101092</v>
      </c>
      <c r="B370" s="0" t="s">
        <v>1319</v>
      </c>
      <c r="C370" s="16">
        <f>HYPERLINK("https://eosportal.federatedhermes.com/companies/Q29tcGFueQppNzc5MzU=", "Wells Fargo &amp; Co")</f>
      </c>
      <c r="D370" s="0" t="s">
        <v>25</v>
      </c>
      <c r="E370" s="0" t="s">
        <v>1330</v>
      </c>
      <c r="F370" s="16">
        <f>HYPERLINK("https://eosportal.federatedhermes.com/engagements/RW5nYWdlbWVudAppMjAxODE=", "Racial equity")</f>
      </c>
      <c r="G370" s="14" t="s">
        <v>1331</v>
      </c>
      <c r="H370" s="0" t="s">
        <v>141</v>
      </c>
      <c r="I370" s="14" t="s">
        <v>191</v>
      </c>
      <c r="J370" s="0" t="s">
        <v>153</v>
      </c>
      <c r="K370" s="0" t="s">
        <v>154</v>
      </c>
      <c r="L370" s="0" t="s">
        <v>268</v>
      </c>
      <c r="M370" s="0" t="s">
        <v>135</v>
      </c>
      <c r="N370" s="0" t="s">
        <v>136</v>
      </c>
      <c r="O370" s="0" t="s">
        <v>238</v>
      </c>
      <c r="Q370" s="0" t="s">
        <v>130</v>
      </c>
      <c r="R370" s="0" t="s">
        <v>138</v>
      </c>
      <c r="S370" s="14">
        <v>0</v>
      </c>
      <c r="T370" s="0" t="s">
        <v>230</v>
      </c>
      <c r="U370" s="0" t="s">
        <v>138</v>
      </c>
      <c r="V370" s="14" t="s">
        <v>138</v>
      </c>
      <c r="W370" s="0" t="s">
        <v>138</v>
      </c>
      <c r="X370" s="14" t="s">
        <v>138</v>
      </c>
      <c r="Y370" s="0" t="s">
        <v>138</v>
      </c>
      <c r="Z370" s="14" t="s">
        <v>138</v>
      </c>
      <c r="AA370" s="0" t="s">
        <v>138</v>
      </c>
      <c r="AB370" s="14" t="s">
        <v>138</v>
      </c>
      <c r="AD370" s="0" t="s">
        <v>138</v>
      </c>
      <c r="AF370" s="0">
        <v>0</v>
      </c>
      <c r="AG370" s="0">
        <v>0</v>
      </c>
      <c r="AH370" s="0" t="s">
        <v>140</v>
      </c>
      <c r="AI370" s="0" t="s">
        <v>138</v>
      </c>
      <c r="AL370" s="14"/>
      <c r="AN370" s="14"/>
      <c r="AQ370" s="0" t="s">
        <v>130</v>
      </c>
      <c r="AR370" s="0" t="s">
        <v>130</v>
      </c>
      <c r="AS370" s="0" t="s">
        <v>130</v>
      </c>
      <c r="AT370" s="0" t="s">
        <v>130</v>
      </c>
      <c r="AU370" s="0" t="s">
        <v>130</v>
      </c>
      <c r="AV370" s="0" t="s">
        <v>130</v>
      </c>
      <c r="AW370" s="0" t="s">
        <v>130</v>
      </c>
      <c r="AX370" s="0" t="s">
        <v>130</v>
      </c>
      <c r="AY370" s="0" t="s">
        <v>130</v>
      </c>
      <c r="AZ370" s="0" t="s">
        <v>130</v>
      </c>
      <c r="BA370" s="0" t="s">
        <v>130</v>
      </c>
      <c r="BB370" s="0" t="s">
        <v>130</v>
      </c>
      <c r="BC370" s="0" t="s">
        <v>130</v>
      </c>
      <c r="BD370" s="0" t="s">
        <v>130</v>
      </c>
      <c r="BE370" s="0" t="s">
        <v>130</v>
      </c>
      <c r="BF370" s="0" t="s">
        <v>130</v>
      </c>
      <c r="BG370" s="0" t="s">
        <v>130</v>
      </c>
      <c r="BH370" s="0" t="s">
        <v>130</v>
      </c>
      <c r="BI370" s="0" t="s">
        <v>130</v>
      </c>
      <c r="BJ370" s="0" t="s">
        <v>130</v>
      </c>
      <c r="BK370" s="0" t="s">
        <v>130</v>
      </c>
      <c r="BL370" s="0" t="s">
        <v>130</v>
      </c>
      <c r="BM370" s="0" t="s">
        <v>130</v>
      </c>
      <c r="BN370" s="0" t="s">
        <v>130</v>
      </c>
      <c r="BO370" s="0" t="s">
        <v>130</v>
      </c>
      <c r="BP370" s="0" t="s">
        <v>130</v>
      </c>
      <c r="BQ370" s="0" t="s">
        <v>130</v>
      </c>
      <c r="BR370" s="0" t="s">
        <v>130</v>
      </c>
      <c r="BS370" s="0" t="s">
        <v>130</v>
      </c>
      <c r="BT370" s="0" t="s">
        <v>130</v>
      </c>
      <c r="BU370" s="0" t="s">
        <v>130</v>
      </c>
      <c r="BV370" s="0" t="s">
        <v>130</v>
      </c>
      <c r="BW370" s="0" t="s">
        <v>130</v>
      </c>
      <c r="BX370" s="0" t="s">
        <v>130</v>
      </c>
      <c r="BY370" s="0" t="s">
        <v>130</v>
      </c>
      <c r="BZ370" s="0" t="s">
        <v>130</v>
      </c>
      <c r="CA370" s="0" t="s">
        <v>130</v>
      </c>
      <c r="CB370" s="0" t="s">
        <v>130</v>
      </c>
      <c r="CC370" s="0" t="s">
        <v>130</v>
      </c>
      <c r="CD370" s="0" t="s">
        <v>130</v>
      </c>
      <c r="CE370" s="0" t="s">
        <v>130</v>
      </c>
      <c r="CF370" s="0" t="s">
        <v>130</v>
      </c>
      <c r="CG370" s="0" t="s">
        <v>130</v>
      </c>
      <c r="CH370" s="0" t="s">
        <v>130</v>
      </c>
      <c r="CI370" s="0" t="s">
        <v>130</v>
      </c>
      <c r="CJ370" s="0" t="s">
        <v>130</v>
      </c>
      <c r="CK370" s="0" t="s">
        <v>141</v>
      </c>
      <c r="CL370" s="0" t="s">
        <v>130</v>
      </c>
      <c r="CM370" s="0" t="s">
        <v>130</v>
      </c>
      <c r="CN370" s="0" t="s">
        <v>130</v>
      </c>
      <c r="CO370" s="0" t="s">
        <v>130</v>
      </c>
      <c r="CP370" s="0" t="s">
        <v>130</v>
      </c>
      <c r="CQ370" s="0" t="s">
        <v>130</v>
      </c>
      <c r="CR370" s="0" t="s">
        <v>130</v>
      </c>
      <c r="CS370" s="0" t="s">
        <v>130</v>
      </c>
      <c r="CT370" s="0" t="s">
        <v>1332</v>
      </c>
    </row>
    <row r="371">
      <c r="A371" s="14">
        <v>101092</v>
      </c>
      <c r="B371" s="0" t="s">
        <v>1319</v>
      </c>
      <c r="C371" s="16">
        <f>HYPERLINK("https://eosportal.federatedhermes.com/companies/Q29tcGFueQppNzc5MzU=", "Wells Fargo &amp; Co")</f>
      </c>
      <c r="D371" s="0" t="s">
        <v>25</v>
      </c>
      <c r="E371" s="0" t="s">
        <v>968</v>
      </c>
      <c r="F371" s="16">
        <f>HYPERLINK("https://eosportal.federatedhermes.com/engagements/RW5nYWdlbWVudAppMjAxOTI=", "Board effectiveness")</f>
      </c>
      <c r="G371" s="14" t="s">
        <v>1333</v>
      </c>
      <c r="H371" s="0" t="s">
        <v>141</v>
      </c>
      <c r="I371" s="14" t="s">
        <v>191</v>
      </c>
      <c r="J371" s="0" t="s">
        <v>145</v>
      </c>
      <c r="K371" s="0" t="s">
        <v>164</v>
      </c>
      <c r="L371" s="0" t="s">
        <v>165</v>
      </c>
      <c r="M371" s="0" t="s">
        <v>135</v>
      </c>
      <c r="N371" s="0" t="s">
        <v>136</v>
      </c>
      <c r="O371" s="0" t="s">
        <v>238</v>
      </c>
      <c r="Q371" s="0" t="s">
        <v>130</v>
      </c>
      <c r="R371" s="0" t="s">
        <v>138</v>
      </c>
      <c r="S371" s="14">
        <v>0</v>
      </c>
      <c r="T371" s="0" t="s">
        <v>1321</v>
      </c>
      <c r="U371" s="0" t="s">
        <v>138</v>
      </c>
      <c r="V371" s="14" t="s">
        <v>138</v>
      </c>
      <c r="W371" s="0" t="s">
        <v>138</v>
      </c>
      <c r="X371" s="14" t="s">
        <v>138</v>
      </c>
      <c r="Y371" s="0" t="s">
        <v>138</v>
      </c>
      <c r="Z371" s="14" t="s">
        <v>138</v>
      </c>
      <c r="AA371" s="0" t="s">
        <v>138</v>
      </c>
      <c r="AB371" s="14" t="s">
        <v>138</v>
      </c>
      <c r="AD371" s="0" t="s">
        <v>138</v>
      </c>
      <c r="AF371" s="0">
        <v>0</v>
      </c>
      <c r="AG371" s="0">
        <v>0</v>
      </c>
      <c r="AH371" s="0" t="s">
        <v>140</v>
      </c>
      <c r="AI371" s="0" t="s">
        <v>138</v>
      </c>
      <c r="AL371" s="14"/>
      <c r="AN371" s="14"/>
      <c r="AQ371" s="0" t="s">
        <v>130</v>
      </c>
      <c r="AR371" s="0" t="s">
        <v>130</v>
      </c>
      <c r="AS371" s="0" t="s">
        <v>130</v>
      </c>
      <c r="AT371" s="0" t="s">
        <v>130</v>
      </c>
      <c r="AU371" s="0" t="s">
        <v>130</v>
      </c>
      <c r="AV371" s="0" t="s">
        <v>130</v>
      </c>
      <c r="AW371" s="0" t="s">
        <v>130</v>
      </c>
      <c r="AX371" s="0" t="s">
        <v>130</v>
      </c>
      <c r="AY371" s="0" t="s">
        <v>130</v>
      </c>
      <c r="AZ371" s="0" t="s">
        <v>130</v>
      </c>
      <c r="BA371" s="0" t="s">
        <v>130</v>
      </c>
      <c r="BB371" s="0" t="s">
        <v>130</v>
      </c>
      <c r="BC371" s="0" t="s">
        <v>130</v>
      </c>
      <c r="BD371" s="0" t="s">
        <v>130</v>
      </c>
      <c r="BE371" s="0" t="s">
        <v>130</v>
      </c>
      <c r="BF371" s="0" t="s">
        <v>130</v>
      </c>
      <c r="BG371" s="0" t="s">
        <v>130</v>
      </c>
      <c r="BH371" s="0" t="s">
        <v>130</v>
      </c>
      <c r="BI371" s="0" t="s">
        <v>130</v>
      </c>
      <c r="BJ371" s="0" t="s">
        <v>130</v>
      </c>
      <c r="BK371" s="0" t="s">
        <v>130</v>
      </c>
      <c r="BL371" s="0" t="s">
        <v>130</v>
      </c>
      <c r="BM371" s="0" t="s">
        <v>130</v>
      </c>
      <c r="BN371" s="0" t="s">
        <v>130</v>
      </c>
      <c r="BO371" s="0" t="s">
        <v>130</v>
      </c>
      <c r="BP371" s="0" t="s">
        <v>130</v>
      </c>
      <c r="BQ371" s="0" t="s">
        <v>130</v>
      </c>
      <c r="BR371" s="0" t="s">
        <v>130</v>
      </c>
      <c r="BS371" s="0" t="s">
        <v>130</v>
      </c>
      <c r="BT371" s="0" t="s">
        <v>130</v>
      </c>
      <c r="BU371" s="0" t="s">
        <v>130</v>
      </c>
      <c r="BV371" s="0" t="s">
        <v>130</v>
      </c>
      <c r="BW371" s="0" t="s">
        <v>130</v>
      </c>
      <c r="BX371" s="0" t="s">
        <v>130</v>
      </c>
      <c r="BY371" s="0" t="s">
        <v>130</v>
      </c>
      <c r="BZ371" s="0" t="s">
        <v>130</v>
      </c>
      <c r="CA371" s="0" t="s">
        <v>130</v>
      </c>
      <c r="CB371" s="0" t="s">
        <v>130</v>
      </c>
      <c r="CC371" s="0" t="s">
        <v>130</v>
      </c>
      <c r="CD371" s="0" t="s">
        <v>130</v>
      </c>
      <c r="CE371" s="0" t="s">
        <v>130</v>
      </c>
      <c r="CF371" s="0" t="s">
        <v>130</v>
      </c>
      <c r="CG371" s="0" t="s">
        <v>130</v>
      </c>
      <c r="CH371" s="0" t="s">
        <v>130</v>
      </c>
      <c r="CI371" s="0" t="s">
        <v>130</v>
      </c>
      <c r="CJ371" s="0" t="s">
        <v>130</v>
      </c>
      <c r="CK371" s="0" t="s">
        <v>130</v>
      </c>
      <c r="CL371" s="0" t="s">
        <v>130</v>
      </c>
      <c r="CM371" s="0" t="s">
        <v>130</v>
      </c>
      <c r="CN371" s="0" t="s">
        <v>130</v>
      </c>
      <c r="CO371" s="0" t="s">
        <v>130</v>
      </c>
      <c r="CP371" s="0" t="s">
        <v>130</v>
      </c>
      <c r="CQ371" s="0" t="s">
        <v>130</v>
      </c>
      <c r="CR371" s="0" t="s">
        <v>130</v>
      </c>
      <c r="CS371" s="0" t="s">
        <v>130</v>
      </c>
      <c r="CT371" s="0" t="s">
        <v>1334</v>
      </c>
    </row>
    <row r="372">
      <c r="A372" s="14">
        <v>101092</v>
      </c>
      <c r="B372" s="0" t="s">
        <v>1319</v>
      </c>
      <c r="C372" s="16">
        <f>HYPERLINK("https://eosportal.federatedhermes.com/companies/Q29tcGFueQppNzc5MzU=", "Wells Fargo &amp; Co")</f>
      </c>
      <c r="D372" s="0" t="s">
        <v>25</v>
      </c>
      <c r="E372" s="0" t="s">
        <v>907</v>
      </c>
      <c r="F372" s="16">
        <f>HYPERLINK("https://eosportal.federatedhermes.com/engagements/RW5nYWdlbWVudAppMjAxOTM=", "Climate change")</f>
      </c>
      <c r="G372" s="14" t="s">
        <v>1335</v>
      </c>
      <c r="H372" s="0" t="s">
        <v>141</v>
      </c>
      <c r="I372" s="14" t="s">
        <v>191</v>
      </c>
      <c r="J372" s="0" t="s">
        <v>197</v>
      </c>
      <c r="K372" s="0" t="s">
        <v>198</v>
      </c>
      <c r="L372" s="0" t="s">
        <v>216</v>
      </c>
      <c r="M372" s="0" t="s">
        <v>135</v>
      </c>
      <c r="N372" s="0" t="s">
        <v>136</v>
      </c>
      <c r="O372" s="0" t="s">
        <v>238</v>
      </c>
      <c r="Q372" s="0" t="s">
        <v>130</v>
      </c>
      <c r="R372" s="0" t="s">
        <v>138</v>
      </c>
      <c r="S372" s="14">
        <v>0</v>
      </c>
      <c r="T372" s="0" t="s">
        <v>327</v>
      </c>
      <c r="U372" s="0" t="s">
        <v>138</v>
      </c>
      <c r="V372" s="14" t="s">
        <v>138</v>
      </c>
      <c r="W372" s="0" t="s">
        <v>138</v>
      </c>
      <c r="X372" s="14" t="s">
        <v>138</v>
      </c>
      <c r="Y372" s="0" t="s">
        <v>138</v>
      </c>
      <c r="Z372" s="14" t="s">
        <v>138</v>
      </c>
      <c r="AA372" s="0" t="s">
        <v>138</v>
      </c>
      <c r="AB372" s="14" t="s">
        <v>138</v>
      </c>
      <c r="AD372" s="0" t="s">
        <v>138</v>
      </c>
      <c r="AF372" s="0">
        <v>0</v>
      </c>
      <c r="AG372" s="0">
        <v>0</v>
      </c>
      <c r="AH372" s="0" t="s">
        <v>140</v>
      </c>
      <c r="AI372" s="0" t="s">
        <v>138</v>
      </c>
      <c r="AL372" s="14"/>
      <c r="AN372" s="14"/>
      <c r="AQ372" s="0" t="s">
        <v>130</v>
      </c>
      <c r="AR372" s="0" t="s">
        <v>130</v>
      </c>
      <c r="AS372" s="0" t="s">
        <v>130</v>
      </c>
      <c r="AT372" s="0" t="s">
        <v>130</v>
      </c>
      <c r="AU372" s="0" t="s">
        <v>130</v>
      </c>
      <c r="AV372" s="0" t="s">
        <v>130</v>
      </c>
      <c r="AW372" s="0" t="s">
        <v>141</v>
      </c>
      <c r="AX372" s="0" t="s">
        <v>130</v>
      </c>
      <c r="AY372" s="0" t="s">
        <v>130</v>
      </c>
      <c r="AZ372" s="0" t="s">
        <v>130</v>
      </c>
      <c r="BA372" s="0" t="s">
        <v>130</v>
      </c>
      <c r="BB372" s="0" t="s">
        <v>130</v>
      </c>
      <c r="BC372" s="0" t="s">
        <v>141</v>
      </c>
      <c r="BD372" s="0" t="s">
        <v>130</v>
      </c>
      <c r="BE372" s="0" t="s">
        <v>130</v>
      </c>
      <c r="BF372" s="0" t="s">
        <v>130</v>
      </c>
      <c r="BG372" s="0" t="s">
        <v>130</v>
      </c>
      <c r="BH372" s="0" t="s">
        <v>141</v>
      </c>
      <c r="BI372" s="0" t="s">
        <v>141</v>
      </c>
      <c r="BJ372" s="0" t="s">
        <v>141</v>
      </c>
      <c r="BK372" s="0" t="s">
        <v>130</v>
      </c>
      <c r="BL372" s="0" t="s">
        <v>130</v>
      </c>
      <c r="BM372" s="0" t="s">
        <v>130</v>
      </c>
      <c r="BN372" s="0" t="s">
        <v>130</v>
      </c>
      <c r="BO372" s="0" t="s">
        <v>130</v>
      </c>
      <c r="BP372" s="0" t="s">
        <v>130</v>
      </c>
      <c r="BQ372" s="0" t="s">
        <v>130</v>
      </c>
      <c r="BR372" s="0" t="s">
        <v>130</v>
      </c>
      <c r="BS372" s="0" t="s">
        <v>130</v>
      </c>
      <c r="BT372" s="0" t="s">
        <v>130</v>
      </c>
      <c r="BU372" s="0" t="s">
        <v>130</v>
      </c>
      <c r="BV372" s="0" t="s">
        <v>141</v>
      </c>
      <c r="BW372" s="0" t="s">
        <v>141</v>
      </c>
      <c r="BX372" s="0" t="s">
        <v>130</v>
      </c>
      <c r="BY372" s="0" t="s">
        <v>130</v>
      </c>
      <c r="BZ372" s="0" t="s">
        <v>130</v>
      </c>
      <c r="CA372" s="0" t="s">
        <v>130</v>
      </c>
      <c r="CB372" s="0" t="s">
        <v>130</v>
      </c>
      <c r="CC372" s="0" t="s">
        <v>130</v>
      </c>
      <c r="CD372" s="0" t="s">
        <v>130</v>
      </c>
      <c r="CE372" s="0" t="s">
        <v>130</v>
      </c>
      <c r="CF372" s="0" t="s">
        <v>130</v>
      </c>
      <c r="CG372" s="0" t="s">
        <v>130</v>
      </c>
      <c r="CH372" s="0" t="s">
        <v>130</v>
      </c>
      <c r="CI372" s="0" t="s">
        <v>130</v>
      </c>
      <c r="CJ372" s="0" t="s">
        <v>130</v>
      </c>
      <c r="CK372" s="0" t="s">
        <v>130</v>
      </c>
      <c r="CL372" s="0" t="s">
        <v>130</v>
      </c>
      <c r="CM372" s="0" t="s">
        <v>130</v>
      </c>
      <c r="CN372" s="0" t="s">
        <v>130</v>
      </c>
      <c r="CO372" s="0" t="s">
        <v>130</v>
      </c>
      <c r="CP372" s="0" t="s">
        <v>130</v>
      </c>
      <c r="CQ372" s="0" t="s">
        <v>130</v>
      </c>
      <c r="CR372" s="0" t="s">
        <v>130</v>
      </c>
      <c r="CS372" s="0" t="s">
        <v>130</v>
      </c>
      <c r="CT372" s="0" t="s">
        <v>1336</v>
      </c>
    </row>
    <row r="373">
      <c r="A373" s="14">
        <v>101095</v>
      </c>
      <c r="B373" s="0" t="s">
        <v>1337</v>
      </c>
      <c r="C373" s="16">
        <f>HYPERLINK("https://eosportal.federatedhermes.com/companies/Q29tcGFueQppNDk4MzA=", "Novo Nordisk A/S")</f>
      </c>
      <c r="D373" s="0" t="s">
        <v>25</v>
      </c>
      <c r="E373" s="0" t="s">
        <v>1287</v>
      </c>
      <c r="F373" s="16">
        <f>HYPERLINK("https://eosportal.federatedhermes.com/engagements/RW5nYWdlbWVudAppMjAyMDg=", "Access to medicine")</f>
      </c>
      <c r="G373" s="14" t="s">
        <v>1338</v>
      </c>
      <c r="H373" s="0" t="s">
        <v>141</v>
      </c>
      <c r="I373" s="14" t="s">
        <v>131</v>
      </c>
      <c r="J373" s="0" t="s">
        <v>153</v>
      </c>
      <c r="K373" s="0" t="s">
        <v>243</v>
      </c>
      <c r="L373" s="0" t="s">
        <v>292</v>
      </c>
      <c r="M373" s="0" t="s">
        <v>378</v>
      </c>
      <c r="N373" s="0" t="s">
        <v>1339</v>
      </c>
      <c r="O373" s="0" t="s">
        <v>274</v>
      </c>
      <c r="Q373" s="0" t="s">
        <v>130</v>
      </c>
      <c r="R373" s="0" t="s">
        <v>138</v>
      </c>
      <c r="S373" s="14">
        <v>0</v>
      </c>
      <c r="T373" s="0" t="s">
        <v>384</v>
      </c>
      <c r="U373" s="0" t="s">
        <v>138</v>
      </c>
      <c r="V373" s="14" t="s">
        <v>138</v>
      </c>
      <c r="W373" s="0" t="s">
        <v>138</v>
      </c>
      <c r="X373" s="14" t="s">
        <v>138</v>
      </c>
      <c r="Y373" s="0" t="s">
        <v>138</v>
      </c>
      <c r="Z373" s="14" t="s">
        <v>138</v>
      </c>
      <c r="AA373" s="0" t="s">
        <v>138</v>
      </c>
      <c r="AB373" s="14" t="s">
        <v>138</v>
      </c>
      <c r="AD373" s="0" t="s">
        <v>138</v>
      </c>
      <c r="AF373" s="0">
        <v>0</v>
      </c>
      <c r="AG373" s="0">
        <v>0</v>
      </c>
      <c r="AH373" s="0" t="s">
        <v>140</v>
      </c>
      <c r="AI373" s="0" t="s">
        <v>138</v>
      </c>
      <c r="AL373" s="14"/>
      <c r="AN373" s="14"/>
      <c r="AQ373" s="0" t="s">
        <v>141</v>
      </c>
      <c r="AR373" s="0" t="s">
        <v>130</v>
      </c>
      <c r="AS373" s="0" t="s">
        <v>141</v>
      </c>
      <c r="AT373" s="0" t="s">
        <v>130</v>
      </c>
      <c r="AU373" s="0" t="s">
        <v>130</v>
      </c>
      <c r="AV373" s="0" t="s">
        <v>130</v>
      </c>
      <c r="AW373" s="0" t="s">
        <v>130</v>
      </c>
      <c r="AX373" s="0" t="s">
        <v>130</v>
      </c>
      <c r="AY373" s="0" t="s">
        <v>130</v>
      </c>
      <c r="AZ373" s="0" t="s">
        <v>130</v>
      </c>
      <c r="BA373" s="0" t="s">
        <v>130</v>
      </c>
      <c r="BB373" s="0" t="s">
        <v>130</v>
      </c>
      <c r="BC373" s="0" t="s">
        <v>130</v>
      </c>
      <c r="BD373" s="0" t="s">
        <v>130</v>
      </c>
      <c r="BE373" s="0" t="s">
        <v>130</v>
      </c>
      <c r="BF373" s="0" t="s">
        <v>130</v>
      </c>
      <c r="BG373" s="0" t="s">
        <v>130</v>
      </c>
      <c r="BH373" s="0" t="s">
        <v>130</v>
      </c>
      <c r="BI373" s="0" t="s">
        <v>130</v>
      </c>
      <c r="BJ373" s="0" t="s">
        <v>130</v>
      </c>
      <c r="BK373" s="0" t="s">
        <v>130</v>
      </c>
      <c r="BL373" s="0" t="s">
        <v>130</v>
      </c>
      <c r="BM373" s="0" t="s">
        <v>130</v>
      </c>
      <c r="BN373" s="0" t="s">
        <v>130</v>
      </c>
      <c r="BO373" s="0" t="s">
        <v>130</v>
      </c>
      <c r="BP373" s="0" t="s">
        <v>130</v>
      </c>
      <c r="BQ373" s="0" t="s">
        <v>130</v>
      </c>
      <c r="BR373" s="0" t="s">
        <v>130</v>
      </c>
      <c r="BS373" s="0" t="s">
        <v>130</v>
      </c>
      <c r="BT373" s="0" t="s">
        <v>130</v>
      </c>
      <c r="BU373" s="0" t="s">
        <v>130</v>
      </c>
      <c r="BV373" s="0" t="s">
        <v>130</v>
      </c>
      <c r="BW373" s="0" t="s">
        <v>130</v>
      </c>
      <c r="BX373" s="0" t="s">
        <v>130</v>
      </c>
      <c r="BY373" s="0" t="s">
        <v>130</v>
      </c>
      <c r="BZ373" s="0" t="s">
        <v>130</v>
      </c>
      <c r="CA373" s="0" t="s">
        <v>130</v>
      </c>
      <c r="CB373" s="0" t="s">
        <v>130</v>
      </c>
      <c r="CC373" s="0" t="s">
        <v>130</v>
      </c>
      <c r="CD373" s="0" t="s">
        <v>130</v>
      </c>
      <c r="CE373" s="0" t="s">
        <v>130</v>
      </c>
      <c r="CF373" s="0" t="s">
        <v>130</v>
      </c>
      <c r="CG373" s="0" t="s">
        <v>130</v>
      </c>
      <c r="CH373" s="0" t="s">
        <v>130</v>
      </c>
      <c r="CI373" s="0" t="s">
        <v>130</v>
      </c>
      <c r="CJ373" s="0" t="s">
        <v>130</v>
      </c>
      <c r="CK373" s="0" t="s">
        <v>130</v>
      </c>
      <c r="CL373" s="0" t="s">
        <v>130</v>
      </c>
      <c r="CM373" s="0" t="s">
        <v>130</v>
      </c>
      <c r="CN373" s="0" t="s">
        <v>130</v>
      </c>
      <c r="CO373" s="0" t="s">
        <v>130</v>
      </c>
      <c r="CP373" s="0" t="s">
        <v>130</v>
      </c>
      <c r="CQ373" s="0" t="s">
        <v>130</v>
      </c>
      <c r="CR373" s="0" t="s">
        <v>130</v>
      </c>
      <c r="CS373" s="0" t="s">
        <v>130</v>
      </c>
      <c r="CT373" s="0" t="s">
        <v>1340</v>
      </c>
    </row>
    <row r="374">
      <c r="A374" s="14">
        <v>101095</v>
      </c>
      <c r="B374" s="0" t="s">
        <v>1337</v>
      </c>
      <c r="C374" s="16">
        <f>HYPERLINK("https://eosportal.federatedhermes.com/companies/Q29tcGFueQppNDk4MzA=", "Novo Nordisk A/S")</f>
      </c>
      <c r="D374" s="0" t="s">
        <v>25</v>
      </c>
      <c r="E374" s="0" t="s">
        <v>1341</v>
      </c>
      <c r="F374" s="16">
        <f>HYPERLINK("https://eosportal.federatedhermes.com/engagements/RW5nYWdlbWVudAppMjAyMDk=", "Antimicrobial resistance (AMR)")</f>
      </c>
      <c r="G374" s="14" t="s">
        <v>1342</v>
      </c>
      <c r="H374" s="0" t="s">
        <v>141</v>
      </c>
      <c r="I374" s="14" t="s">
        <v>131</v>
      </c>
      <c r="J374" s="0" t="s">
        <v>132</v>
      </c>
      <c r="K374" s="0" t="s">
        <v>133</v>
      </c>
      <c r="L374" s="0" t="s">
        <v>160</v>
      </c>
      <c r="M374" s="0" t="s">
        <v>378</v>
      </c>
      <c r="N374" s="0" t="s">
        <v>1339</v>
      </c>
      <c r="O374" s="0" t="s">
        <v>274</v>
      </c>
      <c r="Q374" s="0" t="s">
        <v>130</v>
      </c>
      <c r="R374" s="0" t="s">
        <v>138</v>
      </c>
      <c r="S374" s="14">
        <v>0</v>
      </c>
      <c r="T374" s="0" t="s">
        <v>166</v>
      </c>
      <c r="U374" s="0" t="s">
        <v>138</v>
      </c>
      <c r="V374" s="14" t="s">
        <v>138</v>
      </c>
      <c r="W374" s="0" t="s">
        <v>138</v>
      </c>
      <c r="X374" s="14" t="s">
        <v>138</v>
      </c>
      <c r="Y374" s="0" t="s">
        <v>138</v>
      </c>
      <c r="Z374" s="14" t="s">
        <v>138</v>
      </c>
      <c r="AA374" s="0" t="s">
        <v>138</v>
      </c>
      <c r="AB374" s="14" t="s">
        <v>138</v>
      </c>
      <c r="AD374" s="0" t="s">
        <v>138</v>
      </c>
      <c r="AF374" s="0">
        <v>0</v>
      </c>
      <c r="AG374" s="0">
        <v>0</v>
      </c>
      <c r="AH374" s="0" t="s">
        <v>140</v>
      </c>
      <c r="AI374" s="0" t="s">
        <v>138</v>
      </c>
      <c r="AL374" s="14"/>
      <c r="AN374" s="14"/>
      <c r="AQ374" s="0" t="s">
        <v>130</v>
      </c>
      <c r="AR374" s="0" t="s">
        <v>130</v>
      </c>
      <c r="AS374" s="0" t="s">
        <v>141</v>
      </c>
      <c r="AT374" s="0" t="s">
        <v>130</v>
      </c>
      <c r="AU374" s="0" t="s">
        <v>130</v>
      </c>
      <c r="AV374" s="0" t="s">
        <v>130</v>
      </c>
      <c r="AW374" s="0" t="s">
        <v>130</v>
      </c>
      <c r="AX374" s="0" t="s">
        <v>130</v>
      </c>
      <c r="AY374" s="0" t="s">
        <v>130</v>
      </c>
      <c r="AZ374" s="0" t="s">
        <v>130</v>
      </c>
      <c r="BA374" s="0" t="s">
        <v>130</v>
      </c>
      <c r="BB374" s="0" t="s">
        <v>130</v>
      </c>
      <c r="BC374" s="0" t="s">
        <v>130</v>
      </c>
      <c r="BD374" s="0" t="s">
        <v>130</v>
      </c>
      <c r="BE374" s="0" t="s">
        <v>130</v>
      </c>
      <c r="BF374" s="0" t="s">
        <v>130</v>
      </c>
      <c r="BG374" s="0" t="s">
        <v>130</v>
      </c>
      <c r="BH374" s="0" t="s">
        <v>130</v>
      </c>
      <c r="BI374" s="0" t="s">
        <v>130</v>
      </c>
      <c r="BJ374" s="0" t="s">
        <v>130</v>
      </c>
      <c r="BK374" s="0" t="s">
        <v>130</v>
      </c>
      <c r="BL374" s="0" t="s">
        <v>130</v>
      </c>
      <c r="BM374" s="0" t="s">
        <v>130</v>
      </c>
      <c r="BN374" s="0" t="s">
        <v>130</v>
      </c>
      <c r="BO374" s="0" t="s">
        <v>130</v>
      </c>
      <c r="BP374" s="0" t="s">
        <v>130</v>
      </c>
      <c r="BQ374" s="0" t="s">
        <v>130</v>
      </c>
      <c r="BR374" s="0" t="s">
        <v>130</v>
      </c>
      <c r="BS374" s="0" t="s">
        <v>130</v>
      </c>
      <c r="BT374" s="0" t="s">
        <v>130</v>
      </c>
      <c r="BU374" s="0" t="s">
        <v>130</v>
      </c>
      <c r="BV374" s="0" t="s">
        <v>130</v>
      </c>
      <c r="BW374" s="0" t="s">
        <v>130</v>
      </c>
      <c r="BX374" s="0" t="s">
        <v>130</v>
      </c>
      <c r="BY374" s="0" t="s">
        <v>130</v>
      </c>
      <c r="BZ374" s="0" t="s">
        <v>130</v>
      </c>
      <c r="CA374" s="0" t="s">
        <v>130</v>
      </c>
      <c r="CB374" s="0" t="s">
        <v>130</v>
      </c>
      <c r="CC374" s="0" t="s">
        <v>130</v>
      </c>
      <c r="CD374" s="0" t="s">
        <v>130</v>
      </c>
      <c r="CE374" s="0" t="s">
        <v>130</v>
      </c>
      <c r="CF374" s="0" t="s">
        <v>130</v>
      </c>
      <c r="CG374" s="0" t="s">
        <v>130</v>
      </c>
      <c r="CH374" s="0" t="s">
        <v>130</v>
      </c>
      <c r="CI374" s="0" t="s">
        <v>130</v>
      </c>
      <c r="CJ374" s="0" t="s">
        <v>130</v>
      </c>
      <c r="CK374" s="0" t="s">
        <v>130</v>
      </c>
      <c r="CL374" s="0" t="s">
        <v>130</v>
      </c>
      <c r="CM374" s="0" t="s">
        <v>130</v>
      </c>
      <c r="CN374" s="0" t="s">
        <v>130</v>
      </c>
      <c r="CO374" s="0" t="s">
        <v>130</v>
      </c>
      <c r="CP374" s="0" t="s">
        <v>130</v>
      </c>
      <c r="CQ374" s="0" t="s">
        <v>130</v>
      </c>
      <c r="CR374" s="0" t="s">
        <v>130</v>
      </c>
      <c r="CS374" s="0" t="s">
        <v>130</v>
      </c>
      <c r="CT374" s="0" t="s">
        <v>1343</v>
      </c>
    </row>
    <row r="375">
      <c r="A375" s="14">
        <v>101095</v>
      </c>
      <c r="B375" s="0" t="s">
        <v>1337</v>
      </c>
      <c r="C375" s="16">
        <f>HYPERLINK("https://eosportal.federatedhermes.com/companies/Q29tcGFueQppNDk4MzA=", "Novo Nordisk A/S")</f>
      </c>
      <c r="D375" s="0" t="s">
        <v>25</v>
      </c>
      <c r="E375" s="0" t="s">
        <v>1344</v>
      </c>
      <c r="F375" s="16">
        <f>HYPERLINK("https://eosportal.federatedhermes.com/engagements/RW5nYWdlbWVudAppMjAyMTE=", "Clinical Trials")</f>
      </c>
      <c r="G375" s="14" t="s">
        <v>291</v>
      </c>
      <c r="H375" s="0" t="s">
        <v>141</v>
      </c>
      <c r="I375" s="14" t="s">
        <v>131</v>
      </c>
      <c r="J375" s="0" t="s">
        <v>153</v>
      </c>
      <c r="K375" s="0" t="s">
        <v>185</v>
      </c>
      <c r="L375" s="0" t="s">
        <v>626</v>
      </c>
      <c r="M375" s="0" t="s">
        <v>378</v>
      </c>
      <c r="N375" s="0" t="s">
        <v>1339</v>
      </c>
      <c r="O375" s="0" t="s">
        <v>274</v>
      </c>
      <c r="Q375" s="0" t="s">
        <v>130</v>
      </c>
      <c r="R375" s="0" t="s">
        <v>138</v>
      </c>
      <c r="S375" s="14">
        <v>0</v>
      </c>
      <c r="T375" s="0" t="s">
        <v>825</v>
      </c>
      <c r="U375" s="0" t="s">
        <v>138</v>
      </c>
      <c r="V375" s="14" t="s">
        <v>138</v>
      </c>
      <c r="W375" s="0" t="s">
        <v>138</v>
      </c>
      <c r="X375" s="14" t="s">
        <v>138</v>
      </c>
      <c r="Y375" s="0" t="s">
        <v>138</v>
      </c>
      <c r="Z375" s="14" t="s">
        <v>138</v>
      </c>
      <c r="AA375" s="0" t="s">
        <v>138</v>
      </c>
      <c r="AB375" s="14" t="s">
        <v>138</v>
      </c>
      <c r="AD375" s="0" t="s">
        <v>138</v>
      </c>
      <c r="AF375" s="0">
        <v>0</v>
      </c>
      <c r="AG375" s="0">
        <v>0</v>
      </c>
      <c r="AH375" s="0" t="s">
        <v>140</v>
      </c>
      <c r="AI375" s="0" t="s">
        <v>138</v>
      </c>
      <c r="AL375" s="14"/>
      <c r="AN375" s="14"/>
      <c r="AQ375" s="0" t="s">
        <v>130</v>
      </c>
      <c r="AR375" s="0" t="s">
        <v>130</v>
      </c>
      <c r="AS375" s="0" t="s">
        <v>130</v>
      </c>
      <c r="AT375" s="0" t="s">
        <v>130</v>
      </c>
      <c r="AU375" s="0" t="s">
        <v>130</v>
      </c>
      <c r="AV375" s="0" t="s">
        <v>130</v>
      </c>
      <c r="AW375" s="0" t="s">
        <v>130</v>
      </c>
      <c r="AX375" s="0" t="s">
        <v>130</v>
      </c>
      <c r="AY375" s="0" t="s">
        <v>130</v>
      </c>
      <c r="AZ375" s="0" t="s">
        <v>130</v>
      </c>
      <c r="BA375" s="0" t="s">
        <v>130</v>
      </c>
      <c r="BB375" s="0" t="s">
        <v>130</v>
      </c>
      <c r="BC375" s="0" t="s">
        <v>130</v>
      </c>
      <c r="BD375" s="0" t="s">
        <v>130</v>
      </c>
      <c r="BE375" s="0" t="s">
        <v>130</v>
      </c>
      <c r="BF375" s="0" t="s">
        <v>130</v>
      </c>
      <c r="BG375" s="0" t="s">
        <v>130</v>
      </c>
      <c r="BH375" s="0" t="s">
        <v>130</v>
      </c>
      <c r="BI375" s="0" t="s">
        <v>130</v>
      </c>
      <c r="BJ375" s="0" t="s">
        <v>130</v>
      </c>
      <c r="BK375" s="0" t="s">
        <v>130</v>
      </c>
      <c r="BL375" s="0" t="s">
        <v>130</v>
      </c>
      <c r="BM375" s="0" t="s">
        <v>130</v>
      </c>
      <c r="BN375" s="0" t="s">
        <v>130</v>
      </c>
      <c r="BO375" s="0" t="s">
        <v>130</v>
      </c>
      <c r="BP375" s="0" t="s">
        <v>130</v>
      </c>
      <c r="BQ375" s="0" t="s">
        <v>130</v>
      </c>
      <c r="BR375" s="0" t="s">
        <v>130</v>
      </c>
      <c r="BS375" s="0" t="s">
        <v>130</v>
      </c>
      <c r="BT375" s="0" t="s">
        <v>130</v>
      </c>
      <c r="BU375" s="0" t="s">
        <v>130</v>
      </c>
      <c r="BV375" s="0" t="s">
        <v>130</v>
      </c>
      <c r="BW375" s="0" t="s">
        <v>130</v>
      </c>
      <c r="BX375" s="0" t="s">
        <v>130</v>
      </c>
      <c r="BY375" s="0" t="s">
        <v>130</v>
      </c>
      <c r="BZ375" s="0" t="s">
        <v>130</v>
      </c>
      <c r="CA375" s="0" t="s">
        <v>130</v>
      </c>
      <c r="CB375" s="0" t="s">
        <v>130</v>
      </c>
      <c r="CC375" s="0" t="s">
        <v>130</v>
      </c>
      <c r="CD375" s="0" t="s">
        <v>130</v>
      </c>
      <c r="CE375" s="0" t="s">
        <v>130</v>
      </c>
      <c r="CF375" s="0" t="s">
        <v>130</v>
      </c>
      <c r="CG375" s="0" t="s">
        <v>130</v>
      </c>
      <c r="CH375" s="0" t="s">
        <v>130</v>
      </c>
      <c r="CI375" s="0" t="s">
        <v>130</v>
      </c>
      <c r="CJ375" s="0" t="s">
        <v>130</v>
      </c>
      <c r="CK375" s="0" t="s">
        <v>130</v>
      </c>
      <c r="CL375" s="0" t="s">
        <v>130</v>
      </c>
      <c r="CM375" s="0" t="s">
        <v>130</v>
      </c>
      <c r="CN375" s="0" t="s">
        <v>130</v>
      </c>
      <c r="CO375" s="0" t="s">
        <v>130</v>
      </c>
      <c r="CP375" s="0" t="s">
        <v>130</v>
      </c>
      <c r="CQ375" s="0" t="s">
        <v>130</v>
      </c>
      <c r="CR375" s="0" t="s">
        <v>130</v>
      </c>
      <c r="CS375" s="0" t="s">
        <v>130</v>
      </c>
      <c r="CT375" s="0" t="s">
        <v>1345</v>
      </c>
    </row>
    <row r="376">
      <c r="A376" s="14">
        <v>101095</v>
      </c>
      <c r="B376" s="0" t="s">
        <v>1337</v>
      </c>
      <c r="C376" s="16">
        <f>HYPERLINK("https://eosportal.federatedhermes.com/companies/Q29tcGFueQppNDk4MzA=", "Novo Nordisk A/S")</f>
      </c>
      <c r="D376" s="0" t="s">
        <v>25</v>
      </c>
      <c r="E376" s="0" t="s">
        <v>1210</v>
      </c>
      <c r="F376" s="16">
        <f>HYPERLINK("https://eosportal.federatedhermes.com/engagements/RW5nYWdlbWVudAppMjAyMTI=", "Dual class share structure")</f>
      </c>
      <c r="G376" s="14"/>
      <c r="H376" s="0" t="s">
        <v>141</v>
      </c>
      <c r="I376" s="14" t="s">
        <v>131</v>
      </c>
      <c r="J376" s="0" t="s">
        <v>145</v>
      </c>
      <c r="K376" s="0" t="s">
        <v>400</v>
      </c>
      <c r="L376" s="0" t="s">
        <v>507</v>
      </c>
      <c r="M376" s="0" t="s">
        <v>378</v>
      </c>
      <c r="N376" s="0" t="s">
        <v>1339</v>
      </c>
      <c r="O376" s="0" t="s">
        <v>274</v>
      </c>
      <c r="Q376" s="0" t="s">
        <v>141</v>
      </c>
      <c r="R376" s="0" t="s">
        <v>138</v>
      </c>
      <c r="S376" s="14">
        <v>2</v>
      </c>
      <c r="T376" s="0" t="s">
        <v>1346</v>
      </c>
      <c r="U376" s="0" t="s">
        <v>138</v>
      </c>
      <c r="V376" s="14" t="s">
        <v>138</v>
      </c>
      <c r="W376" s="0" t="s">
        <v>138</v>
      </c>
      <c r="X376" s="14" t="s">
        <v>138</v>
      </c>
      <c r="Y376" s="0" t="s">
        <v>138</v>
      </c>
      <c r="Z376" s="14" t="s">
        <v>138</v>
      </c>
      <c r="AA376" s="0" t="s">
        <v>138</v>
      </c>
      <c r="AB376" s="14" t="s">
        <v>138</v>
      </c>
      <c r="AD376" s="0" t="s">
        <v>138</v>
      </c>
      <c r="AF376" s="0">
        <v>0</v>
      </c>
      <c r="AG376" s="0">
        <v>0</v>
      </c>
      <c r="AH376" s="0" t="s">
        <v>140</v>
      </c>
      <c r="AI376" s="0" t="s">
        <v>138</v>
      </c>
      <c r="AK376" s="0" t="s">
        <v>1347</v>
      </c>
      <c r="AL376" s="14"/>
      <c r="AN376" s="14"/>
      <c r="AQ376" s="0" t="s">
        <v>130</v>
      </c>
      <c r="AR376" s="0" t="s">
        <v>130</v>
      </c>
      <c r="AS376" s="0" t="s">
        <v>130</v>
      </c>
      <c r="AT376" s="0" t="s">
        <v>130</v>
      </c>
      <c r="AU376" s="0" t="s">
        <v>130</v>
      </c>
      <c r="AV376" s="0" t="s">
        <v>130</v>
      </c>
      <c r="AW376" s="0" t="s">
        <v>130</v>
      </c>
      <c r="AX376" s="0" t="s">
        <v>130</v>
      </c>
      <c r="AY376" s="0" t="s">
        <v>130</v>
      </c>
      <c r="AZ376" s="0" t="s">
        <v>130</v>
      </c>
      <c r="BA376" s="0" t="s">
        <v>130</v>
      </c>
      <c r="BB376" s="0" t="s">
        <v>130</v>
      </c>
      <c r="BC376" s="0" t="s">
        <v>130</v>
      </c>
      <c r="BD376" s="0" t="s">
        <v>130</v>
      </c>
      <c r="BE376" s="0" t="s">
        <v>130</v>
      </c>
      <c r="BF376" s="0" t="s">
        <v>130</v>
      </c>
      <c r="BG376" s="0" t="s">
        <v>130</v>
      </c>
      <c r="BH376" s="0" t="s">
        <v>130</v>
      </c>
      <c r="BI376" s="0" t="s">
        <v>130</v>
      </c>
      <c r="BJ376" s="0" t="s">
        <v>130</v>
      </c>
      <c r="BK376" s="0" t="s">
        <v>130</v>
      </c>
      <c r="BL376" s="0" t="s">
        <v>130</v>
      </c>
      <c r="BM376" s="0" t="s">
        <v>130</v>
      </c>
      <c r="BN376" s="0" t="s">
        <v>130</v>
      </c>
      <c r="BO376" s="0" t="s">
        <v>130</v>
      </c>
      <c r="BP376" s="0" t="s">
        <v>130</v>
      </c>
      <c r="BQ376" s="0" t="s">
        <v>130</v>
      </c>
      <c r="BR376" s="0" t="s">
        <v>130</v>
      </c>
      <c r="BS376" s="0" t="s">
        <v>130</v>
      </c>
      <c r="BT376" s="0" t="s">
        <v>130</v>
      </c>
      <c r="BU376" s="0" t="s">
        <v>130</v>
      </c>
      <c r="BV376" s="0" t="s">
        <v>130</v>
      </c>
      <c r="BW376" s="0" t="s">
        <v>130</v>
      </c>
      <c r="BX376" s="0" t="s">
        <v>130</v>
      </c>
      <c r="BY376" s="0" t="s">
        <v>130</v>
      </c>
      <c r="BZ376" s="0" t="s">
        <v>130</v>
      </c>
      <c r="CA376" s="0" t="s">
        <v>130</v>
      </c>
      <c r="CB376" s="0" t="s">
        <v>130</v>
      </c>
      <c r="CC376" s="0" t="s">
        <v>130</v>
      </c>
      <c r="CD376" s="0" t="s">
        <v>130</v>
      </c>
      <c r="CE376" s="0" t="s">
        <v>130</v>
      </c>
      <c r="CF376" s="0" t="s">
        <v>130</v>
      </c>
      <c r="CG376" s="0" t="s">
        <v>130</v>
      </c>
      <c r="CH376" s="0" t="s">
        <v>130</v>
      </c>
      <c r="CI376" s="0" t="s">
        <v>130</v>
      </c>
      <c r="CJ376" s="0" t="s">
        <v>130</v>
      </c>
      <c r="CK376" s="0" t="s">
        <v>130</v>
      </c>
      <c r="CL376" s="0" t="s">
        <v>130</v>
      </c>
      <c r="CM376" s="0" t="s">
        <v>130</v>
      </c>
      <c r="CN376" s="0" t="s">
        <v>130</v>
      </c>
      <c r="CO376" s="0" t="s">
        <v>130</v>
      </c>
      <c r="CP376" s="0" t="s">
        <v>130</v>
      </c>
      <c r="CQ376" s="0" t="s">
        <v>130</v>
      </c>
      <c r="CR376" s="0" t="s">
        <v>130</v>
      </c>
      <c r="CS376" s="0" t="s">
        <v>130</v>
      </c>
      <c r="CT376" s="0" t="s">
        <v>1348</v>
      </c>
    </row>
    <row r="377">
      <c r="A377" s="14">
        <v>101095</v>
      </c>
      <c r="B377" s="0" t="s">
        <v>1337</v>
      </c>
      <c r="C377" s="16">
        <f>HYPERLINK("https://eosportal.federatedhermes.com/companies/Q29tcGFueQppNDk4MzA=", "Novo Nordisk A/S")</f>
      </c>
      <c r="D377" s="0" t="s">
        <v>25</v>
      </c>
      <c r="E377" s="0" t="s">
        <v>1349</v>
      </c>
      <c r="F377" s="16">
        <f>HYPERLINK("https://eosportal.federatedhermes.com/engagements/RW5nYWdlbWVudAppMjAyMTM=", "Political Donations")</f>
      </c>
      <c r="G377" s="14" t="s">
        <v>1350</v>
      </c>
      <c r="H377" s="0" t="s">
        <v>141</v>
      </c>
      <c r="I377" s="14" t="s">
        <v>131</v>
      </c>
      <c r="J377" s="0" t="s">
        <v>153</v>
      </c>
      <c r="K377" s="0" t="s">
        <v>185</v>
      </c>
      <c r="L377" s="0" t="s">
        <v>186</v>
      </c>
      <c r="M377" s="0" t="s">
        <v>378</v>
      </c>
      <c r="N377" s="0" t="s">
        <v>1339</v>
      </c>
      <c r="O377" s="0" t="s">
        <v>274</v>
      </c>
      <c r="Q377" s="0" t="s">
        <v>130</v>
      </c>
      <c r="R377" s="0" t="s">
        <v>138</v>
      </c>
      <c r="S377" s="14">
        <v>0</v>
      </c>
      <c r="T377" s="0" t="s">
        <v>825</v>
      </c>
      <c r="U377" s="0" t="s">
        <v>138</v>
      </c>
      <c r="V377" s="14" t="s">
        <v>138</v>
      </c>
      <c r="W377" s="0" t="s">
        <v>138</v>
      </c>
      <c r="X377" s="14" t="s">
        <v>138</v>
      </c>
      <c r="Y377" s="0" t="s">
        <v>138</v>
      </c>
      <c r="Z377" s="14" t="s">
        <v>138</v>
      </c>
      <c r="AA377" s="0" t="s">
        <v>138</v>
      </c>
      <c r="AB377" s="14" t="s">
        <v>138</v>
      </c>
      <c r="AD377" s="0" t="s">
        <v>138</v>
      </c>
      <c r="AF377" s="0">
        <v>0</v>
      </c>
      <c r="AG377" s="0">
        <v>0</v>
      </c>
      <c r="AH377" s="0" t="s">
        <v>140</v>
      </c>
      <c r="AI377" s="0" t="s">
        <v>138</v>
      </c>
      <c r="AL377" s="14"/>
      <c r="AN377" s="14"/>
      <c r="AQ377" s="0" t="s">
        <v>130</v>
      </c>
      <c r="AR377" s="0" t="s">
        <v>130</v>
      </c>
      <c r="AS377" s="0" t="s">
        <v>130</v>
      </c>
      <c r="AT377" s="0" t="s">
        <v>130</v>
      </c>
      <c r="AU377" s="0" t="s">
        <v>130</v>
      </c>
      <c r="AV377" s="0" t="s">
        <v>130</v>
      </c>
      <c r="AW377" s="0" t="s">
        <v>130</v>
      </c>
      <c r="AX377" s="0" t="s">
        <v>130</v>
      </c>
      <c r="AY377" s="0" t="s">
        <v>130</v>
      </c>
      <c r="AZ377" s="0" t="s">
        <v>130</v>
      </c>
      <c r="BA377" s="0" t="s">
        <v>130</v>
      </c>
      <c r="BB377" s="0" t="s">
        <v>130</v>
      </c>
      <c r="BC377" s="0" t="s">
        <v>130</v>
      </c>
      <c r="BD377" s="0" t="s">
        <v>130</v>
      </c>
      <c r="BE377" s="0" t="s">
        <v>130</v>
      </c>
      <c r="BF377" s="0" t="s">
        <v>130</v>
      </c>
      <c r="BG377" s="0" t="s">
        <v>130</v>
      </c>
      <c r="BH377" s="0" t="s">
        <v>130</v>
      </c>
      <c r="BI377" s="0" t="s">
        <v>130</v>
      </c>
      <c r="BJ377" s="0" t="s">
        <v>130</v>
      </c>
      <c r="BK377" s="0" t="s">
        <v>130</v>
      </c>
      <c r="BL377" s="0" t="s">
        <v>130</v>
      </c>
      <c r="BM377" s="0" t="s">
        <v>130</v>
      </c>
      <c r="BN377" s="0" t="s">
        <v>130</v>
      </c>
      <c r="BO377" s="0" t="s">
        <v>130</v>
      </c>
      <c r="BP377" s="0" t="s">
        <v>130</v>
      </c>
      <c r="BQ377" s="0" t="s">
        <v>130</v>
      </c>
      <c r="BR377" s="0" t="s">
        <v>130</v>
      </c>
      <c r="BS377" s="0" t="s">
        <v>130</v>
      </c>
      <c r="BT377" s="0" t="s">
        <v>130</v>
      </c>
      <c r="BU377" s="0" t="s">
        <v>130</v>
      </c>
      <c r="BV377" s="0" t="s">
        <v>130</v>
      </c>
      <c r="BW377" s="0" t="s">
        <v>130</v>
      </c>
      <c r="BX377" s="0" t="s">
        <v>130</v>
      </c>
      <c r="BY377" s="0" t="s">
        <v>130</v>
      </c>
      <c r="BZ377" s="0" t="s">
        <v>130</v>
      </c>
      <c r="CA377" s="0" t="s">
        <v>130</v>
      </c>
      <c r="CB377" s="0" t="s">
        <v>130</v>
      </c>
      <c r="CC377" s="0" t="s">
        <v>130</v>
      </c>
      <c r="CD377" s="0" t="s">
        <v>130</v>
      </c>
      <c r="CE377" s="0" t="s">
        <v>130</v>
      </c>
      <c r="CF377" s="0" t="s">
        <v>130</v>
      </c>
      <c r="CG377" s="0" t="s">
        <v>130</v>
      </c>
      <c r="CH377" s="0" t="s">
        <v>130</v>
      </c>
      <c r="CI377" s="0" t="s">
        <v>130</v>
      </c>
      <c r="CJ377" s="0" t="s">
        <v>130</v>
      </c>
      <c r="CK377" s="0" t="s">
        <v>130</v>
      </c>
      <c r="CL377" s="0" t="s">
        <v>130</v>
      </c>
      <c r="CM377" s="0" t="s">
        <v>130</v>
      </c>
      <c r="CN377" s="0" t="s">
        <v>130</v>
      </c>
      <c r="CO377" s="0" t="s">
        <v>130</v>
      </c>
      <c r="CP377" s="0" t="s">
        <v>130</v>
      </c>
      <c r="CQ377" s="0" t="s">
        <v>130</v>
      </c>
      <c r="CR377" s="0" t="s">
        <v>130</v>
      </c>
      <c r="CS377" s="0" t="s">
        <v>130</v>
      </c>
      <c r="CT377" s="0" t="s">
        <v>1351</v>
      </c>
    </row>
    <row r="378">
      <c r="A378" s="14">
        <v>101095</v>
      </c>
      <c r="B378" s="0" t="s">
        <v>1337</v>
      </c>
      <c r="C378" s="16">
        <f>HYPERLINK("https://eosportal.federatedhermes.com/companies/Q29tcGFueQppNDk4MzA=", "Novo Nordisk A/S")</f>
      </c>
      <c r="D378" s="0" t="s">
        <v>25</v>
      </c>
      <c r="E378" s="0" t="s">
        <v>1352</v>
      </c>
      <c r="F378" s="16">
        <f>HYPERLINK("https://eosportal.federatedhermes.com/engagements/RW5nYWdlbWVudAppMjAyMTQ=", "Animal Testing")</f>
      </c>
      <c r="G378" s="14"/>
      <c r="H378" s="0" t="s">
        <v>141</v>
      </c>
      <c r="I378" s="14" t="s">
        <v>131</v>
      </c>
      <c r="J378" s="0" t="s">
        <v>153</v>
      </c>
      <c r="K378" s="0" t="s">
        <v>185</v>
      </c>
      <c r="L378" s="0" t="s">
        <v>186</v>
      </c>
      <c r="M378" s="0" t="s">
        <v>378</v>
      </c>
      <c r="N378" s="0" t="s">
        <v>1339</v>
      </c>
      <c r="O378" s="0" t="s">
        <v>274</v>
      </c>
      <c r="Q378" s="0" t="s">
        <v>130</v>
      </c>
      <c r="R378" s="0" t="s">
        <v>138</v>
      </c>
      <c r="S378" s="14">
        <v>0</v>
      </c>
      <c r="T378" s="0" t="s">
        <v>825</v>
      </c>
      <c r="U378" s="0" t="s">
        <v>138</v>
      </c>
      <c r="V378" s="14" t="s">
        <v>138</v>
      </c>
      <c r="W378" s="0" t="s">
        <v>138</v>
      </c>
      <c r="X378" s="14" t="s">
        <v>138</v>
      </c>
      <c r="Y378" s="0" t="s">
        <v>138</v>
      </c>
      <c r="Z378" s="14" t="s">
        <v>138</v>
      </c>
      <c r="AA378" s="0" t="s">
        <v>138</v>
      </c>
      <c r="AB378" s="14" t="s">
        <v>138</v>
      </c>
      <c r="AD378" s="0" t="s">
        <v>138</v>
      </c>
      <c r="AF378" s="0">
        <v>0</v>
      </c>
      <c r="AG378" s="0">
        <v>0</v>
      </c>
      <c r="AH378" s="0" t="s">
        <v>140</v>
      </c>
      <c r="AI378" s="0" t="s">
        <v>138</v>
      </c>
      <c r="AL378" s="14"/>
      <c r="AN378" s="14"/>
      <c r="AQ378" s="0" t="s">
        <v>130</v>
      </c>
      <c r="AR378" s="0" t="s">
        <v>130</v>
      </c>
      <c r="AS378" s="0" t="s">
        <v>130</v>
      </c>
      <c r="AT378" s="0" t="s">
        <v>130</v>
      </c>
      <c r="AU378" s="0" t="s">
        <v>130</v>
      </c>
      <c r="AV378" s="0" t="s">
        <v>130</v>
      </c>
      <c r="AW378" s="0" t="s">
        <v>130</v>
      </c>
      <c r="AX378" s="0" t="s">
        <v>130</v>
      </c>
      <c r="AY378" s="0" t="s">
        <v>130</v>
      </c>
      <c r="AZ378" s="0" t="s">
        <v>130</v>
      </c>
      <c r="BA378" s="0" t="s">
        <v>130</v>
      </c>
      <c r="BB378" s="0" t="s">
        <v>130</v>
      </c>
      <c r="BC378" s="0" t="s">
        <v>130</v>
      </c>
      <c r="BD378" s="0" t="s">
        <v>130</v>
      </c>
      <c r="BE378" s="0" t="s">
        <v>130</v>
      </c>
      <c r="BF378" s="0" t="s">
        <v>130</v>
      </c>
      <c r="BG378" s="0" t="s">
        <v>130</v>
      </c>
      <c r="BH378" s="0" t="s">
        <v>130</v>
      </c>
      <c r="BI378" s="0" t="s">
        <v>130</v>
      </c>
      <c r="BJ378" s="0" t="s">
        <v>130</v>
      </c>
      <c r="BK378" s="0" t="s">
        <v>130</v>
      </c>
      <c r="BL378" s="0" t="s">
        <v>130</v>
      </c>
      <c r="BM378" s="0" t="s">
        <v>130</v>
      </c>
      <c r="BN378" s="0" t="s">
        <v>130</v>
      </c>
      <c r="BO378" s="0" t="s">
        <v>130</v>
      </c>
      <c r="BP378" s="0" t="s">
        <v>130</v>
      </c>
      <c r="BQ378" s="0" t="s">
        <v>130</v>
      </c>
      <c r="BR378" s="0" t="s">
        <v>130</v>
      </c>
      <c r="BS378" s="0" t="s">
        <v>130</v>
      </c>
      <c r="BT378" s="0" t="s">
        <v>130</v>
      </c>
      <c r="BU378" s="0" t="s">
        <v>130</v>
      </c>
      <c r="BV378" s="0" t="s">
        <v>130</v>
      </c>
      <c r="BW378" s="0" t="s">
        <v>130</v>
      </c>
      <c r="BX378" s="0" t="s">
        <v>130</v>
      </c>
      <c r="BY378" s="0" t="s">
        <v>130</v>
      </c>
      <c r="BZ378" s="0" t="s">
        <v>130</v>
      </c>
      <c r="CA378" s="0" t="s">
        <v>130</v>
      </c>
      <c r="CB378" s="0" t="s">
        <v>130</v>
      </c>
      <c r="CC378" s="0" t="s">
        <v>130</v>
      </c>
      <c r="CD378" s="0" t="s">
        <v>130</v>
      </c>
      <c r="CE378" s="0" t="s">
        <v>130</v>
      </c>
      <c r="CF378" s="0" t="s">
        <v>130</v>
      </c>
      <c r="CG378" s="0" t="s">
        <v>130</v>
      </c>
      <c r="CH378" s="0" t="s">
        <v>130</v>
      </c>
      <c r="CI378" s="0" t="s">
        <v>130</v>
      </c>
      <c r="CJ378" s="0" t="s">
        <v>130</v>
      </c>
      <c r="CK378" s="0" t="s">
        <v>130</v>
      </c>
      <c r="CL378" s="0" t="s">
        <v>130</v>
      </c>
      <c r="CM378" s="0" t="s">
        <v>130</v>
      </c>
      <c r="CN378" s="0" t="s">
        <v>130</v>
      </c>
      <c r="CO378" s="0" t="s">
        <v>130</v>
      </c>
      <c r="CP378" s="0" t="s">
        <v>130</v>
      </c>
      <c r="CQ378" s="0" t="s">
        <v>130</v>
      </c>
      <c r="CR378" s="0" t="s">
        <v>130</v>
      </c>
      <c r="CS378" s="0" t="s">
        <v>130</v>
      </c>
      <c r="CT378" s="0" t="s">
        <v>1353</v>
      </c>
    </row>
    <row r="379">
      <c r="A379" s="14">
        <v>101095</v>
      </c>
      <c r="B379" s="0" t="s">
        <v>1337</v>
      </c>
      <c r="C379" s="16">
        <f>HYPERLINK("https://eosportal.federatedhermes.com/companies/Q29tcGFueQppNDk4MzA=", "Novo Nordisk A/S")</f>
      </c>
      <c r="D379" s="0" t="s">
        <v>25</v>
      </c>
      <c r="E379" s="0" t="s">
        <v>271</v>
      </c>
      <c r="F379" s="16">
        <f>HYPERLINK("https://eosportal.federatedhermes.com/engagements/RW5nYWdlbWVudAppMjAyMTU=", "Remuneration practices")</f>
      </c>
      <c r="G379" s="14" t="s">
        <v>271</v>
      </c>
      <c r="H379" s="0" t="s">
        <v>141</v>
      </c>
      <c r="I379" s="14" t="s">
        <v>131</v>
      </c>
      <c r="J379" s="0" t="s">
        <v>145</v>
      </c>
      <c r="K379" s="0" t="s">
        <v>146</v>
      </c>
      <c r="L379" s="0" t="s">
        <v>147</v>
      </c>
      <c r="M379" s="0" t="s">
        <v>378</v>
      </c>
      <c r="N379" s="0" t="s">
        <v>1339</v>
      </c>
      <c r="O379" s="0" t="s">
        <v>274</v>
      </c>
      <c r="Q379" s="0" t="s">
        <v>130</v>
      </c>
      <c r="R379" s="0" t="s">
        <v>138</v>
      </c>
      <c r="S379" s="14">
        <v>0</v>
      </c>
      <c r="T379" s="0" t="s">
        <v>394</v>
      </c>
      <c r="U379" s="0" t="s">
        <v>138</v>
      </c>
      <c r="V379" s="14" t="s">
        <v>138</v>
      </c>
      <c r="W379" s="0" t="s">
        <v>138</v>
      </c>
      <c r="X379" s="14" t="s">
        <v>138</v>
      </c>
      <c r="Y379" s="0" t="s">
        <v>138</v>
      </c>
      <c r="Z379" s="14" t="s">
        <v>138</v>
      </c>
      <c r="AA379" s="0" t="s">
        <v>138</v>
      </c>
      <c r="AB379" s="14" t="s">
        <v>138</v>
      </c>
      <c r="AD379" s="0" t="s">
        <v>138</v>
      </c>
      <c r="AF379" s="0">
        <v>0</v>
      </c>
      <c r="AG379" s="0">
        <v>0</v>
      </c>
      <c r="AH379" s="0" t="s">
        <v>140</v>
      </c>
      <c r="AI379" s="0" t="s">
        <v>138</v>
      </c>
      <c r="AL379" s="14"/>
      <c r="AN379" s="14"/>
      <c r="AQ379" s="0" t="s">
        <v>130</v>
      </c>
      <c r="AR379" s="0" t="s">
        <v>130</v>
      </c>
      <c r="AS379" s="0" t="s">
        <v>130</v>
      </c>
      <c r="AT379" s="0" t="s">
        <v>130</v>
      </c>
      <c r="AU379" s="0" t="s">
        <v>130</v>
      </c>
      <c r="AV379" s="0" t="s">
        <v>130</v>
      </c>
      <c r="AW379" s="0" t="s">
        <v>130</v>
      </c>
      <c r="AX379" s="0" t="s">
        <v>130</v>
      </c>
      <c r="AY379" s="0" t="s">
        <v>130</v>
      </c>
      <c r="AZ379" s="0" t="s">
        <v>130</v>
      </c>
      <c r="BA379" s="0" t="s">
        <v>130</v>
      </c>
      <c r="BB379" s="0" t="s">
        <v>130</v>
      </c>
      <c r="BC379" s="0" t="s">
        <v>130</v>
      </c>
      <c r="BD379" s="0" t="s">
        <v>130</v>
      </c>
      <c r="BE379" s="0" t="s">
        <v>130</v>
      </c>
      <c r="BF379" s="0" t="s">
        <v>130</v>
      </c>
      <c r="BG379" s="0" t="s">
        <v>130</v>
      </c>
      <c r="BH379" s="0" t="s">
        <v>130</v>
      </c>
      <c r="BI379" s="0" t="s">
        <v>130</v>
      </c>
      <c r="BJ379" s="0" t="s">
        <v>130</v>
      </c>
      <c r="BK379" s="0" t="s">
        <v>130</v>
      </c>
      <c r="BL379" s="0" t="s">
        <v>130</v>
      </c>
      <c r="BM379" s="0" t="s">
        <v>130</v>
      </c>
      <c r="BN379" s="0" t="s">
        <v>130</v>
      </c>
      <c r="BO379" s="0" t="s">
        <v>130</v>
      </c>
      <c r="BP379" s="0" t="s">
        <v>130</v>
      </c>
      <c r="BQ379" s="0" t="s">
        <v>130</v>
      </c>
      <c r="BR379" s="0" t="s">
        <v>130</v>
      </c>
      <c r="BS379" s="0" t="s">
        <v>130</v>
      </c>
      <c r="BT379" s="0" t="s">
        <v>130</v>
      </c>
      <c r="BU379" s="0" t="s">
        <v>130</v>
      </c>
      <c r="BV379" s="0" t="s">
        <v>130</v>
      </c>
      <c r="BW379" s="0" t="s">
        <v>130</v>
      </c>
      <c r="BX379" s="0" t="s">
        <v>130</v>
      </c>
      <c r="BY379" s="0" t="s">
        <v>130</v>
      </c>
      <c r="BZ379" s="0" t="s">
        <v>130</v>
      </c>
      <c r="CA379" s="0" t="s">
        <v>130</v>
      </c>
      <c r="CB379" s="0" t="s">
        <v>130</v>
      </c>
      <c r="CC379" s="0" t="s">
        <v>130</v>
      </c>
      <c r="CD379" s="0" t="s">
        <v>130</v>
      </c>
      <c r="CE379" s="0" t="s">
        <v>130</v>
      </c>
      <c r="CF379" s="0" t="s">
        <v>130</v>
      </c>
      <c r="CG379" s="0" t="s">
        <v>130</v>
      </c>
      <c r="CH379" s="0" t="s">
        <v>130</v>
      </c>
      <c r="CI379" s="0" t="s">
        <v>130</v>
      </c>
      <c r="CJ379" s="0" t="s">
        <v>130</v>
      </c>
      <c r="CK379" s="0" t="s">
        <v>130</v>
      </c>
      <c r="CL379" s="0" t="s">
        <v>130</v>
      </c>
      <c r="CM379" s="0" t="s">
        <v>130</v>
      </c>
      <c r="CN379" s="0" t="s">
        <v>130</v>
      </c>
      <c r="CO379" s="0" t="s">
        <v>130</v>
      </c>
      <c r="CP379" s="0" t="s">
        <v>130</v>
      </c>
      <c r="CQ379" s="0" t="s">
        <v>130</v>
      </c>
      <c r="CR379" s="0" t="s">
        <v>130</v>
      </c>
      <c r="CS379" s="0" t="s">
        <v>130</v>
      </c>
      <c r="CT379" s="0" t="s">
        <v>1354</v>
      </c>
    </row>
    <row r="380">
      <c r="A380" s="14">
        <v>101095</v>
      </c>
      <c r="B380" s="0" t="s">
        <v>1337</v>
      </c>
      <c r="C380" s="16">
        <f>HYPERLINK("https://eosportal.federatedhermes.com/companies/Q29tcGFueQppNDk4MzA=", "Novo Nordisk A/S")</f>
      </c>
      <c r="D380" s="0" t="s">
        <v>25</v>
      </c>
      <c r="E380" s="0" t="s">
        <v>1355</v>
      </c>
      <c r="F380" s="16">
        <f>HYPERLINK("https://eosportal.federatedhermes.com/engagements/RW5nYWdlbWVudAppMjAyMTY=", "Pandemic response")</f>
      </c>
      <c r="G380" s="14" t="s">
        <v>1356</v>
      </c>
      <c r="H380" s="0" t="s">
        <v>141</v>
      </c>
      <c r="I380" s="14" t="s">
        <v>131</v>
      </c>
      <c r="J380" s="0" t="s">
        <v>132</v>
      </c>
      <c r="K380" s="0" t="s">
        <v>260</v>
      </c>
      <c r="L380" s="0" t="s">
        <v>261</v>
      </c>
      <c r="M380" s="0" t="s">
        <v>378</v>
      </c>
      <c r="N380" s="0" t="s">
        <v>1339</v>
      </c>
      <c r="O380" s="0" t="s">
        <v>274</v>
      </c>
      <c r="Q380" s="0" t="s">
        <v>130</v>
      </c>
      <c r="R380" s="0" t="s">
        <v>138</v>
      </c>
      <c r="S380" s="14">
        <v>0</v>
      </c>
      <c r="T380" s="0" t="s">
        <v>206</v>
      </c>
      <c r="U380" s="0" t="s">
        <v>138</v>
      </c>
      <c r="V380" s="14" t="s">
        <v>138</v>
      </c>
      <c r="W380" s="0" t="s">
        <v>138</v>
      </c>
      <c r="X380" s="14" t="s">
        <v>138</v>
      </c>
      <c r="Y380" s="0" t="s">
        <v>138</v>
      </c>
      <c r="Z380" s="14" t="s">
        <v>138</v>
      </c>
      <c r="AA380" s="0" t="s">
        <v>138</v>
      </c>
      <c r="AB380" s="14" t="s">
        <v>138</v>
      </c>
      <c r="AD380" s="0" t="s">
        <v>138</v>
      </c>
      <c r="AF380" s="0">
        <v>0</v>
      </c>
      <c r="AG380" s="0">
        <v>0</v>
      </c>
      <c r="AH380" s="0" t="s">
        <v>140</v>
      </c>
      <c r="AI380" s="0" t="s">
        <v>138</v>
      </c>
      <c r="AL380" s="14"/>
      <c r="AN380" s="14"/>
      <c r="AQ380" s="0" t="s">
        <v>130</v>
      </c>
      <c r="AR380" s="0" t="s">
        <v>130</v>
      </c>
      <c r="AS380" s="0" t="s">
        <v>141</v>
      </c>
      <c r="AT380" s="0" t="s">
        <v>130</v>
      </c>
      <c r="AU380" s="0" t="s">
        <v>130</v>
      </c>
      <c r="AV380" s="0" t="s">
        <v>130</v>
      </c>
      <c r="AW380" s="0" t="s">
        <v>130</v>
      </c>
      <c r="AX380" s="0" t="s">
        <v>141</v>
      </c>
      <c r="AY380" s="0" t="s">
        <v>130</v>
      </c>
      <c r="AZ380" s="0" t="s">
        <v>130</v>
      </c>
      <c r="BA380" s="0" t="s">
        <v>130</v>
      </c>
      <c r="BB380" s="0" t="s">
        <v>130</v>
      </c>
      <c r="BC380" s="0" t="s">
        <v>130</v>
      </c>
      <c r="BD380" s="0" t="s">
        <v>130</v>
      </c>
      <c r="BE380" s="0" t="s">
        <v>130</v>
      </c>
      <c r="BF380" s="0" t="s">
        <v>130</v>
      </c>
      <c r="BG380" s="0" t="s">
        <v>130</v>
      </c>
      <c r="BH380" s="0" t="s">
        <v>130</v>
      </c>
      <c r="BI380" s="0" t="s">
        <v>130</v>
      </c>
      <c r="BJ380" s="0" t="s">
        <v>130</v>
      </c>
      <c r="BK380" s="0" t="s">
        <v>130</v>
      </c>
      <c r="BL380" s="0" t="s">
        <v>130</v>
      </c>
      <c r="BM380" s="0" t="s">
        <v>130</v>
      </c>
      <c r="BN380" s="0" t="s">
        <v>130</v>
      </c>
      <c r="BO380" s="0" t="s">
        <v>130</v>
      </c>
      <c r="BP380" s="0" t="s">
        <v>130</v>
      </c>
      <c r="BQ380" s="0" t="s">
        <v>130</v>
      </c>
      <c r="BR380" s="0" t="s">
        <v>130</v>
      </c>
      <c r="BS380" s="0" t="s">
        <v>130</v>
      </c>
      <c r="BT380" s="0" t="s">
        <v>130</v>
      </c>
      <c r="BU380" s="0" t="s">
        <v>130</v>
      </c>
      <c r="BV380" s="0" t="s">
        <v>130</v>
      </c>
      <c r="BW380" s="0" t="s">
        <v>130</v>
      </c>
      <c r="BX380" s="0" t="s">
        <v>130</v>
      </c>
      <c r="BY380" s="0" t="s">
        <v>130</v>
      </c>
      <c r="BZ380" s="0" t="s">
        <v>130</v>
      </c>
      <c r="CA380" s="0" t="s">
        <v>130</v>
      </c>
      <c r="CB380" s="0" t="s">
        <v>130</v>
      </c>
      <c r="CC380" s="0" t="s">
        <v>130</v>
      </c>
      <c r="CD380" s="0" t="s">
        <v>130</v>
      </c>
      <c r="CE380" s="0" t="s">
        <v>130</v>
      </c>
      <c r="CF380" s="0" t="s">
        <v>130</v>
      </c>
      <c r="CG380" s="0" t="s">
        <v>130</v>
      </c>
      <c r="CH380" s="0" t="s">
        <v>130</v>
      </c>
      <c r="CI380" s="0" t="s">
        <v>130</v>
      </c>
      <c r="CJ380" s="0" t="s">
        <v>130</v>
      </c>
      <c r="CK380" s="0" t="s">
        <v>130</v>
      </c>
      <c r="CL380" s="0" t="s">
        <v>130</v>
      </c>
      <c r="CM380" s="0" t="s">
        <v>130</v>
      </c>
      <c r="CN380" s="0" t="s">
        <v>130</v>
      </c>
      <c r="CO380" s="0" t="s">
        <v>130</v>
      </c>
      <c r="CP380" s="0" t="s">
        <v>130</v>
      </c>
      <c r="CQ380" s="0" t="s">
        <v>130</v>
      </c>
      <c r="CR380" s="0" t="s">
        <v>130</v>
      </c>
      <c r="CS380" s="0" t="s">
        <v>130</v>
      </c>
      <c r="CT380" s="0" t="s">
        <v>1357</v>
      </c>
    </row>
    <row r="381">
      <c r="A381" s="14">
        <v>101095</v>
      </c>
      <c r="B381" s="0" t="s">
        <v>1337</v>
      </c>
      <c r="C381" s="16">
        <f>HYPERLINK("https://eosportal.federatedhermes.com/companies/Q29tcGFueQppNDk4MzA=", "Novo Nordisk A/S")</f>
      </c>
      <c r="D381" s="0" t="s">
        <v>25</v>
      </c>
      <c r="E381" s="0" t="s">
        <v>1358</v>
      </c>
      <c r="F381" s="16">
        <f>HYPERLINK("https://eosportal.federatedhermes.com/engagements/RW5nYWdlbWVudAppMjAyMTc=", "Strategic Integration of Sustainability issues")</f>
      </c>
      <c r="G381" s="14" t="s">
        <v>1359</v>
      </c>
      <c r="H381" s="0" t="s">
        <v>141</v>
      </c>
      <c r="I381" s="14" t="s">
        <v>131</v>
      </c>
      <c r="J381" s="0" t="s">
        <v>132</v>
      </c>
      <c r="K381" s="0" t="s">
        <v>133</v>
      </c>
      <c r="L381" s="0" t="s">
        <v>160</v>
      </c>
      <c r="M381" s="0" t="s">
        <v>378</v>
      </c>
      <c r="N381" s="0" t="s">
        <v>1339</v>
      </c>
      <c r="O381" s="0" t="s">
        <v>274</v>
      </c>
      <c r="Q381" s="0" t="s">
        <v>130</v>
      </c>
      <c r="R381" s="0" t="s">
        <v>138</v>
      </c>
      <c r="S381" s="14">
        <v>0</v>
      </c>
      <c r="T381" s="0" t="s">
        <v>1360</v>
      </c>
      <c r="U381" s="0" t="s">
        <v>138</v>
      </c>
      <c r="V381" s="14" t="s">
        <v>138</v>
      </c>
      <c r="W381" s="0" t="s">
        <v>138</v>
      </c>
      <c r="X381" s="14" t="s">
        <v>138</v>
      </c>
      <c r="Y381" s="0" t="s">
        <v>138</v>
      </c>
      <c r="Z381" s="14" t="s">
        <v>138</v>
      </c>
      <c r="AA381" s="0" t="s">
        <v>138</v>
      </c>
      <c r="AB381" s="14" t="s">
        <v>138</v>
      </c>
      <c r="AD381" s="0" t="s">
        <v>138</v>
      </c>
      <c r="AF381" s="0">
        <v>0</v>
      </c>
      <c r="AG381" s="0">
        <v>0</v>
      </c>
      <c r="AH381" s="0" t="s">
        <v>140</v>
      </c>
      <c r="AI381" s="0" t="s">
        <v>138</v>
      </c>
      <c r="AL381" s="14"/>
      <c r="AN381" s="14"/>
      <c r="AQ381" s="0" t="s">
        <v>130</v>
      </c>
      <c r="AR381" s="0" t="s">
        <v>130</v>
      </c>
      <c r="AS381" s="0" t="s">
        <v>130</v>
      </c>
      <c r="AT381" s="0" t="s">
        <v>130</v>
      </c>
      <c r="AU381" s="0" t="s">
        <v>130</v>
      </c>
      <c r="AV381" s="0" t="s">
        <v>130</v>
      </c>
      <c r="AW381" s="0" t="s">
        <v>130</v>
      </c>
      <c r="AX381" s="0" t="s">
        <v>130</v>
      </c>
      <c r="AY381" s="0" t="s">
        <v>130</v>
      </c>
      <c r="AZ381" s="0" t="s">
        <v>130</v>
      </c>
      <c r="BA381" s="0" t="s">
        <v>130</v>
      </c>
      <c r="BB381" s="0" t="s">
        <v>130</v>
      </c>
      <c r="BC381" s="0" t="s">
        <v>130</v>
      </c>
      <c r="BD381" s="0" t="s">
        <v>130</v>
      </c>
      <c r="BE381" s="0" t="s">
        <v>130</v>
      </c>
      <c r="BF381" s="0" t="s">
        <v>130</v>
      </c>
      <c r="BG381" s="0" t="s">
        <v>130</v>
      </c>
      <c r="BH381" s="0" t="s">
        <v>130</v>
      </c>
      <c r="BI381" s="0" t="s">
        <v>130</v>
      </c>
      <c r="BJ381" s="0" t="s">
        <v>130</v>
      </c>
      <c r="BK381" s="0" t="s">
        <v>130</v>
      </c>
      <c r="BL381" s="0" t="s">
        <v>130</v>
      </c>
      <c r="BM381" s="0" t="s">
        <v>130</v>
      </c>
      <c r="BN381" s="0" t="s">
        <v>130</v>
      </c>
      <c r="BO381" s="0" t="s">
        <v>130</v>
      </c>
      <c r="BP381" s="0" t="s">
        <v>130</v>
      </c>
      <c r="BQ381" s="0" t="s">
        <v>130</v>
      </c>
      <c r="BR381" s="0" t="s">
        <v>130</v>
      </c>
      <c r="BS381" s="0" t="s">
        <v>130</v>
      </c>
      <c r="BT381" s="0" t="s">
        <v>130</v>
      </c>
      <c r="BU381" s="0" t="s">
        <v>130</v>
      </c>
      <c r="BV381" s="0" t="s">
        <v>130</v>
      </c>
      <c r="BW381" s="0" t="s">
        <v>130</v>
      </c>
      <c r="BX381" s="0" t="s">
        <v>130</v>
      </c>
      <c r="BY381" s="0" t="s">
        <v>130</v>
      </c>
      <c r="BZ381" s="0" t="s">
        <v>130</v>
      </c>
      <c r="CA381" s="0" t="s">
        <v>130</v>
      </c>
      <c r="CB381" s="0" t="s">
        <v>130</v>
      </c>
      <c r="CC381" s="0" t="s">
        <v>130</v>
      </c>
      <c r="CD381" s="0" t="s">
        <v>130</v>
      </c>
      <c r="CE381" s="0" t="s">
        <v>130</v>
      </c>
      <c r="CF381" s="0" t="s">
        <v>130</v>
      </c>
      <c r="CG381" s="0" t="s">
        <v>130</v>
      </c>
      <c r="CH381" s="0" t="s">
        <v>130</v>
      </c>
      <c r="CI381" s="0" t="s">
        <v>130</v>
      </c>
      <c r="CJ381" s="0" t="s">
        <v>130</v>
      </c>
      <c r="CK381" s="0" t="s">
        <v>130</v>
      </c>
      <c r="CL381" s="0" t="s">
        <v>130</v>
      </c>
      <c r="CM381" s="0" t="s">
        <v>130</v>
      </c>
      <c r="CN381" s="0" t="s">
        <v>130</v>
      </c>
      <c r="CO381" s="0" t="s">
        <v>130</v>
      </c>
      <c r="CP381" s="0" t="s">
        <v>130</v>
      </c>
      <c r="CQ381" s="0" t="s">
        <v>130</v>
      </c>
      <c r="CR381" s="0" t="s">
        <v>130</v>
      </c>
      <c r="CS381" s="0" t="s">
        <v>130</v>
      </c>
      <c r="CT381" s="0" t="s">
        <v>1361</v>
      </c>
    </row>
    <row r="382">
      <c r="A382" s="14">
        <v>101095</v>
      </c>
      <c r="B382" s="0" t="s">
        <v>1337</v>
      </c>
      <c r="C382" s="16">
        <f>HYPERLINK("https://eosportal.federatedhermes.com/companies/Q29tcGFueQppNDk4MzA=", "Novo Nordisk A/S")</f>
      </c>
      <c r="D382" s="0" t="s">
        <v>25</v>
      </c>
      <c r="E382" s="0" t="s">
        <v>1362</v>
      </c>
      <c r="F382" s="16">
        <f>HYPERLINK("https://eosportal.federatedhermes.com/engagements/RW5nYWdlbWVudAppMjAyMTg=", "Virtual-only meeting")</f>
      </c>
      <c r="G382" s="14" t="s">
        <v>1363</v>
      </c>
      <c r="H382" s="0" t="s">
        <v>141</v>
      </c>
      <c r="I382" s="14" t="s">
        <v>131</v>
      </c>
      <c r="J382" s="0" t="s">
        <v>145</v>
      </c>
      <c r="K382" s="0" t="s">
        <v>400</v>
      </c>
      <c r="L382" s="0" t="s">
        <v>507</v>
      </c>
      <c r="M382" s="0" t="s">
        <v>378</v>
      </c>
      <c r="N382" s="0" t="s">
        <v>1339</v>
      </c>
      <c r="O382" s="0" t="s">
        <v>274</v>
      </c>
      <c r="Q382" s="0" t="s">
        <v>130</v>
      </c>
      <c r="R382" s="0" t="s">
        <v>138</v>
      </c>
      <c r="S382" s="14">
        <v>0</v>
      </c>
      <c r="T382" s="0" t="s">
        <v>206</v>
      </c>
      <c r="U382" s="0" t="s">
        <v>138</v>
      </c>
      <c r="V382" s="14" t="s">
        <v>138</v>
      </c>
      <c r="W382" s="0" t="s">
        <v>138</v>
      </c>
      <c r="X382" s="14" t="s">
        <v>138</v>
      </c>
      <c r="Y382" s="0" t="s">
        <v>138</v>
      </c>
      <c r="Z382" s="14" t="s">
        <v>138</v>
      </c>
      <c r="AA382" s="0" t="s">
        <v>138</v>
      </c>
      <c r="AB382" s="14" t="s">
        <v>138</v>
      </c>
      <c r="AD382" s="0" t="s">
        <v>138</v>
      </c>
      <c r="AF382" s="0">
        <v>0</v>
      </c>
      <c r="AG382" s="0">
        <v>0</v>
      </c>
      <c r="AH382" s="0" t="s">
        <v>140</v>
      </c>
      <c r="AI382" s="0" t="s">
        <v>138</v>
      </c>
      <c r="AL382" s="14"/>
      <c r="AN382" s="14"/>
      <c r="AQ382" s="0" t="s">
        <v>130</v>
      </c>
      <c r="AR382" s="0" t="s">
        <v>130</v>
      </c>
      <c r="AS382" s="0" t="s">
        <v>130</v>
      </c>
      <c r="AT382" s="0" t="s">
        <v>130</v>
      </c>
      <c r="AU382" s="0" t="s">
        <v>130</v>
      </c>
      <c r="AV382" s="0" t="s">
        <v>130</v>
      </c>
      <c r="AW382" s="0" t="s">
        <v>130</v>
      </c>
      <c r="AX382" s="0" t="s">
        <v>130</v>
      </c>
      <c r="AY382" s="0" t="s">
        <v>130</v>
      </c>
      <c r="AZ382" s="0" t="s">
        <v>130</v>
      </c>
      <c r="BA382" s="0" t="s">
        <v>130</v>
      </c>
      <c r="BB382" s="0" t="s">
        <v>130</v>
      </c>
      <c r="BC382" s="0" t="s">
        <v>130</v>
      </c>
      <c r="BD382" s="0" t="s">
        <v>130</v>
      </c>
      <c r="BE382" s="0" t="s">
        <v>130</v>
      </c>
      <c r="BF382" s="0" t="s">
        <v>141</v>
      </c>
      <c r="BG382" s="0" t="s">
        <v>130</v>
      </c>
      <c r="BH382" s="0" t="s">
        <v>130</v>
      </c>
      <c r="BI382" s="0" t="s">
        <v>130</v>
      </c>
      <c r="BJ382" s="0" t="s">
        <v>130</v>
      </c>
      <c r="BK382" s="0" t="s">
        <v>130</v>
      </c>
      <c r="BL382" s="0" t="s">
        <v>130</v>
      </c>
      <c r="BM382" s="0" t="s">
        <v>130</v>
      </c>
      <c r="BN382" s="0" t="s">
        <v>130</v>
      </c>
      <c r="BO382" s="0" t="s">
        <v>130</v>
      </c>
      <c r="BP382" s="0" t="s">
        <v>130</v>
      </c>
      <c r="BQ382" s="0" t="s">
        <v>130</v>
      </c>
      <c r="BR382" s="0" t="s">
        <v>130</v>
      </c>
      <c r="BS382" s="0" t="s">
        <v>130</v>
      </c>
      <c r="BT382" s="0" t="s">
        <v>130</v>
      </c>
      <c r="BU382" s="0" t="s">
        <v>130</v>
      </c>
      <c r="BV382" s="0" t="s">
        <v>130</v>
      </c>
      <c r="BW382" s="0" t="s">
        <v>130</v>
      </c>
      <c r="BX382" s="0" t="s">
        <v>130</v>
      </c>
      <c r="BY382" s="0" t="s">
        <v>130</v>
      </c>
      <c r="BZ382" s="0" t="s">
        <v>130</v>
      </c>
      <c r="CA382" s="0" t="s">
        <v>130</v>
      </c>
      <c r="CB382" s="0" t="s">
        <v>130</v>
      </c>
      <c r="CC382" s="0" t="s">
        <v>130</v>
      </c>
      <c r="CD382" s="0" t="s">
        <v>130</v>
      </c>
      <c r="CE382" s="0" t="s">
        <v>130</v>
      </c>
      <c r="CF382" s="0" t="s">
        <v>130</v>
      </c>
      <c r="CG382" s="0" t="s">
        <v>130</v>
      </c>
      <c r="CH382" s="0" t="s">
        <v>130</v>
      </c>
      <c r="CI382" s="0" t="s">
        <v>130</v>
      </c>
      <c r="CJ382" s="0" t="s">
        <v>130</v>
      </c>
      <c r="CK382" s="0" t="s">
        <v>130</v>
      </c>
      <c r="CL382" s="0" t="s">
        <v>130</v>
      </c>
      <c r="CM382" s="0" t="s">
        <v>130</v>
      </c>
      <c r="CN382" s="0" t="s">
        <v>130</v>
      </c>
      <c r="CO382" s="0" t="s">
        <v>130</v>
      </c>
      <c r="CP382" s="0" t="s">
        <v>130</v>
      </c>
      <c r="CQ382" s="0" t="s">
        <v>130</v>
      </c>
      <c r="CR382" s="0" t="s">
        <v>130</v>
      </c>
      <c r="CS382" s="0" t="s">
        <v>130</v>
      </c>
      <c r="CT382" s="0" t="s">
        <v>1364</v>
      </c>
    </row>
    <row r="383">
      <c r="A383" s="14">
        <v>101174</v>
      </c>
      <c r="B383" s="0" t="s">
        <v>1365</v>
      </c>
      <c r="C383" s="16">
        <f>HYPERLINK("https://eosportal.federatedhermes.com/companies/Q29tcGFueQppNTg5ODc=", "ConocoPhillips")</f>
      </c>
      <c r="D383" s="0" t="s">
        <v>25</v>
      </c>
      <c r="E383" s="0" t="s">
        <v>876</v>
      </c>
      <c r="F383" s="16">
        <f>HYPERLINK("https://eosportal.federatedhermes.com/engagements/RW5nYWdlbWVudAppMjAyMjg=", "Remuneration practice and policy")</f>
      </c>
      <c r="G383" s="14" t="s">
        <v>1366</v>
      </c>
      <c r="H383" s="0" t="s">
        <v>141</v>
      </c>
      <c r="I383" s="14" t="s">
        <v>191</v>
      </c>
      <c r="J383" s="0" t="s">
        <v>145</v>
      </c>
      <c r="K383" s="0" t="s">
        <v>146</v>
      </c>
      <c r="L383" s="0" t="s">
        <v>147</v>
      </c>
      <c r="M383" s="0" t="s">
        <v>135</v>
      </c>
      <c r="N383" s="0" t="s">
        <v>136</v>
      </c>
      <c r="O383" s="0" t="s">
        <v>542</v>
      </c>
      <c r="Q383" s="0" t="s">
        <v>130</v>
      </c>
      <c r="R383" s="0" t="s">
        <v>138</v>
      </c>
      <c r="S383" s="14">
        <v>0</v>
      </c>
      <c r="T383" s="0" t="s">
        <v>239</v>
      </c>
      <c r="U383" s="0" t="s">
        <v>138</v>
      </c>
      <c r="V383" s="14" t="s">
        <v>138</v>
      </c>
      <c r="W383" s="0" t="s">
        <v>138</v>
      </c>
      <c r="X383" s="14" t="s">
        <v>138</v>
      </c>
      <c r="Y383" s="0" t="s">
        <v>138</v>
      </c>
      <c r="Z383" s="14" t="s">
        <v>138</v>
      </c>
      <c r="AA383" s="0" t="s">
        <v>138</v>
      </c>
      <c r="AB383" s="14" t="s">
        <v>138</v>
      </c>
      <c r="AD383" s="0" t="s">
        <v>138</v>
      </c>
      <c r="AF383" s="0">
        <v>0</v>
      </c>
      <c r="AG383" s="0">
        <v>0</v>
      </c>
      <c r="AH383" s="0" t="s">
        <v>140</v>
      </c>
      <c r="AI383" s="0" t="s">
        <v>138</v>
      </c>
      <c r="AL383" s="14"/>
      <c r="AN383" s="14"/>
      <c r="AQ383" s="0" t="s">
        <v>130</v>
      </c>
      <c r="AR383" s="0" t="s">
        <v>130</v>
      </c>
      <c r="AS383" s="0" t="s">
        <v>130</v>
      </c>
      <c r="AT383" s="0" t="s">
        <v>130</v>
      </c>
      <c r="AU383" s="0" t="s">
        <v>130</v>
      </c>
      <c r="AV383" s="0" t="s">
        <v>130</v>
      </c>
      <c r="AW383" s="0" t="s">
        <v>130</v>
      </c>
      <c r="AX383" s="0" t="s">
        <v>130</v>
      </c>
      <c r="AY383" s="0" t="s">
        <v>130</v>
      </c>
      <c r="AZ383" s="0" t="s">
        <v>130</v>
      </c>
      <c r="BA383" s="0" t="s">
        <v>130</v>
      </c>
      <c r="BB383" s="0" t="s">
        <v>130</v>
      </c>
      <c r="BC383" s="0" t="s">
        <v>130</v>
      </c>
      <c r="BD383" s="0" t="s">
        <v>130</v>
      </c>
      <c r="BE383" s="0" t="s">
        <v>130</v>
      </c>
      <c r="BF383" s="0" t="s">
        <v>130</v>
      </c>
      <c r="BG383" s="0" t="s">
        <v>130</v>
      </c>
      <c r="BH383" s="0" t="s">
        <v>130</v>
      </c>
      <c r="BI383" s="0" t="s">
        <v>130</v>
      </c>
      <c r="BJ383" s="0" t="s">
        <v>130</v>
      </c>
      <c r="BK383" s="0" t="s">
        <v>130</v>
      </c>
      <c r="BL383" s="0" t="s">
        <v>130</v>
      </c>
      <c r="BM383" s="0" t="s">
        <v>130</v>
      </c>
      <c r="BN383" s="0" t="s">
        <v>130</v>
      </c>
      <c r="BO383" s="0" t="s">
        <v>130</v>
      </c>
      <c r="BP383" s="0" t="s">
        <v>130</v>
      </c>
      <c r="BQ383" s="0" t="s">
        <v>130</v>
      </c>
      <c r="BR383" s="0" t="s">
        <v>130</v>
      </c>
      <c r="BS383" s="0" t="s">
        <v>130</v>
      </c>
      <c r="BT383" s="0" t="s">
        <v>130</v>
      </c>
      <c r="BU383" s="0" t="s">
        <v>130</v>
      </c>
      <c r="BV383" s="0" t="s">
        <v>130</v>
      </c>
      <c r="BW383" s="0" t="s">
        <v>130</v>
      </c>
      <c r="BX383" s="0" t="s">
        <v>130</v>
      </c>
      <c r="BY383" s="0" t="s">
        <v>130</v>
      </c>
      <c r="BZ383" s="0" t="s">
        <v>130</v>
      </c>
      <c r="CA383" s="0" t="s">
        <v>130</v>
      </c>
      <c r="CB383" s="0" t="s">
        <v>130</v>
      </c>
      <c r="CC383" s="0" t="s">
        <v>130</v>
      </c>
      <c r="CD383" s="0" t="s">
        <v>130</v>
      </c>
      <c r="CE383" s="0" t="s">
        <v>130</v>
      </c>
      <c r="CF383" s="0" t="s">
        <v>130</v>
      </c>
      <c r="CG383" s="0" t="s">
        <v>130</v>
      </c>
      <c r="CH383" s="0" t="s">
        <v>130</v>
      </c>
      <c r="CI383" s="0" t="s">
        <v>130</v>
      </c>
      <c r="CJ383" s="0" t="s">
        <v>130</v>
      </c>
      <c r="CK383" s="0" t="s">
        <v>130</v>
      </c>
      <c r="CL383" s="0" t="s">
        <v>130</v>
      </c>
      <c r="CM383" s="0" t="s">
        <v>130</v>
      </c>
      <c r="CN383" s="0" t="s">
        <v>130</v>
      </c>
      <c r="CO383" s="0" t="s">
        <v>130</v>
      </c>
      <c r="CP383" s="0" t="s">
        <v>130</v>
      </c>
      <c r="CQ383" s="0" t="s">
        <v>130</v>
      </c>
      <c r="CR383" s="0" t="s">
        <v>130</v>
      </c>
      <c r="CS383" s="0" t="s">
        <v>130</v>
      </c>
      <c r="CT383" s="0" t="s">
        <v>1367</v>
      </c>
    </row>
    <row r="384">
      <c r="A384" s="14">
        <v>101174</v>
      </c>
      <c r="B384" s="0" t="s">
        <v>1365</v>
      </c>
      <c r="C384" s="16">
        <f>HYPERLINK("https://eosportal.federatedhermes.com/companies/Q29tcGFueQppNTg5ODc=", "ConocoPhillips")</f>
      </c>
      <c r="D384" s="0" t="s">
        <v>25</v>
      </c>
      <c r="E384" s="0" t="s">
        <v>1368</v>
      </c>
      <c r="F384" s="16">
        <f>HYPERLINK("https://eosportal.federatedhermes.com/engagements/RW5nYWdlbWVudAppMjAyMjk=", "Setting carbon reduction target")</f>
      </c>
      <c r="G384" s="14" t="s">
        <v>1369</v>
      </c>
      <c r="H384" s="0" t="s">
        <v>141</v>
      </c>
      <c r="I384" s="14" t="s">
        <v>191</v>
      </c>
      <c r="J384" s="0" t="s">
        <v>197</v>
      </c>
      <c r="K384" s="0" t="s">
        <v>198</v>
      </c>
      <c r="L384" s="0" t="s">
        <v>216</v>
      </c>
      <c r="M384" s="0" t="s">
        <v>135</v>
      </c>
      <c r="N384" s="0" t="s">
        <v>136</v>
      </c>
      <c r="O384" s="0" t="s">
        <v>542</v>
      </c>
      <c r="Q384" s="0" t="s">
        <v>130</v>
      </c>
      <c r="R384" s="0" t="s">
        <v>138</v>
      </c>
      <c r="S384" s="14">
        <v>0</v>
      </c>
      <c r="T384" s="0" t="s">
        <v>483</v>
      </c>
      <c r="U384" s="0" t="s">
        <v>138</v>
      </c>
      <c r="V384" s="14" t="s">
        <v>138</v>
      </c>
      <c r="W384" s="0" t="s">
        <v>138</v>
      </c>
      <c r="X384" s="14" t="s">
        <v>138</v>
      </c>
      <c r="Y384" s="0" t="s">
        <v>138</v>
      </c>
      <c r="Z384" s="14" t="s">
        <v>138</v>
      </c>
      <c r="AA384" s="0" t="s">
        <v>138</v>
      </c>
      <c r="AB384" s="14" t="s">
        <v>138</v>
      </c>
      <c r="AD384" s="0" t="s">
        <v>138</v>
      </c>
      <c r="AF384" s="0">
        <v>0</v>
      </c>
      <c r="AG384" s="0">
        <v>0</v>
      </c>
      <c r="AH384" s="0" t="s">
        <v>140</v>
      </c>
      <c r="AI384" s="0" t="s">
        <v>138</v>
      </c>
      <c r="AL384" s="14"/>
      <c r="AN384" s="14"/>
      <c r="AQ384" s="0" t="s">
        <v>130</v>
      </c>
      <c r="AR384" s="0" t="s">
        <v>130</v>
      </c>
      <c r="AS384" s="0" t="s">
        <v>130</v>
      </c>
      <c r="AT384" s="0" t="s">
        <v>130</v>
      </c>
      <c r="AU384" s="0" t="s">
        <v>130</v>
      </c>
      <c r="AV384" s="0" t="s">
        <v>130</v>
      </c>
      <c r="AW384" s="0" t="s">
        <v>141</v>
      </c>
      <c r="AX384" s="0" t="s">
        <v>130</v>
      </c>
      <c r="AY384" s="0" t="s">
        <v>130</v>
      </c>
      <c r="AZ384" s="0" t="s">
        <v>130</v>
      </c>
      <c r="BA384" s="0" t="s">
        <v>130</v>
      </c>
      <c r="BB384" s="0" t="s">
        <v>130</v>
      </c>
      <c r="BC384" s="0" t="s">
        <v>141</v>
      </c>
      <c r="BD384" s="0" t="s">
        <v>130</v>
      </c>
      <c r="BE384" s="0" t="s">
        <v>130</v>
      </c>
      <c r="BF384" s="0" t="s">
        <v>130</v>
      </c>
      <c r="BG384" s="0" t="s">
        <v>130</v>
      </c>
      <c r="BH384" s="0" t="s">
        <v>141</v>
      </c>
      <c r="BI384" s="0" t="s">
        <v>141</v>
      </c>
      <c r="BJ384" s="0" t="s">
        <v>141</v>
      </c>
      <c r="BK384" s="0" t="s">
        <v>130</v>
      </c>
      <c r="BL384" s="0" t="s">
        <v>130</v>
      </c>
      <c r="BM384" s="0" t="s">
        <v>130</v>
      </c>
      <c r="BN384" s="0" t="s">
        <v>130</v>
      </c>
      <c r="BO384" s="0" t="s">
        <v>130</v>
      </c>
      <c r="BP384" s="0" t="s">
        <v>130</v>
      </c>
      <c r="BQ384" s="0" t="s">
        <v>130</v>
      </c>
      <c r="BR384" s="0" t="s">
        <v>130</v>
      </c>
      <c r="BS384" s="0" t="s">
        <v>130</v>
      </c>
      <c r="BT384" s="0" t="s">
        <v>130</v>
      </c>
      <c r="BU384" s="0" t="s">
        <v>130</v>
      </c>
      <c r="BV384" s="0" t="s">
        <v>141</v>
      </c>
      <c r="BW384" s="0" t="s">
        <v>141</v>
      </c>
      <c r="BX384" s="0" t="s">
        <v>130</v>
      </c>
      <c r="BY384" s="0" t="s">
        <v>130</v>
      </c>
      <c r="BZ384" s="0" t="s">
        <v>130</v>
      </c>
      <c r="CA384" s="0" t="s">
        <v>130</v>
      </c>
      <c r="CB384" s="0" t="s">
        <v>130</v>
      </c>
      <c r="CC384" s="0" t="s">
        <v>130</v>
      </c>
      <c r="CD384" s="0" t="s">
        <v>130</v>
      </c>
      <c r="CE384" s="0" t="s">
        <v>130</v>
      </c>
      <c r="CF384" s="0" t="s">
        <v>130</v>
      </c>
      <c r="CG384" s="0" t="s">
        <v>130</v>
      </c>
      <c r="CH384" s="0" t="s">
        <v>130</v>
      </c>
      <c r="CI384" s="0" t="s">
        <v>130</v>
      </c>
      <c r="CJ384" s="0" t="s">
        <v>130</v>
      </c>
      <c r="CK384" s="0" t="s">
        <v>130</v>
      </c>
      <c r="CL384" s="0" t="s">
        <v>130</v>
      </c>
      <c r="CM384" s="0" t="s">
        <v>130</v>
      </c>
      <c r="CN384" s="0" t="s">
        <v>130</v>
      </c>
      <c r="CO384" s="0" t="s">
        <v>130</v>
      </c>
      <c r="CP384" s="0" t="s">
        <v>130</v>
      </c>
      <c r="CQ384" s="0" t="s">
        <v>130</v>
      </c>
      <c r="CR384" s="0" t="s">
        <v>130</v>
      </c>
      <c r="CS384" s="0" t="s">
        <v>130</v>
      </c>
      <c r="CT384" s="0" t="s">
        <v>1370</v>
      </c>
    </row>
    <row r="385">
      <c r="A385" s="14">
        <v>101174</v>
      </c>
      <c r="B385" s="0" t="s">
        <v>1365</v>
      </c>
      <c r="C385" s="16">
        <f>HYPERLINK("https://eosportal.federatedhermes.com/companies/Q29tcGFueQppNTg5ODc=", "ConocoPhillips")</f>
      </c>
      <c r="D385" s="0" t="s">
        <v>25</v>
      </c>
      <c r="E385" s="0" t="s">
        <v>1371</v>
      </c>
      <c r="F385" s="16">
        <f>HYPERLINK("https://eosportal.federatedhermes.com/engagements/RW5nYWdlbWVudAppMjAyMzA=", "Sustainable Development Goals (SDGs)")</f>
      </c>
      <c r="G385" s="14" t="s">
        <v>1372</v>
      </c>
      <c r="H385" s="0" t="s">
        <v>141</v>
      </c>
      <c r="I385" s="14" t="s">
        <v>191</v>
      </c>
      <c r="J385" s="0" t="s">
        <v>153</v>
      </c>
      <c r="K385" s="0" t="s">
        <v>185</v>
      </c>
      <c r="L385" s="0" t="s">
        <v>186</v>
      </c>
      <c r="M385" s="0" t="s">
        <v>135</v>
      </c>
      <c r="N385" s="0" t="s">
        <v>136</v>
      </c>
      <c r="O385" s="0" t="s">
        <v>542</v>
      </c>
      <c r="Q385" s="0" t="s">
        <v>130</v>
      </c>
      <c r="R385" s="0" t="s">
        <v>138</v>
      </c>
      <c r="S385" s="14">
        <v>0</v>
      </c>
      <c r="T385" s="0" t="s">
        <v>457</v>
      </c>
      <c r="U385" s="0" t="s">
        <v>138</v>
      </c>
      <c r="V385" s="14" t="s">
        <v>138</v>
      </c>
      <c r="W385" s="0" t="s">
        <v>138</v>
      </c>
      <c r="X385" s="14" t="s">
        <v>138</v>
      </c>
      <c r="Y385" s="0" t="s">
        <v>138</v>
      </c>
      <c r="Z385" s="14" t="s">
        <v>138</v>
      </c>
      <c r="AA385" s="0" t="s">
        <v>138</v>
      </c>
      <c r="AB385" s="14" t="s">
        <v>138</v>
      </c>
      <c r="AD385" s="0" t="s">
        <v>138</v>
      </c>
      <c r="AF385" s="0">
        <v>0</v>
      </c>
      <c r="AG385" s="0">
        <v>0</v>
      </c>
      <c r="AH385" s="0" t="s">
        <v>140</v>
      </c>
      <c r="AI385" s="0" t="s">
        <v>138</v>
      </c>
      <c r="AL385" s="14"/>
      <c r="AN385" s="14"/>
      <c r="AQ385" s="0" t="s">
        <v>130</v>
      </c>
      <c r="AR385" s="0" t="s">
        <v>130</v>
      </c>
      <c r="AS385" s="0" t="s">
        <v>130</v>
      </c>
      <c r="AT385" s="0" t="s">
        <v>130</v>
      </c>
      <c r="AU385" s="0" t="s">
        <v>130</v>
      </c>
      <c r="AV385" s="0" t="s">
        <v>130</v>
      </c>
      <c r="AW385" s="0" t="s">
        <v>130</v>
      </c>
      <c r="AX385" s="0" t="s">
        <v>130</v>
      </c>
      <c r="AY385" s="0" t="s">
        <v>130</v>
      </c>
      <c r="AZ385" s="0" t="s">
        <v>130</v>
      </c>
      <c r="BA385" s="0" t="s">
        <v>130</v>
      </c>
      <c r="BB385" s="0" t="s">
        <v>130</v>
      </c>
      <c r="BC385" s="0" t="s">
        <v>130</v>
      </c>
      <c r="BD385" s="0" t="s">
        <v>130</v>
      </c>
      <c r="BE385" s="0" t="s">
        <v>130</v>
      </c>
      <c r="BF385" s="0" t="s">
        <v>130</v>
      </c>
      <c r="BG385" s="0" t="s">
        <v>130</v>
      </c>
      <c r="BH385" s="0" t="s">
        <v>130</v>
      </c>
      <c r="BI385" s="0" t="s">
        <v>130</v>
      </c>
      <c r="BJ385" s="0" t="s">
        <v>130</v>
      </c>
      <c r="BK385" s="0" t="s">
        <v>130</v>
      </c>
      <c r="BL385" s="0" t="s">
        <v>130</v>
      </c>
      <c r="BM385" s="0" t="s">
        <v>130</v>
      </c>
      <c r="BN385" s="0" t="s">
        <v>130</v>
      </c>
      <c r="BO385" s="0" t="s">
        <v>130</v>
      </c>
      <c r="BP385" s="0" t="s">
        <v>130</v>
      </c>
      <c r="BQ385" s="0" t="s">
        <v>130</v>
      </c>
      <c r="BR385" s="0" t="s">
        <v>130</v>
      </c>
      <c r="BS385" s="0" t="s">
        <v>130</v>
      </c>
      <c r="BT385" s="0" t="s">
        <v>130</v>
      </c>
      <c r="BU385" s="0" t="s">
        <v>130</v>
      </c>
      <c r="BV385" s="0" t="s">
        <v>130</v>
      </c>
      <c r="BW385" s="0" t="s">
        <v>130</v>
      </c>
      <c r="BX385" s="0" t="s">
        <v>130</v>
      </c>
      <c r="BY385" s="0" t="s">
        <v>130</v>
      </c>
      <c r="BZ385" s="0" t="s">
        <v>130</v>
      </c>
      <c r="CA385" s="0" t="s">
        <v>130</v>
      </c>
      <c r="CB385" s="0" t="s">
        <v>130</v>
      </c>
      <c r="CC385" s="0" t="s">
        <v>130</v>
      </c>
      <c r="CD385" s="0" t="s">
        <v>130</v>
      </c>
      <c r="CE385" s="0" t="s">
        <v>130</v>
      </c>
      <c r="CF385" s="0" t="s">
        <v>130</v>
      </c>
      <c r="CG385" s="0" t="s">
        <v>130</v>
      </c>
      <c r="CH385" s="0" t="s">
        <v>130</v>
      </c>
      <c r="CI385" s="0" t="s">
        <v>130</v>
      </c>
      <c r="CJ385" s="0" t="s">
        <v>130</v>
      </c>
      <c r="CK385" s="0" t="s">
        <v>130</v>
      </c>
      <c r="CL385" s="0" t="s">
        <v>130</v>
      </c>
      <c r="CM385" s="0" t="s">
        <v>130</v>
      </c>
      <c r="CN385" s="0" t="s">
        <v>130</v>
      </c>
      <c r="CO385" s="0" t="s">
        <v>130</v>
      </c>
      <c r="CP385" s="0" t="s">
        <v>130</v>
      </c>
      <c r="CQ385" s="0" t="s">
        <v>130</v>
      </c>
      <c r="CR385" s="0" t="s">
        <v>130</v>
      </c>
      <c r="CS385" s="0" t="s">
        <v>130</v>
      </c>
      <c r="CT385" s="0" t="s">
        <v>1373</v>
      </c>
    </row>
    <row r="386">
      <c r="A386" s="14">
        <v>101174</v>
      </c>
      <c r="B386" s="0" t="s">
        <v>1365</v>
      </c>
      <c r="C386" s="16">
        <f>HYPERLINK("https://eosportal.federatedhermes.com/companies/Q29tcGFueQppNTg5ODc=", "ConocoPhillips")</f>
      </c>
      <c r="D386" s="0" t="s">
        <v>25</v>
      </c>
      <c r="E386" s="0" t="s">
        <v>1374</v>
      </c>
      <c r="F386" s="16">
        <f>HYPERLINK("https://eosportal.federatedhermes.com/engagements/RW5nYWdlbWVudAppMjAyMzE=", "Managing difficult country risk")</f>
      </c>
      <c r="G386" s="14" t="s">
        <v>1375</v>
      </c>
      <c r="H386" s="0" t="s">
        <v>141</v>
      </c>
      <c r="I386" s="14" t="s">
        <v>191</v>
      </c>
      <c r="J386" s="0" t="s">
        <v>153</v>
      </c>
      <c r="K386" s="0" t="s">
        <v>243</v>
      </c>
      <c r="L386" s="0" t="s">
        <v>456</v>
      </c>
      <c r="M386" s="0" t="s">
        <v>135</v>
      </c>
      <c r="N386" s="0" t="s">
        <v>136</v>
      </c>
      <c r="O386" s="0" t="s">
        <v>542</v>
      </c>
      <c r="Q386" s="0" t="s">
        <v>130</v>
      </c>
      <c r="R386" s="0" t="s">
        <v>138</v>
      </c>
      <c r="S386" s="14">
        <v>0</v>
      </c>
      <c r="T386" s="0" t="s">
        <v>483</v>
      </c>
      <c r="U386" s="0" t="s">
        <v>138</v>
      </c>
      <c r="V386" s="14" t="s">
        <v>138</v>
      </c>
      <c r="W386" s="0" t="s">
        <v>138</v>
      </c>
      <c r="X386" s="14" t="s">
        <v>138</v>
      </c>
      <c r="Y386" s="0" t="s">
        <v>138</v>
      </c>
      <c r="Z386" s="14" t="s">
        <v>138</v>
      </c>
      <c r="AA386" s="0" t="s">
        <v>138</v>
      </c>
      <c r="AB386" s="14" t="s">
        <v>138</v>
      </c>
      <c r="AD386" s="0" t="s">
        <v>138</v>
      </c>
      <c r="AF386" s="0">
        <v>0</v>
      </c>
      <c r="AG386" s="0">
        <v>0</v>
      </c>
      <c r="AH386" s="0" t="s">
        <v>140</v>
      </c>
      <c r="AI386" s="0" t="s">
        <v>138</v>
      </c>
      <c r="AL386" s="14"/>
      <c r="AN386" s="14"/>
      <c r="AQ386" s="0" t="s">
        <v>130</v>
      </c>
      <c r="AR386" s="0" t="s">
        <v>130</v>
      </c>
      <c r="AS386" s="0" t="s">
        <v>130</v>
      </c>
      <c r="AT386" s="0" t="s">
        <v>130</v>
      </c>
      <c r="AU386" s="0" t="s">
        <v>130</v>
      </c>
      <c r="AV386" s="0" t="s">
        <v>130</v>
      </c>
      <c r="AW386" s="0" t="s">
        <v>130</v>
      </c>
      <c r="AX386" s="0" t="s">
        <v>141</v>
      </c>
      <c r="AY386" s="0" t="s">
        <v>130</v>
      </c>
      <c r="AZ386" s="0" t="s">
        <v>130</v>
      </c>
      <c r="BA386" s="0" t="s">
        <v>130</v>
      </c>
      <c r="BB386" s="0" t="s">
        <v>130</v>
      </c>
      <c r="BC386" s="0" t="s">
        <v>130</v>
      </c>
      <c r="BD386" s="0" t="s">
        <v>130</v>
      </c>
      <c r="BE386" s="0" t="s">
        <v>130</v>
      </c>
      <c r="BF386" s="0" t="s">
        <v>141</v>
      </c>
      <c r="BG386" s="0" t="s">
        <v>130</v>
      </c>
      <c r="BH386" s="0" t="s">
        <v>130</v>
      </c>
      <c r="BI386" s="0" t="s">
        <v>130</v>
      </c>
      <c r="BJ386" s="0" t="s">
        <v>130</v>
      </c>
      <c r="BK386" s="0" t="s">
        <v>130</v>
      </c>
      <c r="BL386" s="0" t="s">
        <v>130</v>
      </c>
      <c r="BM386" s="0" t="s">
        <v>130</v>
      </c>
      <c r="BN386" s="0" t="s">
        <v>130</v>
      </c>
      <c r="BO386" s="0" t="s">
        <v>130</v>
      </c>
      <c r="BP386" s="0" t="s">
        <v>130</v>
      </c>
      <c r="BQ386" s="0" t="s">
        <v>130</v>
      </c>
      <c r="BR386" s="0" t="s">
        <v>130</v>
      </c>
      <c r="BS386" s="0" t="s">
        <v>130</v>
      </c>
      <c r="BT386" s="0" t="s">
        <v>130</v>
      </c>
      <c r="BU386" s="0" t="s">
        <v>130</v>
      </c>
      <c r="BV386" s="0" t="s">
        <v>130</v>
      </c>
      <c r="BW386" s="0" t="s">
        <v>130</v>
      </c>
      <c r="BX386" s="0" t="s">
        <v>130</v>
      </c>
      <c r="BY386" s="0" t="s">
        <v>130</v>
      </c>
      <c r="BZ386" s="0" t="s">
        <v>130</v>
      </c>
      <c r="CA386" s="0" t="s">
        <v>130</v>
      </c>
      <c r="CB386" s="0" t="s">
        <v>130</v>
      </c>
      <c r="CC386" s="0" t="s">
        <v>130</v>
      </c>
      <c r="CD386" s="0" t="s">
        <v>130</v>
      </c>
      <c r="CE386" s="0" t="s">
        <v>130</v>
      </c>
      <c r="CF386" s="0" t="s">
        <v>130</v>
      </c>
      <c r="CG386" s="0" t="s">
        <v>130</v>
      </c>
      <c r="CH386" s="0" t="s">
        <v>130</v>
      </c>
      <c r="CI386" s="0" t="s">
        <v>130</v>
      </c>
      <c r="CJ386" s="0" t="s">
        <v>130</v>
      </c>
      <c r="CK386" s="0" t="s">
        <v>130</v>
      </c>
      <c r="CL386" s="0" t="s">
        <v>130</v>
      </c>
      <c r="CM386" s="0" t="s">
        <v>130</v>
      </c>
      <c r="CN386" s="0" t="s">
        <v>130</v>
      </c>
      <c r="CO386" s="0" t="s">
        <v>130</v>
      </c>
      <c r="CP386" s="0" t="s">
        <v>130</v>
      </c>
      <c r="CQ386" s="0" t="s">
        <v>130</v>
      </c>
      <c r="CR386" s="0" t="s">
        <v>130</v>
      </c>
      <c r="CS386" s="0" t="s">
        <v>130</v>
      </c>
      <c r="CT386" s="0" t="s">
        <v>1376</v>
      </c>
    </row>
    <row r="387">
      <c r="A387" s="14">
        <v>101174</v>
      </c>
      <c r="B387" s="0" t="s">
        <v>1365</v>
      </c>
      <c r="C387" s="16">
        <f>HYPERLINK("https://eosportal.federatedhermes.com/companies/Q29tcGFueQppNTg5ODc=", "ConocoPhillips")</f>
      </c>
      <c r="D387" s="0" t="s">
        <v>25</v>
      </c>
      <c r="E387" s="0" t="s">
        <v>1377</v>
      </c>
      <c r="F387" s="16">
        <f>HYPERLINK("https://eosportal.federatedhermes.com/engagements/RW5nYWdlbWVudAppMjAyMzI=", "Improve transparency of political and lobbying donations")</f>
      </c>
      <c r="G387" s="14" t="s">
        <v>1378</v>
      </c>
      <c r="H387" s="0" t="s">
        <v>141</v>
      </c>
      <c r="I387" s="14" t="s">
        <v>191</v>
      </c>
      <c r="J387" s="0" t="s">
        <v>132</v>
      </c>
      <c r="K387" s="0" t="s">
        <v>170</v>
      </c>
      <c r="L387" s="0" t="s">
        <v>171</v>
      </c>
      <c r="M387" s="0" t="s">
        <v>135</v>
      </c>
      <c r="N387" s="0" t="s">
        <v>136</v>
      </c>
      <c r="O387" s="0" t="s">
        <v>542</v>
      </c>
      <c r="Q387" s="0" t="s">
        <v>130</v>
      </c>
      <c r="R387" s="0" t="s">
        <v>138</v>
      </c>
      <c r="S387" s="14">
        <v>0</v>
      </c>
      <c r="T387" s="0" t="s">
        <v>804</v>
      </c>
      <c r="U387" s="0" t="s">
        <v>138</v>
      </c>
      <c r="V387" s="14" t="s">
        <v>138</v>
      </c>
      <c r="W387" s="0" t="s">
        <v>138</v>
      </c>
      <c r="X387" s="14" t="s">
        <v>138</v>
      </c>
      <c r="Y387" s="0" t="s">
        <v>138</v>
      </c>
      <c r="Z387" s="14" t="s">
        <v>138</v>
      </c>
      <c r="AA387" s="0" t="s">
        <v>138</v>
      </c>
      <c r="AB387" s="14" t="s">
        <v>138</v>
      </c>
      <c r="AD387" s="0" t="s">
        <v>138</v>
      </c>
      <c r="AF387" s="0">
        <v>0</v>
      </c>
      <c r="AG387" s="0">
        <v>0</v>
      </c>
      <c r="AH387" s="0" t="s">
        <v>140</v>
      </c>
      <c r="AI387" s="0" t="s">
        <v>138</v>
      </c>
      <c r="AL387" s="14"/>
      <c r="AN387" s="14"/>
      <c r="AQ387" s="0" t="s">
        <v>130</v>
      </c>
      <c r="AR387" s="0" t="s">
        <v>130</v>
      </c>
      <c r="AS387" s="0" t="s">
        <v>130</v>
      </c>
      <c r="AT387" s="0" t="s">
        <v>130</v>
      </c>
      <c r="AU387" s="0" t="s">
        <v>130</v>
      </c>
      <c r="AV387" s="0" t="s">
        <v>130</v>
      </c>
      <c r="AW387" s="0" t="s">
        <v>130</v>
      </c>
      <c r="AX387" s="0" t="s">
        <v>130</v>
      </c>
      <c r="AY387" s="0" t="s">
        <v>130</v>
      </c>
      <c r="AZ387" s="0" t="s">
        <v>130</v>
      </c>
      <c r="BA387" s="0" t="s">
        <v>130</v>
      </c>
      <c r="BB387" s="0" t="s">
        <v>130</v>
      </c>
      <c r="BC387" s="0" t="s">
        <v>130</v>
      </c>
      <c r="BD387" s="0" t="s">
        <v>130</v>
      </c>
      <c r="BE387" s="0" t="s">
        <v>130</v>
      </c>
      <c r="BF387" s="0" t="s">
        <v>130</v>
      </c>
      <c r="BG387" s="0" t="s">
        <v>130</v>
      </c>
      <c r="BH387" s="0" t="s">
        <v>130</v>
      </c>
      <c r="BI387" s="0" t="s">
        <v>130</v>
      </c>
      <c r="BJ387" s="0" t="s">
        <v>130</v>
      </c>
      <c r="BK387" s="0" t="s">
        <v>130</v>
      </c>
      <c r="BL387" s="0" t="s">
        <v>130</v>
      </c>
      <c r="BM387" s="0" t="s">
        <v>130</v>
      </c>
      <c r="BN387" s="0" t="s">
        <v>130</v>
      </c>
      <c r="BO387" s="0" t="s">
        <v>130</v>
      </c>
      <c r="BP387" s="0" t="s">
        <v>130</v>
      </c>
      <c r="BQ387" s="0" t="s">
        <v>130</v>
      </c>
      <c r="BR387" s="0" t="s">
        <v>130</v>
      </c>
      <c r="BS387" s="0" t="s">
        <v>130</v>
      </c>
      <c r="BT387" s="0" t="s">
        <v>130</v>
      </c>
      <c r="BU387" s="0" t="s">
        <v>130</v>
      </c>
      <c r="BV387" s="0" t="s">
        <v>130</v>
      </c>
      <c r="BW387" s="0" t="s">
        <v>130</v>
      </c>
      <c r="BX387" s="0" t="s">
        <v>130</v>
      </c>
      <c r="BY387" s="0" t="s">
        <v>130</v>
      </c>
      <c r="BZ387" s="0" t="s">
        <v>130</v>
      </c>
      <c r="CA387" s="0" t="s">
        <v>130</v>
      </c>
      <c r="CB387" s="0" t="s">
        <v>130</v>
      </c>
      <c r="CC387" s="0" t="s">
        <v>130</v>
      </c>
      <c r="CD387" s="0" t="s">
        <v>130</v>
      </c>
      <c r="CE387" s="0" t="s">
        <v>130</v>
      </c>
      <c r="CF387" s="0" t="s">
        <v>130</v>
      </c>
      <c r="CG387" s="0" t="s">
        <v>130</v>
      </c>
      <c r="CH387" s="0" t="s">
        <v>130</v>
      </c>
      <c r="CI387" s="0" t="s">
        <v>130</v>
      </c>
      <c r="CJ387" s="0" t="s">
        <v>130</v>
      </c>
      <c r="CK387" s="0" t="s">
        <v>130</v>
      </c>
      <c r="CL387" s="0" t="s">
        <v>130</v>
      </c>
      <c r="CM387" s="0" t="s">
        <v>130</v>
      </c>
      <c r="CN387" s="0" t="s">
        <v>130</v>
      </c>
      <c r="CO387" s="0" t="s">
        <v>130</v>
      </c>
      <c r="CP387" s="0" t="s">
        <v>130</v>
      </c>
      <c r="CQ387" s="0" t="s">
        <v>130</v>
      </c>
      <c r="CR387" s="0" t="s">
        <v>130</v>
      </c>
      <c r="CS387" s="0" t="s">
        <v>130</v>
      </c>
      <c r="CT387" s="0" t="s">
        <v>1379</v>
      </c>
    </row>
    <row r="388">
      <c r="A388" s="14">
        <v>113325</v>
      </c>
      <c r="B388" s="0" t="s">
        <v>1380</v>
      </c>
      <c r="C388" s="16">
        <f>HYPERLINK("https://eosportal.federatedhermes.com/companies/Q29tcGFueQppNDY1MDg=", "Asahi Group Holdings Ltd")</f>
      </c>
      <c r="D388" s="0" t="s">
        <v>25</v>
      </c>
      <c r="E388" s="0" t="s">
        <v>1381</v>
      </c>
      <c r="F388" s="16">
        <f>HYPERLINK("https://eosportal.federatedhermes.com/engagements/RW5nYWdlbWVudAppMjAyODM=", "Strategy")</f>
      </c>
      <c r="G388" s="14" t="s">
        <v>1382</v>
      </c>
      <c r="H388" s="0" t="s">
        <v>130</v>
      </c>
      <c r="I388" s="14" t="s">
        <v>319</v>
      </c>
      <c r="J388" s="0" t="s">
        <v>153</v>
      </c>
      <c r="K388" s="0" t="s">
        <v>243</v>
      </c>
      <c r="L388" s="0" t="s">
        <v>244</v>
      </c>
      <c r="M388" s="0" t="s">
        <v>802</v>
      </c>
      <c r="N388" s="0" t="s">
        <v>952</v>
      </c>
      <c r="O388" s="0" t="s">
        <v>332</v>
      </c>
      <c r="Q388" s="0" t="s">
        <v>130</v>
      </c>
      <c r="R388" s="0" t="s">
        <v>138</v>
      </c>
      <c r="S388" s="14">
        <v>0</v>
      </c>
      <c r="T388" s="0" t="s">
        <v>483</v>
      </c>
      <c r="U388" s="0" t="s">
        <v>138</v>
      </c>
      <c r="V388" s="14" t="s">
        <v>138</v>
      </c>
      <c r="W388" s="0" t="s">
        <v>138</v>
      </c>
      <c r="X388" s="14" t="s">
        <v>138</v>
      </c>
      <c r="Y388" s="0" t="s">
        <v>138</v>
      </c>
      <c r="Z388" s="14" t="s">
        <v>138</v>
      </c>
      <c r="AA388" s="0" t="s">
        <v>138</v>
      </c>
      <c r="AB388" s="14" t="s">
        <v>138</v>
      </c>
      <c r="AD388" s="0" t="s">
        <v>138</v>
      </c>
      <c r="AF388" s="0">
        <v>0</v>
      </c>
      <c r="AG388" s="0">
        <v>0</v>
      </c>
      <c r="AH388" s="0" t="s">
        <v>140</v>
      </c>
      <c r="AI388" s="0" t="s">
        <v>138</v>
      </c>
      <c r="AL388" s="14"/>
      <c r="AN388" s="14"/>
      <c r="AQ388" s="0" t="s">
        <v>130</v>
      </c>
      <c r="AR388" s="0" t="s">
        <v>130</v>
      </c>
      <c r="AS388" s="0" t="s">
        <v>130</v>
      </c>
      <c r="AT388" s="0" t="s">
        <v>130</v>
      </c>
      <c r="AU388" s="0" t="s">
        <v>130</v>
      </c>
      <c r="AV388" s="0" t="s">
        <v>130</v>
      </c>
      <c r="AW388" s="0" t="s">
        <v>130</v>
      </c>
      <c r="AX388" s="0" t="s">
        <v>141</v>
      </c>
      <c r="AY388" s="0" t="s">
        <v>130</v>
      </c>
      <c r="AZ388" s="0" t="s">
        <v>130</v>
      </c>
      <c r="BA388" s="0" t="s">
        <v>130</v>
      </c>
      <c r="BB388" s="0" t="s">
        <v>130</v>
      </c>
      <c r="BC388" s="0" t="s">
        <v>130</v>
      </c>
      <c r="BD388" s="0" t="s">
        <v>130</v>
      </c>
      <c r="BE388" s="0" t="s">
        <v>130</v>
      </c>
      <c r="BF388" s="0" t="s">
        <v>130</v>
      </c>
      <c r="BG388" s="0" t="s">
        <v>130</v>
      </c>
      <c r="BH388" s="0" t="s">
        <v>130</v>
      </c>
      <c r="BI388" s="0" t="s">
        <v>130</v>
      </c>
      <c r="BJ388" s="0" t="s">
        <v>130</v>
      </c>
      <c r="BK388" s="0" t="s">
        <v>130</v>
      </c>
      <c r="BL388" s="0" t="s">
        <v>130</v>
      </c>
      <c r="BM388" s="0" t="s">
        <v>130</v>
      </c>
      <c r="BN388" s="0" t="s">
        <v>130</v>
      </c>
      <c r="BO388" s="0" t="s">
        <v>130</v>
      </c>
      <c r="BP388" s="0" t="s">
        <v>130</v>
      </c>
      <c r="BQ388" s="0" t="s">
        <v>130</v>
      </c>
      <c r="BR388" s="0" t="s">
        <v>130</v>
      </c>
      <c r="BS388" s="0" t="s">
        <v>130</v>
      </c>
      <c r="BT388" s="0" t="s">
        <v>130</v>
      </c>
      <c r="BU388" s="0" t="s">
        <v>130</v>
      </c>
      <c r="BV388" s="0" t="s">
        <v>130</v>
      </c>
      <c r="BW388" s="0" t="s">
        <v>130</v>
      </c>
      <c r="BX388" s="0" t="s">
        <v>130</v>
      </c>
      <c r="BY388" s="0" t="s">
        <v>130</v>
      </c>
      <c r="BZ388" s="0" t="s">
        <v>130</v>
      </c>
      <c r="CA388" s="0" t="s">
        <v>130</v>
      </c>
      <c r="CB388" s="0" t="s">
        <v>130</v>
      </c>
      <c r="CC388" s="0" t="s">
        <v>130</v>
      </c>
      <c r="CD388" s="0" t="s">
        <v>130</v>
      </c>
      <c r="CE388" s="0" t="s">
        <v>130</v>
      </c>
      <c r="CF388" s="0" t="s">
        <v>130</v>
      </c>
      <c r="CG388" s="0" t="s">
        <v>130</v>
      </c>
      <c r="CH388" s="0" t="s">
        <v>130</v>
      </c>
      <c r="CI388" s="0" t="s">
        <v>130</v>
      </c>
      <c r="CJ388" s="0" t="s">
        <v>130</v>
      </c>
      <c r="CK388" s="0" t="s">
        <v>130</v>
      </c>
      <c r="CL388" s="0" t="s">
        <v>130</v>
      </c>
      <c r="CM388" s="0" t="s">
        <v>130</v>
      </c>
      <c r="CN388" s="0" t="s">
        <v>130</v>
      </c>
      <c r="CO388" s="0" t="s">
        <v>130</v>
      </c>
      <c r="CP388" s="0" t="s">
        <v>130</v>
      </c>
      <c r="CQ388" s="0" t="s">
        <v>130</v>
      </c>
      <c r="CR388" s="0" t="s">
        <v>130</v>
      </c>
      <c r="CS388" s="0" t="s">
        <v>130</v>
      </c>
      <c r="CT388" s="0" t="s">
        <v>1383</v>
      </c>
    </row>
    <row r="389">
      <c r="A389" s="14">
        <v>113325</v>
      </c>
      <c r="B389" s="0" t="s">
        <v>1380</v>
      </c>
      <c r="C389" s="16">
        <f>HYPERLINK("https://eosportal.federatedhermes.com/companies/Q29tcGFueQppNDY1MDg=", "Asahi Group Holdings Ltd")</f>
      </c>
      <c r="D389" s="0" t="s">
        <v>25</v>
      </c>
      <c r="E389" s="0" t="s">
        <v>1384</v>
      </c>
      <c r="F389" s="16">
        <f>HYPERLINK("https://eosportal.federatedhermes.com/engagements/RW5nYWdlbWVudAppMjAyODQ=", "Carbon emissions in supply chain")</f>
      </c>
      <c r="G389" s="14" t="s">
        <v>1385</v>
      </c>
      <c r="H389" s="0" t="s">
        <v>130</v>
      </c>
      <c r="I389" s="14" t="s">
        <v>319</v>
      </c>
      <c r="J389" s="0" t="s">
        <v>197</v>
      </c>
      <c r="K389" s="0" t="s">
        <v>198</v>
      </c>
      <c r="L389" s="0" t="s">
        <v>216</v>
      </c>
      <c r="M389" s="0" t="s">
        <v>802</v>
      </c>
      <c r="N389" s="0" t="s">
        <v>952</v>
      </c>
      <c r="O389" s="0" t="s">
        <v>332</v>
      </c>
      <c r="Q389" s="0" t="s">
        <v>141</v>
      </c>
      <c r="R389" s="0" t="s">
        <v>138</v>
      </c>
      <c r="S389" s="14">
        <v>1</v>
      </c>
      <c r="T389" s="0" t="s">
        <v>384</v>
      </c>
      <c r="U389" s="0" t="s">
        <v>138</v>
      </c>
      <c r="V389" s="14" t="s">
        <v>138</v>
      </c>
      <c r="W389" s="0" t="s">
        <v>138</v>
      </c>
      <c r="X389" s="14" t="s">
        <v>138</v>
      </c>
      <c r="Y389" s="0" t="s">
        <v>138</v>
      </c>
      <c r="Z389" s="14" t="s">
        <v>138</v>
      </c>
      <c r="AA389" s="0" t="s">
        <v>138</v>
      </c>
      <c r="AB389" s="14" t="s">
        <v>138</v>
      </c>
      <c r="AD389" s="0" t="s">
        <v>138</v>
      </c>
      <c r="AF389" s="0">
        <v>0</v>
      </c>
      <c r="AG389" s="0">
        <v>0</v>
      </c>
      <c r="AH389" s="0" t="s">
        <v>140</v>
      </c>
      <c r="AI389" s="0" t="s">
        <v>138</v>
      </c>
      <c r="AK389" s="0" t="s">
        <v>1386</v>
      </c>
      <c r="AL389" s="14"/>
      <c r="AN389" s="14"/>
      <c r="AQ389" s="0" t="s">
        <v>130</v>
      </c>
      <c r="AR389" s="0" t="s">
        <v>130</v>
      </c>
      <c r="AS389" s="0" t="s">
        <v>130</v>
      </c>
      <c r="AT389" s="0" t="s">
        <v>130</v>
      </c>
      <c r="AU389" s="0" t="s">
        <v>130</v>
      </c>
      <c r="AV389" s="0" t="s">
        <v>130</v>
      </c>
      <c r="AW389" s="0" t="s">
        <v>141</v>
      </c>
      <c r="AX389" s="0" t="s">
        <v>130</v>
      </c>
      <c r="AY389" s="0" t="s">
        <v>130</v>
      </c>
      <c r="AZ389" s="0" t="s">
        <v>130</v>
      </c>
      <c r="BA389" s="0" t="s">
        <v>130</v>
      </c>
      <c r="BB389" s="0" t="s">
        <v>141</v>
      </c>
      <c r="BC389" s="0" t="s">
        <v>141</v>
      </c>
      <c r="BD389" s="0" t="s">
        <v>130</v>
      </c>
      <c r="BE389" s="0" t="s">
        <v>130</v>
      </c>
      <c r="BF389" s="0" t="s">
        <v>130</v>
      </c>
      <c r="BG389" s="0" t="s">
        <v>130</v>
      </c>
      <c r="BH389" s="0" t="s">
        <v>141</v>
      </c>
      <c r="BI389" s="0" t="s">
        <v>141</v>
      </c>
      <c r="BJ389" s="0" t="s">
        <v>141</v>
      </c>
      <c r="BK389" s="0" t="s">
        <v>130</v>
      </c>
      <c r="BL389" s="0" t="s">
        <v>130</v>
      </c>
      <c r="BM389" s="0" t="s">
        <v>130</v>
      </c>
      <c r="BN389" s="0" t="s">
        <v>130</v>
      </c>
      <c r="BO389" s="0" t="s">
        <v>130</v>
      </c>
      <c r="BP389" s="0" t="s">
        <v>130</v>
      </c>
      <c r="BQ389" s="0" t="s">
        <v>130</v>
      </c>
      <c r="BR389" s="0" t="s">
        <v>130</v>
      </c>
      <c r="BS389" s="0" t="s">
        <v>130</v>
      </c>
      <c r="BT389" s="0" t="s">
        <v>130</v>
      </c>
      <c r="BU389" s="0" t="s">
        <v>130</v>
      </c>
      <c r="BV389" s="0" t="s">
        <v>141</v>
      </c>
      <c r="BW389" s="0" t="s">
        <v>141</v>
      </c>
      <c r="BX389" s="0" t="s">
        <v>130</v>
      </c>
      <c r="BY389" s="0" t="s">
        <v>130</v>
      </c>
      <c r="BZ389" s="0" t="s">
        <v>130</v>
      </c>
      <c r="CA389" s="0" t="s">
        <v>130</v>
      </c>
      <c r="CB389" s="0" t="s">
        <v>130</v>
      </c>
      <c r="CC389" s="0" t="s">
        <v>130</v>
      </c>
      <c r="CD389" s="0" t="s">
        <v>130</v>
      </c>
      <c r="CE389" s="0" t="s">
        <v>130</v>
      </c>
      <c r="CF389" s="0" t="s">
        <v>130</v>
      </c>
      <c r="CG389" s="0" t="s">
        <v>130</v>
      </c>
      <c r="CH389" s="0" t="s">
        <v>130</v>
      </c>
      <c r="CI389" s="0" t="s">
        <v>130</v>
      </c>
      <c r="CJ389" s="0" t="s">
        <v>130</v>
      </c>
      <c r="CK389" s="0" t="s">
        <v>130</v>
      </c>
      <c r="CL389" s="0" t="s">
        <v>130</v>
      </c>
      <c r="CM389" s="0" t="s">
        <v>130</v>
      </c>
      <c r="CN389" s="0" t="s">
        <v>130</v>
      </c>
      <c r="CO389" s="0" t="s">
        <v>130</v>
      </c>
      <c r="CP389" s="0" t="s">
        <v>130</v>
      </c>
      <c r="CQ389" s="0" t="s">
        <v>130</v>
      </c>
      <c r="CR389" s="0" t="s">
        <v>130</v>
      </c>
      <c r="CS389" s="0" t="s">
        <v>130</v>
      </c>
      <c r="CT389" s="0" t="s">
        <v>1387</v>
      </c>
    </row>
    <row r="390">
      <c r="A390" s="14">
        <v>113325</v>
      </c>
      <c r="B390" s="0" t="s">
        <v>1380</v>
      </c>
      <c r="C390" s="16">
        <f>HYPERLINK("https://eosportal.federatedhermes.com/companies/Q29tcGFueQppNDY1MDg=", "Asahi Group Holdings Ltd")</f>
      </c>
      <c r="D390" s="0" t="s">
        <v>25</v>
      </c>
      <c r="E390" s="0" t="s">
        <v>1388</v>
      </c>
      <c r="F390" s="16">
        <f>HYPERLINK("https://eosportal.federatedhermes.com/engagements/RW5nYWdlbWVudAppMjAyODU=", "Integrated reporting")</f>
      </c>
      <c r="G390" s="14" t="s">
        <v>1389</v>
      </c>
      <c r="H390" s="0" t="s">
        <v>130</v>
      </c>
      <c r="I390" s="14" t="s">
        <v>319</v>
      </c>
      <c r="J390" s="0" t="s">
        <v>132</v>
      </c>
      <c r="K390" s="0" t="s">
        <v>170</v>
      </c>
      <c r="L390" s="0" t="s">
        <v>171</v>
      </c>
      <c r="M390" s="0" t="s">
        <v>802</v>
      </c>
      <c r="N390" s="0" t="s">
        <v>952</v>
      </c>
      <c r="O390" s="0" t="s">
        <v>332</v>
      </c>
      <c r="Q390" s="0" t="s">
        <v>130</v>
      </c>
      <c r="R390" s="0" t="s">
        <v>138</v>
      </c>
      <c r="S390" s="14">
        <v>0</v>
      </c>
      <c r="T390" s="0" t="s">
        <v>707</v>
      </c>
      <c r="U390" s="0" t="s">
        <v>138</v>
      </c>
      <c r="V390" s="14" t="s">
        <v>138</v>
      </c>
      <c r="W390" s="0" t="s">
        <v>138</v>
      </c>
      <c r="X390" s="14" t="s">
        <v>138</v>
      </c>
      <c r="Y390" s="0" t="s">
        <v>138</v>
      </c>
      <c r="Z390" s="14" t="s">
        <v>138</v>
      </c>
      <c r="AA390" s="0" t="s">
        <v>138</v>
      </c>
      <c r="AB390" s="14" t="s">
        <v>138</v>
      </c>
      <c r="AD390" s="0" t="s">
        <v>138</v>
      </c>
      <c r="AF390" s="0">
        <v>0</v>
      </c>
      <c r="AG390" s="0">
        <v>0</v>
      </c>
      <c r="AH390" s="0" t="s">
        <v>140</v>
      </c>
      <c r="AI390" s="0" t="s">
        <v>138</v>
      </c>
      <c r="AL390" s="14"/>
      <c r="AN390" s="14"/>
      <c r="AQ390" s="0" t="s">
        <v>130</v>
      </c>
      <c r="AR390" s="0" t="s">
        <v>130</v>
      </c>
      <c r="AS390" s="0" t="s">
        <v>130</v>
      </c>
      <c r="AT390" s="0" t="s">
        <v>130</v>
      </c>
      <c r="AU390" s="0" t="s">
        <v>130</v>
      </c>
      <c r="AV390" s="0" t="s">
        <v>130</v>
      </c>
      <c r="AW390" s="0" t="s">
        <v>130</v>
      </c>
      <c r="AX390" s="0" t="s">
        <v>130</v>
      </c>
      <c r="AY390" s="0" t="s">
        <v>130</v>
      </c>
      <c r="AZ390" s="0" t="s">
        <v>130</v>
      </c>
      <c r="BA390" s="0" t="s">
        <v>130</v>
      </c>
      <c r="BB390" s="0" t="s">
        <v>141</v>
      </c>
      <c r="BC390" s="0" t="s">
        <v>130</v>
      </c>
      <c r="BD390" s="0" t="s">
        <v>130</v>
      </c>
      <c r="BE390" s="0" t="s">
        <v>130</v>
      </c>
      <c r="BF390" s="0" t="s">
        <v>130</v>
      </c>
      <c r="BG390" s="0" t="s">
        <v>130</v>
      </c>
      <c r="BH390" s="0" t="s">
        <v>130</v>
      </c>
      <c r="BI390" s="0" t="s">
        <v>130</v>
      </c>
      <c r="BJ390" s="0" t="s">
        <v>130</v>
      </c>
      <c r="BK390" s="0" t="s">
        <v>130</v>
      </c>
      <c r="BL390" s="0" t="s">
        <v>130</v>
      </c>
      <c r="BM390" s="0" t="s">
        <v>130</v>
      </c>
      <c r="BN390" s="0" t="s">
        <v>130</v>
      </c>
      <c r="BO390" s="0" t="s">
        <v>130</v>
      </c>
      <c r="BP390" s="0" t="s">
        <v>130</v>
      </c>
      <c r="BQ390" s="0" t="s">
        <v>130</v>
      </c>
      <c r="BR390" s="0" t="s">
        <v>130</v>
      </c>
      <c r="BS390" s="0" t="s">
        <v>130</v>
      </c>
      <c r="BT390" s="0" t="s">
        <v>130</v>
      </c>
      <c r="BU390" s="0" t="s">
        <v>130</v>
      </c>
      <c r="BV390" s="0" t="s">
        <v>130</v>
      </c>
      <c r="BW390" s="0" t="s">
        <v>130</v>
      </c>
      <c r="BX390" s="0" t="s">
        <v>130</v>
      </c>
      <c r="BY390" s="0" t="s">
        <v>130</v>
      </c>
      <c r="BZ390" s="0" t="s">
        <v>130</v>
      </c>
      <c r="CA390" s="0" t="s">
        <v>130</v>
      </c>
      <c r="CB390" s="0" t="s">
        <v>130</v>
      </c>
      <c r="CC390" s="0" t="s">
        <v>130</v>
      </c>
      <c r="CD390" s="0" t="s">
        <v>130</v>
      </c>
      <c r="CE390" s="0" t="s">
        <v>130</v>
      </c>
      <c r="CF390" s="0" t="s">
        <v>130</v>
      </c>
      <c r="CG390" s="0" t="s">
        <v>130</v>
      </c>
      <c r="CH390" s="0" t="s">
        <v>130</v>
      </c>
      <c r="CI390" s="0" t="s">
        <v>130</v>
      </c>
      <c r="CJ390" s="0" t="s">
        <v>130</v>
      </c>
      <c r="CK390" s="0" t="s">
        <v>130</v>
      </c>
      <c r="CL390" s="0" t="s">
        <v>130</v>
      </c>
      <c r="CM390" s="0" t="s">
        <v>130</v>
      </c>
      <c r="CN390" s="0" t="s">
        <v>130</v>
      </c>
      <c r="CO390" s="0" t="s">
        <v>130</v>
      </c>
      <c r="CP390" s="0" t="s">
        <v>130</v>
      </c>
      <c r="CQ390" s="0" t="s">
        <v>130</v>
      </c>
      <c r="CR390" s="0" t="s">
        <v>130</v>
      </c>
      <c r="CS390" s="0" t="s">
        <v>130</v>
      </c>
      <c r="CT390" s="0" t="s">
        <v>1390</v>
      </c>
    </row>
    <row r="391">
      <c r="A391" s="14">
        <v>113325</v>
      </c>
      <c r="B391" s="0" t="s">
        <v>1380</v>
      </c>
      <c r="C391" s="16">
        <f>HYPERLINK("https://eosportal.federatedhermes.com/companies/Q29tcGFueQppNDY1MDg=", "Asahi Group Holdings Ltd")</f>
      </c>
      <c r="D391" s="0" t="s">
        <v>25</v>
      </c>
      <c r="E391" s="0" t="s">
        <v>1391</v>
      </c>
      <c r="F391" s="16">
        <f>HYPERLINK("https://eosportal.federatedhermes.com/engagements/RW5nYWdlbWVudAppMjAyODY=", "Supply chain risk management")</f>
      </c>
      <c r="G391" s="14" t="s">
        <v>1392</v>
      </c>
      <c r="H391" s="0" t="s">
        <v>130</v>
      </c>
      <c r="I391" s="14" t="s">
        <v>319</v>
      </c>
      <c r="J391" s="0" t="s">
        <v>153</v>
      </c>
      <c r="K391" s="0" t="s">
        <v>243</v>
      </c>
      <c r="L391" s="0" t="s">
        <v>244</v>
      </c>
      <c r="M391" s="0" t="s">
        <v>802</v>
      </c>
      <c r="N391" s="0" t="s">
        <v>952</v>
      </c>
      <c r="O391" s="0" t="s">
        <v>332</v>
      </c>
      <c r="Q391" s="0" t="s">
        <v>141</v>
      </c>
      <c r="R391" s="0" t="s">
        <v>138</v>
      </c>
      <c r="S391" s="14">
        <v>1</v>
      </c>
      <c r="T391" s="0" t="s">
        <v>384</v>
      </c>
      <c r="U391" s="0" t="s">
        <v>138</v>
      </c>
      <c r="V391" s="14" t="s">
        <v>138</v>
      </c>
      <c r="W391" s="0" t="s">
        <v>138</v>
      </c>
      <c r="X391" s="14" t="s">
        <v>138</v>
      </c>
      <c r="Y391" s="0" t="s">
        <v>138</v>
      </c>
      <c r="Z391" s="14" t="s">
        <v>138</v>
      </c>
      <c r="AA391" s="0" t="s">
        <v>138</v>
      </c>
      <c r="AB391" s="14" t="s">
        <v>138</v>
      </c>
      <c r="AD391" s="0" t="s">
        <v>138</v>
      </c>
      <c r="AF391" s="0">
        <v>0</v>
      </c>
      <c r="AG391" s="0">
        <v>0</v>
      </c>
      <c r="AH391" s="0" t="s">
        <v>140</v>
      </c>
      <c r="AI391" s="0" t="s">
        <v>138</v>
      </c>
      <c r="AK391" s="0" t="s">
        <v>1386</v>
      </c>
      <c r="AL391" s="14"/>
      <c r="AN391" s="14"/>
      <c r="AQ391" s="0" t="s">
        <v>130</v>
      </c>
      <c r="AR391" s="0" t="s">
        <v>130</v>
      </c>
      <c r="AS391" s="0" t="s">
        <v>130</v>
      </c>
      <c r="AT391" s="0" t="s">
        <v>130</v>
      </c>
      <c r="AU391" s="0" t="s">
        <v>130</v>
      </c>
      <c r="AV391" s="0" t="s">
        <v>130</v>
      </c>
      <c r="AW391" s="0" t="s">
        <v>130</v>
      </c>
      <c r="AX391" s="0" t="s">
        <v>141</v>
      </c>
      <c r="AY391" s="0" t="s">
        <v>130</v>
      </c>
      <c r="AZ391" s="0" t="s">
        <v>130</v>
      </c>
      <c r="BA391" s="0" t="s">
        <v>130</v>
      </c>
      <c r="BB391" s="0" t="s">
        <v>130</v>
      </c>
      <c r="BC391" s="0" t="s">
        <v>130</v>
      </c>
      <c r="BD391" s="0" t="s">
        <v>130</v>
      </c>
      <c r="BE391" s="0" t="s">
        <v>130</v>
      </c>
      <c r="BF391" s="0" t="s">
        <v>130</v>
      </c>
      <c r="BG391" s="0" t="s">
        <v>130</v>
      </c>
      <c r="BH391" s="0" t="s">
        <v>130</v>
      </c>
      <c r="BI391" s="0" t="s">
        <v>130</v>
      </c>
      <c r="BJ391" s="0" t="s">
        <v>130</v>
      </c>
      <c r="BK391" s="0" t="s">
        <v>130</v>
      </c>
      <c r="BL391" s="0" t="s">
        <v>130</v>
      </c>
      <c r="BM391" s="0" t="s">
        <v>130</v>
      </c>
      <c r="BN391" s="0" t="s">
        <v>130</v>
      </c>
      <c r="BO391" s="0" t="s">
        <v>130</v>
      </c>
      <c r="BP391" s="0" t="s">
        <v>130</v>
      </c>
      <c r="BQ391" s="0" t="s">
        <v>130</v>
      </c>
      <c r="BR391" s="0" t="s">
        <v>130</v>
      </c>
      <c r="BS391" s="0" t="s">
        <v>130</v>
      </c>
      <c r="BT391" s="0" t="s">
        <v>130</v>
      </c>
      <c r="BU391" s="0" t="s">
        <v>130</v>
      </c>
      <c r="BV391" s="0" t="s">
        <v>130</v>
      </c>
      <c r="BW391" s="0" t="s">
        <v>130</v>
      </c>
      <c r="BX391" s="0" t="s">
        <v>130</v>
      </c>
      <c r="BY391" s="0" t="s">
        <v>130</v>
      </c>
      <c r="BZ391" s="0" t="s">
        <v>130</v>
      </c>
      <c r="CA391" s="0" t="s">
        <v>130</v>
      </c>
      <c r="CB391" s="0" t="s">
        <v>130</v>
      </c>
      <c r="CC391" s="0" t="s">
        <v>130</v>
      </c>
      <c r="CD391" s="0" t="s">
        <v>130</v>
      </c>
      <c r="CE391" s="0" t="s">
        <v>130</v>
      </c>
      <c r="CF391" s="0" t="s">
        <v>130</v>
      </c>
      <c r="CG391" s="0" t="s">
        <v>130</v>
      </c>
      <c r="CH391" s="0" t="s">
        <v>130</v>
      </c>
      <c r="CI391" s="0" t="s">
        <v>130</v>
      </c>
      <c r="CJ391" s="0" t="s">
        <v>130</v>
      </c>
      <c r="CK391" s="0" t="s">
        <v>130</v>
      </c>
      <c r="CL391" s="0" t="s">
        <v>130</v>
      </c>
      <c r="CM391" s="0" t="s">
        <v>130</v>
      </c>
      <c r="CN391" s="0" t="s">
        <v>130</v>
      </c>
      <c r="CO391" s="0" t="s">
        <v>130</v>
      </c>
      <c r="CP391" s="0" t="s">
        <v>130</v>
      </c>
      <c r="CQ391" s="0" t="s">
        <v>130</v>
      </c>
      <c r="CR391" s="0" t="s">
        <v>130</v>
      </c>
      <c r="CS391" s="0" t="s">
        <v>130</v>
      </c>
      <c r="CT391" s="0" t="s">
        <v>1393</v>
      </c>
    </row>
    <row r="392">
      <c r="A392" s="14">
        <v>113325</v>
      </c>
      <c r="B392" s="0" t="s">
        <v>1380</v>
      </c>
      <c r="C392" s="16">
        <f>HYPERLINK("https://eosportal.federatedhermes.com/companies/Q29tcGFueQppNDY1MDg=", "Asahi Group Holdings Ltd")</f>
      </c>
      <c r="D392" s="0" t="s">
        <v>23</v>
      </c>
      <c r="E392" s="0" t="s">
        <v>1394</v>
      </c>
      <c r="F392" s="16">
        <f>HYPERLINK("https://eosportal.federatedhermes.com/engagements/RW5nYWdlbWVudAppMjAyODc=", "Biodiversity impact and dependence assessment")</f>
      </c>
      <c r="G392" s="14" t="s">
        <v>1395</v>
      </c>
      <c r="H392" s="0" t="s">
        <v>130</v>
      </c>
      <c r="I392" s="14" t="s">
        <v>319</v>
      </c>
      <c r="J392" s="0" t="s">
        <v>197</v>
      </c>
      <c r="K392" s="0" t="s">
        <v>337</v>
      </c>
      <c r="L392" s="0" t="s">
        <v>576</v>
      </c>
      <c r="M392" s="0" t="s">
        <v>802</v>
      </c>
      <c r="N392" s="0" t="s">
        <v>952</v>
      </c>
      <c r="O392" s="0" t="s">
        <v>332</v>
      </c>
      <c r="Q392" s="0" t="s">
        <v>141</v>
      </c>
      <c r="R392" s="0" t="s">
        <v>130</v>
      </c>
      <c r="S392" s="14">
        <v>1</v>
      </c>
      <c r="T392" s="0" t="s">
        <v>231</v>
      </c>
      <c r="U392" s="0" t="s">
        <v>221</v>
      </c>
      <c r="V392" s="14" t="s">
        <v>231</v>
      </c>
      <c r="W392" s="0" t="s">
        <v>223</v>
      </c>
      <c r="X392" s="14" t="s">
        <v>138</v>
      </c>
      <c r="Y392" s="0" t="s">
        <v>224</v>
      </c>
      <c r="Z392" s="14" t="s">
        <v>138</v>
      </c>
      <c r="AA392" s="0" t="s">
        <v>224</v>
      </c>
      <c r="AB392" s="14" t="s">
        <v>138</v>
      </c>
      <c r="AD392" s="0" t="s">
        <v>14</v>
      </c>
      <c r="AF392" s="0">
        <v>0</v>
      </c>
      <c r="AG392" s="0">
        <v>0</v>
      </c>
      <c r="AH392" s="0" t="s">
        <v>140</v>
      </c>
      <c r="AI392" s="0" t="s">
        <v>479</v>
      </c>
      <c r="AK392" s="0" t="s">
        <v>1386</v>
      </c>
      <c r="AL392" s="14"/>
      <c r="AN392" s="14"/>
      <c r="AQ392" s="0" t="s">
        <v>130</v>
      </c>
      <c r="AR392" s="0" t="s">
        <v>141</v>
      </c>
      <c r="AS392" s="0" t="s">
        <v>130</v>
      </c>
      <c r="AT392" s="0" t="s">
        <v>130</v>
      </c>
      <c r="AU392" s="0" t="s">
        <v>130</v>
      </c>
      <c r="AV392" s="0" t="s">
        <v>141</v>
      </c>
      <c r="AW392" s="0" t="s">
        <v>130</v>
      </c>
      <c r="AX392" s="0" t="s">
        <v>130</v>
      </c>
      <c r="AY392" s="0" t="s">
        <v>130</v>
      </c>
      <c r="AZ392" s="0" t="s">
        <v>130</v>
      </c>
      <c r="BA392" s="0" t="s">
        <v>141</v>
      </c>
      <c r="BB392" s="0" t="s">
        <v>141</v>
      </c>
      <c r="BC392" s="0" t="s">
        <v>130</v>
      </c>
      <c r="BD392" s="0" t="s">
        <v>141</v>
      </c>
      <c r="BE392" s="0" t="s">
        <v>141</v>
      </c>
      <c r="BF392" s="0" t="s">
        <v>130</v>
      </c>
      <c r="BG392" s="0" t="s">
        <v>130</v>
      </c>
      <c r="BH392" s="0" t="s">
        <v>130</v>
      </c>
      <c r="BI392" s="0" t="s">
        <v>130</v>
      </c>
      <c r="BJ392" s="0" t="s">
        <v>130</v>
      </c>
      <c r="BK392" s="0" t="s">
        <v>130</v>
      </c>
      <c r="BL392" s="0" t="s">
        <v>130</v>
      </c>
      <c r="BM392" s="0" t="s">
        <v>130</v>
      </c>
      <c r="BN392" s="0" t="s">
        <v>130</v>
      </c>
      <c r="BO392" s="0" t="s">
        <v>130</v>
      </c>
      <c r="BP392" s="0" t="s">
        <v>130</v>
      </c>
      <c r="BQ392" s="0" t="s">
        <v>130</v>
      </c>
      <c r="BR392" s="0" t="s">
        <v>130</v>
      </c>
      <c r="BS392" s="0" t="s">
        <v>130</v>
      </c>
      <c r="BT392" s="0" t="s">
        <v>130</v>
      </c>
      <c r="BU392" s="0" t="s">
        <v>130</v>
      </c>
      <c r="BV392" s="0" t="s">
        <v>130</v>
      </c>
      <c r="BW392" s="0" t="s">
        <v>130</v>
      </c>
      <c r="BX392" s="0" t="s">
        <v>130</v>
      </c>
      <c r="BY392" s="0" t="s">
        <v>130</v>
      </c>
      <c r="BZ392" s="0" t="s">
        <v>130</v>
      </c>
      <c r="CA392" s="0" t="s">
        <v>130</v>
      </c>
      <c r="CB392" s="0" t="s">
        <v>130</v>
      </c>
      <c r="CC392" s="0" t="s">
        <v>130</v>
      </c>
      <c r="CD392" s="0" t="s">
        <v>130</v>
      </c>
      <c r="CE392" s="0" t="s">
        <v>130</v>
      </c>
      <c r="CF392" s="0" t="s">
        <v>130</v>
      </c>
      <c r="CG392" s="0" t="s">
        <v>130</v>
      </c>
      <c r="CH392" s="0" t="s">
        <v>130</v>
      </c>
      <c r="CI392" s="0" t="s">
        <v>130</v>
      </c>
      <c r="CJ392" s="0" t="s">
        <v>130</v>
      </c>
      <c r="CK392" s="0" t="s">
        <v>130</v>
      </c>
      <c r="CL392" s="0" t="s">
        <v>130</v>
      </c>
      <c r="CM392" s="0" t="s">
        <v>130</v>
      </c>
      <c r="CN392" s="0" t="s">
        <v>130</v>
      </c>
      <c r="CO392" s="0" t="s">
        <v>130</v>
      </c>
      <c r="CP392" s="0" t="s">
        <v>130</v>
      </c>
      <c r="CQ392" s="0" t="s">
        <v>130</v>
      </c>
      <c r="CR392" s="0" t="s">
        <v>130</v>
      </c>
      <c r="CS392" s="0" t="s">
        <v>130</v>
      </c>
      <c r="CT392" s="0" t="s">
        <v>1396</v>
      </c>
    </row>
    <row r="393">
      <c r="A393" s="14">
        <v>113325</v>
      </c>
      <c r="B393" s="0" t="s">
        <v>1380</v>
      </c>
      <c r="C393" s="16">
        <f>HYPERLINK("https://eosportal.federatedhermes.com/companies/Q29tcGFueQppNDY1MDg=", "Asahi Group Holdings Ltd")</f>
      </c>
      <c r="D393" s="0" t="s">
        <v>25</v>
      </c>
      <c r="E393" s="0" t="s">
        <v>295</v>
      </c>
      <c r="F393" s="16">
        <f>HYPERLINK("https://eosportal.federatedhermes.com/engagements/RW5nYWdlbWVudAppMjAyODg=", "Board structure")</f>
      </c>
      <c r="G393" s="14" t="s">
        <v>1397</v>
      </c>
      <c r="H393" s="0" t="s">
        <v>130</v>
      </c>
      <c r="I393" s="14" t="s">
        <v>319</v>
      </c>
      <c r="J393" s="0" t="s">
        <v>145</v>
      </c>
      <c r="K393" s="0" t="s">
        <v>164</v>
      </c>
      <c r="L393" s="0" t="s">
        <v>165</v>
      </c>
      <c r="M393" s="0" t="s">
        <v>802</v>
      </c>
      <c r="N393" s="0" t="s">
        <v>952</v>
      </c>
      <c r="O393" s="0" t="s">
        <v>332</v>
      </c>
      <c r="Q393" s="0" t="s">
        <v>130</v>
      </c>
      <c r="R393" s="0" t="s">
        <v>138</v>
      </c>
      <c r="S393" s="14">
        <v>0</v>
      </c>
      <c r="T393" s="0" t="s">
        <v>303</v>
      </c>
      <c r="U393" s="0" t="s">
        <v>138</v>
      </c>
      <c r="V393" s="14" t="s">
        <v>138</v>
      </c>
      <c r="W393" s="0" t="s">
        <v>138</v>
      </c>
      <c r="X393" s="14" t="s">
        <v>138</v>
      </c>
      <c r="Y393" s="0" t="s">
        <v>138</v>
      </c>
      <c r="Z393" s="14" t="s">
        <v>138</v>
      </c>
      <c r="AA393" s="0" t="s">
        <v>138</v>
      </c>
      <c r="AB393" s="14" t="s">
        <v>138</v>
      </c>
      <c r="AD393" s="0" t="s">
        <v>138</v>
      </c>
      <c r="AF393" s="0">
        <v>0</v>
      </c>
      <c r="AG393" s="0">
        <v>0</v>
      </c>
      <c r="AH393" s="0" t="s">
        <v>140</v>
      </c>
      <c r="AI393" s="0" t="s">
        <v>138</v>
      </c>
      <c r="AL393" s="14"/>
      <c r="AN393" s="14"/>
      <c r="AQ393" s="0" t="s">
        <v>130</v>
      </c>
      <c r="AR393" s="0" t="s">
        <v>130</v>
      </c>
      <c r="AS393" s="0" t="s">
        <v>130</v>
      </c>
      <c r="AT393" s="0" t="s">
        <v>130</v>
      </c>
      <c r="AU393" s="0" t="s">
        <v>130</v>
      </c>
      <c r="AV393" s="0" t="s">
        <v>130</v>
      </c>
      <c r="AW393" s="0" t="s">
        <v>130</v>
      </c>
      <c r="AX393" s="0" t="s">
        <v>130</v>
      </c>
      <c r="AY393" s="0" t="s">
        <v>130</v>
      </c>
      <c r="AZ393" s="0" t="s">
        <v>130</v>
      </c>
      <c r="BA393" s="0" t="s">
        <v>130</v>
      </c>
      <c r="BB393" s="0" t="s">
        <v>130</v>
      </c>
      <c r="BC393" s="0" t="s">
        <v>130</v>
      </c>
      <c r="BD393" s="0" t="s">
        <v>130</v>
      </c>
      <c r="BE393" s="0" t="s">
        <v>130</v>
      </c>
      <c r="BF393" s="0" t="s">
        <v>130</v>
      </c>
      <c r="BG393" s="0" t="s">
        <v>130</v>
      </c>
      <c r="BH393" s="0" t="s">
        <v>130</v>
      </c>
      <c r="BI393" s="0" t="s">
        <v>130</v>
      </c>
      <c r="BJ393" s="0" t="s">
        <v>130</v>
      </c>
      <c r="BK393" s="0" t="s">
        <v>130</v>
      </c>
      <c r="BL393" s="0" t="s">
        <v>130</v>
      </c>
      <c r="BM393" s="0" t="s">
        <v>130</v>
      </c>
      <c r="BN393" s="0" t="s">
        <v>130</v>
      </c>
      <c r="BO393" s="0" t="s">
        <v>130</v>
      </c>
      <c r="BP393" s="0" t="s">
        <v>130</v>
      </c>
      <c r="BQ393" s="0" t="s">
        <v>130</v>
      </c>
      <c r="BR393" s="0" t="s">
        <v>130</v>
      </c>
      <c r="BS393" s="0" t="s">
        <v>130</v>
      </c>
      <c r="BT393" s="0" t="s">
        <v>130</v>
      </c>
      <c r="BU393" s="0" t="s">
        <v>130</v>
      </c>
      <c r="BV393" s="0" t="s">
        <v>130</v>
      </c>
      <c r="BW393" s="0" t="s">
        <v>130</v>
      </c>
      <c r="BX393" s="0" t="s">
        <v>130</v>
      </c>
      <c r="BY393" s="0" t="s">
        <v>130</v>
      </c>
      <c r="BZ393" s="0" t="s">
        <v>130</v>
      </c>
      <c r="CA393" s="0" t="s">
        <v>130</v>
      </c>
      <c r="CB393" s="0" t="s">
        <v>130</v>
      </c>
      <c r="CC393" s="0" t="s">
        <v>130</v>
      </c>
      <c r="CD393" s="0" t="s">
        <v>130</v>
      </c>
      <c r="CE393" s="0" t="s">
        <v>130</v>
      </c>
      <c r="CF393" s="0" t="s">
        <v>130</v>
      </c>
      <c r="CG393" s="0" t="s">
        <v>130</v>
      </c>
      <c r="CH393" s="0" t="s">
        <v>130</v>
      </c>
      <c r="CI393" s="0" t="s">
        <v>130</v>
      </c>
      <c r="CJ393" s="0" t="s">
        <v>130</v>
      </c>
      <c r="CK393" s="0" t="s">
        <v>130</v>
      </c>
      <c r="CL393" s="0" t="s">
        <v>130</v>
      </c>
      <c r="CM393" s="0" t="s">
        <v>130</v>
      </c>
      <c r="CN393" s="0" t="s">
        <v>130</v>
      </c>
      <c r="CO393" s="0" t="s">
        <v>130</v>
      </c>
      <c r="CP393" s="0" t="s">
        <v>130</v>
      </c>
      <c r="CQ393" s="0" t="s">
        <v>130</v>
      </c>
      <c r="CR393" s="0" t="s">
        <v>130</v>
      </c>
      <c r="CS393" s="0" t="s">
        <v>130</v>
      </c>
      <c r="CT393" s="0" t="s">
        <v>1398</v>
      </c>
    </row>
    <row r="394">
      <c r="A394" s="14">
        <v>113325</v>
      </c>
      <c r="B394" s="0" t="s">
        <v>1380</v>
      </c>
      <c r="C394" s="16">
        <f>HYPERLINK("https://eosportal.federatedhermes.com/companies/Q29tcGFueQppNDY1MDg=", "Asahi Group Holdings Ltd")</f>
      </c>
      <c r="D394" s="0" t="s">
        <v>25</v>
      </c>
      <c r="E394" s="0" t="s">
        <v>1399</v>
      </c>
      <c r="F394" s="16">
        <f>HYPERLINK("https://eosportal.federatedhermes.com/engagements/RW5nYWdlbWVudAppMjAyODk=", "Allegiant shareholdings")</f>
      </c>
      <c r="G394" s="14" t="s">
        <v>1400</v>
      </c>
      <c r="H394" s="0" t="s">
        <v>130</v>
      </c>
      <c r="I394" s="14" t="s">
        <v>319</v>
      </c>
      <c r="J394" s="0" t="s">
        <v>145</v>
      </c>
      <c r="K394" s="0" t="s">
        <v>400</v>
      </c>
      <c r="L394" s="0" t="s">
        <v>507</v>
      </c>
      <c r="M394" s="0" t="s">
        <v>802</v>
      </c>
      <c r="N394" s="0" t="s">
        <v>952</v>
      </c>
      <c r="O394" s="0" t="s">
        <v>332</v>
      </c>
      <c r="Q394" s="0" t="s">
        <v>130</v>
      </c>
      <c r="R394" s="0" t="s">
        <v>138</v>
      </c>
      <c r="S394" s="14">
        <v>0</v>
      </c>
      <c r="T394" s="0" t="s">
        <v>390</v>
      </c>
      <c r="U394" s="0" t="s">
        <v>138</v>
      </c>
      <c r="V394" s="14" t="s">
        <v>138</v>
      </c>
      <c r="W394" s="0" t="s">
        <v>138</v>
      </c>
      <c r="X394" s="14" t="s">
        <v>138</v>
      </c>
      <c r="Y394" s="0" t="s">
        <v>138</v>
      </c>
      <c r="Z394" s="14" t="s">
        <v>138</v>
      </c>
      <c r="AA394" s="0" t="s">
        <v>138</v>
      </c>
      <c r="AB394" s="14" t="s">
        <v>138</v>
      </c>
      <c r="AD394" s="0" t="s">
        <v>138</v>
      </c>
      <c r="AF394" s="0">
        <v>0</v>
      </c>
      <c r="AG394" s="0">
        <v>0</v>
      </c>
      <c r="AH394" s="0" t="s">
        <v>140</v>
      </c>
      <c r="AI394" s="0" t="s">
        <v>138</v>
      </c>
      <c r="AL394" s="14"/>
      <c r="AN394" s="14"/>
      <c r="AQ394" s="0" t="s">
        <v>130</v>
      </c>
      <c r="AR394" s="0" t="s">
        <v>130</v>
      </c>
      <c r="AS394" s="0" t="s">
        <v>130</v>
      </c>
      <c r="AT394" s="0" t="s">
        <v>130</v>
      </c>
      <c r="AU394" s="0" t="s">
        <v>130</v>
      </c>
      <c r="AV394" s="0" t="s">
        <v>130</v>
      </c>
      <c r="AW394" s="0" t="s">
        <v>130</v>
      </c>
      <c r="AX394" s="0" t="s">
        <v>130</v>
      </c>
      <c r="AY394" s="0" t="s">
        <v>130</v>
      </c>
      <c r="AZ394" s="0" t="s">
        <v>130</v>
      </c>
      <c r="BA394" s="0" t="s">
        <v>130</v>
      </c>
      <c r="BB394" s="0" t="s">
        <v>130</v>
      </c>
      <c r="BC394" s="0" t="s">
        <v>130</v>
      </c>
      <c r="BD394" s="0" t="s">
        <v>130</v>
      </c>
      <c r="BE394" s="0" t="s">
        <v>130</v>
      </c>
      <c r="BF394" s="0" t="s">
        <v>130</v>
      </c>
      <c r="BG394" s="0" t="s">
        <v>130</v>
      </c>
      <c r="BH394" s="0" t="s">
        <v>130</v>
      </c>
      <c r="BI394" s="0" t="s">
        <v>130</v>
      </c>
      <c r="BJ394" s="0" t="s">
        <v>130</v>
      </c>
      <c r="BK394" s="0" t="s">
        <v>130</v>
      </c>
      <c r="BL394" s="0" t="s">
        <v>130</v>
      </c>
      <c r="BM394" s="0" t="s">
        <v>130</v>
      </c>
      <c r="BN394" s="0" t="s">
        <v>130</v>
      </c>
      <c r="BO394" s="0" t="s">
        <v>130</v>
      </c>
      <c r="BP394" s="0" t="s">
        <v>130</v>
      </c>
      <c r="BQ394" s="0" t="s">
        <v>130</v>
      </c>
      <c r="BR394" s="0" t="s">
        <v>130</v>
      </c>
      <c r="BS394" s="0" t="s">
        <v>130</v>
      </c>
      <c r="BT394" s="0" t="s">
        <v>130</v>
      </c>
      <c r="BU394" s="0" t="s">
        <v>130</v>
      </c>
      <c r="BV394" s="0" t="s">
        <v>130</v>
      </c>
      <c r="BW394" s="0" t="s">
        <v>130</v>
      </c>
      <c r="BX394" s="0" t="s">
        <v>130</v>
      </c>
      <c r="BY394" s="0" t="s">
        <v>130</v>
      </c>
      <c r="BZ394" s="0" t="s">
        <v>130</v>
      </c>
      <c r="CA394" s="0" t="s">
        <v>130</v>
      </c>
      <c r="CB394" s="0" t="s">
        <v>130</v>
      </c>
      <c r="CC394" s="0" t="s">
        <v>130</v>
      </c>
      <c r="CD394" s="0" t="s">
        <v>130</v>
      </c>
      <c r="CE394" s="0" t="s">
        <v>130</v>
      </c>
      <c r="CF394" s="0" t="s">
        <v>130</v>
      </c>
      <c r="CG394" s="0" t="s">
        <v>130</v>
      </c>
      <c r="CH394" s="0" t="s">
        <v>130</v>
      </c>
      <c r="CI394" s="0" t="s">
        <v>130</v>
      </c>
      <c r="CJ394" s="0" t="s">
        <v>130</v>
      </c>
      <c r="CK394" s="0" t="s">
        <v>130</v>
      </c>
      <c r="CL394" s="0" t="s">
        <v>130</v>
      </c>
      <c r="CM394" s="0" t="s">
        <v>130</v>
      </c>
      <c r="CN394" s="0" t="s">
        <v>130</v>
      </c>
      <c r="CO394" s="0" t="s">
        <v>130</v>
      </c>
      <c r="CP394" s="0" t="s">
        <v>130</v>
      </c>
      <c r="CQ394" s="0" t="s">
        <v>130</v>
      </c>
      <c r="CR394" s="0" t="s">
        <v>130</v>
      </c>
      <c r="CS394" s="0" t="s">
        <v>130</v>
      </c>
      <c r="CT394" s="0" t="s">
        <v>1401</v>
      </c>
    </row>
    <row r="395">
      <c r="A395" s="14">
        <v>113325</v>
      </c>
      <c r="B395" s="0" t="s">
        <v>1380</v>
      </c>
      <c r="C395" s="16">
        <f>HYPERLINK("https://eosportal.federatedhermes.com/companies/Q29tcGFueQppNDY1MDg=", "Asahi Group Holdings Ltd")</f>
      </c>
      <c r="D395" s="0" t="s">
        <v>25</v>
      </c>
      <c r="E395" s="0" t="s">
        <v>1402</v>
      </c>
      <c r="F395" s="16">
        <f>HYPERLINK("https://eosportal.federatedhermes.com/engagements/RW5nYWdlbWVudAppMjAyOTA=", "Poison pill")</f>
      </c>
      <c r="G395" s="14" t="s">
        <v>1403</v>
      </c>
      <c r="H395" s="0" t="s">
        <v>130</v>
      </c>
      <c r="I395" s="14" t="s">
        <v>319</v>
      </c>
      <c r="J395" s="0" t="s">
        <v>145</v>
      </c>
      <c r="K395" s="0" t="s">
        <v>400</v>
      </c>
      <c r="L395" s="0" t="s">
        <v>507</v>
      </c>
      <c r="M395" s="0" t="s">
        <v>802</v>
      </c>
      <c r="N395" s="0" t="s">
        <v>952</v>
      </c>
      <c r="O395" s="0" t="s">
        <v>332</v>
      </c>
      <c r="Q395" s="0" t="s">
        <v>130</v>
      </c>
      <c r="R395" s="0" t="s">
        <v>138</v>
      </c>
      <c r="S395" s="14">
        <v>0</v>
      </c>
      <c r="T395" s="0" t="s">
        <v>483</v>
      </c>
      <c r="U395" s="0" t="s">
        <v>138</v>
      </c>
      <c r="V395" s="14" t="s">
        <v>138</v>
      </c>
      <c r="W395" s="0" t="s">
        <v>138</v>
      </c>
      <c r="X395" s="14" t="s">
        <v>138</v>
      </c>
      <c r="Y395" s="0" t="s">
        <v>138</v>
      </c>
      <c r="Z395" s="14" t="s">
        <v>138</v>
      </c>
      <c r="AA395" s="0" t="s">
        <v>138</v>
      </c>
      <c r="AB395" s="14" t="s">
        <v>138</v>
      </c>
      <c r="AD395" s="0" t="s">
        <v>138</v>
      </c>
      <c r="AF395" s="0">
        <v>0</v>
      </c>
      <c r="AG395" s="0">
        <v>0</v>
      </c>
      <c r="AH395" s="0" t="s">
        <v>140</v>
      </c>
      <c r="AI395" s="0" t="s">
        <v>138</v>
      </c>
      <c r="AL395" s="14"/>
      <c r="AN395" s="14"/>
      <c r="AQ395" s="0" t="s">
        <v>130</v>
      </c>
      <c r="AR395" s="0" t="s">
        <v>130</v>
      </c>
      <c r="AS395" s="0" t="s">
        <v>130</v>
      </c>
      <c r="AT395" s="0" t="s">
        <v>130</v>
      </c>
      <c r="AU395" s="0" t="s">
        <v>130</v>
      </c>
      <c r="AV395" s="0" t="s">
        <v>130</v>
      </c>
      <c r="AW395" s="0" t="s">
        <v>130</v>
      </c>
      <c r="AX395" s="0" t="s">
        <v>130</v>
      </c>
      <c r="AY395" s="0" t="s">
        <v>130</v>
      </c>
      <c r="AZ395" s="0" t="s">
        <v>130</v>
      </c>
      <c r="BA395" s="0" t="s">
        <v>130</v>
      </c>
      <c r="BB395" s="0" t="s">
        <v>130</v>
      </c>
      <c r="BC395" s="0" t="s">
        <v>130</v>
      </c>
      <c r="BD395" s="0" t="s">
        <v>130</v>
      </c>
      <c r="BE395" s="0" t="s">
        <v>130</v>
      </c>
      <c r="BF395" s="0" t="s">
        <v>130</v>
      </c>
      <c r="BG395" s="0" t="s">
        <v>130</v>
      </c>
      <c r="BH395" s="0" t="s">
        <v>130</v>
      </c>
      <c r="BI395" s="0" t="s">
        <v>130</v>
      </c>
      <c r="BJ395" s="0" t="s">
        <v>130</v>
      </c>
      <c r="BK395" s="0" t="s">
        <v>130</v>
      </c>
      <c r="BL395" s="0" t="s">
        <v>130</v>
      </c>
      <c r="BM395" s="0" t="s">
        <v>130</v>
      </c>
      <c r="BN395" s="0" t="s">
        <v>130</v>
      </c>
      <c r="BO395" s="0" t="s">
        <v>130</v>
      </c>
      <c r="BP395" s="0" t="s">
        <v>130</v>
      </c>
      <c r="BQ395" s="0" t="s">
        <v>130</v>
      </c>
      <c r="BR395" s="0" t="s">
        <v>130</v>
      </c>
      <c r="BS395" s="0" t="s">
        <v>130</v>
      </c>
      <c r="BT395" s="0" t="s">
        <v>130</v>
      </c>
      <c r="BU395" s="0" t="s">
        <v>130</v>
      </c>
      <c r="BV395" s="0" t="s">
        <v>130</v>
      </c>
      <c r="BW395" s="0" t="s">
        <v>130</v>
      </c>
      <c r="BX395" s="0" t="s">
        <v>130</v>
      </c>
      <c r="BY395" s="0" t="s">
        <v>130</v>
      </c>
      <c r="BZ395" s="0" t="s">
        <v>130</v>
      </c>
      <c r="CA395" s="0" t="s">
        <v>130</v>
      </c>
      <c r="CB395" s="0" t="s">
        <v>130</v>
      </c>
      <c r="CC395" s="0" t="s">
        <v>130</v>
      </c>
      <c r="CD395" s="0" t="s">
        <v>130</v>
      </c>
      <c r="CE395" s="0" t="s">
        <v>130</v>
      </c>
      <c r="CF395" s="0" t="s">
        <v>130</v>
      </c>
      <c r="CG395" s="0" t="s">
        <v>130</v>
      </c>
      <c r="CH395" s="0" t="s">
        <v>130</v>
      </c>
      <c r="CI395" s="0" t="s">
        <v>130</v>
      </c>
      <c r="CJ395" s="0" t="s">
        <v>130</v>
      </c>
      <c r="CK395" s="0" t="s">
        <v>130</v>
      </c>
      <c r="CL395" s="0" t="s">
        <v>130</v>
      </c>
      <c r="CM395" s="0" t="s">
        <v>130</v>
      </c>
      <c r="CN395" s="0" t="s">
        <v>130</v>
      </c>
      <c r="CO395" s="0" t="s">
        <v>130</v>
      </c>
      <c r="CP395" s="0" t="s">
        <v>130</v>
      </c>
      <c r="CQ395" s="0" t="s">
        <v>130</v>
      </c>
      <c r="CR395" s="0" t="s">
        <v>130</v>
      </c>
      <c r="CS395" s="0" t="s">
        <v>130</v>
      </c>
      <c r="CT395" s="0" t="s">
        <v>1404</v>
      </c>
    </row>
    <row r="396">
      <c r="A396" s="14">
        <v>101204</v>
      </c>
      <c r="B396" s="0" t="s">
        <v>1405</v>
      </c>
      <c r="C396" s="16">
        <f>HYPERLINK("https://eosportal.federatedhermes.com/companies/Q29tcGFueQppODU2ODA=", "PPG Industries Inc")</f>
      </c>
      <c r="D396" s="0" t="s">
        <v>25</v>
      </c>
      <c r="E396" s="0" t="s">
        <v>1406</v>
      </c>
      <c r="F396" s="16">
        <f>HYPERLINK("https://eosportal.federatedhermes.com/engagements/RW5nYWdlbWVudAppMjAzMDQ=", "Joint Chair/CEO position")</f>
      </c>
      <c r="G396" s="14" t="s">
        <v>1407</v>
      </c>
      <c r="H396" s="0" t="s">
        <v>130</v>
      </c>
      <c r="I396" s="14" t="s">
        <v>319</v>
      </c>
      <c r="J396" s="0" t="s">
        <v>145</v>
      </c>
      <c r="K396" s="0" t="s">
        <v>164</v>
      </c>
      <c r="L396" s="0" t="s">
        <v>165</v>
      </c>
      <c r="M396" s="0" t="s">
        <v>135</v>
      </c>
      <c r="N396" s="0" t="s">
        <v>136</v>
      </c>
      <c r="O396" s="0" t="s">
        <v>706</v>
      </c>
      <c r="Q396" s="0" t="s">
        <v>130</v>
      </c>
      <c r="R396" s="0" t="s">
        <v>138</v>
      </c>
      <c r="S396" s="14">
        <v>0</v>
      </c>
      <c r="T396" s="0" t="s">
        <v>394</v>
      </c>
      <c r="U396" s="0" t="s">
        <v>138</v>
      </c>
      <c r="V396" s="14" t="s">
        <v>138</v>
      </c>
      <c r="W396" s="0" t="s">
        <v>138</v>
      </c>
      <c r="X396" s="14" t="s">
        <v>138</v>
      </c>
      <c r="Y396" s="0" t="s">
        <v>138</v>
      </c>
      <c r="Z396" s="14" t="s">
        <v>138</v>
      </c>
      <c r="AA396" s="0" t="s">
        <v>138</v>
      </c>
      <c r="AB396" s="14" t="s">
        <v>138</v>
      </c>
      <c r="AD396" s="0" t="s">
        <v>138</v>
      </c>
      <c r="AF396" s="0">
        <v>0</v>
      </c>
      <c r="AG396" s="0">
        <v>0</v>
      </c>
      <c r="AH396" s="0" t="s">
        <v>140</v>
      </c>
      <c r="AI396" s="0" t="s">
        <v>138</v>
      </c>
      <c r="AL396" s="14"/>
      <c r="AN396" s="14"/>
      <c r="AQ396" s="0" t="s">
        <v>130</v>
      </c>
      <c r="AR396" s="0" t="s">
        <v>130</v>
      </c>
      <c r="AS396" s="0" t="s">
        <v>130</v>
      </c>
      <c r="AT396" s="0" t="s">
        <v>130</v>
      </c>
      <c r="AU396" s="0" t="s">
        <v>130</v>
      </c>
      <c r="AV396" s="0" t="s">
        <v>130</v>
      </c>
      <c r="AW396" s="0" t="s">
        <v>130</v>
      </c>
      <c r="AX396" s="0" t="s">
        <v>130</v>
      </c>
      <c r="AY396" s="0" t="s">
        <v>130</v>
      </c>
      <c r="AZ396" s="0" t="s">
        <v>130</v>
      </c>
      <c r="BA396" s="0" t="s">
        <v>130</v>
      </c>
      <c r="BB396" s="0" t="s">
        <v>130</v>
      </c>
      <c r="BC396" s="0" t="s">
        <v>130</v>
      </c>
      <c r="BD396" s="0" t="s">
        <v>130</v>
      </c>
      <c r="BE396" s="0" t="s">
        <v>130</v>
      </c>
      <c r="BF396" s="0" t="s">
        <v>130</v>
      </c>
      <c r="BG396" s="0" t="s">
        <v>130</v>
      </c>
      <c r="BH396" s="0" t="s">
        <v>130</v>
      </c>
      <c r="BI396" s="0" t="s">
        <v>130</v>
      </c>
      <c r="BJ396" s="0" t="s">
        <v>130</v>
      </c>
      <c r="BK396" s="0" t="s">
        <v>130</v>
      </c>
      <c r="BL396" s="0" t="s">
        <v>130</v>
      </c>
      <c r="BM396" s="0" t="s">
        <v>130</v>
      </c>
      <c r="BN396" s="0" t="s">
        <v>130</v>
      </c>
      <c r="BO396" s="0" t="s">
        <v>130</v>
      </c>
      <c r="BP396" s="0" t="s">
        <v>130</v>
      </c>
      <c r="BQ396" s="0" t="s">
        <v>130</v>
      </c>
      <c r="BR396" s="0" t="s">
        <v>130</v>
      </c>
      <c r="BS396" s="0" t="s">
        <v>130</v>
      </c>
      <c r="BT396" s="0" t="s">
        <v>130</v>
      </c>
      <c r="BU396" s="0" t="s">
        <v>130</v>
      </c>
      <c r="BV396" s="0" t="s">
        <v>130</v>
      </c>
      <c r="BW396" s="0" t="s">
        <v>130</v>
      </c>
      <c r="BX396" s="0" t="s">
        <v>130</v>
      </c>
      <c r="BY396" s="0" t="s">
        <v>130</v>
      </c>
      <c r="BZ396" s="0" t="s">
        <v>130</v>
      </c>
      <c r="CA396" s="0" t="s">
        <v>130</v>
      </c>
      <c r="CB396" s="0" t="s">
        <v>130</v>
      </c>
      <c r="CC396" s="0" t="s">
        <v>130</v>
      </c>
      <c r="CD396" s="0" t="s">
        <v>130</v>
      </c>
      <c r="CE396" s="0" t="s">
        <v>130</v>
      </c>
      <c r="CF396" s="0" t="s">
        <v>130</v>
      </c>
      <c r="CG396" s="0" t="s">
        <v>130</v>
      </c>
      <c r="CH396" s="0" t="s">
        <v>130</v>
      </c>
      <c r="CI396" s="0" t="s">
        <v>130</v>
      </c>
      <c r="CJ396" s="0" t="s">
        <v>130</v>
      </c>
      <c r="CK396" s="0" t="s">
        <v>130</v>
      </c>
      <c r="CL396" s="0" t="s">
        <v>130</v>
      </c>
      <c r="CM396" s="0" t="s">
        <v>130</v>
      </c>
      <c r="CN396" s="0" t="s">
        <v>130</v>
      </c>
      <c r="CO396" s="0" t="s">
        <v>130</v>
      </c>
      <c r="CP396" s="0" t="s">
        <v>130</v>
      </c>
      <c r="CQ396" s="0" t="s">
        <v>130</v>
      </c>
      <c r="CR396" s="0" t="s">
        <v>130</v>
      </c>
      <c r="CS396" s="0" t="s">
        <v>130</v>
      </c>
      <c r="CT396" s="0" t="s">
        <v>1408</v>
      </c>
    </row>
    <row r="397">
      <c r="A397" s="14">
        <v>101204</v>
      </c>
      <c r="B397" s="0" t="s">
        <v>1405</v>
      </c>
      <c r="C397" s="16">
        <f>HYPERLINK("https://eosportal.federatedhermes.com/companies/Q29tcGFueQppODU2ODA=", "PPG Industries Inc")</f>
      </c>
      <c r="D397" s="0" t="s">
        <v>25</v>
      </c>
      <c r="E397" s="0" t="s">
        <v>1044</v>
      </c>
      <c r="F397" s="16">
        <f>HYPERLINK("https://eosportal.federatedhermes.com/engagements/RW5nYWdlbWVudAppMjAzMDU=", "Classified board")</f>
      </c>
      <c r="G397" s="14" t="s">
        <v>1409</v>
      </c>
      <c r="H397" s="0" t="s">
        <v>130</v>
      </c>
      <c r="I397" s="14" t="s">
        <v>319</v>
      </c>
      <c r="J397" s="0" t="s">
        <v>145</v>
      </c>
      <c r="K397" s="0" t="s">
        <v>400</v>
      </c>
      <c r="L397" s="0" t="s">
        <v>507</v>
      </c>
      <c r="M397" s="0" t="s">
        <v>135</v>
      </c>
      <c r="N397" s="0" t="s">
        <v>136</v>
      </c>
      <c r="O397" s="0" t="s">
        <v>706</v>
      </c>
      <c r="Q397" s="0" t="s">
        <v>130</v>
      </c>
      <c r="R397" s="0" t="s">
        <v>138</v>
      </c>
      <c r="S397" s="14">
        <v>0</v>
      </c>
      <c r="T397" s="0" t="s">
        <v>394</v>
      </c>
      <c r="U397" s="0" t="s">
        <v>138</v>
      </c>
      <c r="V397" s="14" t="s">
        <v>138</v>
      </c>
      <c r="W397" s="0" t="s">
        <v>138</v>
      </c>
      <c r="X397" s="14" t="s">
        <v>138</v>
      </c>
      <c r="Y397" s="0" t="s">
        <v>138</v>
      </c>
      <c r="Z397" s="14" t="s">
        <v>138</v>
      </c>
      <c r="AA397" s="0" t="s">
        <v>138</v>
      </c>
      <c r="AB397" s="14" t="s">
        <v>138</v>
      </c>
      <c r="AD397" s="0" t="s">
        <v>138</v>
      </c>
      <c r="AF397" s="0">
        <v>0</v>
      </c>
      <c r="AG397" s="0">
        <v>0</v>
      </c>
      <c r="AH397" s="0" t="s">
        <v>140</v>
      </c>
      <c r="AI397" s="0" t="s">
        <v>138</v>
      </c>
      <c r="AL397" s="14"/>
      <c r="AN397" s="14"/>
      <c r="AQ397" s="0" t="s">
        <v>130</v>
      </c>
      <c r="AR397" s="0" t="s">
        <v>130</v>
      </c>
      <c r="AS397" s="0" t="s">
        <v>130</v>
      </c>
      <c r="AT397" s="0" t="s">
        <v>130</v>
      </c>
      <c r="AU397" s="0" t="s">
        <v>130</v>
      </c>
      <c r="AV397" s="0" t="s">
        <v>130</v>
      </c>
      <c r="AW397" s="0" t="s">
        <v>130</v>
      </c>
      <c r="AX397" s="0" t="s">
        <v>130</v>
      </c>
      <c r="AY397" s="0" t="s">
        <v>130</v>
      </c>
      <c r="AZ397" s="0" t="s">
        <v>130</v>
      </c>
      <c r="BA397" s="0" t="s">
        <v>130</v>
      </c>
      <c r="BB397" s="0" t="s">
        <v>130</v>
      </c>
      <c r="BC397" s="0" t="s">
        <v>130</v>
      </c>
      <c r="BD397" s="0" t="s">
        <v>130</v>
      </c>
      <c r="BE397" s="0" t="s">
        <v>130</v>
      </c>
      <c r="BF397" s="0" t="s">
        <v>130</v>
      </c>
      <c r="BG397" s="0" t="s">
        <v>130</v>
      </c>
      <c r="BH397" s="0" t="s">
        <v>130</v>
      </c>
      <c r="BI397" s="0" t="s">
        <v>130</v>
      </c>
      <c r="BJ397" s="0" t="s">
        <v>130</v>
      </c>
      <c r="BK397" s="0" t="s">
        <v>130</v>
      </c>
      <c r="BL397" s="0" t="s">
        <v>130</v>
      </c>
      <c r="BM397" s="0" t="s">
        <v>130</v>
      </c>
      <c r="BN397" s="0" t="s">
        <v>130</v>
      </c>
      <c r="BO397" s="0" t="s">
        <v>130</v>
      </c>
      <c r="BP397" s="0" t="s">
        <v>130</v>
      </c>
      <c r="BQ397" s="0" t="s">
        <v>130</v>
      </c>
      <c r="BR397" s="0" t="s">
        <v>130</v>
      </c>
      <c r="BS397" s="0" t="s">
        <v>130</v>
      </c>
      <c r="BT397" s="0" t="s">
        <v>130</v>
      </c>
      <c r="BU397" s="0" t="s">
        <v>130</v>
      </c>
      <c r="BV397" s="0" t="s">
        <v>130</v>
      </c>
      <c r="BW397" s="0" t="s">
        <v>130</v>
      </c>
      <c r="BX397" s="0" t="s">
        <v>130</v>
      </c>
      <c r="BY397" s="0" t="s">
        <v>130</v>
      </c>
      <c r="BZ397" s="0" t="s">
        <v>130</v>
      </c>
      <c r="CA397" s="0" t="s">
        <v>130</v>
      </c>
      <c r="CB397" s="0" t="s">
        <v>130</v>
      </c>
      <c r="CC397" s="0" t="s">
        <v>130</v>
      </c>
      <c r="CD397" s="0" t="s">
        <v>130</v>
      </c>
      <c r="CE397" s="0" t="s">
        <v>130</v>
      </c>
      <c r="CF397" s="0" t="s">
        <v>130</v>
      </c>
      <c r="CG397" s="0" t="s">
        <v>130</v>
      </c>
      <c r="CH397" s="0" t="s">
        <v>130</v>
      </c>
      <c r="CI397" s="0" t="s">
        <v>130</v>
      </c>
      <c r="CJ397" s="0" t="s">
        <v>130</v>
      </c>
      <c r="CK397" s="0" t="s">
        <v>130</v>
      </c>
      <c r="CL397" s="0" t="s">
        <v>130</v>
      </c>
      <c r="CM397" s="0" t="s">
        <v>130</v>
      </c>
      <c r="CN397" s="0" t="s">
        <v>130</v>
      </c>
      <c r="CO397" s="0" t="s">
        <v>130</v>
      </c>
      <c r="CP397" s="0" t="s">
        <v>130</v>
      </c>
      <c r="CQ397" s="0" t="s">
        <v>130</v>
      </c>
      <c r="CR397" s="0" t="s">
        <v>130</v>
      </c>
      <c r="CS397" s="0" t="s">
        <v>130</v>
      </c>
      <c r="CT397" s="0" t="s">
        <v>1410</v>
      </c>
    </row>
    <row r="398">
      <c r="A398" s="14">
        <v>101204</v>
      </c>
      <c r="B398" s="0" t="s">
        <v>1405</v>
      </c>
      <c r="C398" s="16">
        <f>HYPERLINK("https://eosportal.federatedhermes.com/companies/Q29tcGFueQppODU2ODA=", "PPG Industries Inc")</f>
      </c>
      <c r="D398" s="0" t="s">
        <v>25</v>
      </c>
      <c r="E398" s="0" t="s">
        <v>1194</v>
      </c>
      <c r="F398" s="16">
        <f>HYPERLINK("https://eosportal.federatedhermes.com/engagements/RW5nYWdlbWVudAppMjAzMDc=", "Diversity and inclusion")</f>
      </c>
      <c r="G398" s="14" t="s">
        <v>1411</v>
      </c>
      <c r="H398" s="0" t="s">
        <v>130</v>
      </c>
      <c r="I398" s="14" t="s">
        <v>319</v>
      </c>
      <c r="J398" s="0" t="s">
        <v>153</v>
      </c>
      <c r="K398" s="0" t="s">
        <v>154</v>
      </c>
      <c r="L398" s="0" t="s">
        <v>268</v>
      </c>
      <c r="M398" s="0" t="s">
        <v>135</v>
      </c>
      <c r="N398" s="0" t="s">
        <v>136</v>
      </c>
      <c r="O398" s="0" t="s">
        <v>706</v>
      </c>
      <c r="Q398" s="0" t="s">
        <v>130</v>
      </c>
      <c r="R398" s="0" t="s">
        <v>138</v>
      </c>
      <c r="S398" s="14">
        <v>0</v>
      </c>
      <c r="T398" s="0" t="s">
        <v>206</v>
      </c>
      <c r="U398" s="0" t="s">
        <v>138</v>
      </c>
      <c r="V398" s="14" t="s">
        <v>138</v>
      </c>
      <c r="W398" s="0" t="s">
        <v>138</v>
      </c>
      <c r="X398" s="14" t="s">
        <v>138</v>
      </c>
      <c r="Y398" s="0" t="s">
        <v>138</v>
      </c>
      <c r="Z398" s="14" t="s">
        <v>138</v>
      </c>
      <c r="AA398" s="0" t="s">
        <v>138</v>
      </c>
      <c r="AB398" s="14" t="s">
        <v>138</v>
      </c>
      <c r="AD398" s="0" t="s">
        <v>138</v>
      </c>
      <c r="AF398" s="0">
        <v>0</v>
      </c>
      <c r="AG398" s="0">
        <v>0</v>
      </c>
      <c r="AH398" s="0" t="s">
        <v>140</v>
      </c>
      <c r="AI398" s="0" t="s">
        <v>138</v>
      </c>
      <c r="AL398" s="14"/>
      <c r="AN398" s="14"/>
      <c r="AQ398" s="0" t="s">
        <v>130</v>
      </c>
      <c r="AR398" s="0" t="s">
        <v>130</v>
      </c>
      <c r="AS398" s="0" t="s">
        <v>130</v>
      </c>
      <c r="AT398" s="0" t="s">
        <v>130</v>
      </c>
      <c r="AU398" s="0" t="s">
        <v>130</v>
      </c>
      <c r="AV398" s="0" t="s">
        <v>130</v>
      </c>
      <c r="AW398" s="0" t="s">
        <v>130</v>
      </c>
      <c r="AX398" s="0" t="s">
        <v>130</v>
      </c>
      <c r="AY398" s="0" t="s">
        <v>130</v>
      </c>
      <c r="AZ398" s="0" t="s">
        <v>130</v>
      </c>
      <c r="BA398" s="0" t="s">
        <v>130</v>
      </c>
      <c r="BB398" s="0" t="s">
        <v>130</v>
      </c>
      <c r="BC398" s="0" t="s">
        <v>130</v>
      </c>
      <c r="BD398" s="0" t="s">
        <v>130</v>
      </c>
      <c r="BE398" s="0" t="s">
        <v>130</v>
      </c>
      <c r="BF398" s="0" t="s">
        <v>130</v>
      </c>
      <c r="BG398" s="0" t="s">
        <v>130</v>
      </c>
      <c r="BH398" s="0" t="s">
        <v>130</v>
      </c>
      <c r="BI398" s="0" t="s">
        <v>130</v>
      </c>
      <c r="BJ398" s="0" t="s">
        <v>130</v>
      </c>
      <c r="BK398" s="0" t="s">
        <v>130</v>
      </c>
      <c r="BL398" s="0" t="s">
        <v>130</v>
      </c>
      <c r="BM398" s="0" t="s">
        <v>130</v>
      </c>
      <c r="BN398" s="0" t="s">
        <v>130</v>
      </c>
      <c r="BO398" s="0" t="s">
        <v>130</v>
      </c>
      <c r="BP398" s="0" t="s">
        <v>130</v>
      </c>
      <c r="BQ398" s="0" t="s">
        <v>130</v>
      </c>
      <c r="BR398" s="0" t="s">
        <v>130</v>
      </c>
      <c r="BS398" s="0" t="s">
        <v>130</v>
      </c>
      <c r="BT398" s="0" t="s">
        <v>130</v>
      </c>
      <c r="BU398" s="0" t="s">
        <v>130</v>
      </c>
      <c r="BV398" s="0" t="s">
        <v>130</v>
      </c>
      <c r="BW398" s="0" t="s">
        <v>130</v>
      </c>
      <c r="BX398" s="0" t="s">
        <v>130</v>
      </c>
      <c r="BY398" s="0" t="s">
        <v>130</v>
      </c>
      <c r="BZ398" s="0" t="s">
        <v>130</v>
      </c>
      <c r="CA398" s="0" t="s">
        <v>130</v>
      </c>
      <c r="CB398" s="0" t="s">
        <v>130</v>
      </c>
      <c r="CC398" s="0" t="s">
        <v>130</v>
      </c>
      <c r="CD398" s="0" t="s">
        <v>130</v>
      </c>
      <c r="CE398" s="0" t="s">
        <v>130</v>
      </c>
      <c r="CF398" s="0" t="s">
        <v>130</v>
      </c>
      <c r="CG398" s="0" t="s">
        <v>130</v>
      </c>
      <c r="CH398" s="0" t="s">
        <v>130</v>
      </c>
      <c r="CI398" s="0" t="s">
        <v>130</v>
      </c>
      <c r="CJ398" s="0" t="s">
        <v>130</v>
      </c>
      <c r="CK398" s="0" t="s">
        <v>141</v>
      </c>
      <c r="CL398" s="0" t="s">
        <v>130</v>
      </c>
      <c r="CM398" s="0" t="s">
        <v>130</v>
      </c>
      <c r="CN398" s="0" t="s">
        <v>130</v>
      </c>
      <c r="CO398" s="0" t="s">
        <v>130</v>
      </c>
      <c r="CP398" s="0" t="s">
        <v>130</v>
      </c>
      <c r="CQ398" s="0" t="s">
        <v>130</v>
      </c>
      <c r="CR398" s="0" t="s">
        <v>130</v>
      </c>
      <c r="CS398" s="0" t="s">
        <v>130</v>
      </c>
      <c r="CT398" s="0" t="s">
        <v>1412</v>
      </c>
    </row>
    <row r="399">
      <c r="A399" s="14">
        <v>101204</v>
      </c>
      <c r="B399" s="0" t="s">
        <v>1405</v>
      </c>
      <c r="C399" s="16">
        <f>HYPERLINK("https://eosportal.federatedhermes.com/companies/Q29tcGFueQppODU2ODA=", "PPG Industries Inc")</f>
      </c>
      <c r="D399" s="0" t="s">
        <v>25</v>
      </c>
      <c r="E399" s="0" t="s">
        <v>712</v>
      </c>
      <c r="F399" s="16">
        <f>HYPERLINK("https://eosportal.federatedhermes.com/engagements/RW5nYWdlbWVudAppMjAzMDg=", "Hazardous chemicals management")</f>
      </c>
      <c r="G399" s="14" t="s">
        <v>1413</v>
      </c>
      <c r="H399" s="0" t="s">
        <v>130</v>
      </c>
      <c r="I399" s="14" t="s">
        <v>319</v>
      </c>
      <c r="J399" s="0" t="s">
        <v>197</v>
      </c>
      <c r="K399" s="0" t="s">
        <v>348</v>
      </c>
      <c r="L399" s="0" t="s">
        <v>650</v>
      </c>
      <c r="M399" s="0" t="s">
        <v>135</v>
      </c>
      <c r="N399" s="0" t="s">
        <v>136</v>
      </c>
      <c r="O399" s="0" t="s">
        <v>706</v>
      </c>
      <c r="Q399" s="0" t="s">
        <v>141</v>
      </c>
      <c r="R399" s="0" t="s">
        <v>138</v>
      </c>
      <c r="S399" s="14">
        <v>1</v>
      </c>
      <c r="T399" s="0" t="s">
        <v>230</v>
      </c>
      <c r="U399" s="0" t="s">
        <v>138</v>
      </c>
      <c r="V399" s="14" t="s">
        <v>138</v>
      </c>
      <c r="W399" s="0" t="s">
        <v>138</v>
      </c>
      <c r="X399" s="14" t="s">
        <v>138</v>
      </c>
      <c r="Y399" s="0" t="s">
        <v>138</v>
      </c>
      <c r="Z399" s="14" t="s">
        <v>138</v>
      </c>
      <c r="AA399" s="0" t="s">
        <v>138</v>
      </c>
      <c r="AB399" s="14" t="s">
        <v>138</v>
      </c>
      <c r="AD399" s="0" t="s">
        <v>138</v>
      </c>
      <c r="AF399" s="0">
        <v>0</v>
      </c>
      <c r="AG399" s="0">
        <v>0</v>
      </c>
      <c r="AH399" s="0" t="s">
        <v>140</v>
      </c>
      <c r="AI399" s="0" t="s">
        <v>138</v>
      </c>
      <c r="AK399" s="0" t="s">
        <v>714</v>
      </c>
      <c r="AL399" s="14"/>
      <c r="AN399" s="14"/>
      <c r="AQ399" s="0" t="s">
        <v>130</v>
      </c>
      <c r="AR399" s="0" t="s">
        <v>130</v>
      </c>
      <c r="AS399" s="0" t="s">
        <v>141</v>
      </c>
      <c r="AT399" s="0" t="s">
        <v>130</v>
      </c>
      <c r="AU399" s="0" t="s">
        <v>130</v>
      </c>
      <c r="AV399" s="0" t="s">
        <v>130</v>
      </c>
      <c r="AW399" s="0" t="s">
        <v>130</v>
      </c>
      <c r="AX399" s="0" t="s">
        <v>130</v>
      </c>
      <c r="AY399" s="0" t="s">
        <v>130</v>
      </c>
      <c r="AZ399" s="0" t="s">
        <v>130</v>
      </c>
      <c r="BA399" s="0" t="s">
        <v>130</v>
      </c>
      <c r="BB399" s="0" t="s">
        <v>141</v>
      </c>
      <c r="BC399" s="0" t="s">
        <v>130</v>
      </c>
      <c r="BD399" s="0" t="s">
        <v>130</v>
      </c>
      <c r="BE399" s="0" t="s">
        <v>130</v>
      </c>
      <c r="BF399" s="0" t="s">
        <v>130</v>
      </c>
      <c r="BG399" s="0" t="s">
        <v>130</v>
      </c>
      <c r="BH399" s="0" t="s">
        <v>130</v>
      </c>
      <c r="BI399" s="0" t="s">
        <v>130</v>
      </c>
      <c r="BJ399" s="0" t="s">
        <v>130</v>
      </c>
      <c r="BK399" s="0" t="s">
        <v>130</v>
      </c>
      <c r="BL399" s="0" t="s">
        <v>130</v>
      </c>
      <c r="BM399" s="0" t="s">
        <v>130</v>
      </c>
      <c r="BN399" s="0" t="s">
        <v>130</v>
      </c>
      <c r="BO399" s="0" t="s">
        <v>130</v>
      </c>
      <c r="BP399" s="0" t="s">
        <v>130</v>
      </c>
      <c r="BQ399" s="0" t="s">
        <v>130</v>
      </c>
      <c r="BR399" s="0" t="s">
        <v>130</v>
      </c>
      <c r="BS399" s="0" t="s">
        <v>130</v>
      </c>
      <c r="BT399" s="0" t="s">
        <v>130</v>
      </c>
      <c r="BU399" s="0" t="s">
        <v>130</v>
      </c>
      <c r="BV399" s="0" t="s">
        <v>130</v>
      </c>
      <c r="BW399" s="0" t="s">
        <v>130</v>
      </c>
      <c r="BX399" s="0" t="s">
        <v>130</v>
      </c>
      <c r="BY399" s="0" t="s">
        <v>130</v>
      </c>
      <c r="BZ399" s="0" t="s">
        <v>130</v>
      </c>
      <c r="CA399" s="0" t="s">
        <v>130</v>
      </c>
      <c r="CB399" s="0" t="s">
        <v>130</v>
      </c>
      <c r="CC399" s="0" t="s">
        <v>130</v>
      </c>
      <c r="CD399" s="0" t="s">
        <v>130</v>
      </c>
      <c r="CE399" s="0" t="s">
        <v>130</v>
      </c>
      <c r="CF399" s="0" t="s">
        <v>130</v>
      </c>
      <c r="CG399" s="0" t="s">
        <v>130</v>
      </c>
      <c r="CH399" s="0" t="s">
        <v>130</v>
      </c>
      <c r="CI399" s="0" t="s">
        <v>130</v>
      </c>
      <c r="CJ399" s="0" t="s">
        <v>130</v>
      </c>
      <c r="CK399" s="0" t="s">
        <v>130</v>
      </c>
      <c r="CL399" s="0" t="s">
        <v>130</v>
      </c>
      <c r="CM399" s="0" t="s">
        <v>130</v>
      </c>
      <c r="CN399" s="0" t="s">
        <v>130</v>
      </c>
      <c r="CO399" s="0" t="s">
        <v>130</v>
      </c>
      <c r="CP399" s="0" t="s">
        <v>130</v>
      </c>
      <c r="CQ399" s="0" t="s">
        <v>130</v>
      </c>
      <c r="CR399" s="0" t="s">
        <v>130</v>
      </c>
      <c r="CS399" s="0" t="s">
        <v>130</v>
      </c>
      <c r="CT399" s="0" t="s">
        <v>1414</v>
      </c>
    </row>
    <row r="400">
      <c r="A400" s="14">
        <v>101204</v>
      </c>
      <c r="B400" s="0" t="s">
        <v>1405</v>
      </c>
      <c r="C400" s="16">
        <f>HYPERLINK("https://eosportal.federatedhermes.com/companies/Q29tcGFueQppODU2ODA=", "PPG Industries Inc")</f>
      </c>
      <c r="D400" s="0" t="s">
        <v>25</v>
      </c>
      <c r="E400" s="0" t="s">
        <v>143</v>
      </c>
      <c r="F400" s="16">
        <f>HYPERLINK("https://eosportal.federatedhermes.com/engagements/RW5nYWdlbWVudAppMjAzMDk=", "Executive compensation")</f>
      </c>
      <c r="G400" s="14" t="s">
        <v>1415</v>
      </c>
      <c r="H400" s="0" t="s">
        <v>130</v>
      </c>
      <c r="I400" s="14" t="s">
        <v>319</v>
      </c>
      <c r="J400" s="0" t="s">
        <v>145</v>
      </c>
      <c r="K400" s="0" t="s">
        <v>146</v>
      </c>
      <c r="L400" s="0" t="s">
        <v>500</v>
      </c>
      <c r="M400" s="0" t="s">
        <v>135</v>
      </c>
      <c r="N400" s="0" t="s">
        <v>136</v>
      </c>
      <c r="O400" s="0" t="s">
        <v>706</v>
      </c>
      <c r="Q400" s="0" t="s">
        <v>130</v>
      </c>
      <c r="R400" s="0" t="s">
        <v>138</v>
      </c>
      <c r="S400" s="14">
        <v>0</v>
      </c>
      <c r="T400" s="0" t="s">
        <v>288</v>
      </c>
      <c r="U400" s="0" t="s">
        <v>138</v>
      </c>
      <c r="V400" s="14" t="s">
        <v>138</v>
      </c>
      <c r="W400" s="0" t="s">
        <v>138</v>
      </c>
      <c r="X400" s="14" t="s">
        <v>138</v>
      </c>
      <c r="Y400" s="0" t="s">
        <v>138</v>
      </c>
      <c r="Z400" s="14" t="s">
        <v>138</v>
      </c>
      <c r="AA400" s="0" t="s">
        <v>138</v>
      </c>
      <c r="AB400" s="14" t="s">
        <v>138</v>
      </c>
      <c r="AD400" s="0" t="s">
        <v>138</v>
      </c>
      <c r="AF400" s="0">
        <v>0</v>
      </c>
      <c r="AG400" s="0">
        <v>0</v>
      </c>
      <c r="AH400" s="0" t="s">
        <v>140</v>
      </c>
      <c r="AI400" s="0" t="s">
        <v>138</v>
      </c>
      <c r="AL400" s="14"/>
      <c r="AN400" s="14"/>
      <c r="AQ400" s="0" t="s">
        <v>130</v>
      </c>
      <c r="AR400" s="0" t="s">
        <v>130</v>
      </c>
      <c r="AS400" s="0" t="s">
        <v>130</v>
      </c>
      <c r="AT400" s="0" t="s">
        <v>130</v>
      </c>
      <c r="AU400" s="0" t="s">
        <v>130</v>
      </c>
      <c r="AV400" s="0" t="s">
        <v>130</v>
      </c>
      <c r="AW400" s="0" t="s">
        <v>130</v>
      </c>
      <c r="AX400" s="0" t="s">
        <v>130</v>
      </c>
      <c r="AY400" s="0" t="s">
        <v>130</v>
      </c>
      <c r="AZ400" s="0" t="s">
        <v>130</v>
      </c>
      <c r="BA400" s="0" t="s">
        <v>130</v>
      </c>
      <c r="BB400" s="0" t="s">
        <v>130</v>
      </c>
      <c r="BC400" s="0" t="s">
        <v>130</v>
      </c>
      <c r="BD400" s="0" t="s">
        <v>130</v>
      </c>
      <c r="BE400" s="0" t="s">
        <v>130</v>
      </c>
      <c r="BF400" s="0" t="s">
        <v>130</v>
      </c>
      <c r="BG400" s="0" t="s">
        <v>130</v>
      </c>
      <c r="BH400" s="0" t="s">
        <v>130</v>
      </c>
      <c r="BI400" s="0" t="s">
        <v>130</v>
      </c>
      <c r="BJ400" s="0" t="s">
        <v>130</v>
      </c>
      <c r="BK400" s="0" t="s">
        <v>130</v>
      </c>
      <c r="BL400" s="0" t="s">
        <v>130</v>
      </c>
      <c r="BM400" s="0" t="s">
        <v>130</v>
      </c>
      <c r="BN400" s="0" t="s">
        <v>130</v>
      </c>
      <c r="BO400" s="0" t="s">
        <v>130</v>
      </c>
      <c r="BP400" s="0" t="s">
        <v>130</v>
      </c>
      <c r="BQ400" s="0" t="s">
        <v>130</v>
      </c>
      <c r="BR400" s="0" t="s">
        <v>130</v>
      </c>
      <c r="BS400" s="0" t="s">
        <v>130</v>
      </c>
      <c r="BT400" s="0" t="s">
        <v>130</v>
      </c>
      <c r="BU400" s="0" t="s">
        <v>130</v>
      </c>
      <c r="BV400" s="0" t="s">
        <v>130</v>
      </c>
      <c r="BW400" s="0" t="s">
        <v>130</v>
      </c>
      <c r="BX400" s="0" t="s">
        <v>130</v>
      </c>
      <c r="BY400" s="0" t="s">
        <v>130</v>
      </c>
      <c r="BZ400" s="0" t="s">
        <v>130</v>
      </c>
      <c r="CA400" s="0" t="s">
        <v>130</v>
      </c>
      <c r="CB400" s="0" t="s">
        <v>130</v>
      </c>
      <c r="CC400" s="0" t="s">
        <v>130</v>
      </c>
      <c r="CD400" s="0" t="s">
        <v>130</v>
      </c>
      <c r="CE400" s="0" t="s">
        <v>130</v>
      </c>
      <c r="CF400" s="0" t="s">
        <v>130</v>
      </c>
      <c r="CG400" s="0" t="s">
        <v>130</v>
      </c>
      <c r="CH400" s="0" t="s">
        <v>130</v>
      </c>
      <c r="CI400" s="0" t="s">
        <v>130</v>
      </c>
      <c r="CJ400" s="0" t="s">
        <v>130</v>
      </c>
      <c r="CK400" s="0" t="s">
        <v>130</v>
      </c>
      <c r="CL400" s="0" t="s">
        <v>130</v>
      </c>
      <c r="CM400" s="0" t="s">
        <v>130</v>
      </c>
      <c r="CN400" s="0" t="s">
        <v>130</v>
      </c>
      <c r="CO400" s="0" t="s">
        <v>130</v>
      </c>
      <c r="CP400" s="0" t="s">
        <v>130</v>
      </c>
      <c r="CQ400" s="0" t="s">
        <v>130</v>
      </c>
      <c r="CR400" s="0" t="s">
        <v>130</v>
      </c>
      <c r="CS400" s="0" t="s">
        <v>130</v>
      </c>
      <c r="CT400" s="0" t="s">
        <v>1416</v>
      </c>
    </row>
    <row r="401">
      <c r="A401" s="14">
        <v>101204</v>
      </c>
      <c r="B401" s="0" t="s">
        <v>1405</v>
      </c>
      <c r="C401" s="16">
        <f>HYPERLINK("https://eosportal.federatedhermes.com/companies/Q29tcGFueQppODU2ODA=", "PPG Industries Inc")</f>
      </c>
      <c r="D401" s="0" t="s">
        <v>25</v>
      </c>
      <c r="E401" s="0" t="s">
        <v>1417</v>
      </c>
      <c r="F401" s="16">
        <f>HYPERLINK("https://eosportal.federatedhermes.com/engagements/RW5nYWdlbWVudAppMjAzMTA=", "Emissions targets")</f>
      </c>
      <c r="G401" s="14" t="s">
        <v>1418</v>
      </c>
      <c r="H401" s="0" t="s">
        <v>130</v>
      </c>
      <c r="I401" s="14" t="s">
        <v>319</v>
      </c>
      <c r="J401" s="0" t="s">
        <v>132</v>
      </c>
      <c r="K401" s="0" t="s">
        <v>133</v>
      </c>
      <c r="L401" s="0" t="s">
        <v>160</v>
      </c>
      <c r="M401" s="0" t="s">
        <v>135</v>
      </c>
      <c r="N401" s="0" t="s">
        <v>136</v>
      </c>
      <c r="O401" s="0" t="s">
        <v>706</v>
      </c>
      <c r="Q401" s="0" t="s">
        <v>130</v>
      </c>
      <c r="R401" s="0" t="s">
        <v>138</v>
      </c>
      <c r="S401" s="14">
        <v>0</v>
      </c>
      <c r="T401" s="0" t="s">
        <v>394</v>
      </c>
      <c r="U401" s="0" t="s">
        <v>138</v>
      </c>
      <c r="V401" s="14" t="s">
        <v>138</v>
      </c>
      <c r="W401" s="0" t="s">
        <v>138</v>
      </c>
      <c r="X401" s="14" t="s">
        <v>138</v>
      </c>
      <c r="Y401" s="0" t="s">
        <v>138</v>
      </c>
      <c r="Z401" s="14" t="s">
        <v>138</v>
      </c>
      <c r="AA401" s="0" t="s">
        <v>138</v>
      </c>
      <c r="AB401" s="14" t="s">
        <v>138</v>
      </c>
      <c r="AD401" s="0" t="s">
        <v>138</v>
      </c>
      <c r="AF401" s="0">
        <v>0</v>
      </c>
      <c r="AG401" s="0">
        <v>0</v>
      </c>
      <c r="AH401" s="0" t="s">
        <v>140</v>
      </c>
      <c r="AI401" s="0" t="s">
        <v>138</v>
      </c>
      <c r="AL401" s="14"/>
      <c r="AN401" s="14"/>
      <c r="AQ401" s="0" t="s">
        <v>130</v>
      </c>
      <c r="AR401" s="0" t="s">
        <v>130</v>
      </c>
      <c r="AS401" s="0" t="s">
        <v>130</v>
      </c>
      <c r="AT401" s="0" t="s">
        <v>130</v>
      </c>
      <c r="AU401" s="0" t="s">
        <v>130</v>
      </c>
      <c r="AV401" s="0" t="s">
        <v>130</v>
      </c>
      <c r="AW401" s="0" t="s">
        <v>130</v>
      </c>
      <c r="AX401" s="0" t="s">
        <v>130</v>
      </c>
      <c r="AY401" s="0" t="s">
        <v>130</v>
      </c>
      <c r="AZ401" s="0" t="s">
        <v>130</v>
      </c>
      <c r="BA401" s="0" t="s">
        <v>130</v>
      </c>
      <c r="BB401" s="0" t="s">
        <v>130</v>
      </c>
      <c r="BC401" s="0" t="s">
        <v>141</v>
      </c>
      <c r="BD401" s="0" t="s">
        <v>130</v>
      </c>
      <c r="BE401" s="0" t="s">
        <v>130</v>
      </c>
      <c r="BF401" s="0" t="s">
        <v>130</v>
      </c>
      <c r="BG401" s="0" t="s">
        <v>130</v>
      </c>
      <c r="BH401" s="0" t="s">
        <v>130</v>
      </c>
      <c r="BI401" s="0" t="s">
        <v>130</v>
      </c>
      <c r="BJ401" s="0" t="s">
        <v>130</v>
      </c>
      <c r="BK401" s="0" t="s">
        <v>130</v>
      </c>
      <c r="BL401" s="0" t="s">
        <v>130</v>
      </c>
      <c r="BM401" s="0" t="s">
        <v>130</v>
      </c>
      <c r="BN401" s="0" t="s">
        <v>130</v>
      </c>
      <c r="BO401" s="0" t="s">
        <v>130</v>
      </c>
      <c r="BP401" s="0" t="s">
        <v>130</v>
      </c>
      <c r="BQ401" s="0" t="s">
        <v>130</v>
      </c>
      <c r="BR401" s="0" t="s">
        <v>130</v>
      </c>
      <c r="BS401" s="0" t="s">
        <v>130</v>
      </c>
      <c r="BT401" s="0" t="s">
        <v>130</v>
      </c>
      <c r="BU401" s="0" t="s">
        <v>130</v>
      </c>
      <c r="BV401" s="0" t="s">
        <v>130</v>
      </c>
      <c r="BW401" s="0" t="s">
        <v>130</v>
      </c>
      <c r="BX401" s="0" t="s">
        <v>130</v>
      </c>
      <c r="BY401" s="0" t="s">
        <v>130</v>
      </c>
      <c r="BZ401" s="0" t="s">
        <v>130</v>
      </c>
      <c r="CA401" s="0" t="s">
        <v>130</v>
      </c>
      <c r="CB401" s="0" t="s">
        <v>130</v>
      </c>
      <c r="CC401" s="0" t="s">
        <v>130</v>
      </c>
      <c r="CD401" s="0" t="s">
        <v>130</v>
      </c>
      <c r="CE401" s="0" t="s">
        <v>130</v>
      </c>
      <c r="CF401" s="0" t="s">
        <v>130</v>
      </c>
      <c r="CG401" s="0" t="s">
        <v>130</v>
      </c>
      <c r="CH401" s="0" t="s">
        <v>130</v>
      </c>
      <c r="CI401" s="0" t="s">
        <v>130</v>
      </c>
      <c r="CJ401" s="0" t="s">
        <v>130</v>
      </c>
      <c r="CK401" s="0" t="s">
        <v>130</v>
      </c>
      <c r="CL401" s="0" t="s">
        <v>130</v>
      </c>
      <c r="CM401" s="0" t="s">
        <v>130</v>
      </c>
      <c r="CN401" s="0" t="s">
        <v>130</v>
      </c>
      <c r="CO401" s="0" t="s">
        <v>130</v>
      </c>
      <c r="CP401" s="0" t="s">
        <v>130</v>
      </c>
      <c r="CQ401" s="0" t="s">
        <v>130</v>
      </c>
      <c r="CR401" s="0" t="s">
        <v>130</v>
      </c>
      <c r="CS401" s="0" t="s">
        <v>130</v>
      </c>
      <c r="CT401" s="0" t="s">
        <v>1419</v>
      </c>
    </row>
    <row r="402">
      <c r="A402" s="14">
        <v>101214</v>
      </c>
      <c r="B402" s="0" t="s">
        <v>1420</v>
      </c>
      <c r="C402" s="16">
        <f>HYPERLINK("https://eosportal.federatedhermes.com/companies/Q29tcGFueQppNTg5OTE=", "Citigroup Inc")</f>
      </c>
      <c r="D402" s="0" t="s">
        <v>25</v>
      </c>
      <c r="E402" s="0" t="s">
        <v>1421</v>
      </c>
      <c r="F402" s="16">
        <f>HYPERLINK("https://eosportal.federatedhermes.com/engagements/RW5nYWdlbWVudAppMjAzMTg=", "Dakota Access Pipeline")</f>
      </c>
      <c r="G402" s="14" t="s">
        <v>1422</v>
      </c>
      <c r="H402" s="0" t="s">
        <v>141</v>
      </c>
      <c r="I402" s="14" t="s">
        <v>191</v>
      </c>
      <c r="J402" s="0" t="s">
        <v>153</v>
      </c>
      <c r="K402" s="0" t="s">
        <v>243</v>
      </c>
      <c r="L402" s="0" t="s">
        <v>571</v>
      </c>
      <c r="M402" s="0" t="s">
        <v>135</v>
      </c>
      <c r="N402" s="0" t="s">
        <v>136</v>
      </c>
      <c r="O402" s="0" t="s">
        <v>238</v>
      </c>
      <c r="Q402" s="0" t="s">
        <v>130</v>
      </c>
      <c r="R402" s="0" t="s">
        <v>138</v>
      </c>
      <c r="S402" s="14">
        <v>0</v>
      </c>
      <c r="T402" s="0" t="s">
        <v>239</v>
      </c>
      <c r="U402" s="0" t="s">
        <v>138</v>
      </c>
      <c r="V402" s="14" t="s">
        <v>138</v>
      </c>
      <c r="W402" s="0" t="s">
        <v>138</v>
      </c>
      <c r="X402" s="14" t="s">
        <v>138</v>
      </c>
      <c r="Y402" s="0" t="s">
        <v>138</v>
      </c>
      <c r="Z402" s="14" t="s">
        <v>138</v>
      </c>
      <c r="AA402" s="0" t="s">
        <v>138</v>
      </c>
      <c r="AB402" s="14" t="s">
        <v>138</v>
      </c>
      <c r="AD402" s="0" t="s">
        <v>138</v>
      </c>
      <c r="AF402" s="0">
        <v>0</v>
      </c>
      <c r="AG402" s="0">
        <v>0</v>
      </c>
      <c r="AH402" s="0" t="s">
        <v>140</v>
      </c>
      <c r="AI402" s="0" t="s">
        <v>138</v>
      </c>
      <c r="AL402" s="14"/>
      <c r="AN402" s="14"/>
      <c r="AQ402" s="0" t="s">
        <v>130</v>
      </c>
      <c r="AR402" s="0" t="s">
        <v>130</v>
      </c>
      <c r="AS402" s="0" t="s">
        <v>130</v>
      </c>
      <c r="AT402" s="0" t="s">
        <v>130</v>
      </c>
      <c r="AU402" s="0" t="s">
        <v>130</v>
      </c>
      <c r="AV402" s="0" t="s">
        <v>130</v>
      </c>
      <c r="AW402" s="0" t="s">
        <v>130</v>
      </c>
      <c r="AX402" s="0" t="s">
        <v>130</v>
      </c>
      <c r="AY402" s="0" t="s">
        <v>130</v>
      </c>
      <c r="AZ402" s="0" t="s">
        <v>141</v>
      </c>
      <c r="BA402" s="0" t="s">
        <v>141</v>
      </c>
      <c r="BB402" s="0" t="s">
        <v>130</v>
      </c>
      <c r="BC402" s="0" t="s">
        <v>130</v>
      </c>
      <c r="BD402" s="0" t="s">
        <v>130</v>
      </c>
      <c r="BE402" s="0" t="s">
        <v>130</v>
      </c>
      <c r="BF402" s="0" t="s">
        <v>141</v>
      </c>
      <c r="BG402" s="0" t="s">
        <v>130</v>
      </c>
      <c r="BH402" s="0" t="s">
        <v>130</v>
      </c>
      <c r="BI402" s="0" t="s">
        <v>130</v>
      </c>
      <c r="BJ402" s="0" t="s">
        <v>130</v>
      </c>
      <c r="BK402" s="0" t="s">
        <v>130</v>
      </c>
      <c r="BL402" s="0" t="s">
        <v>130</v>
      </c>
      <c r="BM402" s="0" t="s">
        <v>130</v>
      </c>
      <c r="BN402" s="0" t="s">
        <v>130</v>
      </c>
      <c r="BO402" s="0" t="s">
        <v>130</v>
      </c>
      <c r="BP402" s="0" t="s">
        <v>130</v>
      </c>
      <c r="BQ402" s="0" t="s">
        <v>130</v>
      </c>
      <c r="BR402" s="0" t="s">
        <v>130</v>
      </c>
      <c r="BS402" s="0" t="s">
        <v>130</v>
      </c>
      <c r="BT402" s="0" t="s">
        <v>130</v>
      </c>
      <c r="BU402" s="0" t="s">
        <v>130</v>
      </c>
      <c r="BV402" s="0" t="s">
        <v>130</v>
      </c>
      <c r="BW402" s="0" t="s">
        <v>130</v>
      </c>
      <c r="BX402" s="0" t="s">
        <v>130</v>
      </c>
      <c r="BY402" s="0" t="s">
        <v>130</v>
      </c>
      <c r="BZ402" s="0" t="s">
        <v>130</v>
      </c>
      <c r="CA402" s="0" t="s">
        <v>130</v>
      </c>
      <c r="CB402" s="0" t="s">
        <v>130</v>
      </c>
      <c r="CC402" s="0" t="s">
        <v>130</v>
      </c>
      <c r="CD402" s="0" t="s">
        <v>130</v>
      </c>
      <c r="CE402" s="0" t="s">
        <v>130</v>
      </c>
      <c r="CF402" s="0" t="s">
        <v>130</v>
      </c>
      <c r="CG402" s="0" t="s">
        <v>130</v>
      </c>
      <c r="CH402" s="0" t="s">
        <v>130</v>
      </c>
      <c r="CI402" s="0" t="s">
        <v>130</v>
      </c>
      <c r="CJ402" s="0" t="s">
        <v>130</v>
      </c>
      <c r="CK402" s="0" t="s">
        <v>130</v>
      </c>
      <c r="CL402" s="0" t="s">
        <v>130</v>
      </c>
      <c r="CM402" s="0" t="s">
        <v>130</v>
      </c>
      <c r="CN402" s="0" t="s">
        <v>130</v>
      </c>
      <c r="CO402" s="0" t="s">
        <v>130</v>
      </c>
      <c r="CP402" s="0" t="s">
        <v>130</v>
      </c>
      <c r="CQ402" s="0" t="s">
        <v>130</v>
      </c>
      <c r="CR402" s="0" t="s">
        <v>130</v>
      </c>
      <c r="CS402" s="0" t="s">
        <v>130</v>
      </c>
      <c r="CT402" s="0" t="s">
        <v>1423</v>
      </c>
    </row>
    <row r="403">
      <c r="A403" s="14">
        <v>101214</v>
      </c>
      <c r="B403" s="0" t="s">
        <v>1420</v>
      </c>
      <c r="C403" s="16">
        <f>HYPERLINK("https://eosportal.federatedhermes.com/companies/Q29tcGFueQppNTg5OTE=", "Citigroup Inc")</f>
      </c>
      <c r="D403" s="0" t="s">
        <v>25</v>
      </c>
      <c r="E403" s="0" t="s">
        <v>1424</v>
      </c>
      <c r="F403" s="16">
        <f>HYPERLINK("https://eosportal.federatedhermes.com/engagements/RW5nYWdlbWVudAppMjAzMTk=", "Robust capital allocation and dividend plans assessment methodology")</f>
      </c>
      <c r="G403" s="14" t="s">
        <v>1425</v>
      </c>
      <c r="H403" s="0" t="s">
        <v>141</v>
      </c>
      <c r="I403" s="14" t="s">
        <v>191</v>
      </c>
      <c r="J403" s="0" t="s">
        <v>153</v>
      </c>
      <c r="K403" s="0" t="s">
        <v>185</v>
      </c>
      <c r="L403" s="0" t="s">
        <v>186</v>
      </c>
      <c r="M403" s="0" t="s">
        <v>135</v>
      </c>
      <c r="N403" s="0" t="s">
        <v>136</v>
      </c>
      <c r="O403" s="0" t="s">
        <v>238</v>
      </c>
      <c r="Q403" s="0" t="s">
        <v>130</v>
      </c>
      <c r="R403" s="0" t="s">
        <v>138</v>
      </c>
      <c r="S403" s="14">
        <v>0</v>
      </c>
      <c r="T403" s="0" t="s">
        <v>181</v>
      </c>
      <c r="U403" s="0" t="s">
        <v>138</v>
      </c>
      <c r="V403" s="14" t="s">
        <v>138</v>
      </c>
      <c r="W403" s="0" t="s">
        <v>138</v>
      </c>
      <c r="X403" s="14" t="s">
        <v>138</v>
      </c>
      <c r="Y403" s="0" t="s">
        <v>138</v>
      </c>
      <c r="Z403" s="14" t="s">
        <v>138</v>
      </c>
      <c r="AA403" s="0" t="s">
        <v>138</v>
      </c>
      <c r="AB403" s="14" t="s">
        <v>138</v>
      </c>
      <c r="AD403" s="0" t="s">
        <v>138</v>
      </c>
      <c r="AF403" s="0">
        <v>0</v>
      </c>
      <c r="AG403" s="0">
        <v>0</v>
      </c>
      <c r="AH403" s="0" t="s">
        <v>140</v>
      </c>
      <c r="AI403" s="0" t="s">
        <v>138</v>
      </c>
      <c r="AL403" s="14"/>
      <c r="AN403" s="14"/>
      <c r="AQ403" s="0" t="s">
        <v>130</v>
      </c>
      <c r="AR403" s="0" t="s">
        <v>130</v>
      </c>
      <c r="AS403" s="0" t="s">
        <v>130</v>
      </c>
      <c r="AT403" s="0" t="s">
        <v>130</v>
      </c>
      <c r="AU403" s="0" t="s">
        <v>130</v>
      </c>
      <c r="AV403" s="0" t="s">
        <v>130</v>
      </c>
      <c r="AW403" s="0" t="s">
        <v>130</v>
      </c>
      <c r="AX403" s="0" t="s">
        <v>130</v>
      </c>
      <c r="AY403" s="0" t="s">
        <v>130</v>
      </c>
      <c r="AZ403" s="0" t="s">
        <v>130</v>
      </c>
      <c r="BA403" s="0" t="s">
        <v>130</v>
      </c>
      <c r="BB403" s="0" t="s">
        <v>130</v>
      </c>
      <c r="BC403" s="0" t="s">
        <v>130</v>
      </c>
      <c r="BD403" s="0" t="s">
        <v>130</v>
      </c>
      <c r="BE403" s="0" t="s">
        <v>130</v>
      </c>
      <c r="BF403" s="0" t="s">
        <v>130</v>
      </c>
      <c r="BG403" s="0" t="s">
        <v>130</v>
      </c>
      <c r="BH403" s="0" t="s">
        <v>130</v>
      </c>
      <c r="BI403" s="0" t="s">
        <v>130</v>
      </c>
      <c r="BJ403" s="0" t="s">
        <v>130</v>
      </c>
      <c r="BK403" s="0" t="s">
        <v>130</v>
      </c>
      <c r="BL403" s="0" t="s">
        <v>130</v>
      </c>
      <c r="BM403" s="0" t="s">
        <v>130</v>
      </c>
      <c r="BN403" s="0" t="s">
        <v>130</v>
      </c>
      <c r="BO403" s="0" t="s">
        <v>130</v>
      </c>
      <c r="BP403" s="0" t="s">
        <v>130</v>
      </c>
      <c r="BQ403" s="0" t="s">
        <v>130</v>
      </c>
      <c r="BR403" s="0" t="s">
        <v>130</v>
      </c>
      <c r="BS403" s="0" t="s">
        <v>130</v>
      </c>
      <c r="BT403" s="0" t="s">
        <v>130</v>
      </c>
      <c r="BU403" s="0" t="s">
        <v>130</v>
      </c>
      <c r="BV403" s="0" t="s">
        <v>130</v>
      </c>
      <c r="BW403" s="0" t="s">
        <v>130</v>
      </c>
      <c r="BX403" s="0" t="s">
        <v>130</v>
      </c>
      <c r="BY403" s="0" t="s">
        <v>130</v>
      </c>
      <c r="BZ403" s="0" t="s">
        <v>130</v>
      </c>
      <c r="CA403" s="0" t="s">
        <v>130</v>
      </c>
      <c r="CB403" s="0" t="s">
        <v>130</v>
      </c>
      <c r="CC403" s="0" t="s">
        <v>130</v>
      </c>
      <c r="CD403" s="0" t="s">
        <v>130</v>
      </c>
      <c r="CE403" s="0" t="s">
        <v>130</v>
      </c>
      <c r="CF403" s="0" t="s">
        <v>130</v>
      </c>
      <c r="CG403" s="0" t="s">
        <v>130</v>
      </c>
      <c r="CH403" s="0" t="s">
        <v>130</v>
      </c>
      <c r="CI403" s="0" t="s">
        <v>130</v>
      </c>
      <c r="CJ403" s="0" t="s">
        <v>130</v>
      </c>
      <c r="CK403" s="0" t="s">
        <v>130</v>
      </c>
      <c r="CL403" s="0" t="s">
        <v>130</v>
      </c>
      <c r="CM403" s="0" t="s">
        <v>130</v>
      </c>
      <c r="CN403" s="0" t="s">
        <v>130</v>
      </c>
      <c r="CO403" s="0" t="s">
        <v>130</v>
      </c>
      <c r="CP403" s="0" t="s">
        <v>130</v>
      </c>
      <c r="CQ403" s="0" t="s">
        <v>130</v>
      </c>
      <c r="CR403" s="0" t="s">
        <v>130</v>
      </c>
      <c r="CS403" s="0" t="s">
        <v>130</v>
      </c>
      <c r="CT403" s="0" t="s">
        <v>1426</v>
      </c>
    </row>
    <row r="404">
      <c r="A404" s="14">
        <v>101214</v>
      </c>
      <c r="B404" s="0" t="s">
        <v>1420</v>
      </c>
      <c r="C404" s="16">
        <f>HYPERLINK("https://eosportal.federatedhermes.com/companies/Q29tcGFueQppNTg5OTE=", "Citigroup Inc")</f>
      </c>
      <c r="D404" s="0" t="s">
        <v>25</v>
      </c>
      <c r="E404" s="0" t="s">
        <v>1427</v>
      </c>
      <c r="F404" s="16">
        <f>HYPERLINK("https://eosportal.federatedhermes.com/engagements/RW5nYWdlbWVudAppMjAzMjA=", "Post-financial crisis restructuring of Citigroup")</f>
      </c>
      <c r="G404" s="14" t="s">
        <v>1427</v>
      </c>
      <c r="H404" s="0" t="s">
        <v>141</v>
      </c>
      <c r="I404" s="14" t="s">
        <v>191</v>
      </c>
      <c r="J404" s="0" t="s">
        <v>132</v>
      </c>
      <c r="K404" s="0" t="s">
        <v>260</v>
      </c>
      <c r="L404" s="0" t="s">
        <v>261</v>
      </c>
      <c r="M404" s="0" t="s">
        <v>135</v>
      </c>
      <c r="N404" s="0" t="s">
        <v>136</v>
      </c>
      <c r="O404" s="0" t="s">
        <v>238</v>
      </c>
      <c r="Q404" s="0" t="s">
        <v>130</v>
      </c>
      <c r="R404" s="0" t="s">
        <v>138</v>
      </c>
      <c r="S404" s="14">
        <v>0</v>
      </c>
      <c r="T404" s="0" t="s">
        <v>1305</v>
      </c>
      <c r="U404" s="0" t="s">
        <v>138</v>
      </c>
      <c r="V404" s="14" t="s">
        <v>138</v>
      </c>
      <c r="W404" s="0" t="s">
        <v>138</v>
      </c>
      <c r="X404" s="14" t="s">
        <v>138</v>
      </c>
      <c r="Y404" s="0" t="s">
        <v>138</v>
      </c>
      <c r="Z404" s="14" t="s">
        <v>138</v>
      </c>
      <c r="AA404" s="0" t="s">
        <v>138</v>
      </c>
      <c r="AB404" s="14" t="s">
        <v>138</v>
      </c>
      <c r="AD404" s="0" t="s">
        <v>138</v>
      </c>
      <c r="AF404" s="0">
        <v>0</v>
      </c>
      <c r="AG404" s="0">
        <v>0</v>
      </c>
      <c r="AH404" s="0" t="s">
        <v>140</v>
      </c>
      <c r="AI404" s="0" t="s">
        <v>138</v>
      </c>
      <c r="AL404" s="14"/>
      <c r="AN404" s="14"/>
      <c r="AQ404" s="0" t="s">
        <v>130</v>
      </c>
      <c r="AR404" s="0" t="s">
        <v>130</v>
      </c>
      <c r="AS404" s="0" t="s">
        <v>130</v>
      </c>
      <c r="AT404" s="0" t="s">
        <v>130</v>
      </c>
      <c r="AU404" s="0" t="s">
        <v>130</v>
      </c>
      <c r="AV404" s="0" t="s">
        <v>130</v>
      </c>
      <c r="AW404" s="0" t="s">
        <v>130</v>
      </c>
      <c r="AX404" s="0" t="s">
        <v>130</v>
      </c>
      <c r="AY404" s="0" t="s">
        <v>130</v>
      </c>
      <c r="AZ404" s="0" t="s">
        <v>130</v>
      </c>
      <c r="BA404" s="0" t="s">
        <v>130</v>
      </c>
      <c r="BB404" s="0" t="s">
        <v>130</v>
      </c>
      <c r="BC404" s="0" t="s">
        <v>130</v>
      </c>
      <c r="BD404" s="0" t="s">
        <v>130</v>
      </c>
      <c r="BE404" s="0" t="s">
        <v>130</v>
      </c>
      <c r="BF404" s="0" t="s">
        <v>130</v>
      </c>
      <c r="BG404" s="0" t="s">
        <v>130</v>
      </c>
      <c r="BH404" s="0" t="s">
        <v>130</v>
      </c>
      <c r="BI404" s="0" t="s">
        <v>130</v>
      </c>
      <c r="BJ404" s="0" t="s">
        <v>130</v>
      </c>
      <c r="BK404" s="0" t="s">
        <v>130</v>
      </c>
      <c r="BL404" s="0" t="s">
        <v>130</v>
      </c>
      <c r="BM404" s="0" t="s">
        <v>130</v>
      </c>
      <c r="BN404" s="0" t="s">
        <v>130</v>
      </c>
      <c r="BO404" s="0" t="s">
        <v>130</v>
      </c>
      <c r="BP404" s="0" t="s">
        <v>130</v>
      </c>
      <c r="BQ404" s="0" t="s">
        <v>130</v>
      </c>
      <c r="BR404" s="0" t="s">
        <v>130</v>
      </c>
      <c r="BS404" s="0" t="s">
        <v>130</v>
      </c>
      <c r="BT404" s="0" t="s">
        <v>130</v>
      </c>
      <c r="BU404" s="0" t="s">
        <v>130</v>
      </c>
      <c r="BV404" s="0" t="s">
        <v>130</v>
      </c>
      <c r="BW404" s="0" t="s">
        <v>130</v>
      </c>
      <c r="BX404" s="0" t="s">
        <v>130</v>
      </c>
      <c r="BY404" s="0" t="s">
        <v>130</v>
      </c>
      <c r="BZ404" s="0" t="s">
        <v>130</v>
      </c>
      <c r="CA404" s="0" t="s">
        <v>130</v>
      </c>
      <c r="CB404" s="0" t="s">
        <v>130</v>
      </c>
      <c r="CC404" s="0" t="s">
        <v>130</v>
      </c>
      <c r="CD404" s="0" t="s">
        <v>130</v>
      </c>
      <c r="CE404" s="0" t="s">
        <v>130</v>
      </c>
      <c r="CF404" s="0" t="s">
        <v>130</v>
      </c>
      <c r="CG404" s="0" t="s">
        <v>130</v>
      </c>
      <c r="CH404" s="0" t="s">
        <v>130</v>
      </c>
      <c r="CI404" s="0" t="s">
        <v>130</v>
      </c>
      <c r="CJ404" s="0" t="s">
        <v>130</v>
      </c>
      <c r="CK404" s="0" t="s">
        <v>130</v>
      </c>
      <c r="CL404" s="0" t="s">
        <v>130</v>
      </c>
      <c r="CM404" s="0" t="s">
        <v>130</v>
      </c>
      <c r="CN404" s="0" t="s">
        <v>130</v>
      </c>
      <c r="CO404" s="0" t="s">
        <v>130</v>
      </c>
      <c r="CP404" s="0" t="s">
        <v>130</v>
      </c>
      <c r="CQ404" s="0" t="s">
        <v>130</v>
      </c>
      <c r="CR404" s="0" t="s">
        <v>130</v>
      </c>
      <c r="CS404" s="0" t="s">
        <v>130</v>
      </c>
      <c r="CT404" s="0" t="s">
        <v>1428</v>
      </c>
    </row>
    <row r="405">
      <c r="A405" s="14">
        <v>101214</v>
      </c>
      <c r="B405" s="0" t="s">
        <v>1420</v>
      </c>
      <c r="C405" s="16">
        <f>HYPERLINK("https://eosportal.federatedhermes.com/companies/Q29tcGFueQppNTg5OTE=", "Citigroup Inc")</f>
      </c>
      <c r="D405" s="0" t="s">
        <v>25</v>
      </c>
      <c r="E405" s="0" t="s">
        <v>1429</v>
      </c>
      <c r="F405" s="16">
        <f>HYPERLINK("https://eosportal.federatedhermes.com/engagements/RW5nYWdlbWVudAppMjAzMjE=", "Regulatory stress tests")</f>
      </c>
      <c r="G405" s="14" t="s">
        <v>1430</v>
      </c>
      <c r="H405" s="0" t="s">
        <v>141</v>
      </c>
      <c r="I405" s="14" t="s">
        <v>191</v>
      </c>
      <c r="J405" s="0" t="s">
        <v>153</v>
      </c>
      <c r="K405" s="0" t="s">
        <v>185</v>
      </c>
      <c r="L405" s="0" t="s">
        <v>186</v>
      </c>
      <c r="M405" s="0" t="s">
        <v>135</v>
      </c>
      <c r="N405" s="0" t="s">
        <v>136</v>
      </c>
      <c r="O405" s="0" t="s">
        <v>238</v>
      </c>
      <c r="Q405" s="0" t="s">
        <v>130</v>
      </c>
      <c r="R405" s="0" t="s">
        <v>138</v>
      </c>
      <c r="S405" s="14">
        <v>0</v>
      </c>
      <c r="T405" s="0" t="s">
        <v>920</v>
      </c>
      <c r="U405" s="0" t="s">
        <v>138</v>
      </c>
      <c r="V405" s="14" t="s">
        <v>138</v>
      </c>
      <c r="W405" s="0" t="s">
        <v>138</v>
      </c>
      <c r="X405" s="14" t="s">
        <v>138</v>
      </c>
      <c r="Y405" s="0" t="s">
        <v>138</v>
      </c>
      <c r="Z405" s="14" t="s">
        <v>138</v>
      </c>
      <c r="AA405" s="0" t="s">
        <v>138</v>
      </c>
      <c r="AB405" s="14" t="s">
        <v>138</v>
      </c>
      <c r="AD405" s="0" t="s">
        <v>138</v>
      </c>
      <c r="AF405" s="0">
        <v>0</v>
      </c>
      <c r="AG405" s="0">
        <v>0</v>
      </c>
      <c r="AH405" s="0" t="s">
        <v>140</v>
      </c>
      <c r="AI405" s="0" t="s">
        <v>138</v>
      </c>
      <c r="AL405" s="14"/>
      <c r="AN405" s="14"/>
      <c r="AQ405" s="0" t="s">
        <v>130</v>
      </c>
      <c r="AR405" s="0" t="s">
        <v>130</v>
      </c>
      <c r="AS405" s="0" t="s">
        <v>130</v>
      </c>
      <c r="AT405" s="0" t="s">
        <v>130</v>
      </c>
      <c r="AU405" s="0" t="s">
        <v>130</v>
      </c>
      <c r="AV405" s="0" t="s">
        <v>130</v>
      </c>
      <c r="AW405" s="0" t="s">
        <v>130</v>
      </c>
      <c r="AX405" s="0" t="s">
        <v>130</v>
      </c>
      <c r="AY405" s="0" t="s">
        <v>130</v>
      </c>
      <c r="AZ405" s="0" t="s">
        <v>130</v>
      </c>
      <c r="BA405" s="0" t="s">
        <v>130</v>
      </c>
      <c r="BB405" s="0" t="s">
        <v>130</v>
      </c>
      <c r="BC405" s="0" t="s">
        <v>130</v>
      </c>
      <c r="BD405" s="0" t="s">
        <v>130</v>
      </c>
      <c r="BE405" s="0" t="s">
        <v>130</v>
      </c>
      <c r="BF405" s="0" t="s">
        <v>130</v>
      </c>
      <c r="BG405" s="0" t="s">
        <v>130</v>
      </c>
      <c r="BH405" s="0" t="s">
        <v>130</v>
      </c>
      <c r="BI405" s="0" t="s">
        <v>130</v>
      </c>
      <c r="BJ405" s="0" t="s">
        <v>130</v>
      </c>
      <c r="BK405" s="0" t="s">
        <v>130</v>
      </c>
      <c r="BL405" s="0" t="s">
        <v>130</v>
      </c>
      <c r="BM405" s="0" t="s">
        <v>130</v>
      </c>
      <c r="BN405" s="0" t="s">
        <v>130</v>
      </c>
      <c r="BO405" s="0" t="s">
        <v>130</v>
      </c>
      <c r="BP405" s="0" t="s">
        <v>130</v>
      </c>
      <c r="BQ405" s="0" t="s">
        <v>130</v>
      </c>
      <c r="BR405" s="0" t="s">
        <v>130</v>
      </c>
      <c r="BS405" s="0" t="s">
        <v>130</v>
      </c>
      <c r="BT405" s="0" t="s">
        <v>130</v>
      </c>
      <c r="BU405" s="0" t="s">
        <v>130</v>
      </c>
      <c r="BV405" s="0" t="s">
        <v>130</v>
      </c>
      <c r="BW405" s="0" t="s">
        <v>130</v>
      </c>
      <c r="BX405" s="0" t="s">
        <v>130</v>
      </c>
      <c r="BY405" s="0" t="s">
        <v>130</v>
      </c>
      <c r="BZ405" s="0" t="s">
        <v>130</v>
      </c>
      <c r="CA405" s="0" t="s">
        <v>130</v>
      </c>
      <c r="CB405" s="0" t="s">
        <v>130</v>
      </c>
      <c r="CC405" s="0" t="s">
        <v>130</v>
      </c>
      <c r="CD405" s="0" t="s">
        <v>130</v>
      </c>
      <c r="CE405" s="0" t="s">
        <v>130</v>
      </c>
      <c r="CF405" s="0" t="s">
        <v>130</v>
      </c>
      <c r="CG405" s="0" t="s">
        <v>130</v>
      </c>
      <c r="CH405" s="0" t="s">
        <v>130</v>
      </c>
      <c r="CI405" s="0" t="s">
        <v>130</v>
      </c>
      <c r="CJ405" s="0" t="s">
        <v>130</v>
      </c>
      <c r="CK405" s="0" t="s">
        <v>130</v>
      </c>
      <c r="CL405" s="0" t="s">
        <v>130</v>
      </c>
      <c r="CM405" s="0" t="s">
        <v>130</v>
      </c>
      <c r="CN405" s="0" t="s">
        <v>130</v>
      </c>
      <c r="CO405" s="0" t="s">
        <v>130</v>
      </c>
      <c r="CP405" s="0" t="s">
        <v>130</v>
      </c>
      <c r="CQ405" s="0" t="s">
        <v>130</v>
      </c>
      <c r="CR405" s="0" t="s">
        <v>130</v>
      </c>
      <c r="CS405" s="0" t="s">
        <v>130</v>
      </c>
      <c r="CT405" s="0" t="s">
        <v>1431</v>
      </c>
    </row>
    <row r="406">
      <c r="A406" s="14">
        <v>101214</v>
      </c>
      <c r="B406" s="0" t="s">
        <v>1420</v>
      </c>
      <c r="C406" s="16">
        <f>HYPERLINK("https://eosportal.federatedhermes.com/companies/Q29tcGFueQppNTg5OTE=", "Citigroup Inc")</f>
      </c>
      <c r="D406" s="0" t="s">
        <v>25</v>
      </c>
      <c r="E406" s="0" t="s">
        <v>1432</v>
      </c>
      <c r="F406" s="16">
        <f>HYPERLINK("https://eosportal.federatedhermes.com/engagements/RW5nYWdlbWVudAppMjAzMjI=", "Sustainable Development Goals reporting")</f>
      </c>
      <c r="G406" s="14" t="s">
        <v>1433</v>
      </c>
      <c r="H406" s="0" t="s">
        <v>141</v>
      </c>
      <c r="I406" s="14" t="s">
        <v>191</v>
      </c>
      <c r="J406" s="0" t="s">
        <v>132</v>
      </c>
      <c r="K406" s="0" t="s">
        <v>170</v>
      </c>
      <c r="L406" s="0" t="s">
        <v>171</v>
      </c>
      <c r="M406" s="0" t="s">
        <v>135</v>
      </c>
      <c r="N406" s="0" t="s">
        <v>136</v>
      </c>
      <c r="O406" s="0" t="s">
        <v>238</v>
      </c>
      <c r="Q406" s="0" t="s">
        <v>130</v>
      </c>
      <c r="R406" s="0" t="s">
        <v>138</v>
      </c>
      <c r="S406" s="14">
        <v>0</v>
      </c>
      <c r="T406" s="0" t="s">
        <v>314</v>
      </c>
      <c r="U406" s="0" t="s">
        <v>138</v>
      </c>
      <c r="V406" s="14" t="s">
        <v>138</v>
      </c>
      <c r="W406" s="0" t="s">
        <v>138</v>
      </c>
      <c r="X406" s="14" t="s">
        <v>138</v>
      </c>
      <c r="Y406" s="0" t="s">
        <v>138</v>
      </c>
      <c r="Z406" s="14" t="s">
        <v>138</v>
      </c>
      <c r="AA406" s="0" t="s">
        <v>138</v>
      </c>
      <c r="AB406" s="14" t="s">
        <v>138</v>
      </c>
      <c r="AD406" s="0" t="s">
        <v>138</v>
      </c>
      <c r="AF406" s="0">
        <v>0</v>
      </c>
      <c r="AG406" s="0">
        <v>0</v>
      </c>
      <c r="AH406" s="0" t="s">
        <v>140</v>
      </c>
      <c r="AI406" s="0" t="s">
        <v>138</v>
      </c>
      <c r="AL406" s="14"/>
      <c r="AN406" s="14"/>
      <c r="AQ406" s="0" t="s">
        <v>130</v>
      </c>
      <c r="AR406" s="0" t="s">
        <v>130</v>
      </c>
      <c r="AS406" s="0" t="s">
        <v>130</v>
      </c>
      <c r="AT406" s="0" t="s">
        <v>130</v>
      </c>
      <c r="AU406" s="0" t="s">
        <v>130</v>
      </c>
      <c r="AV406" s="0" t="s">
        <v>130</v>
      </c>
      <c r="AW406" s="0" t="s">
        <v>130</v>
      </c>
      <c r="AX406" s="0" t="s">
        <v>130</v>
      </c>
      <c r="AY406" s="0" t="s">
        <v>130</v>
      </c>
      <c r="AZ406" s="0" t="s">
        <v>130</v>
      </c>
      <c r="BA406" s="0" t="s">
        <v>130</v>
      </c>
      <c r="BB406" s="0" t="s">
        <v>130</v>
      </c>
      <c r="BC406" s="0" t="s">
        <v>130</v>
      </c>
      <c r="BD406" s="0" t="s">
        <v>130</v>
      </c>
      <c r="BE406" s="0" t="s">
        <v>130</v>
      </c>
      <c r="BF406" s="0" t="s">
        <v>130</v>
      </c>
      <c r="BG406" s="0" t="s">
        <v>130</v>
      </c>
      <c r="BH406" s="0" t="s">
        <v>130</v>
      </c>
      <c r="BI406" s="0" t="s">
        <v>130</v>
      </c>
      <c r="BJ406" s="0" t="s">
        <v>130</v>
      </c>
      <c r="BK406" s="0" t="s">
        <v>130</v>
      </c>
      <c r="BL406" s="0" t="s">
        <v>130</v>
      </c>
      <c r="BM406" s="0" t="s">
        <v>130</v>
      </c>
      <c r="BN406" s="0" t="s">
        <v>130</v>
      </c>
      <c r="BO406" s="0" t="s">
        <v>130</v>
      </c>
      <c r="BP406" s="0" t="s">
        <v>130</v>
      </c>
      <c r="BQ406" s="0" t="s">
        <v>130</v>
      </c>
      <c r="BR406" s="0" t="s">
        <v>130</v>
      </c>
      <c r="BS406" s="0" t="s">
        <v>130</v>
      </c>
      <c r="BT406" s="0" t="s">
        <v>130</v>
      </c>
      <c r="BU406" s="0" t="s">
        <v>130</v>
      </c>
      <c r="BV406" s="0" t="s">
        <v>130</v>
      </c>
      <c r="BW406" s="0" t="s">
        <v>130</v>
      </c>
      <c r="BX406" s="0" t="s">
        <v>130</v>
      </c>
      <c r="BY406" s="0" t="s">
        <v>130</v>
      </c>
      <c r="BZ406" s="0" t="s">
        <v>130</v>
      </c>
      <c r="CA406" s="0" t="s">
        <v>130</v>
      </c>
      <c r="CB406" s="0" t="s">
        <v>130</v>
      </c>
      <c r="CC406" s="0" t="s">
        <v>130</v>
      </c>
      <c r="CD406" s="0" t="s">
        <v>130</v>
      </c>
      <c r="CE406" s="0" t="s">
        <v>130</v>
      </c>
      <c r="CF406" s="0" t="s">
        <v>130</v>
      </c>
      <c r="CG406" s="0" t="s">
        <v>130</v>
      </c>
      <c r="CH406" s="0" t="s">
        <v>130</v>
      </c>
      <c r="CI406" s="0" t="s">
        <v>130</v>
      </c>
      <c r="CJ406" s="0" t="s">
        <v>130</v>
      </c>
      <c r="CK406" s="0" t="s">
        <v>130</v>
      </c>
      <c r="CL406" s="0" t="s">
        <v>130</v>
      </c>
      <c r="CM406" s="0" t="s">
        <v>130</v>
      </c>
      <c r="CN406" s="0" t="s">
        <v>130</v>
      </c>
      <c r="CO406" s="0" t="s">
        <v>130</v>
      </c>
      <c r="CP406" s="0" t="s">
        <v>130</v>
      </c>
      <c r="CQ406" s="0" t="s">
        <v>130</v>
      </c>
      <c r="CR406" s="0" t="s">
        <v>130</v>
      </c>
      <c r="CS406" s="0" t="s">
        <v>130</v>
      </c>
      <c r="CT406" s="0" t="s">
        <v>1434</v>
      </c>
    </row>
    <row r="407">
      <c r="A407" s="14">
        <v>101214</v>
      </c>
      <c r="B407" s="0" t="s">
        <v>1420</v>
      </c>
      <c r="C407" s="16">
        <f>HYPERLINK("https://eosportal.federatedhermes.com/companies/Q29tcGFueQppNTg5OTE=", "Citigroup Inc")</f>
      </c>
      <c r="D407" s="0" t="s">
        <v>25</v>
      </c>
      <c r="E407" s="0" t="s">
        <v>1435</v>
      </c>
      <c r="F407" s="16">
        <f>HYPERLINK("https://eosportal.federatedhermes.com/engagements/RW5nYWdlbWVudAppMjAzMjQ=", "Requesting special meetings")</f>
      </c>
      <c r="G407" s="14" t="s">
        <v>1436</v>
      </c>
      <c r="H407" s="0" t="s">
        <v>141</v>
      </c>
      <c r="I407" s="14" t="s">
        <v>191</v>
      </c>
      <c r="J407" s="0" t="s">
        <v>145</v>
      </c>
      <c r="K407" s="0" t="s">
        <v>400</v>
      </c>
      <c r="L407" s="0" t="s">
        <v>507</v>
      </c>
      <c r="M407" s="0" t="s">
        <v>135</v>
      </c>
      <c r="N407" s="0" t="s">
        <v>136</v>
      </c>
      <c r="O407" s="0" t="s">
        <v>238</v>
      </c>
      <c r="Q407" s="0" t="s">
        <v>130</v>
      </c>
      <c r="R407" s="0" t="s">
        <v>138</v>
      </c>
      <c r="S407" s="14">
        <v>0</v>
      </c>
      <c r="T407" s="0" t="s">
        <v>166</v>
      </c>
      <c r="U407" s="0" t="s">
        <v>138</v>
      </c>
      <c r="V407" s="14" t="s">
        <v>138</v>
      </c>
      <c r="W407" s="0" t="s">
        <v>138</v>
      </c>
      <c r="X407" s="14" t="s">
        <v>138</v>
      </c>
      <c r="Y407" s="0" t="s">
        <v>138</v>
      </c>
      <c r="Z407" s="14" t="s">
        <v>138</v>
      </c>
      <c r="AA407" s="0" t="s">
        <v>138</v>
      </c>
      <c r="AB407" s="14" t="s">
        <v>138</v>
      </c>
      <c r="AD407" s="0" t="s">
        <v>138</v>
      </c>
      <c r="AF407" s="0">
        <v>0</v>
      </c>
      <c r="AG407" s="0">
        <v>0</v>
      </c>
      <c r="AH407" s="0" t="s">
        <v>140</v>
      </c>
      <c r="AI407" s="0" t="s">
        <v>138</v>
      </c>
      <c r="AL407" s="14"/>
      <c r="AN407" s="14"/>
      <c r="AQ407" s="0" t="s">
        <v>130</v>
      </c>
      <c r="AR407" s="0" t="s">
        <v>130</v>
      </c>
      <c r="AS407" s="0" t="s">
        <v>130</v>
      </c>
      <c r="AT407" s="0" t="s">
        <v>130</v>
      </c>
      <c r="AU407" s="0" t="s">
        <v>130</v>
      </c>
      <c r="AV407" s="0" t="s">
        <v>130</v>
      </c>
      <c r="AW407" s="0" t="s">
        <v>130</v>
      </c>
      <c r="AX407" s="0" t="s">
        <v>130</v>
      </c>
      <c r="AY407" s="0" t="s">
        <v>130</v>
      </c>
      <c r="AZ407" s="0" t="s">
        <v>130</v>
      </c>
      <c r="BA407" s="0" t="s">
        <v>130</v>
      </c>
      <c r="BB407" s="0" t="s">
        <v>130</v>
      </c>
      <c r="BC407" s="0" t="s">
        <v>130</v>
      </c>
      <c r="BD407" s="0" t="s">
        <v>130</v>
      </c>
      <c r="BE407" s="0" t="s">
        <v>130</v>
      </c>
      <c r="BF407" s="0" t="s">
        <v>130</v>
      </c>
      <c r="BG407" s="0" t="s">
        <v>130</v>
      </c>
      <c r="BH407" s="0" t="s">
        <v>130</v>
      </c>
      <c r="BI407" s="0" t="s">
        <v>130</v>
      </c>
      <c r="BJ407" s="0" t="s">
        <v>130</v>
      </c>
      <c r="BK407" s="0" t="s">
        <v>130</v>
      </c>
      <c r="BL407" s="0" t="s">
        <v>130</v>
      </c>
      <c r="BM407" s="0" t="s">
        <v>130</v>
      </c>
      <c r="BN407" s="0" t="s">
        <v>130</v>
      </c>
      <c r="BO407" s="0" t="s">
        <v>130</v>
      </c>
      <c r="BP407" s="0" t="s">
        <v>130</v>
      </c>
      <c r="BQ407" s="0" t="s">
        <v>130</v>
      </c>
      <c r="BR407" s="0" t="s">
        <v>130</v>
      </c>
      <c r="BS407" s="0" t="s">
        <v>130</v>
      </c>
      <c r="BT407" s="0" t="s">
        <v>130</v>
      </c>
      <c r="BU407" s="0" t="s">
        <v>130</v>
      </c>
      <c r="BV407" s="0" t="s">
        <v>130</v>
      </c>
      <c r="BW407" s="0" t="s">
        <v>130</v>
      </c>
      <c r="BX407" s="0" t="s">
        <v>130</v>
      </c>
      <c r="BY407" s="0" t="s">
        <v>130</v>
      </c>
      <c r="BZ407" s="0" t="s">
        <v>130</v>
      </c>
      <c r="CA407" s="0" t="s">
        <v>130</v>
      </c>
      <c r="CB407" s="0" t="s">
        <v>130</v>
      </c>
      <c r="CC407" s="0" t="s">
        <v>130</v>
      </c>
      <c r="CD407" s="0" t="s">
        <v>130</v>
      </c>
      <c r="CE407" s="0" t="s">
        <v>130</v>
      </c>
      <c r="CF407" s="0" t="s">
        <v>130</v>
      </c>
      <c r="CG407" s="0" t="s">
        <v>130</v>
      </c>
      <c r="CH407" s="0" t="s">
        <v>130</v>
      </c>
      <c r="CI407" s="0" t="s">
        <v>130</v>
      </c>
      <c r="CJ407" s="0" t="s">
        <v>130</v>
      </c>
      <c r="CK407" s="0" t="s">
        <v>130</v>
      </c>
      <c r="CL407" s="0" t="s">
        <v>130</v>
      </c>
      <c r="CM407" s="0" t="s">
        <v>130</v>
      </c>
      <c r="CN407" s="0" t="s">
        <v>130</v>
      </c>
      <c r="CO407" s="0" t="s">
        <v>130</v>
      </c>
      <c r="CP407" s="0" t="s">
        <v>130</v>
      </c>
      <c r="CQ407" s="0" t="s">
        <v>130</v>
      </c>
      <c r="CR407" s="0" t="s">
        <v>130</v>
      </c>
      <c r="CS407" s="0" t="s">
        <v>130</v>
      </c>
      <c r="CT407" s="0" t="s">
        <v>1437</v>
      </c>
    </row>
    <row r="408">
      <c r="A408" s="14">
        <v>101214</v>
      </c>
      <c r="B408" s="0" t="s">
        <v>1420</v>
      </c>
      <c r="C408" s="16">
        <f>HYPERLINK("https://eosportal.federatedhermes.com/companies/Q29tcGFueQppNTg5OTE=", "Citigroup Inc")</f>
      </c>
      <c r="D408" s="0" t="s">
        <v>25</v>
      </c>
      <c r="E408" s="0" t="s">
        <v>198</v>
      </c>
      <c r="F408" s="16">
        <f>HYPERLINK("https://eosportal.federatedhermes.com/engagements/RW5nYWdlbWVudAppMjAzMjY=", "Climate Change")</f>
      </c>
      <c r="G408" s="14" t="s">
        <v>1438</v>
      </c>
      <c r="H408" s="0" t="s">
        <v>141</v>
      </c>
      <c r="I408" s="14" t="s">
        <v>191</v>
      </c>
      <c r="J408" s="0" t="s">
        <v>197</v>
      </c>
      <c r="K408" s="0" t="s">
        <v>198</v>
      </c>
      <c r="L408" s="0" t="s">
        <v>216</v>
      </c>
      <c r="M408" s="0" t="s">
        <v>135</v>
      </c>
      <c r="N408" s="0" t="s">
        <v>136</v>
      </c>
      <c r="O408" s="0" t="s">
        <v>238</v>
      </c>
      <c r="Q408" s="0" t="s">
        <v>141</v>
      </c>
      <c r="R408" s="0" t="s">
        <v>138</v>
      </c>
      <c r="S408" s="14">
        <v>1</v>
      </c>
      <c r="T408" s="0" t="s">
        <v>327</v>
      </c>
      <c r="U408" s="0" t="s">
        <v>138</v>
      </c>
      <c r="V408" s="14" t="s">
        <v>138</v>
      </c>
      <c r="W408" s="0" t="s">
        <v>138</v>
      </c>
      <c r="X408" s="14" t="s">
        <v>138</v>
      </c>
      <c r="Y408" s="0" t="s">
        <v>138</v>
      </c>
      <c r="Z408" s="14" t="s">
        <v>138</v>
      </c>
      <c r="AA408" s="0" t="s">
        <v>138</v>
      </c>
      <c r="AB408" s="14" t="s">
        <v>138</v>
      </c>
      <c r="AD408" s="0" t="s">
        <v>138</v>
      </c>
      <c r="AF408" s="0">
        <v>0</v>
      </c>
      <c r="AG408" s="0">
        <v>0</v>
      </c>
      <c r="AH408" s="0" t="s">
        <v>140</v>
      </c>
      <c r="AI408" s="0" t="s">
        <v>138</v>
      </c>
      <c r="AK408" s="0" t="s">
        <v>1439</v>
      </c>
      <c r="AL408" s="14"/>
      <c r="AN408" s="14"/>
      <c r="AQ408" s="0" t="s">
        <v>130</v>
      </c>
      <c r="AR408" s="0" t="s">
        <v>130</v>
      </c>
      <c r="AS408" s="0" t="s">
        <v>130</v>
      </c>
      <c r="AT408" s="0" t="s">
        <v>130</v>
      </c>
      <c r="AU408" s="0" t="s">
        <v>130</v>
      </c>
      <c r="AV408" s="0" t="s">
        <v>130</v>
      </c>
      <c r="AW408" s="0" t="s">
        <v>141</v>
      </c>
      <c r="AX408" s="0" t="s">
        <v>130</v>
      </c>
      <c r="AY408" s="0" t="s">
        <v>130</v>
      </c>
      <c r="AZ408" s="0" t="s">
        <v>130</v>
      </c>
      <c r="BA408" s="0" t="s">
        <v>130</v>
      </c>
      <c r="BB408" s="0" t="s">
        <v>130</v>
      </c>
      <c r="BC408" s="0" t="s">
        <v>141</v>
      </c>
      <c r="BD408" s="0" t="s">
        <v>130</v>
      </c>
      <c r="BE408" s="0" t="s">
        <v>130</v>
      </c>
      <c r="BF408" s="0" t="s">
        <v>130</v>
      </c>
      <c r="BG408" s="0" t="s">
        <v>130</v>
      </c>
      <c r="BH408" s="0" t="s">
        <v>141</v>
      </c>
      <c r="BI408" s="0" t="s">
        <v>141</v>
      </c>
      <c r="BJ408" s="0" t="s">
        <v>141</v>
      </c>
      <c r="BK408" s="0" t="s">
        <v>130</v>
      </c>
      <c r="BL408" s="0" t="s">
        <v>130</v>
      </c>
      <c r="BM408" s="0" t="s">
        <v>130</v>
      </c>
      <c r="BN408" s="0" t="s">
        <v>130</v>
      </c>
      <c r="BO408" s="0" t="s">
        <v>130</v>
      </c>
      <c r="BP408" s="0" t="s">
        <v>130</v>
      </c>
      <c r="BQ408" s="0" t="s">
        <v>130</v>
      </c>
      <c r="BR408" s="0" t="s">
        <v>130</v>
      </c>
      <c r="BS408" s="0" t="s">
        <v>130</v>
      </c>
      <c r="BT408" s="0" t="s">
        <v>130</v>
      </c>
      <c r="BU408" s="0" t="s">
        <v>130</v>
      </c>
      <c r="BV408" s="0" t="s">
        <v>141</v>
      </c>
      <c r="BW408" s="0" t="s">
        <v>141</v>
      </c>
      <c r="BX408" s="0" t="s">
        <v>130</v>
      </c>
      <c r="BY408" s="0" t="s">
        <v>130</v>
      </c>
      <c r="BZ408" s="0" t="s">
        <v>130</v>
      </c>
      <c r="CA408" s="0" t="s">
        <v>130</v>
      </c>
      <c r="CB408" s="0" t="s">
        <v>130</v>
      </c>
      <c r="CC408" s="0" t="s">
        <v>130</v>
      </c>
      <c r="CD408" s="0" t="s">
        <v>130</v>
      </c>
      <c r="CE408" s="0" t="s">
        <v>130</v>
      </c>
      <c r="CF408" s="0" t="s">
        <v>130</v>
      </c>
      <c r="CG408" s="0" t="s">
        <v>130</v>
      </c>
      <c r="CH408" s="0" t="s">
        <v>130</v>
      </c>
      <c r="CI408" s="0" t="s">
        <v>130</v>
      </c>
      <c r="CJ408" s="0" t="s">
        <v>130</v>
      </c>
      <c r="CK408" s="0" t="s">
        <v>130</v>
      </c>
      <c r="CL408" s="0" t="s">
        <v>130</v>
      </c>
      <c r="CM408" s="0" t="s">
        <v>130</v>
      </c>
      <c r="CN408" s="0" t="s">
        <v>130</v>
      </c>
      <c r="CO408" s="0" t="s">
        <v>130</v>
      </c>
      <c r="CP408" s="0" t="s">
        <v>130</v>
      </c>
      <c r="CQ408" s="0" t="s">
        <v>130</v>
      </c>
      <c r="CR408" s="0" t="s">
        <v>130</v>
      </c>
      <c r="CS408" s="0" t="s">
        <v>130</v>
      </c>
      <c r="CT408" s="0" t="s">
        <v>1440</v>
      </c>
    </row>
    <row r="409">
      <c r="A409" s="14">
        <v>101214</v>
      </c>
      <c r="B409" s="0" t="s">
        <v>1420</v>
      </c>
      <c r="C409" s="16">
        <f>HYPERLINK("https://eosportal.federatedhermes.com/companies/Q29tcGFueQppNTg5OTE=", "Citigroup Inc")</f>
      </c>
      <c r="D409" s="0" t="s">
        <v>25</v>
      </c>
      <c r="E409" s="0" t="s">
        <v>236</v>
      </c>
      <c r="F409" s="16">
        <f>HYPERLINK("https://eosportal.federatedhermes.com/engagements/RW5nYWdlbWVudAppMjAzMjc=", "Executive pay")</f>
      </c>
      <c r="G409" s="14" t="s">
        <v>1441</v>
      </c>
      <c r="H409" s="0" t="s">
        <v>141</v>
      </c>
      <c r="I409" s="14" t="s">
        <v>191</v>
      </c>
      <c r="J409" s="0" t="s">
        <v>145</v>
      </c>
      <c r="K409" s="0" t="s">
        <v>146</v>
      </c>
      <c r="L409" s="0" t="s">
        <v>147</v>
      </c>
      <c r="M409" s="0" t="s">
        <v>135</v>
      </c>
      <c r="N409" s="0" t="s">
        <v>136</v>
      </c>
      <c r="O409" s="0" t="s">
        <v>238</v>
      </c>
      <c r="Q409" s="0" t="s">
        <v>130</v>
      </c>
      <c r="R409" s="0" t="s">
        <v>138</v>
      </c>
      <c r="S409" s="14">
        <v>0</v>
      </c>
      <c r="T409" s="0" t="s">
        <v>148</v>
      </c>
      <c r="U409" s="0" t="s">
        <v>138</v>
      </c>
      <c r="V409" s="14" t="s">
        <v>138</v>
      </c>
      <c r="W409" s="0" t="s">
        <v>138</v>
      </c>
      <c r="X409" s="14" t="s">
        <v>138</v>
      </c>
      <c r="Y409" s="0" t="s">
        <v>138</v>
      </c>
      <c r="Z409" s="14" t="s">
        <v>138</v>
      </c>
      <c r="AA409" s="0" t="s">
        <v>138</v>
      </c>
      <c r="AB409" s="14" t="s">
        <v>138</v>
      </c>
      <c r="AD409" s="0" t="s">
        <v>138</v>
      </c>
      <c r="AF409" s="0">
        <v>0</v>
      </c>
      <c r="AG409" s="0">
        <v>0</v>
      </c>
      <c r="AH409" s="0" t="s">
        <v>140</v>
      </c>
      <c r="AI409" s="0" t="s">
        <v>138</v>
      </c>
      <c r="AL409" s="14"/>
      <c r="AN409" s="14"/>
      <c r="AQ409" s="0" t="s">
        <v>130</v>
      </c>
      <c r="AR409" s="0" t="s">
        <v>130</v>
      </c>
      <c r="AS409" s="0" t="s">
        <v>130</v>
      </c>
      <c r="AT409" s="0" t="s">
        <v>130</v>
      </c>
      <c r="AU409" s="0" t="s">
        <v>130</v>
      </c>
      <c r="AV409" s="0" t="s">
        <v>130</v>
      </c>
      <c r="AW409" s="0" t="s">
        <v>130</v>
      </c>
      <c r="AX409" s="0" t="s">
        <v>130</v>
      </c>
      <c r="AY409" s="0" t="s">
        <v>130</v>
      </c>
      <c r="AZ409" s="0" t="s">
        <v>130</v>
      </c>
      <c r="BA409" s="0" t="s">
        <v>130</v>
      </c>
      <c r="BB409" s="0" t="s">
        <v>130</v>
      </c>
      <c r="BC409" s="0" t="s">
        <v>130</v>
      </c>
      <c r="BD409" s="0" t="s">
        <v>130</v>
      </c>
      <c r="BE409" s="0" t="s">
        <v>130</v>
      </c>
      <c r="BF409" s="0" t="s">
        <v>130</v>
      </c>
      <c r="BG409" s="0" t="s">
        <v>130</v>
      </c>
      <c r="BH409" s="0" t="s">
        <v>130</v>
      </c>
      <c r="BI409" s="0" t="s">
        <v>130</v>
      </c>
      <c r="BJ409" s="0" t="s">
        <v>130</v>
      </c>
      <c r="BK409" s="0" t="s">
        <v>130</v>
      </c>
      <c r="BL409" s="0" t="s">
        <v>130</v>
      </c>
      <c r="BM409" s="0" t="s">
        <v>130</v>
      </c>
      <c r="BN409" s="0" t="s">
        <v>130</v>
      </c>
      <c r="BO409" s="0" t="s">
        <v>130</v>
      </c>
      <c r="BP409" s="0" t="s">
        <v>130</v>
      </c>
      <c r="BQ409" s="0" t="s">
        <v>130</v>
      </c>
      <c r="BR409" s="0" t="s">
        <v>130</v>
      </c>
      <c r="BS409" s="0" t="s">
        <v>130</v>
      </c>
      <c r="BT409" s="0" t="s">
        <v>130</v>
      </c>
      <c r="BU409" s="0" t="s">
        <v>130</v>
      </c>
      <c r="BV409" s="0" t="s">
        <v>130</v>
      </c>
      <c r="BW409" s="0" t="s">
        <v>130</v>
      </c>
      <c r="BX409" s="0" t="s">
        <v>130</v>
      </c>
      <c r="BY409" s="0" t="s">
        <v>130</v>
      </c>
      <c r="BZ409" s="0" t="s">
        <v>130</v>
      </c>
      <c r="CA409" s="0" t="s">
        <v>130</v>
      </c>
      <c r="CB409" s="0" t="s">
        <v>130</v>
      </c>
      <c r="CC409" s="0" t="s">
        <v>130</v>
      </c>
      <c r="CD409" s="0" t="s">
        <v>130</v>
      </c>
      <c r="CE409" s="0" t="s">
        <v>130</v>
      </c>
      <c r="CF409" s="0" t="s">
        <v>130</v>
      </c>
      <c r="CG409" s="0" t="s">
        <v>130</v>
      </c>
      <c r="CH409" s="0" t="s">
        <v>130</v>
      </c>
      <c r="CI409" s="0" t="s">
        <v>130</v>
      </c>
      <c r="CJ409" s="0" t="s">
        <v>130</v>
      </c>
      <c r="CK409" s="0" t="s">
        <v>130</v>
      </c>
      <c r="CL409" s="0" t="s">
        <v>130</v>
      </c>
      <c r="CM409" s="0" t="s">
        <v>130</v>
      </c>
      <c r="CN409" s="0" t="s">
        <v>130</v>
      </c>
      <c r="CO409" s="0" t="s">
        <v>130</v>
      </c>
      <c r="CP409" s="0" t="s">
        <v>130</v>
      </c>
      <c r="CQ409" s="0" t="s">
        <v>130</v>
      </c>
      <c r="CR409" s="0" t="s">
        <v>130</v>
      </c>
      <c r="CS409" s="0" t="s">
        <v>130</v>
      </c>
      <c r="CT409" s="0" t="s">
        <v>1442</v>
      </c>
    </row>
    <row r="410">
      <c r="A410" s="14">
        <v>101214</v>
      </c>
      <c r="B410" s="0" t="s">
        <v>1420</v>
      </c>
      <c r="C410" s="16">
        <f>HYPERLINK("https://eosportal.federatedhermes.com/companies/Q29tcGFueQppNTg5OTE=", "Citigroup Inc")</f>
      </c>
      <c r="D410" s="0" t="s">
        <v>25</v>
      </c>
      <c r="E410" s="0" t="s">
        <v>1443</v>
      </c>
      <c r="F410" s="16">
        <f>HYPERLINK("https://eosportal.federatedhermes.com/engagements/RW5nYWdlbWVudAppMjAzMjk=", "Gender pay gap")</f>
      </c>
      <c r="G410" s="14" t="s">
        <v>1444</v>
      </c>
      <c r="H410" s="0" t="s">
        <v>141</v>
      </c>
      <c r="I410" s="14" t="s">
        <v>191</v>
      </c>
      <c r="J410" s="0" t="s">
        <v>153</v>
      </c>
      <c r="K410" s="0" t="s">
        <v>154</v>
      </c>
      <c r="L410" s="0" t="s">
        <v>268</v>
      </c>
      <c r="M410" s="0" t="s">
        <v>135</v>
      </c>
      <c r="N410" s="0" t="s">
        <v>136</v>
      </c>
      <c r="O410" s="0" t="s">
        <v>238</v>
      </c>
      <c r="Q410" s="0" t="s">
        <v>130</v>
      </c>
      <c r="R410" s="0" t="s">
        <v>138</v>
      </c>
      <c r="S410" s="14">
        <v>0</v>
      </c>
      <c r="T410" s="0" t="s">
        <v>239</v>
      </c>
      <c r="U410" s="0" t="s">
        <v>138</v>
      </c>
      <c r="V410" s="14" t="s">
        <v>138</v>
      </c>
      <c r="W410" s="0" t="s">
        <v>138</v>
      </c>
      <c r="X410" s="14" t="s">
        <v>138</v>
      </c>
      <c r="Y410" s="0" t="s">
        <v>138</v>
      </c>
      <c r="Z410" s="14" t="s">
        <v>138</v>
      </c>
      <c r="AA410" s="0" t="s">
        <v>138</v>
      </c>
      <c r="AB410" s="14" t="s">
        <v>138</v>
      </c>
      <c r="AD410" s="0" t="s">
        <v>138</v>
      </c>
      <c r="AF410" s="0">
        <v>0</v>
      </c>
      <c r="AG410" s="0">
        <v>0</v>
      </c>
      <c r="AH410" s="0" t="s">
        <v>140</v>
      </c>
      <c r="AI410" s="0" t="s">
        <v>138</v>
      </c>
      <c r="AL410" s="14"/>
      <c r="AN410" s="14"/>
      <c r="AQ410" s="0" t="s">
        <v>130</v>
      </c>
      <c r="AR410" s="0" t="s">
        <v>130</v>
      </c>
      <c r="AS410" s="0" t="s">
        <v>130</v>
      </c>
      <c r="AT410" s="0" t="s">
        <v>130</v>
      </c>
      <c r="AU410" s="0" t="s">
        <v>130</v>
      </c>
      <c r="AV410" s="0" t="s">
        <v>130</v>
      </c>
      <c r="AW410" s="0" t="s">
        <v>130</v>
      </c>
      <c r="AX410" s="0" t="s">
        <v>141</v>
      </c>
      <c r="AY410" s="0" t="s">
        <v>130</v>
      </c>
      <c r="AZ410" s="0" t="s">
        <v>130</v>
      </c>
      <c r="BA410" s="0" t="s">
        <v>130</v>
      </c>
      <c r="BB410" s="0" t="s">
        <v>130</v>
      </c>
      <c r="BC410" s="0" t="s">
        <v>130</v>
      </c>
      <c r="BD410" s="0" t="s">
        <v>130</v>
      </c>
      <c r="BE410" s="0" t="s">
        <v>130</v>
      </c>
      <c r="BF410" s="0" t="s">
        <v>130</v>
      </c>
      <c r="BG410" s="0" t="s">
        <v>130</v>
      </c>
      <c r="BH410" s="0" t="s">
        <v>130</v>
      </c>
      <c r="BI410" s="0" t="s">
        <v>130</v>
      </c>
      <c r="BJ410" s="0" t="s">
        <v>130</v>
      </c>
      <c r="BK410" s="0" t="s">
        <v>130</v>
      </c>
      <c r="BL410" s="0" t="s">
        <v>130</v>
      </c>
      <c r="BM410" s="0" t="s">
        <v>130</v>
      </c>
      <c r="BN410" s="0" t="s">
        <v>130</v>
      </c>
      <c r="BO410" s="0" t="s">
        <v>130</v>
      </c>
      <c r="BP410" s="0" t="s">
        <v>130</v>
      </c>
      <c r="BQ410" s="0" t="s">
        <v>130</v>
      </c>
      <c r="BR410" s="0" t="s">
        <v>130</v>
      </c>
      <c r="BS410" s="0" t="s">
        <v>130</v>
      </c>
      <c r="BT410" s="0" t="s">
        <v>130</v>
      </c>
      <c r="BU410" s="0" t="s">
        <v>130</v>
      </c>
      <c r="BV410" s="0" t="s">
        <v>130</v>
      </c>
      <c r="BW410" s="0" t="s">
        <v>130</v>
      </c>
      <c r="BX410" s="0" t="s">
        <v>130</v>
      </c>
      <c r="BY410" s="0" t="s">
        <v>130</v>
      </c>
      <c r="BZ410" s="0" t="s">
        <v>130</v>
      </c>
      <c r="CA410" s="0" t="s">
        <v>130</v>
      </c>
      <c r="CB410" s="0" t="s">
        <v>130</v>
      </c>
      <c r="CC410" s="0" t="s">
        <v>130</v>
      </c>
      <c r="CD410" s="0" t="s">
        <v>130</v>
      </c>
      <c r="CE410" s="0" t="s">
        <v>130</v>
      </c>
      <c r="CF410" s="0" t="s">
        <v>130</v>
      </c>
      <c r="CG410" s="0" t="s">
        <v>130</v>
      </c>
      <c r="CH410" s="0" t="s">
        <v>130</v>
      </c>
      <c r="CI410" s="0" t="s">
        <v>130</v>
      </c>
      <c r="CJ410" s="0" t="s">
        <v>130</v>
      </c>
      <c r="CK410" s="0" t="s">
        <v>141</v>
      </c>
      <c r="CL410" s="0" t="s">
        <v>130</v>
      </c>
      <c r="CM410" s="0" t="s">
        <v>130</v>
      </c>
      <c r="CN410" s="0" t="s">
        <v>130</v>
      </c>
      <c r="CO410" s="0" t="s">
        <v>130</v>
      </c>
      <c r="CP410" s="0" t="s">
        <v>130</v>
      </c>
      <c r="CQ410" s="0" t="s">
        <v>130</v>
      </c>
      <c r="CR410" s="0" t="s">
        <v>130</v>
      </c>
      <c r="CS410" s="0" t="s">
        <v>130</v>
      </c>
      <c r="CT410" s="0" t="s">
        <v>1445</v>
      </c>
    </row>
    <row r="411">
      <c r="A411" s="14">
        <v>101214</v>
      </c>
      <c r="B411" s="0" t="s">
        <v>1420</v>
      </c>
      <c r="C411" s="16">
        <f>HYPERLINK("https://eosportal.federatedhermes.com/companies/Q29tcGFueQppNTg5OTE=", "Citigroup Inc")</f>
      </c>
      <c r="D411" s="0" t="s">
        <v>25</v>
      </c>
      <c r="E411" s="0" t="s">
        <v>1446</v>
      </c>
      <c r="F411" s="16">
        <f>HYPERLINK("https://eosportal.federatedhermes.com/engagements/RW5nYWdlbWVudAppMjAzMzA=", "Continuation of appropriate board refreshment.")</f>
      </c>
      <c r="G411" s="14" t="s">
        <v>1447</v>
      </c>
      <c r="H411" s="0" t="s">
        <v>141</v>
      </c>
      <c r="I411" s="14" t="s">
        <v>191</v>
      </c>
      <c r="J411" s="0" t="s">
        <v>145</v>
      </c>
      <c r="K411" s="0" t="s">
        <v>164</v>
      </c>
      <c r="L411" s="0" t="s">
        <v>165</v>
      </c>
      <c r="M411" s="0" t="s">
        <v>135</v>
      </c>
      <c r="N411" s="0" t="s">
        <v>136</v>
      </c>
      <c r="O411" s="0" t="s">
        <v>238</v>
      </c>
      <c r="Q411" s="0" t="s">
        <v>130</v>
      </c>
      <c r="R411" s="0" t="s">
        <v>138</v>
      </c>
      <c r="S411" s="14">
        <v>0</v>
      </c>
      <c r="T411" s="0" t="s">
        <v>299</v>
      </c>
      <c r="U411" s="0" t="s">
        <v>138</v>
      </c>
      <c r="V411" s="14" t="s">
        <v>138</v>
      </c>
      <c r="W411" s="0" t="s">
        <v>138</v>
      </c>
      <c r="X411" s="14" t="s">
        <v>138</v>
      </c>
      <c r="Y411" s="0" t="s">
        <v>138</v>
      </c>
      <c r="Z411" s="14" t="s">
        <v>138</v>
      </c>
      <c r="AA411" s="0" t="s">
        <v>138</v>
      </c>
      <c r="AB411" s="14" t="s">
        <v>138</v>
      </c>
      <c r="AD411" s="0" t="s">
        <v>138</v>
      </c>
      <c r="AF411" s="0">
        <v>0</v>
      </c>
      <c r="AG411" s="0">
        <v>0</v>
      </c>
      <c r="AH411" s="0" t="s">
        <v>140</v>
      </c>
      <c r="AI411" s="0" t="s">
        <v>138</v>
      </c>
      <c r="AL411" s="14"/>
      <c r="AN411" s="14"/>
      <c r="AQ411" s="0" t="s">
        <v>130</v>
      </c>
      <c r="AR411" s="0" t="s">
        <v>130</v>
      </c>
      <c r="AS411" s="0" t="s">
        <v>130</v>
      </c>
      <c r="AT411" s="0" t="s">
        <v>130</v>
      </c>
      <c r="AU411" s="0" t="s">
        <v>130</v>
      </c>
      <c r="AV411" s="0" t="s">
        <v>130</v>
      </c>
      <c r="AW411" s="0" t="s">
        <v>130</v>
      </c>
      <c r="AX411" s="0" t="s">
        <v>130</v>
      </c>
      <c r="AY411" s="0" t="s">
        <v>130</v>
      </c>
      <c r="AZ411" s="0" t="s">
        <v>130</v>
      </c>
      <c r="BA411" s="0" t="s">
        <v>130</v>
      </c>
      <c r="BB411" s="0" t="s">
        <v>130</v>
      </c>
      <c r="BC411" s="0" t="s">
        <v>130</v>
      </c>
      <c r="BD411" s="0" t="s">
        <v>130</v>
      </c>
      <c r="BE411" s="0" t="s">
        <v>130</v>
      </c>
      <c r="BF411" s="0" t="s">
        <v>130</v>
      </c>
      <c r="BG411" s="0" t="s">
        <v>130</v>
      </c>
      <c r="BH411" s="0" t="s">
        <v>130</v>
      </c>
      <c r="BI411" s="0" t="s">
        <v>130</v>
      </c>
      <c r="BJ411" s="0" t="s">
        <v>130</v>
      </c>
      <c r="BK411" s="0" t="s">
        <v>130</v>
      </c>
      <c r="BL411" s="0" t="s">
        <v>130</v>
      </c>
      <c r="BM411" s="0" t="s">
        <v>130</v>
      </c>
      <c r="BN411" s="0" t="s">
        <v>130</v>
      </c>
      <c r="BO411" s="0" t="s">
        <v>130</v>
      </c>
      <c r="BP411" s="0" t="s">
        <v>130</v>
      </c>
      <c r="BQ411" s="0" t="s">
        <v>130</v>
      </c>
      <c r="BR411" s="0" t="s">
        <v>130</v>
      </c>
      <c r="BS411" s="0" t="s">
        <v>130</v>
      </c>
      <c r="BT411" s="0" t="s">
        <v>130</v>
      </c>
      <c r="BU411" s="0" t="s">
        <v>130</v>
      </c>
      <c r="BV411" s="0" t="s">
        <v>130</v>
      </c>
      <c r="BW411" s="0" t="s">
        <v>130</v>
      </c>
      <c r="BX411" s="0" t="s">
        <v>130</v>
      </c>
      <c r="BY411" s="0" t="s">
        <v>130</v>
      </c>
      <c r="BZ411" s="0" t="s">
        <v>130</v>
      </c>
      <c r="CA411" s="0" t="s">
        <v>130</v>
      </c>
      <c r="CB411" s="0" t="s">
        <v>130</v>
      </c>
      <c r="CC411" s="0" t="s">
        <v>130</v>
      </c>
      <c r="CD411" s="0" t="s">
        <v>130</v>
      </c>
      <c r="CE411" s="0" t="s">
        <v>130</v>
      </c>
      <c r="CF411" s="0" t="s">
        <v>130</v>
      </c>
      <c r="CG411" s="0" t="s">
        <v>130</v>
      </c>
      <c r="CH411" s="0" t="s">
        <v>130</v>
      </c>
      <c r="CI411" s="0" t="s">
        <v>130</v>
      </c>
      <c r="CJ411" s="0" t="s">
        <v>130</v>
      </c>
      <c r="CK411" s="0" t="s">
        <v>130</v>
      </c>
      <c r="CL411" s="0" t="s">
        <v>130</v>
      </c>
      <c r="CM411" s="0" t="s">
        <v>130</v>
      </c>
      <c r="CN411" s="0" t="s">
        <v>130</v>
      </c>
      <c r="CO411" s="0" t="s">
        <v>130</v>
      </c>
      <c r="CP411" s="0" t="s">
        <v>130</v>
      </c>
      <c r="CQ411" s="0" t="s">
        <v>130</v>
      </c>
      <c r="CR411" s="0" t="s">
        <v>130</v>
      </c>
      <c r="CS411" s="0" t="s">
        <v>130</v>
      </c>
      <c r="CT411" s="0" t="s">
        <v>1448</v>
      </c>
    </row>
    <row r="412">
      <c r="A412" s="14">
        <v>101214</v>
      </c>
      <c r="B412" s="0" t="s">
        <v>1420</v>
      </c>
      <c r="C412" s="16">
        <f>HYPERLINK("https://eosportal.federatedhermes.com/companies/Q29tcGFueQppNTg5OTE=", "Citigroup Inc")</f>
      </c>
      <c r="D412" s="0" t="s">
        <v>25</v>
      </c>
      <c r="E412" s="0" t="s">
        <v>1449</v>
      </c>
      <c r="F412" s="16">
        <f>HYPERLINK("https://eosportal.federatedhermes.com/engagements/RW5nYWdlbWVudAppMjAzMzg=", "Controversy linked to UNGC Principle 10: Corruption and bribery")</f>
      </c>
      <c r="G412" s="14" t="s">
        <v>1450</v>
      </c>
      <c r="H412" s="0" t="s">
        <v>141</v>
      </c>
      <c r="I412" s="14" t="s">
        <v>191</v>
      </c>
      <c r="J412" s="0" t="s">
        <v>153</v>
      </c>
      <c r="K412" s="0" t="s">
        <v>185</v>
      </c>
      <c r="L412" s="0" t="s">
        <v>186</v>
      </c>
      <c r="M412" s="0" t="s">
        <v>135</v>
      </c>
      <c r="N412" s="0" t="s">
        <v>136</v>
      </c>
      <c r="O412" s="0" t="s">
        <v>238</v>
      </c>
      <c r="Q412" s="0" t="s">
        <v>141</v>
      </c>
      <c r="R412" s="0" t="s">
        <v>138</v>
      </c>
      <c r="S412" s="14">
        <v>1</v>
      </c>
      <c r="T412" s="0" t="s">
        <v>193</v>
      </c>
      <c r="U412" s="0" t="s">
        <v>138</v>
      </c>
      <c r="V412" s="14" t="s">
        <v>138</v>
      </c>
      <c r="W412" s="0" t="s">
        <v>138</v>
      </c>
      <c r="X412" s="14" t="s">
        <v>138</v>
      </c>
      <c r="Y412" s="0" t="s">
        <v>138</v>
      </c>
      <c r="Z412" s="14" t="s">
        <v>138</v>
      </c>
      <c r="AA412" s="0" t="s">
        <v>138</v>
      </c>
      <c r="AB412" s="14" t="s">
        <v>138</v>
      </c>
      <c r="AD412" s="0" t="s">
        <v>138</v>
      </c>
      <c r="AF412" s="0">
        <v>0</v>
      </c>
      <c r="AG412" s="0">
        <v>0</v>
      </c>
      <c r="AH412" s="0" t="s">
        <v>140</v>
      </c>
      <c r="AI412" s="0" t="s">
        <v>138</v>
      </c>
      <c r="AK412" s="0" t="s">
        <v>1439</v>
      </c>
      <c r="AL412" s="14"/>
      <c r="AN412" s="14"/>
      <c r="AQ412" s="0" t="s">
        <v>130</v>
      </c>
      <c r="AR412" s="0" t="s">
        <v>130</v>
      </c>
      <c r="AS412" s="0" t="s">
        <v>130</v>
      </c>
      <c r="AT412" s="0" t="s">
        <v>130</v>
      </c>
      <c r="AU412" s="0" t="s">
        <v>130</v>
      </c>
      <c r="AV412" s="0" t="s">
        <v>130</v>
      </c>
      <c r="AW412" s="0" t="s">
        <v>130</v>
      </c>
      <c r="AX412" s="0" t="s">
        <v>130</v>
      </c>
      <c r="AY412" s="0" t="s">
        <v>130</v>
      </c>
      <c r="AZ412" s="0" t="s">
        <v>130</v>
      </c>
      <c r="BA412" s="0" t="s">
        <v>130</v>
      </c>
      <c r="BB412" s="0" t="s">
        <v>130</v>
      </c>
      <c r="BC412" s="0" t="s">
        <v>130</v>
      </c>
      <c r="BD412" s="0" t="s">
        <v>130</v>
      </c>
      <c r="BE412" s="0" t="s">
        <v>130</v>
      </c>
      <c r="BF412" s="0" t="s">
        <v>130</v>
      </c>
      <c r="BG412" s="0" t="s">
        <v>130</v>
      </c>
      <c r="BH412" s="0" t="s">
        <v>130</v>
      </c>
      <c r="BI412" s="0" t="s">
        <v>130</v>
      </c>
      <c r="BJ412" s="0" t="s">
        <v>130</v>
      </c>
      <c r="BK412" s="0" t="s">
        <v>130</v>
      </c>
      <c r="BL412" s="0" t="s">
        <v>130</v>
      </c>
      <c r="BM412" s="0" t="s">
        <v>130</v>
      </c>
      <c r="BN412" s="0" t="s">
        <v>130</v>
      </c>
      <c r="BO412" s="0" t="s">
        <v>130</v>
      </c>
      <c r="BP412" s="0" t="s">
        <v>141</v>
      </c>
      <c r="BQ412" s="0" t="s">
        <v>130</v>
      </c>
      <c r="BR412" s="0" t="s">
        <v>130</v>
      </c>
      <c r="BS412" s="0" t="s">
        <v>130</v>
      </c>
      <c r="BT412" s="0" t="s">
        <v>130</v>
      </c>
      <c r="BU412" s="0" t="s">
        <v>130</v>
      </c>
      <c r="BV412" s="0" t="s">
        <v>130</v>
      </c>
      <c r="BW412" s="0" t="s">
        <v>130</v>
      </c>
      <c r="BX412" s="0" t="s">
        <v>130</v>
      </c>
      <c r="BY412" s="0" t="s">
        <v>130</v>
      </c>
      <c r="BZ412" s="0" t="s">
        <v>130</v>
      </c>
      <c r="CA412" s="0" t="s">
        <v>130</v>
      </c>
      <c r="CB412" s="0" t="s">
        <v>130</v>
      </c>
      <c r="CC412" s="0" t="s">
        <v>130</v>
      </c>
      <c r="CD412" s="0" t="s">
        <v>130</v>
      </c>
      <c r="CE412" s="0" t="s">
        <v>130</v>
      </c>
      <c r="CF412" s="0" t="s">
        <v>130</v>
      </c>
      <c r="CG412" s="0" t="s">
        <v>130</v>
      </c>
      <c r="CH412" s="0" t="s">
        <v>130</v>
      </c>
      <c r="CI412" s="0" t="s">
        <v>130</v>
      </c>
      <c r="CJ412" s="0" t="s">
        <v>130</v>
      </c>
      <c r="CK412" s="0" t="s">
        <v>130</v>
      </c>
      <c r="CL412" s="0" t="s">
        <v>130</v>
      </c>
      <c r="CM412" s="0" t="s">
        <v>130</v>
      </c>
      <c r="CN412" s="0" t="s">
        <v>130</v>
      </c>
      <c r="CO412" s="0" t="s">
        <v>130</v>
      </c>
      <c r="CP412" s="0" t="s">
        <v>130</v>
      </c>
      <c r="CQ412" s="0" t="s">
        <v>130</v>
      </c>
      <c r="CR412" s="0" t="s">
        <v>130</v>
      </c>
      <c r="CS412" s="0" t="s">
        <v>130</v>
      </c>
      <c r="CT412" s="0" t="s">
        <v>1451</v>
      </c>
    </row>
    <row r="413">
      <c r="A413" s="14">
        <v>101214</v>
      </c>
      <c r="B413" s="0" t="s">
        <v>1420</v>
      </c>
      <c r="C413" s="16">
        <f>HYPERLINK("https://eosportal.federatedhermes.com/companies/Q29tcGFueQppNTg5OTE=", "Citigroup Inc")</f>
      </c>
      <c r="D413" s="0" t="s">
        <v>25</v>
      </c>
      <c r="E413" s="0" t="s">
        <v>1452</v>
      </c>
      <c r="F413" s="16">
        <f>HYPERLINK("https://eosportal.federatedhermes.com/engagements/RW5nYWdlbWVudAppMjAzMzk=", "Corporate lobbying governance")</f>
      </c>
      <c r="G413" s="14" t="s">
        <v>1453</v>
      </c>
      <c r="H413" s="0" t="s">
        <v>141</v>
      </c>
      <c r="I413" s="14" t="s">
        <v>191</v>
      </c>
      <c r="J413" s="0" t="s">
        <v>153</v>
      </c>
      <c r="K413" s="0" t="s">
        <v>185</v>
      </c>
      <c r="L413" s="0" t="s">
        <v>186</v>
      </c>
      <c r="M413" s="0" t="s">
        <v>135</v>
      </c>
      <c r="N413" s="0" t="s">
        <v>136</v>
      </c>
      <c r="O413" s="0" t="s">
        <v>238</v>
      </c>
      <c r="Q413" s="0" t="s">
        <v>130</v>
      </c>
      <c r="R413" s="0" t="s">
        <v>138</v>
      </c>
      <c r="S413" s="14">
        <v>0</v>
      </c>
      <c r="T413" s="0" t="s">
        <v>239</v>
      </c>
      <c r="U413" s="0" t="s">
        <v>138</v>
      </c>
      <c r="V413" s="14" t="s">
        <v>138</v>
      </c>
      <c r="W413" s="0" t="s">
        <v>138</v>
      </c>
      <c r="X413" s="14" t="s">
        <v>138</v>
      </c>
      <c r="Y413" s="0" t="s">
        <v>138</v>
      </c>
      <c r="Z413" s="14" t="s">
        <v>138</v>
      </c>
      <c r="AA413" s="0" t="s">
        <v>138</v>
      </c>
      <c r="AB413" s="14" t="s">
        <v>138</v>
      </c>
      <c r="AD413" s="0" t="s">
        <v>138</v>
      </c>
      <c r="AF413" s="0">
        <v>0</v>
      </c>
      <c r="AG413" s="0">
        <v>0</v>
      </c>
      <c r="AH413" s="0" t="s">
        <v>140</v>
      </c>
      <c r="AI413" s="0" t="s">
        <v>138</v>
      </c>
      <c r="AL413" s="14"/>
      <c r="AN413" s="14"/>
      <c r="AQ413" s="0" t="s">
        <v>130</v>
      </c>
      <c r="AR413" s="0" t="s">
        <v>130</v>
      </c>
      <c r="AS413" s="0" t="s">
        <v>130</v>
      </c>
      <c r="AT413" s="0" t="s">
        <v>130</v>
      </c>
      <c r="AU413" s="0" t="s">
        <v>130</v>
      </c>
      <c r="AV413" s="0" t="s">
        <v>130</v>
      </c>
      <c r="AW413" s="0" t="s">
        <v>130</v>
      </c>
      <c r="AX413" s="0" t="s">
        <v>130</v>
      </c>
      <c r="AY413" s="0" t="s">
        <v>130</v>
      </c>
      <c r="AZ413" s="0" t="s">
        <v>130</v>
      </c>
      <c r="BA413" s="0" t="s">
        <v>130</v>
      </c>
      <c r="BB413" s="0" t="s">
        <v>130</v>
      </c>
      <c r="BC413" s="0" t="s">
        <v>130</v>
      </c>
      <c r="BD413" s="0" t="s">
        <v>130</v>
      </c>
      <c r="BE413" s="0" t="s">
        <v>130</v>
      </c>
      <c r="BF413" s="0" t="s">
        <v>130</v>
      </c>
      <c r="BG413" s="0" t="s">
        <v>130</v>
      </c>
      <c r="BH413" s="0" t="s">
        <v>130</v>
      </c>
      <c r="BI413" s="0" t="s">
        <v>130</v>
      </c>
      <c r="BJ413" s="0" t="s">
        <v>130</v>
      </c>
      <c r="BK413" s="0" t="s">
        <v>130</v>
      </c>
      <c r="BL413" s="0" t="s">
        <v>130</v>
      </c>
      <c r="BM413" s="0" t="s">
        <v>130</v>
      </c>
      <c r="BN413" s="0" t="s">
        <v>130</v>
      </c>
      <c r="BO413" s="0" t="s">
        <v>130</v>
      </c>
      <c r="BP413" s="0" t="s">
        <v>130</v>
      </c>
      <c r="BQ413" s="0" t="s">
        <v>130</v>
      </c>
      <c r="BR413" s="0" t="s">
        <v>130</v>
      </c>
      <c r="BS413" s="0" t="s">
        <v>130</v>
      </c>
      <c r="BT413" s="0" t="s">
        <v>130</v>
      </c>
      <c r="BU413" s="0" t="s">
        <v>130</v>
      </c>
      <c r="BV413" s="0" t="s">
        <v>130</v>
      </c>
      <c r="BW413" s="0" t="s">
        <v>130</v>
      </c>
      <c r="BX413" s="0" t="s">
        <v>130</v>
      </c>
      <c r="BY413" s="0" t="s">
        <v>130</v>
      </c>
      <c r="BZ413" s="0" t="s">
        <v>130</v>
      </c>
      <c r="CA413" s="0" t="s">
        <v>130</v>
      </c>
      <c r="CB413" s="0" t="s">
        <v>130</v>
      </c>
      <c r="CC413" s="0" t="s">
        <v>130</v>
      </c>
      <c r="CD413" s="0" t="s">
        <v>130</v>
      </c>
      <c r="CE413" s="0" t="s">
        <v>130</v>
      </c>
      <c r="CF413" s="0" t="s">
        <v>130</v>
      </c>
      <c r="CG413" s="0" t="s">
        <v>130</v>
      </c>
      <c r="CH413" s="0" t="s">
        <v>130</v>
      </c>
      <c r="CI413" s="0" t="s">
        <v>130</v>
      </c>
      <c r="CJ413" s="0" t="s">
        <v>130</v>
      </c>
      <c r="CK413" s="0" t="s">
        <v>130</v>
      </c>
      <c r="CL413" s="0" t="s">
        <v>130</v>
      </c>
      <c r="CM413" s="0" t="s">
        <v>130</v>
      </c>
      <c r="CN413" s="0" t="s">
        <v>130</v>
      </c>
      <c r="CO413" s="0" t="s">
        <v>130</v>
      </c>
      <c r="CP413" s="0" t="s">
        <v>130</v>
      </c>
      <c r="CQ413" s="0" t="s">
        <v>130</v>
      </c>
      <c r="CR413" s="0" t="s">
        <v>130</v>
      </c>
      <c r="CS413" s="0" t="s">
        <v>130</v>
      </c>
      <c r="CT413" s="0" t="s">
        <v>1454</v>
      </c>
    </row>
    <row r="414">
      <c r="A414" s="14">
        <v>101214</v>
      </c>
      <c r="B414" s="0" t="s">
        <v>1420</v>
      </c>
      <c r="C414" s="16">
        <f>HYPERLINK("https://eosportal.federatedhermes.com/companies/Q29tcGFueQppNTg5OTE=", "Citigroup Inc")</f>
      </c>
      <c r="D414" s="0" t="s">
        <v>25</v>
      </c>
      <c r="E414" s="0" t="s">
        <v>1455</v>
      </c>
      <c r="F414" s="16">
        <f>HYPERLINK("https://eosportal.federatedhermes.com/engagements/RW5nYWdlbWVudAppMjAzNDA=", "Enhanced proxy access")</f>
      </c>
      <c r="G414" s="14" t="s">
        <v>1456</v>
      </c>
      <c r="H414" s="0" t="s">
        <v>141</v>
      </c>
      <c r="I414" s="14" t="s">
        <v>191</v>
      </c>
      <c r="J414" s="0" t="s">
        <v>145</v>
      </c>
      <c r="K414" s="0" t="s">
        <v>400</v>
      </c>
      <c r="L414" s="0" t="s">
        <v>507</v>
      </c>
      <c r="M414" s="0" t="s">
        <v>135</v>
      </c>
      <c r="N414" s="0" t="s">
        <v>136</v>
      </c>
      <c r="O414" s="0" t="s">
        <v>238</v>
      </c>
      <c r="Q414" s="0" t="s">
        <v>130</v>
      </c>
      <c r="R414" s="0" t="s">
        <v>138</v>
      </c>
      <c r="S414" s="14">
        <v>0</v>
      </c>
      <c r="T414" s="0" t="s">
        <v>166</v>
      </c>
      <c r="U414" s="0" t="s">
        <v>138</v>
      </c>
      <c r="V414" s="14" t="s">
        <v>138</v>
      </c>
      <c r="W414" s="0" t="s">
        <v>138</v>
      </c>
      <c r="X414" s="14" t="s">
        <v>138</v>
      </c>
      <c r="Y414" s="0" t="s">
        <v>138</v>
      </c>
      <c r="Z414" s="14" t="s">
        <v>138</v>
      </c>
      <c r="AA414" s="0" t="s">
        <v>138</v>
      </c>
      <c r="AB414" s="14" t="s">
        <v>138</v>
      </c>
      <c r="AD414" s="0" t="s">
        <v>138</v>
      </c>
      <c r="AF414" s="0">
        <v>0</v>
      </c>
      <c r="AG414" s="0">
        <v>0</v>
      </c>
      <c r="AH414" s="0" t="s">
        <v>140</v>
      </c>
      <c r="AI414" s="0" t="s">
        <v>138</v>
      </c>
      <c r="AL414" s="14"/>
      <c r="AN414" s="14"/>
      <c r="AQ414" s="0" t="s">
        <v>130</v>
      </c>
      <c r="AR414" s="0" t="s">
        <v>130</v>
      </c>
      <c r="AS414" s="0" t="s">
        <v>130</v>
      </c>
      <c r="AT414" s="0" t="s">
        <v>130</v>
      </c>
      <c r="AU414" s="0" t="s">
        <v>130</v>
      </c>
      <c r="AV414" s="0" t="s">
        <v>130</v>
      </c>
      <c r="AW414" s="0" t="s">
        <v>130</v>
      </c>
      <c r="AX414" s="0" t="s">
        <v>130</v>
      </c>
      <c r="AY414" s="0" t="s">
        <v>130</v>
      </c>
      <c r="AZ414" s="0" t="s">
        <v>130</v>
      </c>
      <c r="BA414" s="0" t="s">
        <v>130</v>
      </c>
      <c r="BB414" s="0" t="s">
        <v>130</v>
      </c>
      <c r="BC414" s="0" t="s">
        <v>130</v>
      </c>
      <c r="BD414" s="0" t="s">
        <v>130</v>
      </c>
      <c r="BE414" s="0" t="s">
        <v>130</v>
      </c>
      <c r="BF414" s="0" t="s">
        <v>130</v>
      </c>
      <c r="BG414" s="0" t="s">
        <v>130</v>
      </c>
      <c r="BH414" s="0" t="s">
        <v>130</v>
      </c>
      <c r="BI414" s="0" t="s">
        <v>130</v>
      </c>
      <c r="BJ414" s="0" t="s">
        <v>130</v>
      </c>
      <c r="BK414" s="0" t="s">
        <v>130</v>
      </c>
      <c r="BL414" s="0" t="s">
        <v>130</v>
      </c>
      <c r="BM414" s="0" t="s">
        <v>130</v>
      </c>
      <c r="BN414" s="0" t="s">
        <v>130</v>
      </c>
      <c r="BO414" s="0" t="s">
        <v>130</v>
      </c>
      <c r="BP414" s="0" t="s">
        <v>130</v>
      </c>
      <c r="BQ414" s="0" t="s">
        <v>130</v>
      </c>
      <c r="BR414" s="0" t="s">
        <v>130</v>
      </c>
      <c r="BS414" s="0" t="s">
        <v>130</v>
      </c>
      <c r="BT414" s="0" t="s">
        <v>130</v>
      </c>
      <c r="BU414" s="0" t="s">
        <v>130</v>
      </c>
      <c r="BV414" s="0" t="s">
        <v>130</v>
      </c>
      <c r="BW414" s="0" t="s">
        <v>130</v>
      </c>
      <c r="BX414" s="0" t="s">
        <v>130</v>
      </c>
      <c r="BY414" s="0" t="s">
        <v>130</v>
      </c>
      <c r="BZ414" s="0" t="s">
        <v>130</v>
      </c>
      <c r="CA414" s="0" t="s">
        <v>130</v>
      </c>
      <c r="CB414" s="0" t="s">
        <v>130</v>
      </c>
      <c r="CC414" s="0" t="s">
        <v>130</v>
      </c>
      <c r="CD414" s="0" t="s">
        <v>130</v>
      </c>
      <c r="CE414" s="0" t="s">
        <v>130</v>
      </c>
      <c r="CF414" s="0" t="s">
        <v>130</v>
      </c>
      <c r="CG414" s="0" t="s">
        <v>130</v>
      </c>
      <c r="CH414" s="0" t="s">
        <v>130</v>
      </c>
      <c r="CI414" s="0" t="s">
        <v>130</v>
      </c>
      <c r="CJ414" s="0" t="s">
        <v>130</v>
      </c>
      <c r="CK414" s="0" t="s">
        <v>130</v>
      </c>
      <c r="CL414" s="0" t="s">
        <v>130</v>
      </c>
      <c r="CM414" s="0" t="s">
        <v>130</v>
      </c>
      <c r="CN414" s="0" t="s">
        <v>130</v>
      </c>
      <c r="CO414" s="0" t="s">
        <v>130</v>
      </c>
      <c r="CP414" s="0" t="s">
        <v>130</v>
      </c>
      <c r="CQ414" s="0" t="s">
        <v>130</v>
      </c>
      <c r="CR414" s="0" t="s">
        <v>130</v>
      </c>
      <c r="CS414" s="0" t="s">
        <v>130</v>
      </c>
      <c r="CT414" s="0" t="s">
        <v>1457</v>
      </c>
    </row>
    <row r="415">
      <c r="A415" s="14">
        <v>101214</v>
      </c>
      <c r="B415" s="0" t="s">
        <v>1420</v>
      </c>
      <c r="C415" s="16">
        <f>HYPERLINK("https://eosportal.federatedhermes.com/companies/Q29tcGFueQppNTg5OTE=", "Citigroup Inc")</f>
      </c>
      <c r="D415" s="0" t="s">
        <v>25</v>
      </c>
      <c r="E415" s="0" t="s">
        <v>1458</v>
      </c>
      <c r="F415" s="16">
        <f>HYPERLINK("https://eosportal.federatedhermes.com/engagements/RW5nYWdlbWVudAppMjAzNDE=", "Diversity and inclusion (employees)")</f>
      </c>
      <c r="G415" s="14" t="s">
        <v>1459</v>
      </c>
      <c r="H415" s="0" t="s">
        <v>141</v>
      </c>
      <c r="I415" s="14" t="s">
        <v>191</v>
      </c>
      <c r="J415" s="0" t="s">
        <v>153</v>
      </c>
      <c r="K415" s="0" t="s">
        <v>154</v>
      </c>
      <c r="L415" s="0" t="s">
        <v>268</v>
      </c>
      <c r="M415" s="0" t="s">
        <v>135</v>
      </c>
      <c r="N415" s="0" t="s">
        <v>136</v>
      </c>
      <c r="O415" s="0" t="s">
        <v>238</v>
      </c>
      <c r="Q415" s="0" t="s">
        <v>130</v>
      </c>
      <c r="R415" s="0" t="s">
        <v>138</v>
      </c>
      <c r="S415" s="14">
        <v>0</v>
      </c>
      <c r="T415" s="0" t="s">
        <v>193</v>
      </c>
      <c r="U415" s="0" t="s">
        <v>138</v>
      </c>
      <c r="V415" s="14" t="s">
        <v>138</v>
      </c>
      <c r="W415" s="0" t="s">
        <v>138</v>
      </c>
      <c r="X415" s="14" t="s">
        <v>138</v>
      </c>
      <c r="Y415" s="0" t="s">
        <v>138</v>
      </c>
      <c r="Z415" s="14" t="s">
        <v>138</v>
      </c>
      <c r="AA415" s="0" t="s">
        <v>138</v>
      </c>
      <c r="AB415" s="14" t="s">
        <v>138</v>
      </c>
      <c r="AD415" s="0" t="s">
        <v>138</v>
      </c>
      <c r="AF415" s="0">
        <v>0</v>
      </c>
      <c r="AG415" s="0">
        <v>0</v>
      </c>
      <c r="AH415" s="0" t="s">
        <v>140</v>
      </c>
      <c r="AI415" s="0" t="s">
        <v>138</v>
      </c>
      <c r="AL415" s="14"/>
      <c r="AN415" s="14"/>
      <c r="AQ415" s="0" t="s">
        <v>130</v>
      </c>
      <c r="AR415" s="0" t="s">
        <v>130</v>
      </c>
      <c r="AS415" s="0" t="s">
        <v>130</v>
      </c>
      <c r="AT415" s="0" t="s">
        <v>130</v>
      </c>
      <c r="AU415" s="0" t="s">
        <v>130</v>
      </c>
      <c r="AV415" s="0" t="s">
        <v>130</v>
      </c>
      <c r="AW415" s="0" t="s">
        <v>130</v>
      </c>
      <c r="AX415" s="0" t="s">
        <v>130</v>
      </c>
      <c r="AY415" s="0" t="s">
        <v>130</v>
      </c>
      <c r="AZ415" s="0" t="s">
        <v>130</v>
      </c>
      <c r="BA415" s="0" t="s">
        <v>130</v>
      </c>
      <c r="BB415" s="0" t="s">
        <v>130</v>
      </c>
      <c r="BC415" s="0" t="s">
        <v>130</v>
      </c>
      <c r="BD415" s="0" t="s">
        <v>130</v>
      </c>
      <c r="BE415" s="0" t="s">
        <v>130</v>
      </c>
      <c r="BF415" s="0" t="s">
        <v>130</v>
      </c>
      <c r="BG415" s="0" t="s">
        <v>130</v>
      </c>
      <c r="BH415" s="0" t="s">
        <v>130</v>
      </c>
      <c r="BI415" s="0" t="s">
        <v>130</v>
      </c>
      <c r="BJ415" s="0" t="s">
        <v>130</v>
      </c>
      <c r="BK415" s="0" t="s">
        <v>130</v>
      </c>
      <c r="BL415" s="0" t="s">
        <v>130</v>
      </c>
      <c r="BM415" s="0" t="s">
        <v>130</v>
      </c>
      <c r="BN415" s="0" t="s">
        <v>130</v>
      </c>
      <c r="BO415" s="0" t="s">
        <v>130</v>
      </c>
      <c r="BP415" s="0" t="s">
        <v>130</v>
      </c>
      <c r="BQ415" s="0" t="s">
        <v>130</v>
      </c>
      <c r="BR415" s="0" t="s">
        <v>130</v>
      </c>
      <c r="BS415" s="0" t="s">
        <v>130</v>
      </c>
      <c r="BT415" s="0" t="s">
        <v>130</v>
      </c>
      <c r="BU415" s="0" t="s">
        <v>130</v>
      </c>
      <c r="BV415" s="0" t="s">
        <v>130</v>
      </c>
      <c r="BW415" s="0" t="s">
        <v>130</v>
      </c>
      <c r="BX415" s="0" t="s">
        <v>130</v>
      </c>
      <c r="BY415" s="0" t="s">
        <v>130</v>
      </c>
      <c r="BZ415" s="0" t="s">
        <v>130</v>
      </c>
      <c r="CA415" s="0" t="s">
        <v>130</v>
      </c>
      <c r="CB415" s="0" t="s">
        <v>130</v>
      </c>
      <c r="CC415" s="0" t="s">
        <v>130</v>
      </c>
      <c r="CD415" s="0" t="s">
        <v>130</v>
      </c>
      <c r="CE415" s="0" t="s">
        <v>130</v>
      </c>
      <c r="CF415" s="0" t="s">
        <v>130</v>
      </c>
      <c r="CG415" s="0" t="s">
        <v>130</v>
      </c>
      <c r="CH415" s="0" t="s">
        <v>130</v>
      </c>
      <c r="CI415" s="0" t="s">
        <v>130</v>
      </c>
      <c r="CJ415" s="0" t="s">
        <v>130</v>
      </c>
      <c r="CK415" s="0" t="s">
        <v>141</v>
      </c>
      <c r="CL415" s="0" t="s">
        <v>130</v>
      </c>
      <c r="CM415" s="0" t="s">
        <v>130</v>
      </c>
      <c r="CN415" s="0" t="s">
        <v>130</v>
      </c>
      <c r="CO415" s="0" t="s">
        <v>130</v>
      </c>
      <c r="CP415" s="0" t="s">
        <v>130</v>
      </c>
      <c r="CQ415" s="0" t="s">
        <v>130</v>
      </c>
      <c r="CR415" s="0" t="s">
        <v>130</v>
      </c>
      <c r="CS415" s="0" t="s">
        <v>130</v>
      </c>
      <c r="CT415" s="0" t="s">
        <v>1460</v>
      </c>
    </row>
    <row r="416">
      <c r="A416" s="14">
        <v>101214</v>
      </c>
      <c r="B416" s="0" t="s">
        <v>1420</v>
      </c>
      <c r="C416" s="16">
        <f>HYPERLINK("https://eosportal.federatedhermes.com/companies/Q29tcGFueQppNTg5OTE=", "Citigroup Inc")</f>
      </c>
      <c r="D416" s="0" t="s">
        <v>25</v>
      </c>
      <c r="E416" s="0" t="s">
        <v>1461</v>
      </c>
      <c r="F416" s="16">
        <f>HYPERLINK("https://eosportal.federatedhermes.com/engagements/RW5nYWdlbWVudAppMjAzNDI=", "Tax strategy")</f>
      </c>
      <c r="G416" s="14" t="s">
        <v>1462</v>
      </c>
      <c r="H416" s="0" t="s">
        <v>141</v>
      </c>
      <c r="I416" s="14" t="s">
        <v>191</v>
      </c>
      <c r="J416" s="0" t="s">
        <v>153</v>
      </c>
      <c r="K416" s="0" t="s">
        <v>185</v>
      </c>
      <c r="L416" s="0" t="s">
        <v>548</v>
      </c>
      <c r="M416" s="0" t="s">
        <v>135</v>
      </c>
      <c r="N416" s="0" t="s">
        <v>136</v>
      </c>
      <c r="O416" s="0" t="s">
        <v>238</v>
      </c>
      <c r="Q416" s="0" t="s">
        <v>130</v>
      </c>
      <c r="R416" s="0" t="s">
        <v>138</v>
      </c>
      <c r="S416" s="14">
        <v>0</v>
      </c>
      <c r="T416" s="0" t="s">
        <v>148</v>
      </c>
      <c r="U416" s="0" t="s">
        <v>138</v>
      </c>
      <c r="V416" s="14" t="s">
        <v>138</v>
      </c>
      <c r="W416" s="0" t="s">
        <v>138</v>
      </c>
      <c r="X416" s="14" t="s">
        <v>138</v>
      </c>
      <c r="Y416" s="0" t="s">
        <v>138</v>
      </c>
      <c r="Z416" s="14" t="s">
        <v>138</v>
      </c>
      <c r="AA416" s="0" t="s">
        <v>138</v>
      </c>
      <c r="AB416" s="14" t="s">
        <v>138</v>
      </c>
      <c r="AD416" s="0" t="s">
        <v>138</v>
      </c>
      <c r="AF416" s="0">
        <v>0</v>
      </c>
      <c r="AG416" s="0">
        <v>0</v>
      </c>
      <c r="AH416" s="0" t="s">
        <v>140</v>
      </c>
      <c r="AI416" s="0" t="s">
        <v>138</v>
      </c>
      <c r="AL416" s="14"/>
      <c r="AN416" s="14"/>
      <c r="AQ416" s="0" t="s">
        <v>130</v>
      </c>
      <c r="AR416" s="0" t="s">
        <v>130</v>
      </c>
      <c r="AS416" s="0" t="s">
        <v>130</v>
      </c>
      <c r="AT416" s="0" t="s">
        <v>130</v>
      </c>
      <c r="AU416" s="0" t="s">
        <v>130</v>
      </c>
      <c r="AV416" s="0" t="s">
        <v>130</v>
      </c>
      <c r="AW416" s="0" t="s">
        <v>130</v>
      </c>
      <c r="AX416" s="0" t="s">
        <v>130</v>
      </c>
      <c r="AY416" s="0" t="s">
        <v>130</v>
      </c>
      <c r="AZ416" s="0" t="s">
        <v>130</v>
      </c>
      <c r="BA416" s="0" t="s">
        <v>130</v>
      </c>
      <c r="BB416" s="0" t="s">
        <v>130</v>
      </c>
      <c r="BC416" s="0" t="s">
        <v>130</v>
      </c>
      <c r="BD416" s="0" t="s">
        <v>130</v>
      </c>
      <c r="BE416" s="0" t="s">
        <v>130</v>
      </c>
      <c r="BF416" s="0" t="s">
        <v>130</v>
      </c>
      <c r="BG416" s="0" t="s">
        <v>141</v>
      </c>
      <c r="BH416" s="0" t="s">
        <v>130</v>
      </c>
      <c r="BI416" s="0" t="s">
        <v>130</v>
      </c>
      <c r="BJ416" s="0" t="s">
        <v>130</v>
      </c>
      <c r="BK416" s="0" t="s">
        <v>130</v>
      </c>
      <c r="BL416" s="0" t="s">
        <v>130</v>
      </c>
      <c r="BM416" s="0" t="s">
        <v>130</v>
      </c>
      <c r="BN416" s="0" t="s">
        <v>130</v>
      </c>
      <c r="BO416" s="0" t="s">
        <v>130</v>
      </c>
      <c r="BP416" s="0" t="s">
        <v>130</v>
      </c>
      <c r="BQ416" s="0" t="s">
        <v>130</v>
      </c>
      <c r="BR416" s="0" t="s">
        <v>130</v>
      </c>
      <c r="BS416" s="0" t="s">
        <v>130</v>
      </c>
      <c r="BT416" s="0" t="s">
        <v>130</v>
      </c>
      <c r="BU416" s="0" t="s">
        <v>130</v>
      </c>
      <c r="BV416" s="0" t="s">
        <v>130</v>
      </c>
      <c r="BW416" s="0" t="s">
        <v>130</v>
      </c>
      <c r="BX416" s="0" t="s">
        <v>130</v>
      </c>
      <c r="BY416" s="0" t="s">
        <v>130</v>
      </c>
      <c r="BZ416" s="0" t="s">
        <v>130</v>
      </c>
      <c r="CA416" s="0" t="s">
        <v>130</v>
      </c>
      <c r="CB416" s="0" t="s">
        <v>130</v>
      </c>
      <c r="CC416" s="0" t="s">
        <v>130</v>
      </c>
      <c r="CD416" s="0" t="s">
        <v>130</v>
      </c>
      <c r="CE416" s="0" t="s">
        <v>130</v>
      </c>
      <c r="CF416" s="0" t="s">
        <v>130</v>
      </c>
      <c r="CG416" s="0" t="s">
        <v>130</v>
      </c>
      <c r="CH416" s="0" t="s">
        <v>130</v>
      </c>
      <c r="CI416" s="0" t="s">
        <v>130</v>
      </c>
      <c r="CJ416" s="0" t="s">
        <v>130</v>
      </c>
      <c r="CK416" s="0" t="s">
        <v>130</v>
      </c>
      <c r="CL416" s="0" t="s">
        <v>130</v>
      </c>
      <c r="CM416" s="0" t="s">
        <v>130</v>
      </c>
      <c r="CN416" s="0" t="s">
        <v>130</v>
      </c>
      <c r="CO416" s="0" t="s">
        <v>130</v>
      </c>
      <c r="CP416" s="0" t="s">
        <v>130</v>
      </c>
      <c r="CQ416" s="0" t="s">
        <v>130</v>
      </c>
      <c r="CR416" s="0" t="s">
        <v>130</v>
      </c>
      <c r="CS416" s="0" t="s">
        <v>130</v>
      </c>
      <c r="CT416" s="0" t="s">
        <v>1463</v>
      </c>
    </row>
    <row r="417">
      <c r="A417" s="14">
        <v>101215</v>
      </c>
      <c r="B417" s="0" t="s">
        <v>1464</v>
      </c>
      <c r="C417" s="16">
        <f>HYPERLINK("https://eosportal.federatedhermes.com/companies/Q29tcGFueQppNTIxNzY=", "Procter &amp; Gamble Co/The")</f>
      </c>
      <c r="D417" s="0" t="s">
        <v>25</v>
      </c>
      <c r="E417" s="0" t="s">
        <v>1465</v>
      </c>
      <c r="F417" s="16">
        <f>HYPERLINK("https://eosportal.federatedhermes.com/engagements/RW5nYWdlbWVudAppMjAzNDM=", "Multi class share structure")</f>
      </c>
      <c r="G417" s="14" t="s">
        <v>1466</v>
      </c>
      <c r="H417" s="0" t="s">
        <v>141</v>
      </c>
      <c r="I417" s="14" t="s">
        <v>191</v>
      </c>
      <c r="J417" s="0" t="s">
        <v>145</v>
      </c>
      <c r="K417" s="0" t="s">
        <v>400</v>
      </c>
      <c r="L417" s="0" t="s">
        <v>507</v>
      </c>
      <c r="M417" s="0" t="s">
        <v>135</v>
      </c>
      <c r="N417" s="0" t="s">
        <v>136</v>
      </c>
      <c r="O417" s="0" t="s">
        <v>332</v>
      </c>
      <c r="Q417" s="0" t="s">
        <v>130</v>
      </c>
      <c r="R417" s="0" t="s">
        <v>138</v>
      </c>
      <c r="S417" s="14">
        <v>0</v>
      </c>
      <c r="T417" s="0" t="s">
        <v>359</v>
      </c>
      <c r="U417" s="0" t="s">
        <v>138</v>
      </c>
      <c r="V417" s="14" t="s">
        <v>138</v>
      </c>
      <c r="W417" s="0" t="s">
        <v>138</v>
      </c>
      <c r="X417" s="14" t="s">
        <v>138</v>
      </c>
      <c r="Y417" s="0" t="s">
        <v>138</v>
      </c>
      <c r="Z417" s="14" t="s">
        <v>138</v>
      </c>
      <c r="AA417" s="0" t="s">
        <v>138</v>
      </c>
      <c r="AB417" s="14" t="s">
        <v>138</v>
      </c>
      <c r="AD417" s="0" t="s">
        <v>138</v>
      </c>
      <c r="AF417" s="0">
        <v>0</v>
      </c>
      <c r="AG417" s="0">
        <v>0</v>
      </c>
      <c r="AH417" s="0" t="s">
        <v>140</v>
      </c>
      <c r="AI417" s="0" t="s">
        <v>138</v>
      </c>
      <c r="AL417" s="14"/>
      <c r="AN417" s="14"/>
      <c r="AQ417" s="0" t="s">
        <v>130</v>
      </c>
      <c r="AR417" s="0" t="s">
        <v>130</v>
      </c>
      <c r="AS417" s="0" t="s">
        <v>130</v>
      </c>
      <c r="AT417" s="0" t="s">
        <v>130</v>
      </c>
      <c r="AU417" s="0" t="s">
        <v>130</v>
      </c>
      <c r="AV417" s="0" t="s">
        <v>130</v>
      </c>
      <c r="AW417" s="0" t="s">
        <v>130</v>
      </c>
      <c r="AX417" s="0" t="s">
        <v>130</v>
      </c>
      <c r="AY417" s="0" t="s">
        <v>130</v>
      </c>
      <c r="AZ417" s="0" t="s">
        <v>130</v>
      </c>
      <c r="BA417" s="0" t="s">
        <v>130</v>
      </c>
      <c r="BB417" s="0" t="s">
        <v>130</v>
      </c>
      <c r="BC417" s="0" t="s">
        <v>130</v>
      </c>
      <c r="BD417" s="0" t="s">
        <v>130</v>
      </c>
      <c r="BE417" s="0" t="s">
        <v>130</v>
      </c>
      <c r="BF417" s="0" t="s">
        <v>130</v>
      </c>
      <c r="BG417" s="0" t="s">
        <v>130</v>
      </c>
      <c r="BH417" s="0" t="s">
        <v>130</v>
      </c>
      <c r="BI417" s="0" t="s">
        <v>130</v>
      </c>
      <c r="BJ417" s="0" t="s">
        <v>130</v>
      </c>
      <c r="BK417" s="0" t="s">
        <v>130</v>
      </c>
      <c r="BL417" s="0" t="s">
        <v>130</v>
      </c>
      <c r="BM417" s="0" t="s">
        <v>130</v>
      </c>
      <c r="BN417" s="0" t="s">
        <v>130</v>
      </c>
      <c r="BO417" s="0" t="s">
        <v>130</v>
      </c>
      <c r="BP417" s="0" t="s">
        <v>130</v>
      </c>
      <c r="BQ417" s="0" t="s">
        <v>130</v>
      </c>
      <c r="BR417" s="0" t="s">
        <v>130</v>
      </c>
      <c r="BS417" s="0" t="s">
        <v>130</v>
      </c>
      <c r="BT417" s="0" t="s">
        <v>130</v>
      </c>
      <c r="BU417" s="0" t="s">
        <v>130</v>
      </c>
      <c r="BV417" s="0" t="s">
        <v>130</v>
      </c>
      <c r="BW417" s="0" t="s">
        <v>130</v>
      </c>
      <c r="BX417" s="0" t="s">
        <v>130</v>
      </c>
      <c r="BY417" s="0" t="s">
        <v>130</v>
      </c>
      <c r="BZ417" s="0" t="s">
        <v>130</v>
      </c>
      <c r="CA417" s="0" t="s">
        <v>130</v>
      </c>
      <c r="CB417" s="0" t="s">
        <v>130</v>
      </c>
      <c r="CC417" s="0" t="s">
        <v>130</v>
      </c>
      <c r="CD417" s="0" t="s">
        <v>130</v>
      </c>
      <c r="CE417" s="0" t="s">
        <v>130</v>
      </c>
      <c r="CF417" s="0" t="s">
        <v>130</v>
      </c>
      <c r="CG417" s="0" t="s">
        <v>130</v>
      </c>
      <c r="CH417" s="0" t="s">
        <v>130</v>
      </c>
      <c r="CI417" s="0" t="s">
        <v>130</v>
      </c>
      <c r="CJ417" s="0" t="s">
        <v>130</v>
      </c>
      <c r="CK417" s="0" t="s">
        <v>130</v>
      </c>
      <c r="CL417" s="0" t="s">
        <v>130</v>
      </c>
      <c r="CM417" s="0" t="s">
        <v>130</v>
      </c>
      <c r="CN417" s="0" t="s">
        <v>130</v>
      </c>
      <c r="CO417" s="0" t="s">
        <v>130</v>
      </c>
      <c r="CP417" s="0" t="s">
        <v>130</v>
      </c>
      <c r="CQ417" s="0" t="s">
        <v>130</v>
      </c>
      <c r="CR417" s="0" t="s">
        <v>130</v>
      </c>
      <c r="CS417" s="0" t="s">
        <v>130</v>
      </c>
      <c r="CT417" s="0" t="s">
        <v>1467</v>
      </c>
    </row>
    <row r="418">
      <c r="A418" s="14">
        <v>101215</v>
      </c>
      <c r="B418" s="0" t="s">
        <v>1464</v>
      </c>
      <c r="C418" s="16">
        <f>HYPERLINK("https://eosportal.federatedhermes.com/companies/Q29tcGFueQppNTIxNzY=", "Procter &amp; Gamble Co/The")</f>
      </c>
      <c r="D418" s="0" t="s">
        <v>23</v>
      </c>
      <c r="E418" s="0" t="s">
        <v>1468</v>
      </c>
      <c r="F418" s="16">
        <f>HYPERLINK("https://eosportal.federatedhermes.com/engagements/RW5nYWdlbWVudAppMjAzNDg=", "Higher shareholding requirements")</f>
      </c>
      <c r="G418" s="14" t="s">
        <v>1469</v>
      </c>
      <c r="H418" s="0" t="s">
        <v>141</v>
      </c>
      <c r="I418" s="14" t="s">
        <v>191</v>
      </c>
      <c r="J418" s="0" t="s">
        <v>145</v>
      </c>
      <c r="K418" s="0" t="s">
        <v>146</v>
      </c>
      <c r="L418" s="0" t="s">
        <v>147</v>
      </c>
      <c r="M418" s="0" t="s">
        <v>135</v>
      </c>
      <c r="N418" s="0" t="s">
        <v>136</v>
      </c>
      <c r="O418" s="0" t="s">
        <v>332</v>
      </c>
      <c r="Q418" s="0" t="s">
        <v>141</v>
      </c>
      <c r="R418" s="0" t="s">
        <v>130</v>
      </c>
      <c r="S418" s="14">
        <v>1</v>
      </c>
      <c r="T418" s="0" t="s">
        <v>1145</v>
      </c>
      <c r="U418" s="0" t="s">
        <v>221</v>
      </c>
      <c r="V418" s="14" t="s">
        <v>1145</v>
      </c>
      <c r="W418" s="0" t="s">
        <v>221</v>
      </c>
      <c r="X418" s="14" t="s">
        <v>156</v>
      </c>
      <c r="Y418" s="0" t="s">
        <v>221</v>
      </c>
      <c r="Z418" s="14" t="s">
        <v>327</v>
      </c>
      <c r="AA418" s="0" t="s">
        <v>223</v>
      </c>
      <c r="AB418" s="14" t="s">
        <v>138</v>
      </c>
      <c r="AD418" s="0" t="s">
        <v>20</v>
      </c>
      <c r="AF418" s="0">
        <v>0</v>
      </c>
      <c r="AG418" s="0">
        <v>0</v>
      </c>
      <c r="AH418" s="0" t="s">
        <v>140</v>
      </c>
      <c r="AI418" s="0" t="s">
        <v>225</v>
      </c>
      <c r="AK418" s="0" t="s">
        <v>1470</v>
      </c>
      <c r="AL418" s="14"/>
      <c r="AN418" s="14"/>
      <c r="AQ418" s="0" t="s">
        <v>130</v>
      </c>
      <c r="AR418" s="0" t="s">
        <v>130</v>
      </c>
      <c r="AS418" s="0" t="s">
        <v>130</v>
      </c>
      <c r="AT418" s="0" t="s">
        <v>130</v>
      </c>
      <c r="AU418" s="0" t="s">
        <v>130</v>
      </c>
      <c r="AV418" s="0" t="s">
        <v>130</v>
      </c>
      <c r="AW418" s="0" t="s">
        <v>130</v>
      </c>
      <c r="AX418" s="0" t="s">
        <v>130</v>
      </c>
      <c r="AY418" s="0" t="s">
        <v>130</v>
      </c>
      <c r="AZ418" s="0" t="s">
        <v>130</v>
      </c>
      <c r="BA418" s="0" t="s">
        <v>130</v>
      </c>
      <c r="BB418" s="0" t="s">
        <v>130</v>
      </c>
      <c r="BC418" s="0" t="s">
        <v>130</v>
      </c>
      <c r="BD418" s="0" t="s">
        <v>130</v>
      </c>
      <c r="BE418" s="0" t="s">
        <v>130</v>
      </c>
      <c r="BF418" s="0" t="s">
        <v>130</v>
      </c>
      <c r="BG418" s="0" t="s">
        <v>130</v>
      </c>
      <c r="BH418" s="0" t="s">
        <v>130</v>
      </c>
      <c r="BI418" s="0" t="s">
        <v>130</v>
      </c>
      <c r="BJ418" s="0" t="s">
        <v>130</v>
      </c>
      <c r="BK418" s="0" t="s">
        <v>130</v>
      </c>
      <c r="BL418" s="0" t="s">
        <v>130</v>
      </c>
      <c r="BM418" s="0" t="s">
        <v>130</v>
      </c>
      <c r="BN418" s="0" t="s">
        <v>130</v>
      </c>
      <c r="BO418" s="0" t="s">
        <v>130</v>
      </c>
      <c r="BP418" s="0" t="s">
        <v>130</v>
      </c>
      <c r="BQ418" s="0" t="s">
        <v>130</v>
      </c>
      <c r="BR418" s="0" t="s">
        <v>130</v>
      </c>
      <c r="BS418" s="0" t="s">
        <v>130</v>
      </c>
      <c r="BT418" s="0" t="s">
        <v>130</v>
      </c>
      <c r="BU418" s="0" t="s">
        <v>130</v>
      </c>
      <c r="BV418" s="0" t="s">
        <v>130</v>
      </c>
      <c r="BW418" s="0" t="s">
        <v>130</v>
      </c>
      <c r="BX418" s="0" t="s">
        <v>130</v>
      </c>
      <c r="BY418" s="0" t="s">
        <v>130</v>
      </c>
      <c r="BZ418" s="0" t="s">
        <v>130</v>
      </c>
      <c r="CA418" s="0" t="s">
        <v>130</v>
      </c>
      <c r="CB418" s="0" t="s">
        <v>130</v>
      </c>
      <c r="CC418" s="0" t="s">
        <v>130</v>
      </c>
      <c r="CD418" s="0" t="s">
        <v>130</v>
      </c>
      <c r="CE418" s="0" t="s">
        <v>130</v>
      </c>
      <c r="CF418" s="0" t="s">
        <v>130</v>
      </c>
      <c r="CG418" s="0" t="s">
        <v>130</v>
      </c>
      <c r="CH418" s="0" t="s">
        <v>130</v>
      </c>
      <c r="CI418" s="0" t="s">
        <v>130</v>
      </c>
      <c r="CJ418" s="0" t="s">
        <v>130</v>
      </c>
      <c r="CK418" s="0" t="s">
        <v>130</v>
      </c>
      <c r="CL418" s="0" t="s">
        <v>130</v>
      </c>
      <c r="CM418" s="0" t="s">
        <v>130</v>
      </c>
      <c r="CN418" s="0" t="s">
        <v>130</v>
      </c>
      <c r="CO418" s="0" t="s">
        <v>130</v>
      </c>
      <c r="CP418" s="0" t="s">
        <v>130</v>
      </c>
      <c r="CQ418" s="0" t="s">
        <v>130</v>
      </c>
      <c r="CR418" s="0" t="s">
        <v>130</v>
      </c>
      <c r="CS418" s="0" t="s">
        <v>130</v>
      </c>
      <c r="CT418" s="0" t="s">
        <v>1471</v>
      </c>
    </row>
    <row r="419">
      <c r="A419" s="14">
        <v>101215</v>
      </c>
      <c r="B419" s="0" t="s">
        <v>1464</v>
      </c>
      <c r="C419" s="16">
        <f>HYPERLINK("https://eosportal.federatedhermes.com/companies/Q29tcGFueQppNTIxNzY=", "Procter &amp; Gamble Co/The")</f>
      </c>
      <c r="D419" s="0" t="s">
        <v>25</v>
      </c>
      <c r="E419" s="0" t="s">
        <v>1472</v>
      </c>
      <c r="F419" s="16">
        <f>HYPERLINK("https://eosportal.federatedhermes.com/engagements/RW5nYWdlbWVudAppMjAzNTI=", "Proxy contest with activist investor")</f>
      </c>
      <c r="G419" s="14" t="s">
        <v>1473</v>
      </c>
      <c r="H419" s="0" t="s">
        <v>141</v>
      </c>
      <c r="I419" s="14" t="s">
        <v>191</v>
      </c>
      <c r="J419" s="0" t="s">
        <v>145</v>
      </c>
      <c r="K419" s="0" t="s">
        <v>164</v>
      </c>
      <c r="L419" s="0" t="s">
        <v>165</v>
      </c>
      <c r="M419" s="0" t="s">
        <v>135</v>
      </c>
      <c r="N419" s="0" t="s">
        <v>136</v>
      </c>
      <c r="O419" s="0" t="s">
        <v>332</v>
      </c>
      <c r="Q419" s="0" t="s">
        <v>130</v>
      </c>
      <c r="R419" s="0" t="s">
        <v>138</v>
      </c>
      <c r="S419" s="14">
        <v>0</v>
      </c>
      <c r="T419" s="0" t="s">
        <v>314</v>
      </c>
      <c r="U419" s="0" t="s">
        <v>138</v>
      </c>
      <c r="V419" s="14" t="s">
        <v>138</v>
      </c>
      <c r="W419" s="0" t="s">
        <v>138</v>
      </c>
      <c r="X419" s="14" t="s">
        <v>138</v>
      </c>
      <c r="Y419" s="0" t="s">
        <v>138</v>
      </c>
      <c r="Z419" s="14" t="s">
        <v>138</v>
      </c>
      <c r="AA419" s="0" t="s">
        <v>138</v>
      </c>
      <c r="AB419" s="14" t="s">
        <v>138</v>
      </c>
      <c r="AD419" s="0" t="s">
        <v>138</v>
      </c>
      <c r="AF419" s="0">
        <v>0</v>
      </c>
      <c r="AG419" s="0">
        <v>0</v>
      </c>
      <c r="AH419" s="0" t="s">
        <v>140</v>
      </c>
      <c r="AI419" s="0" t="s">
        <v>138</v>
      </c>
      <c r="AL419" s="14"/>
      <c r="AN419" s="14"/>
      <c r="AQ419" s="0" t="s">
        <v>130</v>
      </c>
      <c r="AR419" s="0" t="s">
        <v>130</v>
      </c>
      <c r="AS419" s="0" t="s">
        <v>130</v>
      </c>
      <c r="AT419" s="0" t="s">
        <v>130</v>
      </c>
      <c r="AU419" s="0" t="s">
        <v>130</v>
      </c>
      <c r="AV419" s="0" t="s">
        <v>130</v>
      </c>
      <c r="AW419" s="0" t="s">
        <v>130</v>
      </c>
      <c r="AX419" s="0" t="s">
        <v>130</v>
      </c>
      <c r="AY419" s="0" t="s">
        <v>130</v>
      </c>
      <c r="AZ419" s="0" t="s">
        <v>130</v>
      </c>
      <c r="BA419" s="0" t="s">
        <v>130</v>
      </c>
      <c r="BB419" s="0" t="s">
        <v>130</v>
      </c>
      <c r="BC419" s="0" t="s">
        <v>130</v>
      </c>
      <c r="BD419" s="0" t="s">
        <v>130</v>
      </c>
      <c r="BE419" s="0" t="s">
        <v>130</v>
      </c>
      <c r="BF419" s="0" t="s">
        <v>130</v>
      </c>
      <c r="BG419" s="0" t="s">
        <v>130</v>
      </c>
      <c r="BH419" s="0" t="s">
        <v>130</v>
      </c>
      <c r="BI419" s="0" t="s">
        <v>130</v>
      </c>
      <c r="BJ419" s="0" t="s">
        <v>130</v>
      </c>
      <c r="BK419" s="0" t="s">
        <v>130</v>
      </c>
      <c r="BL419" s="0" t="s">
        <v>130</v>
      </c>
      <c r="BM419" s="0" t="s">
        <v>130</v>
      </c>
      <c r="BN419" s="0" t="s">
        <v>130</v>
      </c>
      <c r="BO419" s="0" t="s">
        <v>130</v>
      </c>
      <c r="BP419" s="0" t="s">
        <v>130</v>
      </c>
      <c r="BQ419" s="0" t="s">
        <v>130</v>
      </c>
      <c r="BR419" s="0" t="s">
        <v>130</v>
      </c>
      <c r="BS419" s="0" t="s">
        <v>130</v>
      </c>
      <c r="BT419" s="0" t="s">
        <v>130</v>
      </c>
      <c r="BU419" s="0" t="s">
        <v>130</v>
      </c>
      <c r="BV419" s="0" t="s">
        <v>130</v>
      </c>
      <c r="BW419" s="0" t="s">
        <v>130</v>
      </c>
      <c r="BX419" s="0" t="s">
        <v>130</v>
      </c>
      <c r="BY419" s="0" t="s">
        <v>130</v>
      </c>
      <c r="BZ419" s="0" t="s">
        <v>130</v>
      </c>
      <c r="CA419" s="0" t="s">
        <v>130</v>
      </c>
      <c r="CB419" s="0" t="s">
        <v>130</v>
      </c>
      <c r="CC419" s="0" t="s">
        <v>130</v>
      </c>
      <c r="CD419" s="0" t="s">
        <v>130</v>
      </c>
      <c r="CE419" s="0" t="s">
        <v>130</v>
      </c>
      <c r="CF419" s="0" t="s">
        <v>130</v>
      </c>
      <c r="CG419" s="0" t="s">
        <v>130</v>
      </c>
      <c r="CH419" s="0" t="s">
        <v>130</v>
      </c>
      <c r="CI419" s="0" t="s">
        <v>130</v>
      </c>
      <c r="CJ419" s="0" t="s">
        <v>130</v>
      </c>
      <c r="CK419" s="0" t="s">
        <v>130</v>
      </c>
      <c r="CL419" s="0" t="s">
        <v>130</v>
      </c>
      <c r="CM419" s="0" t="s">
        <v>130</v>
      </c>
      <c r="CN419" s="0" t="s">
        <v>130</v>
      </c>
      <c r="CO419" s="0" t="s">
        <v>130</v>
      </c>
      <c r="CP419" s="0" t="s">
        <v>130</v>
      </c>
      <c r="CQ419" s="0" t="s">
        <v>130</v>
      </c>
      <c r="CR419" s="0" t="s">
        <v>130</v>
      </c>
      <c r="CS419" s="0" t="s">
        <v>130</v>
      </c>
      <c r="CT419" s="0" t="s">
        <v>1474</v>
      </c>
    </row>
    <row r="420">
      <c r="A420" s="14">
        <v>101215</v>
      </c>
      <c r="B420" s="0" t="s">
        <v>1464</v>
      </c>
      <c r="C420" s="16">
        <f>HYPERLINK("https://eosportal.federatedhermes.com/companies/Q29tcGFueQppNTIxNzY=", "Procter &amp; Gamble Co/The")</f>
      </c>
      <c r="D420" s="0" t="s">
        <v>25</v>
      </c>
      <c r="E420" s="0" t="s">
        <v>1475</v>
      </c>
      <c r="F420" s="16">
        <f>HYPERLINK("https://eosportal.federatedhermes.com/engagements/RW5nYWdlbWVudAppMjAzNTU=", "Transparency and coherence around the company's performance")</f>
      </c>
      <c r="G420" s="14" t="s">
        <v>1476</v>
      </c>
      <c r="H420" s="0" t="s">
        <v>141</v>
      </c>
      <c r="I420" s="14" t="s">
        <v>191</v>
      </c>
      <c r="J420" s="0" t="s">
        <v>153</v>
      </c>
      <c r="K420" s="0" t="s">
        <v>185</v>
      </c>
      <c r="L420" s="0" t="s">
        <v>186</v>
      </c>
      <c r="M420" s="0" t="s">
        <v>135</v>
      </c>
      <c r="N420" s="0" t="s">
        <v>136</v>
      </c>
      <c r="O420" s="0" t="s">
        <v>332</v>
      </c>
      <c r="Q420" s="0" t="s">
        <v>130</v>
      </c>
      <c r="R420" s="0" t="s">
        <v>138</v>
      </c>
      <c r="S420" s="14">
        <v>0</v>
      </c>
      <c r="T420" s="0" t="s">
        <v>825</v>
      </c>
      <c r="U420" s="0" t="s">
        <v>138</v>
      </c>
      <c r="V420" s="14" t="s">
        <v>138</v>
      </c>
      <c r="W420" s="0" t="s">
        <v>138</v>
      </c>
      <c r="X420" s="14" t="s">
        <v>138</v>
      </c>
      <c r="Y420" s="0" t="s">
        <v>138</v>
      </c>
      <c r="Z420" s="14" t="s">
        <v>138</v>
      </c>
      <c r="AA420" s="0" t="s">
        <v>138</v>
      </c>
      <c r="AB420" s="14" t="s">
        <v>138</v>
      </c>
      <c r="AD420" s="0" t="s">
        <v>138</v>
      </c>
      <c r="AF420" s="0">
        <v>0</v>
      </c>
      <c r="AG420" s="0">
        <v>0</v>
      </c>
      <c r="AH420" s="0" t="s">
        <v>140</v>
      </c>
      <c r="AI420" s="0" t="s">
        <v>138</v>
      </c>
      <c r="AL420" s="14"/>
      <c r="AN420" s="14"/>
      <c r="AQ420" s="0" t="s">
        <v>130</v>
      </c>
      <c r="AR420" s="0" t="s">
        <v>130</v>
      </c>
      <c r="AS420" s="0" t="s">
        <v>130</v>
      </c>
      <c r="AT420" s="0" t="s">
        <v>130</v>
      </c>
      <c r="AU420" s="0" t="s">
        <v>130</v>
      </c>
      <c r="AV420" s="0" t="s">
        <v>130</v>
      </c>
      <c r="AW420" s="0" t="s">
        <v>130</v>
      </c>
      <c r="AX420" s="0" t="s">
        <v>130</v>
      </c>
      <c r="AY420" s="0" t="s">
        <v>130</v>
      </c>
      <c r="AZ420" s="0" t="s">
        <v>130</v>
      </c>
      <c r="BA420" s="0" t="s">
        <v>130</v>
      </c>
      <c r="BB420" s="0" t="s">
        <v>130</v>
      </c>
      <c r="BC420" s="0" t="s">
        <v>130</v>
      </c>
      <c r="BD420" s="0" t="s">
        <v>130</v>
      </c>
      <c r="BE420" s="0" t="s">
        <v>130</v>
      </c>
      <c r="BF420" s="0" t="s">
        <v>130</v>
      </c>
      <c r="BG420" s="0" t="s">
        <v>130</v>
      </c>
      <c r="BH420" s="0" t="s">
        <v>130</v>
      </c>
      <c r="BI420" s="0" t="s">
        <v>130</v>
      </c>
      <c r="BJ420" s="0" t="s">
        <v>130</v>
      </c>
      <c r="BK420" s="0" t="s">
        <v>130</v>
      </c>
      <c r="BL420" s="0" t="s">
        <v>130</v>
      </c>
      <c r="BM420" s="0" t="s">
        <v>130</v>
      </c>
      <c r="BN420" s="0" t="s">
        <v>130</v>
      </c>
      <c r="BO420" s="0" t="s">
        <v>130</v>
      </c>
      <c r="BP420" s="0" t="s">
        <v>130</v>
      </c>
      <c r="BQ420" s="0" t="s">
        <v>130</v>
      </c>
      <c r="BR420" s="0" t="s">
        <v>130</v>
      </c>
      <c r="BS420" s="0" t="s">
        <v>130</v>
      </c>
      <c r="BT420" s="0" t="s">
        <v>130</v>
      </c>
      <c r="BU420" s="0" t="s">
        <v>130</v>
      </c>
      <c r="BV420" s="0" t="s">
        <v>130</v>
      </c>
      <c r="BW420" s="0" t="s">
        <v>130</v>
      </c>
      <c r="BX420" s="0" t="s">
        <v>130</v>
      </c>
      <c r="BY420" s="0" t="s">
        <v>130</v>
      </c>
      <c r="BZ420" s="0" t="s">
        <v>130</v>
      </c>
      <c r="CA420" s="0" t="s">
        <v>130</v>
      </c>
      <c r="CB420" s="0" t="s">
        <v>130</v>
      </c>
      <c r="CC420" s="0" t="s">
        <v>130</v>
      </c>
      <c r="CD420" s="0" t="s">
        <v>130</v>
      </c>
      <c r="CE420" s="0" t="s">
        <v>130</v>
      </c>
      <c r="CF420" s="0" t="s">
        <v>130</v>
      </c>
      <c r="CG420" s="0" t="s">
        <v>130</v>
      </c>
      <c r="CH420" s="0" t="s">
        <v>130</v>
      </c>
      <c r="CI420" s="0" t="s">
        <v>130</v>
      </c>
      <c r="CJ420" s="0" t="s">
        <v>130</v>
      </c>
      <c r="CK420" s="0" t="s">
        <v>130</v>
      </c>
      <c r="CL420" s="0" t="s">
        <v>130</v>
      </c>
      <c r="CM420" s="0" t="s">
        <v>130</v>
      </c>
      <c r="CN420" s="0" t="s">
        <v>130</v>
      </c>
      <c r="CO420" s="0" t="s">
        <v>130</v>
      </c>
      <c r="CP420" s="0" t="s">
        <v>130</v>
      </c>
      <c r="CQ420" s="0" t="s">
        <v>130</v>
      </c>
      <c r="CR420" s="0" t="s">
        <v>130</v>
      </c>
      <c r="CS420" s="0" t="s">
        <v>130</v>
      </c>
      <c r="CT420" s="0" t="s">
        <v>1477</v>
      </c>
    </row>
    <row r="421">
      <c r="A421" s="14">
        <v>101341</v>
      </c>
      <c r="B421" s="0" t="s">
        <v>1478</v>
      </c>
      <c r="C421" s="16">
        <f>HYPERLINK("https://eosportal.federatedhermes.com/companies/Q29tcGFueQppNzU2ODE=", "Sherwin-Williams Co/The")</f>
      </c>
      <c r="D421" s="0" t="s">
        <v>25</v>
      </c>
      <c r="E421" s="0" t="s">
        <v>1479</v>
      </c>
      <c r="F421" s="16">
        <f>HYPERLINK("https://eosportal.federatedhermes.com/engagements/RW5nYWdlbWVudAppMjAzNTc=", "Long-Term Remuneration")</f>
      </c>
      <c r="G421" s="14" t="s">
        <v>1480</v>
      </c>
      <c r="H421" s="0" t="s">
        <v>130</v>
      </c>
      <c r="I421" s="14" t="s">
        <v>319</v>
      </c>
      <c r="J421" s="0" t="s">
        <v>145</v>
      </c>
      <c r="K421" s="0" t="s">
        <v>146</v>
      </c>
      <c r="L421" s="0" t="s">
        <v>147</v>
      </c>
      <c r="M421" s="0" t="s">
        <v>135</v>
      </c>
      <c r="N421" s="0" t="s">
        <v>136</v>
      </c>
      <c r="O421" s="0" t="s">
        <v>706</v>
      </c>
      <c r="Q421" s="0" t="s">
        <v>130</v>
      </c>
      <c r="R421" s="0" t="s">
        <v>138</v>
      </c>
      <c r="S421" s="14">
        <v>0</v>
      </c>
      <c r="T421" s="0" t="s">
        <v>166</v>
      </c>
      <c r="U421" s="0" t="s">
        <v>138</v>
      </c>
      <c r="V421" s="14" t="s">
        <v>138</v>
      </c>
      <c r="W421" s="0" t="s">
        <v>138</v>
      </c>
      <c r="X421" s="14" t="s">
        <v>138</v>
      </c>
      <c r="Y421" s="0" t="s">
        <v>138</v>
      </c>
      <c r="Z421" s="14" t="s">
        <v>138</v>
      </c>
      <c r="AA421" s="0" t="s">
        <v>138</v>
      </c>
      <c r="AB421" s="14" t="s">
        <v>138</v>
      </c>
      <c r="AD421" s="0" t="s">
        <v>138</v>
      </c>
      <c r="AF421" s="0">
        <v>0</v>
      </c>
      <c r="AG421" s="0">
        <v>0</v>
      </c>
      <c r="AH421" s="0" t="s">
        <v>140</v>
      </c>
      <c r="AI421" s="0" t="s">
        <v>138</v>
      </c>
      <c r="AL421" s="14"/>
      <c r="AN421" s="14"/>
      <c r="AQ421" s="0" t="s">
        <v>130</v>
      </c>
      <c r="AR421" s="0" t="s">
        <v>130</v>
      </c>
      <c r="AS421" s="0" t="s">
        <v>130</v>
      </c>
      <c r="AT421" s="0" t="s">
        <v>130</v>
      </c>
      <c r="AU421" s="0" t="s">
        <v>130</v>
      </c>
      <c r="AV421" s="0" t="s">
        <v>130</v>
      </c>
      <c r="AW421" s="0" t="s">
        <v>130</v>
      </c>
      <c r="AX421" s="0" t="s">
        <v>130</v>
      </c>
      <c r="AY421" s="0" t="s">
        <v>130</v>
      </c>
      <c r="AZ421" s="0" t="s">
        <v>130</v>
      </c>
      <c r="BA421" s="0" t="s">
        <v>130</v>
      </c>
      <c r="BB421" s="0" t="s">
        <v>130</v>
      </c>
      <c r="BC421" s="0" t="s">
        <v>130</v>
      </c>
      <c r="BD421" s="0" t="s">
        <v>130</v>
      </c>
      <c r="BE421" s="0" t="s">
        <v>130</v>
      </c>
      <c r="BF421" s="0" t="s">
        <v>130</v>
      </c>
      <c r="BG421" s="0" t="s">
        <v>130</v>
      </c>
      <c r="BH421" s="0" t="s">
        <v>130</v>
      </c>
      <c r="BI421" s="0" t="s">
        <v>130</v>
      </c>
      <c r="BJ421" s="0" t="s">
        <v>130</v>
      </c>
      <c r="BK421" s="0" t="s">
        <v>130</v>
      </c>
      <c r="BL421" s="0" t="s">
        <v>130</v>
      </c>
      <c r="BM421" s="0" t="s">
        <v>130</v>
      </c>
      <c r="BN421" s="0" t="s">
        <v>130</v>
      </c>
      <c r="BO421" s="0" t="s">
        <v>130</v>
      </c>
      <c r="BP421" s="0" t="s">
        <v>130</v>
      </c>
      <c r="BQ421" s="0" t="s">
        <v>130</v>
      </c>
      <c r="BR421" s="0" t="s">
        <v>130</v>
      </c>
      <c r="BS421" s="0" t="s">
        <v>130</v>
      </c>
      <c r="BT421" s="0" t="s">
        <v>130</v>
      </c>
      <c r="BU421" s="0" t="s">
        <v>130</v>
      </c>
      <c r="BV421" s="0" t="s">
        <v>130</v>
      </c>
      <c r="BW421" s="0" t="s">
        <v>130</v>
      </c>
      <c r="BX421" s="0" t="s">
        <v>130</v>
      </c>
      <c r="BY421" s="0" t="s">
        <v>130</v>
      </c>
      <c r="BZ421" s="0" t="s">
        <v>130</v>
      </c>
      <c r="CA421" s="0" t="s">
        <v>130</v>
      </c>
      <c r="CB421" s="0" t="s">
        <v>130</v>
      </c>
      <c r="CC421" s="0" t="s">
        <v>130</v>
      </c>
      <c r="CD421" s="0" t="s">
        <v>130</v>
      </c>
      <c r="CE421" s="0" t="s">
        <v>130</v>
      </c>
      <c r="CF421" s="0" t="s">
        <v>130</v>
      </c>
      <c r="CG421" s="0" t="s">
        <v>130</v>
      </c>
      <c r="CH421" s="0" t="s">
        <v>130</v>
      </c>
      <c r="CI421" s="0" t="s">
        <v>130</v>
      </c>
      <c r="CJ421" s="0" t="s">
        <v>130</v>
      </c>
      <c r="CK421" s="0" t="s">
        <v>130</v>
      </c>
      <c r="CL421" s="0" t="s">
        <v>130</v>
      </c>
      <c r="CM421" s="0" t="s">
        <v>130</v>
      </c>
      <c r="CN421" s="0" t="s">
        <v>130</v>
      </c>
      <c r="CO421" s="0" t="s">
        <v>130</v>
      </c>
      <c r="CP421" s="0" t="s">
        <v>130</v>
      </c>
      <c r="CQ421" s="0" t="s">
        <v>130</v>
      </c>
      <c r="CR421" s="0" t="s">
        <v>130</v>
      </c>
      <c r="CS421" s="0" t="s">
        <v>130</v>
      </c>
      <c r="CT421" s="0" t="s">
        <v>1481</v>
      </c>
    </row>
    <row r="422">
      <c r="A422" s="14">
        <v>101341</v>
      </c>
      <c r="B422" s="0" t="s">
        <v>1478</v>
      </c>
      <c r="C422" s="16">
        <f>HYPERLINK("https://eosportal.federatedhermes.com/companies/Q29tcGFueQppNzU2ODE=", "Sherwin-Williams Co/The")</f>
      </c>
      <c r="D422" s="0" t="s">
        <v>25</v>
      </c>
      <c r="E422" s="0" t="s">
        <v>1482</v>
      </c>
      <c r="F422" s="16">
        <f>HYPERLINK("https://eosportal.federatedhermes.com/engagements/RW5nYWdlbWVudAppMjAzNjE=", "Combined Chair/CEO")</f>
      </c>
      <c r="G422" s="14" t="s">
        <v>1483</v>
      </c>
      <c r="H422" s="0" t="s">
        <v>130</v>
      </c>
      <c r="I422" s="14" t="s">
        <v>319</v>
      </c>
      <c r="J422" s="0" t="s">
        <v>145</v>
      </c>
      <c r="K422" s="0" t="s">
        <v>164</v>
      </c>
      <c r="L422" s="0" t="s">
        <v>165</v>
      </c>
      <c r="M422" s="0" t="s">
        <v>135</v>
      </c>
      <c r="N422" s="0" t="s">
        <v>136</v>
      </c>
      <c r="O422" s="0" t="s">
        <v>706</v>
      </c>
      <c r="Q422" s="0" t="s">
        <v>130</v>
      </c>
      <c r="R422" s="0" t="s">
        <v>138</v>
      </c>
      <c r="S422" s="14">
        <v>0</v>
      </c>
      <c r="T422" s="0" t="s">
        <v>156</v>
      </c>
      <c r="U422" s="0" t="s">
        <v>138</v>
      </c>
      <c r="V422" s="14" t="s">
        <v>138</v>
      </c>
      <c r="W422" s="0" t="s">
        <v>138</v>
      </c>
      <c r="X422" s="14" t="s">
        <v>138</v>
      </c>
      <c r="Y422" s="0" t="s">
        <v>138</v>
      </c>
      <c r="Z422" s="14" t="s">
        <v>138</v>
      </c>
      <c r="AA422" s="0" t="s">
        <v>138</v>
      </c>
      <c r="AB422" s="14" t="s">
        <v>138</v>
      </c>
      <c r="AD422" s="0" t="s">
        <v>138</v>
      </c>
      <c r="AF422" s="0">
        <v>0</v>
      </c>
      <c r="AG422" s="0">
        <v>0</v>
      </c>
      <c r="AH422" s="0" t="s">
        <v>140</v>
      </c>
      <c r="AI422" s="0" t="s">
        <v>138</v>
      </c>
      <c r="AL422" s="14"/>
      <c r="AN422" s="14"/>
      <c r="AQ422" s="0" t="s">
        <v>130</v>
      </c>
      <c r="AR422" s="0" t="s">
        <v>130</v>
      </c>
      <c r="AS422" s="0" t="s">
        <v>130</v>
      </c>
      <c r="AT422" s="0" t="s">
        <v>130</v>
      </c>
      <c r="AU422" s="0" t="s">
        <v>130</v>
      </c>
      <c r="AV422" s="0" t="s">
        <v>130</v>
      </c>
      <c r="AW422" s="0" t="s">
        <v>130</v>
      </c>
      <c r="AX422" s="0" t="s">
        <v>130</v>
      </c>
      <c r="AY422" s="0" t="s">
        <v>130</v>
      </c>
      <c r="AZ422" s="0" t="s">
        <v>130</v>
      </c>
      <c r="BA422" s="0" t="s">
        <v>130</v>
      </c>
      <c r="BB422" s="0" t="s">
        <v>130</v>
      </c>
      <c r="BC422" s="0" t="s">
        <v>130</v>
      </c>
      <c r="BD422" s="0" t="s">
        <v>130</v>
      </c>
      <c r="BE422" s="0" t="s">
        <v>130</v>
      </c>
      <c r="BF422" s="0" t="s">
        <v>130</v>
      </c>
      <c r="BG422" s="0" t="s">
        <v>130</v>
      </c>
      <c r="BH422" s="0" t="s">
        <v>130</v>
      </c>
      <c r="BI422" s="0" t="s">
        <v>130</v>
      </c>
      <c r="BJ422" s="0" t="s">
        <v>130</v>
      </c>
      <c r="BK422" s="0" t="s">
        <v>130</v>
      </c>
      <c r="BL422" s="0" t="s">
        <v>130</v>
      </c>
      <c r="BM422" s="0" t="s">
        <v>130</v>
      </c>
      <c r="BN422" s="0" t="s">
        <v>130</v>
      </c>
      <c r="BO422" s="0" t="s">
        <v>130</v>
      </c>
      <c r="BP422" s="0" t="s">
        <v>130</v>
      </c>
      <c r="BQ422" s="0" t="s">
        <v>130</v>
      </c>
      <c r="BR422" s="0" t="s">
        <v>130</v>
      </c>
      <c r="BS422" s="0" t="s">
        <v>130</v>
      </c>
      <c r="BT422" s="0" t="s">
        <v>130</v>
      </c>
      <c r="BU422" s="0" t="s">
        <v>130</v>
      </c>
      <c r="BV422" s="0" t="s">
        <v>130</v>
      </c>
      <c r="BW422" s="0" t="s">
        <v>130</v>
      </c>
      <c r="BX422" s="0" t="s">
        <v>130</v>
      </c>
      <c r="BY422" s="0" t="s">
        <v>130</v>
      </c>
      <c r="BZ422" s="0" t="s">
        <v>130</v>
      </c>
      <c r="CA422" s="0" t="s">
        <v>130</v>
      </c>
      <c r="CB422" s="0" t="s">
        <v>130</v>
      </c>
      <c r="CC422" s="0" t="s">
        <v>130</v>
      </c>
      <c r="CD422" s="0" t="s">
        <v>130</v>
      </c>
      <c r="CE422" s="0" t="s">
        <v>130</v>
      </c>
      <c r="CF422" s="0" t="s">
        <v>130</v>
      </c>
      <c r="CG422" s="0" t="s">
        <v>130</v>
      </c>
      <c r="CH422" s="0" t="s">
        <v>130</v>
      </c>
      <c r="CI422" s="0" t="s">
        <v>130</v>
      </c>
      <c r="CJ422" s="0" t="s">
        <v>130</v>
      </c>
      <c r="CK422" s="0" t="s">
        <v>130</v>
      </c>
      <c r="CL422" s="0" t="s">
        <v>130</v>
      </c>
      <c r="CM422" s="0" t="s">
        <v>130</v>
      </c>
      <c r="CN422" s="0" t="s">
        <v>130</v>
      </c>
      <c r="CO422" s="0" t="s">
        <v>130</v>
      </c>
      <c r="CP422" s="0" t="s">
        <v>130</v>
      </c>
      <c r="CQ422" s="0" t="s">
        <v>130</v>
      </c>
      <c r="CR422" s="0" t="s">
        <v>130</v>
      </c>
      <c r="CS422" s="0" t="s">
        <v>130</v>
      </c>
      <c r="CT422" s="0" t="s">
        <v>1484</v>
      </c>
    </row>
    <row r="423">
      <c r="A423" s="14">
        <v>101341</v>
      </c>
      <c r="B423" s="0" t="s">
        <v>1478</v>
      </c>
      <c r="C423" s="16">
        <f>HYPERLINK("https://eosportal.federatedhermes.com/companies/Q29tcGFueQppNzU2ODE=", "Sherwin-Williams Co/The")</f>
      </c>
      <c r="D423" s="0" t="s">
        <v>25</v>
      </c>
      <c r="E423" s="0" t="s">
        <v>712</v>
      </c>
      <c r="F423" s="16">
        <f>HYPERLINK("https://eosportal.federatedhermes.com/engagements/RW5nYWdlbWVudAppMjAzNjQ=", "Hazardous chemicals management")</f>
      </c>
      <c r="G423" s="14" t="s">
        <v>1485</v>
      </c>
      <c r="H423" s="0" t="s">
        <v>130</v>
      </c>
      <c r="I423" s="14" t="s">
        <v>319</v>
      </c>
      <c r="J423" s="0" t="s">
        <v>197</v>
      </c>
      <c r="K423" s="0" t="s">
        <v>348</v>
      </c>
      <c r="L423" s="0" t="s">
        <v>650</v>
      </c>
      <c r="M423" s="0" t="s">
        <v>135</v>
      </c>
      <c r="N423" s="0" t="s">
        <v>136</v>
      </c>
      <c r="O423" s="0" t="s">
        <v>706</v>
      </c>
      <c r="Q423" s="0" t="s">
        <v>141</v>
      </c>
      <c r="R423" s="0" t="s">
        <v>138</v>
      </c>
      <c r="S423" s="14">
        <v>1</v>
      </c>
      <c r="T423" s="0" t="s">
        <v>230</v>
      </c>
      <c r="U423" s="0" t="s">
        <v>138</v>
      </c>
      <c r="V423" s="14" t="s">
        <v>138</v>
      </c>
      <c r="W423" s="0" t="s">
        <v>138</v>
      </c>
      <c r="X423" s="14" t="s">
        <v>138</v>
      </c>
      <c r="Y423" s="0" t="s">
        <v>138</v>
      </c>
      <c r="Z423" s="14" t="s">
        <v>138</v>
      </c>
      <c r="AA423" s="0" t="s">
        <v>138</v>
      </c>
      <c r="AB423" s="14" t="s">
        <v>138</v>
      </c>
      <c r="AD423" s="0" t="s">
        <v>138</v>
      </c>
      <c r="AF423" s="0">
        <v>0</v>
      </c>
      <c r="AG423" s="0">
        <v>0</v>
      </c>
      <c r="AH423" s="0" t="s">
        <v>140</v>
      </c>
      <c r="AI423" s="0" t="s">
        <v>138</v>
      </c>
      <c r="AK423" s="0" t="s">
        <v>714</v>
      </c>
      <c r="AL423" s="14"/>
      <c r="AN423" s="14"/>
      <c r="AQ423" s="0" t="s">
        <v>130</v>
      </c>
      <c r="AR423" s="0" t="s">
        <v>130</v>
      </c>
      <c r="AS423" s="0" t="s">
        <v>141</v>
      </c>
      <c r="AT423" s="0" t="s">
        <v>130</v>
      </c>
      <c r="AU423" s="0" t="s">
        <v>130</v>
      </c>
      <c r="AV423" s="0" t="s">
        <v>130</v>
      </c>
      <c r="AW423" s="0" t="s">
        <v>130</v>
      </c>
      <c r="AX423" s="0" t="s">
        <v>130</v>
      </c>
      <c r="AY423" s="0" t="s">
        <v>130</v>
      </c>
      <c r="AZ423" s="0" t="s">
        <v>130</v>
      </c>
      <c r="BA423" s="0" t="s">
        <v>130</v>
      </c>
      <c r="BB423" s="0" t="s">
        <v>141</v>
      </c>
      <c r="BC423" s="0" t="s">
        <v>130</v>
      </c>
      <c r="BD423" s="0" t="s">
        <v>130</v>
      </c>
      <c r="BE423" s="0" t="s">
        <v>130</v>
      </c>
      <c r="BF423" s="0" t="s">
        <v>130</v>
      </c>
      <c r="BG423" s="0" t="s">
        <v>130</v>
      </c>
      <c r="BH423" s="0" t="s">
        <v>130</v>
      </c>
      <c r="BI423" s="0" t="s">
        <v>130</v>
      </c>
      <c r="BJ423" s="0" t="s">
        <v>130</v>
      </c>
      <c r="BK423" s="0" t="s">
        <v>130</v>
      </c>
      <c r="BL423" s="0" t="s">
        <v>130</v>
      </c>
      <c r="BM423" s="0" t="s">
        <v>130</v>
      </c>
      <c r="BN423" s="0" t="s">
        <v>130</v>
      </c>
      <c r="BO423" s="0" t="s">
        <v>130</v>
      </c>
      <c r="BP423" s="0" t="s">
        <v>130</v>
      </c>
      <c r="BQ423" s="0" t="s">
        <v>130</v>
      </c>
      <c r="BR423" s="0" t="s">
        <v>130</v>
      </c>
      <c r="BS423" s="0" t="s">
        <v>130</v>
      </c>
      <c r="BT423" s="0" t="s">
        <v>130</v>
      </c>
      <c r="BU423" s="0" t="s">
        <v>130</v>
      </c>
      <c r="BV423" s="0" t="s">
        <v>130</v>
      </c>
      <c r="BW423" s="0" t="s">
        <v>130</v>
      </c>
      <c r="BX423" s="0" t="s">
        <v>130</v>
      </c>
      <c r="BY423" s="0" t="s">
        <v>130</v>
      </c>
      <c r="BZ423" s="0" t="s">
        <v>130</v>
      </c>
      <c r="CA423" s="0" t="s">
        <v>130</v>
      </c>
      <c r="CB423" s="0" t="s">
        <v>130</v>
      </c>
      <c r="CC423" s="0" t="s">
        <v>130</v>
      </c>
      <c r="CD423" s="0" t="s">
        <v>130</v>
      </c>
      <c r="CE423" s="0" t="s">
        <v>130</v>
      </c>
      <c r="CF423" s="0" t="s">
        <v>130</v>
      </c>
      <c r="CG423" s="0" t="s">
        <v>130</v>
      </c>
      <c r="CH423" s="0" t="s">
        <v>130</v>
      </c>
      <c r="CI423" s="0" t="s">
        <v>130</v>
      </c>
      <c r="CJ423" s="0" t="s">
        <v>130</v>
      </c>
      <c r="CK423" s="0" t="s">
        <v>130</v>
      </c>
      <c r="CL423" s="0" t="s">
        <v>130</v>
      </c>
      <c r="CM423" s="0" t="s">
        <v>130</v>
      </c>
      <c r="CN423" s="0" t="s">
        <v>130</v>
      </c>
      <c r="CO423" s="0" t="s">
        <v>130</v>
      </c>
      <c r="CP423" s="0" t="s">
        <v>130</v>
      </c>
      <c r="CQ423" s="0" t="s">
        <v>130</v>
      </c>
      <c r="CR423" s="0" t="s">
        <v>130</v>
      </c>
      <c r="CS423" s="0" t="s">
        <v>130</v>
      </c>
      <c r="CT423" s="0" t="s">
        <v>1486</v>
      </c>
    </row>
    <row r="424">
      <c r="A424" s="14">
        <v>101341</v>
      </c>
      <c r="B424" s="0" t="s">
        <v>1478</v>
      </c>
      <c r="C424" s="16">
        <f>HYPERLINK("https://eosportal.federatedhermes.com/companies/Q29tcGFueQppNzU2ODE=", "Sherwin-Williams Co/The")</f>
      </c>
      <c r="D424" s="0" t="s">
        <v>25</v>
      </c>
      <c r="E424" s="0" t="s">
        <v>1487</v>
      </c>
      <c r="F424" s="16">
        <f>HYPERLINK("https://eosportal.federatedhermes.com/engagements/RW5nYWdlbWVudAppMjAzNjU=", "Renewable energy in operations")</f>
      </c>
      <c r="G424" s="14" t="s">
        <v>1488</v>
      </c>
      <c r="H424" s="0" t="s">
        <v>130</v>
      </c>
      <c r="I424" s="14" t="s">
        <v>319</v>
      </c>
      <c r="J424" s="0" t="s">
        <v>153</v>
      </c>
      <c r="K424" s="0" t="s">
        <v>154</v>
      </c>
      <c r="L424" s="0" t="s">
        <v>155</v>
      </c>
      <c r="M424" s="0" t="s">
        <v>135</v>
      </c>
      <c r="N424" s="0" t="s">
        <v>136</v>
      </c>
      <c r="O424" s="0" t="s">
        <v>706</v>
      </c>
      <c r="Q424" s="0" t="s">
        <v>130</v>
      </c>
      <c r="R424" s="0" t="s">
        <v>138</v>
      </c>
      <c r="S424" s="14">
        <v>0</v>
      </c>
      <c r="T424" s="0" t="s">
        <v>288</v>
      </c>
      <c r="U424" s="0" t="s">
        <v>138</v>
      </c>
      <c r="V424" s="14" t="s">
        <v>138</v>
      </c>
      <c r="W424" s="0" t="s">
        <v>138</v>
      </c>
      <c r="X424" s="14" t="s">
        <v>138</v>
      </c>
      <c r="Y424" s="0" t="s">
        <v>138</v>
      </c>
      <c r="Z424" s="14" t="s">
        <v>138</v>
      </c>
      <c r="AA424" s="0" t="s">
        <v>138</v>
      </c>
      <c r="AB424" s="14" t="s">
        <v>138</v>
      </c>
      <c r="AD424" s="0" t="s">
        <v>138</v>
      </c>
      <c r="AF424" s="0">
        <v>0</v>
      </c>
      <c r="AG424" s="0">
        <v>0</v>
      </c>
      <c r="AH424" s="0" t="s">
        <v>140</v>
      </c>
      <c r="AI424" s="0" t="s">
        <v>138</v>
      </c>
      <c r="AL424" s="14"/>
      <c r="AN424" s="14"/>
      <c r="AQ424" s="0" t="s">
        <v>130</v>
      </c>
      <c r="AR424" s="0" t="s">
        <v>130</v>
      </c>
      <c r="AS424" s="0" t="s">
        <v>130</v>
      </c>
      <c r="AT424" s="0" t="s">
        <v>130</v>
      </c>
      <c r="AU424" s="0" t="s">
        <v>130</v>
      </c>
      <c r="AV424" s="0" t="s">
        <v>130</v>
      </c>
      <c r="AW424" s="0" t="s">
        <v>130</v>
      </c>
      <c r="AX424" s="0" t="s">
        <v>141</v>
      </c>
      <c r="AY424" s="0" t="s">
        <v>130</v>
      </c>
      <c r="AZ424" s="0" t="s">
        <v>130</v>
      </c>
      <c r="BA424" s="0" t="s">
        <v>130</v>
      </c>
      <c r="BB424" s="0" t="s">
        <v>130</v>
      </c>
      <c r="BC424" s="0" t="s">
        <v>130</v>
      </c>
      <c r="BD424" s="0" t="s">
        <v>130</v>
      </c>
      <c r="BE424" s="0" t="s">
        <v>130</v>
      </c>
      <c r="BF424" s="0" t="s">
        <v>130</v>
      </c>
      <c r="BG424" s="0" t="s">
        <v>130</v>
      </c>
      <c r="BH424" s="0" t="s">
        <v>130</v>
      </c>
      <c r="BI424" s="0" t="s">
        <v>130</v>
      </c>
      <c r="BJ424" s="0" t="s">
        <v>130</v>
      </c>
      <c r="BK424" s="0" t="s">
        <v>130</v>
      </c>
      <c r="BL424" s="0" t="s">
        <v>130</v>
      </c>
      <c r="BM424" s="0" t="s">
        <v>130</v>
      </c>
      <c r="BN424" s="0" t="s">
        <v>130</v>
      </c>
      <c r="BO424" s="0" t="s">
        <v>130</v>
      </c>
      <c r="BP424" s="0" t="s">
        <v>130</v>
      </c>
      <c r="BQ424" s="0" t="s">
        <v>130</v>
      </c>
      <c r="BR424" s="0" t="s">
        <v>130</v>
      </c>
      <c r="BS424" s="0" t="s">
        <v>130</v>
      </c>
      <c r="BT424" s="0" t="s">
        <v>130</v>
      </c>
      <c r="BU424" s="0" t="s">
        <v>130</v>
      </c>
      <c r="BV424" s="0" t="s">
        <v>130</v>
      </c>
      <c r="BW424" s="0" t="s">
        <v>130</v>
      </c>
      <c r="BX424" s="0" t="s">
        <v>130</v>
      </c>
      <c r="BY424" s="0" t="s">
        <v>130</v>
      </c>
      <c r="BZ424" s="0" t="s">
        <v>130</v>
      </c>
      <c r="CA424" s="0" t="s">
        <v>130</v>
      </c>
      <c r="CB424" s="0" t="s">
        <v>130</v>
      </c>
      <c r="CC424" s="0" t="s">
        <v>130</v>
      </c>
      <c r="CD424" s="0" t="s">
        <v>130</v>
      </c>
      <c r="CE424" s="0" t="s">
        <v>130</v>
      </c>
      <c r="CF424" s="0" t="s">
        <v>130</v>
      </c>
      <c r="CG424" s="0" t="s">
        <v>130</v>
      </c>
      <c r="CH424" s="0" t="s">
        <v>130</v>
      </c>
      <c r="CI424" s="0" t="s">
        <v>141</v>
      </c>
      <c r="CJ424" s="0" t="s">
        <v>130</v>
      </c>
      <c r="CK424" s="0" t="s">
        <v>130</v>
      </c>
      <c r="CL424" s="0" t="s">
        <v>130</v>
      </c>
      <c r="CM424" s="0" t="s">
        <v>130</v>
      </c>
      <c r="CN424" s="0" t="s">
        <v>130</v>
      </c>
      <c r="CO424" s="0" t="s">
        <v>130</v>
      </c>
      <c r="CP424" s="0" t="s">
        <v>130</v>
      </c>
      <c r="CQ424" s="0" t="s">
        <v>130</v>
      </c>
      <c r="CR424" s="0" t="s">
        <v>130</v>
      </c>
      <c r="CS424" s="0" t="s">
        <v>130</v>
      </c>
      <c r="CT424" s="0" t="s">
        <v>1489</v>
      </c>
    </row>
    <row r="425">
      <c r="A425" s="14">
        <v>101341</v>
      </c>
      <c r="B425" s="0" t="s">
        <v>1478</v>
      </c>
      <c r="C425" s="16">
        <f>HYPERLINK("https://eosportal.federatedhermes.com/companies/Q29tcGFueQppNzU2ODE=", "Sherwin-Williams Co/The")</f>
      </c>
      <c r="D425" s="0" t="s">
        <v>25</v>
      </c>
      <c r="E425" s="0" t="s">
        <v>1490</v>
      </c>
      <c r="F425" s="16">
        <f>HYPERLINK("https://eosportal.federatedhermes.com/engagements/RW5nYWdlbWVudAppMjAzNjY=", "Statement of Business Purpose")</f>
      </c>
      <c r="G425" s="14" t="s">
        <v>1491</v>
      </c>
      <c r="H425" s="0" t="s">
        <v>130</v>
      </c>
      <c r="I425" s="14" t="s">
        <v>319</v>
      </c>
      <c r="J425" s="0" t="s">
        <v>132</v>
      </c>
      <c r="K425" s="0" t="s">
        <v>133</v>
      </c>
      <c r="L425" s="0" t="s">
        <v>134</v>
      </c>
      <c r="M425" s="0" t="s">
        <v>135</v>
      </c>
      <c r="N425" s="0" t="s">
        <v>136</v>
      </c>
      <c r="O425" s="0" t="s">
        <v>706</v>
      </c>
      <c r="Q425" s="0" t="s">
        <v>130</v>
      </c>
      <c r="R425" s="0" t="s">
        <v>138</v>
      </c>
      <c r="S425" s="14">
        <v>0</v>
      </c>
      <c r="T425" s="0" t="s">
        <v>156</v>
      </c>
      <c r="U425" s="0" t="s">
        <v>138</v>
      </c>
      <c r="V425" s="14" t="s">
        <v>138</v>
      </c>
      <c r="W425" s="0" t="s">
        <v>138</v>
      </c>
      <c r="X425" s="14" t="s">
        <v>138</v>
      </c>
      <c r="Y425" s="0" t="s">
        <v>138</v>
      </c>
      <c r="Z425" s="14" t="s">
        <v>138</v>
      </c>
      <c r="AA425" s="0" t="s">
        <v>138</v>
      </c>
      <c r="AB425" s="14" t="s">
        <v>138</v>
      </c>
      <c r="AD425" s="0" t="s">
        <v>138</v>
      </c>
      <c r="AF425" s="0">
        <v>0</v>
      </c>
      <c r="AG425" s="0">
        <v>0</v>
      </c>
      <c r="AH425" s="0" t="s">
        <v>140</v>
      </c>
      <c r="AI425" s="0" t="s">
        <v>138</v>
      </c>
      <c r="AL425" s="14"/>
      <c r="AN425" s="14"/>
      <c r="AQ425" s="0" t="s">
        <v>130</v>
      </c>
      <c r="AR425" s="0" t="s">
        <v>130</v>
      </c>
      <c r="AS425" s="0" t="s">
        <v>130</v>
      </c>
      <c r="AT425" s="0" t="s">
        <v>130</v>
      </c>
      <c r="AU425" s="0" t="s">
        <v>130</v>
      </c>
      <c r="AV425" s="0" t="s">
        <v>130</v>
      </c>
      <c r="AW425" s="0" t="s">
        <v>130</v>
      </c>
      <c r="AX425" s="0" t="s">
        <v>130</v>
      </c>
      <c r="AY425" s="0" t="s">
        <v>130</v>
      </c>
      <c r="AZ425" s="0" t="s">
        <v>130</v>
      </c>
      <c r="BA425" s="0" t="s">
        <v>130</v>
      </c>
      <c r="BB425" s="0" t="s">
        <v>130</v>
      </c>
      <c r="BC425" s="0" t="s">
        <v>130</v>
      </c>
      <c r="BD425" s="0" t="s">
        <v>130</v>
      </c>
      <c r="BE425" s="0" t="s">
        <v>130</v>
      </c>
      <c r="BF425" s="0" t="s">
        <v>130</v>
      </c>
      <c r="BG425" s="0" t="s">
        <v>130</v>
      </c>
      <c r="BH425" s="0" t="s">
        <v>130</v>
      </c>
      <c r="BI425" s="0" t="s">
        <v>130</v>
      </c>
      <c r="BJ425" s="0" t="s">
        <v>130</v>
      </c>
      <c r="BK425" s="0" t="s">
        <v>130</v>
      </c>
      <c r="BL425" s="0" t="s">
        <v>130</v>
      </c>
      <c r="BM425" s="0" t="s">
        <v>130</v>
      </c>
      <c r="BN425" s="0" t="s">
        <v>130</v>
      </c>
      <c r="BO425" s="0" t="s">
        <v>130</v>
      </c>
      <c r="BP425" s="0" t="s">
        <v>130</v>
      </c>
      <c r="BQ425" s="0" t="s">
        <v>130</v>
      </c>
      <c r="BR425" s="0" t="s">
        <v>130</v>
      </c>
      <c r="BS425" s="0" t="s">
        <v>130</v>
      </c>
      <c r="BT425" s="0" t="s">
        <v>130</v>
      </c>
      <c r="BU425" s="0" t="s">
        <v>130</v>
      </c>
      <c r="BV425" s="0" t="s">
        <v>130</v>
      </c>
      <c r="BW425" s="0" t="s">
        <v>130</v>
      </c>
      <c r="BX425" s="0" t="s">
        <v>130</v>
      </c>
      <c r="BY425" s="0" t="s">
        <v>130</v>
      </c>
      <c r="BZ425" s="0" t="s">
        <v>130</v>
      </c>
      <c r="CA425" s="0" t="s">
        <v>130</v>
      </c>
      <c r="CB425" s="0" t="s">
        <v>130</v>
      </c>
      <c r="CC425" s="0" t="s">
        <v>130</v>
      </c>
      <c r="CD425" s="0" t="s">
        <v>130</v>
      </c>
      <c r="CE425" s="0" t="s">
        <v>130</v>
      </c>
      <c r="CF425" s="0" t="s">
        <v>130</v>
      </c>
      <c r="CG425" s="0" t="s">
        <v>130</v>
      </c>
      <c r="CH425" s="0" t="s">
        <v>130</v>
      </c>
      <c r="CI425" s="0" t="s">
        <v>130</v>
      </c>
      <c r="CJ425" s="0" t="s">
        <v>130</v>
      </c>
      <c r="CK425" s="0" t="s">
        <v>130</v>
      </c>
      <c r="CL425" s="0" t="s">
        <v>130</v>
      </c>
      <c r="CM425" s="0" t="s">
        <v>130</v>
      </c>
      <c r="CN425" s="0" t="s">
        <v>130</v>
      </c>
      <c r="CO425" s="0" t="s">
        <v>130</v>
      </c>
      <c r="CP425" s="0" t="s">
        <v>130</v>
      </c>
      <c r="CQ425" s="0" t="s">
        <v>130</v>
      </c>
      <c r="CR425" s="0" t="s">
        <v>130</v>
      </c>
      <c r="CS425" s="0" t="s">
        <v>130</v>
      </c>
      <c r="CT425" s="0" t="s">
        <v>1492</v>
      </c>
    </row>
    <row r="426">
      <c r="A426" s="14">
        <v>101365</v>
      </c>
      <c r="B426" s="0" t="s">
        <v>1493</v>
      </c>
      <c r="C426" s="16">
        <f>HYPERLINK("https://eosportal.federatedhermes.com/companies/Q29tcGFueQppNTQ1MjA=", "Sony Group Corp")</f>
      </c>
      <c r="D426" s="0" t="s">
        <v>25</v>
      </c>
      <c r="E426" s="0" t="s">
        <v>1494</v>
      </c>
      <c r="F426" s="16">
        <f>HYPERLINK("https://eosportal.federatedhermes.com/engagements/RW5nYWdlbWVudAppMjAzODU=", "Supply chain human rights - Uyghur forced labour")</f>
      </c>
      <c r="G426" s="14" t="s">
        <v>1495</v>
      </c>
      <c r="H426" s="0" t="s">
        <v>141</v>
      </c>
      <c r="I426" s="14" t="s">
        <v>191</v>
      </c>
      <c r="J426" s="0" t="s">
        <v>153</v>
      </c>
      <c r="K426" s="0" t="s">
        <v>243</v>
      </c>
      <c r="L426" s="0" t="s">
        <v>456</v>
      </c>
      <c r="M426" s="0" t="s">
        <v>802</v>
      </c>
      <c r="N426" s="0" t="s">
        <v>952</v>
      </c>
      <c r="O426" s="0" t="s">
        <v>1125</v>
      </c>
      <c r="Q426" s="0" t="s">
        <v>141</v>
      </c>
      <c r="R426" s="0" t="s">
        <v>138</v>
      </c>
      <c r="S426" s="14">
        <v>1</v>
      </c>
      <c r="T426" s="0" t="s">
        <v>394</v>
      </c>
      <c r="U426" s="0" t="s">
        <v>138</v>
      </c>
      <c r="V426" s="14" t="s">
        <v>138</v>
      </c>
      <c r="W426" s="0" t="s">
        <v>138</v>
      </c>
      <c r="X426" s="14" t="s">
        <v>138</v>
      </c>
      <c r="Y426" s="0" t="s">
        <v>138</v>
      </c>
      <c r="Z426" s="14" t="s">
        <v>138</v>
      </c>
      <c r="AA426" s="0" t="s">
        <v>138</v>
      </c>
      <c r="AB426" s="14" t="s">
        <v>138</v>
      </c>
      <c r="AD426" s="0" t="s">
        <v>138</v>
      </c>
      <c r="AF426" s="0">
        <v>0</v>
      </c>
      <c r="AG426" s="0">
        <v>0</v>
      </c>
      <c r="AH426" s="0" t="s">
        <v>140</v>
      </c>
      <c r="AI426" s="0" t="s">
        <v>138</v>
      </c>
      <c r="AK426" s="0" t="s">
        <v>1496</v>
      </c>
      <c r="AL426" s="14"/>
      <c r="AN426" s="14"/>
      <c r="AQ426" s="0" t="s">
        <v>130</v>
      </c>
      <c r="AR426" s="0" t="s">
        <v>130</v>
      </c>
      <c r="AS426" s="0" t="s">
        <v>130</v>
      </c>
      <c r="AT426" s="0" t="s">
        <v>130</v>
      </c>
      <c r="AU426" s="0" t="s">
        <v>130</v>
      </c>
      <c r="AV426" s="0" t="s">
        <v>130</v>
      </c>
      <c r="AW426" s="0" t="s">
        <v>130</v>
      </c>
      <c r="AX426" s="0" t="s">
        <v>141</v>
      </c>
      <c r="AY426" s="0" t="s">
        <v>130</v>
      </c>
      <c r="AZ426" s="0" t="s">
        <v>130</v>
      </c>
      <c r="BA426" s="0" t="s">
        <v>130</v>
      </c>
      <c r="BB426" s="0" t="s">
        <v>130</v>
      </c>
      <c r="BC426" s="0" t="s">
        <v>130</v>
      </c>
      <c r="BD426" s="0" t="s">
        <v>130</v>
      </c>
      <c r="BE426" s="0" t="s">
        <v>130</v>
      </c>
      <c r="BF426" s="0" t="s">
        <v>141</v>
      </c>
      <c r="BG426" s="0" t="s">
        <v>130</v>
      </c>
      <c r="BH426" s="0" t="s">
        <v>130</v>
      </c>
      <c r="BI426" s="0" t="s">
        <v>130</v>
      </c>
      <c r="BJ426" s="0" t="s">
        <v>130</v>
      </c>
      <c r="BK426" s="0" t="s">
        <v>130</v>
      </c>
      <c r="BL426" s="0" t="s">
        <v>130</v>
      </c>
      <c r="BM426" s="0" t="s">
        <v>130</v>
      </c>
      <c r="BN426" s="0" t="s">
        <v>130</v>
      </c>
      <c r="BO426" s="0" t="s">
        <v>130</v>
      </c>
      <c r="BP426" s="0" t="s">
        <v>130</v>
      </c>
      <c r="BQ426" s="0" t="s">
        <v>130</v>
      </c>
      <c r="BR426" s="0" t="s">
        <v>130</v>
      </c>
      <c r="BS426" s="0" t="s">
        <v>130</v>
      </c>
      <c r="BT426" s="0" t="s">
        <v>130</v>
      </c>
      <c r="BU426" s="0" t="s">
        <v>130</v>
      </c>
      <c r="BV426" s="0" t="s">
        <v>130</v>
      </c>
      <c r="BW426" s="0" t="s">
        <v>130</v>
      </c>
      <c r="BX426" s="0" t="s">
        <v>130</v>
      </c>
      <c r="BY426" s="0" t="s">
        <v>130</v>
      </c>
      <c r="BZ426" s="0" t="s">
        <v>130</v>
      </c>
      <c r="CA426" s="0" t="s">
        <v>130</v>
      </c>
      <c r="CB426" s="0" t="s">
        <v>130</v>
      </c>
      <c r="CC426" s="0" t="s">
        <v>130</v>
      </c>
      <c r="CD426" s="0" t="s">
        <v>130</v>
      </c>
      <c r="CE426" s="0" t="s">
        <v>130</v>
      </c>
      <c r="CF426" s="0" t="s">
        <v>130</v>
      </c>
      <c r="CG426" s="0" t="s">
        <v>130</v>
      </c>
      <c r="CH426" s="0" t="s">
        <v>130</v>
      </c>
      <c r="CI426" s="0" t="s">
        <v>130</v>
      </c>
      <c r="CJ426" s="0" t="s">
        <v>130</v>
      </c>
      <c r="CK426" s="0" t="s">
        <v>130</v>
      </c>
      <c r="CL426" s="0" t="s">
        <v>130</v>
      </c>
      <c r="CM426" s="0" t="s">
        <v>130</v>
      </c>
      <c r="CN426" s="0" t="s">
        <v>130</v>
      </c>
      <c r="CO426" s="0" t="s">
        <v>130</v>
      </c>
      <c r="CP426" s="0" t="s">
        <v>130</v>
      </c>
      <c r="CQ426" s="0" t="s">
        <v>130</v>
      </c>
      <c r="CR426" s="0" t="s">
        <v>130</v>
      </c>
      <c r="CS426" s="0" t="s">
        <v>130</v>
      </c>
      <c r="CT426" s="0" t="s">
        <v>1497</v>
      </c>
    </row>
    <row r="427">
      <c r="A427" s="14">
        <v>101365</v>
      </c>
      <c r="B427" s="0" t="s">
        <v>1493</v>
      </c>
      <c r="C427" s="16">
        <f>HYPERLINK("https://eosportal.federatedhermes.com/companies/Q29tcGFueQppNTQ1MjA=", "Sony Group Corp")</f>
      </c>
      <c r="D427" s="0" t="s">
        <v>25</v>
      </c>
      <c r="E427" s="0" t="s">
        <v>1498</v>
      </c>
      <c r="F427" s="16">
        <f>HYPERLINK("https://eosportal.federatedhermes.com/engagements/RW5nYWdlbWVudAppMjAzODY=", "Diversity in senior management")</f>
      </c>
      <c r="G427" s="14" t="s">
        <v>1499</v>
      </c>
      <c r="H427" s="0" t="s">
        <v>141</v>
      </c>
      <c r="I427" s="14" t="s">
        <v>191</v>
      </c>
      <c r="J427" s="0" t="s">
        <v>153</v>
      </c>
      <c r="K427" s="0" t="s">
        <v>154</v>
      </c>
      <c r="L427" s="0" t="s">
        <v>268</v>
      </c>
      <c r="M427" s="0" t="s">
        <v>802</v>
      </c>
      <c r="N427" s="0" t="s">
        <v>952</v>
      </c>
      <c r="O427" s="0" t="s">
        <v>1125</v>
      </c>
      <c r="Q427" s="0" t="s">
        <v>141</v>
      </c>
      <c r="R427" s="0" t="s">
        <v>138</v>
      </c>
      <c r="S427" s="14">
        <v>1</v>
      </c>
      <c r="T427" s="0" t="s">
        <v>394</v>
      </c>
      <c r="U427" s="0" t="s">
        <v>138</v>
      </c>
      <c r="V427" s="14" t="s">
        <v>138</v>
      </c>
      <c r="W427" s="0" t="s">
        <v>138</v>
      </c>
      <c r="X427" s="14" t="s">
        <v>138</v>
      </c>
      <c r="Y427" s="0" t="s">
        <v>138</v>
      </c>
      <c r="Z427" s="14" t="s">
        <v>138</v>
      </c>
      <c r="AA427" s="0" t="s">
        <v>138</v>
      </c>
      <c r="AB427" s="14" t="s">
        <v>138</v>
      </c>
      <c r="AD427" s="0" t="s">
        <v>138</v>
      </c>
      <c r="AF427" s="0">
        <v>0</v>
      </c>
      <c r="AG427" s="0">
        <v>0</v>
      </c>
      <c r="AH427" s="0" t="s">
        <v>140</v>
      </c>
      <c r="AI427" s="0" t="s">
        <v>138</v>
      </c>
      <c r="AK427" s="0" t="s">
        <v>1496</v>
      </c>
      <c r="AL427" s="14"/>
      <c r="AN427" s="14"/>
      <c r="AQ427" s="0" t="s">
        <v>130</v>
      </c>
      <c r="AR427" s="0" t="s">
        <v>130</v>
      </c>
      <c r="AS427" s="0" t="s">
        <v>130</v>
      </c>
      <c r="AT427" s="0" t="s">
        <v>130</v>
      </c>
      <c r="AU427" s="0" t="s">
        <v>141</v>
      </c>
      <c r="AV427" s="0" t="s">
        <v>130</v>
      </c>
      <c r="AW427" s="0" t="s">
        <v>130</v>
      </c>
      <c r="AX427" s="0" t="s">
        <v>130</v>
      </c>
      <c r="AY427" s="0" t="s">
        <v>130</v>
      </c>
      <c r="AZ427" s="0" t="s">
        <v>130</v>
      </c>
      <c r="BA427" s="0" t="s">
        <v>130</v>
      </c>
      <c r="BB427" s="0" t="s">
        <v>130</v>
      </c>
      <c r="BC427" s="0" t="s">
        <v>130</v>
      </c>
      <c r="BD427" s="0" t="s">
        <v>130</v>
      </c>
      <c r="BE427" s="0" t="s">
        <v>130</v>
      </c>
      <c r="BF427" s="0" t="s">
        <v>130</v>
      </c>
      <c r="BG427" s="0" t="s">
        <v>130</v>
      </c>
      <c r="BH427" s="0" t="s">
        <v>130</v>
      </c>
      <c r="BI427" s="0" t="s">
        <v>130</v>
      </c>
      <c r="BJ427" s="0" t="s">
        <v>130</v>
      </c>
      <c r="BK427" s="0" t="s">
        <v>130</v>
      </c>
      <c r="BL427" s="0" t="s">
        <v>130</v>
      </c>
      <c r="BM427" s="0" t="s">
        <v>130</v>
      </c>
      <c r="BN427" s="0" t="s">
        <v>130</v>
      </c>
      <c r="BO427" s="0" t="s">
        <v>130</v>
      </c>
      <c r="BP427" s="0" t="s">
        <v>130</v>
      </c>
      <c r="BQ427" s="0" t="s">
        <v>130</v>
      </c>
      <c r="BR427" s="0" t="s">
        <v>130</v>
      </c>
      <c r="BS427" s="0" t="s">
        <v>130</v>
      </c>
      <c r="BT427" s="0" t="s">
        <v>130</v>
      </c>
      <c r="BU427" s="0" t="s">
        <v>130</v>
      </c>
      <c r="BV427" s="0" t="s">
        <v>130</v>
      </c>
      <c r="BW427" s="0" t="s">
        <v>130</v>
      </c>
      <c r="BX427" s="0" t="s">
        <v>130</v>
      </c>
      <c r="BY427" s="0" t="s">
        <v>130</v>
      </c>
      <c r="BZ427" s="0" t="s">
        <v>130</v>
      </c>
      <c r="CA427" s="0" t="s">
        <v>130</v>
      </c>
      <c r="CB427" s="0" t="s">
        <v>130</v>
      </c>
      <c r="CC427" s="0" t="s">
        <v>130</v>
      </c>
      <c r="CD427" s="0" t="s">
        <v>130</v>
      </c>
      <c r="CE427" s="0" t="s">
        <v>130</v>
      </c>
      <c r="CF427" s="0" t="s">
        <v>130</v>
      </c>
      <c r="CG427" s="0" t="s">
        <v>130</v>
      </c>
      <c r="CH427" s="0" t="s">
        <v>130</v>
      </c>
      <c r="CI427" s="0" t="s">
        <v>130</v>
      </c>
      <c r="CJ427" s="0" t="s">
        <v>130</v>
      </c>
      <c r="CK427" s="0" t="s">
        <v>141</v>
      </c>
      <c r="CL427" s="0" t="s">
        <v>130</v>
      </c>
      <c r="CM427" s="0" t="s">
        <v>130</v>
      </c>
      <c r="CN427" s="0" t="s">
        <v>130</v>
      </c>
      <c r="CO427" s="0" t="s">
        <v>130</v>
      </c>
      <c r="CP427" s="0" t="s">
        <v>130</v>
      </c>
      <c r="CQ427" s="0" t="s">
        <v>130</v>
      </c>
      <c r="CR427" s="0" t="s">
        <v>130</v>
      </c>
      <c r="CS427" s="0" t="s">
        <v>130</v>
      </c>
      <c r="CT427" s="0" t="s">
        <v>1500</v>
      </c>
    </row>
    <row r="428">
      <c r="A428" s="14">
        <v>101365</v>
      </c>
      <c r="B428" s="0" t="s">
        <v>1493</v>
      </c>
      <c r="C428" s="16">
        <f>HYPERLINK("https://eosportal.federatedhermes.com/companies/Q29tcGFueQppNTQ1MjA=", "Sony Group Corp")</f>
      </c>
      <c r="D428" s="0" t="s">
        <v>25</v>
      </c>
      <c r="E428" s="0" t="s">
        <v>1388</v>
      </c>
      <c r="F428" s="16">
        <f>HYPERLINK("https://eosportal.federatedhermes.com/engagements/RW5nYWdlbWVudAppMjAzODc=", "Integrated reporting")</f>
      </c>
      <c r="G428" s="14" t="s">
        <v>1501</v>
      </c>
      <c r="H428" s="0" t="s">
        <v>141</v>
      </c>
      <c r="I428" s="14" t="s">
        <v>191</v>
      </c>
      <c r="J428" s="0" t="s">
        <v>132</v>
      </c>
      <c r="K428" s="0" t="s">
        <v>170</v>
      </c>
      <c r="L428" s="0" t="s">
        <v>171</v>
      </c>
      <c r="M428" s="0" t="s">
        <v>802</v>
      </c>
      <c r="N428" s="0" t="s">
        <v>952</v>
      </c>
      <c r="O428" s="0" t="s">
        <v>1125</v>
      </c>
      <c r="Q428" s="0" t="s">
        <v>130</v>
      </c>
      <c r="R428" s="0" t="s">
        <v>138</v>
      </c>
      <c r="S428" s="14">
        <v>0</v>
      </c>
      <c r="T428" s="0" t="s">
        <v>288</v>
      </c>
      <c r="U428" s="0" t="s">
        <v>138</v>
      </c>
      <c r="V428" s="14" t="s">
        <v>138</v>
      </c>
      <c r="W428" s="0" t="s">
        <v>138</v>
      </c>
      <c r="X428" s="14" t="s">
        <v>138</v>
      </c>
      <c r="Y428" s="0" t="s">
        <v>138</v>
      </c>
      <c r="Z428" s="14" t="s">
        <v>138</v>
      </c>
      <c r="AA428" s="0" t="s">
        <v>138</v>
      </c>
      <c r="AB428" s="14" t="s">
        <v>138</v>
      </c>
      <c r="AD428" s="0" t="s">
        <v>138</v>
      </c>
      <c r="AF428" s="0">
        <v>0</v>
      </c>
      <c r="AG428" s="0">
        <v>0</v>
      </c>
      <c r="AH428" s="0" t="s">
        <v>140</v>
      </c>
      <c r="AI428" s="0" t="s">
        <v>138</v>
      </c>
      <c r="AL428" s="14"/>
      <c r="AN428" s="14"/>
      <c r="AQ428" s="0" t="s">
        <v>130</v>
      </c>
      <c r="AR428" s="0" t="s">
        <v>130</v>
      </c>
      <c r="AS428" s="0" t="s">
        <v>130</v>
      </c>
      <c r="AT428" s="0" t="s">
        <v>130</v>
      </c>
      <c r="AU428" s="0" t="s">
        <v>130</v>
      </c>
      <c r="AV428" s="0" t="s">
        <v>130</v>
      </c>
      <c r="AW428" s="0" t="s">
        <v>130</v>
      </c>
      <c r="AX428" s="0" t="s">
        <v>130</v>
      </c>
      <c r="AY428" s="0" t="s">
        <v>130</v>
      </c>
      <c r="AZ428" s="0" t="s">
        <v>130</v>
      </c>
      <c r="BA428" s="0" t="s">
        <v>130</v>
      </c>
      <c r="BB428" s="0" t="s">
        <v>130</v>
      </c>
      <c r="BC428" s="0" t="s">
        <v>130</v>
      </c>
      <c r="BD428" s="0" t="s">
        <v>130</v>
      </c>
      <c r="BE428" s="0" t="s">
        <v>130</v>
      </c>
      <c r="BF428" s="0" t="s">
        <v>130</v>
      </c>
      <c r="BG428" s="0" t="s">
        <v>130</v>
      </c>
      <c r="BH428" s="0" t="s">
        <v>130</v>
      </c>
      <c r="BI428" s="0" t="s">
        <v>130</v>
      </c>
      <c r="BJ428" s="0" t="s">
        <v>130</v>
      </c>
      <c r="BK428" s="0" t="s">
        <v>130</v>
      </c>
      <c r="BL428" s="0" t="s">
        <v>130</v>
      </c>
      <c r="BM428" s="0" t="s">
        <v>130</v>
      </c>
      <c r="BN428" s="0" t="s">
        <v>130</v>
      </c>
      <c r="BO428" s="0" t="s">
        <v>130</v>
      </c>
      <c r="BP428" s="0" t="s">
        <v>130</v>
      </c>
      <c r="BQ428" s="0" t="s">
        <v>130</v>
      </c>
      <c r="BR428" s="0" t="s">
        <v>130</v>
      </c>
      <c r="BS428" s="0" t="s">
        <v>130</v>
      </c>
      <c r="BT428" s="0" t="s">
        <v>130</v>
      </c>
      <c r="BU428" s="0" t="s">
        <v>130</v>
      </c>
      <c r="BV428" s="0" t="s">
        <v>130</v>
      </c>
      <c r="BW428" s="0" t="s">
        <v>130</v>
      </c>
      <c r="BX428" s="0" t="s">
        <v>130</v>
      </c>
      <c r="BY428" s="0" t="s">
        <v>130</v>
      </c>
      <c r="BZ428" s="0" t="s">
        <v>130</v>
      </c>
      <c r="CA428" s="0" t="s">
        <v>130</v>
      </c>
      <c r="CB428" s="0" t="s">
        <v>130</v>
      </c>
      <c r="CC428" s="0" t="s">
        <v>130</v>
      </c>
      <c r="CD428" s="0" t="s">
        <v>130</v>
      </c>
      <c r="CE428" s="0" t="s">
        <v>130</v>
      </c>
      <c r="CF428" s="0" t="s">
        <v>130</v>
      </c>
      <c r="CG428" s="0" t="s">
        <v>130</v>
      </c>
      <c r="CH428" s="0" t="s">
        <v>130</v>
      </c>
      <c r="CI428" s="0" t="s">
        <v>130</v>
      </c>
      <c r="CJ428" s="0" t="s">
        <v>130</v>
      </c>
      <c r="CK428" s="0" t="s">
        <v>130</v>
      </c>
      <c r="CL428" s="0" t="s">
        <v>130</v>
      </c>
      <c r="CM428" s="0" t="s">
        <v>130</v>
      </c>
      <c r="CN428" s="0" t="s">
        <v>130</v>
      </c>
      <c r="CO428" s="0" t="s">
        <v>130</v>
      </c>
      <c r="CP428" s="0" t="s">
        <v>130</v>
      </c>
      <c r="CQ428" s="0" t="s">
        <v>130</v>
      </c>
      <c r="CR428" s="0" t="s">
        <v>130</v>
      </c>
      <c r="CS428" s="0" t="s">
        <v>130</v>
      </c>
      <c r="CT428" s="0" t="s">
        <v>1502</v>
      </c>
    </row>
    <row r="429">
      <c r="A429" s="14">
        <v>101365</v>
      </c>
      <c r="B429" s="0" t="s">
        <v>1493</v>
      </c>
      <c r="C429" s="16">
        <f>HYPERLINK("https://eosportal.federatedhermes.com/companies/Q29tcGFueQppNTQ1MjA=", "Sony Group Corp")</f>
      </c>
      <c r="D429" s="0" t="s">
        <v>25</v>
      </c>
      <c r="E429" s="0" t="s">
        <v>1503</v>
      </c>
      <c r="F429" s="16">
        <f>HYPERLINK("https://eosportal.federatedhermes.com/engagements/RW5nYWdlbWVudAppMjAzODg=", "Ongoing review of business portfolio")</f>
      </c>
      <c r="G429" s="14" t="s">
        <v>1504</v>
      </c>
      <c r="H429" s="0" t="s">
        <v>141</v>
      </c>
      <c r="I429" s="14" t="s">
        <v>191</v>
      </c>
      <c r="J429" s="0" t="s">
        <v>132</v>
      </c>
      <c r="K429" s="0" t="s">
        <v>133</v>
      </c>
      <c r="L429" s="0" t="s">
        <v>160</v>
      </c>
      <c r="M429" s="0" t="s">
        <v>802</v>
      </c>
      <c r="N429" s="0" t="s">
        <v>952</v>
      </c>
      <c r="O429" s="0" t="s">
        <v>1125</v>
      </c>
      <c r="Q429" s="0" t="s">
        <v>130</v>
      </c>
      <c r="R429" s="0" t="s">
        <v>138</v>
      </c>
      <c r="S429" s="14">
        <v>0</v>
      </c>
      <c r="T429" s="0" t="s">
        <v>384</v>
      </c>
      <c r="U429" s="0" t="s">
        <v>138</v>
      </c>
      <c r="V429" s="14" t="s">
        <v>138</v>
      </c>
      <c r="W429" s="0" t="s">
        <v>138</v>
      </c>
      <c r="X429" s="14" t="s">
        <v>138</v>
      </c>
      <c r="Y429" s="0" t="s">
        <v>138</v>
      </c>
      <c r="Z429" s="14" t="s">
        <v>138</v>
      </c>
      <c r="AA429" s="0" t="s">
        <v>138</v>
      </c>
      <c r="AB429" s="14" t="s">
        <v>138</v>
      </c>
      <c r="AD429" s="0" t="s">
        <v>138</v>
      </c>
      <c r="AF429" s="0">
        <v>0</v>
      </c>
      <c r="AG429" s="0">
        <v>0</v>
      </c>
      <c r="AH429" s="0" t="s">
        <v>140</v>
      </c>
      <c r="AI429" s="0" t="s">
        <v>138</v>
      </c>
      <c r="AL429" s="14"/>
      <c r="AN429" s="14"/>
      <c r="AQ429" s="0" t="s">
        <v>130</v>
      </c>
      <c r="AR429" s="0" t="s">
        <v>130</v>
      </c>
      <c r="AS429" s="0" t="s">
        <v>130</v>
      </c>
      <c r="AT429" s="0" t="s">
        <v>130</v>
      </c>
      <c r="AU429" s="0" t="s">
        <v>130</v>
      </c>
      <c r="AV429" s="0" t="s">
        <v>130</v>
      </c>
      <c r="AW429" s="0" t="s">
        <v>130</v>
      </c>
      <c r="AX429" s="0" t="s">
        <v>130</v>
      </c>
      <c r="AY429" s="0" t="s">
        <v>130</v>
      </c>
      <c r="AZ429" s="0" t="s">
        <v>130</v>
      </c>
      <c r="BA429" s="0" t="s">
        <v>130</v>
      </c>
      <c r="BB429" s="0" t="s">
        <v>130</v>
      </c>
      <c r="BC429" s="0" t="s">
        <v>130</v>
      </c>
      <c r="BD429" s="0" t="s">
        <v>130</v>
      </c>
      <c r="BE429" s="0" t="s">
        <v>130</v>
      </c>
      <c r="BF429" s="0" t="s">
        <v>130</v>
      </c>
      <c r="BG429" s="0" t="s">
        <v>130</v>
      </c>
      <c r="BH429" s="0" t="s">
        <v>130</v>
      </c>
      <c r="BI429" s="0" t="s">
        <v>130</v>
      </c>
      <c r="BJ429" s="0" t="s">
        <v>130</v>
      </c>
      <c r="BK429" s="0" t="s">
        <v>130</v>
      </c>
      <c r="BL429" s="0" t="s">
        <v>130</v>
      </c>
      <c r="BM429" s="0" t="s">
        <v>130</v>
      </c>
      <c r="BN429" s="0" t="s">
        <v>130</v>
      </c>
      <c r="BO429" s="0" t="s">
        <v>130</v>
      </c>
      <c r="BP429" s="0" t="s">
        <v>130</v>
      </c>
      <c r="BQ429" s="0" t="s">
        <v>130</v>
      </c>
      <c r="BR429" s="0" t="s">
        <v>130</v>
      </c>
      <c r="BS429" s="0" t="s">
        <v>130</v>
      </c>
      <c r="BT429" s="0" t="s">
        <v>130</v>
      </c>
      <c r="BU429" s="0" t="s">
        <v>130</v>
      </c>
      <c r="BV429" s="0" t="s">
        <v>130</v>
      </c>
      <c r="BW429" s="0" t="s">
        <v>130</v>
      </c>
      <c r="BX429" s="0" t="s">
        <v>130</v>
      </c>
      <c r="BY429" s="0" t="s">
        <v>130</v>
      </c>
      <c r="BZ429" s="0" t="s">
        <v>130</v>
      </c>
      <c r="CA429" s="0" t="s">
        <v>130</v>
      </c>
      <c r="CB429" s="0" t="s">
        <v>130</v>
      </c>
      <c r="CC429" s="0" t="s">
        <v>130</v>
      </c>
      <c r="CD429" s="0" t="s">
        <v>130</v>
      </c>
      <c r="CE429" s="0" t="s">
        <v>130</v>
      </c>
      <c r="CF429" s="0" t="s">
        <v>130</v>
      </c>
      <c r="CG429" s="0" t="s">
        <v>130</v>
      </c>
      <c r="CH429" s="0" t="s">
        <v>130</v>
      </c>
      <c r="CI429" s="0" t="s">
        <v>130</v>
      </c>
      <c r="CJ429" s="0" t="s">
        <v>130</v>
      </c>
      <c r="CK429" s="0" t="s">
        <v>130</v>
      </c>
      <c r="CL429" s="0" t="s">
        <v>130</v>
      </c>
      <c r="CM429" s="0" t="s">
        <v>130</v>
      </c>
      <c r="CN429" s="0" t="s">
        <v>130</v>
      </c>
      <c r="CO429" s="0" t="s">
        <v>130</v>
      </c>
      <c r="CP429" s="0" t="s">
        <v>130</v>
      </c>
      <c r="CQ429" s="0" t="s">
        <v>130</v>
      </c>
      <c r="CR429" s="0" t="s">
        <v>130</v>
      </c>
      <c r="CS429" s="0" t="s">
        <v>130</v>
      </c>
      <c r="CT429" s="0" t="s">
        <v>1505</v>
      </c>
    </row>
    <row r="430">
      <c r="A430" s="14">
        <v>101365</v>
      </c>
      <c r="B430" s="0" t="s">
        <v>1493</v>
      </c>
      <c r="C430" s="16">
        <f>HYPERLINK("https://eosportal.federatedhermes.com/companies/Q29tcGFueQppNTQ1MjA=", "Sony Group Corp")</f>
      </c>
      <c r="D430" s="0" t="s">
        <v>25</v>
      </c>
      <c r="E430" s="0" t="s">
        <v>1506</v>
      </c>
      <c r="F430" s="16">
        <f>HYPERLINK("https://eosportal.federatedhermes.com/engagements/RW5nYWdlbWVudAppMjAzODk=", "Investor expectations after coronavirus crisis")</f>
      </c>
      <c r="G430" s="14" t="s">
        <v>1507</v>
      </c>
      <c r="H430" s="0" t="s">
        <v>141</v>
      </c>
      <c r="I430" s="14" t="s">
        <v>191</v>
      </c>
      <c r="J430" s="0" t="s">
        <v>153</v>
      </c>
      <c r="K430" s="0" t="s">
        <v>154</v>
      </c>
      <c r="L430" s="0" t="s">
        <v>155</v>
      </c>
      <c r="M430" s="0" t="s">
        <v>802</v>
      </c>
      <c r="N430" s="0" t="s">
        <v>952</v>
      </c>
      <c r="O430" s="0" t="s">
        <v>1125</v>
      </c>
      <c r="Q430" s="0" t="s">
        <v>130</v>
      </c>
      <c r="R430" s="0" t="s">
        <v>138</v>
      </c>
      <c r="S430" s="14">
        <v>0</v>
      </c>
      <c r="T430" s="0" t="s">
        <v>148</v>
      </c>
      <c r="U430" s="0" t="s">
        <v>138</v>
      </c>
      <c r="V430" s="14" t="s">
        <v>138</v>
      </c>
      <c r="W430" s="0" t="s">
        <v>138</v>
      </c>
      <c r="X430" s="14" t="s">
        <v>138</v>
      </c>
      <c r="Y430" s="0" t="s">
        <v>138</v>
      </c>
      <c r="Z430" s="14" t="s">
        <v>138</v>
      </c>
      <c r="AA430" s="0" t="s">
        <v>138</v>
      </c>
      <c r="AB430" s="14" t="s">
        <v>138</v>
      </c>
      <c r="AD430" s="0" t="s">
        <v>138</v>
      </c>
      <c r="AF430" s="0">
        <v>0</v>
      </c>
      <c r="AG430" s="0">
        <v>0</v>
      </c>
      <c r="AH430" s="0" t="s">
        <v>140</v>
      </c>
      <c r="AI430" s="0" t="s">
        <v>138</v>
      </c>
      <c r="AL430" s="14"/>
      <c r="AN430" s="14"/>
      <c r="AQ430" s="0" t="s">
        <v>130</v>
      </c>
      <c r="AR430" s="0" t="s">
        <v>130</v>
      </c>
      <c r="AS430" s="0" t="s">
        <v>130</v>
      </c>
      <c r="AT430" s="0" t="s">
        <v>130</v>
      </c>
      <c r="AU430" s="0" t="s">
        <v>130</v>
      </c>
      <c r="AV430" s="0" t="s">
        <v>130</v>
      </c>
      <c r="AW430" s="0" t="s">
        <v>130</v>
      </c>
      <c r="AX430" s="0" t="s">
        <v>141</v>
      </c>
      <c r="AY430" s="0" t="s">
        <v>130</v>
      </c>
      <c r="AZ430" s="0" t="s">
        <v>130</v>
      </c>
      <c r="BA430" s="0" t="s">
        <v>130</v>
      </c>
      <c r="BB430" s="0" t="s">
        <v>130</v>
      </c>
      <c r="BC430" s="0" t="s">
        <v>130</v>
      </c>
      <c r="BD430" s="0" t="s">
        <v>130</v>
      </c>
      <c r="BE430" s="0" t="s">
        <v>130</v>
      </c>
      <c r="BF430" s="0" t="s">
        <v>130</v>
      </c>
      <c r="BG430" s="0" t="s">
        <v>130</v>
      </c>
      <c r="BH430" s="0" t="s">
        <v>130</v>
      </c>
      <c r="BI430" s="0" t="s">
        <v>130</v>
      </c>
      <c r="BJ430" s="0" t="s">
        <v>130</v>
      </c>
      <c r="BK430" s="0" t="s">
        <v>130</v>
      </c>
      <c r="BL430" s="0" t="s">
        <v>130</v>
      </c>
      <c r="BM430" s="0" t="s">
        <v>130</v>
      </c>
      <c r="BN430" s="0" t="s">
        <v>130</v>
      </c>
      <c r="BO430" s="0" t="s">
        <v>130</v>
      </c>
      <c r="BP430" s="0" t="s">
        <v>130</v>
      </c>
      <c r="BQ430" s="0" t="s">
        <v>130</v>
      </c>
      <c r="BR430" s="0" t="s">
        <v>130</v>
      </c>
      <c r="BS430" s="0" t="s">
        <v>130</v>
      </c>
      <c r="BT430" s="0" t="s">
        <v>130</v>
      </c>
      <c r="BU430" s="0" t="s">
        <v>130</v>
      </c>
      <c r="BV430" s="0" t="s">
        <v>130</v>
      </c>
      <c r="BW430" s="0" t="s">
        <v>130</v>
      </c>
      <c r="BX430" s="0" t="s">
        <v>130</v>
      </c>
      <c r="BY430" s="0" t="s">
        <v>130</v>
      </c>
      <c r="BZ430" s="0" t="s">
        <v>130</v>
      </c>
      <c r="CA430" s="0" t="s">
        <v>130</v>
      </c>
      <c r="CB430" s="0" t="s">
        <v>130</v>
      </c>
      <c r="CC430" s="0" t="s">
        <v>130</v>
      </c>
      <c r="CD430" s="0" t="s">
        <v>130</v>
      </c>
      <c r="CE430" s="0" t="s">
        <v>130</v>
      </c>
      <c r="CF430" s="0" t="s">
        <v>130</v>
      </c>
      <c r="CG430" s="0" t="s">
        <v>130</v>
      </c>
      <c r="CH430" s="0" t="s">
        <v>130</v>
      </c>
      <c r="CI430" s="0" t="s">
        <v>141</v>
      </c>
      <c r="CJ430" s="0" t="s">
        <v>130</v>
      </c>
      <c r="CK430" s="0" t="s">
        <v>130</v>
      </c>
      <c r="CL430" s="0" t="s">
        <v>130</v>
      </c>
      <c r="CM430" s="0" t="s">
        <v>130</v>
      </c>
      <c r="CN430" s="0" t="s">
        <v>130</v>
      </c>
      <c r="CO430" s="0" t="s">
        <v>130</v>
      </c>
      <c r="CP430" s="0" t="s">
        <v>130</v>
      </c>
      <c r="CQ430" s="0" t="s">
        <v>130</v>
      </c>
      <c r="CR430" s="0" t="s">
        <v>130</v>
      </c>
      <c r="CS430" s="0" t="s">
        <v>130</v>
      </c>
      <c r="CT430" s="0" t="s">
        <v>1508</v>
      </c>
    </row>
    <row r="431">
      <c r="A431" s="14">
        <v>101365</v>
      </c>
      <c r="B431" s="0" t="s">
        <v>1493</v>
      </c>
      <c r="C431" s="16">
        <f>HYPERLINK("https://eosportal.federatedhermes.com/companies/Q29tcGFueQppNTQ1MjA=", "Sony Group Corp")</f>
      </c>
      <c r="D431" s="0" t="s">
        <v>25</v>
      </c>
      <c r="E431" s="0" t="s">
        <v>427</v>
      </c>
      <c r="F431" s="16">
        <f>HYPERLINK("https://eosportal.federatedhermes.com/engagements/RW5nYWdlbWVudAppMjAzOTU=", "Circular economy")</f>
      </c>
      <c r="G431" s="14" t="s">
        <v>1509</v>
      </c>
      <c r="H431" s="0" t="s">
        <v>141</v>
      </c>
      <c r="I431" s="14" t="s">
        <v>191</v>
      </c>
      <c r="J431" s="0" t="s">
        <v>197</v>
      </c>
      <c r="K431" s="0" t="s">
        <v>198</v>
      </c>
      <c r="L431" s="0" t="s">
        <v>216</v>
      </c>
      <c r="M431" s="0" t="s">
        <v>802</v>
      </c>
      <c r="N431" s="0" t="s">
        <v>952</v>
      </c>
      <c r="O431" s="0" t="s">
        <v>1125</v>
      </c>
      <c r="Q431" s="0" t="s">
        <v>130</v>
      </c>
      <c r="R431" s="0" t="s">
        <v>138</v>
      </c>
      <c r="S431" s="14">
        <v>0</v>
      </c>
      <c r="T431" s="0" t="s">
        <v>487</v>
      </c>
      <c r="U431" s="0" t="s">
        <v>138</v>
      </c>
      <c r="V431" s="14" t="s">
        <v>138</v>
      </c>
      <c r="W431" s="0" t="s">
        <v>138</v>
      </c>
      <c r="X431" s="14" t="s">
        <v>138</v>
      </c>
      <c r="Y431" s="0" t="s">
        <v>138</v>
      </c>
      <c r="Z431" s="14" t="s">
        <v>138</v>
      </c>
      <c r="AA431" s="0" t="s">
        <v>138</v>
      </c>
      <c r="AB431" s="14" t="s">
        <v>138</v>
      </c>
      <c r="AD431" s="0" t="s">
        <v>138</v>
      </c>
      <c r="AF431" s="0">
        <v>0</v>
      </c>
      <c r="AG431" s="0">
        <v>0</v>
      </c>
      <c r="AH431" s="0" t="s">
        <v>140</v>
      </c>
      <c r="AI431" s="0" t="s">
        <v>138</v>
      </c>
      <c r="AL431" s="14"/>
      <c r="AN431" s="14"/>
      <c r="AQ431" s="0" t="s">
        <v>130</v>
      </c>
      <c r="AR431" s="0" t="s">
        <v>130</v>
      </c>
      <c r="AS431" s="0" t="s">
        <v>130</v>
      </c>
      <c r="AT431" s="0" t="s">
        <v>130</v>
      </c>
      <c r="AU431" s="0" t="s">
        <v>130</v>
      </c>
      <c r="AV431" s="0" t="s">
        <v>130</v>
      </c>
      <c r="AW431" s="0" t="s">
        <v>141</v>
      </c>
      <c r="AX431" s="0" t="s">
        <v>130</v>
      </c>
      <c r="AY431" s="0" t="s">
        <v>130</v>
      </c>
      <c r="AZ431" s="0" t="s">
        <v>130</v>
      </c>
      <c r="BA431" s="0" t="s">
        <v>130</v>
      </c>
      <c r="BB431" s="0" t="s">
        <v>130</v>
      </c>
      <c r="BC431" s="0" t="s">
        <v>141</v>
      </c>
      <c r="BD431" s="0" t="s">
        <v>130</v>
      </c>
      <c r="BE431" s="0" t="s">
        <v>130</v>
      </c>
      <c r="BF431" s="0" t="s">
        <v>130</v>
      </c>
      <c r="BG431" s="0" t="s">
        <v>130</v>
      </c>
      <c r="BH431" s="0" t="s">
        <v>141</v>
      </c>
      <c r="BI431" s="0" t="s">
        <v>141</v>
      </c>
      <c r="BJ431" s="0" t="s">
        <v>141</v>
      </c>
      <c r="BK431" s="0" t="s">
        <v>130</v>
      </c>
      <c r="BL431" s="0" t="s">
        <v>130</v>
      </c>
      <c r="BM431" s="0" t="s">
        <v>130</v>
      </c>
      <c r="BN431" s="0" t="s">
        <v>130</v>
      </c>
      <c r="BO431" s="0" t="s">
        <v>130</v>
      </c>
      <c r="BP431" s="0" t="s">
        <v>130</v>
      </c>
      <c r="BQ431" s="0" t="s">
        <v>130</v>
      </c>
      <c r="BR431" s="0" t="s">
        <v>130</v>
      </c>
      <c r="BS431" s="0" t="s">
        <v>130</v>
      </c>
      <c r="BT431" s="0" t="s">
        <v>130</v>
      </c>
      <c r="BU431" s="0" t="s">
        <v>130</v>
      </c>
      <c r="BV431" s="0" t="s">
        <v>141</v>
      </c>
      <c r="BW431" s="0" t="s">
        <v>141</v>
      </c>
      <c r="BX431" s="0" t="s">
        <v>130</v>
      </c>
      <c r="BY431" s="0" t="s">
        <v>130</v>
      </c>
      <c r="BZ431" s="0" t="s">
        <v>130</v>
      </c>
      <c r="CA431" s="0" t="s">
        <v>130</v>
      </c>
      <c r="CB431" s="0" t="s">
        <v>130</v>
      </c>
      <c r="CC431" s="0" t="s">
        <v>130</v>
      </c>
      <c r="CD431" s="0" t="s">
        <v>130</v>
      </c>
      <c r="CE431" s="0" t="s">
        <v>130</v>
      </c>
      <c r="CF431" s="0" t="s">
        <v>130</v>
      </c>
      <c r="CG431" s="0" t="s">
        <v>130</v>
      </c>
      <c r="CH431" s="0" t="s">
        <v>130</v>
      </c>
      <c r="CI431" s="0" t="s">
        <v>130</v>
      </c>
      <c r="CJ431" s="0" t="s">
        <v>130</v>
      </c>
      <c r="CK431" s="0" t="s">
        <v>130</v>
      </c>
      <c r="CL431" s="0" t="s">
        <v>130</v>
      </c>
      <c r="CM431" s="0" t="s">
        <v>130</v>
      </c>
      <c r="CN431" s="0" t="s">
        <v>130</v>
      </c>
      <c r="CO431" s="0" t="s">
        <v>130</v>
      </c>
      <c r="CP431" s="0" t="s">
        <v>130</v>
      </c>
      <c r="CQ431" s="0" t="s">
        <v>130</v>
      </c>
      <c r="CR431" s="0" t="s">
        <v>130</v>
      </c>
      <c r="CS431" s="0" t="s">
        <v>130</v>
      </c>
      <c r="CT431" s="0" t="s">
        <v>1510</v>
      </c>
    </row>
    <row r="432">
      <c r="A432" s="14">
        <v>101365</v>
      </c>
      <c r="B432" s="0" t="s">
        <v>1493</v>
      </c>
      <c r="C432" s="16">
        <f>HYPERLINK("https://eosportal.federatedhermes.com/companies/Q29tcGFueQppNTQ1MjA=", "Sony Group Corp")</f>
      </c>
      <c r="D432" s="0" t="s">
        <v>25</v>
      </c>
      <c r="E432" s="0" t="s">
        <v>1511</v>
      </c>
      <c r="F432" s="16">
        <f>HYPERLINK("https://eosportal.federatedhermes.com/engagements/RW5nYWdlbWVudAppMjAzOTY=", "Supply chain labour standards")</f>
      </c>
      <c r="G432" s="14" t="s">
        <v>1512</v>
      </c>
      <c r="H432" s="0" t="s">
        <v>141</v>
      </c>
      <c r="I432" s="14" t="s">
        <v>191</v>
      </c>
      <c r="J432" s="0" t="s">
        <v>153</v>
      </c>
      <c r="K432" s="0" t="s">
        <v>154</v>
      </c>
      <c r="L432" s="0" t="s">
        <v>306</v>
      </c>
      <c r="M432" s="0" t="s">
        <v>802</v>
      </c>
      <c r="N432" s="0" t="s">
        <v>952</v>
      </c>
      <c r="O432" s="0" t="s">
        <v>1125</v>
      </c>
      <c r="Q432" s="0" t="s">
        <v>141</v>
      </c>
      <c r="R432" s="0" t="s">
        <v>138</v>
      </c>
      <c r="S432" s="14">
        <v>1</v>
      </c>
      <c r="T432" s="0" t="s">
        <v>293</v>
      </c>
      <c r="U432" s="0" t="s">
        <v>138</v>
      </c>
      <c r="V432" s="14" t="s">
        <v>138</v>
      </c>
      <c r="W432" s="0" t="s">
        <v>138</v>
      </c>
      <c r="X432" s="14" t="s">
        <v>138</v>
      </c>
      <c r="Y432" s="0" t="s">
        <v>138</v>
      </c>
      <c r="Z432" s="14" t="s">
        <v>138</v>
      </c>
      <c r="AA432" s="0" t="s">
        <v>138</v>
      </c>
      <c r="AB432" s="14" t="s">
        <v>138</v>
      </c>
      <c r="AD432" s="0" t="s">
        <v>138</v>
      </c>
      <c r="AF432" s="0">
        <v>0</v>
      </c>
      <c r="AG432" s="0">
        <v>0</v>
      </c>
      <c r="AH432" s="0" t="s">
        <v>140</v>
      </c>
      <c r="AI432" s="0" t="s">
        <v>138</v>
      </c>
      <c r="AK432" s="0" t="s">
        <v>1496</v>
      </c>
      <c r="AL432" s="14"/>
      <c r="AN432" s="14"/>
      <c r="AQ432" s="0" t="s">
        <v>130</v>
      </c>
      <c r="AR432" s="0" t="s">
        <v>130</v>
      </c>
      <c r="AS432" s="0" t="s">
        <v>130</v>
      </c>
      <c r="AT432" s="0" t="s">
        <v>130</v>
      </c>
      <c r="AU432" s="0" t="s">
        <v>130</v>
      </c>
      <c r="AV432" s="0" t="s">
        <v>130</v>
      </c>
      <c r="AW432" s="0" t="s">
        <v>130</v>
      </c>
      <c r="AX432" s="0" t="s">
        <v>141</v>
      </c>
      <c r="AY432" s="0" t="s">
        <v>130</v>
      </c>
      <c r="AZ432" s="0" t="s">
        <v>141</v>
      </c>
      <c r="BA432" s="0" t="s">
        <v>130</v>
      </c>
      <c r="BB432" s="0" t="s">
        <v>130</v>
      </c>
      <c r="BC432" s="0" t="s">
        <v>130</v>
      </c>
      <c r="BD432" s="0" t="s">
        <v>130</v>
      </c>
      <c r="BE432" s="0" t="s">
        <v>130</v>
      </c>
      <c r="BF432" s="0" t="s">
        <v>130</v>
      </c>
      <c r="BG432" s="0" t="s">
        <v>130</v>
      </c>
      <c r="BH432" s="0" t="s">
        <v>130</v>
      </c>
      <c r="BI432" s="0" t="s">
        <v>130</v>
      </c>
      <c r="BJ432" s="0" t="s">
        <v>130</v>
      </c>
      <c r="BK432" s="0" t="s">
        <v>130</v>
      </c>
      <c r="BL432" s="0" t="s">
        <v>130</v>
      </c>
      <c r="BM432" s="0" t="s">
        <v>130</v>
      </c>
      <c r="BN432" s="0" t="s">
        <v>130</v>
      </c>
      <c r="BO432" s="0" t="s">
        <v>130</v>
      </c>
      <c r="BP432" s="0" t="s">
        <v>130</v>
      </c>
      <c r="BQ432" s="0" t="s">
        <v>130</v>
      </c>
      <c r="BR432" s="0" t="s">
        <v>130</v>
      </c>
      <c r="BS432" s="0" t="s">
        <v>130</v>
      </c>
      <c r="BT432" s="0" t="s">
        <v>130</v>
      </c>
      <c r="BU432" s="0" t="s">
        <v>130</v>
      </c>
      <c r="BV432" s="0" t="s">
        <v>130</v>
      </c>
      <c r="BW432" s="0" t="s">
        <v>130</v>
      </c>
      <c r="BX432" s="0" t="s">
        <v>130</v>
      </c>
      <c r="BY432" s="0" t="s">
        <v>130</v>
      </c>
      <c r="BZ432" s="0" t="s">
        <v>130</v>
      </c>
      <c r="CA432" s="0" t="s">
        <v>130</v>
      </c>
      <c r="CB432" s="0" t="s">
        <v>130</v>
      </c>
      <c r="CC432" s="0" t="s">
        <v>130</v>
      </c>
      <c r="CD432" s="0" t="s">
        <v>130</v>
      </c>
      <c r="CE432" s="0" t="s">
        <v>130</v>
      </c>
      <c r="CF432" s="0" t="s">
        <v>130</v>
      </c>
      <c r="CG432" s="0" t="s">
        <v>130</v>
      </c>
      <c r="CH432" s="0" t="s">
        <v>130</v>
      </c>
      <c r="CI432" s="0" t="s">
        <v>130</v>
      </c>
      <c r="CJ432" s="0" t="s">
        <v>130</v>
      </c>
      <c r="CK432" s="0" t="s">
        <v>130</v>
      </c>
      <c r="CL432" s="0" t="s">
        <v>130</v>
      </c>
      <c r="CM432" s="0" t="s">
        <v>130</v>
      </c>
      <c r="CN432" s="0" t="s">
        <v>130</v>
      </c>
      <c r="CO432" s="0" t="s">
        <v>130</v>
      </c>
      <c r="CP432" s="0" t="s">
        <v>130</v>
      </c>
      <c r="CQ432" s="0" t="s">
        <v>130</v>
      </c>
      <c r="CR432" s="0" t="s">
        <v>130</v>
      </c>
      <c r="CS432" s="0" t="s">
        <v>130</v>
      </c>
      <c r="CT432" s="0" t="s">
        <v>1513</v>
      </c>
    </row>
    <row r="433">
      <c r="A433" s="14">
        <v>101365</v>
      </c>
      <c r="B433" s="0" t="s">
        <v>1493</v>
      </c>
      <c r="C433" s="16">
        <f>HYPERLINK("https://eosportal.federatedhermes.com/companies/Q29tcGFueQppNTQ1MjA=", "Sony Group Corp")</f>
      </c>
      <c r="D433" s="0" t="s">
        <v>25</v>
      </c>
      <c r="E433" s="0" t="s">
        <v>968</v>
      </c>
      <c r="F433" s="16">
        <f>HYPERLINK("https://eosportal.federatedhermes.com/engagements/RW5nYWdlbWVudAppMjAzOTc=", "Board effectiveness")</f>
      </c>
      <c r="G433" s="14" t="s">
        <v>1514</v>
      </c>
      <c r="H433" s="0" t="s">
        <v>141</v>
      </c>
      <c r="I433" s="14" t="s">
        <v>191</v>
      </c>
      <c r="J433" s="0" t="s">
        <v>145</v>
      </c>
      <c r="K433" s="0" t="s">
        <v>164</v>
      </c>
      <c r="L433" s="0" t="s">
        <v>165</v>
      </c>
      <c r="M433" s="0" t="s">
        <v>802</v>
      </c>
      <c r="N433" s="0" t="s">
        <v>952</v>
      </c>
      <c r="O433" s="0" t="s">
        <v>1125</v>
      </c>
      <c r="Q433" s="0" t="s">
        <v>141</v>
      </c>
      <c r="R433" s="0" t="s">
        <v>138</v>
      </c>
      <c r="S433" s="14">
        <v>1</v>
      </c>
      <c r="T433" s="0" t="s">
        <v>296</v>
      </c>
      <c r="U433" s="0" t="s">
        <v>138</v>
      </c>
      <c r="V433" s="14" t="s">
        <v>138</v>
      </c>
      <c r="W433" s="0" t="s">
        <v>138</v>
      </c>
      <c r="X433" s="14" t="s">
        <v>138</v>
      </c>
      <c r="Y433" s="0" t="s">
        <v>138</v>
      </c>
      <c r="Z433" s="14" t="s">
        <v>138</v>
      </c>
      <c r="AA433" s="0" t="s">
        <v>138</v>
      </c>
      <c r="AB433" s="14" t="s">
        <v>138</v>
      </c>
      <c r="AD433" s="0" t="s">
        <v>138</v>
      </c>
      <c r="AF433" s="0">
        <v>0</v>
      </c>
      <c r="AG433" s="0">
        <v>0</v>
      </c>
      <c r="AH433" s="0" t="s">
        <v>140</v>
      </c>
      <c r="AI433" s="0" t="s">
        <v>138</v>
      </c>
      <c r="AK433" s="0" t="s">
        <v>1196</v>
      </c>
      <c r="AL433" s="14"/>
      <c r="AN433" s="14"/>
      <c r="AQ433" s="0" t="s">
        <v>130</v>
      </c>
      <c r="AR433" s="0" t="s">
        <v>130</v>
      </c>
      <c r="AS433" s="0" t="s">
        <v>130</v>
      </c>
      <c r="AT433" s="0" t="s">
        <v>130</v>
      </c>
      <c r="AU433" s="0" t="s">
        <v>130</v>
      </c>
      <c r="AV433" s="0" t="s">
        <v>130</v>
      </c>
      <c r="AW433" s="0" t="s">
        <v>130</v>
      </c>
      <c r="AX433" s="0" t="s">
        <v>130</v>
      </c>
      <c r="AY433" s="0" t="s">
        <v>130</v>
      </c>
      <c r="AZ433" s="0" t="s">
        <v>130</v>
      </c>
      <c r="BA433" s="0" t="s">
        <v>130</v>
      </c>
      <c r="BB433" s="0" t="s">
        <v>130</v>
      </c>
      <c r="BC433" s="0" t="s">
        <v>130</v>
      </c>
      <c r="BD433" s="0" t="s">
        <v>130</v>
      </c>
      <c r="BE433" s="0" t="s">
        <v>130</v>
      </c>
      <c r="BF433" s="0" t="s">
        <v>130</v>
      </c>
      <c r="BG433" s="0" t="s">
        <v>130</v>
      </c>
      <c r="BH433" s="0" t="s">
        <v>130</v>
      </c>
      <c r="BI433" s="0" t="s">
        <v>130</v>
      </c>
      <c r="BJ433" s="0" t="s">
        <v>130</v>
      </c>
      <c r="BK433" s="0" t="s">
        <v>130</v>
      </c>
      <c r="BL433" s="0" t="s">
        <v>130</v>
      </c>
      <c r="BM433" s="0" t="s">
        <v>130</v>
      </c>
      <c r="BN433" s="0" t="s">
        <v>130</v>
      </c>
      <c r="BO433" s="0" t="s">
        <v>130</v>
      </c>
      <c r="BP433" s="0" t="s">
        <v>130</v>
      </c>
      <c r="BQ433" s="0" t="s">
        <v>130</v>
      </c>
      <c r="BR433" s="0" t="s">
        <v>130</v>
      </c>
      <c r="BS433" s="0" t="s">
        <v>130</v>
      </c>
      <c r="BT433" s="0" t="s">
        <v>130</v>
      </c>
      <c r="BU433" s="0" t="s">
        <v>130</v>
      </c>
      <c r="BV433" s="0" t="s">
        <v>130</v>
      </c>
      <c r="BW433" s="0" t="s">
        <v>130</v>
      </c>
      <c r="BX433" s="0" t="s">
        <v>130</v>
      </c>
      <c r="BY433" s="0" t="s">
        <v>130</v>
      </c>
      <c r="BZ433" s="0" t="s">
        <v>130</v>
      </c>
      <c r="CA433" s="0" t="s">
        <v>130</v>
      </c>
      <c r="CB433" s="0" t="s">
        <v>130</v>
      </c>
      <c r="CC433" s="0" t="s">
        <v>130</v>
      </c>
      <c r="CD433" s="0" t="s">
        <v>130</v>
      </c>
      <c r="CE433" s="0" t="s">
        <v>130</v>
      </c>
      <c r="CF433" s="0" t="s">
        <v>130</v>
      </c>
      <c r="CG433" s="0" t="s">
        <v>130</v>
      </c>
      <c r="CH433" s="0" t="s">
        <v>130</v>
      </c>
      <c r="CI433" s="0" t="s">
        <v>130</v>
      </c>
      <c r="CJ433" s="0" t="s">
        <v>130</v>
      </c>
      <c r="CK433" s="0" t="s">
        <v>130</v>
      </c>
      <c r="CL433" s="0" t="s">
        <v>130</v>
      </c>
      <c r="CM433" s="0" t="s">
        <v>130</v>
      </c>
      <c r="CN433" s="0" t="s">
        <v>130</v>
      </c>
      <c r="CO433" s="0" t="s">
        <v>130</v>
      </c>
      <c r="CP433" s="0" t="s">
        <v>130</v>
      </c>
      <c r="CQ433" s="0" t="s">
        <v>130</v>
      </c>
      <c r="CR433" s="0" t="s">
        <v>130</v>
      </c>
      <c r="CS433" s="0" t="s">
        <v>130</v>
      </c>
      <c r="CT433" s="0" t="s">
        <v>1515</v>
      </c>
    </row>
    <row r="434">
      <c r="A434" s="14">
        <v>101365</v>
      </c>
      <c r="B434" s="0" t="s">
        <v>1493</v>
      </c>
      <c r="C434" s="16">
        <f>HYPERLINK("https://eosportal.federatedhermes.com/companies/Q29tcGFueQppNTQ1MjA=", "Sony Group Corp")</f>
      </c>
      <c r="D434" s="0" t="s">
        <v>25</v>
      </c>
      <c r="E434" s="0" t="s">
        <v>1516</v>
      </c>
      <c r="F434" s="16">
        <f>HYPERLINK("https://eosportal.federatedhermes.com/engagements/RW5nYWdlbWVudAppMjAzOTg=", "Cyber security")</f>
      </c>
      <c r="G434" s="14" t="s">
        <v>1517</v>
      </c>
      <c r="H434" s="0" t="s">
        <v>141</v>
      </c>
      <c r="I434" s="14" t="s">
        <v>191</v>
      </c>
      <c r="J434" s="0" t="s">
        <v>132</v>
      </c>
      <c r="K434" s="0" t="s">
        <v>260</v>
      </c>
      <c r="L434" s="0" t="s">
        <v>743</v>
      </c>
      <c r="M434" s="0" t="s">
        <v>802</v>
      </c>
      <c r="N434" s="0" t="s">
        <v>952</v>
      </c>
      <c r="O434" s="0" t="s">
        <v>1125</v>
      </c>
      <c r="Q434" s="0" t="s">
        <v>141</v>
      </c>
      <c r="R434" s="0" t="s">
        <v>138</v>
      </c>
      <c r="S434" s="14">
        <v>1</v>
      </c>
      <c r="T434" s="0" t="s">
        <v>710</v>
      </c>
      <c r="U434" s="0" t="s">
        <v>138</v>
      </c>
      <c r="V434" s="14" t="s">
        <v>138</v>
      </c>
      <c r="W434" s="0" t="s">
        <v>138</v>
      </c>
      <c r="X434" s="14" t="s">
        <v>138</v>
      </c>
      <c r="Y434" s="0" t="s">
        <v>138</v>
      </c>
      <c r="Z434" s="14" t="s">
        <v>138</v>
      </c>
      <c r="AA434" s="0" t="s">
        <v>138</v>
      </c>
      <c r="AB434" s="14" t="s">
        <v>138</v>
      </c>
      <c r="AD434" s="0" t="s">
        <v>138</v>
      </c>
      <c r="AF434" s="0">
        <v>0</v>
      </c>
      <c r="AG434" s="0">
        <v>0</v>
      </c>
      <c r="AH434" s="0" t="s">
        <v>140</v>
      </c>
      <c r="AI434" s="0" t="s">
        <v>138</v>
      </c>
      <c r="AK434" s="0" t="s">
        <v>1496</v>
      </c>
      <c r="AL434" s="14"/>
      <c r="AN434" s="14"/>
      <c r="AQ434" s="0" t="s">
        <v>130</v>
      </c>
      <c r="AR434" s="0" t="s">
        <v>130</v>
      </c>
      <c r="AS434" s="0" t="s">
        <v>130</v>
      </c>
      <c r="AT434" s="0" t="s">
        <v>130</v>
      </c>
      <c r="AU434" s="0" t="s">
        <v>130</v>
      </c>
      <c r="AV434" s="0" t="s">
        <v>130</v>
      </c>
      <c r="AW434" s="0" t="s">
        <v>130</v>
      </c>
      <c r="AX434" s="0" t="s">
        <v>130</v>
      </c>
      <c r="AY434" s="0" t="s">
        <v>130</v>
      </c>
      <c r="AZ434" s="0" t="s">
        <v>130</v>
      </c>
      <c r="BA434" s="0" t="s">
        <v>130</v>
      </c>
      <c r="BB434" s="0" t="s">
        <v>130</v>
      </c>
      <c r="BC434" s="0" t="s">
        <v>130</v>
      </c>
      <c r="BD434" s="0" t="s">
        <v>130</v>
      </c>
      <c r="BE434" s="0" t="s">
        <v>130</v>
      </c>
      <c r="BF434" s="0" t="s">
        <v>130</v>
      </c>
      <c r="BG434" s="0" t="s">
        <v>130</v>
      </c>
      <c r="BH434" s="0" t="s">
        <v>130</v>
      </c>
      <c r="BI434" s="0" t="s">
        <v>130</v>
      </c>
      <c r="BJ434" s="0" t="s">
        <v>130</v>
      </c>
      <c r="BK434" s="0" t="s">
        <v>130</v>
      </c>
      <c r="BL434" s="0" t="s">
        <v>130</v>
      </c>
      <c r="BM434" s="0" t="s">
        <v>130</v>
      </c>
      <c r="BN434" s="0" t="s">
        <v>130</v>
      </c>
      <c r="BO434" s="0" t="s">
        <v>130</v>
      </c>
      <c r="BP434" s="0" t="s">
        <v>130</v>
      </c>
      <c r="BQ434" s="0" t="s">
        <v>130</v>
      </c>
      <c r="BR434" s="0" t="s">
        <v>130</v>
      </c>
      <c r="BS434" s="0" t="s">
        <v>130</v>
      </c>
      <c r="BT434" s="0" t="s">
        <v>130</v>
      </c>
      <c r="BU434" s="0" t="s">
        <v>130</v>
      </c>
      <c r="BV434" s="0" t="s">
        <v>130</v>
      </c>
      <c r="BW434" s="0" t="s">
        <v>130</v>
      </c>
      <c r="BX434" s="0" t="s">
        <v>130</v>
      </c>
      <c r="BY434" s="0" t="s">
        <v>130</v>
      </c>
      <c r="BZ434" s="0" t="s">
        <v>130</v>
      </c>
      <c r="CA434" s="0" t="s">
        <v>130</v>
      </c>
      <c r="CB434" s="0" t="s">
        <v>130</v>
      </c>
      <c r="CC434" s="0" t="s">
        <v>130</v>
      </c>
      <c r="CD434" s="0" t="s">
        <v>130</v>
      </c>
      <c r="CE434" s="0" t="s">
        <v>130</v>
      </c>
      <c r="CF434" s="0" t="s">
        <v>130</v>
      </c>
      <c r="CG434" s="0" t="s">
        <v>130</v>
      </c>
      <c r="CH434" s="0" t="s">
        <v>130</v>
      </c>
      <c r="CI434" s="0" t="s">
        <v>130</v>
      </c>
      <c r="CJ434" s="0" t="s">
        <v>130</v>
      </c>
      <c r="CK434" s="0" t="s">
        <v>130</v>
      </c>
      <c r="CL434" s="0" t="s">
        <v>130</v>
      </c>
      <c r="CM434" s="0" t="s">
        <v>130</v>
      </c>
      <c r="CN434" s="0" t="s">
        <v>130</v>
      </c>
      <c r="CO434" s="0" t="s">
        <v>130</v>
      </c>
      <c r="CP434" s="0" t="s">
        <v>130</v>
      </c>
      <c r="CQ434" s="0" t="s">
        <v>130</v>
      </c>
      <c r="CR434" s="0" t="s">
        <v>130</v>
      </c>
      <c r="CS434" s="0" t="s">
        <v>130</v>
      </c>
      <c r="CT434" s="0" t="s">
        <v>1518</v>
      </c>
    </row>
    <row r="435">
      <c r="A435" s="14">
        <v>101365</v>
      </c>
      <c r="B435" s="0" t="s">
        <v>1493</v>
      </c>
      <c r="C435" s="16">
        <f>HYPERLINK("https://eosportal.federatedhermes.com/companies/Q29tcGFueQppNTQ1MjA=", "Sony Group Corp")</f>
      </c>
      <c r="D435" s="0" t="s">
        <v>25</v>
      </c>
      <c r="E435" s="0" t="s">
        <v>1519</v>
      </c>
      <c r="F435" s="16">
        <f>HYPERLINK("https://eosportal.federatedhermes.com/engagements/RW5nYWdlbWVudAppMjA0MDA=", "Review of remuneration structure")</f>
      </c>
      <c r="G435" s="14" t="s">
        <v>1519</v>
      </c>
      <c r="H435" s="0" t="s">
        <v>141</v>
      </c>
      <c r="I435" s="14" t="s">
        <v>191</v>
      </c>
      <c r="J435" s="0" t="s">
        <v>145</v>
      </c>
      <c r="K435" s="0" t="s">
        <v>146</v>
      </c>
      <c r="L435" s="0" t="s">
        <v>147</v>
      </c>
      <c r="M435" s="0" t="s">
        <v>802</v>
      </c>
      <c r="N435" s="0" t="s">
        <v>952</v>
      </c>
      <c r="O435" s="0" t="s">
        <v>1125</v>
      </c>
      <c r="Q435" s="0" t="s">
        <v>141</v>
      </c>
      <c r="R435" s="0" t="s">
        <v>138</v>
      </c>
      <c r="S435" s="14">
        <v>1</v>
      </c>
      <c r="T435" s="0" t="s">
        <v>1520</v>
      </c>
      <c r="U435" s="0" t="s">
        <v>138</v>
      </c>
      <c r="V435" s="14" t="s">
        <v>138</v>
      </c>
      <c r="W435" s="0" t="s">
        <v>138</v>
      </c>
      <c r="X435" s="14" t="s">
        <v>138</v>
      </c>
      <c r="Y435" s="0" t="s">
        <v>138</v>
      </c>
      <c r="Z435" s="14" t="s">
        <v>138</v>
      </c>
      <c r="AA435" s="0" t="s">
        <v>138</v>
      </c>
      <c r="AB435" s="14" t="s">
        <v>138</v>
      </c>
      <c r="AD435" s="0" t="s">
        <v>138</v>
      </c>
      <c r="AF435" s="0">
        <v>0</v>
      </c>
      <c r="AG435" s="0">
        <v>0</v>
      </c>
      <c r="AH435" s="0" t="s">
        <v>140</v>
      </c>
      <c r="AI435" s="0" t="s">
        <v>138</v>
      </c>
      <c r="AK435" s="0" t="s">
        <v>1196</v>
      </c>
      <c r="AL435" s="14"/>
      <c r="AN435" s="14"/>
      <c r="AQ435" s="0" t="s">
        <v>130</v>
      </c>
      <c r="AR435" s="0" t="s">
        <v>130</v>
      </c>
      <c r="AS435" s="0" t="s">
        <v>130</v>
      </c>
      <c r="AT435" s="0" t="s">
        <v>130</v>
      </c>
      <c r="AU435" s="0" t="s">
        <v>130</v>
      </c>
      <c r="AV435" s="0" t="s">
        <v>130</v>
      </c>
      <c r="AW435" s="0" t="s">
        <v>130</v>
      </c>
      <c r="AX435" s="0" t="s">
        <v>130</v>
      </c>
      <c r="AY435" s="0" t="s">
        <v>130</v>
      </c>
      <c r="AZ435" s="0" t="s">
        <v>130</v>
      </c>
      <c r="BA435" s="0" t="s">
        <v>130</v>
      </c>
      <c r="BB435" s="0" t="s">
        <v>130</v>
      </c>
      <c r="BC435" s="0" t="s">
        <v>130</v>
      </c>
      <c r="BD435" s="0" t="s">
        <v>130</v>
      </c>
      <c r="BE435" s="0" t="s">
        <v>130</v>
      </c>
      <c r="BF435" s="0" t="s">
        <v>130</v>
      </c>
      <c r="BG435" s="0" t="s">
        <v>130</v>
      </c>
      <c r="BH435" s="0" t="s">
        <v>130</v>
      </c>
      <c r="BI435" s="0" t="s">
        <v>130</v>
      </c>
      <c r="BJ435" s="0" t="s">
        <v>130</v>
      </c>
      <c r="BK435" s="0" t="s">
        <v>130</v>
      </c>
      <c r="BL435" s="0" t="s">
        <v>130</v>
      </c>
      <c r="BM435" s="0" t="s">
        <v>130</v>
      </c>
      <c r="BN435" s="0" t="s">
        <v>130</v>
      </c>
      <c r="BO435" s="0" t="s">
        <v>130</v>
      </c>
      <c r="BP435" s="0" t="s">
        <v>130</v>
      </c>
      <c r="BQ435" s="0" t="s">
        <v>130</v>
      </c>
      <c r="BR435" s="0" t="s">
        <v>130</v>
      </c>
      <c r="BS435" s="0" t="s">
        <v>130</v>
      </c>
      <c r="BT435" s="0" t="s">
        <v>130</v>
      </c>
      <c r="BU435" s="0" t="s">
        <v>130</v>
      </c>
      <c r="BV435" s="0" t="s">
        <v>130</v>
      </c>
      <c r="BW435" s="0" t="s">
        <v>130</v>
      </c>
      <c r="BX435" s="0" t="s">
        <v>130</v>
      </c>
      <c r="BY435" s="0" t="s">
        <v>130</v>
      </c>
      <c r="BZ435" s="0" t="s">
        <v>130</v>
      </c>
      <c r="CA435" s="0" t="s">
        <v>130</v>
      </c>
      <c r="CB435" s="0" t="s">
        <v>130</v>
      </c>
      <c r="CC435" s="0" t="s">
        <v>130</v>
      </c>
      <c r="CD435" s="0" t="s">
        <v>130</v>
      </c>
      <c r="CE435" s="0" t="s">
        <v>130</v>
      </c>
      <c r="CF435" s="0" t="s">
        <v>130</v>
      </c>
      <c r="CG435" s="0" t="s">
        <v>130</v>
      </c>
      <c r="CH435" s="0" t="s">
        <v>130</v>
      </c>
      <c r="CI435" s="0" t="s">
        <v>130</v>
      </c>
      <c r="CJ435" s="0" t="s">
        <v>130</v>
      </c>
      <c r="CK435" s="0" t="s">
        <v>130</v>
      </c>
      <c r="CL435" s="0" t="s">
        <v>130</v>
      </c>
      <c r="CM435" s="0" t="s">
        <v>130</v>
      </c>
      <c r="CN435" s="0" t="s">
        <v>130</v>
      </c>
      <c r="CO435" s="0" t="s">
        <v>130</v>
      </c>
      <c r="CP435" s="0" t="s">
        <v>130</v>
      </c>
      <c r="CQ435" s="0" t="s">
        <v>130</v>
      </c>
      <c r="CR435" s="0" t="s">
        <v>130</v>
      </c>
      <c r="CS435" s="0" t="s">
        <v>130</v>
      </c>
      <c r="CT435" s="0" t="s">
        <v>1521</v>
      </c>
    </row>
    <row r="436">
      <c r="A436" s="14">
        <v>101365</v>
      </c>
      <c r="B436" s="0" t="s">
        <v>1493</v>
      </c>
      <c r="C436" s="16">
        <f>HYPERLINK("https://eosportal.federatedhermes.com/companies/Q29tcGFueQppNTQ1MjA=", "Sony Group Corp")</f>
      </c>
      <c r="D436" s="0" t="s">
        <v>25</v>
      </c>
      <c r="E436" s="0" t="s">
        <v>1522</v>
      </c>
      <c r="F436" s="16">
        <f>HYPERLINK("https://eosportal.federatedhermes.com/engagements/RW5nYWdlbWVudAppMjA0MDE=", "Advisor (consultant) positions")</f>
      </c>
      <c r="G436" s="14" t="s">
        <v>1523</v>
      </c>
      <c r="H436" s="0" t="s">
        <v>141</v>
      </c>
      <c r="I436" s="14" t="s">
        <v>191</v>
      </c>
      <c r="J436" s="0" t="s">
        <v>145</v>
      </c>
      <c r="K436" s="0" t="s">
        <v>164</v>
      </c>
      <c r="L436" s="0" t="s">
        <v>277</v>
      </c>
      <c r="M436" s="0" t="s">
        <v>802</v>
      </c>
      <c r="N436" s="0" t="s">
        <v>952</v>
      </c>
      <c r="O436" s="0" t="s">
        <v>1125</v>
      </c>
      <c r="Q436" s="0" t="s">
        <v>130</v>
      </c>
      <c r="R436" s="0" t="s">
        <v>138</v>
      </c>
      <c r="S436" s="14">
        <v>0</v>
      </c>
      <c r="T436" s="0" t="s">
        <v>239</v>
      </c>
      <c r="U436" s="0" t="s">
        <v>138</v>
      </c>
      <c r="V436" s="14" t="s">
        <v>138</v>
      </c>
      <c r="W436" s="0" t="s">
        <v>138</v>
      </c>
      <c r="X436" s="14" t="s">
        <v>138</v>
      </c>
      <c r="Y436" s="0" t="s">
        <v>138</v>
      </c>
      <c r="Z436" s="14" t="s">
        <v>138</v>
      </c>
      <c r="AA436" s="0" t="s">
        <v>138</v>
      </c>
      <c r="AB436" s="14" t="s">
        <v>138</v>
      </c>
      <c r="AD436" s="0" t="s">
        <v>138</v>
      </c>
      <c r="AF436" s="0">
        <v>0</v>
      </c>
      <c r="AG436" s="0">
        <v>0</v>
      </c>
      <c r="AH436" s="0" t="s">
        <v>140</v>
      </c>
      <c r="AI436" s="0" t="s">
        <v>138</v>
      </c>
      <c r="AL436" s="14"/>
      <c r="AN436" s="14"/>
      <c r="AQ436" s="0" t="s">
        <v>130</v>
      </c>
      <c r="AR436" s="0" t="s">
        <v>130</v>
      </c>
      <c r="AS436" s="0" t="s">
        <v>130</v>
      </c>
      <c r="AT436" s="0" t="s">
        <v>130</v>
      </c>
      <c r="AU436" s="0" t="s">
        <v>130</v>
      </c>
      <c r="AV436" s="0" t="s">
        <v>130</v>
      </c>
      <c r="AW436" s="0" t="s">
        <v>130</v>
      </c>
      <c r="AX436" s="0" t="s">
        <v>130</v>
      </c>
      <c r="AY436" s="0" t="s">
        <v>130</v>
      </c>
      <c r="AZ436" s="0" t="s">
        <v>130</v>
      </c>
      <c r="BA436" s="0" t="s">
        <v>130</v>
      </c>
      <c r="BB436" s="0" t="s">
        <v>130</v>
      </c>
      <c r="BC436" s="0" t="s">
        <v>130</v>
      </c>
      <c r="BD436" s="0" t="s">
        <v>130</v>
      </c>
      <c r="BE436" s="0" t="s">
        <v>130</v>
      </c>
      <c r="BF436" s="0" t="s">
        <v>130</v>
      </c>
      <c r="BG436" s="0" t="s">
        <v>130</v>
      </c>
      <c r="BH436" s="0" t="s">
        <v>130</v>
      </c>
      <c r="BI436" s="0" t="s">
        <v>130</v>
      </c>
      <c r="BJ436" s="0" t="s">
        <v>130</v>
      </c>
      <c r="BK436" s="0" t="s">
        <v>130</v>
      </c>
      <c r="BL436" s="0" t="s">
        <v>130</v>
      </c>
      <c r="BM436" s="0" t="s">
        <v>130</v>
      </c>
      <c r="BN436" s="0" t="s">
        <v>130</v>
      </c>
      <c r="BO436" s="0" t="s">
        <v>130</v>
      </c>
      <c r="BP436" s="0" t="s">
        <v>130</v>
      </c>
      <c r="BQ436" s="0" t="s">
        <v>130</v>
      </c>
      <c r="BR436" s="0" t="s">
        <v>130</v>
      </c>
      <c r="BS436" s="0" t="s">
        <v>130</v>
      </c>
      <c r="BT436" s="0" t="s">
        <v>130</v>
      </c>
      <c r="BU436" s="0" t="s">
        <v>130</v>
      </c>
      <c r="BV436" s="0" t="s">
        <v>130</v>
      </c>
      <c r="BW436" s="0" t="s">
        <v>130</v>
      </c>
      <c r="BX436" s="0" t="s">
        <v>130</v>
      </c>
      <c r="BY436" s="0" t="s">
        <v>130</v>
      </c>
      <c r="BZ436" s="0" t="s">
        <v>130</v>
      </c>
      <c r="CA436" s="0" t="s">
        <v>130</v>
      </c>
      <c r="CB436" s="0" t="s">
        <v>130</v>
      </c>
      <c r="CC436" s="0" t="s">
        <v>130</v>
      </c>
      <c r="CD436" s="0" t="s">
        <v>130</v>
      </c>
      <c r="CE436" s="0" t="s">
        <v>130</v>
      </c>
      <c r="CF436" s="0" t="s">
        <v>130</v>
      </c>
      <c r="CG436" s="0" t="s">
        <v>130</v>
      </c>
      <c r="CH436" s="0" t="s">
        <v>130</v>
      </c>
      <c r="CI436" s="0" t="s">
        <v>130</v>
      </c>
      <c r="CJ436" s="0" t="s">
        <v>130</v>
      </c>
      <c r="CK436" s="0" t="s">
        <v>130</v>
      </c>
      <c r="CL436" s="0" t="s">
        <v>130</v>
      </c>
      <c r="CM436" s="0" t="s">
        <v>130</v>
      </c>
      <c r="CN436" s="0" t="s">
        <v>130</v>
      </c>
      <c r="CO436" s="0" t="s">
        <v>130</v>
      </c>
      <c r="CP436" s="0" t="s">
        <v>130</v>
      </c>
      <c r="CQ436" s="0" t="s">
        <v>130</v>
      </c>
      <c r="CR436" s="0" t="s">
        <v>130</v>
      </c>
      <c r="CS436" s="0" t="s">
        <v>130</v>
      </c>
      <c r="CT436" s="0" t="s">
        <v>1524</v>
      </c>
    </row>
    <row r="437">
      <c r="A437" s="14">
        <v>101365</v>
      </c>
      <c r="B437" s="0" t="s">
        <v>1493</v>
      </c>
      <c r="C437" s="16">
        <f>HYPERLINK("https://eosportal.federatedhermes.com/companies/Q29tcGFueQppNTQ1MjA=", "Sony Group Corp")</f>
      </c>
      <c r="D437" s="0" t="s">
        <v>25</v>
      </c>
      <c r="E437" s="0" t="s">
        <v>907</v>
      </c>
      <c r="F437" s="16">
        <f>HYPERLINK("https://eosportal.federatedhermes.com/engagements/RW5nYWdlbWVudAppMjA0MDI=", "Climate change")</f>
      </c>
      <c r="G437" s="14" t="s">
        <v>1525</v>
      </c>
      <c r="H437" s="0" t="s">
        <v>141</v>
      </c>
      <c r="I437" s="14" t="s">
        <v>191</v>
      </c>
      <c r="J437" s="0" t="s">
        <v>197</v>
      </c>
      <c r="K437" s="0" t="s">
        <v>198</v>
      </c>
      <c r="L437" s="0" t="s">
        <v>216</v>
      </c>
      <c r="M437" s="0" t="s">
        <v>802</v>
      </c>
      <c r="N437" s="0" t="s">
        <v>952</v>
      </c>
      <c r="O437" s="0" t="s">
        <v>1125</v>
      </c>
      <c r="Q437" s="0" t="s">
        <v>130</v>
      </c>
      <c r="R437" s="0" t="s">
        <v>138</v>
      </c>
      <c r="S437" s="14">
        <v>0</v>
      </c>
      <c r="T437" s="0" t="s">
        <v>156</v>
      </c>
      <c r="U437" s="0" t="s">
        <v>138</v>
      </c>
      <c r="V437" s="14" t="s">
        <v>138</v>
      </c>
      <c r="W437" s="0" t="s">
        <v>138</v>
      </c>
      <c r="X437" s="14" t="s">
        <v>138</v>
      </c>
      <c r="Y437" s="0" t="s">
        <v>138</v>
      </c>
      <c r="Z437" s="14" t="s">
        <v>138</v>
      </c>
      <c r="AA437" s="0" t="s">
        <v>138</v>
      </c>
      <c r="AB437" s="14" t="s">
        <v>138</v>
      </c>
      <c r="AD437" s="0" t="s">
        <v>138</v>
      </c>
      <c r="AF437" s="0">
        <v>0</v>
      </c>
      <c r="AG437" s="0">
        <v>0</v>
      </c>
      <c r="AH437" s="0" t="s">
        <v>140</v>
      </c>
      <c r="AI437" s="0" t="s">
        <v>138</v>
      </c>
      <c r="AL437" s="14"/>
      <c r="AN437" s="14"/>
      <c r="AQ437" s="0" t="s">
        <v>130</v>
      </c>
      <c r="AR437" s="0" t="s">
        <v>130</v>
      </c>
      <c r="AS437" s="0" t="s">
        <v>130</v>
      </c>
      <c r="AT437" s="0" t="s">
        <v>130</v>
      </c>
      <c r="AU437" s="0" t="s">
        <v>130</v>
      </c>
      <c r="AV437" s="0" t="s">
        <v>130</v>
      </c>
      <c r="AW437" s="0" t="s">
        <v>141</v>
      </c>
      <c r="AX437" s="0" t="s">
        <v>130</v>
      </c>
      <c r="AY437" s="0" t="s">
        <v>130</v>
      </c>
      <c r="AZ437" s="0" t="s">
        <v>130</v>
      </c>
      <c r="BA437" s="0" t="s">
        <v>130</v>
      </c>
      <c r="BB437" s="0" t="s">
        <v>130</v>
      </c>
      <c r="BC437" s="0" t="s">
        <v>141</v>
      </c>
      <c r="BD437" s="0" t="s">
        <v>130</v>
      </c>
      <c r="BE437" s="0" t="s">
        <v>130</v>
      </c>
      <c r="BF437" s="0" t="s">
        <v>130</v>
      </c>
      <c r="BG437" s="0" t="s">
        <v>130</v>
      </c>
      <c r="BH437" s="0" t="s">
        <v>141</v>
      </c>
      <c r="BI437" s="0" t="s">
        <v>141</v>
      </c>
      <c r="BJ437" s="0" t="s">
        <v>141</v>
      </c>
      <c r="BK437" s="0" t="s">
        <v>130</v>
      </c>
      <c r="BL437" s="0" t="s">
        <v>130</v>
      </c>
      <c r="BM437" s="0" t="s">
        <v>130</v>
      </c>
      <c r="BN437" s="0" t="s">
        <v>130</v>
      </c>
      <c r="BO437" s="0" t="s">
        <v>130</v>
      </c>
      <c r="BP437" s="0" t="s">
        <v>130</v>
      </c>
      <c r="BQ437" s="0" t="s">
        <v>130</v>
      </c>
      <c r="BR437" s="0" t="s">
        <v>130</v>
      </c>
      <c r="BS437" s="0" t="s">
        <v>130</v>
      </c>
      <c r="BT437" s="0" t="s">
        <v>130</v>
      </c>
      <c r="BU437" s="0" t="s">
        <v>130</v>
      </c>
      <c r="BV437" s="0" t="s">
        <v>141</v>
      </c>
      <c r="BW437" s="0" t="s">
        <v>141</v>
      </c>
      <c r="BX437" s="0" t="s">
        <v>130</v>
      </c>
      <c r="BY437" s="0" t="s">
        <v>130</v>
      </c>
      <c r="BZ437" s="0" t="s">
        <v>130</v>
      </c>
      <c r="CA437" s="0" t="s">
        <v>130</v>
      </c>
      <c r="CB437" s="0" t="s">
        <v>130</v>
      </c>
      <c r="CC437" s="0" t="s">
        <v>130</v>
      </c>
      <c r="CD437" s="0" t="s">
        <v>130</v>
      </c>
      <c r="CE437" s="0" t="s">
        <v>130</v>
      </c>
      <c r="CF437" s="0" t="s">
        <v>130</v>
      </c>
      <c r="CG437" s="0" t="s">
        <v>130</v>
      </c>
      <c r="CH437" s="0" t="s">
        <v>130</v>
      </c>
      <c r="CI437" s="0" t="s">
        <v>130</v>
      </c>
      <c r="CJ437" s="0" t="s">
        <v>130</v>
      </c>
      <c r="CK437" s="0" t="s">
        <v>130</v>
      </c>
      <c r="CL437" s="0" t="s">
        <v>130</v>
      </c>
      <c r="CM437" s="0" t="s">
        <v>130</v>
      </c>
      <c r="CN437" s="0" t="s">
        <v>130</v>
      </c>
      <c r="CO437" s="0" t="s">
        <v>130</v>
      </c>
      <c r="CP437" s="0" t="s">
        <v>130</v>
      </c>
      <c r="CQ437" s="0" t="s">
        <v>130</v>
      </c>
      <c r="CR437" s="0" t="s">
        <v>130</v>
      </c>
      <c r="CS437" s="0" t="s">
        <v>130</v>
      </c>
      <c r="CT437" s="0" t="s">
        <v>1526</v>
      </c>
    </row>
    <row r="438">
      <c r="A438" s="14">
        <v>101365</v>
      </c>
      <c r="B438" s="0" t="s">
        <v>1493</v>
      </c>
      <c r="C438" s="16">
        <f>HYPERLINK("https://eosportal.federatedhermes.com/companies/Q29tcGFueQppNTQ1MjA=", "Sony Group Corp")</f>
      </c>
      <c r="D438" s="0" t="s">
        <v>25</v>
      </c>
      <c r="E438" s="0" t="s">
        <v>1527</v>
      </c>
      <c r="F438" s="16">
        <f>HYPERLINK("https://eosportal.federatedhermes.com/engagements/RW5nYWdlbWVudAppMjA0MDM=", "Sustainability strategy")</f>
      </c>
      <c r="G438" s="14" t="s">
        <v>1528</v>
      </c>
      <c r="H438" s="0" t="s">
        <v>141</v>
      </c>
      <c r="I438" s="14" t="s">
        <v>191</v>
      </c>
      <c r="J438" s="0" t="s">
        <v>132</v>
      </c>
      <c r="K438" s="0" t="s">
        <v>133</v>
      </c>
      <c r="L438" s="0" t="s">
        <v>160</v>
      </c>
      <c r="M438" s="0" t="s">
        <v>802</v>
      </c>
      <c r="N438" s="0" t="s">
        <v>952</v>
      </c>
      <c r="O438" s="0" t="s">
        <v>1125</v>
      </c>
      <c r="Q438" s="0" t="s">
        <v>130</v>
      </c>
      <c r="R438" s="0" t="s">
        <v>138</v>
      </c>
      <c r="S438" s="14">
        <v>0</v>
      </c>
      <c r="T438" s="0" t="s">
        <v>1529</v>
      </c>
      <c r="U438" s="0" t="s">
        <v>138</v>
      </c>
      <c r="V438" s="14" t="s">
        <v>138</v>
      </c>
      <c r="W438" s="0" t="s">
        <v>138</v>
      </c>
      <c r="X438" s="14" t="s">
        <v>138</v>
      </c>
      <c r="Y438" s="0" t="s">
        <v>138</v>
      </c>
      <c r="Z438" s="14" t="s">
        <v>138</v>
      </c>
      <c r="AA438" s="0" t="s">
        <v>138</v>
      </c>
      <c r="AB438" s="14" t="s">
        <v>138</v>
      </c>
      <c r="AD438" s="0" t="s">
        <v>138</v>
      </c>
      <c r="AF438" s="0">
        <v>0</v>
      </c>
      <c r="AG438" s="0">
        <v>0</v>
      </c>
      <c r="AH438" s="0" t="s">
        <v>140</v>
      </c>
      <c r="AI438" s="0" t="s">
        <v>138</v>
      </c>
      <c r="AL438" s="14"/>
      <c r="AN438" s="14"/>
      <c r="AQ438" s="0" t="s">
        <v>130</v>
      </c>
      <c r="AR438" s="0" t="s">
        <v>130</v>
      </c>
      <c r="AS438" s="0" t="s">
        <v>130</v>
      </c>
      <c r="AT438" s="0" t="s">
        <v>130</v>
      </c>
      <c r="AU438" s="0" t="s">
        <v>130</v>
      </c>
      <c r="AV438" s="0" t="s">
        <v>130</v>
      </c>
      <c r="AW438" s="0" t="s">
        <v>130</v>
      </c>
      <c r="AX438" s="0" t="s">
        <v>130</v>
      </c>
      <c r="AY438" s="0" t="s">
        <v>130</v>
      </c>
      <c r="AZ438" s="0" t="s">
        <v>130</v>
      </c>
      <c r="BA438" s="0" t="s">
        <v>130</v>
      </c>
      <c r="BB438" s="0" t="s">
        <v>130</v>
      </c>
      <c r="BC438" s="0" t="s">
        <v>130</v>
      </c>
      <c r="BD438" s="0" t="s">
        <v>130</v>
      </c>
      <c r="BE438" s="0" t="s">
        <v>130</v>
      </c>
      <c r="BF438" s="0" t="s">
        <v>130</v>
      </c>
      <c r="BG438" s="0" t="s">
        <v>130</v>
      </c>
      <c r="BH438" s="0" t="s">
        <v>130</v>
      </c>
      <c r="BI438" s="0" t="s">
        <v>130</v>
      </c>
      <c r="BJ438" s="0" t="s">
        <v>130</v>
      </c>
      <c r="BK438" s="0" t="s">
        <v>130</v>
      </c>
      <c r="BL438" s="0" t="s">
        <v>130</v>
      </c>
      <c r="BM438" s="0" t="s">
        <v>130</v>
      </c>
      <c r="BN438" s="0" t="s">
        <v>130</v>
      </c>
      <c r="BO438" s="0" t="s">
        <v>130</v>
      </c>
      <c r="BP438" s="0" t="s">
        <v>130</v>
      </c>
      <c r="BQ438" s="0" t="s">
        <v>130</v>
      </c>
      <c r="BR438" s="0" t="s">
        <v>130</v>
      </c>
      <c r="BS438" s="0" t="s">
        <v>130</v>
      </c>
      <c r="BT438" s="0" t="s">
        <v>130</v>
      </c>
      <c r="BU438" s="0" t="s">
        <v>130</v>
      </c>
      <c r="BV438" s="0" t="s">
        <v>130</v>
      </c>
      <c r="BW438" s="0" t="s">
        <v>130</v>
      </c>
      <c r="BX438" s="0" t="s">
        <v>130</v>
      </c>
      <c r="BY438" s="0" t="s">
        <v>130</v>
      </c>
      <c r="BZ438" s="0" t="s">
        <v>130</v>
      </c>
      <c r="CA438" s="0" t="s">
        <v>130</v>
      </c>
      <c r="CB438" s="0" t="s">
        <v>130</v>
      </c>
      <c r="CC438" s="0" t="s">
        <v>130</v>
      </c>
      <c r="CD438" s="0" t="s">
        <v>130</v>
      </c>
      <c r="CE438" s="0" t="s">
        <v>130</v>
      </c>
      <c r="CF438" s="0" t="s">
        <v>130</v>
      </c>
      <c r="CG438" s="0" t="s">
        <v>130</v>
      </c>
      <c r="CH438" s="0" t="s">
        <v>130</v>
      </c>
      <c r="CI438" s="0" t="s">
        <v>130</v>
      </c>
      <c r="CJ438" s="0" t="s">
        <v>130</v>
      </c>
      <c r="CK438" s="0" t="s">
        <v>130</v>
      </c>
      <c r="CL438" s="0" t="s">
        <v>130</v>
      </c>
      <c r="CM438" s="0" t="s">
        <v>130</v>
      </c>
      <c r="CN438" s="0" t="s">
        <v>130</v>
      </c>
      <c r="CO438" s="0" t="s">
        <v>130</v>
      </c>
      <c r="CP438" s="0" t="s">
        <v>130</v>
      </c>
      <c r="CQ438" s="0" t="s">
        <v>130</v>
      </c>
      <c r="CR438" s="0" t="s">
        <v>130</v>
      </c>
      <c r="CS438" s="0" t="s">
        <v>130</v>
      </c>
      <c r="CT438" s="0" t="s">
        <v>1530</v>
      </c>
    </row>
    <row r="439">
      <c r="A439" s="14">
        <v>101254</v>
      </c>
      <c r="B439" s="0" t="s">
        <v>1531</v>
      </c>
      <c r="C439" s="16">
        <f>HYPERLINK("https://eosportal.federatedhermes.com/companies/Q29tcGFueQppNTg5NjY=", "Repsol SA")</f>
      </c>
      <c r="D439" s="0" t="s">
        <v>25</v>
      </c>
      <c r="E439" s="0" t="s">
        <v>1532</v>
      </c>
      <c r="F439" s="16">
        <f>HYPERLINK("https://eosportal.federatedhermes.com/engagements/RW5nYWdlbWVudAppMjA0Mjc=", "Arctic exploration")</f>
      </c>
      <c r="G439" s="14" t="s">
        <v>1533</v>
      </c>
      <c r="H439" s="0" t="s">
        <v>141</v>
      </c>
      <c r="I439" s="14" t="s">
        <v>191</v>
      </c>
      <c r="J439" s="0" t="s">
        <v>197</v>
      </c>
      <c r="K439" s="0" t="s">
        <v>348</v>
      </c>
      <c r="L439" s="0" t="s">
        <v>650</v>
      </c>
      <c r="M439" s="0" t="s">
        <v>378</v>
      </c>
      <c r="N439" s="0" t="s">
        <v>379</v>
      </c>
      <c r="O439" s="0" t="s">
        <v>542</v>
      </c>
      <c r="Q439" s="0" t="s">
        <v>130</v>
      </c>
      <c r="R439" s="0" t="s">
        <v>138</v>
      </c>
      <c r="S439" s="14">
        <v>0</v>
      </c>
      <c r="T439" s="0" t="s">
        <v>874</v>
      </c>
      <c r="U439" s="0" t="s">
        <v>138</v>
      </c>
      <c r="V439" s="14" t="s">
        <v>138</v>
      </c>
      <c r="W439" s="0" t="s">
        <v>138</v>
      </c>
      <c r="X439" s="14" t="s">
        <v>138</v>
      </c>
      <c r="Y439" s="0" t="s">
        <v>138</v>
      </c>
      <c r="Z439" s="14" t="s">
        <v>138</v>
      </c>
      <c r="AA439" s="0" t="s">
        <v>138</v>
      </c>
      <c r="AB439" s="14" t="s">
        <v>138</v>
      </c>
      <c r="AD439" s="0" t="s">
        <v>138</v>
      </c>
      <c r="AF439" s="0">
        <v>0</v>
      </c>
      <c r="AG439" s="0">
        <v>0</v>
      </c>
      <c r="AH439" s="0" t="s">
        <v>140</v>
      </c>
      <c r="AI439" s="0" t="s">
        <v>138</v>
      </c>
      <c r="AL439" s="14"/>
      <c r="AN439" s="14"/>
      <c r="AQ439" s="0" t="s">
        <v>130</v>
      </c>
      <c r="AR439" s="0" t="s">
        <v>130</v>
      </c>
      <c r="AS439" s="0" t="s">
        <v>130</v>
      </c>
      <c r="AT439" s="0" t="s">
        <v>130</v>
      </c>
      <c r="AU439" s="0" t="s">
        <v>130</v>
      </c>
      <c r="AV439" s="0" t="s">
        <v>130</v>
      </c>
      <c r="AW439" s="0" t="s">
        <v>130</v>
      </c>
      <c r="AX439" s="0" t="s">
        <v>130</v>
      </c>
      <c r="AY439" s="0" t="s">
        <v>130</v>
      </c>
      <c r="AZ439" s="0" t="s">
        <v>130</v>
      </c>
      <c r="BA439" s="0" t="s">
        <v>130</v>
      </c>
      <c r="BB439" s="0" t="s">
        <v>141</v>
      </c>
      <c r="BC439" s="0" t="s">
        <v>141</v>
      </c>
      <c r="BD439" s="0" t="s">
        <v>130</v>
      </c>
      <c r="BE439" s="0" t="s">
        <v>130</v>
      </c>
      <c r="BF439" s="0" t="s">
        <v>130</v>
      </c>
      <c r="BG439" s="0" t="s">
        <v>130</v>
      </c>
      <c r="BH439" s="0" t="s">
        <v>130</v>
      </c>
      <c r="BI439" s="0" t="s">
        <v>130</v>
      </c>
      <c r="BJ439" s="0" t="s">
        <v>130</v>
      </c>
      <c r="BK439" s="0" t="s">
        <v>130</v>
      </c>
      <c r="BL439" s="0" t="s">
        <v>130</v>
      </c>
      <c r="BM439" s="0" t="s">
        <v>130</v>
      </c>
      <c r="BN439" s="0" t="s">
        <v>130</v>
      </c>
      <c r="BO439" s="0" t="s">
        <v>130</v>
      </c>
      <c r="BP439" s="0" t="s">
        <v>130</v>
      </c>
      <c r="BQ439" s="0" t="s">
        <v>130</v>
      </c>
      <c r="BR439" s="0" t="s">
        <v>130</v>
      </c>
      <c r="BS439" s="0" t="s">
        <v>130</v>
      </c>
      <c r="BT439" s="0" t="s">
        <v>130</v>
      </c>
      <c r="BU439" s="0" t="s">
        <v>130</v>
      </c>
      <c r="BV439" s="0" t="s">
        <v>130</v>
      </c>
      <c r="BW439" s="0" t="s">
        <v>130</v>
      </c>
      <c r="BX439" s="0" t="s">
        <v>130</v>
      </c>
      <c r="BY439" s="0" t="s">
        <v>130</v>
      </c>
      <c r="BZ439" s="0" t="s">
        <v>130</v>
      </c>
      <c r="CA439" s="0" t="s">
        <v>130</v>
      </c>
      <c r="CB439" s="0" t="s">
        <v>130</v>
      </c>
      <c r="CC439" s="0" t="s">
        <v>130</v>
      </c>
      <c r="CD439" s="0" t="s">
        <v>130</v>
      </c>
      <c r="CE439" s="0" t="s">
        <v>130</v>
      </c>
      <c r="CF439" s="0" t="s">
        <v>130</v>
      </c>
      <c r="CG439" s="0" t="s">
        <v>130</v>
      </c>
      <c r="CH439" s="0" t="s">
        <v>130</v>
      </c>
      <c r="CI439" s="0" t="s">
        <v>130</v>
      </c>
      <c r="CJ439" s="0" t="s">
        <v>130</v>
      </c>
      <c r="CK439" s="0" t="s">
        <v>130</v>
      </c>
      <c r="CL439" s="0" t="s">
        <v>130</v>
      </c>
      <c r="CM439" s="0" t="s">
        <v>130</v>
      </c>
      <c r="CN439" s="0" t="s">
        <v>130</v>
      </c>
      <c r="CO439" s="0" t="s">
        <v>130</v>
      </c>
      <c r="CP439" s="0" t="s">
        <v>130</v>
      </c>
      <c r="CQ439" s="0" t="s">
        <v>130</v>
      </c>
      <c r="CR439" s="0" t="s">
        <v>130</v>
      </c>
      <c r="CS439" s="0" t="s">
        <v>130</v>
      </c>
      <c r="CT439" s="0" t="s">
        <v>1534</v>
      </c>
    </row>
    <row r="440">
      <c r="A440" s="14">
        <v>101254</v>
      </c>
      <c r="B440" s="0" t="s">
        <v>1531</v>
      </c>
      <c r="C440" s="16">
        <f>HYPERLINK("https://eosportal.federatedhermes.com/companies/Q29tcGFueQppNTg5NjY=", "Repsol SA")</f>
      </c>
      <c r="D440" s="0" t="s">
        <v>25</v>
      </c>
      <c r="E440" s="0" t="s">
        <v>1535</v>
      </c>
      <c r="F440" s="16">
        <f>HYPERLINK("https://eosportal.federatedhermes.com/engagements/RW5nYWdlbWVudAppMjA0Mjg=", "Covid 19")</f>
      </c>
      <c r="G440" s="14" t="s">
        <v>1536</v>
      </c>
      <c r="H440" s="0" t="s">
        <v>141</v>
      </c>
      <c r="I440" s="14" t="s">
        <v>191</v>
      </c>
      <c r="J440" s="0" t="s">
        <v>197</v>
      </c>
      <c r="K440" s="0" t="s">
        <v>198</v>
      </c>
      <c r="L440" s="0" t="s">
        <v>216</v>
      </c>
      <c r="M440" s="0" t="s">
        <v>378</v>
      </c>
      <c r="N440" s="0" t="s">
        <v>379</v>
      </c>
      <c r="O440" s="0" t="s">
        <v>542</v>
      </c>
      <c r="Q440" s="0" t="s">
        <v>130</v>
      </c>
      <c r="R440" s="0" t="s">
        <v>138</v>
      </c>
      <c r="S440" s="14">
        <v>0</v>
      </c>
      <c r="T440" s="0" t="s">
        <v>148</v>
      </c>
      <c r="U440" s="0" t="s">
        <v>138</v>
      </c>
      <c r="V440" s="14" t="s">
        <v>138</v>
      </c>
      <c r="W440" s="0" t="s">
        <v>138</v>
      </c>
      <c r="X440" s="14" t="s">
        <v>138</v>
      </c>
      <c r="Y440" s="0" t="s">
        <v>138</v>
      </c>
      <c r="Z440" s="14" t="s">
        <v>138</v>
      </c>
      <c r="AA440" s="0" t="s">
        <v>138</v>
      </c>
      <c r="AB440" s="14" t="s">
        <v>138</v>
      </c>
      <c r="AD440" s="0" t="s">
        <v>138</v>
      </c>
      <c r="AF440" s="0">
        <v>0</v>
      </c>
      <c r="AG440" s="0">
        <v>0</v>
      </c>
      <c r="AH440" s="0" t="s">
        <v>140</v>
      </c>
      <c r="AI440" s="0" t="s">
        <v>138</v>
      </c>
      <c r="AL440" s="14"/>
      <c r="AN440" s="14"/>
      <c r="AQ440" s="0" t="s">
        <v>130</v>
      </c>
      <c r="AR440" s="0" t="s">
        <v>130</v>
      </c>
      <c r="AS440" s="0" t="s">
        <v>130</v>
      </c>
      <c r="AT440" s="0" t="s">
        <v>130</v>
      </c>
      <c r="AU440" s="0" t="s">
        <v>130</v>
      </c>
      <c r="AV440" s="0" t="s">
        <v>130</v>
      </c>
      <c r="AW440" s="0" t="s">
        <v>130</v>
      </c>
      <c r="AX440" s="0" t="s">
        <v>130</v>
      </c>
      <c r="AY440" s="0" t="s">
        <v>130</v>
      </c>
      <c r="AZ440" s="0" t="s">
        <v>130</v>
      </c>
      <c r="BA440" s="0" t="s">
        <v>130</v>
      </c>
      <c r="BB440" s="0" t="s">
        <v>141</v>
      </c>
      <c r="BC440" s="0" t="s">
        <v>141</v>
      </c>
      <c r="BD440" s="0" t="s">
        <v>130</v>
      </c>
      <c r="BE440" s="0" t="s">
        <v>130</v>
      </c>
      <c r="BF440" s="0" t="s">
        <v>130</v>
      </c>
      <c r="BG440" s="0" t="s">
        <v>130</v>
      </c>
      <c r="BH440" s="0" t="s">
        <v>141</v>
      </c>
      <c r="BI440" s="0" t="s">
        <v>141</v>
      </c>
      <c r="BJ440" s="0" t="s">
        <v>141</v>
      </c>
      <c r="BK440" s="0" t="s">
        <v>130</v>
      </c>
      <c r="BL440" s="0" t="s">
        <v>130</v>
      </c>
      <c r="BM440" s="0" t="s">
        <v>130</v>
      </c>
      <c r="BN440" s="0" t="s">
        <v>130</v>
      </c>
      <c r="BO440" s="0" t="s">
        <v>130</v>
      </c>
      <c r="BP440" s="0" t="s">
        <v>130</v>
      </c>
      <c r="BQ440" s="0" t="s">
        <v>130</v>
      </c>
      <c r="BR440" s="0" t="s">
        <v>130</v>
      </c>
      <c r="BS440" s="0" t="s">
        <v>130</v>
      </c>
      <c r="BT440" s="0" t="s">
        <v>130</v>
      </c>
      <c r="BU440" s="0" t="s">
        <v>130</v>
      </c>
      <c r="BV440" s="0" t="s">
        <v>141</v>
      </c>
      <c r="BW440" s="0" t="s">
        <v>141</v>
      </c>
      <c r="BX440" s="0" t="s">
        <v>130</v>
      </c>
      <c r="BY440" s="0" t="s">
        <v>130</v>
      </c>
      <c r="BZ440" s="0" t="s">
        <v>130</v>
      </c>
      <c r="CA440" s="0" t="s">
        <v>130</v>
      </c>
      <c r="CB440" s="0" t="s">
        <v>130</v>
      </c>
      <c r="CC440" s="0" t="s">
        <v>130</v>
      </c>
      <c r="CD440" s="0" t="s">
        <v>130</v>
      </c>
      <c r="CE440" s="0" t="s">
        <v>130</v>
      </c>
      <c r="CF440" s="0" t="s">
        <v>130</v>
      </c>
      <c r="CG440" s="0" t="s">
        <v>130</v>
      </c>
      <c r="CH440" s="0" t="s">
        <v>130</v>
      </c>
      <c r="CI440" s="0" t="s">
        <v>130</v>
      </c>
      <c r="CJ440" s="0" t="s">
        <v>130</v>
      </c>
      <c r="CK440" s="0" t="s">
        <v>130</v>
      </c>
      <c r="CL440" s="0" t="s">
        <v>130</v>
      </c>
      <c r="CM440" s="0" t="s">
        <v>130</v>
      </c>
      <c r="CN440" s="0" t="s">
        <v>130</v>
      </c>
      <c r="CO440" s="0" t="s">
        <v>130</v>
      </c>
      <c r="CP440" s="0" t="s">
        <v>130</v>
      </c>
      <c r="CQ440" s="0" t="s">
        <v>130</v>
      </c>
      <c r="CR440" s="0" t="s">
        <v>130</v>
      </c>
      <c r="CS440" s="0" t="s">
        <v>130</v>
      </c>
      <c r="CT440" s="0" t="s">
        <v>1537</v>
      </c>
    </row>
    <row r="441">
      <c r="A441" s="14">
        <v>101254</v>
      </c>
      <c r="B441" s="0" t="s">
        <v>1531</v>
      </c>
      <c r="C441" s="16">
        <f>HYPERLINK("https://eosportal.federatedhermes.com/companies/Q29tcGFueQppNTg5NjY=", "Repsol SA")</f>
      </c>
      <c r="D441" s="0" t="s">
        <v>25</v>
      </c>
      <c r="E441" s="0" t="s">
        <v>1034</v>
      </c>
      <c r="F441" s="16">
        <f>HYPERLINK("https://eosportal.federatedhermes.com/engagements/RW5nYWdlbWVudAppMjA0Mjk=", "Board composition")</f>
      </c>
      <c r="G441" s="14" t="s">
        <v>1538</v>
      </c>
      <c r="H441" s="0" t="s">
        <v>141</v>
      </c>
      <c r="I441" s="14" t="s">
        <v>191</v>
      </c>
      <c r="J441" s="0" t="s">
        <v>145</v>
      </c>
      <c r="K441" s="0" t="s">
        <v>164</v>
      </c>
      <c r="L441" s="0" t="s">
        <v>165</v>
      </c>
      <c r="M441" s="0" t="s">
        <v>378</v>
      </c>
      <c r="N441" s="0" t="s">
        <v>379</v>
      </c>
      <c r="O441" s="0" t="s">
        <v>542</v>
      </c>
      <c r="Q441" s="0" t="s">
        <v>141</v>
      </c>
      <c r="R441" s="0" t="s">
        <v>138</v>
      </c>
      <c r="S441" s="14">
        <v>1</v>
      </c>
      <c r="T441" s="0" t="s">
        <v>239</v>
      </c>
      <c r="U441" s="0" t="s">
        <v>138</v>
      </c>
      <c r="V441" s="14" t="s">
        <v>138</v>
      </c>
      <c r="W441" s="0" t="s">
        <v>138</v>
      </c>
      <c r="X441" s="14" t="s">
        <v>138</v>
      </c>
      <c r="Y441" s="0" t="s">
        <v>138</v>
      </c>
      <c r="Z441" s="14" t="s">
        <v>138</v>
      </c>
      <c r="AA441" s="0" t="s">
        <v>138</v>
      </c>
      <c r="AB441" s="14" t="s">
        <v>138</v>
      </c>
      <c r="AD441" s="0" t="s">
        <v>138</v>
      </c>
      <c r="AF441" s="0">
        <v>0</v>
      </c>
      <c r="AG441" s="0">
        <v>0</v>
      </c>
      <c r="AH441" s="0" t="s">
        <v>140</v>
      </c>
      <c r="AI441" s="0" t="s">
        <v>138</v>
      </c>
      <c r="AK441" s="0" t="s">
        <v>149</v>
      </c>
      <c r="AL441" s="14"/>
      <c r="AN441" s="14"/>
      <c r="AQ441" s="0" t="s">
        <v>130</v>
      </c>
      <c r="AR441" s="0" t="s">
        <v>130</v>
      </c>
      <c r="AS441" s="0" t="s">
        <v>130</v>
      </c>
      <c r="AT441" s="0" t="s">
        <v>130</v>
      </c>
      <c r="AU441" s="0" t="s">
        <v>141</v>
      </c>
      <c r="AV441" s="0" t="s">
        <v>130</v>
      </c>
      <c r="AW441" s="0" t="s">
        <v>130</v>
      </c>
      <c r="AX441" s="0" t="s">
        <v>130</v>
      </c>
      <c r="AY441" s="0" t="s">
        <v>130</v>
      </c>
      <c r="AZ441" s="0" t="s">
        <v>141</v>
      </c>
      <c r="BA441" s="0" t="s">
        <v>130</v>
      </c>
      <c r="BB441" s="0" t="s">
        <v>130</v>
      </c>
      <c r="BC441" s="0" t="s">
        <v>130</v>
      </c>
      <c r="BD441" s="0" t="s">
        <v>130</v>
      </c>
      <c r="BE441" s="0" t="s">
        <v>130</v>
      </c>
      <c r="BF441" s="0" t="s">
        <v>130</v>
      </c>
      <c r="BG441" s="0" t="s">
        <v>130</v>
      </c>
      <c r="BH441" s="0" t="s">
        <v>130</v>
      </c>
      <c r="BI441" s="0" t="s">
        <v>130</v>
      </c>
      <c r="BJ441" s="0" t="s">
        <v>130</v>
      </c>
      <c r="BK441" s="0" t="s">
        <v>130</v>
      </c>
      <c r="BL441" s="0" t="s">
        <v>130</v>
      </c>
      <c r="BM441" s="0" t="s">
        <v>130</v>
      </c>
      <c r="BN441" s="0" t="s">
        <v>130</v>
      </c>
      <c r="BO441" s="0" t="s">
        <v>130</v>
      </c>
      <c r="BP441" s="0" t="s">
        <v>130</v>
      </c>
      <c r="BQ441" s="0" t="s">
        <v>130</v>
      </c>
      <c r="BR441" s="0" t="s">
        <v>130</v>
      </c>
      <c r="BS441" s="0" t="s">
        <v>130</v>
      </c>
      <c r="BT441" s="0" t="s">
        <v>130</v>
      </c>
      <c r="BU441" s="0" t="s">
        <v>130</v>
      </c>
      <c r="BV441" s="0" t="s">
        <v>130</v>
      </c>
      <c r="BW441" s="0" t="s">
        <v>130</v>
      </c>
      <c r="BX441" s="0" t="s">
        <v>130</v>
      </c>
      <c r="BY441" s="0" t="s">
        <v>130</v>
      </c>
      <c r="BZ441" s="0" t="s">
        <v>130</v>
      </c>
      <c r="CA441" s="0" t="s">
        <v>130</v>
      </c>
      <c r="CB441" s="0" t="s">
        <v>130</v>
      </c>
      <c r="CC441" s="0" t="s">
        <v>130</v>
      </c>
      <c r="CD441" s="0" t="s">
        <v>130</v>
      </c>
      <c r="CE441" s="0" t="s">
        <v>130</v>
      </c>
      <c r="CF441" s="0" t="s">
        <v>130</v>
      </c>
      <c r="CG441" s="0" t="s">
        <v>130</v>
      </c>
      <c r="CH441" s="0" t="s">
        <v>130</v>
      </c>
      <c r="CI441" s="0" t="s">
        <v>130</v>
      </c>
      <c r="CJ441" s="0" t="s">
        <v>130</v>
      </c>
      <c r="CK441" s="0" t="s">
        <v>130</v>
      </c>
      <c r="CL441" s="0" t="s">
        <v>130</v>
      </c>
      <c r="CM441" s="0" t="s">
        <v>130</v>
      </c>
      <c r="CN441" s="0" t="s">
        <v>130</v>
      </c>
      <c r="CO441" s="0" t="s">
        <v>130</v>
      </c>
      <c r="CP441" s="0" t="s">
        <v>130</v>
      </c>
      <c r="CQ441" s="0" t="s">
        <v>130</v>
      </c>
      <c r="CR441" s="0" t="s">
        <v>130</v>
      </c>
      <c r="CS441" s="0" t="s">
        <v>130</v>
      </c>
      <c r="CT441" s="0" t="s">
        <v>1539</v>
      </c>
    </row>
    <row r="442">
      <c r="A442" s="14">
        <v>101254</v>
      </c>
      <c r="B442" s="0" t="s">
        <v>1531</v>
      </c>
      <c r="C442" s="16">
        <f>HYPERLINK("https://eosportal.federatedhermes.com/companies/Q29tcGFueQppNTg5NjY=", "Repsol SA")</f>
      </c>
      <c r="D442" s="0" t="s">
        <v>25</v>
      </c>
      <c r="E442" s="0" t="s">
        <v>398</v>
      </c>
      <c r="F442" s="16">
        <f>HYPERLINK("https://eosportal.federatedhermes.com/engagements/RW5nYWdlbWVudAppMjA0MzA=", "Annual meeting good practice")</f>
      </c>
      <c r="G442" s="14" t="s">
        <v>1540</v>
      </c>
      <c r="H442" s="0" t="s">
        <v>141</v>
      </c>
      <c r="I442" s="14" t="s">
        <v>191</v>
      </c>
      <c r="J442" s="0" t="s">
        <v>145</v>
      </c>
      <c r="K442" s="0" t="s">
        <v>400</v>
      </c>
      <c r="L442" s="0" t="s">
        <v>401</v>
      </c>
      <c r="M442" s="0" t="s">
        <v>378</v>
      </c>
      <c r="N442" s="0" t="s">
        <v>379</v>
      </c>
      <c r="O442" s="0" t="s">
        <v>542</v>
      </c>
      <c r="Q442" s="0" t="s">
        <v>130</v>
      </c>
      <c r="R442" s="0" t="s">
        <v>138</v>
      </c>
      <c r="S442" s="14">
        <v>0</v>
      </c>
      <c r="T442" s="0" t="s">
        <v>206</v>
      </c>
      <c r="U442" s="0" t="s">
        <v>138</v>
      </c>
      <c r="V442" s="14" t="s">
        <v>138</v>
      </c>
      <c r="W442" s="0" t="s">
        <v>138</v>
      </c>
      <c r="X442" s="14" t="s">
        <v>138</v>
      </c>
      <c r="Y442" s="0" t="s">
        <v>138</v>
      </c>
      <c r="Z442" s="14" t="s">
        <v>138</v>
      </c>
      <c r="AA442" s="0" t="s">
        <v>138</v>
      </c>
      <c r="AB442" s="14" t="s">
        <v>138</v>
      </c>
      <c r="AD442" s="0" t="s">
        <v>138</v>
      </c>
      <c r="AF442" s="0">
        <v>0</v>
      </c>
      <c r="AG442" s="0">
        <v>0</v>
      </c>
      <c r="AH442" s="0" t="s">
        <v>140</v>
      </c>
      <c r="AI442" s="0" t="s">
        <v>138</v>
      </c>
      <c r="AL442" s="14"/>
      <c r="AN442" s="14"/>
      <c r="AQ442" s="0" t="s">
        <v>130</v>
      </c>
      <c r="AR442" s="0" t="s">
        <v>130</v>
      </c>
      <c r="AS442" s="0" t="s">
        <v>130</v>
      </c>
      <c r="AT442" s="0" t="s">
        <v>130</v>
      </c>
      <c r="AU442" s="0" t="s">
        <v>130</v>
      </c>
      <c r="AV442" s="0" t="s">
        <v>130</v>
      </c>
      <c r="AW442" s="0" t="s">
        <v>130</v>
      </c>
      <c r="AX442" s="0" t="s">
        <v>130</v>
      </c>
      <c r="AY442" s="0" t="s">
        <v>130</v>
      </c>
      <c r="AZ442" s="0" t="s">
        <v>130</v>
      </c>
      <c r="BA442" s="0" t="s">
        <v>130</v>
      </c>
      <c r="BB442" s="0" t="s">
        <v>130</v>
      </c>
      <c r="BC442" s="0" t="s">
        <v>130</v>
      </c>
      <c r="BD442" s="0" t="s">
        <v>130</v>
      </c>
      <c r="BE442" s="0" t="s">
        <v>130</v>
      </c>
      <c r="BF442" s="0" t="s">
        <v>130</v>
      </c>
      <c r="BG442" s="0" t="s">
        <v>130</v>
      </c>
      <c r="BH442" s="0" t="s">
        <v>130</v>
      </c>
      <c r="BI442" s="0" t="s">
        <v>130</v>
      </c>
      <c r="BJ442" s="0" t="s">
        <v>130</v>
      </c>
      <c r="BK442" s="0" t="s">
        <v>130</v>
      </c>
      <c r="BL442" s="0" t="s">
        <v>130</v>
      </c>
      <c r="BM442" s="0" t="s">
        <v>130</v>
      </c>
      <c r="BN442" s="0" t="s">
        <v>130</v>
      </c>
      <c r="BO442" s="0" t="s">
        <v>130</v>
      </c>
      <c r="BP442" s="0" t="s">
        <v>130</v>
      </c>
      <c r="BQ442" s="0" t="s">
        <v>130</v>
      </c>
      <c r="BR442" s="0" t="s">
        <v>130</v>
      </c>
      <c r="BS442" s="0" t="s">
        <v>130</v>
      </c>
      <c r="BT442" s="0" t="s">
        <v>130</v>
      </c>
      <c r="BU442" s="0" t="s">
        <v>130</v>
      </c>
      <c r="BV442" s="0" t="s">
        <v>130</v>
      </c>
      <c r="BW442" s="0" t="s">
        <v>130</v>
      </c>
      <c r="BX442" s="0" t="s">
        <v>130</v>
      </c>
      <c r="BY442" s="0" t="s">
        <v>130</v>
      </c>
      <c r="BZ442" s="0" t="s">
        <v>130</v>
      </c>
      <c r="CA442" s="0" t="s">
        <v>130</v>
      </c>
      <c r="CB442" s="0" t="s">
        <v>130</v>
      </c>
      <c r="CC442" s="0" t="s">
        <v>130</v>
      </c>
      <c r="CD442" s="0" t="s">
        <v>130</v>
      </c>
      <c r="CE442" s="0" t="s">
        <v>130</v>
      </c>
      <c r="CF442" s="0" t="s">
        <v>130</v>
      </c>
      <c r="CG442" s="0" t="s">
        <v>130</v>
      </c>
      <c r="CH442" s="0" t="s">
        <v>130</v>
      </c>
      <c r="CI442" s="0" t="s">
        <v>130</v>
      </c>
      <c r="CJ442" s="0" t="s">
        <v>130</v>
      </c>
      <c r="CK442" s="0" t="s">
        <v>130</v>
      </c>
      <c r="CL442" s="0" t="s">
        <v>130</v>
      </c>
      <c r="CM442" s="0" t="s">
        <v>130</v>
      </c>
      <c r="CN442" s="0" t="s">
        <v>130</v>
      </c>
      <c r="CO442" s="0" t="s">
        <v>130</v>
      </c>
      <c r="CP442" s="0" t="s">
        <v>130</v>
      </c>
      <c r="CQ442" s="0" t="s">
        <v>130</v>
      </c>
      <c r="CR442" s="0" t="s">
        <v>130</v>
      </c>
      <c r="CS442" s="0" t="s">
        <v>130</v>
      </c>
      <c r="CT442" s="0" t="s">
        <v>1541</v>
      </c>
    </row>
    <row r="443">
      <c r="A443" s="14">
        <v>101254</v>
      </c>
      <c r="B443" s="0" t="s">
        <v>1531</v>
      </c>
      <c r="C443" s="16">
        <f>HYPERLINK("https://eosportal.federatedhermes.com/companies/Q29tcGFueQppNTg5NjY=", "Repsol SA")</f>
      </c>
      <c r="D443" s="0" t="s">
        <v>25</v>
      </c>
      <c r="E443" s="0" t="s">
        <v>1542</v>
      </c>
      <c r="F443" s="16">
        <f>HYPERLINK("https://eosportal.federatedhermes.com/engagements/RW5nYWdlbWVudAppMjA0MzE=", "Just transition")</f>
      </c>
      <c r="G443" s="14" t="s">
        <v>1543</v>
      </c>
      <c r="H443" s="0" t="s">
        <v>141</v>
      </c>
      <c r="I443" s="14" t="s">
        <v>191</v>
      </c>
      <c r="J443" s="0" t="s">
        <v>197</v>
      </c>
      <c r="K443" s="0" t="s">
        <v>198</v>
      </c>
      <c r="L443" s="0" t="s">
        <v>199</v>
      </c>
      <c r="M443" s="0" t="s">
        <v>378</v>
      </c>
      <c r="N443" s="0" t="s">
        <v>379</v>
      </c>
      <c r="O443" s="0" t="s">
        <v>542</v>
      </c>
      <c r="Q443" s="0" t="s">
        <v>130</v>
      </c>
      <c r="R443" s="0" t="s">
        <v>138</v>
      </c>
      <c r="S443" s="14">
        <v>0</v>
      </c>
      <c r="T443" s="0" t="s">
        <v>156</v>
      </c>
      <c r="U443" s="0" t="s">
        <v>138</v>
      </c>
      <c r="V443" s="14" t="s">
        <v>138</v>
      </c>
      <c r="W443" s="0" t="s">
        <v>138</v>
      </c>
      <c r="X443" s="14" t="s">
        <v>138</v>
      </c>
      <c r="Y443" s="0" t="s">
        <v>138</v>
      </c>
      <c r="Z443" s="14" t="s">
        <v>138</v>
      </c>
      <c r="AA443" s="0" t="s">
        <v>138</v>
      </c>
      <c r="AB443" s="14" t="s">
        <v>138</v>
      </c>
      <c r="AD443" s="0" t="s">
        <v>138</v>
      </c>
      <c r="AF443" s="0">
        <v>0</v>
      </c>
      <c r="AG443" s="0">
        <v>0</v>
      </c>
      <c r="AH443" s="0" t="s">
        <v>140</v>
      </c>
      <c r="AI443" s="0" t="s">
        <v>138</v>
      </c>
      <c r="AL443" s="14"/>
      <c r="AN443" s="14"/>
      <c r="AQ443" s="0" t="s">
        <v>130</v>
      </c>
      <c r="AR443" s="0" t="s">
        <v>130</v>
      </c>
      <c r="AS443" s="0" t="s">
        <v>130</v>
      </c>
      <c r="AT443" s="0" t="s">
        <v>130</v>
      </c>
      <c r="AU443" s="0" t="s">
        <v>130</v>
      </c>
      <c r="AV443" s="0" t="s">
        <v>130</v>
      </c>
      <c r="AW443" s="0" t="s">
        <v>130</v>
      </c>
      <c r="AX443" s="0" t="s">
        <v>130</v>
      </c>
      <c r="AY443" s="0" t="s">
        <v>130</v>
      </c>
      <c r="AZ443" s="0" t="s">
        <v>130</v>
      </c>
      <c r="BA443" s="0" t="s">
        <v>130</v>
      </c>
      <c r="BB443" s="0" t="s">
        <v>141</v>
      </c>
      <c r="BC443" s="0" t="s">
        <v>130</v>
      </c>
      <c r="BD443" s="0" t="s">
        <v>130</v>
      </c>
      <c r="BE443" s="0" t="s">
        <v>130</v>
      </c>
      <c r="BF443" s="0" t="s">
        <v>130</v>
      </c>
      <c r="BG443" s="0" t="s">
        <v>130</v>
      </c>
      <c r="BH443" s="0" t="s">
        <v>130</v>
      </c>
      <c r="BI443" s="0" t="s">
        <v>130</v>
      </c>
      <c r="BJ443" s="0" t="s">
        <v>130</v>
      </c>
      <c r="BK443" s="0" t="s">
        <v>130</v>
      </c>
      <c r="BL443" s="0" t="s">
        <v>130</v>
      </c>
      <c r="BM443" s="0" t="s">
        <v>130</v>
      </c>
      <c r="BN443" s="0" t="s">
        <v>130</v>
      </c>
      <c r="BO443" s="0" t="s">
        <v>130</v>
      </c>
      <c r="BP443" s="0" t="s">
        <v>130</v>
      </c>
      <c r="BQ443" s="0" t="s">
        <v>130</v>
      </c>
      <c r="BR443" s="0" t="s">
        <v>130</v>
      </c>
      <c r="BS443" s="0" t="s">
        <v>130</v>
      </c>
      <c r="BT443" s="0" t="s">
        <v>130</v>
      </c>
      <c r="BU443" s="0" t="s">
        <v>130</v>
      </c>
      <c r="BV443" s="0" t="s">
        <v>130</v>
      </c>
      <c r="BW443" s="0" t="s">
        <v>130</v>
      </c>
      <c r="BX443" s="0" t="s">
        <v>130</v>
      </c>
      <c r="BY443" s="0" t="s">
        <v>130</v>
      </c>
      <c r="BZ443" s="0" t="s">
        <v>130</v>
      </c>
      <c r="CA443" s="0" t="s">
        <v>130</v>
      </c>
      <c r="CB443" s="0" t="s">
        <v>130</v>
      </c>
      <c r="CC443" s="0" t="s">
        <v>130</v>
      </c>
      <c r="CD443" s="0" t="s">
        <v>130</v>
      </c>
      <c r="CE443" s="0" t="s">
        <v>130</v>
      </c>
      <c r="CF443" s="0" t="s">
        <v>130</v>
      </c>
      <c r="CG443" s="0" t="s">
        <v>130</v>
      </c>
      <c r="CH443" s="0" t="s">
        <v>130</v>
      </c>
      <c r="CI443" s="0" t="s">
        <v>130</v>
      </c>
      <c r="CJ443" s="0" t="s">
        <v>130</v>
      </c>
      <c r="CK443" s="0" t="s">
        <v>130</v>
      </c>
      <c r="CL443" s="0" t="s">
        <v>130</v>
      </c>
      <c r="CM443" s="0" t="s">
        <v>130</v>
      </c>
      <c r="CN443" s="0" t="s">
        <v>130</v>
      </c>
      <c r="CO443" s="0" t="s">
        <v>130</v>
      </c>
      <c r="CP443" s="0" t="s">
        <v>130</v>
      </c>
      <c r="CQ443" s="0" t="s">
        <v>130</v>
      </c>
      <c r="CR443" s="0" t="s">
        <v>130</v>
      </c>
      <c r="CS443" s="0" t="s">
        <v>130</v>
      </c>
      <c r="CT443" s="0" t="s">
        <v>1544</v>
      </c>
    </row>
    <row r="444">
      <c r="A444" s="14">
        <v>101254</v>
      </c>
      <c r="B444" s="0" t="s">
        <v>1531</v>
      </c>
      <c r="C444" s="16">
        <f>HYPERLINK("https://eosportal.federatedhermes.com/companies/Q29tcGFueQppNTg5NjY=", "Repsol SA")</f>
      </c>
      <c r="D444" s="0" t="s">
        <v>25</v>
      </c>
      <c r="E444" s="0" t="s">
        <v>912</v>
      </c>
      <c r="F444" s="16">
        <f>HYPERLINK("https://eosportal.federatedhermes.com/engagements/RW5nYWdlbWVudAppMjA0MzI=", "Executive remuneration")</f>
      </c>
      <c r="G444" s="14" t="s">
        <v>1545</v>
      </c>
      <c r="H444" s="0" t="s">
        <v>141</v>
      </c>
      <c r="I444" s="14" t="s">
        <v>191</v>
      </c>
      <c r="J444" s="0" t="s">
        <v>145</v>
      </c>
      <c r="K444" s="0" t="s">
        <v>146</v>
      </c>
      <c r="L444" s="0" t="s">
        <v>147</v>
      </c>
      <c r="M444" s="0" t="s">
        <v>378</v>
      </c>
      <c r="N444" s="0" t="s">
        <v>379</v>
      </c>
      <c r="O444" s="0" t="s">
        <v>542</v>
      </c>
      <c r="Q444" s="0" t="s">
        <v>141</v>
      </c>
      <c r="R444" s="0" t="s">
        <v>138</v>
      </c>
      <c r="S444" s="14">
        <v>1</v>
      </c>
      <c r="T444" s="0" t="s">
        <v>1321</v>
      </c>
      <c r="U444" s="0" t="s">
        <v>138</v>
      </c>
      <c r="V444" s="14" t="s">
        <v>138</v>
      </c>
      <c r="W444" s="0" t="s">
        <v>138</v>
      </c>
      <c r="X444" s="14" t="s">
        <v>138</v>
      </c>
      <c r="Y444" s="0" t="s">
        <v>138</v>
      </c>
      <c r="Z444" s="14" t="s">
        <v>138</v>
      </c>
      <c r="AA444" s="0" t="s">
        <v>138</v>
      </c>
      <c r="AB444" s="14" t="s">
        <v>138</v>
      </c>
      <c r="AD444" s="0" t="s">
        <v>138</v>
      </c>
      <c r="AF444" s="0">
        <v>0</v>
      </c>
      <c r="AG444" s="0">
        <v>0</v>
      </c>
      <c r="AH444" s="0" t="s">
        <v>140</v>
      </c>
      <c r="AI444" s="0" t="s">
        <v>138</v>
      </c>
      <c r="AK444" s="0" t="s">
        <v>149</v>
      </c>
      <c r="AL444" s="14"/>
      <c r="AN444" s="14"/>
      <c r="AQ444" s="0" t="s">
        <v>130</v>
      </c>
      <c r="AR444" s="0" t="s">
        <v>130</v>
      </c>
      <c r="AS444" s="0" t="s">
        <v>130</v>
      </c>
      <c r="AT444" s="0" t="s">
        <v>130</v>
      </c>
      <c r="AU444" s="0" t="s">
        <v>130</v>
      </c>
      <c r="AV444" s="0" t="s">
        <v>130</v>
      </c>
      <c r="AW444" s="0" t="s">
        <v>130</v>
      </c>
      <c r="AX444" s="0" t="s">
        <v>130</v>
      </c>
      <c r="AY444" s="0" t="s">
        <v>130</v>
      </c>
      <c r="AZ444" s="0" t="s">
        <v>130</v>
      </c>
      <c r="BA444" s="0" t="s">
        <v>130</v>
      </c>
      <c r="BB444" s="0" t="s">
        <v>130</v>
      </c>
      <c r="BC444" s="0" t="s">
        <v>130</v>
      </c>
      <c r="BD444" s="0" t="s">
        <v>130</v>
      </c>
      <c r="BE444" s="0" t="s">
        <v>130</v>
      </c>
      <c r="BF444" s="0" t="s">
        <v>130</v>
      </c>
      <c r="BG444" s="0" t="s">
        <v>130</v>
      </c>
      <c r="BH444" s="0" t="s">
        <v>130</v>
      </c>
      <c r="BI444" s="0" t="s">
        <v>130</v>
      </c>
      <c r="BJ444" s="0" t="s">
        <v>130</v>
      </c>
      <c r="BK444" s="0" t="s">
        <v>130</v>
      </c>
      <c r="BL444" s="0" t="s">
        <v>130</v>
      </c>
      <c r="BM444" s="0" t="s">
        <v>130</v>
      </c>
      <c r="BN444" s="0" t="s">
        <v>130</v>
      </c>
      <c r="BO444" s="0" t="s">
        <v>130</v>
      </c>
      <c r="BP444" s="0" t="s">
        <v>130</v>
      </c>
      <c r="BQ444" s="0" t="s">
        <v>130</v>
      </c>
      <c r="BR444" s="0" t="s">
        <v>130</v>
      </c>
      <c r="BS444" s="0" t="s">
        <v>130</v>
      </c>
      <c r="BT444" s="0" t="s">
        <v>130</v>
      </c>
      <c r="BU444" s="0" t="s">
        <v>130</v>
      </c>
      <c r="BV444" s="0" t="s">
        <v>130</v>
      </c>
      <c r="BW444" s="0" t="s">
        <v>130</v>
      </c>
      <c r="BX444" s="0" t="s">
        <v>130</v>
      </c>
      <c r="BY444" s="0" t="s">
        <v>130</v>
      </c>
      <c r="BZ444" s="0" t="s">
        <v>130</v>
      </c>
      <c r="CA444" s="0" t="s">
        <v>130</v>
      </c>
      <c r="CB444" s="0" t="s">
        <v>130</v>
      </c>
      <c r="CC444" s="0" t="s">
        <v>130</v>
      </c>
      <c r="CD444" s="0" t="s">
        <v>130</v>
      </c>
      <c r="CE444" s="0" t="s">
        <v>130</v>
      </c>
      <c r="CF444" s="0" t="s">
        <v>130</v>
      </c>
      <c r="CG444" s="0" t="s">
        <v>130</v>
      </c>
      <c r="CH444" s="0" t="s">
        <v>130</v>
      </c>
      <c r="CI444" s="0" t="s">
        <v>130</v>
      </c>
      <c r="CJ444" s="0" t="s">
        <v>130</v>
      </c>
      <c r="CK444" s="0" t="s">
        <v>130</v>
      </c>
      <c r="CL444" s="0" t="s">
        <v>130</v>
      </c>
      <c r="CM444" s="0" t="s">
        <v>130</v>
      </c>
      <c r="CN444" s="0" t="s">
        <v>130</v>
      </c>
      <c r="CO444" s="0" t="s">
        <v>130</v>
      </c>
      <c r="CP444" s="0" t="s">
        <v>130</v>
      </c>
      <c r="CQ444" s="0" t="s">
        <v>130</v>
      </c>
      <c r="CR444" s="0" t="s">
        <v>130</v>
      </c>
      <c r="CS444" s="0" t="s">
        <v>130</v>
      </c>
      <c r="CT444" s="0" t="s">
        <v>1546</v>
      </c>
    </row>
    <row r="445">
      <c r="A445" s="14">
        <v>101254</v>
      </c>
      <c r="B445" s="0" t="s">
        <v>1531</v>
      </c>
      <c r="C445" s="16">
        <f>HYPERLINK("https://eosportal.federatedhermes.com/companies/Q29tcGFueQppNTg5NjY=", "Repsol SA")</f>
      </c>
      <c r="D445" s="0" t="s">
        <v>25</v>
      </c>
      <c r="E445" s="0" t="s">
        <v>1547</v>
      </c>
      <c r="F445" s="16">
        <f>HYPERLINK("https://eosportal.federatedhermes.com/engagements/RW5nYWdlbWVudAppMjA0MzM=", "Workforce safety")</f>
      </c>
      <c r="G445" s="14" t="s">
        <v>1548</v>
      </c>
      <c r="H445" s="0" t="s">
        <v>141</v>
      </c>
      <c r="I445" s="14" t="s">
        <v>191</v>
      </c>
      <c r="J445" s="0" t="s">
        <v>153</v>
      </c>
      <c r="K445" s="0" t="s">
        <v>154</v>
      </c>
      <c r="L445" s="0" t="s">
        <v>155</v>
      </c>
      <c r="M445" s="0" t="s">
        <v>378</v>
      </c>
      <c r="N445" s="0" t="s">
        <v>379</v>
      </c>
      <c r="O445" s="0" t="s">
        <v>542</v>
      </c>
      <c r="Q445" s="0" t="s">
        <v>130</v>
      </c>
      <c r="R445" s="0" t="s">
        <v>138</v>
      </c>
      <c r="S445" s="14">
        <v>0</v>
      </c>
      <c r="T445" s="0" t="s">
        <v>1321</v>
      </c>
      <c r="U445" s="0" t="s">
        <v>138</v>
      </c>
      <c r="V445" s="14" t="s">
        <v>138</v>
      </c>
      <c r="W445" s="0" t="s">
        <v>138</v>
      </c>
      <c r="X445" s="14" t="s">
        <v>138</v>
      </c>
      <c r="Y445" s="0" t="s">
        <v>138</v>
      </c>
      <c r="Z445" s="14" t="s">
        <v>138</v>
      </c>
      <c r="AA445" s="0" t="s">
        <v>138</v>
      </c>
      <c r="AB445" s="14" t="s">
        <v>138</v>
      </c>
      <c r="AD445" s="0" t="s">
        <v>138</v>
      </c>
      <c r="AF445" s="0">
        <v>0</v>
      </c>
      <c r="AG445" s="0">
        <v>0</v>
      </c>
      <c r="AH445" s="0" t="s">
        <v>140</v>
      </c>
      <c r="AI445" s="0" t="s">
        <v>138</v>
      </c>
      <c r="AL445" s="14"/>
      <c r="AN445" s="14"/>
      <c r="AQ445" s="0" t="s">
        <v>130</v>
      </c>
      <c r="AR445" s="0" t="s">
        <v>130</v>
      </c>
      <c r="AS445" s="0" t="s">
        <v>141</v>
      </c>
      <c r="AT445" s="0" t="s">
        <v>130</v>
      </c>
      <c r="AU445" s="0" t="s">
        <v>130</v>
      </c>
      <c r="AV445" s="0" t="s">
        <v>130</v>
      </c>
      <c r="AW445" s="0" t="s">
        <v>130</v>
      </c>
      <c r="AX445" s="0" t="s">
        <v>141</v>
      </c>
      <c r="AY445" s="0" t="s">
        <v>130</v>
      </c>
      <c r="AZ445" s="0" t="s">
        <v>130</v>
      </c>
      <c r="BA445" s="0" t="s">
        <v>130</v>
      </c>
      <c r="BB445" s="0" t="s">
        <v>130</v>
      </c>
      <c r="BC445" s="0" t="s">
        <v>130</v>
      </c>
      <c r="BD445" s="0" t="s">
        <v>130</v>
      </c>
      <c r="BE445" s="0" t="s">
        <v>130</v>
      </c>
      <c r="BF445" s="0" t="s">
        <v>130</v>
      </c>
      <c r="BG445" s="0" t="s">
        <v>130</v>
      </c>
      <c r="BH445" s="0" t="s">
        <v>130</v>
      </c>
      <c r="BI445" s="0" t="s">
        <v>130</v>
      </c>
      <c r="BJ445" s="0" t="s">
        <v>130</v>
      </c>
      <c r="BK445" s="0" t="s">
        <v>130</v>
      </c>
      <c r="BL445" s="0" t="s">
        <v>130</v>
      </c>
      <c r="BM445" s="0" t="s">
        <v>130</v>
      </c>
      <c r="BN445" s="0" t="s">
        <v>130</v>
      </c>
      <c r="BO445" s="0" t="s">
        <v>130</v>
      </c>
      <c r="BP445" s="0" t="s">
        <v>130</v>
      </c>
      <c r="BQ445" s="0" t="s">
        <v>130</v>
      </c>
      <c r="BR445" s="0" t="s">
        <v>130</v>
      </c>
      <c r="BS445" s="0" t="s">
        <v>130</v>
      </c>
      <c r="BT445" s="0" t="s">
        <v>130</v>
      </c>
      <c r="BU445" s="0" t="s">
        <v>130</v>
      </c>
      <c r="BV445" s="0" t="s">
        <v>130</v>
      </c>
      <c r="BW445" s="0" t="s">
        <v>130</v>
      </c>
      <c r="BX445" s="0" t="s">
        <v>130</v>
      </c>
      <c r="BY445" s="0" t="s">
        <v>130</v>
      </c>
      <c r="BZ445" s="0" t="s">
        <v>130</v>
      </c>
      <c r="CA445" s="0" t="s">
        <v>130</v>
      </c>
      <c r="CB445" s="0" t="s">
        <v>130</v>
      </c>
      <c r="CC445" s="0" t="s">
        <v>130</v>
      </c>
      <c r="CD445" s="0" t="s">
        <v>130</v>
      </c>
      <c r="CE445" s="0" t="s">
        <v>130</v>
      </c>
      <c r="CF445" s="0" t="s">
        <v>130</v>
      </c>
      <c r="CG445" s="0" t="s">
        <v>130</v>
      </c>
      <c r="CH445" s="0" t="s">
        <v>130</v>
      </c>
      <c r="CI445" s="0" t="s">
        <v>141</v>
      </c>
      <c r="CJ445" s="0" t="s">
        <v>130</v>
      </c>
      <c r="CK445" s="0" t="s">
        <v>130</v>
      </c>
      <c r="CL445" s="0" t="s">
        <v>130</v>
      </c>
      <c r="CM445" s="0" t="s">
        <v>130</v>
      </c>
      <c r="CN445" s="0" t="s">
        <v>130</v>
      </c>
      <c r="CO445" s="0" t="s">
        <v>130</v>
      </c>
      <c r="CP445" s="0" t="s">
        <v>130</v>
      </c>
      <c r="CQ445" s="0" t="s">
        <v>130</v>
      </c>
      <c r="CR445" s="0" t="s">
        <v>130</v>
      </c>
      <c r="CS445" s="0" t="s">
        <v>130</v>
      </c>
      <c r="CT445" s="0" t="s">
        <v>1549</v>
      </c>
    </row>
    <row r="446">
      <c r="A446" s="14">
        <v>101254</v>
      </c>
      <c r="B446" s="0" t="s">
        <v>1531</v>
      </c>
      <c r="C446" s="16">
        <f>HYPERLINK("https://eosportal.federatedhermes.com/companies/Q29tcGFueQppNTg5NjY=", "Repsol SA")</f>
      </c>
      <c r="D446" s="0" t="s">
        <v>25</v>
      </c>
      <c r="E446" s="0" t="s">
        <v>1550</v>
      </c>
      <c r="F446" s="16">
        <f>HYPERLINK("https://eosportal.federatedhermes.com/engagements/RW5nYWdlbWVudAppMjA0MzQ=", "Indigenous peoples")</f>
      </c>
      <c r="G446" s="14" t="s">
        <v>1551</v>
      </c>
      <c r="H446" s="0" t="s">
        <v>141</v>
      </c>
      <c r="I446" s="14" t="s">
        <v>191</v>
      </c>
      <c r="J446" s="0" t="s">
        <v>153</v>
      </c>
      <c r="K446" s="0" t="s">
        <v>243</v>
      </c>
      <c r="L446" s="0" t="s">
        <v>571</v>
      </c>
      <c r="M446" s="0" t="s">
        <v>378</v>
      </c>
      <c r="N446" s="0" t="s">
        <v>379</v>
      </c>
      <c r="O446" s="0" t="s">
        <v>542</v>
      </c>
      <c r="Q446" s="0" t="s">
        <v>130</v>
      </c>
      <c r="R446" s="0" t="s">
        <v>138</v>
      </c>
      <c r="S446" s="14">
        <v>0</v>
      </c>
      <c r="T446" s="0" t="s">
        <v>1011</v>
      </c>
      <c r="U446" s="0" t="s">
        <v>138</v>
      </c>
      <c r="V446" s="14" t="s">
        <v>138</v>
      </c>
      <c r="W446" s="0" t="s">
        <v>138</v>
      </c>
      <c r="X446" s="14" t="s">
        <v>138</v>
      </c>
      <c r="Y446" s="0" t="s">
        <v>138</v>
      </c>
      <c r="Z446" s="14" t="s">
        <v>138</v>
      </c>
      <c r="AA446" s="0" t="s">
        <v>138</v>
      </c>
      <c r="AB446" s="14" t="s">
        <v>138</v>
      </c>
      <c r="AD446" s="0" t="s">
        <v>138</v>
      </c>
      <c r="AF446" s="0">
        <v>0</v>
      </c>
      <c r="AG446" s="0">
        <v>0</v>
      </c>
      <c r="AH446" s="0" t="s">
        <v>140</v>
      </c>
      <c r="AI446" s="0" t="s">
        <v>138</v>
      </c>
      <c r="AL446" s="14"/>
      <c r="AN446" s="14"/>
      <c r="AQ446" s="0" t="s">
        <v>130</v>
      </c>
      <c r="AR446" s="0" t="s">
        <v>130</v>
      </c>
      <c r="AS446" s="0" t="s">
        <v>130</v>
      </c>
      <c r="AT446" s="0" t="s">
        <v>130</v>
      </c>
      <c r="AU446" s="0" t="s">
        <v>130</v>
      </c>
      <c r="AV446" s="0" t="s">
        <v>130</v>
      </c>
      <c r="AW446" s="0" t="s">
        <v>130</v>
      </c>
      <c r="AX446" s="0" t="s">
        <v>130</v>
      </c>
      <c r="AY446" s="0" t="s">
        <v>130</v>
      </c>
      <c r="AZ446" s="0" t="s">
        <v>141</v>
      </c>
      <c r="BA446" s="0" t="s">
        <v>141</v>
      </c>
      <c r="BB446" s="0" t="s">
        <v>130</v>
      </c>
      <c r="BC446" s="0" t="s">
        <v>130</v>
      </c>
      <c r="BD446" s="0" t="s">
        <v>130</v>
      </c>
      <c r="BE446" s="0" t="s">
        <v>130</v>
      </c>
      <c r="BF446" s="0" t="s">
        <v>141</v>
      </c>
      <c r="BG446" s="0" t="s">
        <v>130</v>
      </c>
      <c r="BH446" s="0" t="s">
        <v>130</v>
      </c>
      <c r="BI446" s="0" t="s">
        <v>130</v>
      </c>
      <c r="BJ446" s="0" t="s">
        <v>130</v>
      </c>
      <c r="BK446" s="0" t="s">
        <v>130</v>
      </c>
      <c r="BL446" s="0" t="s">
        <v>130</v>
      </c>
      <c r="BM446" s="0" t="s">
        <v>130</v>
      </c>
      <c r="BN446" s="0" t="s">
        <v>130</v>
      </c>
      <c r="BO446" s="0" t="s">
        <v>130</v>
      </c>
      <c r="BP446" s="0" t="s">
        <v>130</v>
      </c>
      <c r="BQ446" s="0" t="s">
        <v>130</v>
      </c>
      <c r="BR446" s="0" t="s">
        <v>130</v>
      </c>
      <c r="BS446" s="0" t="s">
        <v>130</v>
      </c>
      <c r="BT446" s="0" t="s">
        <v>130</v>
      </c>
      <c r="BU446" s="0" t="s">
        <v>130</v>
      </c>
      <c r="BV446" s="0" t="s">
        <v>130</v>
      </c>
      <c r="BW446" s="0" t="s">
        <v>130</v>
      </c>
      <c r="BX446" s="0" t="s">
        <v>130</v>
      </c>
      <c r="BY446" s="0" t="s">
        <v>130</v>
      </c>
      <c r="BZ446" s="0" t="s">
        <v>130</v>
      </c>
      <c r="CA446" s="0" t="s">
        <v>130</v>
      </c>
      <c r="CB446" s="0" t="s">
        <v>130</v>
      </c>
      <c r="CC446" s="0" t="s">
        <v>130</v>
      </c>
      <c r="CD446" s="0" t="s">
        <v>130</v>
      </c>
      <c r="CE446" s="0" t="s">
        <v>130</v>
      </c>
      <c r="CF446" s="0" t="s">
        <v>130</v>
      </c>
      <c r="CG446" s="0" t="s">
        <v>130</v>
      </c>
      <c r="CH446" s="0" t="s">
        <v>130</v>
      </c>
      <c r="CI446" s="0" t="s">
        <v>130</v>
      </c>
      <c r="CJ446" s="0" t="s">
        <v>130</v>
      </c>
      <c r="CK446" s="0" t="s">
        <v>130</v>
      </c>
      <c r="CL446" s="0" t="s">
        <v>130</v>
      </c>
      <c r="CM446" s="0" t="s">
        <v>130</v>
      </c>
      <c r="CN446" s="0" t="s">
        <v>130</v>
      </c>
      <c r="CO446" s="0" t="s">
        <v>130</v>
      </c>
      <c r="CP446" s="0" t="s">
        <v>130</v>
      </c>
      <c r="CQ446" s="0" t="s">
        <v>130</v>
      </c>
      <c r="CR446" s="0" t="s">
        <v>130</v>
      </c>
      <c r="CS446" s="0" t="s">
        <v>130</v>
      </c>
      <c r="CT446" s="0" t="s">
        <v>1552</v>
      </c>
    </row>
    <row r="447">
      <c r="A447" s="14">
        <v>101254</v>
      </c>
      <c r="B447" s="0" t="s">
        <v>1531</v>
      </c>
      <c r="C447" s="16">
        <f>HYPERLINK("https://eosportal.federatedhermes.com/companies/Q29tcGFueQppNTg5NjY=", "Repsol SA")</f>
      </c>
      <c r="D447" s="0" t="s">
        <v>25</v>
      </c>
      <c r="E447" s="0" t="s">
        <v>735</v>
      </c>
      <c r="F447" s="16">
        <f>HYPERLINK("https://eosportal.federatedhermes.com/engagements/RW5nYWdlbWVudAppMjA0MzY=", "Sustainability reporting")</f>
      </c>
      <c r="G447" s="14" t="s">
        <v>1553</v>
      </c>
      <c r="H447" s="0" t="s">
        <v>141</v>
      </c>
      <c r="I447" s="14" t="s">
        <v>191</v>
      </c>
      <c r="J447" s="0" t="s">
        <v>132</v>
      </c>
      <c r="K447" s="0" t="s">
        <v>170</v>
      </c>
      <c r="L447" s="0" t="s">
        <v>171</v>
      </c>
      <c r="M447" s="0" t="s">
        <v>378</v>
      </c>
      <c r="N447" s="0" t="s">
        <v>379</v>
      </c>
      <c r="O447" s="0" t="s">
        <v>542</v>
      </c>
      <c r="Q447" s="0" t="s">
        <v>130</v>
      </c>
      <c r="R447" s="0" t="s">
        <v>138</v>
      </c>
      <c r="S447" s="14">
        <v>0</v>
      </c>
      <c r="T447" s="0" t="s">
        <v>299</v>
      </c>
      <c r="U447" s="0" t="s">
        <v>138</v>
      </c>
      <c r="V447" s="14" t="s">
        <v>138</v>
      </c>
      <c r="W447" s="0" t="s">
        <v>138</v>
      </c>
      <c r="X447" s="14" t="s">
        <v>138</v>
      </c>
      <c r="Y447" s="0" t="s">
        <v>138</v>
      </c>
      <c r="Z447" s="14" t="s">
        <v>138</v>
      </c>
      <c r="AA447" s="0" t="s">
        <v>138</v>
      </c>
      <c r="AB447" s="14" t="s">
        <v>138</v>
      </c>
      <c r="AD447" s="0" t="s">
        <v>138</v>
      </c>
      <c r="AF447" s="0">
        <v>0</v>
      </c>
      <c r="AG447" s="0">
        <v>0</v>
      </c>
      <c r="AH447" s="0" t="s">
        <v>140</v>
      </c>
      <c r="AI447" s="0" t="s">
        <v>138</v>
      </c>
      <c r="AL447" s="14"/>
      <c r="AN447" s="14"/>
      <c r="AQ447" s="0" t="s">
        <v>130</v>
      </c>
      <c r="AR447" s="0" t="s">
        <v>130</v>
      </c>
      <c r="AS447" s="0" t="s">
        <v>130</v>
      </c>
      <c r="AT447" s="0" t="s">
        <v>130</v>
      </c>
      <c r="AU447" s="0" t="s">
        <v>130</v>
      </c>
      <c r="AV447" s="0" t="s">
        <v>130</v>
      </c>
      <c r="AW447" s="0" t="s">
        <v>130</v>
      </c>
      <c r="AX447" s="0" t="s">
        <v>130</v>
      </c>
      <c r="AY447" s="0" t="s">
        <v>130</v>
      </c>
      <c r="AZ447" s="0" t="s">
        <v>130</v>
      </c>
      <c r="BA447" s="0" t="s">
        <v>130</v>
      </c>
      <c r="BB447" s="0" t="s">
        <v>130</v>
      </c>
      <c r="BC447" s="0" t="s">
        <v>130</v>
      </c>
      <c r="BD447" s="0" t="s">
        <v>130</v>
      </c>
      <c r="BE447" s="0" t="s">
        <v>130</v>
      </c>
      <c r="BF447" s="0" t="s">
        <v>130</v>
      </c>
      <c r="BG447" s="0" t="s">
        <v>130</v>
      </c>
      <c r="BH447" s="0" t="s">
        <v>130</v>
      </c>
      <c r="BI447" s="0" t="s">
        <v>130</v>
      </c>
      <c r="BJ447" s="0" t="s">
        <v>130</v>
      </c>
      <c r="BK447" s="0" t="s">
        <v>130</v>
      </c>
      <c r="BL447" s="0" t="s">
        <v>130</v>
      </c>
      <c r="BM447" s="0" t="s">
        <v>130</v>
      </c>
      <c r="BN447" s="0" t="s">
        <v>130</v>
      </c>
      <c r="BO447" s="0" t="s">
        <v>130</v>
      </c>
      <c r="BP447" s="0" t="s">
        <v>130</v>
      </c>
      <c r="BQ447" s="0" t="s">
        <v>130</v>
      </c>
      <c r="BR447" s="0" t="s">
        <v>130</v>
      </c>
      <c r="BS447" s="0" t="s">
        <v>130</v>
      </c>
      <c r="BT447" s="0" t="s">
        <v>130</v>
      </c>
      <c r="BU447" s="0" t="s">
        <v>130</v>
      </c>
      <c r="BV447" s="0" t="s">
        <v>130</v>
      </c>
      <c r="BW447" s="0" t="s">
        <v>130</v>
      </c>
      <c r="BX447" s="0" t="s">
        <v>130</v>
      </c>
      <c r="BY447" s="0" t="s">
        <v>130</v>
      </c>
      <c r="BZ447" s="0" t="s">
        <v>130</v>
      </c>
      <c r="CA447" s="0" t="s">
        <v>130</v>
      </c>
      <c r="CB447" s="0" t="s">
        <v>130</v>
      </c>
      <c r="CC447" s="0" t="s">
        <v>130</v>
      </c>
      <c r="CD447" s="0" t="s">
        <v>130</v>
      </c>
      <c r="CE447" s="0" t="s">
        <v>130</v>
      </c>
      <c r="CF447" s="0" t="s">
        <v>130</v>
      </c>
      <c r="CG447" s="0" t="s">
        <v>130</v>
      </c>
      <c r="CH447" s="0" t="s">
        <v>130</v>
      </c>
      <c r="CI447" s="0" t="s">
        <v>130</v>
      </c>
      <c r="CJ447" s="0" t="s">
        <v>130</v>
      </c>
      <c r="CK447" s="0" t="s">
        <v>130</v>
      </c>
      <c r="CL447" s="0" t="s">
        <v>130</v>
      </c>
      <c r="CM447" s="0" t="s">
        <v>130</v>
      </c>
      <c r="CN447" s="0" t="s">
        <v>130</v>
      </c>
      <c r="CO447" s="0" t="s">
        <v>130</v>
      </c>
      <c r="CP447" s="0" t="s">
        <v>130</v>
      </c>
      <c r="CQ447" s="0" t="s">
        <v>130</v>
      </c>
      <c r="CR447" s="0" t="s">
        <v>130</v>
      </c>
      <c r="CS447" s="0" t="s">
        <v>130</v>
      </c>
      <c r="CT447" s="0" t="s">
        <v>1554</v>
      </c>
    </row>
    <row r="448">
      <c r="A448" s="14">
        <v>101254</v>
      </c>
      <c r="B448" s="0" t="s">
        <v>1531</v>
      </c>
      <c r="C448" s="16">
        <f>HYPERLINK("https://eosportal.federatedhermes.com/companies/Q29tcGFueQppNTg5NjY=", "Repsol SA")</f>
      </c>
      <c r="D448" s="0" t="s">
        <v>25</v>
      </c>
      <c r="E448" s="0" t="s">
        <v>1555</v>
      </c>
      <c r="F448" s="16">
        <f>HYPERLINK("https://eosportal.federatedhermes.com/engagements/RW5nYWdlbWVudAppMjA0NDM=", "Address over-committed board members")</f>
      </c>
      <c r="G448" s="14"/>
      <c r="H448" s="0" t="s">
        <v>141</v>
      </c>
      <c r="I448" s="14" t="s">
        <v>191</v>
      </c>
      <c r="J448" s="0" t="s">
        <v>145</v>
      </c>
      <c r="K448" s="0" t="s">
        <v>164</v>
      </c>
      <c r="L448" s="0" t="s">
        <v>165</v>
      </c>
      <c r="M448" s="0" t="s">
        <v>378</v>
      </c>
      <c r="N448" s="0" t="s">
        <v>379</v>
      </c>
      <c r="O448" s="0" t="s">
        <v>542</v>
      </c>
      <c r="Q448" s="0" t="s">
        <v>130</v>
      </c>
      <c r="R448" s="0" t="s">
        <v>138</v>
      </c>
      <c r="S448" s="14">
        <v>0</v>
      </c>
      <c r="T448" s="0" t="s">
        <v>278</v>
      </c>
      <c r="U448" s="0" t="s">
        <v>138</v>
      </c>
      <c r="V448" s="14" t="s">
        <v>138</v>
      </c>
      <c r="W448" s="0" t="s">
        <v>138</v>
      </c>
      <c r="X448" s="14" t="s">
        <v>138</v>
      </c>
      <c r="Y448" s="0" t="s">
        <v>138</v>
      </c>
      <c r="Z448" s="14" t="s">
        <v>138</v>
      </c>
      <c r="AA448" s="0" t="s">
        <v>138</v>
      </c>
      <c r="AB448" s="14" t="s">
        <v>138</v>
      </c>
      <c r="AD448" s="0" t="s">
        <v>138</v>
      </c>
      <c r="AF448" s="0">
        <v>0</v>
      </c>
      <c r="AG448" s="0">
        <v>0</v>
      </c>
      <c r="AH448" s="0" t="s">
        <v>140</v>
      </c>
      <c r="AI448" s="0" t="s">
        <v>138</v>
      </c>
      <c r="AL448" s="14"/>
      <c r="AN448" s="14"/>
      <c r="AQ448" s="0" t="s">
        <v>130</v>
      </c>
      <c r="AR448" s="0" t="s">
        <v>130</v>
      </c>
      <c r="AS448" s="0" t="s">
        <v>130</v>
      </c>
      <c r="AT448" s="0" t="s">
        <v>130</v>
      </c>
      <c r="AU448" s="0" t="s">
        <v>130</v>
      </c>
      <c r="AV448" s="0" t="s">
        <v>130</v>
      </c>
      <c r="AW448" s="0" t="s">
        <v>130</v>
      </c>
      <c r="AX448" s="0" t="s">
        <v>130</v>
      </c>
      <c r="AY448" s="0" t="s">
        <v>130</v>
      </c>
      <c r="AZ448" s="0" t="s">
        <v>130</v>
      </c>
      <c r="BA448" s="0" t="s">
        <v>130</v>
      </c>
      <c r="BB448" s="0" t="s">
        <v>130</v>
      </c>
      <c r="BC448" s="0" t="s">
        <v>130</v>
      </c>
      <c r="BD448" s="0" t="s">
        <v>130</v>
      </c>
      <c r="BE448" s="0" t="s">
        <v>130</v>
      </c>
      <c r="BF448" s="0" t="s">
        <v>130</v>
      </c>
      <c r="BG448" s="0" t="s">
        <v>130</v>
      </c>
      <c r="BH448" s="0" t="s">
        <v>130</v>
      </c>
      <c r="BI448" s="0" t="s">
        <v>130</v>
      </c>
      <c r="BJ448" s="0" t="s">
        <v>130</v>
      </c>
      <c r="BK448" s="0" t="s">
        <v>130</v>
      </c>
      <c r="BL448" s="0" t="s">
        <v>130</v>
      </c>
      <c r="BM448" s="0" t="s">
        <v>130</v>
      </c>
      <c r="BN448" s="0" t="s">
        <v>130</v>
      </c>
      <c r="BO448" s="0" t="s">
        <v>130</v>
      </c>
      <c r="BP448" s="0" t="s">
        <v>130</v>
      </c>
      <c r="BQ448" s="0" t="s">
        <v>130</v>
      </c>
      <c r="BR448" s="0" t="s">
        <v>130</v>
      </c>
      <c r="BS448" s="0" t="s">
        <v>130</v>
      </c>
      <c r="BT448" s="0" t="s">
        <v>130</v>
      </c>
      <c r="BU448" s="0" t="s">
        <v>130</v>
      </c>
      <c r="BV448" s="0" t="s">
        <v>130</v>
      </c>
      <c r="BW448" s="0" t="s">
        <v>130</v>
      </c>
      <c r="BX448" s="0" t="s">
        <v>130</v>
      </c>
      <c r="BY448" s="0" t="s">
        <v>130</v>
      </c>
      <c r="BZ448" s="0" t="s">
        <v>130</v>
      </c>
      <c r="CA448" s="0" t="s">
        <v>130</v>
      </c>
      <c r="CB448" s="0" t="s">
        <v>130</v>
      </c>
      <c r="CC448" s="0" t="s">
        <v>130</v>
      </c>
      <c r="CD448" s="0" t="s">
        <v>130</v>
      </c>
      <c r="CE448" s="0" t="s">
        <v>130</v>
      </c>
      <c r="CF448" s="0" t="s">
        <v>130</v>
      </c>
      <c r="CG448" s="0" t="s">
        <v>130</v>
      </c>
      <c r="CH448" s="0" t="s">
        <v>130</v>
      </c>
      <c r="CI448" s="0" t="s">
        <v>130</v>
      </c>
      <c r="CJ448" s="0" t="s">
        <v>130</v>
      </c>
      <c r="CK448" s="0" t="s">
        <v>130</v>
      </c>
      <c r="CL448" s="0" t="s">
        <v>130</v>
      </c>
      <c r="CM448" s="0" t="s">
        <v>130</v>
      </c>
      <c r="CN448" s="0" t="s">
        <v>130</v>
      </c>
      <c r="CO448" s="0" t="s">
        <v>130</v>
      </c>
      <c r="CP448" s="0" t="s">
        <v>130</v>
      </c>
      <c r="CQ448" s="0" t="s">
        <v>130</v>
      </c>
      <c r="CR448" s="0" t="s">
        <v>130</v>
      </c>
      <c r="CS448" s="0" t="s">
        <v>130</v>
      </c>
      <c r="CT448" s="0" t="s">
        <v>1556</v>
      </c>
    </row>
    <row r="449">
      <c r="A449" s="14">
        <v>101254</v>
      </c>
      <c r="B449" s="0" t="s">
        <v>1531</v>
      </c>
      <c r="C449" s="16">
        <f>HYPERLINK("https://eosportal.federatedhermes.com/companies/Q29tcGFueQppNTg5NjY=", "Repsol SA")</f>
      </c>
      <c r="D449" s="0" t="s">
        <v>25</v>
      </c>
      <c r="E449" s="0" t="s">
        <v>1557</v>
      </c>
      <c r="F449" s="16">
        <f>HYPERLINK("https://eosportal.federatedhermes.com/engagements/RW5nYWdlbWVudAppMjA0NDQ=", "Viability of Trans-Alaska Pipeline")</f>
      </c>
      <c r="G449" s="14" t="s">
        <v>1558</v>
      </c>
      <c r="H449" s="0" t="s">
        <v>141</v>
      </c>
      <c r="I449" s="14" t="s">
        <v>191</v>
      </c>
      <c r="J449" s="0" t="s">
        <v>197</v>
      </c>
      <c r="K449" s="0" t="s">
        <v>348</v>
      </c>
      <c r="L449" s="0" t="s">
        <v>650</v>
      </c>
      <c r="M449" s="0" t="s">
        <v>378</v>
      </c>
      <c r="N449" s="0" t="s">
        <v>379</v>
      </c>
      <c r="O449" s="0" t="s">
        <v>542</v>
      </c>
      <c r="Q449" s="0" t="s">
        <v>130</v>
      </c>
      <c r="R449" s="0" t="s">
        <v>138</v>
      </c>
      <c r="S449" s="14">
        <v>0</v>
      </c>
      <c r="T449" s="0" t="s">
        <v>343</v>
      </c>
      <c r="U449" s="0" t="s">
        <v>138</v>
      </c>
      <c r="V449" s="14" t="s">
        <v>138</v>
      </c>
      <c r="W449" s="0" t="s">
        <v>138</v>
      </c>
      <c r="X449" s="14" t="s">
        <v>138</v>
      </c>
      <c r="Y449" s="0" t="s">
        <v>138</v>
      </c>
      <c r="Z449" s="14" t="s">
        <v>138</v>
      </c>
      <c r="AA449" s="0" t="s">
        <v>138</v>
      </c>
      <c r="AB449" s="14" t="s">
        <v>138</v>
      </c>
      <c r="AD449" s="0" t="s">
        <v>138</v>
      </c>
      <c r="AF449" s="0">
        <v>0</v>
      </c>
      <c r="AG449" s="0">
        <v>0</v>
      </c>
      <c r="AH449" s="0" t="s">
        <v>140</v>
      </c>
      <c r="AI449" s="0" t="s">
        <v>138</v>
      </c>
      <c r="AL449" s="14"/>
      <c r="AN449" s="14"/>
      <c r="AQ449" s="0" t="s">
        <v>130</v>
      </c>
      <c r="AR449" s="0" t="s">
        <v>130</v>
      </c>
      <c r="AS449" s="0" t="s">
        <v>130</v>
      </c>
      <c r="AT449" s="0" t="s">
        <v>130</v>
      </c>
      <c r="AU449" s="0" t="s">
        <v>130</v>
      </c>
      <c r="AV449" s="0" t="s">
        <v>130</v>
      </c>
      <c r="AW449" s="0" t="s">
        <v>130</v>
      </c>
      <c r="AX449" s="0" t="s">
        <v>130</v>
      </c>
      <c r="AY449" s="0" t="s">
        <v>130</v>
      </c>
      <c r="AZ449" s="0" t="s">
        <v>130</v>
      </c>
      <c r="BA449" s="0" t="s">
        <v>130</v>
      </c>
      <c r="BB449" s="0" t="s">
        <v>141</v>
      </c>
      <c r="BC449" s="0" t="s">
        <v>141</v>
      </c>
      <c r="BD449" s="0" t="s">
        <v>130</v>
      </c>
      <c r="BE449" s="0" t="s">
        <v>130</v>
      </c>
      <c r="BF449" s="0" t="s">
        <v>130</v>
      </c>
      <c r="BG449" s="0" t="s">
        <v>130</v>
      </c>
      <c r="BH449" s="0" t="s">
        <v>130</v>
      </c>
      <c r="BI449" s="0" t="s">
        <v>130</v>
      </c>
      <c r="BJ449" s="0" t="s">
        <v>130</v>
      </c>
      <c r="BK449" s="0" t="s">
        <v>130</v>
      </c>
      <c r="BL449" s="0" t="s">
        <v>130</v>
      </c>
      <c r="BM449" s="0" t="s">
        <v>130</v>
      </c>
      <c r="BN449" s="0" t="s">
        <v>130</v>
      </c>
      <c r="BO449" s="0" t="s">
        <v>130</v>
      </c>
      <c r="BP449" s="0" t="s">
        <v>130</v>
      </c>
      <c r="BQ449" s="0" t="s">
        <v>130</v>
      </c>
      <c r="BR449" s="0" t="s">
        <v>130</v>
      </c>
      <c r="BS449" s="0" t="s">
        <v>130</v>
      </c>
      <c r="BT449" s="0" t="s">
        <v>130</v>
      </c>
      <c r="BU449" s="0" t="s">
        <v>130</v>
      </c>
      <c r="BV449" s="0" t="s">
        <v>130</v>
      </c>
      <c r="BW449" s="0" t="s">
        <v>130</v>
      </c>
      <c r="BX449" s="0" t="s">
        <v>130</v>
      </c>
      <c r="BY449" s="0" t="s">
        <v>130</v>
      </c>
      <c r="BZ449" s="0" t="s">
        <v>130</v>
      </c>
      <c r="CA449" s="0" t="s">
        <v>130</v>
      </c>
      <c r="CB449" s="0" t="s">
        <v>130</v>
      </c>
      <c r="CC449" s="0" t="s">
        <v>130</v>
      </c>
      <c r="CD449" s="0" t="s">
        <v>130</v>
      </c>
      <c r="CE449" s="0" t="s">
        <v>130</v>
      </c>
      <c r="CF449" s="0" t="s">
        <v>130</v>
      </c>
      <c r="CG449" s="0" t="s">
        <v>130</v>
      </c>
      <c r="CH449" s="0" t="s">
        <v>130</v>
      </c>
      <c r="CI449" s="0" t="s">
        <v>130</v>
      </c>
      <c r="CJ449" s="0" t="s">
        <v>130</v>
      </c>
      <c r="CK449" s="0" t="s">
        <v>130</v>
      </c>
      <c r="CL449" s="0" t="s">
        <v>130</v>
      </c>
      <c r="CM449" s="0" t="s">
        <v>130</v>
      </c>
      <c r="CN449" s="0" t="s">
        <v>130</v>
      </c>
      <c r="CO449" s="0" t="s">
        <v>130</v>
      </c>
      <c r="CP449" s="0" t="s">
        <v>130</v>
      </c>
      <c r="CQ449" s="0" t="s">
        <v>130</v>
      </c>
      <c r="CR449" s="0" t="s">
        <v>130</v>
      </c>
      <c r="CS449" s="0" t="s">
        <v>130</v>
      </c>
      <c r="CT449" s="0" t="s">
        <v>1559</v>
      </c>
    </row>
    <row r="450">
      <c r="A450" s="14">
        <v>101254</v>
      </c>
      <c r="B450" s="0" t="s">
        <v>1531</v>
      </c>
      <c r="C450" s="16">
        <f>HYPERLINK("https://eosportal.federatedhermes.com/companies/Q29tcGFueQppNTg5NjY=", "Repsol SA")</f>
      </c>
      <c r="D450" s="0" t="s">
        <v>25</v>
      </c>
      <c r="E450" s="0" t="s">
        <v>1560</v>
      </c>
      <c r="F450" s="16">
        <f>HYPERLINK("https://eosportal.federatedhermes.com/engagements/RW5nYWdlbWVudAppMjA0NDU=", "Voluntary Principles on Security and Human Rights")</f>
      </c>
      <c r="G450" s="14" t="s">
        <v>1561</v>
      </c>
      <c r="H450" s="0" t="s">
        <v>141</v>
      </c>
      <c r="I450" s="14" t="s">
        <v>191</v>
      </c>
      <c r="J450" s="0" t="s">
        <v>153</v>
      </c>
      <c r="K450" s="0" t="s">
        <v>243</v>
      </c>
      <c r="L450" s="0" t="s">
        <v>571</v>
      </c>
      <c r="M450" s="0" t="s">
        <v>378</v>
      </c>
      <c r="N450" s="0" t="s">
        <v>379</v>
      </c>
      <c r="O450" s="0" t="s">
        <v>542</v>
      </c>
      <c r="Q450" s="0" t="s">
        <v>130</v>
      </c>
      <c r="R450" s="0" t="s">
        <v>138</v>
      </c>
      <c r="S450" s="14">
        <v>0</v>
      </c>
      <c r="T450" s="0" t="s">
        <v>825</v>
      </c>
      <c r="U450" s="0" t="s">
        <v>138</v>
      </c>
      <c r="V450" s="14" t="s">
        <v>138</v>
      </c>
      <c r="W450" s="0" t="s">
        <v>138</v>
      </c>
      <c r="X450" s="14" t="s">
        <v>138</v>
      </c>
      <c r="Y450" s="0" t="s">
        <v>138</v>
      </c>
      <c r="Z450" s="14" t="s">
        <v>138</v>
      </c>
      <c r="AA450" s="0" t="s">
        <v>138</v>
      </c>
      <c r="AB450" s="14" t="s">
        <v>138</v>
      </c>
      <c r="AD450" s="0" t="s">
        <v>138</v>
      </c>
      <c r="AF450" s="0">
        <v>0</v>
      </c>
      <c r="AG450" s="0">
        <v>0</v>
      </c>
      <c r="AH450" s="0" t="s">
        <v>140</v>
      </c>
      <c r="AI450" s="0" t="s">
        <v>138</v>
      </c>
      <c r="AL450" s="14"/>
      <c r="AN450" s="14"/>
      <c r="AQ450" s="0" t="s">
        <v>130</v>
      </c>
      <c r="AR450" s="0" t="s">
        <v>130</v>
      </c>
      <c r="AS450" s="0" t="s">
        <v>130</v>
      </c>
      <c r="AT450" s="0" t="s">
        <v>130</v>
      </c>
      <c r="AU450" s="0" t="s">
        <v>130</v>
      </c>
      <c r="AV450" s="0" t="s">
        <v>130</v>
      </c>
      <c r="AW450" s="0" t="s">
        <v>130</v>
      </c>
      <c r="AX450" s="0" t="s">
        <v>130</v>
      </c>
      <c r="AY450" s="0" t="s">
        <v>130</v>
      </c>
      <c r="AZ450" s="0" t="s">
        <v>130</v>
      </c>
      <c r="BA450" s="0" t="s">
        <v>130</v>
      </c>
      <c r="BB450" s="0" t="s">
        <v>130</v>
      </c>
      <c r="BC450" s="0" t="s">
        <v>130</v>
      </c>
      <c r="BD450" s="0" t="s">
        <v>130</v>
      </c>
      <c r="BE450" s="0" t="s">
        <v>130</v>
      </c>
      <c r="BF450" s="0" t="s">
        <v>130</v>
      </c>
      <c r="BG450" s="0" t="s">
        <v>130</v>
      </c>
      <c r="BH450" s="0" t="s">
        <v>130</v>
      </c>
      <c r="BI450" s="0" t="s">
        <v>130</v>
      </c>
      <c r="BJ450" s="0" t="s">
        <v>130</v>
      </c>
      <c r="BK450" s="0" t="s">
        <v>130</v>
      </c>
      <c r="BL450" s="0" t="s">
        <v>130</v>
      </c>
      <c r="BM450" s="0" t="s">
        <v>130</v>
      </c>
      <c r="BN450" s="0" t="s">
        <v>130</v>
      </c>
      <c r="BO450" s="0" t="s">
        <v>130</v>
      </c>
      <c r="BP450" s="0" t="s">
        <v>130</v>
      </c>
      <c r="BQ450" s="0" t="s">
        <v>130</v>
      </c>
      <c r="BR450" s="0" t="s">
        <v>130</v>
      </c>
      <c r="BS450" s="0" t="s">
        <v>130</v>
      </c>
      <c r="BT450" s="0" t="s">
        <v>130</v>
      </c>
      <c r="BU450" s="0" t="s">
        <v>130</v>
      </c>
      <c r="BV450" s="0" t="s">
        <v>130</v>
      </c>
      <c r="BW450" s="0" t="s">
        <v>130</v>
      </c>
      <c r="BX450" s="0" t="s">
        <v>130</v>
      </c>
      <c r="BY450" s="0" t="s">
        <v>130</v>
      </c>
      <c r="BZ450" s="0" t="s">
        <v>130</v>
      </c>
      <c r="CA450" s="0" t="s">
        <v>130</v>
      </c>
      <c r="CB450" s="0" t="s">
        <v>130</v>
      </c>
      <c r="CC450" s="0" t="s">
        <v>130</v>
      </c>
      <c r="CD450" s="0" t="s">
        <v>130</v>
      </c>
      <c r="CE450" s="0" t="s">
        <v>130</v>
      </c>
      <c r="CF450" s="0" t="s">
        <v>130</v>
      </c>
      <c r="CG450" s="0" t="s">
        <v>130</v>
      </c>
      <c r="CH450" s="0" t="s">
        <v>130</v>
      </c>
      <c r="CI450" s="0" t="s">
        <v>130</v>
      </c>
      <c r="CJ450" s="0" t="s">
        <v>130</v>
      </c>
      <c r="CK450" s="0" t="s">
        <v>130</v>
      </c>
      <c r="CL450" s="0" t="s">
        <v>130</v>
      </c>
      <c r="CM450" s="0" t="s">
        <v>130</v>
      </c>
      <c r="CN450" s="0" t="s">
        <v>130</v>
      </c>
      <c r="CO450" s="0" t="s">
        <v>130</v>
      </c>
      <c r="CP450" s="0" t="s">
        <v>130</v>
      </c>
      <c r="CQ450" s="0" t="s">
        <v>130</v>
      </c>
      <c r="CR450" s="0" t="s">
        <v>130</v>
      </c>
      <c r="CS450" s="0" t="s">
        <v>130</v>
      </c>
      <c r="CT450" s="0" t="s">
        <v>1562</v>
      </c>
    </row>
    <row r="451">
      <c r="A451" s="14">
        <v>101254</v>
      </c>
      <c r="B451" s="0" t="s">
        <v>1531</v>
      </c>
      <c r="C451" s="16">
        <f>HYPERLINK("https://eosportal.federatedhermes.com/companies/Q29tcGFueQppNTg5NjY=", "Repsol SA")</f>
      </c>
      <c r="D451" s="0" t="s">
        <v>25</v>
      </c>
      <c r="E451" s="0" t="s">
        <v>1563</v>
      </c>
      <c r="F451" s="16">
        <f>HYPERLINK("https://eosportal.federatedhermes.com/engagements/RW5nYWdlbWVudAppMjA0NDY=", "Repsol YPF Business strategy")</f>
      </c>
      <c r="G451" s="14" t="s">
        <v>1564</v>
      </c>
      <c r="H451" s="0" t="s">
        <v>141</v>
      </c>
      <c r="I451" s="14" t="s">
        <v>191</v>
      </c>
      <c r="J451" s="0" t="s">
        <v>132</v>
      </c>
      <c r="K451" s="0" t="s">
        <v>133</v>
      </c>
      <c r="L451" s="0" t="s">
        <v>160</v>
      </c>
      <c r="M451" s="0" t="s">
        <v>378</v>
      </c>
      <c r="N451" s="0" t="s">
        <v>379</v>
      </c>
      <c r="O451" s="0" t="s">
        <v>542</v>
      </c>
      <c r="Q451" s="0" t="s">
        <v>130</v>
      </c>
      <c r="R451" s="0" t="s">
        <v>138</v>
      </c>
      <c r="S451" s="14">
        <v>0</v>
      </c>
      <c r="T451" s="0" t="s">
        <v>1321</v>
      </c>
      <c r="U451" s="0" t="s">
        <v>138</v>
      </c>
      <c r="V451" s="14" t="s">
        <v>138</v>
      </c>
      <c r="W451" s="0" t="s">
        <v>138</v>
      </c>
      <c r="X451" s="14" t="s">
        <v>138</v>
      </c>
      <c r="Y451" s="0" t="s">
        <v>138</v>
      </c>
      <c r="Z451" s="14" t="s">
        <v>138</v>
      </c>
      <c r="AA451" s="0" t="s">
        <v>138</v>
      </c>
      <c r="AB451" s="14" t="s">
        <v>138</v>
      </c>
      <c r="AD451" s="0" t="s">
        <v>138</v>
      </c>
      <c r="AF451" s="0">
        <v>0</v>
      </c>
      <c r="AG451" s="0">
        <v>0</v>
      </c>
      <c r="AH451" s="0" t="s">
        <v>140</v>
      </c>
      <c r="AI451" s="0" t="s">
        <v>138</v>
      </c>
      <c r="AL451" s="14"/>
      <c r="AN451" s="14"/>
      <c r="AQ451" s="0" t="s">
        <v>130</v>
      </c>
      <c r="AR451" s="0" t="s">
        <v>130</v>
      </c>
      <c r="AS451" s="0" t="s">
        <v>130</v>
      </c>
      <c r="AT451" s="0" t="s">
        <v>130</v>
      </c>
      <c r="AU451" s="0" t="s">
        <v>130</v>
      </c>
      <c r="AV451" s="0" t="s">
        <v>130</v>
      </c>
      <c r="AW451" s="0" t="s">
        <v>130</v>
      </c>
      <c r="AX451" s="0" t="s">
        <v>130</v>
      </c>
      <c r="AY451" s="0" t="s">
        <v>130</v>
      </c>
      <c r="AZ451" s="0" t="s">
        <v>130</v>
      </c>
      <c r="BA451" s="0" t="s">
        <v>130</v>
      </c>
      <c r="BB451" s="0" t="s">
        <v>130</v>
      </c>
      <c r="BC451" s="0" t="s">
        <v>130</v>
      </c>
      <c r="BD451" s="0" t="s">
        <v>130</v>
      </c>
      <c r="BE451" s="0" t="s">
        <v>130</v>
      </c>
      <c r="BF451" s="0" t="s">
        <v>130</v>
      </c>
      <c r="BG451" s="0" t="s">
        <v>130</v>
      </c>
      <c r="BH451" s="0" t="s">
        <v>130</v>
      </c>
      <c r="BI451" s="0" t="s">
        <v>130</v>
      </c>
      <c r="BJ451" s="0" t="s">
        <v>130</v>
      </c>
      <c r="BK451" s="0" t="s">
        <v>130</v>
      </c>
      <c r="BL451" s="0" t="s">
        <v>130</v>
      </c>
      <c r="BM451" s="0" t="s">
        <v>130</v>
      </c>
      <c r="BN451" s="0" t="s">
        <v>130</v>
      </c>
      <c r="BO451" s="0" t="s">
        <v>130</v>
      </c>
      <c r="BP451" s="0" t="s">
        <v>130</v>
      </c>
      <c r="BQ451" s="0" t="s">
        <v>130</v>
      </c>
      <c r="BR451" s="0" t="s">
        <v>130</v>
      </c>
      <c r="BS451" s="0" t="s">
        <v>130</v>
      </c>
      <c r="BT451" s="0" t="s">
        <v>130</v>
      </c>
      <c r="BU451" s="0" t="s">
        <v>130</v>
      </c>
      <c r="BV451" s="0" t="s">
        <v>130</v>
      </c>
      <c r="BW451" s="0" t="s">
        <v>130</v>
      </c>
      <c r="BX451" s="0" t="s">
        <v>130</v>
      </c>
      <c r="BY451" s="0" t="s">
        <v>130</v>
      </c>
      <c r="BZ451" s="0" t="s">
        <v>130</v>
      </c>
      <c r="CA451" s="0" t="s">
        <v>130</v>
      </c>
      <c r="CB451" s="0" t="s">
        <v>130</v>
      </c>
      <c r="CC451" s="0" t="s">
        <v>130</v>
      </c>
      <c r="CD451" s="0" t="s">
        <v>130</v>
      </c>
      <c r="CE451" s="0" t="s">
        <v>130</v>
      </c>
      <c r="CF451" s="0" t="s">
        <v>130</v>
      </c>
      <c r="CG451" s="0" t="s">
        <v>130</v>
      </c>
      <c r="CH451" s="0" t="s">
        <v>130</v>
      </c>
      <c r="CI451" s="0" t="s">
        <v>130</v>
      </c>
      <c r="CJ451" s="0" t="s">
        <v>130</v>
      </c>
      <c r="CK451" s="0" t="s">
        <v>130</v>
      </c>
      <c r="CL451" s="0" t="s">
        <v>130</v>
      </c>
      <c r="CM451" s="0" t="s">
        <v>130</v>
      </c>
      <c r="CN451" s="0" t="s">
        <v>130</v>
      </c>
      <c r="CO451" s="0" t="s">
        <v>130</v>
      </c>
      <c r="CP451" s="0" t="s">
        <v>130</v>
      </c>
      <c r="CQ451" s="0" t="s">
        <v>130</v>
      </c>
      <c r="CR451" s="0" t="s">
        <v>130</v>
      </c>
      <c r="CS451" s="0" t="s">
        <v>130</v>
      </c>
      <c r="CT451" s="0" t="s">
        <v>1565</v>
      </c>
    </row>
    <row r="452">
      <c r="A452" s="14">
        <v>101372</v>
      </c>
      <c r="B452" s="0" t="s">
        <v>1566</v>
      </c>
      <c r="C452" s="16">
        <f>HYPERLINK("https://eosportal.federatedhermes.com/companies/Q29tcGFueQppNjI0NjU=", "Truist Financial Corp")</f>
      </c>
      <c r="D452" s="0" t="s">
        <v>25</v>
      </c>
      <c r="E452" s="0" t="s">
        <v>1567</v>
      </c>
      <c r="F452" s="16">
        <f>HYPERLINK("https://eosportal.federatedhermes.com/engagements/RW5nYWdlbWVudAppMjA0NDg=", "CEO/Chair separation")</f>
      </c>
      <c r="G452" s="14" t="s">
        <v>1568</v>
      </c>
      <c r="H452" s="0" t="s">
        <v>130</v>
      </c>
      <c r="I452" s="14" t="s">
        <v>131</v>
      </c>
      <c r="J452" s="0" t="s">
        <v>145</v>
      </c>
      <c r="K452" s="0" t="s">
        <v>164</v>
      </c>
      <c r="L452" s="0" t="s">
        <v>165</v>
      </c>
      <c r="M452" s="0" t="s">
        <v>135</v>
      </c>
      <c r="N452" s="0" t="s">
        <v>136</v>
      </c>
      <c r="O452" s="0" t="s">
        <v>238</v>
      </c>
      <c r="Q452" s="0" t="s">
        <v>130</v>
      </c>
      <c r="R452" s="0" t="s">
        <v>138</v>
      </c>
      <c r="S452" s="14">
        <v>0</v>
      </c>
      <c r="T452" s="0" t="s">
        <v>457</v>
      </c>
      <c r="U452" s="0" t="s">
        <v>138</v>
      </c>
      <c r="V452" s="14" t="s">
        <v>138</v>
      </c>
      <c r="W452" s="0" t="s">
        <v>138</v>
      </c>
      <c r="X452" s="14" t="s">
        <v>138</v>
      </c>
      <c r="Y452" s="0" t="s">
        <v>138</v>
      </c>
      <c r="Z452" s="14" t="s">
        <v>138</v>
      </c>
      <c r="AA452" s="0" t="s">
        <v>138</v>
      </c>
      <c r="AB452" s="14" t="s">
        <v>138</v>
      </c>
      <c r="AD452" s="0" t="s">
        <v>138</v>
      </c>
      <c r="AF452" s="0">
        <v>0</v>
      </c>
      <c r="AG452" s="0">
        <v>0</v>
      </c>
      <c r="AH452" s="0" t="s">
        <v>140</v>
      </c>
      <c r="AI452" s="0" t="s">
        <v>138</v>
      </c>
      <c r="AL452" s="14"/>
      <c r="AN452" s="14"/>
      <c r="AQ452" s="0" t="s">
        <v>130</v>
      </c>
      <c r="AR452" s="0" t="s">
        <v>130</v>
      </c>
      <c r="AS452" s="0" t="s">
        <v>130</v>
      </c>
      <c r="AT452" s="0" t="s">
        <v>130</v>
      </c>
      <c r="AU452" s="0" t="s">
        <v>130</v>
      </c>
      <c r="AV452" s="0" t="s">
        <v>130</v>
      </c>
      <c r="AW452" s="0" t="s">
        <v>130</v>
      </c>
      <c r="AX452" s="0" t="s">
        <v>130</v>
      </c>
      <c r="AY452" s="0" t="s">
        <v>130</v>
      </c>
      <c r="AZ452" s="0" t="s">
        <v>130</v>
      </c>
      <c r="BA452" s="0" t="s">
        <v>130</v>
      </c>
      <c r="BB452" s="0" t="s">
        <v>130</v>
      </c>
      <c r="BC452" s="0" t="s">
        <v>130</v>
      </c>
      <c r="BD452" s="0" t="s">
        <v>130</v>
      </c>
      <c r="BE452" s="0" t="s">
        <v>130</v>
      </c>
      <c r="BF452" s="0" t="s">
        <v>130</v>
      </c>
      <c r="BG452" s="0" t="s">
        <v>130</v>
      </c>
      <c r="BH452" s="0" t="s">
        <v>130</v>
      </c>
      <c r="BI452" s="0" t="s">
        <v>130</v>
      </c>
      <c r="BJ452" s="0" t="s">
        <v>130</v>
      </c>
      <c r="BK452" s="0" t="s">
        <v>130</v>
      </c>
      <c r="BL452" s="0" t="s">
        <v>130</v>
      </c>
      <c r="BM452" s="0" t="s">
        <v>130</v>
      </c>
      <c r="BN452" s="0" t="s">
        <v>130</v>
      </c>
      <c r="BO452" s="0" t="s">
        <v>130</v>
      </c>
      <c r="BP452" s="0" t="s">
        <v>130</v>
      </c>
      <c r="BQ452" s="0" t="s">
        <v>130</v>
      </c>
      <c r="BR452" s="0" t="s">
        <v>130</v>
      </c>
      <c r="BS452" s="0" t="s">
        <v>130</v>
      </c>
      <c r="BT452" s="0" t="s">
        <v>130</v>
      </c>
      <c r="BU452" s="0" t="s">
        <v>130</v>
      </c>
      <c r="BV452" s="0" t="s">
        <v>130</v>
      </c>
      <c r="BW452" s="0" t="s">
        <v>130</v>
      </c>
      <c r="BX452" s="0" t="s">
        <v>130</v>
      </c>
      <c r="BY452" s="0" t="s">
        <v>130</v>
      </c>
      <c r="BZ452" s="0" t="s">
        <v>130</v>
      </c>
      <c r="CA452" s="0" t="s">
        <v>130</v>
      </c>
      <c r="CB452" s="0" t="s">
        <v>130</v>
      </c>
      <c r="CC452" s="0" t="s">
        <v>130</v>
      </c>
      <c r="CD452" s="0" t="s">
        <v>130</v>
      </c>
      <c r="CE452" s="0" t="s">
        <v>130</v>
      </c>
      <c r="CF452" s="0" t="s">
        <v>130</v>
      </c>
      <c r="CG452" s="0" t="s">
        <v>130</v>
      </c>
      <c r="CH452" s="0" t="s">
        <v>130</v>
      </c>
      <c r="CI452" s="0" t="s">
        <v>130</v>
      </c>
      <c r="CJ452" s="0" t="s">
        <v>130</v>
      </c>
      <c r="CK452" s="0" t="s">
        <v>130</v>
      </c>
      <c r="CL452" s="0" t="s">
        <v>130</v>
      </c>
      <c r="CM452" s="0" t="s">
        <v>130</v>
      </c>
      <c r="CN452" s="0" t="s">
        <v>130</v>
      </c>
      <c r="CO452" s="0" t="s">
        <v>130</v>
      </c>
      <c r="CP452" s="0" t="s">
        <v>130</v>
      </c>
      <c r="CQ452" s="0" t="s">
        <v>130</v>
      </c>
      <c r="CR452" s="0" t="s">
        <v>130</v>
      </c>
      <c r="CS452" s="0" t="s">
        <v>130</v>
      </c>
      <c r="CT452" s="0" t="s">
        <v>1569</v>
      </c>
    </row>
    <row r="453">
      <c r="A453" s="14">
        <v>101372</v>
      </c>
      <c r="B453" s="0" t="s">
        <v>1566</v>
      </c>
      <c r="C453" s="16">
        <f>HYPERLINK("https://eosportal.federatedhermes.com/companies/Q29tcGFueQppNjI0NjU=", "Truist Financial Corp")</f>
      </c>
      <c r="D453" s="0" t="s">
        <v>25</v>
      </c>
      <c r="E453" s="0" t="s">
        <v>1570</v>
      </c>
      <c r="F453" s="16">
        <f>HYPERLINK("https://eosportal.federatedhermes.com/engagements/RW5nYWdlbWVudAppMjA0NDk=", "Clawback policy")</f>
      </c>
      <c r="G453" s="14" t="s">
        <v>1571</v>
      </c>
      <c r="H453" s="0" t="s">
        <v>130</v>
      </c>
      <c r="I453" s="14" t="s">
        <v>131</v>
      </c>
      <c r="J453" s="0" t="s">
        <v>145</v>
      </c>
      <c r="K453" s="0" t="s">
        <v>146</v>
      </c>
      <c r="L453" s="0" t="s">
        <v>147</v>
      </c>
      <c r="M453" s="0" t="s">
        <v>135</v>
      </c>
      <c r="N453" s="0" t="s">
        <v>136</v>
      </c>
      <c r="O453" s="0" t="s">
        <v>238</v>
      </c>
      <c r="Q453" s="0" t="s">
        <v>130</v>
      </c>
      <c r="R453" s="0" t="s">
        <v>138</v>
      </c>
      <c r="S453" s="14">
        <v>0</v>
      </c>
      <c r="T453" s="0" t="s">
        <v>181</v>
      </c>
      <c r="U453" s="0" t="s">
        <v>138</v>
      </c>
      <c r="V453" s="14" t="s">
        <v>138</v>
      </c>
      <c r="W453" s="0" t="s">
        <v>138</v>
      </c>
      <c r="X453" s="14" t="s">
        <v>138</v>
      </c>
      <c r="Y453" s="0" t="s">
        <v>138</v>
      </c>
      <c r="Z453" s="14" t="s">
        <v>138</v>
      </c>
      <c r="AA453" s="0" t="s">
        <v>138</v>
      </c>
      <c r="AB453" s="14" t="s">
        <v>138</v>
      </c>
      <c r="AD453" s="0" t="s">
        <v>138</v>
      </c>
      <c r="AF453" s="0">
        <v>0</v>
      </c>
      <c r="AG453" s="0">
        <v>0</v>
      </c>
      <c r="AH453" s="0" t="s">
        <v>140</v>
      </c>
      <c r="AI453" s="0" t="s">
        <v>138</v>
      </c>
      <c r="AL453" s="14"/>
      <c r="AN453" s="14"/>
      <c r="AQ453" s="0" t="s">
        <v>130</v>
      </c>
      <c r="AR453" s="0" t="s">
        <v>130</v>
      </c>
      <c r="AS453" s="0" t="s">
        <v>130</v>
      </c>
      <c r="AT453" s="0" t="s">
        <v>130</v>
      </c>
      <c r="AU453" s="0" t="s">
        <v>130</v>
      </c>
      <c r="AV453" s="0" t="s">
        <v>130</v>
      </c>
      <c r="AW453" s="0" t="s">
        <v>130</v>
      </c>
      <c r="AX453" s="0" t="s">
        <v>130</v>
      </c>
      <c r="AY453" s="0" t="s">
        <v>130</v>
      </c>
      <c r="AZ453" s="0" t="s">
        <v>130</v>
      </c>
      <c r="BA453" s="0" t="s">
        <v>130</v>
      </c>
      <c r="BB453" s="0" t="s">
        <v>130</v>
      </c>
      <c r="BC453" s="0" t="s">
        <v>130</v>
      </c>
      <c r="BD453" s="0" t="s">
        <v>130</v>
      </c>
      <c r="BE453" s="0" t="s">
        <v>130</v>
      </c>
      <c r="BF453" s="0" t="s">
        <v>130</v>
      </c>
      <c r="BG453" s="0" t="s">
        <v>130</v>
      </c>
      <c r="BH453" s="0" t="s">
        <v>130</v>
      </c>
      <c r="BI453" s="0" t="s">
        <v>130</v>
      </c>
      <c r="BJ453" s="0" t="s">
        <v>130</v>
      </c>
      <c r="BK453" s="0" t="s">
        <v>130</v>
      </c>
      <c r="BL453" s="0" t="s">
        <v>130</v>
      </c>
      <c r="BM453" s="0" t="s">
        <v>130</v>
      </c>
      <c r="BN453" s="0" t="s">
        <v>130</v>
      </c>
      <c r="BO453" s="0" t="s">
        <v>130</v>
      </c>
      <c r="BP453" s="0" t="s">
        <v>130</v>
      </c>
      <c r="BQ453" s="0" t="s">
        <v>130</v>
      </c>
      <c r="BR453" s="0" t="s">
        <v>130</v>
      </c>
      <c r="BS453" s="0" t="s">
        <v>130</v>
      </c>
      <c r="BT453" s="0" t="s">
        <v>130</v>
      </c>
      <c r="BU453" s="0" t="s">
        <v>130</v>
      </c>
      <c r="BV453" s="0" t="s">
        <v>130</v>
      </c>
      <c r="BW453" s="0" t="s">
        <v>130</v>
      </c>
      <c r="BX453" s="0" t="s">
        <v>130</v>
      </c>
      <c r="BY453" s="0" t="s">
        <v>130</v>
      </c>
      <c r="BZ453" s="0" t="s">
        <v>130</v>
      </c>
      <c r="CA453" s="0" t="s">
        <v>130</v>
      </c>
      <c r="CB453" s="0" t="s">
        <v>130</v>
      </c>
      <c r="CC453" s="0" t="s">
        <v>130</v>
      </c>
      <c r="CD453" s="0" t="s">
        <v>130</v>
      </c>
      <c r="CE453" s="0" t="s">
        <v>130</v>
      </c>
      <c r="CF453" s="0" t="s">
        <v>130</v>
      </c>
      <c r="CG453" s="0" t="s">
        <v>130</v>
      </c>
      <c r="CH453" s="0" t="s">
        <v>130</v>
      </c>
      <c r="CI453" s="0" t="s">
        <v>130</v>
      </c>
      <c r="CJ453" s="0" t="s">
        <v>130</v>
      </c>
      <c r="CK453" s="0" t="s">
        <v>130</v>
      </c>
      <c r="CL453" s="0" t="s">
        <v>130</v>
      </c>
      <c r="CM453" s="0" t="s">
        <v>130</v>
      </c>
      <c r="CN453" s="0" t="s">
        <v>130</v>
      </c>
      <c r="CO453" s="0" t="s">
        <v>130</v>
      </c>
      <c r="CP453" s="0" t="s">
        <v>130</v>
      </c>
      <c r="CQ453" s="0" t="s">
        <v>130</v>
      </c>
      <c r="CR453" s="0" t="s">
        <v>130</v>
      </c>
      <c r="CS453" s="0" t="s">
        <v>130</v>
      </c>
      <c r="CT453" s="0" t="s">
        <v>1572</v>
      </c>
    </row>
    <row r="454">
      <c r="A454" s="14">
        <v>101372</v>
      </c>
      <c r="B454" s="0" t="s">
        <v>1566</v>
      </c>
      <c r="C454" s="16">
        <f>HYPERLINK("https://eosportal.federatedhermes.com/companies/Q29tcGFueQppNjI0NjU=", "Truist Financial Corp")</f>
      </c>
      <c r="D454" s="0" t="s">
        <v>25</v>
      </c>
      <c r="E454" s="0" t="s">
        <v>1573</v>
      </c>
      <c r="F454" s="16">
        <f>HYPERLINK("https://eosportal.federatedhermes.com/engagements/RW5nYWdlbWVudAppMjA0NTA=", "Political engagement")</f>
      </c>
      <c r="G454" s="14" t="s">
        <v>1574</v>
      </c>
      <c r="H454" s="0" t="s">
        <v>130</v>
      </c>
      <c r="I454" s="14" t="s">
        <v>131</v>
      </c>
      <c r="J454" s="0" t="s">
        <v>153</v>
      </c>
      <c r="K454" s="0" t="s">
        <v>185</v>
      </c>
      <c r="L454" s="0" t="s">
        <v>186</v>
      </c>
      <c r="M454" s="0" t="s">
        <v>135</v>
      </c>
      <c r="N454" s="0" t="s">
        <v>136</v>
      </c>
      <c r="O454" s="0" t="s">
        <v>238</v>
      </c>
      <c r="Q454" s="0" t="s">
        <v>130</v>
      </c>
      <c r="R454" s="0" t="s">
        <v>138</v>
      </c>
      <c r="S454" s="14">
        <v>0</v>
      </c>
      <c r="T454" s="0" t="s">
        <v>181</v>
      </c>
      <c r="U454" s="0" t="s">
        <v>138</v>
      </c>
      <c r="V454" s="14" t="s">
        <v>138</v>
      </c>
      <c r="W454" s="0" t="s">
        <v>138</v>
      </c>
      <c r="X454" s="14" t="s">
        <v>138</v>
      </c>
      <c r="Y454" s="0" t="s">
        <v>138</v>
      </c>
      <c r="Z454" s="14" t="s">
        <v>138</v>
      </c>
      <c r="AA454" s="0" t="s">
        <v>138</v>
      </c>
      <c r="AB454" s="14" t="s">
        <v>138</v>
      </c>
      <c r="AD454" s="0" t="s">
        <v>138</v>
      </c>
      <c r="AF454" s="0">
        <v>0</v>
      </c>
      <c r="AG454" s="0">
        <v>0</v>
      </c>
      <c r="AH454" s="0" t="s">
        <v>140</v>
      </c>
      <c r="AI454" s="0" t="s">
        <v>138</v>
      </c>
      <c r="AL454" s="14"/>
      <c r="AN454" s="14"/>
      <c r="AQ454" s="0" t="s">
        <v>130</v>
      </c>
      <c r="AR454" s="0" t="s">
        <v>130</v>
      </c>
      <c r="AS454" s="0" t="s">
        <v>130</v>
      </c>
      <c r="AT454" s="0" t="s">
        <v>130</v>
      </c>
      <c r="AU454" s="0" t="s">
        <v>130</v>
      </c>
      <c r="AV454" s="0" t="s">
        <v>130</v>
      </c>
      <c r="AW454" s="0" t="s">
        <v>130</v>
      </c>
      <c r="AX454" s="0" t="s">
        <v>130</v>
      </c>
      <c r="AY454" s="0" t="s">
        <v>130</v>
      </c>
      <c r="AZ454" s="0" t="s">
        <v>130</v>
      </c>
      <c r="BA454" s="0" t="s">
        <v>130</v>
      </c>
      <c r="BB454" s="0" t="s">
        <v>130</v>
      </c>
      <c r="BC454" s="0" t="s">
        <v>130</v>
      </c>
      <c r="BD454" s="0" t="s">
        <v>130</v>
      </c>
      <c r="BE454" s="0" t="s">
        <v>130</v>
      </c>
      <c r="BF454" s="0" t="s">
        <v>130</v>
      </c>
      <c r="BG454" s="0" t="s">
        <v>130</v>
      </c>
      <c r="BH454" s="0" t="s">
        <v>130</v>
      </c>
      <c r="BI454" s="0" t="s">
        <v>130</v>
      </c>
      <c r="BJ454" s="0" t="s">
        <v>130</v>
      </c>
      <c r="BK454" s="0" t="s">
        <v>130</v>
      </c>
      <c r="BL454" s="0" t="s">
        <v>130</v>
      </c>
      <c r="BM454" s="0" t="s">
        <v>130</v>
      </c>
      <c r="BN454" s="0" t="s">
        <v>130</v>
      </c>
      <c r="BO454" s="0" t="s">
        <v>130</v>
      </c>
      <c r="BP454" s="0" t="s">
        <v>130</v>
      </c>
      <c r="BQ454" s="0" t="s">
        <v>130</v>
      </c>
      <c r="BR454" s="0" t="s">
        <v>130</v>
      </c>
      <c r="BS454" s="0" t="s">
        <v>130</v>
      </c>
      <c r="BT454" s="0" t="s">
        <v>130</v>
      </c>
      <c r="BU454" s="0" t="s">
        <v>130</v>
      </c>
      <c r="BV454" s="0" t="s">
        <v>130</v>
      </c>
      <c r="BW454" s="0" t="s">
        <v>130</v>
      </c>
      <c r="BX454" s="0" t="s">
        <v>130</v>
      </c>
      <c r="BY454" s="0" t="s">
        <v>130</v>
      </c>
      <c r="BZ454" s="0" t="s">
        <v>130</v>
      </c>
      <c r="CA454" s="0" t="s">
        <v>130</v>
      </c>
      <c r="CB454" s="0" t="s">
        <v>130</v>
      </c>
      <c r="CC454" s="0" t="s">
        <v>130</v>
      </c>
      <c r="CD454" s="0" t="s">
        <v>130</v>
      </c>
      <c r="CE454" s="0" t="s">
        <v>130</v>
      </c>
      <c r="CF454" s="0" t="s">
        <v>130</v>
      </c>
      <c r="CG454" s="0" t="s">
        <v>130</v>
      </c>
      <c r="CH454" s="0" t="s">
        <v>130</v>
      </c>
      <c r="CI454" s="0" t="s">
        <v>130</v>
      </c>
      <c r="CJ454" s="0" t="s">
        <v>130</v>
      </c>
      <c r="CK454" s="0" t="s">
        <v>130</v>
      </c>
      <c r="CL454" s="0" t="s">
        <v>130</v>
      </c>
      <c r="CM454" s="0" t="s">
        <v>130</v>
      </c>
      <c r="CN454" s="0" t="s">
        <v>130</v>
      </c>
      <c r="CO454" s="0" t="s">
        <v>130</v>
      </c>
      <c r="CP454" s="0" t="s">
        <v>130</v>
      </c>
      <c r="CQ454" s="0" t="s">
        <v>130</v>
      </c>
      <c r="CR454" s="0" t="s">
        <v>130</v>
      </c>
      <c r="CS454" s="0" t="s">
        <v>130</v>
      </c>
      <c r="CT454" s="0" t="s">
        <v>1575</v>
      </c>
    </row>
    <row r="455">
      <c r="A455" s="14">
        <v>101372</v>
      </c>
      <c r="B455" s="0" t="s">
        <v>1566</v>
      </c>
      <c r="C455" s="16">
        <f>HYPERLINK("https://eosportal.federatedhermes.com/companies/Q29tcGFueQppNjI0NjU=", "Truist Financial Corp")</f>
      </c>
      <c r="D455" s="0" t="s">
        <v>25</v>
      </c>
      <c r="E455" s="0" t="s">
        <v>912</v>
      </c>
      <c r="F455" s="16">
        <f>HYPERLINK("https://eosportal.federatedhermes.com/engagements/RW5nYWdlbWVudAppMjA0NTE=", "Executive remuneration")</f>
      </c>
      <c r="G455" s="14" t="s">
        <v>1576</v>
      </c>
      <c r="H455" s="0" t="s">
        <v>130</v>
      </c>
      <c r="I455" s="14" t="s">
        <v>131</v>
      </c>
      <c r="J455" s="0" t="s">
        <v>145</v>
      </c>
      <c r="K455" s="0" t="s">
        <v>146</v>
      </c>
      <c r="L455" s="0" t="s">
        <v>147</v>
      </c>
      <c r="M455" s="0" t="s">
        <v>135</v>
      </c>
      <c r="N455" s="0" t="s">
        <v>136</v>
      </c>
      <c r="O455" s="0" t="s">
        <v>238</v>
      </c>
      <c r="Q455" s="0" t="s">
        <v>141</v>
      </c>
      <c r="R455" s="0" t="s">
        <v>138</v>
      </c>
      <c r="S455" s="14">
        <v>1</v>
      </c>
      <c r="T455" s="0" t="s">
        <v>416</v>
      </c>
      <c r="U455" s="0" t="s">
        <v>138</v>
      </c>
      <c r="V455" s="14" t="s">
        <v>138</v>
      </c>
      <c r="W455" s="0" t="s">
        <v>138</v>
      </c>
      <c r="X455" s="14" t="s">
        <v>138</v>
      </c>
      <c r="Y455" s="0" t="s">
        <v>138</v>
      </c>
      <c r="Z455" s="14" t="s">
        <v>138</v>
      </c>
      <c r="AA455" s="0" t="s">
        <v>138</v>
      </c>
      <c r="AB455" s="14" t="s">
        <v>138</v>
      </c>
      <c r="AD455" s="0" t="s">
        <v>138</v>
      </c>
      <c r="AF455" s="0">
        <v>0</v>
      </c>
      <c r="AG455" s="0">
        <v>0</v>
      </c>
      <c r="AH455" s="0" t="s">
        <v>140</v>
      </c>
      <c r="AI455" s="0" t="s">
        <v>138</v>
      </c>
      <c r="AK455" s="0" t="s">
        <v>1289</v>
      </c>
      <c r="AL455" s="14"/>
      <c r="AN455" s="14"/>
      <c r="AQ455" s="0" t="s">
        <v>130</v>
      </c>
      <c r="AR455" s="0" t="s">
        <v>130</v>
      </c>
      <c r="AS455" s="0" t="s">
        <v>130</v>
      </c>
      <c r="AT455" s="0" t="s">
        <v>130</v>
      </c>
      <c r="AU455" s="0" t="s">
        <v>130</v>
      </c>
      <c r="AV455" s="0" t="s">
        <v>130</v>
      </c>
      <c r="AW455" s="0" t="s">
        <v>130</v>
      </c>
      <c r="AX455" s="0" t="s">
        <v>130</v>
      </c>
      <c r="AY455" s="0" t="s">
        <v>130</v>
      </c>
      <c r="AZ455" s="0" t="s">
        <v>130</v>
      </c>
      <c r="BA455" s="0" t="s">
        <v>130</v>
      </c>
      <c r="BB455" s="0" t="s">
        <v>130</v>
      </c>
      <c r="BC455" s="0" t="s">
        <v>130</v>
      </c>
      <c r="BD455" s="0" t="s">
        <v>130</v>
      </c>
      <c r="BE455" s="0" t="s">
        <v>130</v>
      </c>
      <c r="BF455" s="0" t="s">
        <v>130</v>
      </c>
      <c r="BG455" s="0" t="s">
        <v>130</v>
      </c>
      <c r="BH455" s="0" t="s">
        <v>130</v>
      </c>
      <c r="BI455" s="0" t="s">
        <v>130</v>
      </c>
      <c r="BJ455" s="0" t="s">
        <v>130</v>
      </c>
      <c r="BK455" s="0" t="s">
        <v>130</v>
      </c>
      <c r="BL455" s="0" t="s">
        <v>130</v>
      </c>
      <c r="BM455" s="0" t="s">
        <v>130</v>
      </c>
      <c r="BN455" s="0" t="s">
        <v>130</v>
      </c>
      <c r="BO455" s="0" t="s">
        <v>130</v>
      </c>
      <c r="BP455" s="0" t="s">
        <v>130</v>
      </c>
      <c r="BQ455" s="0" t="s">
        <v>130</v>
      </c>
      <c r="BR455" s="0" t="s">
        <v>130</v>
      </c>
      <c r="BS455" s="0" t="s">
        <v>130</v>
      </c>
      <c r="BT455" s="0" t="s">
        <v>130</v>
      </c>
      <c r="BU455" s="0" t="s">
        <v>130</v>
      </c>
      <c r="BV455" s="0" t="s">
        <v>130</v>
      </c>
      <c r="BW455" s="0" t="s">
        <v>130</v>
      </c>
      <c r="BX455" s="0" t="s">
        <v>130</v>
      </c>
      <c r="BY455" s="0" t="s">
        <v>130</v>
      </c>
      <c r="BZ455" s="0" t="s">
        <v>130</v>
      </c>
      <c r="CA455" s="0" t="s">
        <v>130</v>
      </c>
      <c r="CB455" s="0" t="s">
        <v>130</v>
      </c>
      <c r="CC455" s="0" t="s">
        <v>130</v>
      </c>
      <c r="CD455" s="0" t="s">
        <v>130</v>
      </c>
      <c r="CE455" s="0" t="s">
        <v>130</v>
      </c>
      <c r="CF455" s="0" t="s">
        <v>130</v>
      </c>
      <c r="CG455" s="0" t="s">
        <v>130</v>
      </c>
      <c r="CH455" s="0" t="s">
        <v>130</v>
      </c>
      <c r="CI455" s="0" t="s">
        <v>130</v>
      </c>
      <c r="CJ455" s="0" t="s">
        <v>130</v>
      </c>
      <c r="CK455" s="0" t="s">
        <v>130</v>
      </c>
      <c r="CL455" s="0" t="s">
        <v>130</v>
      </c>
      <c r="CM455" s="0" t="s">
        <v>130</v>
      </c>
      <c r="CN455" s="0" t="s">
        <v>130</v>
      </c>
      <c r="CO455" s="0" t="s">
        <v>130</v>
      </c>
      <c r="CP455" s="0" t="s">
        <v>130</v>
      </c>
      <c r="CQ455" s="0" t="s">
        <v>130</v>
      </c>
      <c r="CR455" s="0" t="s">
        <v>130</v>
      </c>
      <c r="CS455" s="0" t="s">
        <v>130</v>
      </c>
      <c r="CT455" s="0" t="s">
        <v>1577</v>
      </c>
    </row>
    <row r="456">
      <c r="A456" s="14">
        <v>101376</v>
      </c>
      <c r="B456" s="0" t="s">
        <v>1578</v>
      </c>
      <c r="C456" s="16">
        <f>HYPERLINK("https://eosportal.federatedhermes.com/companies/Q29tcGFueQppNzU2NzU=", "AT&amp;T Inc")</f>
      </c>
      <c r="D456" s="0" t="s">
        <v>23</v>
      </c>
      <c r="E456" s="0" t="s">
        <v>1034</v>
      </c>
      <c r="F456" s="16">
        <f>HYPERLINK("https://eosportal.federatedhermes.com/engagements/RW5nYWdlbWVudAppMjA0NTc=", "Board composition")</f>
      </c>
      <c r="G456" s="14" t="s">
        <v>1579</v>
      </c>
      <c r="H456" s="0" t="s">
        <v>141</v>
      </c>
      <c r="I456" s="14" t="s">
        <v>131</v>
      </c>
      <c r="J456" s="0" t="s">
        <v>153</v>
      </c>
      <c r="K456" s="0" t="s">
        <v>154</v>
      </c>
      <c r="L456" s="0" t="s">
        <v>268</v>
      </c>
      <c r="M456" s="0" t="s">
        <v>135</v>
      </c>
      <c r="N456" s="0" t="s">
        <v>136</v>
      </c>
      <c r="O456" s="0" t="s">
        <v>137</v>
      </c>
      <c r="Q456" s="0" t="s">
        <v>130</v>
      </c>
      <c r="R456" s="0" t="s">
        <v>130</v>
      </c>
      <c r="S456" s="14">
        <v>0</v>
      </c>
      <c r="T456" s="0" t="s">
        <v>166</v>
      </c>
      <c r="U456" s="0" t="s">
        <v>221</v>
      </c>
      <c r="V456" s="14" t="s">
        <v>166</v>
      </c>
      <c r="W456" s="0" t="s">
        <v>221</v>
      </c>
      <c r="X456" s="14" t="s">
        <v>193</v>
      </c>
      <c r="Y456" s="0" t="s">
        <v>221</v>
      </c>
      <c r="Z456" s="14" t="s">
        <v>193</v>
      </c>
      <c r="AA456" s="0" t="s">
        <v>223</v>
      </c>
      <c r="AB456" s="14" t="s">
        <v>138</v>
      </c>
      <c r="AD456" s="0" t="s">
        <v>20</v>
      </c>
      <c r="AF456" s="0">
        <v>0</v>
      </c>
      <c r="AG456" s="0">
        <v>0</v>
      </c>
      <c r="AH456" s="0" t="s">
        <v>140</v>
      </c>
      <c r="AI456" s="0" t="s">
        <v>225</v>
      </c>
      <c r="AL456" s="14"/>
      <c r="AN456" s="14"/>
      <c r="AQ456" s="0" t="s">
        <v>130</v>
      </c>
      <c r="AR456" s="0" t="s">
        <v>130</v>
      </c>
      <c r="AS456" s="0" t="s">
        <v>130</v>
      </c>
      <c r="AT456" s="0" t="s">
        <v>130</v>
      </c>
      <c r="AU456" s="0" t="s">
        <v>141</v>
      </c>
      <c r="AV456" s="0" t="s">
        <v>130</v>
      </c>
      <c r="AW456" s="0" t="s">
        <v>130</v>
      </c>
      <c r="AX456" s="0" t="s">
        <v>130</v>
      </c>
      <c r="AY456" s="0" t="s">
        <v>130</v>
      </c>
      <c r="AZ456" s="0" t="s">
        <v>130</v>
      </c>
      <c r="BA456" s="0" t="s">
        <v>130</v>
      </c>
      <c r="BB456" s="0" t="s">
        <v>130</v>
      </c>
      <c r="BC456" s="0" t="s">
        <v>130</v>
      </c>
      <c r="BD456" s="0" t="s">
        <v>130</v>
      </c>
      <c r="BE456" s="0" t="s">
        <v>130</v>
      </c>
      <c r="BF456" s="0" t="s">
        <v>130</v>
      </c>
      <c r="BG456" s="0" t="s">
        <v>130</v>
      </c>
      <c r="BH456" s="0" t="s">
        <v>130</v>
      </c>
      <c r="BI456" s="0" t="s">
        <v>130</v>
      </c>
      <c r="BJ456" s="0" t="s">
        <v>130</v>
      </c>
      <c r="BK456" s="0" t="s">
        <v>130</v>
      </c>
      <c r="BL456" s="0" t="s">
        <v>130</v>
      </c>
      <c r="BM456" s="0" t="s">
        <v>130</v>
      </c>
      <c r="BN456" s="0" t="s">
        <v>130</v>
      </c>
      <c r="BO456" s="0" t="s">
        <v>130</v>
      </c>
      <c r="BP456" s="0" t="s">
        <v>130</v>
      </c>
      <c r="BQ456" s="0" t="s">
        <v>130</v>
      </c>
      <c r="BR456" s="0" t="s">
        <v>130</v>
      </c>
      <c r="BS456" s="0" t="s">
        <v>130</v>
      </c>
      <c r="BT456" s="0" t="s">
        <v>130</v>
      </c>
      <c r="BU456" s="0" t="s">
        <v>130</v>
      </c>
      <c r="BV456" s="0" t="s">
        <v>130</v>
      </c>
      <c r="BW456" s="0" t="s">
        <v>130</v>
      </c>
      <c r="BX456" s="0" t="s">
        <v>130</v>
      </c>
      <c r="BY456" s="0" t="s">
        <v>130</v>
      </c>
      <c r="BZ456" s="0" t="s">
        <v>130</v>
      </c>
      <c r="CA456" s="0" t="s">
        <v>130</v>
      </c>
      <c r="CB456" s="0" t="s">
        <v>130</v>
      </c>
      <c r="CC456" s="0" t="s">
        <v>130</v>
      </c>
      <c r="CD456" s="0" t="s">
        <v>130</v>
      </c>
      <c r="CE456" s="0" t="s">
        <v>130</v>
      </c>
      <c r="CF456" s="0" t="s">
        <v>130</v>
      </c>
      <c r="CG456" s="0" t="s">
        <v>130</v>
      </c>
      <c r="CH456" s="0" t="s">
        <v>130</v>
      </c>
      <c r="CI456" s="0" t="s">
        <v>130</v>
      </c>
      <c r="CJ456" s="0" t="s">
        <v>130</v>
      </c>
      <c r="CK456" s="0" t="s">
        <v>141</v>
      </c>
      <c r="CL456" s="0" t="s">
        <v>130</v>
      </c>
      <c r="CM456" s="0" t="s">
        <v>130</v>
      </c>
      <c r="CN456" s="0" t="s">
        <v>130</v>
      </c>
      <c r="CO456" s="0" t="s">
        <v>130</v>
      </c>
      <c r="CP456" s="0" t="s">
        <v>130</v>
      </c>
      <c r="CQ456" s="0" t="s">
        <v>130</v>
      </c>
      <c r="CR456" s="0" t="s">
        <v>130</v>
      </c>
      <c r="CS456" s="0" t="s">
        <v>130</v>
      </c>
      <c r="CT456" s="0" t="s">
        <v>1580</v>
      </c>
    </row>
    <row r="457">
      <c r="A457" s="14">
        <v>101376</v>
      </c>
      <c r="B457" s="0" t="s">
        <v>1578</v>
      </c>
      <c r="C457" s="16">
        <f>HYPERLINK("https://eosportal.federatedhermes.com/companies/Q29tcGFueQppNzU2NzU=", "AT&amp;T Inc")</f>
      </c>
      <c r="D457" s="0" t="s">
        <v>25</v>
      </c>
      <c r="E457" s="0" t="s">
        <v>1581</v>
      </c>
      <c r="F457" s="16">
        <f>HYPERLINK("https://eosportal.federatedhermes.com/engagements/RW5nYWdlbWVudAppMjA0NTg=", "Political donations and lobbying expenditures")</f>
      </c>
      <c r="G457" s="14" t="s">
        <v>1582</v>
      </c>
      <c r="H457" s="0" t="s">
        <v>141</v>
      </c>
      <c r="I457" s="14" t="s">
        <v>131</v>
      </c>
      <c r="J457" s="0" t="s">
        <v>132</v>
      </c>
      <c r="K457" s="0" t="s">
        <v>170</v>
      </c>
      <c r="L457" s="0" t="s">
        <v>171</v>
      </c>
      <c r="M457" s="0" t="s">
        <v>135</v>
      </c>
      <c r="N457" s="0" t="s">
        <v>136</v>
      </c>
      <c r="O457" s="0" t="s">
        <v>137</v>
      </c>
      <c r="Q457" s="0" t="s">
        <v>130</v>
      </c>
      <c r="R457" s="0" t="s">
        <v>138</v>
      </c>
      <c r="S457" s="14">
        <v>0</v>
      </c>
      <c r="T457" s="0" t="s">
        <v>825</v>
      </c>
      <c r="U457" s="0" t="s">
        <v>138</v>
      </c>
      <c r="V457" s="14" t="s">
        <v>138</v>
      </c>
      <c r="W457" s="0" t="s">
        <v>138</v>
      </c>
      <c r="X457" s="14" t="s">
        <v>138</v>
      </c>
      <c r="Y457" s="0" t="s">
        <v>138</v>
      </c>
      <c r="Z457" s="14" t="s">
        <v>138</v>
      </c>
      <c r="AA457" s="0" t="s">
        <v>138</v>
      </c>
      <c r="AB457" s="14" t="s">
        <v>138</v>
      </c>
      <c r="AD457" s="0" t="s">
        <v>138</v>
      </c>
      <c r="AF457" s="0">
        <v>0</v>
      </c>
      <c r="AG457" s="0">
        <v>0</v>
      </c>
      <c r="AH457" s="0" t="s">
        <v>140</v>
      </c>
      <c r="AI457" s="0" t="s">
        <v>138</v>
      </c>
      <c r="AL457" s="14"/>
      <c r="AN457" s="14"/>
      <c r="AQ457" s="0" t="s">
        <v>130</v>
      </c>
      <c r="AR457" s="0" t="s">
        <v>130</v>
      </c>
      <c r="AS457" s="0" t="s">
        <v>130</v>
      </c>
      <c r="AT457" s="0" t="s">
        <v>130</v>
      </c>
      <c r="AU457" s="0" t="s">
        <v>130</v>
      </c>
      <c r="AV457" s="0" t="s">
        <v>130</v>
      </c>
      <c r="AW457" s="0" t="s">
        <v>130</v>
      </c>
      <c r="AX457" s="0" t="s">
        <v>130</v>
      </c>
      <c r="AY457" s="0" t="s">
        <v>130</v>
      </c>
      <c r="AZ457" s="0" t="s">
        <v>130</v>
      </c>
      <c r="BA457" s="0" t="s">
        <v>130</v>
      </c>
      <c r="BB457" s="0" t="s">
        <v>130</v>
      </c>
      <c r="BC457" s="0" t="s">
        <v>130</v>
      </c>
      <c r="BD457" s="0" t="s">
        <v>130</v>
      </c>
      <c r="BE457" s="0" t="s">
        <v>130</v>
      </c>
      <c r="BF457" s="0" t="s">
        <v>130</v>
      </c>
      <c r="BG457" s="0" t="s">
        <v>130</v>
      </c>
      <c r="BH457" s="0" t="s">
        <v>130</v>
      </c>
      <c r="BI457" s="0" t="s">
        <v>130</v>
      </c>
      <c r="BJ457" s="0" t="s">
        <v>130</v>
      </c>
      <c r="BK457" s="0" t="s">
        <v>130</v>
      </c>
      <c r="BL457" s="0" t="s">
        <v>130</v>
      </c>
      <c r="BM457" s="0" t="s">
        <v>130</v>
      </c>
      <c r="BN457" s="0" t="s">
        <v>130</v>
      </c>
      <c r="BO457" s="0" t="s">
        <v>130</v>
      </c>
      <c r="BP457" s="0" t="s">
        <v>130</v>
      </c>
      <c r="BQ457" s="0" t="s">
        <v>130</v>
      </c>
      <c r="BR457" s="0" t="s">
        <v>130</v>
      </c>
      <c r="BS457" s="0" t="s">
        <v>130</v>
      </c>
      <c r="BT457" s="0" t="s">
        <v>130</v>
      </c>
      <c r="BU457" s="0" t="s">
        <v>130</v>
      </c>
      <c r="BV457" s="0" t="s">
        <v>130</v>
      </c>
      <c r="BW457" s="0" t="s">
        <v>130</v>
      </c>
      <c r="BX457" s="0" t="s">
        <v>130</v>
      </c>
      <c r="BY457" s="0" t="s">
        <v>130</v>
      </c>
      <c r="BZ457" s="0" t="s">
        <v>130</v>
      </c>
      <c r="CA457" s="0" t="s">
        <v>130</v>
      </c>
      <c r="CB457" s="0" t="s">
        <v>130</v>
      </c>
      <c r="CC457" s="0" t="s">
        <v>130</v>
      </c>
      <c r="CD457" s="0" t="s">
        <v>130</v>
      </c>
      <c r="CE457" s="0" t="s">
        <v>130</v>
      </c>
      <c r="CF457" s="0" t="s">
        <v>130</v>
      </c>
      <c r="CG457" s="0" t="s">
        <v>130</v>
      </c>
      <c r="CH457" s="0" t="s">
        <v>130</v>
      </c>
      <c r="CI457" s="0" t="s">
        <v>130</v>
      </c>
      <c r="CJ457" s="0" t="s">
        <v>130</v>
      </c>
      <c r="CK457" s="0" t="s">
        <v>130</v>
      </c>
      <c r="CL457" s="0" t="s">
        <v>130</v>
      </c>
      <c r="CM457" s="0" t="s">
        <v>130</v>
      </c>
      <c r="CN457" s="0" t="s">
        <v>130</v>
      </c>
      <c r="CO457" s="0" t="s">
        <v>130</v>
      </c>
      <c r="CP457" s="0" t="s">
        <v>130</v>
      </c>
      <c r="CQ457" s="0" t="s">
        <v>130</v>
      </c>
      <c r="CR457" s="0" t="s">
        <v>130</v>
      </c>
      <c r="CS457" s="0" t="s">
        <v>130</v>
      </c>
      <c r="CT457" s="0" t="s">
        <v>1583</v>
      </c>
    </row>
    <row r="458">
      <c r="A458" s="14">
        <v>101376</v>
      </c>
      <c r="B458" s="0" t="s">
        <v>1578</v>
      </c>
      <c r="C458" s="16">
        <f>HYPERLINK("https://eosportal.federatedhermes.com/companies/Q29tcGFueQppNzU2NzU=", "AT&amp;T Inc")</f>
      </c>
      <c r="D458" s="0" t="s">
        <v>25</v>
      </c>
      <c r="E458" s="0" t="s">
        <v>1455</v>
      </c>
      <c r="F458" s="16">
        <f>HYPERLINK("https://eosportal.federatedhermes.com/engagements/RW5nYWdlbWVudAppMjA0NTk=", "Enhanced proxy access")</f>
      </c>
      <c r="G458" s="14" t="s">
        <v>1584</v>
      </c>
      <c r="H458" s="0" t="s">
        <v>141</v>
      </c>
      <c r="I458" s="14" t="s">
        <v>131</v>
      </c>
      <c r="J458" s="0" t="s">
        <v>145</v>
      </c>
      <c r="K458" s="0" t="s">
        <v>400</v>
      </c>
      <c r="L458" s="0" t="s">
        <v>401</v>
      </c>
      <c r="M458" s="0" t="s">
        <v>135</v>
      </c>
      <c r="N458" s="0" t="s">
        <v>136</v>
      </c>
      <c r="O458" s="0" t="s">
        <v>137</v>
      </c>
      <c r="Q458" s="0" t="s">
        <v>130</v>
      </c>
      <c r="R458" s="0" t="s">
        <v>138</v>
      </c>
      <c r="S458" s="14">
        <v>0</v>
      </c>
      <c r="T458" s="0" t="s">
        <v>239</v>
      </c>
      <c r="U458" s="0" t="s">
        <v>138</v>
      </c>
      <c r="V458" s="14" t="s">
        <v>138</v>
      </c>
      <c r="W458" s="0" t="s">
        <v>138</v>
      </c>
      <c r="X458" s="14" t="s">
        <v>138</v>
      </c>
      <c r="Y458" s="0" t="s">
        <v>138</v>
      </c>
      <c r="Z458" s="14" t="s">
        <v>138</v>
      </c>
      <c r="AA458" s="0" t="s">
        <v>138</v>
      </c>
      <c r="AB458" s="14" t="s">
        <v>138</v>
      </c>
      <c r="AD458" s="0" t="s">
        <v>138</v>
      </c>
      <c r="AF458" s="0">
        <v>0</v>
      </c>
      <c r="AG458" s="0">
        <v>0</v>
      </c>
      <c r="AH458" s="0" t="s">
        <v>140</v>
      </c>
      <c r="AI458" s="0" t="s">
        <v>138</v>
      </c>
      <c r="AL458" s="14"/>
      <c r="AN458" s="14"/>
      <c r="AQ458" s="0" t="s">
        <v>130</v>
      </c>
      <c r="AR458" s="0" t="s">
        <v>130</v>
      </c>
      <c r="AS458" s="0" t="s">
        <v>130</v>
      </c>
      <c r="AT458" s="0" t="s">
        <v>130</v>
      </c>
      <c r="AU458" s="0" t="s">
        <v>130</v>
      </c>
      <c r="AV458" s="0" t="s">
        <v>130</v>
      </c>
      <c r="AW458" s="0" t="s">
        <v>130</v>
      </c>
      <c r="AX458" s="0" t="s">
        <v>130</v>
      </c>
      <c r="AY458" s="0" t="s">
        <v>130</v>
      </c>
      <c r="AZ458" s="0" t="s">
        <v>130</v>
      </c>
      <c r="BA458" s="0" t="s">
        <v>130</v>
      </c>
      <c r="BB458" s="0" t="s">
        <v>130</v>
      </c>
      <c r="BC458" s="0" t="s">
        <v>130</v>
      </c>
      <c r="BD458" s="0" t="s">
        <v>130</v>
      </c>
      <c r="BE458" s="0" t="s">
        <v>130</v>
      </c>
      <c r="BF458" s="0" t="s">
        <v>130</v>
      </c>
      <c r="BG458" s="0" t="s">
        <v>130</v>
      </c>
      <c r="BH458" s="0" t="s">
        <v>130</v>
      </c>
      <c r="BI458" s="0" t="s">
        <v>130</v>
      </c>
      <c r="BJ458" s="0" t="s">
        <v>130</v>
      </c>
      <c r="BK458" s="0" t="s">
        <v>130</v>
      </c>
      <c r="BL458" s="0" t="s">
        <v>130</v>
      </c>
      <c r="BM458" s="0" t="s">
        <v>130</v>
      </c>
      <c r="BN458" s="0" t="s">
        <v>130</v>
      </c>
      <c r="BO458" s="0" t="s">
        <v>130</v>
      </c>
      <c r="BP458" s="0" t="s">
        <v>130</v>
      </c>
      <c r="BQ458" s="0" t="s">
        <v>130</v>
      </c>
      <c r="BR458" s="0" t="s">
        <v>130</v>
      </c>
      <c r="BS458" s="0" t="s">
        <v>130</v>
      </c>
      <c r="BT458" s="0" t="s">
        <v>130</v>
      </c>
      <c r="BU458" s="0" t="s">
        <v>130</v>
      </c>
      <c r="BV458" s="0" t="s">
        <v>130</v>
      </c>
      <c r="BW458" s="0" t="s">
        <v>130</v>
      </c>
      <c r="BX458" s="0" t="s">
        <v>130</v>
      </c>
      <c r="BY458" s="0" t="s">
        <v>130</v>
      </c>
      <c r="BZ458" s="0" t="s">
        <v>130</v>
      </c>
      <c r="CA458" s="0" t="s">
        <v>130</v>
      </c>
      <c r="CB458" s="0" t="s">
        <v>130</v>
      </c>
      <c r="CC458" s="0" t="s">
        <v>130</v>
      </c>
      <c r="CD458" s="0" t="s">
        <v>130</v>
      </c>
      <c r="CE458" s="0" t="s">
        <v>130</v>
      </c>
      <c r="CF458" s="0" t="s">
        <v>130</v>
      </c>
      <c r="CG458" s="0" t="s">
        <v>130</v>
      </c>
      <c r="CH458" s="0" t="s">
        <v>130</v>
      </c>
      <c r="CI458" s="0" t="s">
        <v>130</v>
      </c>
      <c r="CJ458" s="0" t="s">
        <v>130</v>
      </c>
      <c r="CK458" s="0" t="s">
        <v>130</v>
      </c>
      <c r="CL458" s="0" t="s">
        <v>130</v>
      </c>
      <c r="CM458" s="0" t="s">
        <v>130</v>
      </c>
      <c r="CN458" s="0" t="s">
        <v>130</v>
      </c>
      <c r="CO458" s="0" t="s">
        <v>130</v>
      </c>
      <c r="CP458" s="0" t="s">
        <v>130</v>
      </c>
      <c r="CQ458" s="0" t="s">
        <v>130</v>
      </c>
      <c r="CR458" s="0" t="s">
        <v>130</v>
      </c>
      <c r="CS458" s="0" t="s">
        <v>130</v>
      </c>
      <c r="CT458" s="0" t="s">
        <v>1585</v>
      </c>
    </row>
    <row r="459">
      <c r="A459" s="14">
        <v>101376</v>
      </c>
      <c r="B459" s="0" t="s">
        <v>1578</v>
      </c>
      <c r="C459" s="16">
        <f>HYPERLINK("https://eosportal.federatedhermes.com/companies/Q29tcGFueQppNzU2NzU=", "AT&amp;T Inc")</f>
      </c>
      <c r="D459" s="0" t="s">
        <v>25</v>
      </c>
      <c r="E459" s="0" t="s">
        <v>1034</v>
      </c>
      <c r="F459" s="16">
        <f>HYPERLINK("https://eosportal.federatedhermes.com/engagements/RW5nYWdlbWVudAppMjA0NjA=", "Board composition")</f>
      </c>
      <c r="G459" s="14" t="s">
        <v>1586</v>
      </c>
      <c r="H459" s="0" t="s">
        <v>141</v>
      </c>
      <c r="I459" s="14" t="s">
        <v>131</v>
      </c>
      <c r="J459" s="0" t="s">
        <v>145</v>
      </c>
      <c r="K459" s="0" t="s">
        <v>164</v>
      </c>
      <c r="L459" s="0" t="s">
        <v>165</v>
      </c>
      <c r="M459" s="0" t="s">
        <v>135</v>
      </c>
      <c r="N459" s="0" t="s">
        <v>136</v>
      </c>
      <c r="O459" s="0" t="s">
        <v>137</v>
      </c>
      <c r="Q459" s="0" t="s">
        <v>130</v>
      </c>
      <c r="R459" s="0" t="s">
        <v>138</v>
      </c>
      <c r="S459" s="14">
        <v>0</v>
      </c>
      <c r="T459" s="0" t="s">
        <v>387</v>
      </c>
      <c r="U459" s="0" t="s">
        <v>138</v>
      </c>
      <c r="V459" s="14" t="s">
        <v>138</v>
      </c>
      <c r="W459" s="0" t="s">
        <v>138</v>
      </c>
      <c r="X459" s="14" t="s">
        <v>138</v>
      </c>
      <c r="Y459" s="0" t="s">
        <v>138</v>
      </c>
      <c r="Z459" s="14" t="s">
        <v>138</v>
      </c>
      <c r="AA459" s="0" t="s">
        <v>138</v>
      </c>
      <c r="AB459" s="14" t="s">
        <v>138</v>
      </c>
      <c r="AD459" s="0" t="s">
        <v>138</v>
      </c>
      <c r="AF459" s="0">
        <v>0</v>
      </c>
      <c r="AG459" s="0">
        <v>0</v>
      </c>
      <c r="AH459" s="0" t="s">
        <v>140</v>
      </c>
      <c r="AI459" s="0" t="s">
        <v>138</v>
      </c>
      <c r="AL459" s="14"/>
      <c r="AN459" s="14"/>
      <c r="AQ459" s="0" t="s">
        <v>130</v>
      </c>
      <c r="AR459" s="0" t="s">
        <v>130</v>
      </c>
      <c r="AS459" s="0" t="s">
        <v>130</v>
      </c>
      <c r="AT459" s="0" t="s">
        <v>130</v>
      </c>
      <c r="AU459" s="0" t="s">
        <v>130</v>
      </c>
      <c r="AV459" s="0" t="s">
        <v>130</v>
      </c>
      <c r="AW459" s="0" t="s">
        <v>130</v>
      </c>
      <c r="AX459" s="0" t="s">
        <v>130</v>
      </c>
      <c r="AY459" s="0" t="s">
        <v>130</v>
      </c>
      <c r="AZ459" s="0" t="s">
        <v>130</v>
      </c>
      <c r="BA459" s="0" t="s">
        <v>130</v>
      </c>
      <c r="BB459" s="0" t="s">
        <v>130</v>
      </c>
      <c r="BC459" s="0" t="s">
        <v>130</v>
      </c>
      <c r="BD459" s="0" t="s">
        <v>130</v>
      </c>
      <c r="BE459" s="0" t="s">
        <v>130</v>
      </c>
      <c r="BF459" s="0" t="s">
        <v>130</v>
      </c>
      <c r="BG459" s="0" t="s">
        <v>130</v>
      </c>
      <c r="BH459" s="0" t="s">
        <v>130</v>
      </c>
      <c r="BI459" s="0" t="s">
        <v>130</v>
      </c>
      <c r="BJ459" s="0" t="s">
        <v>130</v>
      </c>
      <c r="BK459" s="0" t="s">
        <v>130</v>
      </c>
      <c r="BL459" s="0" t="s">
        <v>130</v>
      </c>
      <c r="BM459" s="0" t="s">
        <v>130</v>
      </c>
      <c r="BN459" s="0" t="s">
        <v>130</v>
      </c>
      <c r="BO459" s="0" t="s">
        <v>130</v>
      </c>
      <c r="BP459" s="0" t="s">
        <v>130</v>
      </c>
      <c r="BQ459" s="0" t="s">
        <v>130</v>
      </c>
      <c r="BR459" s="0" t="s">
        <v>130</v>
      </c>
      <c r="BS459" s="0" t="s">
        <v>130</v>
      </c>
      <c r="BT459" s="0" t="s">
        <v>130</v>
      </c>
      <c r="BU459" s="0" t="s">
        <v>130</v>
      </c>
      <c r="BV459" s="0" t="s">
        <v>130</v>
      </c>
      <c r="BW459" s="0" t="s">
        <v>130</v>
      </c>
      <c r="BX459" s="0" t="s">
        <v>130</v>
      </c>
      <c r="BY459" s="0" t="s">
        <v>130</v>
      </c>
      <c r="BZ459" s="0" t="s">
        <v>130</v>
      </c>
      <c r="CA459" s="0" t="s">
        <v>130</v>
      </c>
      <c r="CB459" s="0" t="s">
        <v>130</v>
      </c>
      <c r="CC459" s="0" t="s">
        <v>130</v>
      </c>
      <c r="CD459" s="0" t="s">
        <v>130</v>
      </c>
      <c r="CE459" s="0" t="s">
        <v>130</v>
      </c>
      <c r="CF459" s="0" t="s">
        <v>130</v>
      </c>
      <c r="CG459" s="0" t="s">
        <v>130</v>
      </c>
      <c r="CH459" s="0" t="s">
        <v>130</v>
      </c>
      <c r="CI459" s="0" t="s">
        <v>130</v>
      </c>
      <c r="CJ459" s="0" t="s">
        <v>130</v>
      </c>
      <c r="CK459" s="0" t="s">
        <v>130</v>
      </c>
      <c r="CL459" s="0" t="s">
        <v>130</v>
      </c>
      <c r="CM459" s="0" t="s">
        <v>130</v>
      </c>
      <c r="CN459" s="0" t="s">
        <v>130</v>
      </c>
      <c r="CO459" s="0" t="s">
        <v>130</v>
      </c>
      <c r="CP459" s="0" t="s">
        <v>130</v>
      </c>
      <c r="CQ459" s="0" t="s">
        <v>130</v>
      </c>
      <c r="CR459" s="0" t="s">
        <v>130</v>
      </c>
      <c r="CS459" s="0" t="s">
        <v>130</v>
      </c>
      <c r="CT459" s="0" t="s">
        <v>1587</v>
      </c>
    </row>
    <row r="460">
      <c r="A460" s="14">
        <v>101376</v>
      </c>
      <c r="B460" s="0" t="s">
        <v>1578</v>
      </c>
      <c r="C460" s="16">
        <f>HYPERLINK("https://eosportal.federatedhermes.com/companies/Q29tcGFueQppNzU2NzU=", "AT&amp;T Inc")</f>
      </c>
      <c r="D460" s="0" t="s">
        <v>25</v>
      </c>
      <c r="E460" s="0" t="s">
        <v>1588</v>
      </c>
      <c r="F460" s="16">
        <f>HYPERLINK("https://eosportal.federatedhermes.com/engagements/RW5nYWdlbWVudAppMjA0NjE=", "Circularity in IT &amp; Customer Hardware")</f>
      </c>
      <c r="G460" s="14" t="s">
        <v>1589</v>
      </c>
      <c r="H460" s="0" t="s">
        <v>141</v>
      </c>
      <c r="I460" s="14" t="s">
        <v>131</v>
      </c>
      <c r="J460" s="0" t="s">
        <v>132</v>
      </c>
      <c r="K460" s="0" t="s">
        <v>133</v>
      </c>
      <c r="L460" s="0" t="s">
        <v>160</v>
      </c>
      <c r="M460" s="0" t="s">
        <v>135</v>
      </c>
      <c r="N460" s="0" t="s">
        <v>136</v>
      </c>
      <c r="O460" s="0" t="s">
        <v>137</v>
      </c>
      <c r="Q460" s="0" t="s">
        <v>130</v>
      </c>
      <c r="R460" s="0" t="s">
        <v>138</v>
      </c>
      <c r="S460" s="14">
        <v>0</v>
      </c>
      <c r="T460" s="0" t="s">
        <v>193</v>
      </c>
      <c r="U460" s="0" t="s">
        <v>138</v>
      </c>
      <c r="V460" s="14" t="s">
        <v>138</v>
      </c>
      <c r="W460" s="0" t="s">
        <v>138</v>
      </c>
      <c r="X460" s="14" t="s">
        <v>138</v>
      </c>
      <c r="Y460" s="0" t="s">
        <v>138</v>
      </c>
      <c r="Z460" s="14" t="s">
        <v>138</v>
      </c>
      <c r="AA460" s="0" t="s">
        <v>138</v>
      </c>
      <c r="AB460" s="14" t="s">
        <v>138</v>
      </c>
      <c r="AD460" s="0" t="s">
        <v>138</v>
      </c>
      <c r="AF460" s="0">
        <v>0</v>
      </c>
      <c r="AG460" s="0">
        <v>0</v>
      </c>
      <c r="AH460" s="0" t="s">
        <v>140</v>
      </c>
      <c r="AI460" s="0" t="s">
        <v>138</v>
      </c>
      <c r="AL460" s="14"/>
      <c r="AN460" s="14"/>
      <c r="AQ460" s="0" t="s">
        <v>130</v>
      </c>
      <c r="AR460" s="0" t="s">
        <v>130</v>
      </c>
      <c r="AS460" s="0" t="s">
        <v>130</v>
      </c>
      <c r="AT460" s="0" t="s">
        <v>130</v>
      </c>
      <c r="AU460" s="0" t="s">
        <v>130</v>
      </c>
      <c r="AV460" s="0" t="s">
        <v>130</v>
      </c>
      <c r="AW460" s="0" t="s">
        <v>130</v>
      </c>
      <c r="AX460" s="0" t="s">
        <v>130</v>
      </c>
      <c r="AY460" s="0" t="s">
        <v>130</v>
      </c>
      <c r="AZ460" s="0" t="s">
        <v>130</v>
      </c>
      <c r="BA460" s="0" t="s">
        <v>130</v>
      </c>
      <c r="BB460" s="0" t="s">
        <v>141</v>
      </c>
      <c r="BC460" s="0" t="s">
        <v>130</v>
      </c>
      <c r="BD460" s="0" t="s">
        <v>130</v>
      </c>
      <c r="BE460" s="0" t="s">
        <v>130</v>
      </c>
      <c r="BF460" s="0" t="s">
        <v>130</v>
      </c>
      <c r="BG460" s="0" t="s">
        <v>130</v>
      </c>
      <c r="BH460" s="0" t="s">
        <v>130</v>
      </c>
      <c r="BI460" s="0" t="s">
        <v>130</v>
      </c>
      <c r="BJ460" s="0" t="s">
        <v>130</v>
      </c>
      <c r="BK460" s="0" t="s">
        <v>130</v>
      </c>
      <c r="BL460" s="0" t="s">
        <v>130</v>
      </c>
      <c r="BM460" s="0" t="s">
        <v>130</v>
      </c>
      <c r="BN460" s="0" t="s">
        <v>130</v>
      </c>
      <c r="BO460" s="0" t="s">
        <v>130</v>
      </c>
      <c r="BP460" s="0" t="s">
        <v>130</v>
      </c>
      <c r="BQ460" s="0" t="s">
        <v>130</v>
      </c>
      <c r="BR460" s="0" t="s">
        <v>130</v>
      </c>
      <c r="BS460" s="0" t="s">
        <v>130</v>
      </c>
      <c r="BT460" s="0" t="s">
        <v>130</v>
      </c>
      <c r="BU460" s="0" t="s">
        <v>130</v>
      </c>
      <c r="BV460" s="0" t="s">
        <v>130</v>
      </c>
      <c r="BW460" s="0" t="s">
        <v>130</v>
      </c>
      <c r="BX460" s="0" t="s">
        <v>130</v>
      </c>
      <c r="BY460" s="0" t="s">
        <v>130</v>
      </c>
      <c r="BZ460" s="0" t="s">
        <v>130</v>
      </c>
      <c r="CA460" s="0" t="s">
        <v>130</v>
      </c>
      <c r="CB460" s="0" t="s">
        <v>130</v>
      </c>
      <c r="CC460" s="0" t="s">
        <v>130</v>
      </c>
      <c r="CD460" s="0" t="s">
        <v>130</v>
      </c>
      <c r="CE460" s="0" t="s">
        <v>130</v>
      </c>
      <c r="CF460" s="0" t="s">
        <v>130</v>
      </c>
      <c r="CG460" s="0" t="s">
        <v>130</v>
      </c>
      <c r="CH460" s="0" t="s">
        <v>130</v>
      </c>
      <c r="CI460" s="0" t="s">
        <v>130</v>
      </c>
      <c r="CJ460" s="0" t="s">
        <v>130</v>
      </c>
      <c r="CK460" s="0" t="s">
        <v>130</v>
      </c>
      <c r="CL460" s="0" t="s">
        <v>130</v>
      </c>
      <c r="CM460" s="0" t="s">
        <v>130</v>
      </c>
      <c r="CN460" s="0" t="s">
        <v>130</v>
      </c>
      <c r="CO460" s="0" t="s">
        <v>130</v>
      </c>
      <c r="CP460" s="0" t="s">
        <v>130</v>
      </c>
      <c r="CQ460" s="0" t="s">
        <v>130</v>
      </c>
      <c r="CR460" s="0" t="s">
        <v>130</v>
      </c>
      <c r="CS460" s="0" t="s">
        <v>130</v>
      </c>
      <c r="CT460" s="0" t="s">
        <v>1590</v>
      </c>
    </row>
    <row r="461">
      <c r="A461" s="14">
        <v>101376</v>
      </c>
      <c r="B461" s="0" t="s">
        <v>1578</v>
      </c>
      <c r="C461" s="16">
        <f>HYPERLINK("https://eosportal.federatedhermes.com/companies/Q29tcGFueQppNzU2NzU=", "AT&amp;T Inc")</f>
      </c>
      <c r="D461" s="0" t="s">
        <v>25</v>
      </c>
      <c r="E461" s="0" t="s">
        <v>1591</v>
      </c>
      <c r="F461" s="16">
        <f>HYPERLINK("https://eosportal.federatedhermes.com/engagements/RW5nYWdlbWVudAppMjA0NjI=", "Postmerger Integration Risks")</f>
      </c>
      <c r="G461" s="14" t="s">
        <v>1592</v>
      </c>
      <c r="H461" s="0" t="s">
        <v>141</v>
      </c>
      <c r="I461" s="14" t="s">
        <v>131</v>
      </c>
      <c r="J461" s="0" t="s">
        <v>132</v>
      </c>
      <c r="K461" s="0" t="s">
        <v>260</v>
      </c>
      <c r="L461" s="0" t="s">
        <v>261</v>
      </c>
      <c r="M461" s="0" t="s">
        <v>135</v>
      </c>
      <c r="N461" s="0" t="s">
        <v>136</v>
      </c>
      <c r="O461" s="0" t="s">
        <v>137</v>
      </c>
      <c r="Q461" s="0" t="s">
        <v>130</v>
      </c>
      <c r="R461" s="0" t="s">
        <v>138</v>
      </c>
      <c r="S461" s="14">
        <v>0</v>
      </c>
      <c r="T461" s="0" t="s">
        <v>193</v>
      </c>
      <c r="U461" s="0" t="s">
        <v>138</v>
      </c>
      <c r="V461" s="14" t="s">
        <v>138</v>
      </c>
      <c r="W461" s="0" t="s">
        <v>138</v>
      </c>
      <c r="X461" s="14" t="s">
        <v>138</v>
      </c>
      <c r="Y461" s="0" t="s">
        <v>138</v>
      </c>
      <c r="Z461" s="14" t="s">
        <v>138</v>
      </c>
      <c r="AA461" s="0" t="s">
        <v>138</v>
      </c>
      <c r="AB461" s="14" t="s">
        <v>138</v>
      </c>
      <c r="AD461" s="0" t="s">
        <v>138</v>
      </c>
      <c r="AF461" s="0">
        <v>0</v>
      </c>
      <c r="AG461" s="0">
        <v>0</v>
      </c>
      <c r="AH461" s="0" t="s">
        <v>140</v>
      </c>
      <c r="AI461" s="0" t="s">
        <v>138</v>
      </c>
      <c r="AL461" s="14"/>
      <c r="AN461" s="14"/>
      <c r="AQ461" s="0" t="s">
        <v>130</v>
      </c>
      <c r="AR461" s="0" t="s">
        <v>130</v>
      </c>
      <c r="AS461" s="0" t="s">
        <v>130</v>
      </c>
      <c r="AT461" s="0" t="s">
        <v>130</v>
      </c>
      <c r="AU461" s="0" t="s">
        <v>130</v>
      </c>
      <c r="AV461" s="0" t="s">
        <v>130</v>
      </c>
      <c r="AW461" s="0" t="s">
        <v>130</v>
      </c>
      <c r="AX461" s="0" t="s">
        <v>130</v>
      </c>
      <c r="AY461" s="0" t="s">
        <v>130</v>
      </c>
      <c r="AZ461" s="0" t="s">
        <v>130</v>
      </c>
      <c r="BA461" s="0" t="s">
        <v>130</v>
      </c>
      <c r="BB461" s="0" t="s">
        <v>130</v>
      </c>
      <c r="BC461" s="0" t="s">
        <v>130</v>
      </c>
      <c r="BD461" s="0" t="s">
        <v>130</v>
      </c>
      <c r="BE461" s="0" t="s">
        <v>130</v>
      </c>
      <c r="BF461" s="0" t="s">
        <v>130</v>
      </c>
      <c r="BG461" s="0" t="s">
        <v>130</v>
      </c>
      <c r="BH461" s="0" t="s">
        <v>130</v>
      </c>
      <c r="BI461" s="0" t="s">
        <v>130</v>
      </c>
      <c r="BJ461" s="0" t="s">
        <v>130</v>
      </c>
      <c r="BK461" s="0" t="s">
        <v>130</v>
      </c>
      <c r="BL461" s="0" t="s">
        <v>130</v>
      </c>
      <c r="BM461" s="0" t="s">
        <v>130</v>
      </c>
      <c r="BN461" s="0" t="s">
        <v>130</v>
      </c>
      <c r="BO461" s="0" t="s">
        <v>130</v>
      </c>
      <c r="BP461" s="0" t="s">
        <v>130</v>
      </c>
      <c r="BQ461" s="0" t="s">
        <v>130</v>
      </c>
      <c r="BR461" s="0" t="s">
        <v>130</v>
      </c>
      <c r="BS461" s="0" t="s">
        <v>130</v>
      </c>
      <c r="BT461" s="0" t="s">
        <v>130</v>
      </c>
      <c r="BU461" s="0" t="s">
        <v>130</v>
      </c>
      <c r="BV461" s="0" t="s">
        <v>130</v>
      </c>
      <c r="BW461" s="0" t="s">
        <v>130</v>
      </c>
      <c r="BX461" s="0" t="s">
        <v>130</v>
      </c>
      <c r="BY461" s="0" t="s">
        <v>130</v>
      </c>
      <c r="BZ461" s="0" t="s">
        <v>130</v>
      </c>
      <c r="CA461" s="0" t="s">
        <v>130</v>
      </c>
      <c r="CB461" s="0" t="s">
        <v>130</v>
      </c>
      <c r="CC461" s="0" t="s">
        <v>130</v>
      </c>
      <c r="CD461" s="0" t="s">
        <v>130</v>
      </c>
      <c r="CE461" s="0" t="s">
        <v>130</v>
      </c>
      <c r="CF461" s="0" t="s">
        <v>130</v>
      </c>
      <c r="CG461" s="0" t="s">
        <v>130</v>
      </c>
      <c r="CH461" s="0" t="s">
        <v>130</v>
      </c>
      <c r="CI461" s="0" t="s">
        <v>130</v>
      </c>
      <c r="CJ461" s="0" t="s">
        <v>130</v>
      </c>
      <c r="CK461" s="0" t="s">
        <v>130</v>
      </c>
      <c r="CL461" s="0" t="s">
        <v>130</v>
      </c>
      <c r="CM461" s="0" t="s">
        <v>130</v>
      </c>
      <c r="CN461" s="0" t="s">
        <v>130</v>
      </c>
      <c r="CO461" s="0" t="s">
        <v>130</v>
      </c>
      <c r="CP461" s="0" t="s">
        <v>130</v>
      </c>
      <c r="CQ461" s="0" t="s">
        <v>130</v>
      </c>
      <c r="CR461" s="0" t="s">
        <v>130</v>
      </c>
      <c r="CS461" s="0" t="s">
        <v>130</v>
      </c>
      <c r="CT461" s="0" t="s">
        <v>1593</v>
      </c>
    </row>
    <row r="462">
      <c r="A462" s="14">
        <v>101376</v>
      </c>
      <c r="B462" s="0" t="s">
        <v>1578</v>
      </c>
      <c r="C462" s="16">
        <f>HYPERLINK("https://eosportal.federatedhermes.com/companies/Q29tcGFueQppNzU2NzU=", "AT&amp;T Inc")</f>
      </c>
      <c r="D462" s="0" t="s">
        <v>25</v>
      </c>
      <c r="E462" s="0" t="s">
        <v>1194</v>
      </c>
      <c r="F462" s="16">
        <f>HYPERLINK("https://eosportal.federatedhermes.com/engagements/RW5nYWdlbWVudAppMjA0NjM=", "Diversity and inclusion")</f>
      </c>
      <c r="G462" s="14" t="s">
        <v>1594</v>
      </c>
      <c r="H462" s="0" t="s">
        <v>141</v>
      </c>
      <c r="I462" s="14" t="s">
        <v>131</v>
      </c>
      <c r="J462" s="0" t="s">
        <v>153</v>
      </c>
      <c r="K462" s="0" t="s">
        <v>154</v>
      </c>
      <c r="L462" s="0" t="s">
        <v>268</v>
      </c>
      <c r="M462" s="0" t="s">
        <v>135</v>
      </c>
      <c r="N462" s="0" t="s">
        <v>136</v>
      </c>
      <c r="O462" s="0" t="s">
        <v>137</v>
      </c>
      <c r="Q462" s="0" t="s">
        <v>130</v>
      </c>
      <c r="R462" s="0" t="s">
        <v>138</v>
      </c>
      <c r="S462" s="14">
        <v>0</v>
      </c>
      <c r="T462" s="0" t="s">
        <v>394</v>
      </c>
      <c r="U462" s="0" t="s">
        <v>138</v>
      </c>
      <c r="V462" s="14" t="s">
        <v>138</v>
      </c>
      <c r="W462" s="0" t="s">
        <v>138</v>
      </c>
      <c r="X462" s="14" t="s">
        <v>138</v>
      </c>
      <c r="Y462" s="0" t="s">
        <v>138</v>
      </c>
      <c r="Z462" s="14" t="s">
        <v>138</v>
      </c>
      <c r="AA462" s="0" t="s">
        <v>138</v>
      </c>
      <c r="AB462" s="14" t="s">
        <v>138</v>
      </c>
      <c r="AD462" s="0" t="s">
        <v>138</v>
      </c>
      <c r="AF462" s="0">
        <v>0</v>
      </c>
      <c r="AG462" s="0">
        <v>0</v>
      </c>
      <c r="AH462" s="0" t="s">
        <v>140</v>
      </c>
      <c r="AI462" s="0" t="s">
        <v>138</v>
      </c>
      <c r="AL462" s="14"/>
      <c r="AN462" s="14"/>
      <c r="AQ462" s="0" t="s">
        <v>130</v>
      </c>
      <c r="AR462" s="0" t="s">
        <v>130</v>
      </c>
      <c r="AS462" s="0" t="s">
        <v>130</v>
      </c>
      <c r="AT462" s="0" t="s">
        <v>130</v>
      </c>
      <c r="AU462" s="0" t="s">
        <v>130</v>
      </c>
      <c r="AV462" s="0" t="s">
        <v>130</v>
      </c>
      <c r="AW462" s="0" t="s">
        <v>130</v>
      </c>
      <c r="AX462" s="0" t="s">
        <v>130</v>
      </c>
      <c r="AY462" s="0" t="s">
        <v>130</v>
      </c>
      <c r="AZ462" s="0" t="s">
        <v>130</v>
      </c>
      <c r="BA462" s="0" t="s">
        <v>130</v>
      </c>
      <c r="BB462" s="0" t="s">
        <v>130</v>
      </c>
      <c r="BC462" s="0" t="s">
        <v>130</v>
      </c>
      <c r="BD462" s="0" t="s">
        <v>130</v>
      </c>
      <c r="BE462" s="0" t="s">
        <v>130</v>
      </c>
      <c r="BF462" s="0" t="s">
        <v>130</v>
      </c>
      <c r="BG462" s="0" t="s">
        <v>130</v>
      </c>
      <c r="BH462" s="0" t="s">
        <v>130</v>
      </c>
      <c r="BI462" s="0" t="s">
        <v>130</v>
      </c>
      <c r="BJ462" s="0" t="s">
        <v>130</v>
      </c>
      <c r="BK462" s="0" t="s">
        <v>130</v>
      </c>
      <c r="BL462" s="0" t="s">
        <v>130</v>
      </c>
      <c r="BM462" s="0" t="s">
        <v>130</v>
      </c>
      <c r="BN462" s="0" t="s">
        <v>130</v>
      </c>
      <c r="BO462" s="0" t="s">
        <v>130</v>
      </c>
      <c r="BP462" s="0" t="s">
        <v>130</v>
      </c>
      <c r="BQ462" s="0" t="s">
        <v>130</v>
      </c>
      <c r="BR462" s="0" t="s">
        <v>130</v>
      </c>
      <c r="BS462" s="0" t="s">
        <v>130</v>
      </c>
      <c r="BT462" s="0" t="s">
        <v>130</v>
      </c>
      <c r="BU462" s="0" t="s">
        <v>130</v>
      </c>
      <c r="BV462" s="0" t="s">
        <v>130</v>
      </c>
      <c r="BW462" s="0" t="s">
        <v>130</v>
      </c>
      <c r="BX462" s="0" t="s">
        <v>130</v>
      </c>
      <c r="BY462" s="0" t="s">
        <v>130</v>
      </c>
      <c r="BZ462" s="0" t="s">
        <v>130</v>
      </c>
      <c r="CA462" s="0" t="s">
        <v>130</v>
      </c>
      <c r="CB462" s="0" t="s">
        <v>130</v>
      </c>
      <c r="CC462" s="0" t="s">
        <v>130</v>
      </c>
      <c r="CD462" s="0" t="s">
        <v>130</v>
      </c>
      <c r="CE462" s="0" t="s">
        <v>130</v>
      </c>
      <c r="CF462" s="0" t="s">
        <v>130</v>
      </c>
      <c r="CG462" s="0" t="s">
        <v>130</v>
      </c>
      <c r="CH462" s="0" t="s">
        <v>130</v>
      </c>
      <c r="CI462" s="0" t="s">
        <v>130</v>
      </c>
      <c r="CJ462" s="0" t="s">
        <v>130</v>
      </c>
      <c r="CK462" s="0" t="s">
        <v>141</v>
      </c>
      <c r="CL462" s="0" t="s">
        <v>130</v>
      </c>
      <c r="CM462" s="0" t="s">
        <v>130</v>
      </c>
      <c r="CN462" s="0" t="s">
        <v>130</v>
      </c>
      <c r="CO462" s="0" t="s">
        <v>130</v>
      </c>
      <c r="CP462" s="0" t="s">
        <v>130</v>
      </c>
      <c r="CQ462" s="0" t="s">
        <v>130</v>
      </c>
      <c r="CR462" s="0" t="s">
        <v>130</v>
      </c>
      <c r="CS462" s="0" t="s">
        <v>130</v>
      </c>
      <c r="CT462" s="0" t="s">
        <v>1595</v>
      </c>
    </row>
    <row r="463">
      <c r="A463" s="14">
        <v>101376</v>
      </c>
      <c r="B463" s="0" t="s">
        <v>1578</v>
      </c>
      <c r="C463" s="16">
        <f>HYPERLINK("https://eosportal.federatedhermes.com/companies/Q29tcGFueQppNzU2NzU=", "AT&amp;T Inc")</f>
      </c>
      <c r="D463" s="0" t="s">
        <v>25</v>
      </c>
      <c r="E463" s="0" t="s">
        <v>1596</v>
      </c>
      <c r="F463" s="16">
        <f>HYPERLINK("https://eosportal.federatedhermes.com/engagements/RW5nYWdlbWVudAppMjA0NjQ=", "Disclosure on perception of capital allocation reducing shareholder rights")</f>
      </c>
      <c r="G463" s="14" t="s">
        <v>1597</v>
      </c>
      <c r="H463" s="0" t="s">
        <v>141</v>
      </c>
      <c r="I463" s="14" t="s">
        <v>131</v>
      </c>
      <c r="J463" s="0" t="s">
        <v>132</v>
      </c>
      <c r="K463" s="0" t="s">
        <v>133</v>
      </c>
      <c r="L463" s="0" t="s">
        <v>753</v>
      </c>
      <c r="M463" s="0" t="s">
        <v>135</v>
      </c>
      <c r="N463" s="0" t="s">
        <v>136</v>
      </c>
      <c r="O463" s="0" t="s">
        <v>137</v>
      </c>
      <c r="Q463" s="0" t="s">
        <v>130</v>
      </c>
      <c r="R463" s="0" t="s">
        <v>138</v>
      </c>
      <c r="S463" s="14">
        <v>0</v>
      </c>
      <c r="T463" s="0" t="s">
        <v>394</v>
      </c>
      <c r="U463" s="0" t="s">
        <v>138</v>
      </c>
      <c r="V463" s="14" t="s">
        <v>138</v>
      </c>
      <c r="W463" s="0" t="s">
        <v>138</v>
      </c>
      <c r="X463" s="14" t="s">
        <v>138</v>
      </c>
      <c r="Y463" s="0" t="s">
        <v>138</v>
      </c>
      <c r="Z463" s="14" t="s">
        <v>138</v>
      </c>
      <c r="AA463" s="0" t="s">
        <v>138</v>
      </c>
      <c r="AB463" s="14" t="s">
        <v>138</v>
      </c>
      <c r="AD463" s="0" t="s">
        <v>138</v>
      </c>
      <c r="AF463" s="0">
        <v>0</v>
      </c>
      <c r="AG463" s="0">
        <v>0</v>
      </c>
      <c r="AH463" s="0" t="s">
        <v>140</v>
      </c>
      <c r="AI463" s="0" t="s">
        <v>138</v>
      </c>
      <c r="AL463" s="14"/>
      <c r="AN463" s="14"/>
      <c r="AQ463" s="0" t="s">
        <v>130</v>
      </c>
      <c r="AR463" s="0" t="s">
        <v>130</v>
      </c>
      <c r="AS463" s="0" t="s">
        <v>130</v>
      </c>
      <c r="AT463" s="0" t="s">
        <v>130</v>
      </c>
      <c r="AU463" s="0" t="s">
        <v>130</v>
      </c>
      <c r="AV463" s="0" t="s">
        <v>130</v>
      </c>
      <c r="AW463" s="0" t="s">
        <v>130</v>
      </c>
      <c r="AX463" s="0" t="s">
        <v>130</v>
      </c>
      <c r="AY463" s="0" t="s">
        <v>130</v>
      </c>
      <c r="AZ463" s="0" t="s">
        <v>130</v>
      </c>
      <c r="BA463" s="0" t="s">
        <v>130</v>
      </c>
      <c r="BB463" s="0" t="s">
        <v>130</v>
      </c>
      <c r="BC463" s="0" t="s">
        <v>130</v>
      </c>
      <c r="BD463" s="0" t="s">
        <v>130</v>
      </c>
      <c r="BE463" s="0" t="s">
        <v>130</v>
      </c>
      <c r="BF463" s="0" t="s">
        <v>130</v>
      </c>
      <c r="BG463" s="0" t="s">
        <v>130</v>
      </c>
      <c r="BH463" s="0" t="s">
        <v>130</v>
      </c>
      <c r="BI463" s="0" t="s">
        <v>130</v>
      </c>
      <c r="BJ463" s="0" t="s">
        <v>130</v>
      </c>
      <c r="BK463" s="0" t="s">
        <v>130</v>
      </c>
      <c r="BL463" s="0" t="s">
        <v>130</v>
      </c>
      <c r="BM463" s="0" t="s">
        <v>130</v>
      </c>
      <c r="BN463" s="0" t="s">
        <v>130</v>
      </c>
      <c r="BO463" s="0" t="s">
        <v>130</v>
      </c>
      <c r="BP463" s="0" t="s">
        <v>130</v>
      </c>
      <c r="BQ463" s="0" t="s">
        <v>130</v>
      </c>
      <c r="BR463" s="0" t="s">
        <v>130</v>
      </c>
      <c r="BS463" s="0" t="s">
        <v>130</v>
      </c>
      <c r="BT463" s="0" t="s">
        <v>130</v>
      </c>
      <c r="BU463" s="0" t="s">
        <v>130</v>
      </c>
      <c r="BV463" s="0" t="s">
        <v>130</v>
      </c>
      <c r="BW463" s="0" t="s">
        <v>130</v>
      </c>
      <c r="BX463" s="0" t="s">
        <v>130</v>
      </c>
      <c r="BY463" s="0" t="s">
        <v>130</v>
      </c>
      <c r="BZ463" s="0" t="s">
        <v>130</v>
      </c>
      <c r="CA463" s="0" t="s">
        <v>130</v>
      </c>
      <c r="CB463" s="0" t="s">
        <v>130</v>
      </c>
      <c r="CC463" s="0" t="s">
        <v>130</v>
      </c>
      <c r="CD463" s="0" t="s">
        <v>130</v>
      </c>
      <c r="CE463" s="0" t="s">
        <v>130</v>
      </c>
      <c r="CF463" s="0" t="s">
        <v>130</v>
      </c>
      <c r="CG463" s="0" t="s">
        <v>130</v>
      </c>
      <c r="CH463" s="0" t="s">
        <v>130</v>
      </c>
      <c r="CI463" s="0" t="s">
        <v>130</v>
      </c>
      <c r="CJ463" s="0" t="s">
        <v>130</v>
      </c>
      <c r="CK463" s="0" t="s">
        <v>130</v>
      </c>
      <c r="CL463" s="0" t="s">
        <v>130</v>
      </c>
      <c r="CM463" s="0" t="s">
        <v>130</v>
      </c>
      <c r="CN463" s="0" t="s">
        <v>130</v>
      </c>
      <c r="CO463" s="0" t="s">
        <v>130</v>
      </c>
      <c r="CP463" s="0" t="s">
        <v>130</v>
      </c>
      <c r="CQ463" s="0" t="s">
        <v>130</v>
      </c>
      <c r="CR463" s="0" t="s">
        <v>130</v>
      </c>
      <c r="CS463" s="0" t="s">
        <v>130</v>
      </c>
      <c r="CT463" s="0" t="s">
        <v>1598</v>
      </c>
    </row>
    <row r="464">
      <c r="A464" s="14">
        <v>101376</v>
      </c>
      <c r="B464" s="0" t="s">
        <v>1578</v>
      </c>
      <c r="C464" s="16">
        <f>HYPERLINK("https://eosportal.federatedhermes.com/companies/Q29tcGFueQppNzU2NzU=", "AT&amp;T Inc")</f>
      </c>
      <c r="D464" s="0" t="s">
        <v>25</v>
      </c>
      <c r="E464" s="0" t="s">
        <v>236</v>
      </c>
      <c r="F464" s="16">
        <f>HYPERLINK("https://eosportal.federatedhermes.com/engagements/RW5nYWdlbWVudAppMjA0NjU=", "Executive pay")</f>
      </c>
      <c r="G464" s="14" t="s">
        <v>1599</v>
      </c>
      <c r="H464" s="0" t="s">
        <v>141</v>
      </c>
      <c r="I464" s="14" t="s">
        <v>131</v>
      </c>
      <c r="J464" s="0" t="s">
        <v>145</v>
      </c>
      <c r="K464" s="0" t="s">
        <v>146</v>
      </c>
      <c r="L464" s="0" t="s">
        <v>147</v>
      </c>
      <c r="M464" s="0" t="s">
        <v>135</v>
      </c>
      <c r="N464" s="0" t="s">
        <v>136</v>
      </c>
      <c r="O464" s="0" t="s">
        <v>137</v>
      </c>
      <c r="Q464" s="0" t="s">
        <v>130</v>
      </c>
      <c r="R464" s="0" t="s">
        <v>138</v>
      </c>
      <c r="S464" s="14">
        <v>0</v>
      </c>
      <c r="T464" s="0" t="s">
        <v>239</v>
      </c>
      <c r="U464" s="0" t="s">
        <v>138</v>
      </c>
      <c r="V464" s="14" t="s">
        <v>138</v>
      </c>
      <c r="W464" s="0" t="s">
        <v>138</v>
      </c>
      <c r="X464" s="14" t="s">
        <v>138</v>
      </c>
      <c r="Y464" s="0" t="s">
        <v>138</v>
      </c>
      <c r="Z464" s="14" t="s">
        <v>138</v>
      </c>
      <c r="AA464" s="0" t="s">
        <v>138</v>
      </c>
      <c r="AB464" s="14" t="s">
        <v>138</v>
      </c>
      <c r="AD464" s="0" t="s">
        <v>138</v>
      </c>
      <c r="AF464" s="0">
        <v>0</v>
      </c>
      <c r="AG464" s="0">
        <v>0</v>
      </c>
      <c r="AH464" s="0" t="s">
        <v>140</v>
      </c>
      <c r="AI464" s="0" t="s">
        <v>138</v>
      </c>
      <c r="AL464" s="14"/>
      <c r="AN464" s="14"/>
      <c r="AQ464" s="0" t="s">
        <v>130</v>
      </c>
      <c r="AR464" s="0" t="s">
        <v>130</v>
      </c>
      <c r="AS464" s="0" t="s">
        <v>130</v>
      </c>
      <c r="AT464" s="0" t="s">
        <v>130</v>
      </c>
      <c r="AU464" s="0" t="s">
        <v>130</v>
      </c>
      <c r="AV464" s="0" t="s">
        <v>130</v>
      </c>
      <c r="AW464" s="0" t="s">
        <v>130</v>
      </c>
      <c r="AX464" s="0" t="s">
        <v>130</v>
      </c>
      <c r="AY464" s="0" t="s">
        <v>130</v>
      </c>
      <c r="AZ464" s="0" t="s">
        <v>130</v>
      </c>
      <c r="BA464" s="0" t="s">
        <v>130</v>
      </c>
      <c r="BB464" s="0" t="s">
        <v>130</v>
      </c>
      <c r="BC464" s="0" t="s">
        <v>130</v>
      </c>
      <c r="BD464" s="0" t="s">
        <v>130</v>
      </c>
      <c r="BE464" s="0" t="s">
        <v>130</v>
      </c>
      <c r="BF464" s="0" t="s">
        <v>130</v>
      </c>
      <c r="BG464" s="0" t="s">
        <v>130</v>
      </c>
      <c r="BH464" s="0" t="s">
        <v>130</v>
      </c>
      <c r="BI464" s="0" t="s">
        <v>130</v>
      </c>
      <c r="BJ464" s="0" t="s">
        <v>130</v>
      </c>
      <c r="BK464" s="0" t="s">
        <v>130</v>
      </c>
      <c r="BL464" s="0" t="s">
        <v>130</v>
      </c>
      <c r="BM464" s="0" t="s">
        <v>130</v>
      </c>
      <c r="BN464" s="0" t="s">
        <v>130</v>
      </c>
      <c r="BO464" s="0" t="s">
        <v>130</v>
      </c>
      <c r="BP464" s="0" t="s">
        <v>130</v>
      </c>
      <c r="BQ464" s="0" t="s">
        <v>130</v>
      </c>
      <c r="BR464" s="0" t="s">
        <v>130</v>
      </c>
      <c r="BS464" s="0" t="s">
        <v>130</v>
      </c>
      <c r="BT464" s="0" t="s">
        <v>130</v>
      </c>
      <c r="BU464" s="0" t="s">
        <v>130</v>
      </c>
      <c r="BV464" s="0" t="s">
        <v>130</v>
      </c>
      <c r="BW464" s="0" t="s">
        <v>130</v>
      </c>
      <c r="BX464" s="0" t="s">
        <v>130</v>
      </c>
      <c r="BY464" s="0" t="s">
        <v>130</v>
      </c>
      <c r="BZ464" s="0" t="s">
        <v>130</v>
      </c>
      <c r="CA464" s="0" t="s">
        <v>130</v>
      </c>
      <c r="CB464" s="0" t="s">
        <v>130</v>
      </c>
      <c r="CC464" s="0" t="s">
        <v>130</v>
      </c>
      <c r="CD464" s="0" t="s">
        <v>130</v>
      </c>
      <c r="CE464" s="0" t="s">
        <v>130</v>
      </c>
      <c r="CF464" s="0" t="s">
        <v>130</v>
      </c>
      <c r="CG464" s="0" t="s">
        <v>130</v>
      </c>
      <c r="CH464" s="0" t="s">
        <v>130</v>
      </c>
      <c r="CI464" s="0" t="s">
        <v>130</v>
      </c>
      <c r="CJ464" s="0" t="s">
        <v>130</v>
      </c>
      <c r="CK464" s="0" t="s">
        <v>130</v>
      </c>
      <c r="CL464" s="0" t="s">
        <v>130</v>
      </c>
      <c r="CM464" s="0" t="s">
        <v>130</v>
      </c>
      <c r="CN464" s="0" t="s">
        <v>130</v>
      </c>
      <c r="CO464" s="0" t="s">
        <v>130</v>
      </c>
      <c r="CP464" s="0" t="s">
        <v>130</v>
      </c>
      <c r="CQ464" s="0" t="s">
        <v>130</v>
      </c>
      <c r="CR464" s="0" t="s">
        <v>130</v>
      </c>
      <c r="CS464" s="0" t="s">
        <v>130</v>
      </c>
      <c r="CT464" s="0" t="s">
        <v>1600</v>
      </c>
    </row>
    <row r="465">
      <c r="A465" s="14">
        <v>101450</v>
      </c>
      <c r="B465" s="0" t="s">
        <v>1601</v>
      </c>
      <c r="C465" s="16">
        <f>HYPERLINK("https://eosportal.federatedhermes.com/companies/Q29tcGFueQppNjUwODQ=", "Telefonica SA")</f>
      </c>
      <c r="D465" s="0" t="s">
        <v>25</v>
      </c>
      <c r="E465" s="0" t="s">
        <v>1602</v>
      </c>
      <c r="F465" s="16">
        <f>HYPERLINK("https://eosportal.federatedhermes.com/engagements/RW5nYWdlbWVudAppMjA2MDU=", "Anti-competitive practices")</f>
      </c>
      <c r="G465" s="14" t="s">
        <v>1603</v>
      </c>
      <c r="H465" s="0" t="s">
        <v>141</v>
      </c>
      <c r="I465" s="14" t="s">
        <v>131</v>
      </c>
      <c r="J465" s="0" t="s">
        <v>153</v>
      </c>
      <c r="K465" s="0" t="s">
        <v>185</v>
      </c>
      <c r="L465" s="0" t="s">
        <v>186</v>
      </c>
      <c r="M465" s="0" t="s">
        <v>378</v>
      </c>
      <c r="N465" s="0" t="s">
        <v>379</v>
      </c>
      <c r="O465" s="0" t="s">
        <v>137</v>
      </c>
      <c r="Q465" s="0" t="s">
        <v>130</v>
      </c>
      <c r="R465" s="0" t="s">
        <v>138</v>
      </c>
      <c r="S465" s="14">
        <v>0</v>
      </c>
      <c r="T465" s="0" t="s">
        <v>314</v>
      </c>
      <c r="U465" s="0" t="s">
        <v>138</v>
      </c>
      <c r="V465" s="14" t="s">
        <v>138</v>
      </c>
      <c r="W465" s="0" t="s">
        <v>138</v>
      </c>
      <c r="X465" s="14" t="s">
        <v>138</v>
      </c>
      <c r="Y465" s="0" t="s">
        <v>138</v>
      </c>
      <c r="Z465" s="14" t="s">
        <v>138</v>
      </c>
      <c r="AA465" s="0" t="s">
        <v>138</v>
      </c>
      <c r="AB465" s="14" t="s">
        <v>138</v>
      </c>
      <c r="AD465" s="0" t="s">
        <v>138</v>
      </c>
      <c r="AF465" s="0">
        <v>0</v>
      </c>
      <c r="AG465" s="0">
        <v>0</v>
      </c>
      <c r="AH465" s="0" t="s">
        <v>140</v>
      </c>
      <c r="AI465" s="0" t="s">
        <v>138</v>
      </c>
      <c r="AL465" s="14"/>
      <c r="AN465" s="14"/>
      <c r="AQ465" s="0" t="s">
        <v>130</v>
      </c>
      <c r="AR465" s="0" t="s">
        <v>130</v>
      </c>
      <c r="AS465" s="0" t="s">
        <v>130</v>
      </c>
      <c r="AT465" s="0" t="s">
        <v>130</v>
      </c>
      <c r="AU465" s="0" t="s">
        <v>130</v>
      </c>
      <c r="AV465" s="0" t="s">
        <v>130</v>
      </c>
      <c r="AW465" s="0" t="s">
        <v>130</v>
      </c>
      <c r="AX465" s="0" t="s">
        <v>130</v>
      </c>
      <c r="AY465" s="0" t="s">
        <v>130</v>
      </c>
      <c r="AZ465" s="0" t="s">
        <v>130</v>
      </c>
      <c r="BA465" s="0" t="s">
        <v>130</v>
      </c>
      <c r="BB465" s="0" t="s">
        <v>130</v>
      </c>
      <c r="BC465" s="0" t="s">
        <v>130</v>
      </c>
      <c r="BD465" s="0" t="s">
        <v>130</v>
      </c>
      <c r="BE465" s="0" t="s">
        <v>130</v>
      </c>
      <c r="BF465" s="0" t="s">
        <v>130</v>
      </c>
      <c r="BG465" s="0" t="s">
        <v>130</v>
      </c>
      <c r="BH465" s="0" t="s">
        <v>130</v>
      </c>
      <c r="BI465" s="0" t="s">
        <v>130</v>
      </c>
      <c r="BJ465" s="0" t="s">
        <v>130</v>
      </c>
      <c r="BK465" s="0" t="s">
        <v>130</v>
      </c>
      <c r="BL465" s="0" t="s">
        <v>130</v>
      </c>
      <c r="BM465" s="0" t="s">
        <v>130</v>
      </c>
      <c r="BN465" s="0" t="s">
        <v>130</v>
      </c>
      <c r="BO465" s="0" t="s">
        <v>130</v>
      </c>
      <c r="BP465" s="0" t="s">
        <v>130</v>
      </c>
      <c r="BQ465" s="0" t="s">
        <v>130</v>
      </c>
      <c r="BR465" s="0" t="s">
        <v>130</v>
      </c>
      <c r="BS465" s="0" t="s">
        <v>130</v>
      </c>
      <c r="BT465" s="0" t="s">
        <v>130</v>
      </c>
      <c r="BU465" s="0" t="s">
        <v>130</v>
      </c>
      <c r="BV465" s="0" t="s">
        <v>130</v>
      </c>
      <c r="BW465" s="0" t="s">
        <v>130</v>
      </c>
      <c r="BX465" s="0" t="s">
        <v>130</v>
      </c>
      <c r="BY465" s="0" t="s">
        <v>130</v>
      </c>
      <c r="BZ465" s="0" t="s">
        <v>130</v>
      </c>
      <c r="CA465" s="0" t="s">
        <v>130</v>
      </c>
      <c r="CB465" s="0" t="s">
        <v>130</v>
      </c>
      <c r="CC465" s="0" t="s">
        <v>130</v>
      </c>
      <c r="CD465" s="0" t="s">
        <v>130</v>
      </c>
      <c r="CE465" s="0" t="s">
        <v>130</v>
      </c>
      <c r="CF465" s="0" t="s">
        <v>130</v>
      </c>
      <c r="CG465" s="0" t="s">
        <v>130</v>
      </c>
      <c r="CH465" s="0" t="s">
        <v>130</v>
      </c>
      <c r="CI465" s="0" t="s">
        <v>130</v>
      </c>
      <c r="CJ465" s="0" t="s">
        <v>130</v>
      </c>
      <c r="CK465" s="0" t="s">
        <v>130</v>
      </c>
      <c r="CL465" s="0" t="s">
        <v>130</v>
      </c>
      <c r="CM465" s="0" t="s">
        <v>130</v>
      </c>
      <c r="CN465" s="0" t="s">
        <v>130</v>
      </c>
      <c r="CO465" s="0" t="s">
        <v>130</v>
      </c>
      <c r="CP465" s="0" t="s">
        <v>130</v>
      </c>
      <c r="CQ465" s="0" t="s">
        <v>130</v>
      </c>
      <c r="CR465" s="0" t="s">
        <v>130</v>
      </c>
      <c r="CS465" s="0" t="s">
        <v>130</v>
      </c>
      <c r="CT465" s="0" t="s">
        <v>1604</v>
      </c>
    </row>
    <row r="466">
      <c r="A466" s="14">
        <v>101450</v>
      </c>
      <c r="B466" s="0" t="s">
        <v>1601</v>
      </c>
      <c r="C466" s="16">
        <f>HYPERLINK("https://eosportal.federatedhermes.com/companies/Q29tcGFueQppNjUwODQ=", "Telefonica SA")</f>
      </c>
      <c r="D466" s="0" t="s">
        <v>25</v>
      </c>
      <c r="E466" s="0" t="s">
        <v>341</v>
      </c>
      <c r="F466" s="16">
        <f>HYPERLINK("https://eosportal.federatedhermes.com/engagements/RW5nYWdlbWVudAppMjA2MDY=", "Remuneration")</f>
      </c>
      <c r="G466" s="14" t="s">
        <v>1605</v>
      </c>
      <c r="H466" s="0" t="s">
        <v>141</v>
      </c>
      <c r="I466" s="14" t="s">
        <v>131</v>
      </c>
      <c r="J466" s="0" t="s">
        <v>145</v>
      </c>
      <c r="K466" s="0" t="s">
        <v>146</v>
      </c>
      <c r="L466" s="0" t="s">
        <v>147</v>
      </c>
      <c r="M466" s="0" t="s">
        <v>378</v>
      </c>
      <c r="N466" s="0" t="s">
        <v>379</v>
      </c>
      <c r="O466" s="0" t="s">
        <v>137</v>
      </c>
      <c r="Q466" s="0" t="s">
        <v>141</v>
      </c>
      <c r="R466" s="0" t="s">
        <v>138</v>
      </c>
      <c r="S466" s="14">
        <v>1</v>
      </c>
      <c r="T466" s="0" t="s">
        <v>239</v>
      </c>
      <c r="U466" s="0" t="s">
        <v>138</v>
      </c>
      <c r="V466" s="14" t="s">
        <v>138</v>
      </c>
      <c r="W466" s="0" t="s">
        <v>138</v>
      </c>
      <c r="X466" s="14" t="s">
        <v>138</v>
      </c>
      <c r="Y466" s="0" t="s">
        <v>138</v>
      </c>
      <c r="Z466" s="14" t="s">
        <v>138</v>
      </c>
      <c r="AA466" s="0" t="s">
        <v>138</v>
      </c>
      <c r="AB466" s="14" t="s">
        <v>138</v>
      </c>
      <c r="AD466" s="0" t="s">
        <v>138</v>
      </c>
      <c r="AF466" s="0">
        <v>0</v>
      </c>
      <c r="AG466" s="0">
        <v>0</v>
      </c>
      <c r="AH466" s="0" t="s">
        <v>140</v>
      </c>
      <c r="AI466" s="0" t="s">
        <v>138</v>
      </c>
      <c r="AK466" s="0" t="s">
        <v>339</v>
      </c>
      <c r="AL466" s="14"/>
      <c r="AN466" s="14"/>
      <c r="AQ466" s="0" t="s">
        <v>130</v>
      </c>
      <c r="AR466" s="0" t="s">
        <v>130</v>
      </c>
      <c r="AS466" s="0" t="s">
        <v>130</v>
      </c>
      <c r="AT466" s="0" t="s">
        <v>130</v>
      </c>
      <c r="AU466" s="0" t="s">
        <v>130</v>
      </c>
      <c r="AV466" s="0" t="s">
        <v>130</v>
      </c>
      <c r="AW466" s="0" t="s">
        <v>130</v>
      </c>
      <c r="AX466" s="0" t="s">
        <v>130</v>
      </c>
      <c r="AY466" s="0" t="s">
        <v>130</v>
      </c>
      <c r="AZ466" s="0" t="s">
        <v>130</v>
      </c>
      <c r="BA466" s="0" t="s">
        <v>130</v>
      </c>
      <c r="BB466" s="0" t="s">
        <v>130</v>
      </c>
      <c r="BC466" s="0" t="s">
        <v>130</v>
      </c>
      <c r="BD466" s="0" t="s">
        <v>130</v>
      </c>
      <c r="BE466" s="0" t="s">
        <v>130</v>
      </c>
      <c r="BF466" s="0" t="s">
        <v>130</v>
      </c>
      <c r="BG466" s="0" t="s">
        <v>130</v>
      </c>
      <c r="BH466" s="0" t="s">
        <v>130</v>
      </c>
      <c r="BI466" s="0" t="s">
        <v>130</v>
      </c>
      <c r="BJ466" s="0" t="s">
        <v>130</v>
      </c>
      <c r="BK466" s="0" t="s">
        <v>130</v>
      </c>
      <c r="BL466" s="0" t="s">
        <v>130</v>
      </c>
      <c r="BM466" s="0" t="s">
        <v>130</v>
      </c>
      <c r="BN466" s="0" t="s">
        <v>130</v>
      </c>
      <c r="BO466" s="0" t="s">
        <v>130</v>
      </c>
      <c r="BP466" s="0" t="s">
        <v>130</v>
      </c>
      <c r="BQ466" s="0" t="s">
        <v>130</v>
      </c>
      <c r="BR466" s="0" t="s">
        <v>130</v>
      </c>
      <c r="BS466" s="0" t="s">
        <v>130</v>
      </c>
      <c r="BT466" s="0" t="s">
        <v>130</v>
      </c>
      <c r="BU466" s="0" t="s">
        <v>130</v>
      </c>
      <c r="BV466" s="0" t="s">
        <v>130</v>
      </c>
      <c r="BW466" s="0" t="s">
        <v>130</v>
      </c>
      <c r="BX466" s="0" t="s">
        <v>130</v>
      </c>
      <c r="BY466" s="0" t="s">
        <v>130</v>
      </c>
      <c r="BZ466" s="0" t="s">
        <v>130</v>
      </c>
      <c r="CA466" s="0" t="s">
        <v>130</v>
      </c>
      <c r="CB466" s="0" t="s">
        <v>130</v>
      </c>
      <c r="CC466" s="0" t="s">
        <v>130</v>
      </c>
      <c r="CD466" s="0" t="s">
        <v>130</v>
      </c>
      <c r="CE466" s="0" t="s">
        <v>130</v>
      </c>
      <c r="CF466" s="0" t="s">
        <v>130</v>
      </c>
      <c r="CG466" s="0" t="s">
        <v>130</v>
      </c>
      <c r="CH466" s="0" t="s">
        <v>130</v>
      </c>
      <c r="CI466" s="0" t="s">
        <v>130</v>
      </c>
      <c r="CJ466" s="0" t="s">
        <v>130</v>
      </c>
      <c r="CK466" s="0" t="s">
        <v>130</v>
      </c>
      <c r="CL466" s="0" t="s">
        <v>130</v>
      </c>
      <c r="CM466" s="0" t="s">
        <v>130</v>
      </c>
      <c r="CN466" s="0" t="s">
        <v>130</v>
      </c>
      <c r="CO466" s="0" t="s">
        <v>130</v>
      </c>
      <c r="CP466" s="0" t="s">
        <v>130</v>
      </c>
      <c r="CQ466" s="0" t="s">
        <v>130</v>
      </c>
      <c r="CR466" s="0" t="s">
        <v>130</v>
      </c>
      <c r="CS466" s="0" t="s">
        <v>130</v>
      </c>
      <c r="CT466" s="0" t="s">
        <v>1606</v>
      </c>
    </row>
    <row r="467">
      <c r="A467" s="14">
        <v>101450</v>
      </c>
      <c r="B467" s="0" t="s">
        <v>1601</v>
      </c>
      <c r="C467" s="16">
        <f>HYPERLINK("https://eosportal.federatedhermes.com/companies/Q29tcGFueQppNjUwODQ=", "Telefonica SA")</f>
      </c>
      <c r="D467" s="0" t="s">
        <v>25</v>
      </c>
      <c r="E467" s="0" t="s">
        <v>1607</v>
      </c>
      <c r="F467" s="16">
        <f>HYPERLINK("https://eosportal.federatedhermes.com/engagements/RW5nYWdlbWVudAppMjA2MTQ=", "Data privacy and security")</f>
      </c>
      <c r="G467" s="14" t="s">
        <v>1608</v>
      </c>
      <c r="H467" s="0" t="s">
        <v>141</v>
      </c>
      <c r="I467" s="14" t="s">
        <v>131</v>
      </c>
      <c r="J467" s="0" t="s">
        <v>153</v>
      </c>
      <c r="K467" s="0" t="s">
        <v>243</v>
      </c>
      <c r="L467" s="0" t="s">
        <v>537</v>
      </c>
      <c r="M467" s="0" t="s">
        <v>378</v>
      </c>
      <c r="N467" s="0" t="s">
        <v>379</v>
      </c>
      <c r="O467" s="0" t="s">
        <v>137</v>
      </c>
      <c r="Q467" s="0" t="s">
        <v>130</v>
      </c>
      <c r="R467" s="0" t="s">
        <v>138</v>
      </c>
      <c r="S467" s="14">
        <v>0</v>
      </c>
      <c r="T467" s="0" t="s">
        <v>416</v>
      </c>
      <c r="U467" s="0" t="s">
        <v>138</v>
      </c>
      <c r="V467" s="14" t="s">
        <v>138</v>
      </c>
      <c r="W467" s="0" t="s">
        <v>138</v>
      </c>
      <c r="X467" s="14" t="s">
        <v>138</v>
      </c>
      <c r="Y467" s="0" t="s">
        <v>138</v>
      </c>
      <c r="Z467" s="14" t="s">
        <v>138</v>
      </c>
      <c r="AA467" s="0" t="s">
        <v>138</v>
      </c>
      <c r="AB467" s="14" t="s">
        <v>138</v>
      </c>
      <c r="AD467" s="0" t="s">
        <v>138</v>
      </c>
      <c r="AF467" s="0">
        <v>0</v>
      </c>
      <c r="AG467" s="0">
        <v>0</v>
      </c>
      <c r="AH467" s="0" t="s">
        <v>140</v>
      </c>
      <c r="AI467" s="0" t="s">
        <v>138</v>
      </c>
      <c r="AL467" s="14"/>
      <c r="AN467" s="14"/>
      <c r="AQ467" s="0" t="s">
        <v>130</v>
      </c>
      <c r="AR467" s="0" t="s">
        <v>130</v>
      </c>
      <c r="AS467" s="0" t="s">
        <v>130</v>
      </c>
      <c r="AT467" s="0" t="s">
        <v>130</v>
      </c>
      <c r="AU467" s="0" t="s">
        <v>130</v>
      </c>
      <c r="AV467" s="0" t="s">
        <v>130</v>
      </c>
      <c r="AW467" s="0" t="s">
        <v>130</v>
      </c>
      <c r="AX467" s="0" t="s">
        <v>130</v>
      </c>
      <c r="AY467" s="0" t="s">
        <v>130</v>
      </c>
      <c r="AZ467" s="0" t="s">
        <v>130</v>
      </c>
      <c r="BA467" s="0" t="s">
        <v>130</v>
      </c>
      <c r="BB467" s="0" t="s">
        <v>130</v>
      </c>
      <c r="BC467" s="0" t="s">
        <v>130</v>
      </c>
      <c r="BD467" s="0" t="s">
        <v>130</v>
      </c>
      <c r="BE467" s="0" t="s">
        <v>130</v>
      </c>
      <c r="BF467" s="0" t="s">
        <v>130</v>
      </c>
      <c r="BG467" s="0" t="s">
        <v>130</v>
      </c>
      <c r="BH467" s="0" t="s">
        <v>130</v>
      </c>
      <c r="BI467" s="0" t="s">
        <v>130</v>
      </c>
      <c r="BJ467" s="0" t="s">
        <v>130</v>
      </c>
      <c r="BK467" s="0" t="s">
        <v>130</v>
      </c>
      <c r="BL467" s="0" t="s">
        <v>130</v>
      </c>
      <c r="BM467" s="0" t="s">
        <v>130</v>
      </c>
      <c r="BN467" s="0" t="s">
        <v>130</v>
      </c>
      <c r="BO467" s="0" t="s">
        <v>130</v>
      </c>
      <c r="BP467" s="0" t="s">
        <v>130</v>
      </c>
      <c r="BQ467" s="0" t="s">
        <v>130</v>
      </c>
      <c r="BR467" s="0" t="s">
        <v>130</v>
      </c>
      <c r="BS467" s="0" t="s">
        <v>130</v>
      </c>
      <c r="BT467" s="0" t="s">
        <v>130</v>
      </c>
      <c r="BU467" s="0" t="s">
        <v>130</v>
      </c>
      <c r="BV467" s="0" t="s">
        <v>130</v>
      </c>
      <c r="BW467" s="0" t="s">
        <v>130</v>
      </c>
      <c r="BX467" s="0" t="s">
        <v>130</v>
      </c>
      <c r="BY467" s="0" t="s">
        <v>130</v>
      </c>
      <c r="BZ467" s="0" t="s">
        <v>130</v>
      </c>
      <c r="CA467" s="0" t="s">
        <v>130</v>
      </c>
      <c r="CB467" s="0" t="s">
        <v>130</v>
      </c>
      <c r="CC467" s="0" t="s">
        <v>130</v>
      </c>
      <c r="CD467" s="0" t="s">
        <v>130</v>
      </c>
      <c r="CE467" s="0" t="s">
        <v>130</v>
      </c>
      <c r="CF467" s="0" t="s">
        <v>130</v>
      </c>
      <c r="CG467" s="0" t="s">
        <v>130</v>
      </c>
      <c r="CH467" s="0" t="s">
        <v>130</v>
      </c>
      <c r="CI467" s="0" t="s">
        <v>130</v>
      </c>
      <c r="CJ467" s="0" t="s">
        <v>130</v>
      </c>
      <c r="CK467" s="0" t="s">
        <v>130</v>
      </c>
      <c r="CL467" s="0" t="s">
        <v>130</v>
      </c>
      <c r="CM467" s="0" t="s">
        <v>130</v>
      </c>
      <c r="CN467" s="0" t="s">
        <v>130</v>
      </c>
      <c r="CO467" s="0" t="s">
        <v>130</v>
      </c>
      <c r="CP467" s="0" t="s">
        <v>130</v>
      </c>
      <c r="CQ467" s="0" t="s">
        <v>130</v>
      </c>
      <c r="CR467" s="0" t="s">
        <v>130</v>
      </c>
      <c r="CS467" s="0" t="s">
        <v>130</v>
      </c>
      <c r="CT467" s="0" t="s">
        <v>1609</v>
      </c>
    </row>
    <row r="468">
      <c r="A468" s="14">
        <v>101450</v>
      </c>
      <c r="B468" s="0" t="s">
        <v>1601</v>
      </c>
      <c r="C468" s="16">
        <f>HYPERLINK("https://eosportal.federatedhermes.com/companies/Q29tcGFueQppNjUwODQ=", "Telefonica SA")</f>
      </c>
      <c r="D468" s="0" t="s">
        <v>25</v>
      </c>
      <c r="E468" s="0" t="s">
        <v>1610</v>
      </c>
      <c r="F468" s="16">
        <f>HYPERLINK("https://eosportal.federatedhermes.com/engagements/RW5nYWdlbWVudAppMjA2MTY=", "Access to communications")</f>
      </c>
      <c r="G468" s="14" t="s">
        <v>1611</v>
      </c>
      <c r="H468" s="0" t="s">
        <v>141</v>
      </c>
      <c r="I468" s="14" t="s">
        <v>131</v>
      </c>
      <c r="J468" s="0" t="s">
        <v>153</v>
      </c>
      <c r="K468" s="0" t="s">
        <v>243</v>
      </c>
      <c r="L468" s="0" t="s">
        <v>537</v>
      </c>
      <c r="M468" s="0" t="s">
        <v>378</v>
      </c>
      <c r="N468" s="0" t="s">
        <v>379</v>
      </c>
      <c r="O468" s="0" t="s">
        <v>137</v>
      </c>
      <c r="Q468" s="0" t="s">
        <v>130</v>
      </c>
      <c r="R468" s="0" t="s">
        <v>138</v>
      </c>
      <c r="S468" s="14">
        <v>0</v>
      </c>
      <c r="T468" s="0" t="s">
        <v>139</v>
      </c>
      <c r="U468" s="0" t="s">
        <v>138</v>
      </c>
      <c r="V468" s="14" t="s">
        <v>138</v>
      </c>
      <c r="W468" s="0" t="s">
        <v>138</v>
      </c>
      <c r="X468" s="14" t="s">
        <v>138</v>
      </c>
      <c r="Y468" s="0" t="s">
        <v>138</v>
      </c>
      <c r="Z468" s="14" t="s">
        <v>138</v>
      </c>
      <c r="AA468" s="0" t="s">
        <v>138</v>
      </c>
      <c r="AB468" s="14" t="s">
        <v>138</v>
      </c>
      <c r="AD468" s="0" t="s">
        <v>138</v>
      </c>
      <c r="AF468" s="0">
        <v>0</v>
      </c>
      <c r="AG468" s="0">
        <v>0</v>
      </c>
      <c r="AH468" s="0" t="s">
        <v>140</v>
      </c>
      <c r="AI468" s="0" t="s">
        <v>138</v>
      </c>
      <c r="AL468" s="14"/>
      <c r="AN468" s="14"/>
      <c r="AQ468" s="0" t="s">
        <v>130</v>
      </c>
      <c r="AR468" s="0" t="s">
        <v>130</v>
      </c>
      <c r="AS468" s="0" t="s">
        <v>130</v>
      </c>
      <c r="AT468" s="0" t="s">
        <v>130</v>
      </c>
      <c r="AU468" s="0" t="s">
        <v>130</v>
      </c>
      <c r="AV468" s="0" t="s">
        <v>130</v>
      </c>
      <c r="AW468" s="0" t="s">
        <v>130</v>
      </c>
      <c r="AX468" s="0" t="s">
        <v>130</v>
      </c>
      <c r="AY468" s="0" t="s">
        <v>141</v>
      </c>
      <c r="AZ468" s="0" t="s">
        <v>141</v>
      </c>
      <c r="BA468" s="0" t="s">
        <v>130</v>
      </c>
      <c r="BB468" s="0" t="s">
        <v>130</v>
      </c>
      <c r="BC468" s="0" t="s">
        <v>130</v>
      </c>
      <c r="BD468" s="0" t="s">
        <v>130</v>
      </c>
      <c r="BE468" s="0" t="s">
        <v>130</v>
      </c>
      <c r="BF468" s="0" t="s">
        <v>130</v>
      </c>
      <c r="BG468" s="0" t="s">
        <v>141</v>
      </c>
      <c r="BH468" s="0" t="s">
        <v>130</v>
      </c>
      <c r="BI468" s="0" t="s">
        <v>130</v>
      </c>
      <c r="BJ468" s="0" t="s">
        <v>130</v>
      </c>
      <c r="BK468" s="0" t="s">
        <v>130</v>
      </c>
      <c r="BL468" s="0" t="s">
        <v>130</v>
      </c>
      <c r="BM468" s="0" t="s">
        <v>130</v>
      </c>
      <c r="BN468" s="0" t="s">
        <v>130</v>
      </c>
      <c r="BO468" s="0" t="s">
        <v>130</v>
      </c>
      <c r="BP468" s="0" t="s">
        <v>130</v>
      </c>
      <c r="BQ468" s="0" t="s">
        <v>130</v>
      </c>
      <c r="BR468" s="0" t="s">
        <v>130</v>
      </c>
      <c r="BS468" s="0" t="s">
        <v>130</v>
      </c>
      <c r="BT468" s="0" t="s">
        <v>130</v>
      </c>
      <c r="BU468" s="0" t="s">
        <v>130</v>
      </c>
      <c r="BV468" s="0" t="s">
        <v>130</v>
      </c>
      <c r="BW468" s="0" t="s">
        <v>130</v>
      </c>
      <c r="BX468" s="0" t="s">
        <v>130</v>
      </c>
      <c r="BY468" s="0" t="s">
        <v>130</v>
      </c>
      <c r="BZ468" s="0" t="s">
        <v>130</v>
      </c>
      <c r="CA468" s="0" t="s">
        <v>130</v>
      </c>
      <c r="CB468" s="0" t="s">
        <v>130</v>
      </c>
      <c r="CC468" s="0" t="s">
        <v>130</v>
      </c>
      <c r="CD468" s="0" t="s">
        <v>130</v>
      </c>
      <c r="CE468" s="0" t="s">
        <v>130</v>
      </c>
      <c r="CF468" s="0" t="s">
        <v>130</v>
      </c>
      <c r="CG468" s="0" t="s">
        <v>130</v>
      </c>
      <c r="CH468" s="0" t="s">
        <v>130</v>
      </c>
      <c r="CI468" s="0" t="s">
        <v>130</v>
      </c>
      <c r="CJ468" s="0" t="s">
        <v>130</v>
      </c>
      <c r="CK468" s="0" t="s">
        <v>130</v>
      </c>
      <c r="CL468" s="0" t="s">
        <v>130</v>
      </c>
      <c r="CM468" s="0" t="s">
        <v>130</v>
      </c>
      <c r="CN468" s="0" t="s">
        <v>130</v>
      </c>
      <c r="CO468" s="0" t="s">
        <v>130</v>
      </c>
      <c r="CP468" s="0" t="s">
        <v>130</v>
      </c>
      <c r="CQ468" s="0" t="s">
        <v>130</v>
      </c>
      <c r="CR468" s="0" t="s">
        <v>130</v>
      </c>
      <c r="CS468" s="0" t="s">
        <v>130</v>
      </c>
      <c r="CT468" s="0" t="s">
        <v>1612</v>
      </c>
    </row>
    <row r="469">
      <c r="A469" s="14">
        <v>101450</v>
      </c>
      <c r="B469" s="0" t="s">
        <v>1601</v>
      </c>
      <c r="C469" s="16">
        <f>HYPERLINK("https://eosportal.federatedhermes.com/companies/Q29tcGFueQppNjUwODQ=", "Telefonica SA")</f>
      </c>
      <c r="D469" s="0" t="s">
        <v>25</v>
      </c>
      <c r="E469" s="0" t="s">
        <v>1613</v>
      </c>
      <c r="F469" s="16">
        <f>HYPERLINK("https://eosportal.federatedhermes.com/engagements/RW5nYWdlbWVudAppMjA2MTc=", "Bribery &amp; Corruption")</f>
      </c>
      <c r="G469" s="14" t="s">
        <v>1614</v>
      </c>
      <c r="H469" s="0" t="s">
        <v>141</v>
      </c>
      <c r="I469" s="14" t="s">
        <v>131</v>
      </c>
      <c r="J469" s="0" t="s">
        <v>153</v>
      </c>
      <c r="K469" s="0" t="s">
        <v>185</v>
      </c>
      <c r="L469" s="0" t="s">
        <v>871</v>
      </c>
      <c r="M469" s="0" t="s">
        <v>378</v>
      </c>
      <c r="N469" s="0" t="s">
        <v>379</v>
      </c>
      <c r="O469" s="0" t="s">
        <v>137</v>
      </c>
      <c r="Q469" s="0" t="s">
        <v>130</v>
      </c>
      <c r="R469" s="0" t="s">
        <v>138</v>
      </c>
      <c r="S469" s="14">
        <v>0</v>
      </c>
      <c r="T469" s="0" t="s">
        <v>314</v>
      </c>
      <c r="U469" s="0" t="s">
        <v>138</v>
      </c>
      <c r="V469" s="14" t="s">
        <v>138</v>
      </c>
      <c r="W469" s="0" t="s">
        <v>138</v>
      </c>
      <c r="X469" s="14" t="s">
        <v>138</v>
      </c>
      <c r="Y469" s="0" t="s">
        <v>138</v>
      </c>
      <c r="Z469" s="14" t="s">
        <v>138</v>
      </c>
      <c r="AA469" s="0" t="s">
        <v>138</v>
      </c>
      <c r="AB469" s="14" t="s">
        <v>138</v>
      </c>
      <c r="AD469" s="0" t="s">
        <v>138</v>
      </c>
      <c r="AF469" s="0">
        <v>0</v>
      </c>
      <c r="AG469" s="0">
        <v>0</v>
      </c>
      <c r="AH469" s="0" t="s">
        <v>140</v>
      </c>
      <c r="AI469" s="0" t="s">
        <v>138</v>
      </c>
      <c r="AL469" s="14"/>
      <c r="AN469" s="14"/>
      <c r="AQ469" s="0" t="s">
        <v>130</v>
      </c>
      <c r="AR469" s="0" t="s">
        <v>130</v>
      </c>
      <c r="AS469" s="0" t="s">
        <v>130</v>
      </c>
      <c r="AT469" s="0" t="s">
        <v>130</v>
      </c>
      <c r="AU469" s="0" t="s">
        <v>130</v>
      </c>
      <c r="AV469" s="0" t="s">
        <v>130</v>
      </c>
      <c r="AW469" s="0" t="s">
        <v>130</v>
      </c>
      <c r="AX469" s="0" t="s">
        <v>130</v>
      </c>
      <c r="AY469" s="0" t="s">
        <v>130</v>
      </c>
      <c r="AZ469" s="0" t="s">
        <v>130</v>
      </c>
      <c r="BA469" s="0" t="s">
        <v>130</v>
      </c>
      <c r="BB469" s="0" t="s">
        <v>130</v>
      </c>
      <c r="BC469" s="0" t="s">
        <v>130</v>
      </c>
      <c r="BD469" s="0" t="s">
        <v>130</v>
      </c>
      <c r="BE469" s="0" t="s">
        <v>130</v>
      </c>
      <c r="BF469" s="0" t="s">
        <v>141</v>
      </c>
      <c r="BG469" s="0" t="s">
        <v>130</v>
      </c>
      <c r="BH469" s="0" t="s">
        <v>130</v>
      </c>
      <c r="BI469" s="0" t="s">
        <v>130</v>
      </c>
      <c r="BJ469" s="0" t="s">
        <v>130</v>
      </c>
      <c r="BK469" s="0" t="s">
        <v>130</v>
      </c>
      <c r="BL469" s="0" t="s">
        <v>130</v>
      </c>
      <c r="BM469" s="0" t="s">
        <v>130</v>
      </c>
      <c r="BN469" s="0" t="s">
        <v>130</v>
      </c>
      <c r="BO469" s="0" t="s">
        <v>130</v>
      </c>
      <c r="BP469" s="0" t="s">
        <v>130</v>
      </c>
      <c r="BQ469" s="0" t="s">
        <v>130</v>
      </c>
      <c r="BR469" s="0" t="s">
        <v>130</v>
      </c>
      <c r="BS469" s="0" t="s">
        <v>130</v>
      </c>
      <c r="BT469" s="0" t="s">
        <v>130</v>
      </c>
      <c r="BU469" s="0" t="s">
        <v>130</v>
      </c>
      <c r="BV469" s="0" t="s">
        <v>130</v>
      </c>
      <c r="BW469" s="0" t="s">
        <v>130</v>
      </c>
      <c r="BX469" s="0" t="s">
        <v>130</v>
      </c>
      <c r="BY469" s="0" t="s">
        <v>130</v>
      </c>
      <c r="BZ469" s="0" t="s">
        <v>130</v>
      </c>
      <c r="CA469" s="0" t="s">
        <v>130</v>
      </c>
      <c r="CB469" s="0" t="s">
        <v>130</v>
      </c>
      <c r="CC469" s="0" t="s">
        <v>130</v>
      </c>
      <c r="CD469" s="0" t="s">
        <v>130</v>
      </c>
      <c r="CE469" s="0" t="s">
        <v>130</v>
      </c>
      <c r="CF469" s="0" t="s">
        <v>130</v>
      </c>
      <c r="CG469" s="0" t="s">
        <v>130</v>
      </c>
      <c r="CH469" s="0" t="s">
        <v>130</v>
      </c>
      <c r="CI469" s="0" t="s">
        <v>130</v>
      </c>
      <c r="CJ469" s="0" t="s">
        <v>130</v>
      </c>
      <c r="CK469" s="0" t="s">
        <v>130</v>
      </c>
      <c r="CL469" s="0" t="s">
        <v>130</v>
      </c>
      <c r="CM469" s="0" t="s">
        <v>130</v>
      </c>
      <c r="CN469" s="0" t="s">
        <v>130</v>
      </c>
      <c r="CO469" s="0" t="s">
        <v>130</v>
      </c>
      <c r="CP469" s="0" t="s">
        <v>130</v>
      </c>
      <c r="CQ469" s="0" t="s">
        <v>141</v>
      </c>
      <c r="CR469" s="0" t="s">
        <v>141</v>
      </c>
      <c r="CS469" s="0" t="s">
        <v>141</v>
      </c>
      <c r="CT469" s="0" t="s">
        <v>1615</v>
      </c>
    </row>
    <row r="470">
      <c r="A470" s="14">
        <v>101450</v>
      </c>
      <c r="B470" s="0" t="s">
        <v>1601</v>
      </c>
      <c r="C470" s="16">
        <f>HYPERLINK("https://eosportal.federatedhermes.com/companies/Q29tcGFueQppNjUwODQ=", "Telefonica SA")</f>
      </c>
      <c r="D470" s="0" t="s">
        <v>25</v>
      </c>
      <c r="E470" s="0" t="s">
        <v>1616</v>
      </c>
      <c r="F470" s="16">
        <f>HYPERLINK("https://eosportal.federatedhermes.com/engagements/RW5nYWdlbWVudAppMjA2MTg=", "Diversity and Inclusion")</f>
      </c>
      <c r="G470" s="14" t="s">
        <v>1617</v>
      </c>
      <c r="H470" s="0" t="s">
        <v>141</v>
      </c>
      <c r="I470" s="14" t="s">
        <v>131</v>
      </c>
      <c r="J470" s="0" t="s">
        <v>153</v>
      </c>
      <c r="K470" s="0" t="s">
        <v>154</v>
      </c>
      <c r="L470" s="0" t="s">
        <v>268</v>
      </c>
      <c r="M470" s="0" t="s">
        <v>378</v>
      </c>
      <c r="N470" s="0" t="s">
        <v>379</v>
      </c>
      <c r="O470" s="0" t="s">
        <v>137</v>
      </c>
      <c r="Q470" s="0" t="s">
        <v>141</v>
      </c>
      <c r="R470" s="0" t="s">
        <v>138</v>
      </c>
      <c r="S470" s="14">
        <v>1</v>
      </c>
      <c r="T470" s="0" t="s">
        <v>343</v>
      </c>
      <c r="U470" s="0" t="s">
        <v>138</v>
      </c>
      <c r="V470" s="14" t="s">
        <v>138</v>
      </c>
      <c r="W470" s="0" t="s">
        <v>138</v>
      </c>
      <c r="X470" s="14" t="s">
        <v>138</v>
      </c>
      <c r="Y470" s="0" t="s">
        <v>138</v>
      </c>
      <c r="Z470" s="14" t="s">
        <v>138</v>
      </c>
      <c r="AA470" s="0" t="s">
        <v>138</v>
      </c>
      <c r="AB470" s="14" t="s">
        <v>138</v>
      </c>
      <c r="AD470" s="0" t="s">
        <v>138</v>
      </c>
      <c r="AF470" s="0">
        <v>0</v>
      </c>
      <c r="AG470" s="0">
        <v>0</v>
      </c>
      <c r="AH470" s="0" t="s">
        <v>140</v>
      </c>
      <c r="AI470" s="0" t="s">
        <v>138</v>
      </c>
      <c r="AK470" s="0" t="s">
        <v>339</v>
      </c>
      <c r="AL470" s="14"/>
      <c r="AN470" s="14"/>
      <c r="AQ470" s="0" t="s">
        <v>130</v>
      </c>
      <c r="AR470" s="0" t="s">
        <v>130</v>
      </c>
      <c r="AS470" s="0" t="s">
        <v>130</v>
      </c>
      <c r="AT470" s="0" t="s">
        <v>130</v>
      </c>
      <c r="AU470" s="0" t="s">
        <v>141</v>
      </c>
      <c r="AV470" s="0" t="s">
        <v>130</v>
      </c>
      <c r="AW470" s="0" t="s">
        <v>130</v>
      </c>
      <c r="AX470" s="0" t="s">
        <v>130</v>
      </c>
      <c r="AY470" s="0" t="s">
        <v>130</v>
      </c>
      <c r="AZ470" s="0" t="s">
        <v>141</v>
      </c>
      <c r="BA470" s="0" t="s">
        <v>130</v>
      </c>
      <c r="BB470" s="0" t="s">
        <v>130</v>
      </c>
      <c r="BC470" s="0" t="s">
        <v>130</v>
      </c>
      <c r="BD470" s="0" t="s">
        <v>130</v>
      </c>
      <c r="BE470" s="0" t="s">
        <v>130</v>
      </c>
      <c r="BF470" s="0" t="s">
        <v>130</v>
      </c>
      <c r="BG470" s="0" t="s">
        <v>130</v>
      </c>
      <c r="BH470" s="0" t="s">
        <v>130</v>
      </c>
      <c r="BI470" s="0" t="s">
        <v>130</v>
      </c>
      <c r="BJ470" s="0" t="s">
        <v>130</v>
      </c>
      <c r="BK470" s="0" t="s">
        <v>130</v>
      </c>
      <c r="BL470" s="0" t="s">
        <v>130</v>
      </c>
      <c r="BM470" s="0" t="s">
        <v>130</v>
      </c>
      <c r="BN470" s="0" t="s">
        <v>130</v>
      </c>
      <c r="BO470" s="0" t="s">
        <v>130</v>
      </c>
      <c r="BP470" s="0" t="s">
        <v>130</v>
      </c>
      <c r="BQ470" s="0" t="s">
        <v>130</v>
      </c>
      <c r="BR470" s="0" t="s">
        <v>130</v>
      </c>
      <c r="BS470" s="0" t="s">
        <v>130</v>
      </c>
      <c r="BT470" s="0" t="s">
        <v>130</v>
      </c>
      <c r="BU470" s="0" t="s">
        <v>130</v>
      </c>
      <c r="BV470" s="0" t="s">
        <v>130</v>
      </c>
      <c r="BW470" s="0" t="s">
        <v>130</v>
      </c>
      <c r="BX470" s="0" t="s">
        <v>130</v>
      </c>
      <c r="BY470" s="0" t="s">
        <v>130</v>
      </c>
      <c r="BZ470" s="0" t="s">
        <v>130</v>
      </c>
      <c r="CA470" s="0" t="s">
        <v>130</v>
      </c>
      <c r="CB470" s="0" t="s">
        <v>130</v>
      </c>
      <c r="CC470" s="0" t="s">
        <v>130</v>
      </c>
      <c r="CD470" s="0" t="s">
        <v>130</v>
      </c>
      <c r="CE470" s="0" t="s">
        <v>130</v>
      </c>
      <c r="CF470" s="0" t="s">
        <v>130</v>
      </c>
      <c r="CG470" s="0" t="s">
        <v>130</v>
      </c>
      <c r="CH470" s="0" t="s">
        <v>130</v>
      </c>
      <c r="CI470" s="0" t="s">
        <v>130</v>
      </c>
      <c r="CJ470" s="0" t="s">
        <v>130</v>
      </c>
      <c r="CK470" s="0" t="s">
        <v>141</v>
      </c>
      <c r="CL470" s="0" t="s">
        <v>130</v>
      </c>
      <c r="CM470" s="0" t="s">
        <v>130</v>
      </c>
      <c r="CN470" s="0" t="s">
        <v>130</v>
      </c>
      <c r="CO470" s="0" t="s">
        <v>130</v>
      </c>
      <c r="CP470" s="0" t="s">
        <v>130</v>
      </c>
      <c r="CQ470" s="0" t="s">
        <v>130</v>
      </c>
      <c r="CR470" s="0" t="s">
        <v>130</v>
      </c>
      <c r="CS470" s="0" t="s">
        <v>130</v>
      </c>
      <c r="CT470" s="0" t="s">
        <v>1618</v>
      </c>
    </row>
    <row r="471">
      <c r="A471" s="14">
        <v>101450</v>
      </c>
      <c r="B471" s="0" t="s">
        <v>1601</v>
      </c>
      <c r="C471" s="16">
        <f>HYPERLINK("https://eosportal.federatedhermes.com/companies/Q29tcGFueQppNjUwODQ=", "Telefonica SA")</f>
      </c>
      <c r="D471" s="0" t="s">
        <v>25</v>
      </c>
      <c r="E471" s="0" t="s">
        <v>1619</v>
      </c>
      <c r="F471" s="16">
        <f>HYPERLINK("https://eosportal.federatedhermes.com/engagements/RW5nYWdlbWVudAppMjA2MjA=", "Combined CEO/Chair role")</f>
      </c>
      <c r="G471" s="14" t="s">
        <v>1620</v>
      </c>
      <c r="H471" s="0" t="s">
        <v>141</v>
      </c>
      <c r="I471" s="14" t="s">
        <v>131</v>
      </c>
      <c r="J471" s="0" t="s">
        <v>145</v>
      </c>
      <c r="K471" s="0" t="s">
        <v>164</v>
      </c>
      <c r="L471" s="0" t="s">
        <v>165</v>
      </c>
      <c r="M471" s="0" t="s">
        <v>378</v>
      </c>
      <c r="N471" s="0" t="s">
        <v>379</v>
      </c>
      <c r="O471" s="0" t="s">
        <v>137</v>
      </c>
      <c r="Q471" s="0" t="s">
        <v>130</v>
      </c>
      <c r="R471" s="0" t="s">
        <v>138</v>
      </c>
      <c r="S471" s="14">
        <v>0</v>
      </c>
      <c r="T471" s="0" t="s">
        <v>139</v>
      </c>
      <c r="U471" s="0" t="s">
        <v>138</v>
      </c>
      <c r="V471" s="14" t="s">
        <v>138</v>
      </c>
      <c r="W471" s="0" t="s">
        <v>138</v>
      </c>
      <c r="X471" s="14" t="s">
        <v>138</v>
      </c>
      <c r="Y471" s="0" t="s">
        <v>138</v>
      </c>
      <c r="Z471" s="14" t="s">
        <v>138</v>
      </c>
      <c r="AA471" s="0" t="s">
        <v>138</v>
      </c>
      <c r="AB471" s="14" t="s">
        <v>138</v>
      </c>
      <c r="AD471" s="0" t="s">
        <v>138</v>
      </c>
      <c r="AF471" s="0">
        <v>0</v>
      </c>
      <c r="AG471" s="0">
        <v>0</v>
      </c>
      <c r="AH471" s="0" t="s">
        <v>140</v>
      </c>
      <c r="AI471" s="0" t="s">
        <v>138</v>
      </c>
      <c r="AL471" s="14"/>
      <c r="AN471" s="14"/>
      <c r="AQ471" s="0" t="s">
        <v>130</v>
      </c>
      <c r="AR471" s="0" t="s">
        <v>130</v>
      </c>
      <c r="AS471" s="0" t="s">
        <v>130</v>
      </c>
      <c r="AT471" s="0" t="s">
        <v>130</v>
      </c>
      <c r="AU471" s="0" t="s">
        <v>130</v>
      </c>
      <c r="AV471" s="0" t="s">
        <v>130</v>
      </c>
      <c r="AW471" s="0" t="s">
        <v>130</v>
      </c>
      <c r="AX471" s="0" t="s">
        <v>130</v>
      </c>
      <c r="AY471" s="0" t="s">
        <v>130</v>
      </c>
      <c r="AZ471" s="0" t="s">
        <v>130</v>
      </c>
      <c r="BA471" s="0" t="s">
        <v>130</v>
      </c>
      <c r="BB471" s="0" t="s">
        <v>130</v>
      </c>
      <c r="BC471" s="0" t="s">
        <v>130</v>
      </c>
      <c r="BD471" s="0" t="s">
        <v>130</v>
      </c>
      <c r="BE471" s="0" t="s">
        <v>130</v>
      </c>
      <c r="BF471" s="0" t="s">
        <v>130</v>
      </c>
      <c r="BG471" s="0" t="s">
        <v>130</v>
      </c>
      <c r="BH471" s="0" t="s">
        <v>130</v>
      </c>
      <c r="BI471" s="0" t="s">
        <v>130</v>
      </c>
      <c r="BJ471" s="0" t="s">
        <v>130</v>
      </c>
      <c r="BK471" s="0" t="s">
        <v>130</v>
      </c>
      <c r="BL471" s="0" t="s">
        <v>130</v>
      </c>
      <c r="BM471" s="0" t="s">
        <v>130</v>
      </c>
      <c r="BN471" s="0" t="s">
        <v>130</v>
      </c>
      <c r="BO471" s="0" t="s">
        <v>130</v>
      </c>
      <c r="BP471" s="0" t="s">
        <v>130</v>
      </c>
      <c r="BQ471" s="0" t="s">
        <v>130</v>
      </c>
      <c r="BR471" s="0" t="s">
        <v>130</v>
      </c>
      <c r="BS471" s="0" t="s">
        <v>130</v>
      </c>
      <c r="BT471" s="0" t="s">
        <v>130</v>
      </c>
      <c r="BU471" s="0" t="s">
        <v>130</v>
      </c>
      <c r="BV471" s="0" t="s">
        <v>130</v>
      </c>
      <c r="BW471" s="0" t="s">
        <v>130</v>
      </c>
      <c r="BX471" s="0" t="s">
        <v>130</v>
      </c>
      <c r="BY471" s="0" t="s">
        <v>130</v>
      </c>
      <c r="BZ471" s="0" t="s">
        <v>130</v>
      </c>
      <c r="CA471" s="0" t="s">
        <v>130</v>
      </c>
      <c r="CB471" s="0" t="s">
        <v>130</v>
      </c>
      <c r="CC471" s="0" t="s">
        <v>130</v>
      </c>
      <c r="CD471" s="0" t="s">
        <v>130</v>
      </c>
      <c r="CE471" s="0" t="s">
        <v>130</v>
      </c>
      <c r="CF471" s="0" t="s">
        <v>130</v>
      </c>
      <c r="CG471" s="0" t="s">
        <v>130</v>
      </c>
      <c r="CH471" s="0" t="s">
        <v>130</v>
      </c>
      <c r="CI471" s="0" t="s">
        <v>130</v>
      </c>
      <c r="CJ471" s="0" t="s">
        <v>130</v>
      </c>
      <c r="CK471" s="0" t="s">
        <v>130</v>
      </c>
      <c r="CL471" s="0" t="s">
        <v>130</v>
      </c>
      <c r="CM471" s="0" t="s">
        <v>130</v>
      </c>
      <c r="CN471" s="0" t="s">
        <v>130</v>
      </c>
      <c r="CO471" s="0" t="s">
        <v>130</v>
      </c>
      <c r="CP471" s="0" t="s">
        <v>130</v>
      </c>
      <c r="CQ471" s="0" t="s">
        <v>130</v>
      </c>
      <c r="CR471" s="0" t="s">
        <v>130</v>
      </c>
      <c r="CS471" s="0" t="s">
        <v>130</v>
      </c>
      <c r="CT471" s="0" t="s">
        <v>1621</v>
      </c>
    </row>
    <row r="472">
      <c r="A472" s="14">
        <v>101450</v>
      </c>
      <c r="B472" s="0" t="s">
        <v>1601</v>
      </c>
      <c r="C472" s="16">
        <f>HYPERLINK("https://eosportal.federatedhermes.com/companies/Q29tcGFueQppNjUwODQ=", "Telefonica SA")</f>
      </c>
      <c r="D472" s="0" t="s">
        <v>25</v>
      </c>
      <c r="E472" s="0" t="s">
        <v>1622</v>
      </c>
      <c r="F472" s="16">
        <f>HYPERLINK("https://eosportal.federatedhermes.com/engagements/RW5nYWdlbWVudAppMjA2MjE=", "Over-committed board members")</f>
      </c>
      <c r="G472" s="14" t="s">
        <v>1623</v>
      </c>
      <c r="H472" s="0" t="s">
        <v>141</v>
      </c>
      <c r="I472" s="14" t="s">
        <v>131</v>
      </c>
      <c r="J472" s="0" t="s">
        <v>145</v>
      </c>
      <c r="K472" s="0" t="s">
        <v>164</v>
      </c>
      <c r="L472" s="0" t="s">
        <v>165</v>
      </c>
      <c r="M472" s="0" t="s">
        <v>378</v>
      </c>
      <c r="N472" s="0" t="s">
        <v>379</v>
      </c>
      <c r="O472" s="0" t="s">
        <v>137</v>
      </c>
      <c r="Q472" s="0" t="s">
        <v>130</v>
      </c>
      <c r="R472" s="0" t="s">
        <v>138</v>
      </c>
      <c r="S472" s="14">
        <v>0</v>
      </c>
      <c r="T472" s="0" t="s">
        <v>355</v>
      </c>
      <c r="U472" s="0" t="s">
        <v>138</v>
      </c>
      <c r="V472" s="14" t="s">
        <v>138</v>
      </c>
      <c r="W472" s="0" t="s">
        <v>138</v>
      </c>
      <c r="X472" s="14" t="s">
        <v>138</v>
      </c>
      <c r="Y472" s="0" t="s">
        <v>138</v>
      </c>
      <c r="Z472" s="14" t="s">
        <v>138</v>
      </c>
      <c r="AA472" s="0" t="s">
        <v>138</v>
      </c>
      <c r="AB472" s="14" t="s">
        <v>138</v>
      </c>
      <c r="AD472" s="0" t="s">
        <v>138</v>
      </c>
      <c r="AF472" s="0">
        <v>0</v>
      </c>
      <c r="AG472" s="0">
        <v>0</v>
      </c>
      <c r="AH472" s="0" t="s">
        <v>140</v>
      </c>
      <c r="AI472" s="0" t="s">
        <v>138</v>
      </c>
      <c r="AL472" s="14"/>
      <c r="AN472" s="14"/>
      <c r="AQ472" s="0" t="s">
        <v>130</v>
      </c>
      <c r="AR472" s="0" t="s">
        <v>130</v>
      </c>
      <c r="AS472" s="0" t="s">
        <v>130</v>
      </c>
      <c r="AT472" s="0" t="s">
        <v>130</v>
      </c>
      <c r="AU472" s="0" t="s">
        <v>130</v>
      </c>
      <c r="AV472" s="0" t="s">
        <v>130</v>
      </c>
      <c r="AW472" s="0" t="s">
        <v>130</v>
      </c>
      <c r="AX472" s="0" t="s">
        <v>130</v>
      </c>
      <c r="AY472" s="0" t="s">
        <v>130</v>
      </c>
      <c r="AZ472" s="0" t="s">
        <v>130</v>
      </c>
      <c r="BA472" s="0" t="s">
        <v>130</v>
      </c>
      <c r="BB472" s="0" t="s">
        <v>130</v>
      </c>
      <c r="BC472" s="0" t="s">
        <v>130</v>
      </c>
      <c r="BD472" s="0" t="s">
        <v>130</v>
      </c>
      <c r="BE472" s="0" t="s">
        <v>130</v>
      </c>
      <c r="BF472" s="0" t="s">
        <v>130</v>
      </c>
      <c r="BG472" s="0" t="s">
        <v>130</v>
      </c>
      <c r="BH472" s="0" t="s">
        <v>130</v>
      </c>
      <c r="BI472" s="0" t="s">
        <v>130</v>
      </c>
      <c r="BJ472" s="0" t="s">
        <v>130</v>
      </c>
      <c r="BK472" s="0" t="s">
        <v>130</v>
      </c>
      <c r="BL472" s="0" t="s">
        <v>130</v>
      </c>
      <c r="BM472" s="0" t="s">
        <v>130</v>
      </c>
      <c r="BN472" s="0" t="s">
        <v>130</v>
      </c>
      <c r="BO472" s="0" t="s">
        <v>130</v>
      </c>
      <c r="BP472" s="0" t="s">
        <v>130</v>
      </c>
      <c r="BQ472" s="0" t="s">
        <v>130</v>
      </c>
      <c r="BR472" s="0" t="s">
        <v>130</v>
      </c>
      <c r="BS472" s="0" t="s">
        <v>130</v>
      </c>
      <c r="BT472" s="0" t="s">
        <v>130</v>
      </c>
      <c r="BU472" s="0" t="s">
        <v>130</v>
      </c>
      <c r="BV472" s="0" t="s">
        <v>130</v>
      </c>
      <c r="BW472" s="0" t="s">
        <v>130</v>
      </c>
      <c r="BX472" s="0" t="s">
        <v>130</v>
      </c>
      <c r="BY472" s="0" t="s">
        <v>130</v>
      </c>
      <c r="BZ472" s="0" t="s">
        <v>130</v>
      </c>
      <c r="CA472" s="0" t="s">
        <v>130</v>
      </c>
      <c r="CB472" s="0" t="s">
        <v>130</v>
      </c>
      <c r="CC472" s="0" t="s">
        <v>130</v>
      </c>
      <c r="CD472" s="0" t="s">
        <v>130</v>
      </c>
      <c r="CE472" s="0" t="s">
        <v>130</v>
      </c>
      <c r="CF472" s="0" t="s">
        <v>130</v>
      </c>
      <c r="CG472" s="0" t="s">
        <v>130</v>
      </c>
      <c r="CH472" s="0" t="s">
        <v>130</v>
      </c>
      <c r="CI472" s="0" t="s">
        <v>130</v>
      </c>
      <c r="CJ472" s="0" t="s">
        <v>130</v>
      </c>
      <c r="CK472" s="0" t="s">
        <v>130</v>
      </c>
      <c r="CL472" s="0" t="s">
        <v>130</v>
      </c>
      <c r="CM472" s="0" t="s">
        <v>130</v>
      </c>
      <c r="CN472" s="0" t="s">
        <v>130</v>
      </c>
      <c r="CO472" s="0" t="s">
        <v>130</v>
      </c>
      <c r="CP472" s="0" t="s">
        <v>130</v>
      </c>
      <c r="CQ472" s="0" t="s">
        <v>130</v>
      </c>
      <c r="CR472" s="0" t="s">
        <v>130</v>
      </c>
      <c r="CS472" s="0" t="s">
        <v>130</v>
      </c>
      <c r="CT472" s="0" t="s">
        <v>1624</v>
      </c>
    </row>
    <row r="473">
      <c r="A473" s="14">
        <v>101454</v>
      </c>
      <c r="B473" s="0" t="s">
        <v>1625</v>
      </c>
      <c r="C473" s="16">
        <f>HYPERLINK("https://eosportal.federatedhermes.com/companies/Q29tcGFueQppNjUwODU=", "Teradyne Inc")</f>
      </c>
      <c r="D473" s="0" t="s">
        <v>25</v>
      </c>
      <c r="E473" s="0" t="s">
        <v>143</v>
      </c>
      <c r="F473" s="16">
        <f>HYPERLINK("https://eosportal.federatedhermes.com/engagements/RW5nYWdlbWVudAppMjA2MjI=", "Executive compensation")</f>
      </c>
      <c r="G473" s="14" t="s">
        <v>1626</v>
      </c>
      <c r="H473" s="0" t="s">
        <v>130</v>
      </c>
      <c r="I473" s="14" t="s">
        <v>131</v>
      </c>
      <c r="J473" s="0" t="s">
        <v>145</v>
      </c>
      <c r="K473" s="0" t="s">
        <v>146</v>
      </c>
      <c r="L473" s="0" t="s">
        <v>147</v>
      </c>
      <c r="M473" s="0" t="s">
        <v>135</v>
      </c>
      <c r="N473" s="0" t="s">
        <v>136</v>
      </c>
      <c r="O473" s="0" t="s">
        <v>1125</v>
      </c>
      <c r="Q473" s="0" t="s">
        <v>130</v>
      </c>
      <c r="R473" s="0" t="s">
        <v>138</v>
      </c>
      <c r="S473" s="14">
        <v>0</v>
      </c>
      <c r="T473" s="0" t="s">
        <v>148</v>
      </c>
      <c r="U473" s="0" t="s">
        <v>138</v>
      </c>
      <c r="V473" s="14" t="s">
        <v>138</v>
      </c>
      <c r="W473" s="0" t="s">
        <v>138</v>
      </c>
      <c r="X473" s="14" t="s">
        <v>138</v>
      </c>
      <c r="Y473" s="0" t="s">
        <v>138</v>
      </c>
      <c r="Z473" s="14" t="s">
        <v>138</v>
      </c>
      <c r="AA473" s="0" t="s">
        <v>138</v>
      </c>
      <c r="AB473" s="14" t="s">
        <v>138</v>
      </c>
      <c r="AD473" s="0" t="s">
        <v>138</v>
      </c>
      <c r="AF473" s="0">
        <v>0</v>
      </c>
      <c r="AG473" s="0">
        <v>0</v>
      </c>
      <c r="AH473" s="0" t="s">
        <v>140</v>
      </c>
      <c r="AI473" s="0" t="s">
        <v>138</v>
      </c>
      <c r="AL473" s="14"/>
      <c r="AN473" s="14"/>
      <c r="AQ473" s="0" t="s">
        <v>130</v>
      </c>
      <c r="AR473" s="0" t="s">
        <v>130</v>
      </c>
      <c r="AS473" s="0" t="s">
        <v>130</v>
      </c>
      <c r="AT473" s="0" t="s">
        <v>130</v>
      </c>
      <c r="AU473" s="0" t="s">
        <v>130</v>
      </c>
      <c r="AV473" s="0" t="s">
        <v>130</v>
      </c>
      <c r="AW473" s="0" t="s">
        <v>130</v>
      </c>
      <c r="AX473" s="0" t="s">
        <v>130</v>
      </c>
      <c r="AY473" s="0" t="s">
        <v>130</v>
      </c>
      <c r="AZ473" s="0" t="s">
        <v>130</v>
      </c>
      <c r="BA473" s="0" t="s">
        <v>130</v>
      </c>
      <c r="BB473" s="0" t="s">
        <v>130</v>
      </c>
      <c r="BC473" s="0" t="s">
        <v>130</v>
      </c>
      <c r="BD473" s="0" t="s">
        <v>130</v>
      </c>
      <c r="BE473" s="0" t="s">
        <v>130</v>
      </c>
      <c r="BF473" s="0" t="s">
        <v>130</v>
      </c>
      <c r="BG473" s="0" t="s">
        <v>130</v>
      </c>
      <c r="BH473" s="0" t="s">
        <v>130</v>
      </c>
      <c r="BI473" s="0" t="s">
        <v>130</v>
      </c>
      <c r="BJ473" s="0" t="s">
        <v>130</v>
      </c>
      <c r="BK473" s="0" t="s">
        <v>130</v>
      </c>
      <c r="BL473" s="0" t="s">
        <v>130</v>
      </c>
      <c r="BM473" s="0" t="s">
        <v>130</v>
      </c>
      <c r="BN473" s="0" t="s">
        <v>130</v>
      </c>
      <c r="BO473" s="0" t="s">
        <v>130</v>
      </c>
      <c r="BP473" s="0" t="s">
        <v>130</v>
      </c>
      <c r="BQ473" s="0" t="s">
        <v>130</v>
      </c>
      <c r="BR473" s="0" t="s">
        <v>130</v>
      </c>
      <c r="BS473" s="0" t="s">
        <v>130</v>
      </c>
      <c r="BT473" s="0" t="s">
        <v>130</v>
      </c>
      <c r="BU473" s="0" t="s">
        <v>130</v>
      </c>
      <c r="BV473" s="0" t="s">
        <v>130</v>
      </c>
      <c r="BW473" s="0" t="s">
        <v>130</v>
      </c>
      <c r="BX473" s="0" t="s">
        <v>130</v>
      </c>
      <c r="BY473" s="0" t="s">
        <v>130</v>
      </c>
      <c r="BZ473" s="0" t="s">
        <v>130</v>
      </c>
      <c r="CA473" s="0" t="s">
        <v>130</v>
      </c>
      <c r="CB473" s="0" t="s">
        <v>130</v>
      </c>
      <c r="CC473" s="0" t="s">
        <v>130</v>
      </c>
      <c r="CD473" s="0" t="s">
        <v>130</v>
      </c>
      <c r="CE473" s="0" t="s">
        <v>130</v>
      </c>
      <c r="CF473" s="0" t="s">
        <v>130</v>
      </c>
      <c r="CG473" s="0" t="s">
        <v>130</v>
      </c>
      <c r="CH473" s="0" t="s">
        <v>130</v>
      </c>
      <c r="CI473" s="0" t="s">
        <v>130</v>
      </c>
      <c r="CJ473" s="0" t="s">
        <v>130</v>
      </c>
      <c r="CK473" s="0" t="s">
        <v>130</v>
      </c>
      <c r="CL473" s="0" t="s">
        <v>130</v>
      </c>
      <c r="CM473" s="0" t="s">
        <v>130</v>
      </c>
      <c r="CN473" s="0" t="s">
        <v>130</v>
      </c>
      <c r="CO473" s="0" t="s">
        <v>130</v>
      </c>
      <c r="CP473" s="0" t="s">
        <v>130</v>
      </c>
      <c r="CQ473" s="0" t="s">
        <v>130</v>
      </c>
      <c r="CR473" s="0" t="s">
        <v>130</v>
      </c>
      <c r="CS473" s="0" t="s">
        <v>130</v>
      </c>
      <c r="CT473" s="0" t="s">
        <v>1627</v>
      </c>
    </row>
    <row r="474">
      <c r="A474" s="14">
        <v>101466</v>
      </c>
      <c r="B474" s="0" t="s">
        <v>1628</v>
      </c>
      <c r="C474" s="16">
        <f>HYPERLINK("https://eosportal.federatedhermes.com/companies/Q29tcGFueQppNzU3MDQ=", "Thermo Fisher Scientific Inc")</f>
      </c>
      <c r="D474" s="0" t="s">
        <v>25</v>
      </c>
      <c r="E474" s="0" t="s">
        <v>236</v>
      </c>
      <c r="F474" s="16">
        <f>HYPERLINK("https://eosportal.federatedhermes.com/engagements/RW5nYWdlbWVudAppMjA2MzI=", "Executive pay")</f>
      </c>
      <c r="G474" s="14" t="s">
        <v>1629</v>
      </c>
      <c r="H474" s="0" t="s">
        <v>141</v>
      </c>
      <c r="I474" s="14" t="s">
        <v>636</v>
      </c>
      <c r="J474" s="0" t="s">
        <v>145</v>
      </c>
      <c r="K474" s="0" t="s">
        <v>146</v>
      </c>
      <c r="L474" s="0" t="s">
        <v>500</v>
      </c>
      <c r="M474" s="0" t="s">
        <v>135</v>
      </c>
      <c r="N474" s="0" t="s">
        <v>136</v>
      </c>
      <c r="O474" s="0" t="s">
        <v>274</v>
      </c>
      <c r="Q474" s="0" t="s">
        <v>141</v>
      </c>
      <c r="R474" s="0" t="s">
        <v>138</v>
      </c>
      <c r="S474" s="14">
        <v>1</v>
      </c>
      <c r="T474" s="0" t="s">
        <v>239</v>
      </c>
      <c r="U474" s="0" t="s">
        <v>138</v>
      </c>
      <c r="V474" s="14" t="s">
        <v>138</v>
      </c>
      <c r="W474" s="0" t="s">
        <v>138</v>
      </c>
      <c r="X474" s="14" t="s">
        <v>138</v>
      </c>
      <c r="Y474" s="0" t="s">
        <v>138</v>
      </c>
      <c r="Z474" s="14" t="s">
        <v>138</v>
      </c>
      <c r="AA474" s="0" t="s">
        <v>138</v>
      </c>
      <c r="AB474" s="14" t="s">
        <v>138</v>
      </c>
      <c r="AD474" s="0" t="s">
        <v>138</v>
      </c>
      <c r="AF474" s="0">
        <v>0</v>
      </c>
      <c r="AG474" s="0">
        <v>0</v>
      </c>
      <c r="AH474" s="0" t="s">
        <v>140</v>
      </c>
      <c r="AI474" s="0" t="s">
        <v>138</v>
      </c>
      <c r="AK474" s="0" t="s">
        <v>1347</v>
      </c>
      <c r="AL474" s="14"/>
      <c r="AN474" s="14"/>
      <c r="AQ474" s="0" t="s">
        <v>130</v>
      </c>
      <c r="AR474" s="0" t="s">
        <v>130</v>
      </c>
      <c r="AS474" s="0" t="s">
        <v>130</v>
      </c>
      <c r="AT474" s="0" t="s">
        <v>130</v>
      </c>
      <c r="AU474" s="0" t="s">
        <v>130</v>
      </c>
      <c r="AV474" s="0" t="s">
        <v>130</v>
      </c>
      <c r="AW474" s="0" t="s">
        <v>130</v>
      </c>
      <c r="AX474" s="0" t="s">
        <v>130</v>
      </c>
      <c r="AY474" s="0" t="s">
        <v>130</v>
      </c>
      <c r="AZ474" s="0" t="s">
        <v>130</v>
      </c>
      <c r="BA474" s="0" t="s">
        <v>130</v>
      </c>
      <c r="BB474" s="0" t="s">
        <v>130</v>
      </c>
      <c r="BC474" s="0" t="s">
        <v>130</v>
      </c>
      <c r="BD474" s="0" t="s">
        <v>130</v>
      </c>
      <c r="BE474" s="0" t="s">
        <v>130</v>
      </c>
      <c r="BF474" s="0" t="s">
        <v>130</v>
      </c>
      <c r="BG474" s="0" t="s">
        <v>130</v>
      </c>
      <c r="BH474" s="0" t="s">
        <v>130</v>
      </c>
      <c r="BI474" s="0" t="s">
        <v>130</v>
      </c>
      <c r="BJ474" s="0" t="s">
        <v>130</v>
      </c>
      <c r="BK474" s="0" t="s">
        <v>130</v>
      </c>
      <c r="BL474" s="0" t="s">
        <v>130</v>
      </c>
      <c r="BM474" s="0" t="s">
        <v>130</v>
      </c>
      <c r="BN474" s="0" t="s">
        <v>130</v>
      </c>
      <c r="BO474" s="0" t="s">
        <v>130</v>
      </c>
      <c r="BP474" s="0" t="s">
        <v>130</v>
      </c>
      <c r="BQ474" s="0" t="s">
        <v>130</v>
      </c>
      <c r="BR474" s="0" t="s">
        <v>130</v>
      </c>
      <c r="BS474" s="0" t="s">
        <v>130</v>
      </c>
      <c r="BT474" s="0" t="s">
        <v>130</v>
      </c>
      <c r="BU474" s="0" t="s">
        <v>130</v>
      </c>
      <c r="BV474" s="0" t="s">
        <v>130</v>
      </c>
      <c r="BW474" s="0" t="s">
        <v>130</v>
      </c>
      <c r="BX474" s="0" t="s">
        <v>130</v>
      </c>
      <c r="BY474" s="0" t="s">
        <v>130</v>
      </c>
      <c r="BZ474" s="0" t="s">
        <v>130</v>
      </c>
      <c r="CA474" s="0" t="s">
        <v>130</v>
      </c>
      <c r="CB474" s="0" t="s">
        <v>130</v>
      </c>
      <c r="CC474" s="0" t="s">
        <v>130</v>
      </c>
      <c r="CD474" s="0" t="s">
        <v>130</v>
      </c>
      <c r="CE474" s="0" t="s">
        <v>130</v>
      </c>
      <c r="CF474" s="0" t="s">
        <v>130</v>
      </c>
      <c r="CG474" s="0" t="s">
        <v>130</v>
      </c>
      <c r="CH474" s="0" t="s">
        <v>130</v>
      </c>
      <c r="CI474" s="0" t="s">
        <v>130</v>
      </c>
      <c r="CJ474" s="0" t="s">
        <v>130</v>
      </c>
      <c r="CK474" s="0" t="s">
        <v>130</v>
      </c>
      <c r="CL474" s="0" t="s">
        <v>130</v>
      </c>
      <c r="CM474" s="0" t="s">
        <v>130</v>
      </c>
      <c r="CN474" s="0" t="s">
        <v>130</v>
      </c>
      <c r="CO474" s="0" t="s">
        <v>130</v>
      </c>
      <c r="CP474" s="0" t="s">
        <v>130</v>
      </c>
      <c r="CQ474" s="0" t="s">
        <v>130</v>
      </c>
      <c r="CR474" s="0" t="s">
        <v>130</v>
      </c>
      <c r="CS474" s="0" t="s">
        <v>130</v>
      </c>
      <c r="CT474" s="0" t="s">
        <v>1630</v>
      </c>
    </row>
    <row r="475">
      <c r="A475" s="14">
        <v>101466</v>
      </c>
      <c r="B475" s="0" t="s">
        <v>1628</v>
      </c>
      <c r="C475" s="16">
        <f>HYPERLINK("https://eosportal.federatedhermes.com/companies/Q29tcGFueQppNzU3MDQ=", "Thermo Fisher Scientific Inc")</f>
      </c>
      <c r="D475" s="0" t="s">
        <v>25</v>
      </c>
      <c r="E475" s="0" t="s">
        <v>1631</v>
      </c>
      <c r="F475" s="16">
        <f>HYPERLINK("https://eosportal.federatedhermes.com/engagements/RW5nYWdlbWVudAppMjA2MzM=", "Gender Diversity and AI")</f>
      </c>
      <c r="G475" s="14" t="s">
        <v>1632</v>
      </c>
      <c r="H475" s="0" t="s">
        <v>141</v>
      </c>
      <c r="I475" s="14" t="s">
        <v>636</v>
      </c>
      <c r="J475" s="0" t="s">
        <v>153</v>
      </c>
      <c r="K475" s="0" t="s">
        <v>154</v>
      </c>
      <c r="L475" s="0" t="s">
        <v>268</v>
      </c>
      <c r="M475" s="0" t="s">
        <v>135</v>
      </c>
      <c r="N475" s="0" t="s">
        <v>136</v>
      </c>
      <c r="O475" s="0" t="s">
        <v>274</v>
      </c>
      <c r="Q475" s="0" t="s">
        <v>130</v>
      </c>
      <c r="R475" s="0" t="s">
        <v>138</v>
      </c>
      <c r="S475" s="14">
        <v>0</v>
      </c>
      <c r="T475" s="0" t="s">
        <v>394</v>
      </c>
      <c r="U475" s="0" t="s">
        <v>138</v>
      </c>
      <c r="V475" s="14" t="s">
        <v>138</v>
      </c>
      <c r="W475" s="0" t="s">
        <v>138</v>
      </c>
      <c r="X475" s="14" t="s">
        <v>138</v>
      </c>
      <c r="Y475" s="0" t="s">
        <v>138</v>
      </c>
      <c r="Z475" s="14" t="s">
        <v>138</v>
      </c>
      <c r="AA475" s="0" t="s">
        <v>138</v>
      </c>
      <c r="AB475" s="14" t="s">
        <v>138</v>
      </c>
      <c r="AD475" s="0" t="s">
        <v>138</v>
      </c>
      <c r="AF475" s="0">
        <v>0</v>
      </c>
      <c r="AG475" s="0">
        <v>0</v>
      </c>
      <c r="AH475" s="0" t="s">
        <v>140</v>
      </c>
      <c r="AI475" s="0" t="s">
        <v>138</v>
      </c>
      <c r="AL475" s="14"/>
      <c r="AN475" s="14"/>
      <c r="AQ475" s="0" t="s">
        <v>130</v>
      </c>
      <c r="AR475" s="0" t="s">
        <v>130</v>
      </c>
      <c r="AS475" s="0" t="s">
        <v>130</v>
      </c>
      <c r="AT475" s="0" t="s">
        <v>130</v>
      </c>
      <c r="AU475" s="0" t="s">
        <v>130</v>
      </c>
      <c r="AV475" s="0" t="s">
        <v>130</v>
      </c>
      <c r="AW475" s="0" t="s">
        <v>130</v>
      </c>
      <c r="AX475" s="0" t="s">
        <v>130</v>
      </c>
      <c r="AY475" s="0" t="s">
        <v>130</v>
      </c>
      <c r="AZ475" s="0" t="s">
        <v>130</v>
      </c>
      <c r="BA475" s="0" t="s">
        <v>130</v>
      </c>
      <c r="BB475" s="0" t="s">
        <v>130</v>
      </c>
      <c r="BC475" s="0" t="s">
        <v>130</v>
      </c>
      <c r="BD475" s="0" t="s">
        <v>130</v>
      </c>
      <c r="BE475" s="0" t="s">
        <v>130</v>
      </c>
      <c r="BF475" s="0" t="s">
        <v>130</v>
      </c>
      <c r="BG475" s="0" t="s">
        <v>130</v>
      </c>
      <c r="BH475" s="0" t="s">
        <v>130</v>
      </c>
      <c r="BI475" s="0" t="s">
        <v>130</v>
      </c>
      <c r="BJ475" s="0" t="s">
        <v>130</v>
      </c>
      <c r="BK475" s="0" t="s">
        <v>130</v>
      </c>
      <c r="BL475" s="0" t="s">
        <v>130</v>
      </c>
      <c r="BM475" s="0" t="s">
        <v>130</v>
      </c>
      <c r="BN475" s="0" t="s">
        <v>130</v>
      </c>
      <c r="BO475" s="0" t="s">
        <v>130</v>
      </c>
      <c r="BP475" s="0" t="s">
        <v>130</v>
      </c>
      <c r="BQ475" s="0" t="s">
        <v>130</v>
      </c>
      <c r="BR475" s="0" t="s">
        <v>130</v>
      </c>
      <c r="BS475" s="0" t="s">
        <v>130</v>
      </c>
      <c r="BT475" s="0" t="s">
        <v>130</v>
      </c>
      <c r="BU475" s="0" t="s">
        <v>130</v>
      </c>
      <c r="BV475" s="0" t="s">
        <v>130</v>
      </c>
      <c r="BW475" s="0" t="s">
        <v>130</v>
      </c>
      <c r="BX475" s="0" t="s">
        <v>130</v>
      </c>
      <c r="BY475" s="0" t="s">
        <v>130</v>
      </c>
      <c r="BZ475" s="0" t="s">
        <v>130</v>
      </c>
      <c r="CA475" s="0" t="s">
        <v>130</v>
      </c>
      <c r="CB475" s="0" t="s">
        <v>130</v>
      </c>
      <c r="CC475" s="0" t="s">
        <v>130</v>
      </c>
      <c r="CD475" s="0" t="s">
        <v>130</v>
      </c>
      <c r="CE475" s="0" t="s">
        <v>130</v>
      </c>
      <c r="CF475" s="0" t="s">
        <v>130</v>
      </c>
      <c r="CG475" s="0" t="s">
        <v>130</v>
      </c>
      <c r="CH475" s="0" t="s">
        <v>130</v>
      </c>
      <c r="CI475" s="0" t="s">
        <v>130</v>
      </c>
      <c r="CJ475" s="0" t="s">
        <v>130</v>
      </c>
      <c r="CK475" s="0" t="s">
        <v>141</v>
      </c>
      <c r="CL475" s="0" t="s">
        <v>130</v>
      </c>
      <c r="CM475" s="0" t="s">
        <v>130</v>
      </c>
      <c r="CN475" s="0" t="s">
        <v>130</v>
      </c>
      <c r="CO475" s="0" t="s">
        <v>130</v>
      </c>
      <c r="CP475" s="0" t="s">
        <v>130</v>
      </c>
      <c r="CQ475" s="0" t="s">
        <v>130</v>
      </c>
      <c r="CR475" s="0" t="s">
        <v>130</v>
      </c>
      <c r="CS475" s="0" t="s">
        <v>130</v>
      </c>
      <c r="CT475" s="0" t="s">
        <v>1633</v>
      </c>
    </row>
    <row r="476">
      <c r="A476" s="14">
        <v>101466</v>
      </c>
      <c r="B476" s="0" t="s">
        <v>1628</v>
      </c>
      <c r="C476" s="16">
        <f>HYPERLINK("https://eosportal.federatedhermes.com/companies/Q29tcGFueQppNzU3MDQ=", "Thermo Fisher Scientific Inc")</f>
      </c>
      <c r="D476" s="0" t="s">
        <v>25</v>
      </c>
      <c r="E476" s="0" t="s">
        <v>1634</v>
      </c>
      <c r="F476" s="16">
        <f>HYPERLINK("https://eosportal.federatedhermes.com/engagements/RW5nYWdlbWVudAppMjA2MzQ=", "Board diversity and board refreshment")</f>
      </c>
      <c r="G476" s="14" t="s">
        <v>1635</v>
      </c>
      <c r="H476" s="0" t="s">
        <v>141</v>
      </c>
      <c r="I476" s="14" t="s">
        <v>636</v>
      </c>
      <c r="J476" s="0" t="s">
        <v>145</v>
      </c>
      <c r="K476" s="0" t="s">
        <v>164</v>
      </c>
      <c r="L476" s="0" t="s">
        <v>165</v>
      </c>
      <c r="M476" s="0" t="s">
        <v>135</v>
      </c>
      <c r="N476" s="0" t="s">
        <v>136</v>
      </c>
      <c r="O476" s="0" t="s">
        <v>274</v>
      </c>
      <c r="Q476" s="0" t="s">
        <v>130</v>
      </c>
      <c r="R476" s="0" t="s">
        <v>138</v>
      </c>
      <c r="S476" s="14">
        <v>0</v>
      </c>
      <c r="T476" s="0" t="s">
        <v>487</v>
      </c>
      <c r="U476" s="0" t="s">
        <v>138</v>
      </c>
      <c r="V476" s="14" t="s">
        <v>138</v>
      </c>
      <c r="W476" s="0" t="s">
        <v>138</v>
      </c>
      <c r="X476" s="14" t="s">
        <v>138</v>
      </c>
      <c r="Y476" s="0" t="s">
        <v>138</v>
      </c>
      <c r="Z476" s="14" t="s">
        <v>138</v>
      </c>
      <c r="AA476" s="0" t="s">
        <v>138</v>
      </c>
      <c r="AB476" s="14" t="s">
        <v>138</v>
      </c>
      <c r="AD476" s="0" t="s">
        <v>138</v>
      </c>
      <c r="AF476" s="0">
        <v>0</v>
      </c>
      <c r="AG476" s="0">
        <v>0</v>
      </c>
      <c r="AH476" s="0" t="s">
        <v>140</v>
      </c>
      <c r="AI476" s="0" t="s">
        <v>138</v>
      </c>
      <c r="AL476" s="14"/>
      <c r="AN476" s="14"/>
      <c r="AQ476" s="0" t="s">
        <v>130</v>
      </c>
      <c r="AR476" s="0" t="s">
        <v>130</v>
      </c>
      <c r="AS476" s="0" t="s">
        <v>130</v>
      </c>
      <c r="AT476" s="0" t="s">
        <v>130</v>
      </c>
      <c r="AU476" s="0" t="s">
        <v>141</v>
      </c>
      <c r="AV476" s="0" t="s">
        <v>130</v>
      </c>
      <c r="AW476" s="0" t="s">
        <v>130</v>
      </c>
      <c r="AX476" s="0" t="s">
        <v>130</v>
      </c>
      <c r="AY476" s="0" t="s">
        <v>130</v>
      </c>
      <c r="AZ476" s="0" t="s">
        <v>141</v>
      </c>
      <c r="BA476" s="0" t="s">
        <v>130</v>
      </c>
      <c r="BB476" s="0" t="s">
        <v>130</v>
      </c>
      <c r="BC476" s="0" t="s">
        <v>130</v>
      </c>
      <c r="BD476" s="0" t="s">
        <v>130</v>
      </c>
      <c r="BE476" s="0" t="s">
        <v>130</v>
      </c>
      <c r="BF476" s="0" t="s">
        <v>130</v>
      </c>
      <c r="BG476" s="0" t="s">
        <v>130</v>
      </c>
      <c r="BH476" s="0" t="s">
        <v>130</v>
      </c>
      <c r="BI476" s="0" t="s">
        <v>130</v>
      </c>
      <c r="BJ476" s="0" t="s">
        <v>130</v>
      </c>
      <c r="BK476" s="0" t="s">
        <v>130</v>
      </c>
      <c r="BL476" s="0" t="s">
        <v>130</v>
      </c>
      <c r="BM476" s="0" t="s">
        <v>130</v>
      </c>
      <c r="BN476" s="0" t="s">
        <v>130</v>
      </c>
      <c r="BO476" s="0" t="s">
        <v>130</v>
      </c>
      <c r="BP476" s="0" t="s">
        <v>130</v>
      </c>
      <c r="BQ476" s="0" t="s">
        <v>130</v>
      </c>
      <c r="BR476" s="0" t="s">
        <v>130</v>
      </c>
      <c r="BS476" s="0" t="s">
        <v>130</v>
      </c>
      <c r="BT476" s="0" t="s">
        <v>130</v>
      </c>
      <c r="BU476" s="0" t="s">
        <v>130</v>
      </c>
      <c r="BV476" s="0" t="s">
        <v>130</v>
      </c>
      <c r="BW476" s="0" t="s">
        <v>130</v>
      </c>
      <c r="BX476" s="0" t="s">
        <v>130</v>
      </c>
      <c r="BY476" s="0" t="s">
        <v>130</v>
      </c>
      <c r="BZ476" s="0" t="s">
        <v>130</v>
      </c>
      <c r="CA476" s="0" t="s">
        <v>130</v>
      </c>
      <c r="CB476" s="0" t="s">
        <v>130</v>
      </c>
      <c r="CC476" s="0" t="s">
        <v>130</v>
      </c>
      <c r="CD476" s="0" t="s">
        <v>130</v>
      </c>
      <c r="CE476" s="0" t="s">
        <v>130</v>
      </c>
      <c r="CF476" s="0" t="s">
        <v>130</v>
      </c>
      <c r="CG476" s="0" t="s">
        <v>130</v>
      </c>
      <c r="CH476" s="0" t="s">
        <v>130</v>
      </c>
      <c r="CI476" s="0" t="s">
        <v>130</v>
      </c>
      <c r="CJ476" s="0" t="s">
        <v>130</v>
      </c>
      <c r="CK476" s="0" t="s">
        <v>130</v>
      </c>
      <c r="CL476" s="0" t="s">
        <v>130</v>
      </c>
      <c r="CM476" s="0" t="s">
        <v>130</v>
      </c>
      <c r="CN476" s="0" t="s">
        <v>130</v>
      </c>
      <c r="CO476" s="0" t="s">
        <v>130</v>
      </c>
      <c r="CP476" s="0" t="s">
        <v>130</v>
      </c>
      <c r="CQ476" s="0" t="s">
        <v>130</v>
      </c>
      <c r="CR476" s="0" t="s">
        <v>130</v>
      </c>
      <c r="CS476" s="0" t="s">
        <v>130</v>
      </c>
      <c r="CT476" s="0" t="s">
        <v>1636</v>
      </c>
    </row>
    <row r="477">
      <c r="A477" s="14">
        <v>101466</v>
      </c>
      <c r="B477" s="0" t="s">
        <v>1628</v>
      </c>
      <c r="C477" s="16">
        <f>HYPERLINK("https://eosportal.federatedhermes.com/companies/Q29tcGFueQppNzU3MDQ=", "Thermo Fisher Scientific Inc")</f>
      </c>
      <c r="D477" s="0" t="s">
        <v>25</v>
      </c>
      <c r="E477" s="0" t="s">
        <v>1637</v>
      </c>
      <c r="F477" s="16">
        <f>HYPERLINK("https://eosportal.federatedhermes.com/engagements/RW5nYWdlbWVudAppMjA2Mzg=", "Corporate Governance Monitoring")</f>
      </c>
      <c r="G477" s="14" t="s">
        <v>1638</v>
      </c>
      <c r="H477" s="0" t="s">
        <v>141</v>
      </c>
      <c r="I477" s="14" t="s">
        <v>636</v>
      </c>
      <c r="J477" s="0" t="s">
        <v>145</v>
      </c>
      <c r="K477" s="0" t="s">
        <v>164</v>
      </c>
      <c r="L477" s="0" t="s">
        <v>165</v>
      </c>
      <c r="M477" s="0" t="s">
        <v>135</v>
      </c>
      <c r="N477" s="0" t="s">
        <v>136</v>
      </c>
      <c r="O477" s="0" t="s">
        <v>274</v>
      </c>
      <c r="Q477" s="0" t="s">
        <v>130</v>
      </c>
      <c r="R477" s="0" t="s">
        <v>138</v>
      </c>
      <c r="S477" s="14">
        <v>0</v>
      </c>
      <c r="T477" s="0" t="s">
        <v>710</v>
      </c>
      <c r="U477" s="0" t="s">
        <v>138</v>
      </c>
      <c r="V477" s="14" t="s">
        <v>138</v>
      </c>
      <c r="W477" s="0" t="s">
        <v>138</v>
      </c>
      <c r="X477" s="14" t="s">
        <v>138</v>
      </c>
      <c r="Y477" s="0" t="s">
        <v>138</v>
      </c>
      <c r="Z477" s="14" t="s">
        <v>138</v>
      </c>
      <c r="AA477" s="0" t="s">
        <v>138</v>
      </c>
      <c r="AB477" s="14" t="s">
        <v>138</v>
      </c>
      <c r="AD477" s="0" t="s">
        <v>138</v>
      </c>
      <c r="AF477" s="0">
        <v>0</v>
      </c>
      <c r="AG477" s="0">
        <v>0</v>
      </c>
      <c r="AH477" s="0" t="s">
        <v>140</v>
      </c>
      <c r="AI477" s="0" t="s">
        <v>138</v>
      </c>
      <c r="AL477" s="14"/>
      <c r="AN477" s="14"/>
      <c r="AQ477" s="0" t="s">
        <v>130</v>
      </c>
      <c r="AR477" s="0" t="s">
        <v>130</v>
      </c>
      <c r="AS477" s="0" t="s">
        <v>130</v>
      </c>
      <c r="AT477" s="0" t="s">
        <v>130</v>
      </c>
      <c r="AU477" s="0" t="s">
        <v>130</v>
      </c>
      <c r="AV477" s="0" t="s">
        <v>130</v>
      </c>
      <c r="AW477" s="0" t="s">
        <v>130</v>
      </c>
      <c r="AX477" s="0" t="s">
        <v>130</v>
      </c>
      <c r="AY477" s="0" t="s">
        <v>130</v>
      </c>
      <c r="AZ477" s="0" t="s">
        <v>130</v>
      </c>
      <c r="BA477" s="0" t="s">
        <v>130</v>
      </c>
      <c r="BB477" s="0" t="s">
        <v>130</v>
      </c>
      <c r="BC477" s="0" t="s">
        <v>130</v>
      </c>
      <c r="BD477" s="0" t="s">
        <v>130</v>
      </c>
      <c r="BE477" s="0" t="s">
        <v>130</v>
      </c>
      <c r="BF477" s="0" t="s">
        <v>130</v>
      </c>
      <c r="BG477" s="0" t="s">
        <v>130</v>
      </c>
      <c r="BH477" s="0" t="s">
        <v>130</v>
      </c>
      <c r="BI477" s="0" t="s">
        <v>130</v>
      </c>
      <c r="BJ477" s="0" t="s">
        <v>130</v>
      </c>
      <c r="BK477" s="0" t="s">
        <v>130</v>
      </c>
      <c r="BL477" s="0" t="s">
        <v>130</v>
      </c>
      <c r="BM477" s="0" t="s">
        <v>130</v>
      </c>
      <c r="BN477" s="0" t="s">
        <v>130</v>
      </c>
      <c r="BO477" s="0" t="s">
        <v>130</v>
      </c>
      <c r="BP477" s="0" t="s">
        <v>130</v>
      </c>
      <c r="BQ477" s="0" t="s">
        <v>130</v>
      </c>
      <c r="BR477" s="0" t="s">
        <v>130</v>
      </c>
      <c r="BS477" s="0" t="s">
        <v>130</v>
      </c>
      <c r="BT477" s="0" t="s">
        <v>130</v>
      </c>
      <c r="BU477" s="0" t="s">
        <v>130</v>
      </c>
      <c r="BV477" s="0" t="s">
        <v>130</v>
      </c>
      <c r="BW477" s="0" t="s">
        <v>130</v>
      </c>
      <c r="BX477" s="0" t="s">
        <v>130</v>
      </c>
      <c r="BY477" s="0" t="s">
        <v>130</v>
      </c>
      <c r="BZ477" s="0" t="s">
        <v>130</v>
      </c>
      <c r="CA477" s="0" t="s">
        <v>130</v>
      </c>
      <c r="CB477" s="0" t="s">
        <v>130</v>
      </c>
      <c r="CC477" s="0" t="s">
        <v>130</v>
      </c>
      <c r="CD477" s="0" t="s">
        <v>130</v>
      </c>
      <c r="CE477" s="0" t="s">
        <v>130</v>
      </c>
      <c r="CF477" s="0" t="s">
        <v>130</v>
      </c>
      <c r="CG477" s="0" t="s">
        <v>130</v>
      </c>
      <c r="CH477" s="0" t="s">
        <v>130</v>
      </c>
      <c r="CI477" s="0" t="s">
        <v>130</v>
      </c>
      <c r="CJ477" s="0" t="s">
        <v>130</v>
      </c>
      <c r="CK477" s="0" t="s">
        <v>130</v>
      </c>
      <c r="CL477" s="0" t="s">
        <v>130</v>
      </c>
      <c r="CM477" s="0" t="s">
        <v>130</v>
      </c>
      <c r="CN477" s="0" t="s">
        <v>130</v>
      </c>
      <c r="CO477" s="0" t="s">
        <v>130</v>
      </c>
      <c r="CP477" s="0" t="s">
        <v>130</v>
      </c>
      <c r="CQ477" s="0" t="s">
        <v>130</v>
      </c>
      <c r="CR477" s="0" t="s">
        <v>130</v>
      </c>
      <c r="CS477" s="0" t="s">
        <v>130</v>
      </c>
      <c r="CT477" s="0" t="s">
        <v>1639</v>
      </c>
    </row>
    <row r="478">
      <c r="A478" s="14">
        <v>101466</v>
      </c>
      <c r="B478" s="0" t="s">
        <v>1628</v>
      </c>
      <c r="C478" s="16">
        <f>HYPERLINK("https://eosportal.federatedhermes.com/companies/Q29tcGFueQppNzU3MDQ=", "Thermo Fisher Scientific Inc")</f>
      </c>
      <c r="D478" s="0" t="s">
        <v>25</v>
      </c>
      <c r="E478" s="0" t="s">
        <v>454</v>
      </c>
      <c r="F478" s="16">
        <f>HYPERLINK("https://eosportal.federatedhermes.com/engagements/RW5nYWdlbWVudAppMjA2Mzk=", "Controversy linked to UNGC Principle 2: Complicit in human rights abuses")</f>
      </c>
      <c r="G478" s="14" t="s">
        <v>1640</v>
      </c>
      <c r="H478" s="0" t="s">
        <v>141</v>
      </c>
      <c r="I478" s="14" t="s">
        <v>636</v>
      </c>
      <c r="J478" s="0" t="s">
        <v>153</v>
      </c>
      <c r="K478" s="0" t="s">
        <v>243</v>
      </c>
      <c r="L478" s="0" t="s">
        <v>456</v>
      </c>
      <c r="M478" s="0" t="s">
        <v>135</v>
      </c>
      <c r="N478" s="0" t="s">
        <v>136</v>
      </c>
      <c r="O478" s="0" t="s">
        <v>274</v>
      </c>
      <c r="Q478" s="0" t="s">
        <v>141</v>
      </c>
      <c r="R478" s="0" t="s">
        <v>138</v>
      </c>
      <c r="S478" s="14">
        <v>1</v>
      </c>
      <c r="T478" s="0" t="s">
        <v>359</v>
      </c>
      <c r="U478" s="0" t="s">
        <v>138</v>
      </c>
      <c r="V478" s="14" t="s">
        <v>138</v>
      </c>
      <c r="W478" s="0" t="s">
        <v>138</v>
      </c>
      <c r="X478" s="14" t="s">
        <v>138</v>
      </c>
      <c r="Y478" s="0" t="s">
        <v>138</v>
      </c>
      <c r="Z478" s="14" t="s">
        <v>138</v>
      </c>
      <c r="AA478" s="0" t="s">
        <v>138</v>
      </c>
      <c r="AB478" s="14" t="s">
        <v>138</v>
      </c>
      <c r="AD478" s="0" t="s">
        <v>138</v>
      </c>
      <c r="AF478" s="0">
        <v>0</v>
      </c>
      <c r="AG478" s="0">
        <v>0</v>
      </c>
      <c r="AH478" s="0" t="s">
        <v>140</v>
      </c>
      <c r="AI478" s="0" t="s">
        <v>138</v>
      </c>
      <c r="AK478" s="0" t="s">
        <v>1347</v>
      </c>
      <c r="AL478" s="14"/>
      <c r="AN478" s="14"/>
      <c r="AQ478" s="0" t="s">
        <v>130</v>
      </c>
      <c r="AR478" s="0" t="s">
        <v>130</v>
      </c>
      <c r="AS478" s="0" t="s">
        <v>130</v>
      </c>
      <c r="AT478" s="0" t="s">
        <v>130</v>
      </c>
      <c r="AU478" s="0" t="s">
        <v>130</v>
      </c>
      <c r="AV478" s="0" t="s">
        <v>130</v>
      </c>
      <c r="AW478" s="0" t="s">
        <v>130</v>
      </c>
      <c r="AX478" s="0" t="s">
        <v>141</v>
      </c>
      <c r="AY478" s="0" t="s">
        <v>130</v>
      </c>
      <c r="AZ478" s="0" t="s">
        <v>130</v>
      </c>
      <c r="BA478" s="0" t="s">
        <v>130</v>
      </c>
      <c r="BB478" s="0" t="s">
        <v>130</v>
      </c>
      <c r="BC478" s="0" t="s">
        <v>130</v>
      </c>
      <c r="BD478" s="0" t="s">
        <v>130</v>
      </c>
      <c r="BE478" s="0" t="s">
        <v>130</v>
      </c>
      <c r="BF478" s="0" t="s">
        <v>141</v>
      </c>
      <c r="BG478" s="0" t="s">
        <v>130</v>
      </c>
      <c r="BH478" s="0" t="s">
        <v>130</v>
      </c>
      <c r="BI478" s="0" t="s">
        <v>130</v>
      </c>
      <c r="BJ478" s="0" t="s">
        <v>130</v>
      </c>
      <c r="BK478" s="0" t="s">
        <v>130</v>
      </c>
      <c r="BL478" s="0" t="s">
        <v>130</v>
      </c>
      <c r="BM478" s="0" t="s">
        <v>130</v>
      </c>
      <c r="BN478" s="0" t="s">
        <v>130</v>
      </c>
      <c r="BO478" s="0" t="s">
        <v>130</v>
      </c>
      <c r="BP478" s="0" t="s">
        <v>141</v>
      </c>
      <c r="BQ478" s="0" t="s">
        <v>130</v>
      </c>
      <c r="BR478" s="0" t="s">
        <v>130</v>
      </c>
      <c r="BS478" s="0" t="s">
        <v>130</v>
      </c>
      <c r="BT478" s="0" t="s">
        <v>130</v>
      </c>
      <c r="BU478" s="0" t="s">
        <v>130</v>
      </c>
      <c r="BV478" s="0" t="s">
        <v>130</v>
      </c>
      <c r="BW478" s="0" t="s">
        <v>130</v>
      </c>
      <c r="BX478" s="0" t="s">
        <v>130</v>
      </c>
      <c r="BY478" s="0" t="s">
        <v>130</v>
      </c>
      <c r="BZ478" s="0" t="s">
        <v>130</v>
      </c>
      <c r="CA478" s="0" t="s">
        <v>130</v>
      </c>
      <c r="CB478" s="0" t="s">
        <v>130</v>
      </c>
      <c r="CC478" s="0" t="s">
        <v>130</v>
      </c>
      <c r="CD478" s="0" t="s">
        <v>130</v>
      </c>
      <c r="CE478" s="0" t="s">
        <v>130</v>
      </c>
      <c r="CF478" s="0" t="s">
        <v>130</v>
      </c>
      <c r="CG478" s="0" t="s">
        <v>130</v>
      </c>
      <c r="CH478" s="0" t="s">
        <v>130</v>
      </c>
      <c r="CI478" s="0" t="s">
        <v>130</v>
      </c>
      <c r="CJ478" s="0" t="s">
        <v>130</v>
      </c>
      <c r="CK478" s="0" t="s">
        <v>130</v>
      </c>
      <c r="CL478" s="0" t="s">
        <v>130</v>
      </c>
      <c r="CM478" s="0" t="s">
        <v>130</v>
      </c>
      <c r="CN478" s="0" t="s">
        <v>130</v>
      </c>
      <c r="CO478" s="0" t="s">
        <v>130</v>
      </c>
      <c r="CP478" s="0" t="s">
        <v>130</v>
      </c>
      <c r="CQ478" s="0" t="s">
        <v>130</v>
      </c>
      <c r="CR478" s="0" t="s">
        <v>130</v>
      </c>
      <c r="CS478" s="0" t="s">
        <v>130</v>
      </c>
      <c r="CT478" s="0" t="s">
        <v>1641</v>
      </c>
    </row>
    <row r="479">
      <c r="A479" s="14">
        <v>101491</v>
      </c>
      <c r="B479" s="0" t="s">
        <v>1642</v>
      </c>
      <c r="C479" s="16">
        <f>HYPERLINK("https://eosportal.federatedhermes.com/companies/Q29tcGFueQppNjMzMzM=", "TotalEnergies SE")</f>
      </c>
      <c r="D479" s="0" t="s">
        <v>25</v>
      </c>
      <c r="E479" s="0" t="s">
        <v>1643</v>
      </c>
      <c r="F479" s="16">
        <f>HYPERLINK("https://eosportal.federatedhermes.com/engagements/RW5nYWdlbWVudAppMjA2ODQ=", "Sudan Operations")</f>
      </c>
      <c r="G479" s="14" t="s">
        <v>1644</v>
      </c>
      <c r="H479" s="0" t="s">
        <v>141</v>
      </c>
      <c r="I479" s="14" t="s">
        <v>1645</v>
      </c>
      <c r="J479" s="0" t="s">
        <v>153</v>
      </c>
      <c r="K479" s="0" t="s">
        <v>243</v>
      </c>
      <c r="L479" s="0" t="s">
        <v>456</v>
      </c>
      <c r="M479" s="0" t="s">
        <v>378</v>
      </c>
      <c r="N479" s="0" t="s">
        <v>1646</v>
      </c>
      <c r="O479" s="0" t="s">
        <v>542</v>
      </c>
      <c r="Q479" s="0" t="s">
        <v>130</v>
      </c>
      <c r="R479" s="0" t="s">
        <v>138</v>
      </c>
      <c r="S479" s="14">
        <v>0</v>
      </c>
      <c r="T479" s="0" t="s">
        <v>1647</v>
      </c>
      <c r="U479" s="0" t="s">
        <v>138</v>
      </c>
      <c r="V479" s="14" t="s">
        <v>138</v>
      </c>
      <c r="W479" s="0" t="s">
        <v>138</v>
      </c>
      <c r="X479" s="14" t="s">
        <v>138</v>
      </c>
      <c r="Y479" s="0" t="s">
        <v>138</v>
      </c>
      <c r="Z479" s="14" t="s">
        <v>138</v>
      </c>
      <c r="AA479" s="0" t="s">
        <v>138</v>
      </c>
      <c r="AB479" s="14" t="s">
        <v>138</v>
      </c>
      <c r="AD479" s="0" t="s">
        <v>138</v>
      </c>
      <c r="AF479" s="0">
        <v>0</v>
      </c>
      <c r="AG479" s="0">
        <v>0</v>
      </c>
      <c r="AH479" s="0" t="s">
        <v>140</v>
      </c>
      <c r="AI479" s="0" t="s">
        <v>138</v>
      </c>
      <c r="AL479" s="14"/>
      <c r="AN479" s="14"/>
      <c r="AQ479" s="0" t="s">
        <v>130</v>
      </c>
      <c r="AR479" s="0" t="s">
        <v>130</v>
      </c>
      <c r="AS479" s="0" t="s">
        <v>130</v>
      </c>
      <c r="AT479" s="0" t="s">
        <v>130</v>
      </c>
      <c r="AU479" s="0" t="s">
        <v>130</v>
      </c>
      <c r="AV479" s="0" t="s">
        <v>130</v>
      </c>
      <c r="AW479" s="0" t="s">
        <v>130</v>
      </c>
      <c r="AX479" s="0" t="s">
        <v>130</v>
      </c>
      <c r="AY479" s="0" t="s">
        <v>130</v>
      </c>
      <c r="AZ479" s="0" t="s">
        <v>130</v>
      </c>
      <c r="BA479" s="0" t="s">
        <v>130</v>
      </c>
      <c r="BB479" s="0" t="s">
        <v>130</v>
      </c>
      <c r="BC479" s="0" t="s">
        <v>130</v>
      </c>
      <c r="BD479" s="0" t="s">
        <v>130</v>
      </c>
      <c r="BE479" s="0" t="s">
        <v>130</v>
      </c>
      <c r="BF479" s="0" t="s">
        <v>130</v>
      </c>
      <c r="BG479" s="0" t="s">
        <v>130</v>
      </c>
      <c r="BH479" s="0" t="s">
        <v>130</v>
      </c>
      <c r="BI479" s="0" t="s">
        <v>130</v>
      </c>
      <c r="BJ479" s="0" t="s">
        <v>130</v>
      </c>
      <c r="BK479" s="0" t="s">
        <v>130</v>
      </c>
      <c r="BL479" s="0" t="s">
        <v>130</v>
      </c>
      <c r="BM479" s="0" t="s">
        <v>130</v>
      </c>
      <c r="BN479" s="0" t="s">
        <v>130</v>
      </c>
      <c r="BO479" s="0" t="s">
        <v>130</v>
      </c>
      <c r="BP479" s="0" t="s">
        <v>130</v>
      </c>
      <c r="BQ479" s="0" t="s">
        <v>130</v>
      </c>
      <c r="BR479" s="0" t="s">
        <v>130</v>
      </c>
      <c r="BS479" s="0" t="s">
        <v>130</v>
      </c>
      <c r="BT479" s="0" t="s">
        <v>130</v>
      </c>
      <c r="BU479" s="0" t="s">
        <v>130</v>
      </c>
      <c r="BV479" s="0" t="s">
        <v>130</v>
      </c>
      <c r="BW479" s="0" t="s">
        <v>130</v>
      </c>
      <c r="BX479" s="0" t="s">
        <v>130</v>
      </c>
      <c r="BY479" s="0" t="s">
        <v>130</v>
      </c>
      <c r="BZ479" s="0" t="s">
        <v>130</v>
      </c>
      <c r="CA479" s="0" t="s">
        <v>130</v>
      </c>
      <c r="CB479" s="0" t="s">
        <v>130</v>
      </c>
      <c r="CC479" s="0" t="s">
        <v>130</v>
      </c>
      <c r="CD479" s="0" t="s">
        <v>130</v>
      </c>
      <c r="CE479" s="0" t="s">
        <v>130</v>
      </c>
      <c r="CF479" s="0" t="s">
        <v>130</v>
      </c>
      <c r="CG479" s="0" t="s">
        <v>130</v>
      </c>
      <c r="CH479" s="0" t="s">
        <v>130</v>
      </c>
      <c r="CI479" s="0" t="s">
        <v>130</v>
      </c>
      <c r="CJ479" s="0" t="s">
        <v>130</v>
      </c>
      <c r="CK479" s="0" t="s">
        <v>130</v>
      </c>
      <c r="CL479" s="0" t="s">
        <v>130</v>
      </c>
      <c r="CM479" s="0" t="s">
        <v>130</v>
      </c>
      <c r="CN479" s="0" t="s">
        <v>130</v>
      </c>
      <c r="CO479" s="0" t="s">
        <v>130</v>
      </c>
      <c r="CP479" s="0" t="s">
        <v>130</v>
      </c>
      <c r="CQ479" s="0" t="s">
        <v>130</v>
      </c>
      <c r="CR479" s="0" t="s">
        <v>130</v>
      </c>
      <c r="CS479" s="0" t="s">
        <v>130</v>
      </c>
      <c r="CT479" s="0" t="s">
        <v>1648</v>
      </c>
    </row>
    <row r="480">
      <c r="A480" s="14">
        <v>101491</v>
      </c>
      <c r="B480" s="0" t="s">
        <v>1642</v>
      </c>
      <c r="C480" s="16">
        <f>HYPERLINK("https://eosportal.federatedhermes.com/companies/Q29tcGFueQppNjMzMzM=", "TotalEnergies SE")</f>
      </c>
      <c r="D480" s="0" t="s">
        <v>25</v>
      </c>
      <c r="E480" s="0" t="s">
        <v>1649</v>
      </c>
      <c r="F480" s="16">
        <f>HYPERLINK("https://eosportal.federatedhermes.com/engagements/RW5nYWdlbWVudAppMjA2ODU=", "Minority shareholders rights")</f>
      </c>
      <c r="G480" s="14"/>
      <c r="H480" s="0" t="s">
        <v>141</v>
      </c>
      <c r="I480" s="14" t="s">
        <v>1645</v>
      </c>
      <c r="J480" s="0" t="s">
        <v>145</v>
      </c>
      <c r="K480" s="0" t="s">
        <v>400</v>
      </c>
      <c r="L480" s="0" t="s">
        <v>507</v>
      </c>
      <c r="M480" s="0" t="s">
        <v>378</v>
      </c>
      <c r="N480" s="0" t="s">
        <v>1646</v>
      </c>
      <c r="O480" s="0" t="s">
        <v>542</v>
      </c>
      <c r="Q480" s="0" t="s">
        <v>130</v>
      </c>
      <c r="R480" s="0" t="s">
        <v>138</v>
      </c>
      <c r="S480" s="14">
        <v>0</v>
      </c>
      <c r="T480" s="0" t="s">
        <v>380</v>
      </c>
      <c r="U480" s="0" t="s">
        <v>138</v>
      </c>
      <c r="V480" s="14" t="s">
        <v>138</v>
      </c>
      <c r="W480" s="0" t="s">
        <v>138</v>
      </c>
      <c r="X480" s="14" t="s">
        <v>138</v>
      </c>
      <c r="Y480" s="0" t="s">
        <v>138</v>
      </c>
      <c r="Z480" s="14" t="s">
        <v>138</v>
      </c>
      <c r="AA480" s="0" t="s">
        <v>138</v>
      </c>
      <c r="AB480" s="14" t="s">
        <v>138</v>
      </c>
      <c r="AD480" s="0" t="s">
        <v>138</v>
      </c>
      <c r="AF480" s="0">
        <v>0</v>
      </c>
      <c r="AG480" s="0">
        <v>0</v>
      </c>
      <c r="AH480" s="0" t="s">
        <v>140</v>
      </c>
      <c r="AI480" s="0" t="s">
        <v>138</v>
      </c>
      <c r="AL480" s="14"/>
      <c r="AN480" s="14"/>
      <c r="AQ480" s="0" t="s">
        <v>130</v>
      </c>
      <c r="AR480" s="0" t="s">
        <v>130</v>
      </c>
      <c r="AS480" s="0" t="s">
        <v>130</v>
      </c>
      <c r="AT480" s="0" t="s">
        <v>130</v>
      </c>
      <c r="AU480" s="0" t="s">
        <v>130</v>
      </c>
      <c r="AV480" s="0" t="s">
        <v>130</v>
      </c>
      <c r="AW480" s="0" t="s">
        <v>130</v>
      </c>
      <c r="AX480" s="0" t="s">
        <v>130</v>
      </c>
      <c r="AY480" s="0" t="s">
        <v>130</v>
      </c>
      <c r="AZ480" s="0" t="s">
        <v>130</v>
      </c>
      <c r="BA480" s="0" t="s">
        <v>130</v>
      </c>
      <c r="BB480" s="0" t="s">
        <v>130</v>
      </c>
      <c r="BC480" s="0" t="s">
        <v>130</v>
      </c>
      <c r="BD480" s="0" t="s">
        <v>130</v>
      </c>
      <c r="BE480" s="0" t="s">
        <v>130</v>
      </c>
      <c r="BF480" s="0" t="s">
        <v>130</v>
      </c>
      <c r="BG480" s="0" t="s">
        <v>130</v>
      </c>
      <c r="BH480" s="0" t="s">
        <v>130</v>
      </c>
      <c r="BI480" s="0" t="s">
        <v>130</v>
      </c>
      <c r="BJ480" s="0" t="s">
        <v>130</v>
      </c>
      <c r="BK480" s="0" t="s">
        <v>130</v>
      </c>
      <c r="BL480" s="0" t="s">
        <v>130</v>
      </c>
      <c r="BM480" s="0" t="s">
        <v>130</v>
      </c>
      <c r="BN480" s="0" t="s">
        <v>130</v>
      </c>
      <c r="BO480" s="0" t="s">
        <v>130</v>
      </c>
      <c r="BP480" s="0" t="s">
        <v>130</v>
      </c>
      <c r="BQ480" s="0" t="s">
        <v>130</v>
      </c>
      <c r="BR480" s="0" t="s">
        <v>130</v>
      </c>
      <c r="BS480" s="0" t="s">
        <v>130</v>
      </c>
      <c r="BT480" s="0" t="s">
        <v>130</v>
      </c>
      <c r="BU480" s="0" t="s">
        <v>130</v>
      </c>
      <c r="BV480" s="0" t="s">
        <v>130</v>
      </c>
      <c r="BW480" s="0" t="s">
        <v>130</v>
      </c>
      <c r="BX480" s="0" t="s">
        <v>130</v>
      </c>
      <c r="BY480" s="0" t="s">
        <v>130</v>
      </c>
      <c r="BZ480" s="0" t="s">
        <v>130</v>
      </c>
      <c r="CA480" s="0" t="s">
        <v>130</v>
      </c>
      <c r="CB480" s="0" t="s">
        <v>130</v>
      </c>
      <c r="CC480" s="0" t="s">
        <v>130</v>
      </c>
      <c r="CD480" s="0" t="s">
        <v>130</v>
      </c>
      <c r="CE480" s="0" t="s">
        <v>130</v>
      </c>
      <c r="CF480" s="0" t="s">
        <v>130</v>
      </c>
      <c r="CG480" s="0" t="s">
        <v>130</v>
      </c>
      <c r="CH480" s="0" t="s">
        <v>130</v>
      </c>
      <c r="CI480" s="0" t="s">
        <v>130</v>
      </c>
      <c r="CJ480" s="0" t="s">
        <v>130</v>
      </c>
      <c r="CK480" s="0" t="s">
        <v>130</v>
      </c>
      <c r="CL480" s="0" t="s">
        <v>130</v>
      </c>
      <c r="CM480" s="0" t="s">
        <v>130</v>
      </c>
      <c r="CN480" s="0" t="s">
        <v>130</v>
      </c>
      <c r="CO480" s="0" t="s">
        <v>130</v>
      </c>
      <c r="CP480" s="0" t="s">
        <v>130</v>
      </c>
      <c r="CQ480" s="0" t="s">
        <v>130</v>
      </c>
      <c r="CR480" s="0" t="s">
        <v>130</v>
      </c>
      <c r="CS480" s="0" t="s">
        <v>130</v>
      </c>
      <c r="CT480" s="0" t="s">
        <v>1650</v>
      </c>
    </row>
    <row r="481">
      <c r="A481" s="14">
        <v>101491</v>
      </c>
      <c r="B481" s="0" t="s">
        <v>1642</v>
      </c>
      <c r="C481" s="16">
        <f>HYPERLINK("https://eosportal.federatedhermes.com/companies/Q29tcGFueQppNjMzMzM=", "TotalEnergies SE")</f>
      </c>
      <c r="D481" s="0" t="s">
        <v>25</v>
      </c>
      <c r="E481" s="0" t="s">
        <v>1651</v>
      </c>
      <c r="F481" s="16">
        <f>HYPERLINK("https://eosportal.federatedhermes.com/engagements/RW5nYWdlbWVudAppMjA2ODY=", "Health &amp; safety")</f>
      </c>
      <c r="G481" s="14" t="s">
        <v>1652</v>
      </c>
      <c r="H481" s="0" t="s">
        <v>141</v>
      </c>
      <c r="I481" s="14" t="s">
        <v>1645</v>
      </c>
      <c r="J481" s="0" t="s">
        <v>132</v>
      </c>
      <c r="K481" s="0" t="s">
        <v>133</v>
      </c>
      <c r="L481" s="0" t="s">
        <v>160</v>
      </c>
      <c r="M481" s="0" t="s">
        <v>378</v>
      </c>
      <c r="N481" s="0" t="s">
        <v>1646</v>
      </c>
      <c r="O481" s="0" t="s">
        <v>542</v>
      </c>
      <c r="Q481" s="0" t="s">
        <v>141</v>
      </c>
      <c r="R481" s="0" t="s">
        <v>138</v>
      </c>
      <c r="S481" s="14">
        <v>1</v>
      </c>
      <c r="T481" s="0" t="s">
        <v>1145</v>
      </c>
      <c r="U481" s="0" t="s">
        <v>138</v>
      </c>
      <c r="V481" s="14" t="s">
        <v>138</v>
      </c>
      <c r="W481" s="0" t="s">
        <v>138</v>
      </c>
      <c r="X481" s="14" t="s">
        <v>138</v>
      </c>
      <c r="Y481" s="0" t="s">
        <v>138</v>
      </c>
      <c r="Z481" s="14" t="s">
        <v>138</v>
      </c>
      <c r="AA481" s="0" t="s">
        <v>138</v>
      </c>
      <c r="AB481" s="14" t="s">
        <v>138</v>
      </c>
      <c r="AD481" s="0" t="s">
        <v>138</v>
      </c>
      <c r="AF481" s="0">
        <v>0</v>
      </c>
      <c r="AG481" s="0">
        <v>0</v>
      </c>
      <c r="AH481" s="0" t="s">
        <v>140</v>
      </c>
      <c r="AI481" s="0" t="s">
        <v>138</v>
      </c>
      <c r="AK481" s="0" t="s">
        <v>847</v>
      </c>
      <c r="AL481" s="14"/>
      <c r="AN481" s="14"/>
      <c r="AQ481" s="0" t="s">
        <v>130</v>
      </c>
      <c r="AR481" s="0" t="s">
        <v>130</v>
      </c>
      <c r="AS481" s="0" t="s">
        <v>130</v>
      </c>
      <c r="AT481" s="0" t="s">
        <v>130</v>
      </c>
      <c r="AU481" s="0" t="s">
        <v>130</v>
      </c>
      <c r="AV481" s="0" t="s">
        <v>130</v>
      </c>
      <c r="AW481" s="0" t="s">
        <v>130</v>
      </c>
      <c r="AX481" s="0" t="s">
        <v>141</v>
      </c>
      <c r="AY481" s="0" t="s">
        <v>130</v>
      </c>
      <c r="AZ481" s="0" t="s">
        <v>130</v>
      </c>
      <c r="BA481" s="0" t="s">
        <v>130</v>
      </c>
      <c r="BB481" s="0" t="s">
        <v>130</v>
      </c>
      <c r="BC481" s="0" t="s">
        <v>130</v>
      </c>
      <c r="BD481" s="0" t="s">
        <v>130</v>
      </c>
      <c r="BE481" s="0" t="s">
        <v>130</v>
      </c>
      <c r="BF481" s="0" t="s">
        <v>130</v>
      </c>
      <c r="BG481" s="0" t="s">
        <v>130</v>
      </c>
      <c r="BH481" s="0" t="s">
        <v>130</v>
      </c>
      <c r="BI481" s="0" t="s">
        <v>130</v>
      </c>
      <c r="BJ481" s="0" t="s">
        <v>130</v>
      </c>
      <c r="BK481" s="0" t="s">
        <v>130</v>
      </c>
      <c r="BL481" s="0" t="s">
        <v>130</v>
      </c>
      <c r="BM481" s="0" t="s">
        <v>130</v>
      </c>
      <c r="BN481" s="0" t="s">
        <v>130</v>
      </c>
      <c r="BO481" s="0" t="s">
        <v>130</v>
      </c>
      <c r="BP481" s="0" t="s">
        <v>130</v>
      </c>
      <c r="BQ481" s="0" t="s">
        <v>130</v>
      </c>
      <c r="BR481" s="0" t="s">
        <v>130</v>
      </c>
      <c r="BS481" s="0" t="s">
        <v>130</v>
      </c>
      <c r="BT481" s="0" t="s">
        <v>130</v>
      </c>
      <c r="BU481" s="0" t="s">
        <v>130</v>
      </c>
      <c r="BV481" s="0" t="s">
        <v>130</v>
      </c>
      <c r="BW481" s="0" t="s">
        <v>130</v>
      </c>
      <c r="BX481" s="0" t="s">
        <v>130</v>
      </c>
      <c r="BY481" s="0" t="s">
        <v>130</v>
      </c>
      <c r="BZ481" s="0" t="s">
        <v>130</v>
      </c>
      <c r="CA481" s="0" t="s">
        <v>130</v>
      </c>
      <c r="CB481" s="0" t="s">
        <v>130</v>
      </c>
      <c r="CC481" s="0" t="s">
        <v>130</v>
      </c>
      <c r="CD481" s="0" t="s">
        <v>130</v>
      </c>
      <c r="CE481" s="0" t="s">
        <v>130</v>
      </c>
      <c r="CF481" s="0" t="s">
        <v>130</v>
      </c>
      <c r="CG481" s="0" t="s">
        <v>130</v>
      </c>
      <c r="CH481" s="0" t="s">
        <v>130</v>
      </c>
      <c r="CI481" s="0" t="s">
        <v>130</v>
      </c>
      <c r="CJ481" s="0" t="s">
        <v>130</v>
      </c>
      <c r="CK481" s="0" t="s">
        <v>130</v>
      </c>
      <c r="CL481" s="0" t="s">
        <v>130</v>
      </c>
      <c r="CM481" s="0" t="s">
        <v>130</v>
      </c>
      <c r="CN481" s="0" t="s">
        <v>130</v>
      </c>
      <c r="CO481" s="0" t="s">
        <v>130</v>
      </c>
      <c r="CP481" s="0" t="s">
        <v>130</v>
      </c>
      <c r="CQ481" s="0" t="s">
        <v>130</v>
      </c>
      <c r="CR481" s="0" t="s">
        <v>130</v>
      </c>
      <c r="CS481" s="0" t="s">
        <v>130</v>
      </c>
      <c r="CT481" s="0" t="s">
        <v>1653</v>
      </c>
    </row>
    <row r="482">
      <c r="A482" s="14">
        <v>101491</v>
      </c>
      <c r="B482" s="0" t="s">
        <v>1642</v>
      </c>
      <c r="C482" s="16">
        <f>HYPERLINK("https://eosportal.federatedhermes.com/companies/Q29tcGFueQppNjMzMzM=", "TotalEnergies SE")</f>
      </c>
      <c r="D482" s="0" t="s">
        <v>25</v>
      </c>
      <c r="E482" s="0" t="s">
        <v>1654</v>
      </c>
      <c r="F482" s="16">
        <f>HYPERLINK("https://eosportal.federatedhermes.com/engagements/RW5nYWdlbWVudAppMjA2ODc=", "Climate change linked to executive remuneration incentives.")</f>
      </c>
      <c r="G482" s="14" t="s">
        <v>1655</v>
      </c>
      <c r="H482" s="0" t="s">
        <v>141</v>
      </c>
      <c r="I482" s="14" t="s">
        <v>1645</v>
      </c>
      <c r="J482" s="0" t="s">
        <v>197</v>
      </c>
      <c r="K482" s="0" t="s">
        <v>198</v>
      </c>
      <c r="L482" s="0" t="s">
        <v>199</v>
      </c>
      <c r="M482" s="0" t="s">
        <v>378</v>
      </c>
      <c r="N482" s="0" t="s">
        <v>1646</v>
      </c>
      <c r="O482" s="0" t="s">
        <v>542</v>
      </c>
      <c r="Q482" s="0" t="s">
        <v>130</v>
      </c>
      <c r="R482" s="0" t="s">
        <v>138</v>
      </c>
      <c r="S482" s="14">
        <v>0</v>
      </c>
      <c r="T482" s="0" t="s">
        <v>193</v>
      </c>
      <c r="U482" s="0" t="s">
        <v>138</v>
      </c>
      <c r="V482" s="14" t="s">
        <v>138</v>
      </c>
      <c r="W482" s="0" t="s">
        <v>138</v>
      </c>
      <c r="X482" s="14" t="s">
        <v>138</v>
      </c>
      <c r="Y482" s="0" t="s">
        <v>138</v>
      </c>
      <c r="Z482" s="14" t="s">
        <v>138</v>
      </c>
      <c r="AA482" s="0" t="s">
        <v>138</v>
      </c>
      <c r="AB482" s="14" t="s">
        <v>138</v>
      </c>
      <c r="AD482" s="0" t="s">
        <v>138</v>
      </c>
      <c r="AF482" s="0">
        <v>0</v>
      </c>
      <c r="AG482" s="0">
        <v>0</v>
      </c>
      <c r="AH482" s="0" t="s">
        <v>140</v>
      </c>
      <c r="AI482" s="0" t="s">
        <v>138</v>
      </c>
      <c r="AL482" s="14"/>
      <c r="AN482" s="14"/>
      <c r="AQ482" s="0" t="s">
        <v>130</v>
      </c>
      <c r="AR482" s="0" t="s">
        <v>130</v>
      </c>
      <c r="AS482" s="0" t="s">
        <v>130</v>
      </c>
      <c r="AT482" s="0" t="s">
        <v>130</v>
      </c>
      <c r="AU482" s="0" t="s">
        <v>130</v>
      </c>
      <c r="AV482" s="0" t="s">
        <v>130</v>
      </c>
      <c r="AW482" s="0" t="s">
        <v>130</v>
      </c>
      <c r="AX482" s="0" t="s">
        <v>130</v>
      </c>
      <c r="AY482" s="0" t="s">
        <v>130</v>
      </c>
      <c r="AZ482" s="0" t="s">
        <v>130</v>
      </c>
      <c r="BA482" s="0" t="s">
        <v>130</v>
      </c>
      <c r="BB482" s="0" t="s">
        <v>141</v>
      </c>
      <c r="BC482" s="0" t="s">
        <v>130</v>
      </c>
      <c r="BD482" s="0" t="s">
        <v>130</v>
      </c>
      <c r="BE482" s="0" t="s">
        <v>130</v>
      </c>
      <c r="BF482" s="0" t="s">
        <v>130</v>
      </c>
      <c r="BG482" s="0" t="s">
        <v>130</v>
      </c>
      <c r="BH482" s="0" t="s">
        <v>130</v>
      </c>
      <c r="BI482" s="0" t="s">
        <v>130</v>
      </c>
      <c r="BJ482" s="0" t="s">
        <v>130</v>
      </c>
      <c r="BK482" s="0" t="s">
        <v>130</v>
      </c>
      <c r="BL482" s="0" t="s">
        <v>130</v>
      </c>
      <c r="BM482" s="0" t="s">
        <v>130</v>
      </c>
      <c r="BN482" s="0" t="s">
        <v>130</v>
      </c>
      <c r="BO482" s="0" t="s">
        <v>130</v>
      </c>
      <c r="BP482" s="0" t="s">
        <v>130</v>
      </c>
      <c r="BQ482" s="0" t="s">
        <v>130</v>
      </c>
      <c r="BR482" s="0" t="s">
        <v>130</v>
      </c>
      <c r="BS482" s="0" t="s">
        <v>130</v>
      </c>
      <c r="BT482" s="0" t="s">
        <v>130</v>
      </c>
      <c r="BU482" s="0" t="s">
        <v>130</v>
      </c>
      <c r="BV482" s="0" t="s">
        <v>130</v>
      </c>
      <c r="BW482" s="0" t="s">
        <v>130</v>
      </c>
      <c r="BX482" s="0" t="s">
        <v>130</v>
      </c>
      <c r="BY482" s="0" t="s">
        <v>130</v>
      </c>
      <c r="BZ482" s="0" t="s">
        <v>130</v>
      </c>
      <c r="CA482" s="0" t="s">
        <v>130</v>
      </c>
      <c r="CB482" s="0" t="s">
        <v>130</v>
      </c>
      <c r="CC482" s="0" t="s">
        <v>130</v>
      </c>
      <c r="CD482" s="0" t="s">
        <v>130</v>
      </c>
      <c r="CE482" s="0" t="s">
        <v>130</v>
      </c>
      <c r="CF482" s="0" t="s">
        <v>130</v>
      </c>
      <c r="CG482" s="0" t="s">
        <v>130</v>
      </c>
      <c r="CH482" s="0" t="s">
        <v>130</v>
      </c>
      <c r="CI482" s="0" t="s">
        <v>130</v>
      </c>
      <c r="CJ482" s="0" t="s">
        <v>130</v>
      </c>
      <c r="CK482" s="0" t="s">
        <v>130</v>
      </c>
      <c r="CL482" s="0" t="s">
        <v>130</v>
      </c>
      <c r="CM482" s="0" t="s">
        <v>130</v>
      </c>
      <c r="CN482" s="0" t="s">
        <v>130</v>
      </c>
      <c r="CO482" s="0" t="s">
        <v>130</v>
      </c>
      <c r="CP482" s="0" t="s">
        <v>130</v>
      </c>
      <c r="CQ482" s="0" t="s">
        <v>130</v>
      </c>
      <c r="CR482" s="0" t="s">
        <v>130</v>
      </c>
      <c r="CS482" s="0" t="s">
        <v>130</v>
      </c>
      <c r="CT482" s="0" t="s">
        <v>1656</v>
      </c>
    </row>
    <row r="483">
      <c r="A483" s="14">
        <v>101491</v>
      </c>
      <c r="B483" s="0" t="s">
        <v>1642</v>
      </c>
      <c r="C483" s="16">
        <f>HYPERLINK("https://eosportal.federatedhermes.com/companies/Q29tcGFueQppNjMzMzM=", "TotalEnergies SE")</f>
      </c>
      <c r="D483" s="0" t="s">
        <v>25</v>
      </c>
      <c r="E483" s="0" t="s">
        <v>1657</v>
      </c>
      <c r="F483" s="16">
        <f>HYPERLINK("https://eosportal.federatedhermes.com/engagements/RW5nYWdlbWVudAppMjA2ODg=", "Human rights policy and management")</f>
      </c>
      <c r="G483" s="14" t="s">
        <v>1658</v>
      </c>
      <c r="H483" s="0" t="s">
        <v>141</v>
      </c>
      <c r="I483" s="14" t="s">
        <v>1645</v>
      </c>
      <c r="J483" s="0" t="s">
        <v>153</v>
      </c>
      <c r="K483" s="0" t="s">
        <v>243</v>
      </c>
      <c r="L483" s="0" t="s">
        <v>244</v>
      </c>
      <c r="M483" s="0" t="s">
        <v>378</v>
      </c>
      <c r="N483" s="0" t="s">
        <v>1646</v>
      </c>
      <c r="O483" s="0" t="s">
        <v>542</v>
      </c>
      <c r="Q483" s="0" t="s">
        <v>130</v>
      </c>
      <c r="R483" s="0" t="s">
        <v>138</v>
      </c>
      <c r="S483" s="14">
        <v>0</v>
      </c>
      <c r="T483" s="0" t="s">
        <v>416</v>
      </c>
      <c r="U483" s="0" t="s">
        <v>138</v>
      </c>
      <c r="V483" s="14" t="s">
        <v>138</v>
      </c>
      <c r="W483" s="0" t="s">
        <v>138</v>
      </c>
      <c r="X483" s="14" t="s">
        <v>138</v>
      </c>
      <c r="Y483" s="0" t="s">
        <v>138</v>
      </c>
      <c r="Z483" s="14" t="s">
        <v>138</v>
      </c>
      <c r="AA483" s="0" t="s">
        <v>138</v>
      </c>
      <c r="AB483" s="14" t="s">
        <v>138</v>
      </c>
      <c r="AD483" s="0" t="s">
        <v>138</v>
      </c>
      <c r="AF483" s="0">
        <v>0</v>
      </c>
      <c r="AG483" s="0">
        <v>0</v>
      </c>
      <c r="AH483" s="0" t="s">
        <v>140</v>
      </c>
      <c r="AI483" s="0" t="s">
        <v>138</v>
      </c>
      <c r="AL483" s="14"/>
      <c r="AN483" s="14"/>
      <c r="AQ483" s="0" t="s">
        <v>130</v>
      </c>
      <c r="AR483" s="0" t="s">
        <v>130</v>
      </c>
      <c r="AS483" s="0" t="s">
        <v>130</v>
      </c>
      <c r="AT483" s="0" t="s">
        <v>130</v>
      </c>
      <c r="AU483" s="0" t="s">
        <v>130</v>
      </c>
      <c r="AV483" s="0" t="s">
        <v>130</v>
      </c>
      <c r="AW483" s="0" t="s">
        <v>130</v>
      </c>
      <c r="AX483" s="0" t="s">
        <v>141</v>
      </c>
      <c r="AY483" s="0" t="s">
        <v>130</v>
      </c>
      <c r="AZ483" s="0" t="s">
        <v>130</v>
      </c>
      <c r="BA483" s="0" t="s">
        <v>130</v>
      </c>
      <c r="BB483" s="0" t="s">
        <v>130</v>
      </c>
      <c r="BC483" s="0" t="s">
        <v>130</v>
      </c>
      <c r="BD483" s="0" t="s">
        <v>130</v>
      </c>
      <c r="BE483" s="0" t="s">
        <v>130</v>
      </c>
      <c r="BF483" s="0" t="s">
        <v>130</v>
      </c>
      <c r="BG483" s="0" t="s">
        <v>130</v>
      </c>
      <c r="BH483" s="0" t="s">
        <v>130</v>
      </c>
      <c r="BI483" s="0" t="s">
        <v>130</v>
      </c>
      <c r="BJ483" s="0" t="s">
        <v>130</v>
      </c>
      <c r="BK483" s="0" t="s">
        <v>130</v>
      </c>
      <c r="BL483" s="0" t="s">
        <v>130</v>
      </c>
      <c r="BM483" s="0" t="s">
        <v>130</v>
      </c>
      <c r="BN483" s="0" t="s">
        <v>130</v>
      </c>
      <c r="BO483" s="0" t="s">
        <v>130</v>
      </c>
      <c r="BP483" s="0" t="s">
        <v>130</v>
      </c>
      <c r="BQ483" s="0" t="s">
        <v>130</v>
      </c>
      <c r="BR483" s="0" t="s">
        <v>130</v>
      </c>
      <c r="BS483" s="0" t="s">
        <v>130</v>
      </c>
      <c r="BT483" s="0" t="s">
        <v>130</v>
      </c>
      <c r="BU483" s="0" t="s">
        <v>130</v>
      </c>
      <c r="BV483" s="0" t="s">
        <v>130</v>
      </c>
      <c r="BW483" s="0" t="s">
        <v>130</v>
      </c>
      <c r="BX483" s="0" t="s">
        <v>130</v>
      </c>
      <c r="BY483" s="0" t="s">
        <v>130</v>
      </c>
      <c r="BZ483" s="0" t="s">
        <v>130</v>
      </c>
      <c r="CA483" s="0" t="s">
        <v>130</v>
      </c>
      <c r="CB483" s="0" t="s">
        <v>130</v>
      </c>
      <c r="CC483" s="0" t="s">
        <v>130</v>
      </c>
      <c r="CD483" s="0" t="s">
        <v>130</v>
      </c>
      <c r="CE483" s="0" t="s">
        <v>130</v>
      </c>
      <c r="CF483" s="0" t="s">
        <v>130</v>
      </c>
      <c r="CG483" s="0" t="s">
        <v>130</v>
      </c>
      <c r="CH483" s="0" t="s">
        <v>130</v>
      </c>
      <c r="CI483" s="0" t="s">
        <v>130</v>
      </c>
      <c r="CJ483" s="0" t="s">
        <v>130</v>
      </c>
      <c r="CK483" s="0" t="s">
        <v>130</v>
      </c>
      <c r="CL483" s="0" t="s">
        <v>130</v>
      </c>
      <c r="CM483" s="0" t="s">
        <v>130</v>
      </c>
      <c r="CN483" s="0" t="s">
        <v>130</v>
      </c>
      <c r="CO483" s="0" t="s">
        <v>130</v>
      </c>
      <c r="CP483" s="0" t="s">
        <v>130</v>
      </c>
      <c r="CQ483" s="0" t="s">
        <v>130</v>
      </c>
      <c r="CR483" s="0" t="s">
        <v>130</v>
      </c>
      <c r="CS483" s="0" t="s">
        <v>130</v>
      </c>
      <c r="CT483" s="0" t="s">
        <v>1659</v>
      </c>
    </row>
    <row r="484">
      <c r="A484" s="14">
        <v>101491</v>
      </c>
      <c r="B484" s="0" t="s">
        <v>1642</v>
      </c>
      <c r="C484" s="16">
        <f>HYPERLINK("https://eosportal.federatedhermes.com/companies/Q29tcGFueQppNjMzMzM=", "TotalEnergies SE")</f>
      </c>
      <c r="D484" s="0" t="s">
        <v>25</v>
      </c>
      <c r="E484" s="0" t="s">
        <v>1660</v>
      </c>
      <c r="F484" s="16">
        <f>HYPERLINK("https://eosportal.federatedhermes.com/engagements/RW5nYWdlbWVudAppMjA2OTA=", "Accounting assumptions are consistent with the Paris Goals.")</f>
      </c>
      <c r="G484" s="14" t="s">
        <v>1661</v>
      </c>
      <c r="H484" s="0" t="s">
        <v>141</v>
      </c>
      <c r="I484" s="14" t="s">
        <v>1645</v>
      </c>
      <c r="J484" s="0" t="s">
        <v>197</v>
      </c>
      <c r="K484" s="0" t="s">
        <v>198</v>
      </c>
      <c r="L484" s="0" t="s">
        <v>199</v>
      </c>
      <c r="M484" s="0" t="s">
        <v>378</v>
      </c>
      <c r="N484" s="0" t="s">
        <v>1646</v>
      </c>
      <c r="O484" s="0" t="s">
        <v>542</v>
      </c>
      <c r="Q484" s="0" t="s">
        <v>130</v>
      </c>
      <c r="R484" s="0" t="s">
        <v>138</v>
      </c>
      <c r="S484" s="14">
        <v>0</v>
      </c>
      <c r="T484" s="0" t="s">
        <v>193</v>
      </c>
      <c r="U484" s="0" t="s">
        <v>138</v>
      </c>
      <c r="V484" s="14" t="s">
        <v>138</v>
      </c>
      <c r="W484" s="0" t="s">
        <v>138</v>
      </c>
      <c r="X484" s="14" t="s">
        <v>138</v>
      </c>
      <c r="Y484" s="0" t="s">
        <v>138</v>
      </c>
      <c r="Z484" s="14" t="s">
        <v>138</v>
      </c>
      <c r="AA484" s="0" t="s">
        <v>138</v>
      </c>
      <c r="AB484" s="14" t="s">
        <v>138</v>
      </c>
      <c r="AD484" s="0" t="s">
        <v>138</v>
      </c>
      <c r="AF484" s="0">
        <v>0</v>
      </c>
      <c r="AG484" s="0">
        <v>0</v>
      </c>
      <c r="AH484" s="0" t="s">
        <v>140</v>
      </c>
      <c r="AI484" s="0" t="s">
        <v>138</v>
      </c>
      <c r="AL484" s="14"/>
      <c r="AN484" s="14"/>
      <c r="AQ484" s="0" t="s">
        <v>130</v>
      </c>
      <c r="AR484" s="0" t="s">
        <v>130</v>
      </c>
      <c r="AS484" s="0" t="s">
        <v>130</v>
      </c>
      <c r="AT484" s="0" t="s">
        <v>130</v>
      </c>
      <c r="AU484" s="0" t="s">
        <v>130</v>
      </c>
      <c r="AV484" s="0" t="s">
        <v>130</v>
      </c>
      <c r="AW484" s="0" t="s">
        <v>130</v>
      </c>
      <c r="AX484" s="0" t="s">
        <v>130</v>
      </c>
      <c r="AY484" s="0" t="s">
        <v>130</v>
      </c>
      <c r="AZ484" s="0" t="s">
        <v>130</v>
      </c>
      <c r="BA484" s="0" t="s">
        <v>130</v>
      </c>
      <c r="BB484" s="0" t="s">
        <v>141</v>
      </c>
      <c r="BC484" s="0" t="s">
        <v>130</v>
      </c>
      <c r="BD484" s="0" t="s">
        <v>130</v>
      </c>
      <c r="BE484" s="0" t="s">
        <v>130</v>
      </c>
      <c r="BF484" s="0" t="s">
        <v>130</v>
      </c>
      <c r="BG484" s="0" t="s">
        <v>130</v>
      </c>
      <c r="BH484" s="0" t="s">
        <v>130</v>
      </c>
      <c r="BI484" s="0" t="s">
        <v>130</v>
      </c>
      <c r="BJ484" s="0" t="s">
        <v>130</v>
      </c>
      <c r="BK484" s="0" t="s">
        <v>130</v>
      </c>
      <c r="BL484" s="0" t="s">
        <v>130</v>
      </c>
      <c r="BM484" s="0" t="s">
        <v>130</v>
      </c>
      <c r="BN484" s="0" t="s">
        <v>130</v>
      </c>
      <c r="BO484" s="0" t="s">
        <v>130</v>
      </c>
      <c r="BP484" s="0" t="s">
        <v>130</v>
      </c>
      <c r="BQ484" s="0" t="s">
        <v>130</v>
      </c>
      <c r="BR484" s="0" t="s">
        <v>130</v>
      </c>
      <c r="BS484" s="0" t="s">
        <v>130</v>
      </c>
      <c r="BT484" s="0" t="s">
        <v>130</v>
      </c>
      <c r="BU484" s="0" t="s">
        <v>130</v>
      </c>
      <c r="BV484" s="0" t="s">
        <v>130</v>
      </c>
      <c r="BW484" s="0" t="s">
        <v>130</v>
      </c>
      <c r="BX484" s="0" t="s">
        <v>130</v>
      </c>
      <c r="BY484" s="0" t="s">
        <v>130</v>
      </c>
      <c r="BZ484" s="0" t="s">
        <v>130</v>
      </c>
      <c r="CA484" s="0" t="s">
        <v>130</v>
      </c>
      <c r="CB484" s="0" t="s">
        <v>130</v>
      </c>
      <c r="CC484" s="0" t="s">
        <v>130</v>
      </c>
      <c r="CD484" s="0" t="s">
        <v>130</v>
      </c>
      <c r="CE484" s="0" t="s">
        <v>130</v>
      </c>
      <c r="CF484" s="0" t="s">
        <v>130</v>
      </c>
      <c r="CG484" s="0" t="s">
        <v>130</v>
      </c>
      <c r="CH484" s="0" t="s">
        <v>130</v>
      </c>
      <c r="CI484" s="0" t="s">
        <v>130</v>
      </c>
      <c r="CJ484" s="0" t="s">
        <v>130</v>
      </c>
      <c r="CK484" s="0" t="s">
        <v>130</v>
      </c>
      <c r="CL484" s="0" t="s">
        <v>130</v>
      </c>
      <c r="CM484" s="0" t="s">
        <v>130</v>
      </c>
      <c r="CN484" s="0" t="s">
        <v>130</v>
      </c>
      <c r="CO484" s="0" t="s">
        <v>130</v>
      </c>
      <c r="CP484" s="0" t="s">
        <v>130</v>
      </c>
      <c r="CQ484" s="0" t="s">
        <v>130</v>
      </c>
      <c r="CR484" s="0" t="s">
        <v>130</v>
      </c>
      <c r="CS484" s="0" t="s">
        <v>130</v>
      </c>
      <c r="CT484" s="0" t="s">
        <v>1662</v>
      </c>
    </row>
    <row r="485">
      <c r="A485" s="14">
        <v>101491</v>
      </c>
      <c r="B485" s="0" t="s">
        <v>1642</v>
      </c>
      <c r="C485" s="16">
        <f>HYPERLINK("https://eosportal.federatedhermes.com/companies/Q29tcGFueQppNjMzMzM=", "TotalEnergies SE")</f>
      </c>
      <c r="D485" s="0" t="s">
        <v>25</v>
      </c>
      <c r="E485" s="0" t="s">
        <v>1663</v>
      </c>
      <c r="F485" s="16">
        <f>HYPERLINK("https://eosportal.federatedhermes.com/engagements/RW5nYWdlbWVudAppMjA2OTM=", "Stranded assets risk management")</f>
      </c>
      <c r="G485" s="14" t="s">
        <v>1664</v>
      </c>
      <c r="H485" s="0" t="s">
        <v>141</v>
      </c>
      <c r="I485" s="14" t="s">
        <v>1645</v>
      </c>
      <c r="J485" s="0" t="s">
        <v>197</v>
      </c>
      <c r="K485" s="0" t="s">
        <v>198</v>
      </c>
      <c r="L485" s="0" t="s">
        <v>199</v>
      </c>
      <c r="M485" s="0" t="s">
        <v>378</v>
      </c>
      <c r="N485" s="0" t="s">
        <v>1646</v>
      </c>
      <c r="O485" s="0" t="s">
        <v>542</v>
      </c>
      <c r="Q485" s="0" t="s">
        <v>130</v>
      </c>
      <c r="R485" s="0" t="s">
        <v>138</v>
      </c>
      <c r="S485" s="14">
        <v>0</v>
      </c>
      <c r="T485" s="0" t="s">
        <v>1011</v>
      </c>
      <c r="U485" s="0" t="s">
        <v>138</v>
      </c>
      <c r="V485" s="14" t="s">
        <v>138</v>
      </c>
      <c r="W485" s="0" t="s">
        <v>138</v>
      </c>
      <c r="X485" s="14" t="s">
        <v>138</v>
      </c>
      <c r="Y485" s="0" t="s">
        <v>138</v>
      </c>
      <c r="Z485" s="14" t="s">
        <v>138</v>
      </c>
      <c r="AA485" s="0" t="s">
        <v>138</v>
      </c>
      <c r="AB485" s="14" t="s">
        <v>138</v>
      </c>
      <c r="AD485" s="0" t="s">
        <v>138</v>
      </c>
      <c r="AF485" s="0">
        <v>0</v>
      </c>
      <c r="AG485" s="0">
        <v>0</v>
      </c>
      <c r="AH485" s="0" t="s">
        <v>140</v>
      </c>
      <c r="AI485" s="0" t="s">
        <v>138</v>
      </c>
      <c r="AL485" s="14"/>
      <c r="AN485" s="14"/>
      <c r="AQ485" s="0" t="s">
        <v>130</v>
      </c>
      <c r="AR485" s="0" t="s">
        <v>130</v>
      </c>
      <c r="AS485" s="0" t="s">
        <v>130</v>
      </c>
      <c r="AT485" s="0" t="s">
        <v>130</v>
      </c>
      <c r="AU485" s="0" t="s">
        <v>130</v>
      </c>
      <c r="AV485" s="0" t="s">
        <v>130</v>
      </c>
      <c r="AW485" s="0" t="s">
        <v>130</v>
      </c>
      <c r="AX485" s="0" t="s">
        <v>130</v>
      </c>
      <c r="AY485" s="0" t="s">
        <v>130</v>
      </c>
      <c r="AZ485" s="0" t="s">
        <v>130</v>
      </c>
      <c r="BA485" s="0" t="s">
        <v>130</v>
      </c>
      <c r="BB485" s="0" t="s">
        <v>141</v>
      </c>
      <c r="BC485" s="0" t="s">
        <v>130</v>
      </c>
      <c r="BD485" s="0" t="s">
        <v>130</v>
      </c>
      <c r="BE485" s="0" t="s">
        <v>130</v>
      </c>
      <c r="BF485" s="0" t="s">
        <v>130</v>
      </c>
      <c r="BG485" s="0" t="s">
        <v>130</v>
      </c>
      <c r="BH485" s="0" t="s">
        <v>130</v>
      </c>
      <c r="BI485" s="0" t="s">
        <v>130</v>
      </c>
      <c r="BJ485" s="0" t="s">
        <v>130</v>
      </c>
      <c r="BK485" s="0" t="s">
        <v>130</v>
      </c>
      <c r="BL485" s="0" t="s">
        <v>130</v>
      </c>
      <c r="BM485" s="0" t="s">
        <v>130</v>
      </c>
      <c r="BN485" s="0" t="s">
        <v>130</v>
      </c>
      <c r="BO485" s="0" t="s">
        <v>130</v>
      </c>
      <c r="BP485" s="0" t="s">
        <v>130</v>
      </c>
      <c r="BQ485" s="0" t="s">
        <v>130</v>
      </c>
      <c r="BR485" s="0" t="s">
        <v>130</v>
      </c>
      <c r="BS485" s="0" t="s">
        <v>130</v>
      </c>
      <c r="BT485" s="0" t="s">
        <v>130</v>
      </c>
      <c r="BU485" s="0" t="s">
        <v>130</v>
      </c>
      <c r="BV485" s="0" t="s">
        <v>130</v>
      </c>
      <c r="BW485" s="0" t="s">
        <v>130</v>
      </c>
      <c r="BX485" s="0" t="s">
        <v>130</v>
      </c>
      <c r="BY485" s="0" t="s">
        <v>130</v>
      </c>
      <c r="BZ485" s="0" t="s">
        <v>130</v>
      </c>
      <c r="CA485" s="0" t="s">
        <v>130</v>
      </c>
      <c r="CB485" s="0" t="s">
        <v>130</v>
      </c>
      <c r="CC485" s="0" t="s">
        <v>130</v>
      </c>
      <c r="CD485" s="0" t="s">
        <v>130</v>
      </c>
      <c r="CE485" s="0" t="s">
        <v>130</v>
      </c>
      <c r="CF485" s="0" t="s">
        <v>130</v>
      </c>
      <c r="CG485" s="0" t="s">
        <v>130</v>
      </c>
      <c r="CH485" s="0" t="s">
        <v>130</v>
      </c>
      <c r="CI485" s="0" t="s">
        <v>130</v>
      </c>
      <c r="CJ485" s="0" t="s">
        <v>130</v>
      </c>
      <c r="CK485" s="0" t="s">
        <v>130</v>
      </c>
      <c r="CL485" s="0" t="s">
        <v>130</v>
      </c>
      <c r="CM485" s="0" t="s">
        <v>130</v>
      </c>
      <c r="CN485" s="0" t="s">
        <v>130</v>
      </c>
      <c r="CO485" s="0" t="s">
        <v>130</v>
      </c>
      <c r="CP485" s="0" t="s">
        <v>130</v>
      </c>
      <c r="CQ485" s="0" t="s">
        <v>130</v>
      </c>
      <c r="CR485" s="0" t="s">
        <v>130</v>
      </c>
      <c r="CS485" s="0" t="s">
        <v>130</v>
      </c>
      <c r="CT485" s="0" t="s">
        <v>1665</v>
      </c>
    </row>
    <row r="486">
      <c r="A486" s="14">
        <v>101491</v>
      </c>
      <c r="B486" s="0" t="s">
        <v>1642</v>
      </c>
      <c r="C486" s="16">
        <f>HYPERLINK("https://eosportal.federatedhermes.com/companies/Q29tcGFueQppNjMzMzM=", "TotalEnergies SE")</f>
      </c>
      <c r="D486" s="0" t="s">
        <v>25</v>
      </c>
      <c r="E486" s="0" t="s">
        <v>1666</v>
      </c>
      <c r="F486" s="16">
        <f>HYPERLINK("https://eosportal.federatedhermes.com/engagements/RW5nYWdlbWVudAppMjA3MDM=", "Climate lobbying")</f>
      </c>
      <c r="G486" s="14" t="s">
        <v>1667</v>
      </c>
      <c r="H486" s="0" t="s">
        <v>141</v>
      </c>
      <c r="I486" s="14" t="s">
        <v>1645</v>
      </c>
      <c r="J486" s="0" t="s">
        <v>197</v>
      </c>
      <c r="K486" s="0" t="s">
        <v>198</v>
      </c>
      <c r="L486" s="0" t="s">
        <v>199</v>
      </c>
      <c r="M486" s="0" t="s">
        <v>378</v>
      </c>
      <c r="N486" s="0" t="s">
        <v>1646</v>
      </c>
      <c r="O486" s="0" t="s">
        <v>542</v>
      </c>
      <c r="Q486" s="0" t="s">
        <v>141</v>
      </c>
      <c r="R486" s="0" t="s">
        <v>138</v>
      </c>
      <c r="S486" s="14">
        <v>1</v>
      </c>
      <c r="T486" s="0" t="s">
        <v>193</v>
      </c>
      <c r="U486" s="0" t="s">
        <v>138</v>
      </c>
      <c r="V486" s="14" t="s">
        <v>138</v>
      </c>
      <c r="W486" s="0" t="s">
        <v>138</v>
      </c>
      <c r="X486" s="14" t="s">
        <v>138</v>
      </c>
      <c r="Y486" s="0" t="s">
        <v>138</v>
      </c>
      <c r="Z486" s="14" t="s">
        <v>138</v>
      </c>
      <c r="AA486" s="0" t="s">
        <v>138</v>
      </c>
      <c r="AB486" s="14" t="s">
        <v>138</v>
      </c>
      <c r="AD486" s="0" t="s">
        <v>138</v>
      </c>
      <c r="AF486" s="0">
        <v>0</v>
      </c>
      <c r="AG486" s="0">
        <v>0</v>
      </c>
      <c r="AH486" s="0" t="s">
        <v>140</v>
      </c>
      <c r="AI486" s="0" t="s">
        <v>138</v>
      </c>
      <c r="AK486" s="0" t="s">
        <v>1668</v>
      </c>
      <c r="AL486" s="14"/>
      <c r="AN486" s="14"/>
      <c r="AQ486" s="0" t="s">
        <v>130</v>
      </c>
      <c r="AR486" s="0" t="s">
        <v>130</v>
      </c>
      <c r="AS486" s="0" t="s">
        <v>130</v>
      </c>
      <c r="AT486" s="0" t="s">
        <v>130</v>
      </c>
      <c r="AU486" s="0" t="s">
        <v>130</v>
      </c>
      <c r="AV486" s="0" t="s">
        <v>130</v>
      </c>
      <c r="AW486" s="0" t="s">
        <v>130</v>
      </c>
      <c r="AX486" s="0" t="s">
        <v>130</v>
      </c>
      <c r="AY486" s="0" t="s">
        <v>130</v>
      </c>
      <c r="AZ486" s="0" t="s">
        <v>130</v>
      </c>
      <c r="BA486" s="0" t="s">
        <v>130</v>
      </c>
      <c r="BB486" s="0" t="s">
        <v>141</v>
      </c>
      <c r="BC486" s="0" t="s">
        <v>141</v>
      </c>
      <c r="BD486" s="0" t="s">
        <v>130</v>
      </c>
      <c r="BE486" s="0" t="s">
        <v>130</v>
      </c>
      <c r="BF486" s="0" t="s">
        <v>130</v>
      </c>
      <c r="BG486" s="0" t="s">
        <v>130</v>
      </c>
      <c r="BH486" s="0" t="s">
        <v>130</v>
      </c>
      <c r="BI486" s="0" t="s">
        <v>130</v>
      </c>
      <c r="BJ486" s="0" t="s">
        <v>130</v>
      </c>
      <c r="BK486" s="0" t="s">
        <v>130</v>
      </c>
      <c r="BL486" s="0" t="s">
        <v>130</v>
      </c>
      <c r="BM486" s="0" t="s">
        <v>130</v>
      </c>
      <c r="BN486" s="0" t="s">
        <v>130</v>
      </c>
      <c r="BO486" s="0" t="s">
        <v>130</v>
      </c>
      <c r="BP486" s="0" t="s">
        <v>130</v>
      </c>
      <c r="BQ486" s="0" t="s">
        <v>130</v>
      </c>
      <c r="BR486" s="0" t="s">
        <v>130</v>
      </c>
      <c r="BS486" s="0" t="s">
        <v>130</v>
      </c>
      <c r="BT486" s="0" t="s">
        <v>130</v>
      </c>
      <c r="BU486" s="0" t="s">
        <v>130</v>
      </c>
      <c r="BV486" s="0" t="s">
        <v>130</v>
      </c>
      <c r="BW486" s="0" t="s">
        <v>130</v>
      </c>
      <c r="BX486" s="0" t="s">
        <v>130</v>
      </c>
      <c r="BY486" s="0" t="s">
        <v>130</v>
      </c>
      <c r="BZ486" s="0" t="s">
        <v>130</v>
      </c>
      <c r="CA486" s="0" t="s">
        <v>130</v>
      </c>
      <c r="CB486" s="0" t="s">
        <v>130</v>
      </c>
      <c r="CC486" s="0" t="s">
        <v>130</v>
      </c>
      <c r="CD486" s="0" t="s">
        <v>130</v>
      </c>
      <c r="CE486" s="0" t="s">
        <v>130</v>
      </c>
      <c r="CF486" s="0" t="s">
        <v>130</v>
      </c>
      <c r="CG486" s="0" t="s">
        <v>130</v>
      </c>
      <c r="CH486" s="0" t="s">
        <v>130</v>
      </c>
      <c r="CI486" s="0" t="s">
        <v>130</v>
      </c>
      <c r="CJ486" s="0" t="s">
        <v>130</v>
      </c>
      <c r="CK486" s="0" t="s">
        <v>130</v>
      </c>
      <c r="CL486" s="0" t="s">
        <v>130</v>
      </c>
      <c r="CM486" s="0" t="s">
        <v>130</v>
      </c>
      <c r="CN486" s="0" t="s">
        <v>130</v>
      </c>
      <c r="CO486" s="0" t="s">
        <v>130</v>
      </c>
      <c r="CP486" s="0" t="s">
        <v>130</v>
      </c>
      <c r="CQ486" s="0" t="s">
        <v>130</v>
      </c>
      <c r="CR486" s="0" t="s">
        <v>130</v>
      </c>
      <c r="CS486" s="0" t="s">
        <v>130</v>
      </c>
      <c r="CT486" s="0" t="s">
        <v>1669</v>
      </c>
    </row>
    <row r="487">
      <c r="A487" s="14">
        <v>101491</v>
      </c>
      <c r="B487" s="0" t="s">
        <v>1642</v>
      </c>
      <c r="C487" s="16">
        <f>HYPERLINK("https://eosportal.federatedhermes.com/companies/Q29tcGFueQppNjMzMzM=", "TotalEnergies SE")</f>
      </c>
      <c r="D487" s="0" t="s">
        <v>25</v>
      </c>
      <c r="E487" s="0" t="s">
        <v>1670</v>
      </c>
      <c r="F487" s="16">
        <f>HYPERLINK("https://eosportal.federatedhermes.com/engagements/RW5nYWdlbWVudAppMjA3MDQ=", "Coronavirus crisis")</f>
      </c>
      <c r="G487" s="14" t="s">
        <v>1671</v>
      </c>
      <c r="H487" s="0" t="s">
        <v>141</v>
      </c>
      <c r="I487" s="14" t="s">
        <v>1645</v>
      </c>
      <c r="J487" s="0" t="s">
        <v>132</v>
      </c>
      <c r="K487" s="0" t="s">
        <v>260</v>
      </c>
      <c r="L487" s="0" t="s">
        <v>261</v>
      </c>
      <c r="M487" s="0" t="s">
        <v>378</v>
      </c>
      <c r="N487" s="0" t="s">
        <v>1646</v>
      </c>
      <c r="O487" s="0" t="s">
        <v>542</v>
      </c>
      <c r="Q487" s="0" t="s">
        <v>130</v>
      </c>
      <c r="R487" s="0" t="s">
        <v>138</v>
      </c>
      <c r="S487" s="14">
        <v>0</v>
      </c>
      <c r="T487" s="0" t="s">
        <v>156</v>
      </c>
      <c r="U487" s="0" t="s">
        <v>138</v>
      </c>
      <c r="V487" s="14" t="s">
        <v>138</v>
      </c>
      <c r="W487" s="0" t="s">
        <v>138</v>
      </c>
      <c r="X487" s="14" t="s">
        <v>138</v>
      </c>
      <c r="Y487" s="0" t="s">
        <v>138</v>
      </c>
      <c r="Z487" s="14" t="s">
        <v>138</v>
      </c>
      <c r="AA487" s="0" t="s">
        <v>138</v>
      </c>
      <c r="AB487" s="14" t="s">
        <v>138</v>
      </c>
      <c r="AD487" s="0" t="s">
        <v>138</v>
      </c>
      <c r="AF487" s="0">
        <v>0</v>
      </c>
      <c r="AG487" s="0">
        <v>0</v>
      </c>
      <c r="AH487" s="0" t="s">
        <v>140</v>
      </c>
      <c r="AI487" s="0" t="s">
        <v>138</v>
      </c>
      <c r="AL487" s="14"/>
      <c r="AN487" s="14"/>
      <c r="AQ487" s="0" t="s">
        <v>130</v>
      </c>
      <c r="AR487" s="0" t="s">
        <v>130</v>
      </c>
      <c r="AS487" s="0" t="s">
        <v>130</v>
      </c>
      <c r="AT487" s="0" t="s">
        <v>130</v>
      </c>
      <c r="AU487" s="0" t="s">
        <v>130</v>
      </c>
      <c r="AV487" s="0" t="s">
        <v>130</v>
      </c>
      <c r="AW487" s="0" t="s">
        <v>130</v>
      </c>
      <c r="AX487" s="0" t="s">
        <v>130</v>
      </c>
      <c r="AY487" s="0" t="s">
        <v>130</v>
      </c>
      <c r="AZ487" s="0" t="s">
        <v>130</v>
      </c>
      <c r="BA487" s="0" t="s">
        <v>130</v>
      </c>
      <c r="BB487" s="0" t="s">
        <v>130</v>
      </c>
      <c r="BC487" s="0" t="s">
        <v>130</v>
      </c>
      <c r="BD487" s="0" t="s">
        <v>130</v>
      </c>
      <c r="BE487" s="0" t="s">
        <v>130</v>
      </c>
      <c r="BF487" s="0" t="s">
        <v>130</v>
      </c>
      <c r="BG487" s="0" t="s">
        <v>130</v>
      </c>
      <c r="BH487" s="0" t="s">
        <v>130</v>
      </c>
      <c r="BI487" s="0" t="s">
        <v>130</v>
      </c>
      <c r="BJ487" s="0" t="s">
        <v>130</v>
      </c>
      <c r="BK487" s="0" t="s">
        <v>130</v>
      </c>
      <c r="BL487" s="0" t="s">
        <v>130</v>
      </c>
      <c r="BM487" s="0" t="s">
        <v>130</v>
      </c>
      <c r="BN487" s="0" t="s">
        <v>130</v>
      </c>
      <c r="BO487" s="0" t="s">
        <v>130</v>
      </c>
      <c r="BP487" s="0" t="s">
        <v>130</v>
      </c>
      <c r="BQ487" s="0" t="s">
        <v>130</v>
      </c>
      <c r="BR487" s="0" t="s">
        <v>130</v>
      </c>
      <c r="BS487" s="0" t="s">
        <v>130</v>
      </c>
      <c r="BT487" s="0" t="s">
        <v>130</v>
      </c>
      <c r="BU487" s="0" t="s">
        <v>130</v>
      </c>
      <c r="BV487" s="0" t="s">
        <v>130</v>
      </c>
      <c r="BW487" s="0" t="s">
        <v>130</v>
      </c>
      <c r="BX487" s="0" t="s">
        <v>130</v>
      </c>
      <c r="BY487" s="0" t="s">
        <v>130</v>
      </c>
      <c r="BZ487" s="0" t="s">
        <v>130</v>
      </c>
      <c r="CA487" s="0" t="s">
        <v>130</v>
      </c>
      <c r="CB487" s="0" t="s">
        <v>130</v>
      </c>
      <c r="CC487" s="0" t="s">
        <v>130</v>
      </c>
      <c r="CD487" s="0" t="s">
        <v>130</v>
      </c>
      <c r="CE487" s="0" t="s">
        <v>130</v>
      </c>
      <c r="CF487" s="0" t="s">
        <v>130</v>
      </c>
      <c r="CG487" s="0" t="s">
        <v>130</v>
      </c>
      <c r="CH487" s="0" t="s">
        <v>130</v>
      </c>
      <c r="CI487" s="0" t="s">
        <v>130</v>
      </c>
      <c r="CJ487" s="0" t="s">
        <v>130</v>
      </c>
      <c r="CK487" s="0" t="s">
        <v>130</v>
      </c>
      <c r="CL487" s="0" t="s">
        <v>130</v>
      </c>
      <c r="CM487" s="0" t="s">
        <v>130</v>
      </c>
      <c r="CN487" s="0" t="s">
        <v>130</v>
      </c>
      <c r="CO487" s="0" t="s">
        <v>130</v>
      </c>
      <c r="CP487" s="0" t="s">
        <v>130</v>
      </c>
      <c r="CQ487" s="0" t="s">
        <v>130</v>
      </c>
      <c r="CR487" s="0" t="s">
        <v>130</v>
      </c>
      <c r="CS487" s="0" t="s">
        <v>130</v>
      </c>
      <c r="CT487" s="0" t="s">
        <v>1672</v>
      </c>
    </row>
    <row r="488">
      <c r="A488" s="14">
        <v>101491</v>
      </c>
      <c r="B488" s="0" t="s">
        <v>1642</v>
      </c>
      <c r="C488" s="16">
        <f>HYPERLINK("https://eosportal.federatedhermes.com/companies/Q29tcGFueQppNjMzMzM=", "TotalEnergies SE")</f>
      </c>
      <c r="D488" s="0" t="s">
        <v>25</v>
      </c>
      <c r="E488" s="0" t="s">
        <v>1673</v>
      </c>
      <c r="F488" s="16">
        <f>HYPERLINK("https://eosportal.federatedhermes.com/engagements/RW5nYWdlbWVudAppMjA3MDU=", "Human capital reporting - WDI")</f>
      </c>
      <c r="G488" s="14" t="s">
        <v>1674</v>
      </c>
      <c r="H488" s="0" t="s">
        <v>141</v>
      </c>
      <c r="I488" s="14" t="s">
        <v>1645</v>
      </c>
      <c r="J488" s="0" t="s">
        <v>153</v>
      </c>
      <c r="K488" s="0" t="s">
        <v>154</v>
      </c>
      <c r="L488" s="0" t="s">
        <v>268</v>
      </c>
      <c r="M488" s="0" t="s">
        <v>378</v>
      </c>
      <c r="N488" s="0" t="s">
        <v>1646</v>
      </c>
      <c r="O488" s="0" t="s">
        <v>542</v>
      </c>
      <c r="Q488" s="0" t="s">
        <v>130</v>
      </c>
      <c r="R488" s="0" t="s">
        <v>138</v>
      </c>
      <c r="S488" s="14">
        <v>0</v>
      </c>
      <c r="T488" s="0" t="s">
        <v>166</v>
      </c>
      <c r="U488" s="0" t="s">
        <v>138</v>
      </c>
      <c r="V488" s="14" t="s">
        <v>138</v>
      </c>
      <c r="W488" s="0" t="s">
        <v>138</v>
      </c>
      <c r="X488" s="14" t="s">
        <v>138</v>
      </c>
      <c r="Y488" s="0" t="s">
        <v>138</v>
      </c>
      <c r="Z488" s="14" t="s">
        <v>138</v>
      </c>
      <c r="AA488" s="0" t="s">
        <v>138</v>
      </c>
      <c r="AB488" s="14" t="s">
        <v>138</v>
      </c>
      <c r="AD488" s="0" t="s">
        <v>138</v>
      </c>
      <c r="AF488" s="0">
        <v>0</v>
      </c>
      <c r="AG488" s="0">
        <v>0</v>
      </c>
      <c r="AH488" s="0" t="s">
        <v>140</v>
      </c>
      <c r="AI488" s="0" t="s">
        <v>138</v>
      </c>
      <c r="AL488" s="14"/>
      <c r="AN488" s="14"/>
      <c r="AQ488" s="0" t="s">
        <v>130</v>
      </c>
      <c r="AR488" s="0" t="s">
        <v>130</v>
      </c>
      <c r="AS488" s="0" t="s">
        <v>130</v>
      </c>
      <c r="AT488" s="0" t="s">
        <v>130</v>
      </c>
      <c r="AU488" s="0" t="s">
        <v>141</v>
      </c>
      <c r="AV488" s="0" t="s">
        <v>130</v>
      </c>
      <c r="AW488" s="0" t="s">
        <v>130</v>
      </c>
      <c r="AX488" s="0" t="s">
        <v>130</v>
      </c>
      <c r="AY488" s="0" t="s">
        <v>130</v>
      </c>
      <c r="AZ488" s="0" t="s">
        <v>130</v>
      </c>
      <c r="BA488" s="0" t="s">
        <v>130</v>
      </c>
      <c r="BB488" s="0" t="s">
        <v>130</v>
      </c>
      <c r="BC488" s="0" t="s">
        <v>130</v>
      </c>
      <c r="BD488" s="0" t="s">
        <v>130</v>
      </c>
      <c r="BE488" s="0" t="s">
        <v>130</v>
      </c>
      <c r="BF488" s="0" t="s">
        <v>130</v>
      </c>
      <c r="BG488" s="0" t="s">
        <v>130</v>
      </c>
      <c r="BH488" s="0" t="s">
        <v>130</v>
      </c>
      <c r="BI488" s="0" t="s">
        <v>130</v>
      </c>
      <c r="BJ488" s="0" t="s">
        <v>130</v>
      </c>
      <c r="BK488" s="0" t="s">
        <v>130</v>
      </c>
      <c r="BL488" s="0" t="s">
        <v>130</v>
      </c>
      <c r="BM488" s="0" t="s">
        <v>130</v>
      </c>
      <c r="BN488" s="0" t="s">
        <v>130</v>
      </c>
      <c r="BO488" s="0" t="s">
        <v>130</v>
      </c>
      <c r="BP488" s="0" t="s">
        <v>130</v>
      </c>
      <c r="BQ488" s="0" t="s">
        <v>130</v>
      </c>
      <c r="BR488" s="0" t="s">
        <v>130</v>
      </c>
      <c r="BS488" s="0" t="s">
        <v>130</v>
      </c>
      <c r="BT488" s="0" t="s">
        <v>130</v>
      </c>
      <c r="BU488" s="0" t="s">
        <v>130</v>
      </c>
      <c r="BV488" s="0" t="s">
        <v>130</v>
      </c>
      <c r="BW488" s="0" t="s">
        <v>130</v>
      </c>
      <c r="BX488" s="0" t="s">
        <v>130</v>
      </c>
      <c r="BY488" s="0" t="s">
        <v>130</v>
      </c>
      <c r="BZ488" s="0" t="s">
        <v>130</v>
      </c>
      <c r="CA488" s="0" t="s">
        <v>130</v>
      </c>
      <c r="CB488" s="0" t="s">
        <v>130</v>
      </c>
      <c r="CC488" s="0" t="s">
        <v>130</v>
      </c>
      <c r="CD488" s="0" t="s">
        <v>130</v>
      </c>
      <c r="CE488" s="0" t="s">
        <v>130</v>
      </c>
      <c r="CF488" s="0" t="s">
        <v>130</v>
      </c>
      <c r="CG488" s="0" t="s">
        <v>130</v>
      </c>
      <c r="CH488" s="0" t="s">
        <v>130</v>
      </c>
      <c r="CI488" s="0" t="s">
        <v>130</v>
      </c>
      <c r="CJ488" s="0" t="s">
        <v>130</v>
      </c>
      <c r="CK488" s="0" t="s">
        <v>141</v>
      </c>
      <c r="CL488" s="0" t="s">
        <v>130</v>
      </c>
      <c r="CM488" s="0" t="s">
        <v>130</v>
      </c>
      <c r="CN488" s="0" t="s">
        <v>130</v>
      </c>
      <c r="CO488" s="0" t="s">
        <v>130</v>
      </c>
      <c r="CP488" s="0" t="s">
        <v>130</v>
      </c>
      <c r="CQ488" s="0" t="s">
        <v>130</v>
      </c>
      <c r="CR488" s="0" t="s">
        <v>130</v>
      </c>
      <c r="CS488" s="0" t="s">
        <v>130</v>
      </c>
      <c r="CT488" s="0" t="s">
        <v>1675</v>
      </c>
    </row>
    <row r="489">
      <c r="A489" s="14">
        <v>101499</v>
      </c>
      <c r="B489" s="0" t="s">
        <v>1676</v>
      </c>
      <c r="C489" s="16">
        <f>HYPERLINK("https://eosportal.federatedhermes.com/companies/Q29tcGFueQppNTg5Nzk=", "TC Energy Corp")</f>
      </c>
      <c r="D489" s="0" t="s">
        <v>25</v>
      </c>
      <c r="E489" s="0" t="s">
        <v>146</v>
      </c>
      <c r="F489" s="16">
        <f>HYPERLINK("https://eosportal.federatedhermes.com/engagements/RW5nYWdlbWVudAppMjA3MDc=", "Executive Remuneration")</f>
      </c>
      <c r="G489" s="14" t="s">
        <v>1677</v>
      </c>
      <c r="H489" s="0" t="s">
        <v>130</v>
      </c>
      <c r="I489" s="14" t="s">
        <v>131</v>
      </c>
      <c r="J489" s="0" t="s">
        <v>145</v>
      </c>
      <c r="K489" s="0" t="s">
        <v>146</v>
      </c>
      <c r="L489" s="0" t="s">
        <v>147</v>
      </c>
      <c r="M489" s="0" t="s">
        <v>135</v>
      </c>
      <c r="N489" s="0" t="s">
        <v>1678</v>
      </c>
      <c r="O489" s="0" t="s">
        <v>542</v>
      </c>
      <c r="Q489" s="0" t="s">
        <v>141</v>
      </c>
      <c r="R489" s="0" t="s">
        <v>138</v>
      </c>
      <c r="S489" s="14">
        <v>1</v>
      </c>
      <c r="T489" s="0" t="s">
        <v>148</v>
      </c>
      <c r="U489" s="0" t="s">
        <v>138</v>
      </c>
      <c r="V489" s="14" t="s">
        <v>138</v>
      </c>
      <c r="W489" s="0" t="s">
        <v>138</v>
      </c>
      <c r="X489" s="14" t="s">
        <v>138</v>
      </c>
      <c r="Y489" s="0" t="s">
        <v>138</v>
      </c>
      <c r="Z489" s="14" t="s">
        <v>138</v>
      </c>
      <c r="AA489" s="0" t="s">
        <v>138</v>
      </c>
      <c r="AB489" s="14" t="s">
        <v>138</v>
      </c>
      <c r="AD489" s="0" t="s">
        <v>138</v>
      </c>
      <c r="AF489" s="0">
        <v>0</v>
      </c>
      <c r="AG489" s="0">
        <v>0</v>
      </c>
      <c r="AH489" s="0" t="s">
        <v>140</v>
      </c>
      <c r="AI489" s="0" t="s">
        <v>138</v>
      </c>
      <c r="AK489" s="0" t="s">
        <v>149</v>
      </c>
      <c r="AL489" s="14"/>
      <c r="AN489" s="14"/>
      <c r="AQ489" s="0" t="s">
        <v>130</v>
      </c>
      <c r="AR489" s="0" t="s">
        <v>130</v>
      </c>
      <c r="AS489" s="0" t="s">
        <v>130</v>
      </c>
      <c r="AT489" s="0" t="s">
        <v>130</v>
      </c>
      <c r="AU489" s="0" t="s">
        <v>130</v>
      </c>
      <c r="AV489" s="0" t="s">
        <v>130</v>
      </c>
      <c r="AW489" s="0" t="s">
        <v>130</v>
      </c>
      <c r="AX489" s="0" t="s">
        <v>130</v>
      </c>
      <c r="AY489" s="0" t="s">
        <v>130</v>
      </c>
      <c r="AZ489" s="0" t="s">
        <v>130</v>
      </c>
      <c r="BA489" s="0" t="s">
        <v>130</v>
      </c>
      <c r="BB489" s="0" t="s">
        <v>130</v>
      </c>
      <c r="BC489" s="0" t="s">
        <v>130</v>
      </c>
      <c r="BD489" s="0" t="s">
        <v>130</v>
      </c>
      <c r="BE489" s="0" t="s">
        <v>130</v>
      </c>
      <c r="BF489" s="0" t="s">
        <v>130</v>
      </c>
      <c r="BG489" s="0" t="s">
        <v>130</v>
      </c>
      <c r="BH489" s="0" t="s">
        <v>130</v>
      </c>
      <c r="BI489" s="0" t="s">
        <v>130</v>
      </c>
      <c r="BJ489" s="0" t="s">
        <v>130</v>
      </c>
      <c r="BK489" s="0" t="s">
        <v>130</v>
      </c>
      <c r="BL489" s="0" t="s">
        <v>130</v>
      </c>
      <c r="BM489" s="0" t="s">
        <v>130</v>
      </c>
      <c r="BN489" s="0" t="s">
        <v>130</v>
      </c>
      <c r="BO489" s="0" t="s">
        <v>130</v>
      </c>
      <c r="BP489" s="0" t="s">
        <v>130</v>
      </c>
      <c r="BQ489" s="0" t="s">
        <v>130</v>
      </c>
      <c r="BR489" s="0" t="s">
        <v>130</v>
      </c>
      <c r="BS489" s="0" t="s">
        <v>130</v>
      </c>
      <c r="BT489" s="0" t="s">
        <v>130</v>
      </c>
      <c r="BU489" s="0" t="s">
        <v>130</v>
      </c>
      <c r="BV489" s="0" t="s">
        <v>130</v>
      </c>
      <c r="BW489" s="0" t="s">
        <v>130</v>
      </c>
      <c r="BX489" s="0" t="s">
        <v>130</v>
      </c>
      <c r="BY489" s="0" t="s">
        <v>130</v>
      </c>
      <c r="BZ489" s="0" t="s">
        <v>130</v>
      </c>
      <c r="CA489" s="0" t="s">
        <v>130</v>
      </c>
      <c r="CB489" s="0" t="s">
        <v>130</v>
      </c>
      <c r="CC489" s="0" t="s">
        <v>130</v>
      </c>
      <c r="CD489" s="0" t="s">
        <v>130</v>
      </c>
      <c r="CE489" s="0" t="s">
        <v>130</v>
      </c>
      <c r="CF489" s="0" t="s">
        <v>130</v>
      </c>
      <c r="CG489" s="0" t="s">
        <v>130</v>
      </c>
      <c r="CH489" s="0" t="s">
        <v>130</v>
      </c>
      <c r="CI489" s="0" t="s">
        <v>130</v>
      </c>
      <c r="CJ489" s="0" t="s">
        <v>130</v>
      </c>
      <c r="CK489" s="0" t="s">
        <v>130</v>
      </c>
      <c r="CL489" s="0" t="s">
        <v>130</v>
      </c>
      <c r="CM489" s="0" t="s">
        <v>130</v>
      </c>
      <c r="CN489" s="0" t="s">
        <v>130</v>
      </c>
      <c r="CO489" s="0" t="s">
        <v>130</v>
      </c>
      <c r="CP489" s="0" t="s">
        <v>130</v>
      </c>
      <c r="CQ489" s="0" t="s">
        <v>130</v>
      </c>
      <c r="CR489" s="0" t="s">
        <v>130</v>
      </c>
      <c r="CS489" s="0" t="s">
        <v>130</v>
      </c>
      <c r="CT489" s="0" t="s">
        <v>1679</v>
      </c>
    </row>
    <row r="490">
      <c r="A490" s="14">
        <v>101499</v>
      </c>
      <c r="B490" s="0" t="s">
        <v>1676</v>
      </c>
      <c r="C490" s="16">
        <f>HYPERLINK("https://eosportal.federatedhermes.com/companies/Q29tcGFueQppNTg5Nzk=", "TC Energy Corp")</f>
      </c>
      <c r="D490" s="0" t="s">
        <v>25</v>
      </c>
      <c r="E490" s="0" t="s">
        <v>1680</v>
      </c>
      <c r="F490" s="16">
        <f>HYPERLINK("https://eosportal.federatedhermes.com/engagements/RW5nYWdlbWVudAppMjA3MDg=", "Board Racial/Ethnic Diversity")</f>
      </c>
      <c r="G490" s="14" t="s">
        <v>1681</v>
      </c>
      <c r="H490" s="0" t="s">
        <v>130</v>
      </c>
      <c r="I490" s="14" t="s">
        <v>131</v>
      </c>
      <c r="J490" s="0" t="s">
        <v>145</v>
      </c>
      <c r="K490" s="0" t="s">
        <v>164</v>
      </c>
      <c r="L490" s="0" t="s">
        <v>165</v>
      </c>
      <c r="M490" s="0" t="s">
        <v>135</v>
      </c>
      <c r="N490" s="0" t="s">
        <v>1678</v>
      </c>
      <c r="O490" s="0" t="s">
        <v>542</v>
      </c>
      <c r="Q490" s="0" t="s">
        <v>130</v>
      </c>
      <c r="R490" s="0" t="s">
        <v>138</v>
      </c>
      <c r="S490" s="14">
        <v>0</v>
      </c>
      <c r="T490" s="0" t="s">
        <v>355</v>
      </c>
      <c r="U490" s="0" t="s">
        <v>138</v>
      </c>
      <c r="V490" s="14" t="s">
        <v>138</v>
      </c>
      <c r="W490" s="0" t="s">
        <v>138</v>
      </c>
      <c r="X490" s="14" t="s">
        <v>138</v>
      </c>
      <c r="Y490" s="0" t="s">
        <v>138</v>
      </c>
      <c r="Z490" s="14" t="s">
        <v>138</v>
      </c>
      <c r="AA490" s="0" t="s">
        <v>138</v>
      </c>
      <c r="AB490" s="14" t="s">
        <v>138</v>
      </c>
      <c r="AD490" s="0" t="s">
        <v>138</v>
      </c>
      <c r="AF490" s="0">
        <v>0</v>
      </c>
      <c r="AG490" s="0">
        <v>0</v>
      </c>
      <c r="AH490" s="0" t="s">
        <v>140</v>
      </c>
      <c r="AI490" s="0" t="s">
        <v>138</v>
      </c>
      <c r="AL490" s="14"/>
      <c r="AN490" s="14"/>
      <c r="AQ490" s="0" t="s">
        <v>130</v>
      </c>
      <c r="AR490" s="0" t="s">
        <v>130</v>
      </c>
      <c r="AS490" s="0" t="s">
        <v>130</v>
      </c>
      <c r="AT490" s="0" t="s">
        <v>130</v>
      </c>
      <c r="AU490" s="0" t="s">
        <v>130</v>
      </c>
      <c r="AV490" s="0" t="s">
        <v>130</v>
      </c>
      <c r="AW490" s="0" t="s">
        <v>130</v>
      </c>
      <c r="AX490" s="0" t="s">
        <v>130</v>
      </c>
      <c r="AY490" s="0" t="s">
        <v>130</v>
      </c>
      <c r="AZ490" s="0" t="s">
        <v>141</v>
      </c>
      <c r="BA490" s="0" t="s">
        <v>130</v>
      </c>
      <c r="BB490" s="0" t="s">
        <v>130</v>
      </c>
      <c r="BC490" s="0" t="s">
        <v>130</v>
      </c>
      <c r="BD490" s="0" t="s">
        <v>130</v>
      </c>
      <c r="BE490" s="0" t="s">
        <v>130</v>
      </c>
      <c r="BF490" s="0" t="s">
        <v>130</v>
      </c>
      <c r="BG490" s="0" t="s">
        <v>130</v>
      </c>
      <c r="BH490" s="0" t="s">
        <v>130</v>
      </c>
      <c r="BI490" s="0" t="s">
        <v>130</v>
      </c>
      <c r="BJ490" s="0" t="s">
        <v>130</v>
      </c>
      <c r="BK490" s="0" t="s">
        <v>130</v>
      </c>
      <c r="BL490" s="0" t="s">
        <v>130</v>
      </c>
      <c r="BM490" s="0" t="s">
        <v>130</v>
      </c>
      <c r="BN490" s="0" t="s">
        <v>130</v>
      </c>
      <c r="BO490" s="0" t="s">
        <v>130</v>
      </c>
      <c r="BP490" s="0" t="s">
        <v>130</v>
      </c>
      <c r="BQ490" s="0" t="s">
        <v>130</v>
      </c>
      <c r="BR490" s="0" t="s">
        <v>130</v>
      </c>
      <c r="BS490" s="0" t="s">
        <v>130</v>
      </c>
      <c r="BT490" s="0" t="s">
        <v>130</v>
      </c>
      <c r="BU490" s="0" t="s">
        <v>130</v>
      </c>
      <c r="BV490" s="0" t="s">
        <v>130</v>
      </c>
      <c r="BW490" s="0" t="s">
        <v>130</v>
      </c>
      <c r="BX490" s="0" t="s">
        <v>130</v>
      </c>
      <c r="BY490" s="0" t="s">
        <v>130</v>
      </c>
      <c r="BZ490" s="0" t="s">
        <v>130</v>
      </c>
      <c r="CA490" s="0" t="s">
        <v>130</v>
      </c>
      <c r="CB490" s="0" t="s">
        <v>130</v>
      </c>
      <c r="CC490" s="0" t="s">
        <v>130</v>
      </c>
      <c r="CD490" s="0" t="s">
        <v>130</v>
      </c>
      <c r="CE490" s="0" t="s">
        <v>130</v>
      </c>
      <c r="CF490" s="0" t="s">
        <v>130</v>
      </c>
      <c r="CG490" s="0" t="s">
        <v>130</v>
      </c>
      <c r="CH490" s="0" t="s">
        <v>130</v>
      </c>
      <c r="CI490" s="0" t="s">
        <v>130</v>
      </c>
      <c r="CJ490" s="0" t="s">
        <v>130</v>
      </c>
      <c r="CK490" s="0" t="s">
        <v>130</v>
      </c>
      <c r="CL490" s="0" t="s">
        <v>130</v>
      </c>
      <c r="CM490" s="0" t="s">
        <v>130</v>
      </c>
      <c r="CN490" s="0" t="s">
        <v>130</v>
      </c>
      <c r="CO490" s="0" t="s">
        <v>130</v>
      </c>
      <c r="CP490" s="0" t="s">
        <v>130</v>
      </c>
      <c r="CQ490" s="0" t="s">
        <v>130</v>
      </c>
      <c r="CR490" s="0" t="s">
        <v>130</v>
      </c>
      <c r="CS490" s="0" t="s">
        <v>130</v>
      </c>
      <c r="CT490" s="0" t="s">
        <v>1682</v>
      </c>
    </row>
    <row r="491">
      <c r="A491" s="14">
        <v>101499</v>
      </c>
      <c r="B491" s="0" t="s">
        <v>1676</v>
      </c>
      <c r="C491" s="16">
        <f>HYPERLINK("https://eosportal.federatedhermes.com/companies/Q29tcGFueQppNTg5Nzk=", "TC Energy Corp")</f>
      </c>
      <c r="D491" s="0" t="s">
        <v>25</v>
      </c>
      <c r="E491" s="0" t="s">
        <v>1683</v>
      </c>
      <c r="F491" s="16">
        <f>HYPERLINK("https://eosportal.federatedhermes.com/engagements/RW5nYWdlbWVudAppMjA3MDk=", "Senior executive racial/ethnic diversity")</f>
      </c>
      <c r="G491" s="14" t="s">
        <v>1684</v>
      </c>
      <c r="H491" s="0" t="s">
        <v>130</v>
      </c>
      <c r="I491" s="14" t="s">
        <v>131</v>
      </c>
      <c r="J491" s="0" t="s">
        <v>153</v>
      </c>
      <c r="K491" s="0" t="s">
        <v>154</v>
      </c>
      <c r="L491" s="0" t="s">
        <v>268</v>
      </c>
      <c r="M491" s="0" t="s">
        <v>135</v>
      </c>
      <c r="N491" s="0" t="s">
        <v>1678</v>
      </c>
      <c r="O491" s="0" t="s">
        <v>542</v>
      </c>
      <c r="Q491" s="0" t="s">
        <v>130</v>
      </c>
      <c r="R491" s="0" t="s">
        <v>138</v>
      </c>
      <c r="S491" s="14">
        <v>0</v>
      </c>
      <c r="T491" s="0" t="s">
        <v>355</v>
      </c>
      <c r="U491" s="0" t="s">
        <v>138</v>
      </c>
      <c r="V491" s="14" t="s">
        <v>138</v>
      </c>
      <c r="W491" s="0" t="s">
        <v>138</v>
      </c>
      <c r="X491" s="14" t="s">
        <v>138</v>
      </c>
      <c r="Y491" s="0" t="s">
        <v>138</v>
      </c>
      <c r="Z491" s="14" t="s">
        <v>138</v>
      </c>
      <c r="AA491" s="0" t="s">
        <v>138</v>
      </c>
      <c r="AB491" s="14" t="s">
        <v>138</v>
      </c>
      <c r="AD491" s="0" t="s">
        <v>138</v>
      </c>
      <c r="AF491" s="0">
        <v>0</v>
      </c>
      <c r="AG491" s="0">
        <v>0</v>
      </c>
      <c r="AH491" s="0" t="s">
        <v>140</v>
      </c>
      <c r="AI491" s="0" t="s">
        <v>138</v>
      </c>
      <c r="AL491" s="14"/>
      <c r="AN491" s="14"/>
      <c r="AQ491" s="0" t="s">
        <v>130</v>
      </c>
      <c r="AR491" s="0" t="s">
        <v>130</v>
      </c>
      <c r="AS491" s="0" t="s">
        <v>130</v>
      </c>
      <c r="AT491" s="0" t="s">
        <v>130</v>
      </c>
      <c r="AU491" s="0" t="s">
        <v>141</v>
      </c>
      <c r="AV491" s="0" t="s">
        <v>130</v>
      </c>
      <c r="AW491" s="0" t="s">
        <v>130</v>
      </c>
      <c r="AX491" s="0" t="s">
        <v>130</v>
      </c>
      <c r="AY491" s="0" t="s">
        <v>130</v>
      </c>
      <c r="AZ491" s="0" t="s">
        <v>130</v>
      </c>
      <c r="BA491" s="0" t="s">
        <v>130</v>
      </c>
      <c r="BB491" s="0" t="s">
        <v>130</v>
      </c>
      <c r="BC491" s="0" t="s">
        <v>130</v>
      </c>
      <c r="BD491" s="0" t="s">
        <v>130</v>
      </c>
      <c r="BE491" s="0" t="s">
        <v>130</v>
      </c>
      <c r="BF491" s="0" t="s">
        <v>130</v>
      </c>
      <c r="BG491" s="0" t="s">
        <v>130</v>
      </c>
      <c r="BH491" s="0" t="s">
        <v>130</v>
      </c>
      <c r="BI491" s="0" t="s">
        <v>130</v>
      </c>
      <c r="BJ491" s="0" t="s">
        <v>130</v>
      </c>
      <c r="BK491" s="0" t="s">
        <v>130</v>
      </c>
      <c r="BL491" s="0" t="s">
        <v>130</v>
      </c>
      <c r="BM491" s="0" t="s">
        <v>130</v>
      </c>
      <c r="BN491" s="0" t="s">
        <v>130</v>
      </c>
      <c r="BO491" s="0" t="s">
        <v>130</v>
      </c>
      <c r="BP491" s="0" t="s">
        <v>130</v>
      </c>
      <c r="BQ491" s="0" t="s">
        <v>130</v>
      </c>
      <c r="BR491" s="0" t="s">
        <v>130</v>
      </c>
      <c r="BS491" s="0" t="s">
        <v>130</v>
      </c>
      <c r="BT491" s="0" t="s">
        <v>130</v>
      </c>
      <c r="BU491" s="0" t="s">
        <v>130</v>
      </c>
      <c r="BV491" s="0" t="s">
        <v>130</v>
      </c>
      <c r="BW491" s="0" t="s">
        <v>130</v>
      </c>
      <c r="BX491" s="0" t="s">
        <v>130</v>
      </c>
      <c r="BY491" s="0" t="s">
        <v>130</v>
      </c>
      <c r="BZ491" s="0" t="s">
        <v>130</v>
      </c>
      <c r="CA491" s="0" t="s">
        <v>130</v>
      </c>
      <c r="CB491" s="0" t="s">
        <v>130</v>
      </c>
      <c r="CC491" s="0" t="s">
        <v>130</v>
      </c>
      <c r="CD491" s="0" t="s">
        <v>130</v>
      </c>
      <c r="CE491" s="0" t="s">
        <v>130</v>
      </c>
      <c r="CF491" s="0" t="s">
        <v>130</v>
      </c>
      <c r="CG491" s="0" t="s">
        <v>130</v>
      </c>
      <c r="CH491" s="0" t="s">
        <v>130</v>
      </c>
      <c r="CI491" s="0" t="s">
        <v>130</v>
      </c>
      <c r="CJ491" s="0" t="s">
        <v>130</v>
      </c>
      <c r="CK491" s="0" t="s">
        <v>141</v>
      </c>
      <c r="CL491" s="0" t="s">
        <v>130</v>
      </c>
      <c r="CM491" s="0" t="s">
        <v>130</v>
      </c>
      <c r="CN491" s="0" t="s">
        <v>130</v>
      </c>
      <c r="CO491" s="0" t="s">
        <v>130</v>
      </c>
      <c r="CP491" s="0" t="s">
        <v>130</v>
      </c>
      <c r="CQ491" s="0" t="s">
        <v>130</v>
      </c>
      <c r="CR491" s="0" t="s">
        <v>130</v>
      </c>
      <c r="CS491" s="0" t="s">
        <v>130</v>
      </c>
      <c r="CT491" s="0" t="s">
        <v>1685</v>
      </c>
    </row>
    <row r="492">
      <c r="A492" s="14">
        <v>101499</v>
      </c>
      <c r="B492" s="0" t="s">
        <v>1676</v>
      </c>
      <c r="C492" s="16">
        <f>HYPERLINK("https://eosportal.federatedhermes.com/companies/Q29tcGFueQppNTg5Nzk=", "TC Energy Corp")</f>
      </c>
      <c r="D492" s="0" t="s">
        <v>25</v>
      </c>
      <c r="E492" s="0" t="s">
        <v>1686</v>
      </c>
      <c r="F492" s="16">
        <f>HYPERLINK("https://eosportal.federatedhermes.com/engagements/RW5nYWdlbWVudAppMjA3MTA=", "Board Gender Diversity")</f>
      </c>
      <c r="G492" s="14" t="s">
        <v>1687</v>
      </c>
      <c r="H492" s="0" t="s">
        <v>130</v>
      </c>
      <c r="I492" s="14" t="s">
        <v>131</v>
      </c>
      <c r="J492" s="0" t="s">
        <v>145</v>
      </c>
      <c r="K492" s="0" t="s">
        <v>164</v>
      </c>
      <c r="L492" s="0" t="s">
        <v>165</v>
      </c>
      <c r="M492" s="0" t="s">
        <v>135</v>
      </c>
      <c r="N492" s="0" t="s">
        <v>1678</v>
      </c>
      <c r="O492" s="0" t="s">
        <v>542</v>
      </c>
      <c r="Q492" s="0" t="s">
        <v>130</v>
      </c>
      <c r="R492" s="0" t="s">
        <v>138</v>
      </c>
      <c r="S492" s="14">
        <v>0</v>
      </c>
      <c r="T492" s="0" t="s">
        <v>355</v>
      </c>
      <c r="U492" s="0" t="s">
        <v>138</v>
      </c>
      <c r="V492" s="14" t="s">
        <v>138</v>
      </c>
      <c r="W492" s="0" t="s">
        <v>138</v>
      </c>
      <c r="X492" s="14" t="s">
        <v>138</v>
      </c>
      <c r="Y492" s="0" t="s">
        <v>138</v>
      </c>
      <c r="Z492" s="14" t="s">
        <v>138</v>
      </c>
      <c r="AA492" s="0" t="s">
        <v>138</v>
      </c>
      <c r="AB492" s="14" t="s">
        <v>138</v>
      </c>
      <c r="AD492" s="0" t="s">
        <v>138</v>
      </c>
      <c r="AF492" s="0">
        <v>0</v>
      </c>
      <c r="AG492" s="0">
        <v>0</v>
      </c>
      <c r="AH492" s="0" t="s">
        <v>140</v>
      </c>
      <c r="AI492" s="0" t="s">
        <v>138</v>
      </c>
      <c r="AL492" s="14"/>
      <c r="AN492" s="14"/>
      <c r="AQ492" s="0" t="s">
        <v>130</v>
      </c>
      <c r="AR492" s="0" t="s">
        <v>130</v>
      </c>
      <c r="AS492" s="0" t="s">
        <v>130</v>
      </c>
      <c r="AT492" s="0" t="s">
        <v>130</v>
      </c>
      <c r="AU492" s="0" t="s">
        <v>141</v>
      </c>
      <c r="AV492" s="0" t="s">
        <v>130</v>
      </c>
      <c r="AW492" s="0" t="s">
        <v>130</v>
      </c>
      <c r="AX492" s="0" t="s">
        <v>130</v>
      </c>
      <c r="AY492" s="0" t="s">
        <v>130</v>
      </c>
      <c r="AZ492" s="0" t="s">
        <v>130</v>
      </c>
      <c r="BA492" s="0" t="s">
        <v>130</v>
      </c>
      <c r="BB492" s="0" t="s">
        <v>130</v>
      </c>
      <c r="BC492" s="0" t="s">
        <v>130</v>
      </c>
      <c r="BD492" s="0" t="s">
        <v>130</v>
      </c>
      <c r="BE492" s="0" t="s">
        <v>130</v>
      </c>
      <c r="BF492" s="0" t="s">
        <v>130</v>
      </c>
      <c r="BG492" s="0" t="s">
        <v>130</v>
      </c>
      <c r="BH492" s="0" t="s">
        <v>130</v>
      </c>
      <c r="BI492" s="0" t="s">
        <v>130</v>
      </c>
      <c r="BJ492" s="0" t="s">
        <v>130</v>
      </c>
      <c r="BK492" s="0" t="s">
        <v>130</v>
      </c>
      <c r="BL492" s="0" t="s">
        <v>130</v>
      </c>
      <c r="BM492" s="0" t="s">
        <v>130</v>
      </c>
      <c r="BN492" s="0" t="s">
        <v>130</v>
      </c>
      <c r="BO492" s="0" t="s">
        <v>130</v>
      </c>
      <c r="BP492" s="0" t="s">
        <v>130</v>
      </c>
      <c r="BQ492" s="0" t="s">
        <v>130</v>
      </c>
      <c r="BR492" s="0" t="s">
        <v>130</v>
      </c>
      <c r="BS492" s="0" t="s">
        <v>130</v>
      </c>
      <c r="BT492" s="0" t="s">
        <v>130</v>
      </c>
      <c r="BU492" s="0" t="s">
        <v>130</v>
      </c>
      <c r="BV492" s="0" t="s">
        <v>130</v>
      </c>
      <c r="BW492" s="0" t="s">
        <v>130</v>
      </c>
      <c r="BX492" s="0" t="s">
        <v>130</v>
      </c>
      <c r="BY492" s="0" t="s">
        <v>130</v>
      </c>
      <c r="BZ492" s="0" t="s">
        <v>130</v>
      </c>
      <c r="CA492" s="0" t="s">
        <v>130</v>
      </c>
      <c r="CB492" s="0" t="s">
        <v>130</v>
      </c>
      <c r="CC492" s="0" t="s">
        <v>130</v>
      </c>
      <c r="CD492" s="0" t="s">
        <v>130</v>
      </c>
      <c r="CE492" s="0" t="s">
        <v>130</v>
      </c>
      <c r="CF492" s="0" t="s">
        <v>130</v>
      </c>
      <c r="CG492" s="0" t="s">
        <v>130</v>
      </c>
      <c r="CH492" s="0" t="s">
        <v>130</v>
      </c>
      <c r="CI492" s="0" t="s">
        <v>130</v>
      </c>
      <c r="CJ492" s="0" t="s">
        <v>130</v>
      </c>
      <c r="CK492" s="0" t="s">
        <v>130</v>
      </c>
      <c r="CL492" s="0" t="s">
        <v>130</v>
      </c>
      <c r="CM492" s="0" t="s">
        <v>130</v>
      </c>
      <c r="CN492" s="0" t="s">
        <v>130</v>
      </c>
      <c r="CO492" s="0" t="s">
        <v>130</v>
      </c>
      <c r="CP492" s="0" t="s">
        <v>130</v>
      </c>
      <c r="CQ492" s="0" t="s">
        <v>130</v>
      </c>
      <c r="CR492" s="0" t="s">
        <v>130</v>
      </c>
      <c r="CS492" s="0" t="s">
        <v>130</v>
      </c>
      <c r="CT492" s="0" t="s">
        <v>1688</v>
      </c>
    </row>
    <row r="493">
      <c r="A493" s="14">
        <v>101499</v>
      </c>
      <c r="B493" s="0" t="s">
        <v>1676</v>
      </c>
      <c r="C493" s="16">
        <f>HYPERLINK("https://eosportal.federatedhermes.com/companies/Q29tcGFueQppNTg5Nzk=", "TC Energy Corp")</f>
      </c>
      <c r="D493" s="0" t="s">
        <v>25</v>
      </c>
      <c r="E493" s="0" t="s">
        <v>1689</v>
      </c>
      <c r="F493" s="16">
        <f>HYPERLINK("https://eosportal.federatedhermes.com/engagements/RW5nYWdlbWVudAppMjA3MTE=", "Indigenous People")</f>
      </c>
      <c r="G493" s="14" t="s">
        <v>1690</v>
      </c>
      <c r="H493" s="0" t="s">
        <v>130</v>
      </c>
      <c r="I493" s="14" t="s">
        <v>131</v>
      </c>
      <c r="J493" s="0" t="s">
        <v>153</v>
      </c>
      <c r="K493" s="0" t="s">
        <v>243</v>
      </c>
      <c r="L493" s="0" t="s">
        <v>571</v>
      </c>
      <c r="M493" s="0" t="s">
        <v>135</v>
      </c>
      <c r="N493" s="0" t="s">
        <v>1678</v>
      </c>
      <c r="O493" s="0" t="s">
        <v>542</v>
      </c>
      <c r="Q493" s="0" t="s">
        <v>141</v>
      </c>
      <c r="R493" s="0" t="s">
        <v>138</v>
      </c>
      <c r="S493" s="14">
        <v>1</v>
      </c>
      <c r="T493" s="0" t="s">
        <v>355</v>
      </c>
      <c r="U493" s="0" t="s">
        <v>138</v>
      </c>
      <c r="V493" s="14" t="s">
        <v>138</v>
      </c>
      <c r="W493" s="0" t="s">
        <v>138</v>
      </c>
      <c r="X493" s="14" t="s">
        <v>138</v>
      </c>
      <c r="Y493" s="0" t="s">
        <v>138</v>
      </c>
      <c r="Z493" s="14" t="s">
        <v>138</v>
      </c>
      <c r="AA493" s="0" t="s">
        <v>138</v>
      </c>
      <c r="AB493" s="14" t="s">
        <v>138</v>
      </c>
      <c r="AD493" s="0" t="s">
        <v>138</v>
      </c>
      <c r="AF493" s="0">
        <v>0</v>
      </c>
      <c r="AG493" s="0">
        <v>0</v>
      </c>
      <c r="AH493" s="0" t="s">
        <v>140</v>
      </c>
      <c r="AI493" s="0" t="s">
        <v>138</v>
      </c>
      <c r="AK493" s="0" t="s">
        <v>1196</v>
      </c>
      <c r="AL493" s="14"/>
      <c r="AN493" s="14"/>
      <c r="AQ493" s="0" t="s">
        <v>130</v>
      </c>
      <c r="AR493" s="0" t="s">
        <v>130</v>
      </c>
      <c r="AS493" s="0" t="s">
        <v>130</v>
      </c>
      <c r="AT493" s="0" t="s">
        <v>130</v>
      </c>
      <c r="AU493" s="0" t="s">
        <v>130</v>
      </c>
      <c r="AV493" s="0" t="s">
        <v>130</v>
      </c>
      <c r="AW493" s="0" t="s">
        <v>130</v>
      </c>
      <c r="AX493" s="0" t="s">
        <v>130</v>
      </c>
      <c r="AY493" s="0" t="s">
        <v>130</v>
      </c>
      <c r="AZ493" s="0" t="s">
        <v>141</v>
      </c>
      <c r="BA493" s="0" t="s">
        <v>141</v>
      </c>
      <c r="BB493" s="0" t="s">
        <v>130</v>
      </c>
      <c r="BC493" s="0" t="s">
        <v>130</v>
      </c>
      <c r="BD493" s="0" t="s">
        <v>130</v>
      </c>
      <c r="BE493" s="0" t="s">
        <v>130</v>
      </c>
      <c r="BF493" s="0" t="s">
        <v>141</v>
      </c>
      <c r="BG493" s="0" t="s">
        <v>130</v>
      </c>
      <c r="BH493" s="0" t="s">
        <v>130</v>
      </c>
      <c r="BI493" s="0" t="s">
        <v>130</v>
      </c>
      <c r="BJ493" s="0" t="s">
        <v>130</v>
      </c>
      <c r="BK493" s="0" t="s">
        <v>130</v>
      </c>
      <c r="BL493" s="0" t="s">
        <v>130</v>
      </c>
      <c r="BM493" s="0" t="s">
        <v>130</v>
      </c>
      <c r="BN493" s="0" t="s">
        <v>130</v>
      </c>
      <c r="BO493" s="0" t="s">
        <v>130</v>
      </c>
      <c r="BP493" s="0" t="s">
        <v>130</v>
      </c>
      <c r="BQ493" s="0" t="s">
        <v>130</v>
      </c>
      <c r="BR493" s="0" t="s">
        <v>130</v>
      </c>
      <c r="BS493" s="0" t="s">
        <v>130</v>
      </c>
      <c r="BT493" s="0" t="s">
        <v>130</v>
      </c>
      <c r="BU493" s="0" t="s">
        <v>130</v>
      </c>
      <c r="BV493" s="0" t="s">
        <v>130</v>
      </c>
      <c r="BW493" s="0" t="s">
        <v>130</v>
      </c>
      <c r="BX493" s="0" t="s">
        <v>130</v>
      </c>
      <c r="BY493" s="0" t="s">
        <v>130</v>
      </c>
      <c r="BZ493" s="0" t="s">
        <v>130</v>
      </c>
      <c r="CA493" s="0" t="s">
        <v>130</v>
      </c>
      <c r="CB493" s="0" t="s">
        <v>130</v>
      </c>
      <c r="CC493" s="0" t="s">
        <v>130</v>
      </c>
      <c r="CD493" s="0" t="s">
        <v>130</v>
      </c>
      <c r="CE493" s="0" t="s">
        <v>130</v>
      </c>
      <c r="CF493" s="0" t="s">
        <v>130</v>
      </c>
      <c r="CG493" s="0" t="s">
        <v>130</v>
      </c>
      <c r="CH493" s="0" t="s">
        <v>130</v>
      </c>
      <c r="CI493" s="0" t="s">
        <v>130</v>
      </c>
      <c r="CJ493" s="0" t="s">
        <v>130</v>
      </c>
      <c r="CK493" s="0" t="s">
        <v>130</v>
      </c>
      <c r="CL493" s="0" t="s">
        <v>130</v>
      </c>
      <c r="CM493" s="0" t="s">
        <v>130</v>
      </c>
      <c r="CN493" s="0" t="s">
        <v>130</v>
      </c>
      <c r="CO493" s="0" t="s">
        <v>130</v>
      </c>
      <c r="CP493" s="0" t="s">
        <v>130</v>
      </c>
      <c r="CQ493" s="0" t="s">
        <v>130</v>
      </c>
      <c r="CR493" s="0" t="s">
        <v>130</v>
      </c>
      <c r="CS493" s="0" t="s">
        <v>130</v>
      </c>
      <c r="CT493" s="0" t="s">
        <v>1691</v>
      </c>
    </row>
    <row r="494">
      <c r="A494" s="14">
        <v>101499</v>
      </c>
      <c r="B494" s="0" t="s">
        <v>1676</v>
      </c>
      <c r="C494" s="16">
        <f>HYPERLINK("https://eosportal.federatedhermes.com/companies/Q29tcGFueQppNTg5Nzk=", "TC Energy Corp")</f>
      </c>
      <c r="D494" s="0" t="s">
        <v>25</v>
      </c>
      <c r="E494" s="0" t="s">
        <v>1692</v>
      </c>
      <c r="F494" s="16">
        <f>HYPERLINK("https://eosportal.federatedhermes.com/engagements/RW5nYWdlbWVudAppMjA3MTI=", "Senior executive gender diversity")</f>
      </c>
      <c r="G494" s="14" t="s">
        <v>1693</v>
      </c>
      <c r="H494" s="0" t="s">
        <v>130</v>
      </c>
      <c r="I494" s="14" t="s">
        <v>131</v>
      </c>
      <c r="J494" s="0" t="s">
        <v>153</v>
      </c>
      <c r="K494" s="0" t="s">
        <v>154</v>
      </c>
      <c r="L494" s="0" t="s">
        <v>268</v>
      </c>
      <c r="M494" s="0" t="s">
        <v>135</v>
      </c>
      <c r="N494" s="0" t="s">
        <v>1678</v>
      </c>
      <c r="O494" s="0" t="s">
        <v>542</v>
      </c>
      <c r="Q494" s="0" t="s">
        <v>130</v>
      </c>
      <c r="R494" s="0" t="s">
        <v>138</v>
      </c>
      <c r="S494" s="14">
        <v>0</v>
      </c>
      <c r="T494" s="0" t="s">
        <v>355</v>
      </c>
      <c r="U494" s="0" t="s">
        <v>138</v>
      </c>
      <c r="V494" s="14" t="s">
        <v>138</v>
      </c>
      <c r="W494" s="0" t="s">
        <v>138</v>
      </c>
      <c r="X494" s="14" t="s">
        <v>138</v>
      </c>
      <c r="Y494" s="0" t="s">
        <v>138</v>
      </c>
      <c r="Z494" s="14" t="s">
        <v>138</v>
      </c>
      <c r="AA494" s="0" t="s">
        <v>138</v>
      </c>
      <c r="AB494" s="14" t="s">
        <v>138</v>
      </c>
      <c r="AD494" s="0" t="s">
        <v>138</v>
      </c>
      <c r="AF494" s="0">
        <v>0</v>
      </c>
      <c r="AG494" s="0">
        <v>0</v>
      </c>
      <c r="AH494" s="0" t="s">
        <v>140</v>
      </c>
      <c r="AI494" s="0" t="s">
        <v>138</v>
      </c>
      <c r="AL494" s="14"/>
      <c r="AN494" s="14"/>
      <c r="AQ494" s="0" t="s">
        <v>130</v>
      </c>
      <c r="AR494" s="0" t="s">
        <v>130</v>
      </c>
      <c r="AS494" s="0" t="s">
        <v>130</v>
      </c>
      <c r="AT494" s="0" t="s">
        <v>130</v>
      </c>
      <c r="AU494" s="0" t="s">
        <v>141</v>
      </c>
      <c r="AV494" s="0" t="s">
        <v>130</v>
      </c>
      <c r="AW494" s="0" t="s">
        <v>130</v>
      </c>
      <c r="AX494" s="0" t="s">
        <v>130</v>
      </c>
      <c r="AY494" s="0" t="s">
        <v>130</v>
      </c>
      <c r="AZ494" s="0" t="s">
        <v>130</v>
      </c>
      <c r="BA494" s="0" t="s">
        <v>130</v>
      </c>
      <c r="BB494" s="0" t="s">
        <v>130</v>
      </c>
      <c r="BC494" s="0" t="s">
        <v>130</v>
      </c>
      <c r="BD494" s="0" t="s">
        <v>130</v>
      </c>
      <c r="BE494" s="0" t="s">
        <v>130</v>
      </c>
      <c r="BF494" s="0" t="s">
        <v>130</v>
      </c>
      <c r="BG494" s="0" t="s">
        <v>130</v>
      </c>
      <c r="BH494" s="0" t="s">
        <v>130</v>
      </c>
      <c r="BI494" s="0" t="s">
        <v>130</v>
      </c>
      <c r="BJ494" s="0" t="s">
        <v>130</v>
      </c>
      <c r="BK494" s="0" t="s">
        <v>130</v>
      </c>
      <c r="BL494" s="0" t="s">
        <v>130</v>
      </c>
      <c r="BM494" s="0" t="s">
        <v>130</v>
      </c>
      <c r="BN494" s="0" t="s">
        <v>130</v>
      </c>
      <c r="BO494" s="0" t="s">
        <v>130</v>
      </c>
      <c r="BP494" s="0" t="s">
        <v>130</v>
      </c>
      <c r="BQ494" s="0" t="s">
        <v>130</v>
      </c>
      <c r="BR494" s="0" t="s">
        <v>130</v>
      </c>
      <c r="BS494" s="0" t="s">
        <v>130</v>
      </c>
      <c r="BT494" s="0" t="s">
        <v>130</v>
      </c>
      <c r="BU494" s="0" t="s">
        <v>130</v>
      </c>
      <c r="BV494" s="0" t="s">
        <v>130</v>
      </c>
      <c r="BW494" s="0" t="s">
        <v>130</v>
      </c>
      <c r="BX494" s="0" t="s">
        <v>130</v>
      </c>
      <c r="BY494" s="0" t="s">
        <v>130</v>
      </c>
      <c r="BZ494" s="0" t="s">
        <v>130</v>
      </c>
      <c r="CA494" s="0" t="s">
        <v>130</v>
      </c>
      <c r="CB494" s="0" t="s">
        <v>130</v>
      </c>
      <c r="CC494" s="0" t="s">
        <v>130</v>
      </c>
      <c r="CD494" s="0" t="s">
        <v>130</v>
      </c>
      <c r="CE494" s="0" t="s">
        <v>130</v>
      </c>
      <c r="CF494" s="0" t="s">
        <v>130</v>
      </c>
      <c r="CG494" s="0" t="s">
        <v>130</v>
      </c>
      <c r="CH494" s="0" t="s">
        <v>130</v>
      </c>
      <c r="CI494" s="0" t="s">
        <v>130</v>
      </c>
      <c r="CJ494" s="0" t="s">
        <v>130</v>
      </c>
      <c r="CK494" s="0" t="s">
        <v>141</v>
      </c>
      <c r="CL494" s="0" t="s">
        <v>130</v>
      </c>
      <c r="CM494" s="0" t="s">
        <v>130</v>
      </c>
      <c r="CN494" s="0" t="s">
        <v>130</v>
      </c>
      <c r="CO494" s="0" t="s">
        <v>130</v>
      </c>
      <c r="CP494" s="0" t="s">
        <v>130</v>
      </c>
      <c r="CQ494" s="0" t="s">
        <v>130</v>
      </c>
      <c r="CR494" s="0" t="s">
        <v>130</v>
      </c>
      <c r="CS494" s="0" t="s">
        <v>130</v>
      </c>
      <c r="CT494" s="0" t="s">
        <v>1694</v>
      </c>
    </row>
    <row r="495">
      <c r="A495" s="14">
        <v>101499</v>
      </c>
      <c r="B495" s="0" t="s">
        <v>1676</v>
      </c>
      <c r="C495" s="16">
        <f>HYPERLINK("https://eosportal.federatedhermes.com/companies/Q29tcGFueQppNTg5Nzk=", "TC Energy Corp")</f>
      </c>
      <c r="D495" s="0" t="s">
        <v>25</v>
      </c>
      <c r="E495" s="0" t="s">
        <v>1695</v>
      </c>
      <c r="F495" s="16">
        <f>HYPERLINK("https://eosportal.federatedhermes.com/engagements/RW5nYWdlbWVudAppMjA3MTQ=", "Climate Change Risk &amp; Opportunity Management")</f>
      </c>
      <c r="G495" s="14" t="s">
        <v>1696</v>
      </c>
      <c r="H495" s="0" t="s">
        <v>130</v>
      </c>
      <c r="I495" s="14" t="s">
        <v>131</v>
      </c>
      <c r="J495" s="0" t="s">
        <v>197</v>
      </c>
      <c r="K495" s="0" t="s">
        <v>198</v>
      </c>
      <c r="L495" s="0" t="s">
        <v>199</v>
      </c>
      <c r="M495" s="0" t="s">
        <v>135</v>
      </c>
      <c r="N495" s="0" t="s">
        <v>1678</v>
      </c>
      <c r="O495" s="0" t="s">
        <v>542</v>
      </c>
      <c r="Q495" s="0" t="s">
        <v>130</v>
      </c>
      <c r="R495" s="0" t="s">
        <v>138</v>
      </c>
      <c r="S495" s="14">
        <v>0</v>
      </c>
      <c r="T495" s="0" t="s">
        <v>394</v>
      </c>
      <c r="U495" s="0" t="s">
        <v>138</v>
      </c>
      <c r="V495" s="14" t="s">
        <v>138</v>
      </c>
      <c r="W495" s="0" t="s">
        <v>138</v>
      </c>
      <c r="X495" s="14" t="s">
        <v>138</v>
      </c>
      <c r="Y495" s="0" t="s">
        <v>138</v>
      </c>
      <c r="Z495" s="14" t="s">
        <v>138</v>
      </c>
      <c r="AA495" s="0" t="s">
        <v>138</v>
      </c>
      <c r="AB495" s="14" t="s">
        <v>138</v>
      </c>
      <c r="AD495" s="0" t="s">
        <v>138</v>
      </c>
      <c r="AF495" s="0">
        <v>0</v>
      </c>
      <c r="AG495" s="0">
        <v>0</v>
      </c>
      <c r="AH495" s="0" t="s">
        <v>140</v>
      </c>
      <c r="AI495" s="0" t="s">
        <v>138</v>
      </c>
      <c r="AL495" s="14"/>
      <c r="AN495" s="14"/>
      <c r="AQ495" s="0" t="s">
        <v>130</v>
      </c>
      <c r="AR495" s="0" t="s">
        <v>130</v>
      </c>
      <c r="AS495" s="0" t="s">
        <v>130</v>
      </c>
      <c r="AT495" s="0" t="s">
        <v>130</v>
      </c>
      <c r="AU495" s="0" t="s">
        <v>130</v>
      </c>
      <c r="AV495" s="0" t="s">
        <v>130</v>
      </c>
      <c r="AW495" s="0" t="s">
        <v>130</v>
      </c>
      <c r="AX495" s="0" t="s">
        <v>130</v>
      </c>
      <c r="AY495" s="0" t="s">
        <v>130</v>
      </c>
      <c r="AZ495" s="0" t="s">
        <v>130</v>
      </c>
      <c r="BA495" s="0" t="s">
        <v>130</v>
      </c>
      <c r="BB495" s="0" t="s">
        <v>141</v>
      </c>
      <c r="BC495" s="0" t="s">
        <v>141</v>
      </c>
      <c r="BD495" s="0" t="s">
        <v>130</v>
      </c>
      <c r="BE495" s="0" t="s">
        <v>130</v>
      </c>
      <c r="BF495" s="0" t="s">
        <v>130</v>
      </c>
      <c r="BG495" s="0" t="s">
        <v>130</v>
      </c>
      <c r="BH495" s="0" t="s">
        <v>130</v>
      </c>
      <c r="BI495" s="0" t="s">
        <v>130</v>
      </c>
      <c r="BJ495" s="0" t="s">
        <v>130</v>
      </c>
      <c r="BK495" s="0" t="s">
        <v>130</v>
      </c>
      <c r="BL495" s="0" t="s">
        <v>130</v>
      </c>
      <c r="BM495" s="0" t="s">
        <v>130</v>
      </c>
      <c r="BN495" s="0" t="s">
        <v>130</v>
      </c>
      <c r="BO495" s="0" t="s">
        <v>130</v>
      </c>
      <c r="BP495" s="0" t="s">
        <v>130</v>
      </c>
      <c r="BQ495" s="0" t="s">
        <v>130</v>
      </c>
      <c r="BR495" s="0" t="s">
        <v>130</v>
      </c>
      <c r="BS495" s="0" t="s">
        <v>130</v>
      </c>
      <c r="BT495" s="0" t="s">
        <v>130</v>
      </c>
      <c r="BU495" s="0" t="s">
        <v>130</v>
      </c>
      <c r="BV495" s="0" t="s">
        <v>130</v>
      </c>
      <c r="BW495" s="0" t="s">
        <v>130</v>
      </c>
      <c r="BX495" s="0" t="s">
        <v>130</v>
      </c>
      <c r="BY495" s="0" t="s">
        <v>130</v>
      </c>
      <c r="BZ495" s="0" t="s">
        <v>130</v>
      </c>
      <c r="CA495" s="0" t="s">
        <v>130</v>
      </c>
      <c r="CB495" s="0" t="s">
        <v>130</v>
      </c>
      <c r="CC495" s="0" t="s">
        <v>130</v>
      </c>
      <c r="CD495" s="0" t="s">
        <v>130</v>
      </c>
      <c r="CE495" s="0" t="s">
        <v>130</v>
      </c>
      <c r="CF495" s="0" t="s">
        <v>130</v>
      </c>
      <c r="CG495" s="0" t="s">
        <v>130</v>
      </c>
      <c r="CH495" s="0" t="s">
        <v>130</v>
      </c>
      <c r="CI495" s="0" t="s">
        <v>130</v>
      </c>
      <c r="CJ495" s="0" t="s">
        <v>130</v>
      </c>
      <c r="CK495" s="0" t="s">
        <v>130</v>
      </c>
      <c r="CL495" s="0" t="s">
        <v>130</v>
      </c>
      <c r="CM495" s="0" t="s">
        <v>130</v>
      </c>
      <c r="CN495" s="0" t="s">
        <v>130</v>
      </c>
      <c r="CO495" s="0" t="s">
        <v>130</v>
      </c>
      <c r="CP495" s="0" t="s">
        <v>130</v>
      </c>
      <c r="CQ495" s="0" t="s">
        <v>130</v>
      </c>
      <c r="CR495" s="0" t="s">
        <v>130</v>
      </c>
      <c r="CS495" s="0" t="s">
        <v>130</v>
      </c>
      <c r="CT495" s="0" t="s">
        <v>1697</v>
      </c>
    </row>
    <row r="496">
      <c r="A496" s="14">
        <v>101499</v>
      </c>
      <c r="B496" s="0" t="s">
        <v>1676</v>
      </c>
      <c r="C496" s="16">
        <f>HYPERLINK("https://eosportal.federatedhermes.com/companies/Q29tcGFueQppNTg5Nzk=", "TC Energy Corp")</f>
      </c>
      <c r="D496" s="0" t="s">
        <v>25</v>
      </c>
      <c r="E496" s="0" t="s">
        <v>873</v>
      </c>
      <c r="F496" s="16">
        <f>HYPERLINK("https://eosportal.federatedhermes.com/engagements/RW5nYWdlbWVudAppMjA3MTk=", "Risk management")</f>
      </c>
      <c r="G496" s="14"/>
      <c r="H496" s="0" t="s">
        <v>130</v>
      </c>
      <c r="I496" s="14" t="s">
        <v>131</v>
      </c>
      <c r="J496" s="0" t="s">
        <v>132</v>
      </c>
      <c r="K496" s="0" t="s">
        <v>260</v>
      </c>
      <c r="L496" s="0" t="s">
        <v>261</v>
      </c>
      <c r="M496" s="0" t="s">
        <v>135</v>
      </c>
      <c r="N496" s="0" t="s">
        <v>1678</v>
      </c>
      <c r="O496" s="0" t="s">
        <v>542</v>
      </c>
      <c r="Q496" s="0" t="s">
        <v>130</v>
      </c>
      <c r="R496" s="0" t="s">
        <v>138</v>
      </c>
      <c r="S496" s="14">
        <v>0</v>
      </c>
      <c r="T496" s="0" t="s">
        <v>245</v>
      </c>
      <c r="U496" s="0" t="s">
        <v>138</v>
      </c>
      <c r="V496" s="14" t="s">
        <v>138</v>
      </c>
      <c r="W496" s="0" t="s">
        <v>138</v>
      </c>
      <c r="X496" s="14" t="s">
        <v>138</v>
      </c>
      <c r="Y496" s="0" t="s">
        <v>138</v>
      </c>
      <c r="Z496" s="14" t="s">
        <v>138</v>
      </c>
      <c r="AA496" s="0" t="s">
        <v>138</v>
      </c>
      <c r="AB496" s="14" t="s">
        <v>138</v>
      </c>
      <c r="AD496" s="0" t="s">
        <v>138</v>
      </c>
      <c r="AF496" s="0">
        <v>0</v>
      </c>
      <c r="AG496" s="0">
        <v>0</v>
      </c>
      <c r="AH496" s="0" t="s">
        <v>140</v>
      </c>
      <c r="AI496" s="0" t="s">
        <v>138</v>
      </c>
      <c r="AL496" s="14"/>
      <c r="AN496" s="14"/>
      <c r="AQ496" s="0" t="s">
        <v>130</v>
      </c>
      <c r="AR496" s="0" t="s">
        <v>130</v>
      </c>
      <c r="AS496" s="0" t="s">
        <v>130</v>
      </c>
      <c r="AT496" s="0" t="s">
        <v>130</v>
      </c>
      <c r="AU496" s="0" t="s">
        <v>130</v>
      </c>
      <c r="AV496" s="0" t="s">
        <v>130</v>
      </c>
      <c r="AW496" s="0" t="s">
        <v>130</v>
      </c>
      <c r="AX496" s="0" t="s">
        <v>130</v>
      </c>
      <c r="AY496" s="0" t="s">
        <v>130</v>
      </c>
      <c r="AZ496" s="0" t="s">
        <v>130</v>
      </c>
      <c r="BA496" s="0" t="s">
        <v>130</v>
      </c>
      <c r="BB496" s="0" t="s">
        <v>130</v>
      </c>
      <c r="BC496" s="0" t="s">
        <v>130</v>
      </c>
      <c r="BD496" s="0" t="s">
        <v>130</v>
      </c>
      <c r="BE496" s="0" t="s">
        <v>130</v>
      </c>
      <c r="BF496" s="0" t="s">
        <v>130</v>
      </c>
      <c r="BG496" s="0" t="s">
        <v>130</v>
      </c>
      <c r="BH496" s="0" t="s">
        <v>130</v>
      </c>
      <c r="BI496" s="0" t="s">
        <v>130</v>
      </c>
      <c r="BJ496" s="0" t="s">
        <v>130</v>
      </c>
      <c r="BK496" s="0" t="s">
        <v>130</v>
      </c>
      <c r="BL496" s="0" t="s">
        <v>130</v>
      </c>
      <c r="BM496" s="0" t="s">
        <v>130</v>
      </c>
      <c r="BN496" s="0" t="s">
        <v>130</v>
      </c>
      <c r="BO496" s="0" t="s">
        <v>130</v>
      </c>
      <c r="BP496" s="0" t="s">
        <v>130</v>
      </c>
      <c r="BQ496" s="0" t="s">
        <v>130</v>
      </c>
      <c r="BR496" s="0" t="s">
        <v>130</v>
      </c>
      <c r="BS496" s="0" t="s">
        <v>130</v>
      </c>
      <c r="BT496" s="0" t="s">
        <v>130</v>
      </c>
      <c r="BU496" s="0" t="s">
        <v>130</v>
      </c>
      <c r="BV496" s="0" t="s">
        <v>130</v>
      </c>
      <c r="BW496" s="0" t="s">
        <v>130</v>
      </c>
      <c r="BX496" s="0" t="s">
        <v>130</v>
      </c>
      <c r="BY496" s="0" t="s">
        <v>130</v>
      </c>
      <c r="BZ496" s="0" t="s">
        <v>130</v>
      </c>
      <c r="CA496" s="0" t="s">
        <v>130</v>
      </c>
      <c r="CB496" s="0" t="s">
        <v>130</v>
      </c>
      <c r="CC496" s="0" t="s">
        <v>130</v>
      </c>
      <c r="CD496" s="0" t="s">
        <v>130</v>
      </c>
      <c r="CE496" s="0" t="s">
        <v>130</v>
      </c>
      <c r="CF496" s="0" t="s">
        <v>130</v>
      </c>
      <c r="CG496" s="0" t="s">
        <v>130</v>
      </c>
      <c r="CH496" s="0" t="s">
        <v>130</v>
      </c>
      <c r="CI496" s="0" t="s">
        <v>130</v>
      </c>
      <c r="CJ496" s="0" t="s">
        <v>130</v>
      </c>
      <c r="CK496" s="0" t="s">
        <v>130</v>
      </c>
      <c r="CL496" s="0" t="s">
        <v>130</v>
      </c>
      <c r="CM496" s="0" t="s">
        <v>130</v>
      </c>
      <c r="CN496" s="0" t="s">
        <v>130</v>
      </c>
      <c r="CO496" s="0" t="s">
        <v>130</v>
      </c>
      <c r="CP496" s="0" t="s">
        <v>130</v>
      </c>
      <c r="CQ496" s="0" t="s">
        <v>130</v>
      </c>
      <c r="CR496" s="0" t="s">
        <v>130</v>
      </c>
      <c r="CS496" s="0" t="s">
        <v>130</v>
      </c>
      <c r="CT496" s="0" t="s">
        <v>1698</v>
      </c>
    </row>
    <row r="497">
      <c r="A497" s="14">
        <v>101534</v>
      </c>
      <c r="B497" s="0" t="s">
        <v>1699</v>
      </c>
      <c r="C497" s="16">
        <f>HYPERLINK("https://eosportal.federatedhermes.com/companies/Q29tcGFueQppNjM1OTI=", "Unilever PLC")</f>
      </c>
      <c r="D497" s="0" t="s">
        <v>25</v>
      </c>
      <c r="E497" s="0" t="s">
        <v>271</v>
      </c>
      <c r="F497" s="16">
        <f>HYPERLINK("https://eosportal.federatedhermes.com/engagements/RW5nYWdlbWVudAppMjA3Mjk=", "Remuneration practices")</f>
      </c>
      <c r="G497" s="14" t="s">
        <v>1700</v>
      </c>
      <c r="H497" s="0" t="s">
        <v>141</v>
      </c>
      <c r="I497" s="14" t="s">
        <v>636</v>
      </c>
      <c r="J497" s="0" t="s">
        <v>145</v>
      </c>
      <c r="K497" s="0" t="s">
        <v>146</v>
      </c>
      <c r="L497" s="0" t="s">
        <v>147</v>
      </c>
      <c r="M497" s="0" t="s">
        <v>272</v>
      </c>
      <c r="N497" s="0" t="s">
        <v>273</v>
      </c>
      <c r="O497" s="0" t="s">
        <v>332</v>
      </c>
      <c r="Q497" s="0" t="s">
        <v>130</v>
      </c>
      <c r="R497" s="0" t="s">
        <v>138</v>
      </c>
      <c r="S497" s="14">
        <v>0</v>
      </c>
      <c r="T497" s="0" t="s">
        <v>166</v>
      </c>
      <c r="U497" s="0" t="s">
        <v>138</v>
      </c>
      <c r="V497" s="14" t="s">
        <v>138</v>
      </c>
      <c r="W497" s="0" t="s">
        <v>138</v>
      </c>
      <c r="X497" s="14" t="s">
        <v>138</v>
      </c>
      <c r="Y497" s="0" t="s">
        <v>138</v>
      </c>
      <c r="Z497" s="14" t="s">
        <v>138</v>
      </c>
      <c r="AA497" s="0" t="s">
        <v>138</v>
      </c>
      <c r="AB497" s="14" t="s">
        <v>138</v>
      </c>
      <c r="AD497" s="0" t="s">
        <v>138</v>
      </c>
      <c r="AF497" s="0">
        <v>0</v>
      </c>
      <c r="AG497" s="0">
        <v>0</v>
      </c>
      <c r="AH497" s="0" t="s">
        <v>140</v>
      </c>
      <c r="AI497" s="0" t="s">
        <v>138</v>
      </c>
      <c r="AL497" s="14"/>
      <c r="AN497" s="14"/>
      <c r="AQ497" s="0" t="s">
        <v>130</v>
      </c>
      <c r="AR497" s="0" t="s">
        <v>130</v>
      </c>
      <c r="AS497" s="0" t="s">
        <v>130</v>
      </c>
      <c r="AT497" s="0" t="s">
        <v>130</v>
      </c>
      <c r="AU497" s="0" t="s">
        <v>130</v>
      </c>
      <c r="AV497" s="0" t="s">
        <v>130</v>
      </c>
      <c r="AW497" s="0" t="s">
        <v>130</v>
      </c>
      <c r="AX497" s="0" t="s">
        <v>130</v>
      </c>
      <c r="AY497" s="0" t="s">
        <v>130</v>
      </c>
      <c r="AZ497" s="0" t="s">
        <v>130</v>
      </c>
      <c r="BA497" s="0" t="s">
        <v>130</v>
      </c>
      <c r="BB497" s="0" t="s">
        <v>130</v>
      </c>
      <c r="BC497" s="0" t="s">
        <v>130</v>
      </c>
      <c r="BD497" s="0" t="s">
        <v>130</v>
      </c>
      <c r="BE497" s="0" t="s">
        <v>130</v>
      </c>
      <c r="BF497" s="0" t="s">
        <v>130</v>
      </c>
      <c r="BG497" s="0" t="s">
        <v>130</v>
      </c>
      <c r="BH497" s="0" t="s">
        <v>130</v>
      </c>
      <c r="BI497" s="0" t="s">
        <v>130</v>
      </c>
      <c r="BJ497" s="0" t="s">
        <v>130</v>
      </c>
      <c r="BK497" s="0" t="s">
        <v>130</v>
      </c>
      <c r="BL497" s="0" t="s">
        <v>130</v>
      </c>
      <c r="BM497" s="0" t="s">
        <v>130</v>
      </c>
      <c r="BN497" s="0" t="s">
        <v>130</v>
      </c>
      <c r="BO497" s="0" t="s">
        <v>130</v>
      </c>
      <c r="BP497" s="0" t="s">
        <v>130</v>
      </c>
      <c r="BQ497" s="0" t="s">
        <v>130</v>
      </c>
      <c r="BR497" s="0" t="s">
        <v>130</v>
      </c>
      <c r="BS497" s="0" t="s">
        <v>130</v>
      </c>
      <c r="BT497" s="0" t="s">
        <v>130</v>
      </c>
      <c r="BU497" s="0" t="s">
        <v>130</v>
      </c>
      <c r="BV497" s="0" t="s">
        <v>130</v>
      </c>
      <c r="BW497" s="0" t="s">
        <v>130</v>
      </c>
      <c r="BX497" s="0" t="s">
        <v>130</v>
      </c>
      <c r="BY497" s="0" t="s">
        <v>130</v>
      </c>
      <c r="BZ497" s="0" t="s">
        <v>130</v>
      </c>
      <c r="CA497" s="0" t="s">
        <v>130</v>
      </c>
      <c r="CB497" s="0" t="s">
        <v>130</v>
      </c>
      <c r="CC497" s="0" t="s">
        <v>130</v>
      </c>
      <c r="CD497" s="0" t="s">
        <v>130</v>
      </c>
      <c r="CE497" s="0" t="s">
        <v>130</v>
      </c>
      <c r="CF497" s="0" t="s">
        <v>130</v>
      </c>
      <c r="CG497" s="0" t="s">
        <v>130</v>
      </c>
      <c r="CH497" s="0" t="s">
        <v>130</v>
      </c>
      <c r="CI497" s="0" t="s">
        <v>130</v>
      </c>
      <c r="CJ497" s="0" t="s">
        <v>130</v>
      </c>
      <c r="CK497" s="0" t="s">
        <v>130</v>
      </c>
      <c r="CL497" s="0" t="s">
        <v>130</v>
      </c>
      <c r="CM497" s="0" t="s">
        <v>130</v>
      </c>
      <c r="CN497" s="0" t="s">
        <v>130</v>
      </c>
      <c r="CO497" s="0" t="s">
        <v>130</v>
      </c>
      <c r="CP497" s="0" t="s">
        <v>130</v>
      </c>
      <c r="CQ497" s="0" t="s">
        <v>130</v>
      </c>
      <c r="CR497" s="0" t="s">
        <v>130</v>
      </c>
      <c r="CS497" s="0" t="s">
        <v>130</v>
      </c>
      <c r="CT497" s="0" t="s">
        <v>1701</v>
      </c>
    </row>
    <row r="498">
      <c r="A498" s="14">
        <v>101534</v>
      </c>
      <c r="B498" s="0" t="s">
        <v>1699</v>
      </c>
      <c r="C498" s="16">
        <f>HYPERLINK("https://eosportal.federatedhermes.com/companies/Q29tcGFueQppNjM1OTI=", "Unilever PLC")</f>
      </c>
      <c r="D498" s="0" t="s">
        <v>25</v>
      </c>
      <c r="E498" s="0" t="s">
        <v>1702</v>
      </c>
      <c r="F498" s="16">
        <f>HYPERLINK("https://eosportal.federatedhermes.com/engagements/RW5nYWdlbWVudAppMjA3MzA=", "Sustainable sourcing of palm oil and soy")</f>
      </c>
      <c r="G498" s="14" t="s">
        <v>1703</v>
      </c>
      <c r="H498" s="0" t="s">
        <v>141</v>
      </c>
      <c r="I498" s="14" t="s">
        <v>636</v>
      </c>
      <c r="J498" s="0" t="s">
        <v>197</v>
      </c>
      <c r="K498" s="0" t="s">
        <v>337</v>
      </c>
      <c r="L498" s="0" t="s">
        <v>576</v>
      </c>
      <c r="M498" s="0" t="s">
        <v>272</v>
      </c>
      <c r="N498" s="0" t="s">
        <v>273</v>
      </c>
      <c r="O498" s="0" t="s">
        <v>332</v>
      </c>
      <c r="Q498" s="0" t="s">
        <v>130</v>
      </c>
      <c r="R498" s="0" t="s">
        <v>138</v>
      </c>
      <c r="S498" s="14">
        <v>0</v>
      </c>
      <c r="T498" s="0" t="s">
        <v>1529</v>
      </c>
      <c r="U498" s="0" t="s">
        <v>138</v>
      </c>
      <c r="V498" s="14" t="s">
        <v>138</v>
      </c>
      <c r="W498" s="0" t="s">
        <v>138</v>
      </c>
      <c r="X498" s="14" t="s">
        <v>138</v>
      </c>
      <c r="Y498" s="0" t="s">
        <v>138</v>
      </c>
      <c r="Z498" s="14" t="s">
        <v>138</v>
      </c>
      <c r="AA498" s="0" t="s">
        <v>138</v>
      </c>
      <c r="AB498" s="14" t="s">
        <v>138</v>
      </c>
      <c r="AD498" s="0" t="s">
        <v>138</v>
      </c>
      <c r="AF498" s="0">
        <v>0</v>
      </c>
      <c r="AG498" s="0">
        <v>0</v>
      </c>
      <c r="AH498" s="0" t="s">
        <v>140</v>
      </c>
      <c r="AI498" s="0" t="s">
        <v>138</v>
      </c>
      <c r="AL498" s="14"/>
      <c r="AN498" s="14"/>
      <c r="AQ498" s="0" t="s">
        <v>130</v>
      </c>
      <c r="AR498" s="0" t="s">
        <v>141</v>
      </c>
      <c r="AS498" s="0" t="s">
        <v>130</v>
      </c>
      <c r="AT498" s="0" t="s">
        <v>130</v>
      </c>
      <c r="AU498" s="0" t="s">
        <v>130</v>
      </c>
      <c r="AV498" s="0" t="s">
        <v>130</v>
      </c>
      <c r="AW498" s="0" t="s">
        <v>130</v>
      </c>
      <c r="AX498" s="0" t="s">
        <v>130</v>
      </c>
      <c r="AY498" s="0" t="s">
        <v>130</v>
      </c>
      <c r="AZ498" s="0" t="s">
        <v>130</v>
      </c>
      <c r="BA498" s="0" t="s">
        <v>130</v>
      </c>
      <c r="BB498" s="0" t="s">
        <v>141</v>
      </c>
      <c r="BC498" s="0" t="s">
        <v>130</v>
      </c>
      <c r="BD498" s="0" t="s">
        <v>130</v>
      </c>
      <c r="BE498" s="0" t="s">
        <v>141</v>
      </c>
      <c r="BF498" s="0" t="s">
        <v>130</v>
      </c>
      <c r="BG498" s="0" t="s">
        <v>130</v>
      </c>
      <c r="BH498" s="0" t="s">
        <v>130</v>
      </c>
      <c r="BI498" s="0" t="s">
        <v>130</v>
      </c>
      <c r="BJ498" s="0" t="s">
        <v>130</v>
      </c>
      <c r="BK498" s="0" t="s">
        <v>130</v>
      </c>
      <c r="BL498" s="0" t="s">
        <v>130</v>
      </c>
      <c r="BM498" s="0" t="s">
        <v>130</v>
      </c>
      <c r="BN498" s="0" t="s">
        <v>130</v>
      </c>
      <c r="BO498" s="0" t="s">
        <v>130</v>
      </c>
      <c r="BP498" s="0" t="s">
        <v>130</v>
      </c>
      <c r="BQ498" s="0" t="s">
        <v>130</v>
      </c>
      <c r="BR498" s="0" t="s">
        <v>130</v>
      </c>
      <c r="BS498" s="0" t="s">
        <v>130</v>
      </c>
      <c r="BT498" s="0" t="s">
        <v>130</v>
      </c>
      <c r="BU498" s="0" t="s">
        <v>130</v>
      </c>
      <c r="BV498" s="0" t="s">
        <v>130</v>
      </c>
      <c r="BW498" s="0" t="s">
        <v>130</v>
      </c>
      <c r="BX498" s="0" t="s">
        <v>130</v>
      </c>
      <c r="BY498" s="0" t="s">
        <v>130</v>
      </c>
      <c r="BZ498" s="0" t="s">
        <v>130</v>
      </c>
      <c r="CA498" s="0" t="s">
        <v>130</v>
      </c>
      <c r="CB498" s="0" t="s">
        <v>130</v>
      </c>
      <c r="CC498" s="0" t="s">
        <v>130</v>
      </c>
      <c r="CD498" s="0" t="s">
        <v>130</v>
      </c>
      <c r="CE498" s="0" t="s">
        <v>130</v>
      </c>
      <c r="CF498" s="0" t="s">
        <v>130</v>
      </c>
      <c r="CG498" s="0" t="s">
        <v>130</v>
      </c>
      <c r="CH498" s="0" t="s">
        <v>130</v>
      </c>
      <c r="CI498" s="0" t="s">
        <v>130</v>
      </c>
      <c r="CJ498" s="0" t="s">
        <v>130</v>
      </c>
      <c r="CK498" s="0" t="s">
        <v>130</v>
      </c>
      <c r="CL498" s="0" t="s">
        <v>130</v>
      </c>
      <c r="CM498" s="0" t="s">
        <v>130</v>
      </c>
      <c r="CN498" s="0" t="s">
        <v>130</v>
      </c>
      <c r="CO498" s="0" t="s">
        <v>130</v>
      </c>
      <c r="CP498" s="0" t="s">
        <v>130</v>
      </c>
      <c r="CQ498" s="0" t="s">
        <v>130</v>
      </c>
      <c r="CR498" s="0" t="s">
        <v>130</v>
      </c>
      <c r="CS498" s="0" t="s">
        <v>130</v>
      </c>
      <c r="CT498" s="0" t="s">
        <v>1704</v>
      </c>
    </row>
    <row r="499">
      <c r="A499" s="14">
        <v>101534</v>
      </c>
      <c r="B499" s="0" t="s">
        <v>1699</v>
      </c>
      <c r="C499" s="16">
        <f>HYPERLINK("https://eosportal.federatedhermes.com/companies/Q29tcGFueQppNjM1OTI=", "Unilever PLC")</f>
      </c>
      <c r="D499" s="0" t="s">
        <v>25</v>
      </c>
      <c r="E499" s="0" t="s">
        <v>1705</v>
      </c>
      <c r="F499" s="16">
        <f>HYPERLINK("https://eosportal.federatedhermes.com/engagements/RW5nYWdlbWVudAppMjA3MzI=", "Simplification of Unilever")</f>
      </c>
      <c r="G499" s="14" t="s">
        <v>1706</v>
      </c>
      <c r="H499" s="0" t="s">
        <v>141</v>
      </c>
      <c r="I499" s="14" t="s">
        <v>636</v>
      </c>
      <c r="J499" s="0" t="s">
        <v>153</v>
      </c>
      <c r="K499" s="0" t="s">
        <v>154</v>
      </c>
      <c r="L499" s="0" t="s">
        <v>306</v>
      </c>
      <c r="M499" s="0" t="s">
        <v>272</v>
      </c>
      <c r="N499" s="0" t="s">
        <v>273</v>
      </c>
      <c r="O499" s="0" t="s">
        <v>332</v>
      </c>
      <c r="Q499" s="0" t="s">
        <v>130</v>
      </c>
      <c r="R499" s="0" t="s">
        <v>138</v>
      </c>
      <c r="S499" s="14">
        <v>0</v>
      </c>
      <c r="T499" s="0" t="s">
        <v>333</v>
      </c>
      <c r="U499" s="0" t="s">
        <v>138</v>
      </c>
      <c r="V499" s="14" t="s">
        <v>138</v>
      </c>
      <c r="W499" s="0" t="s">
        <v>138</v>
      </c>
      <c r="X499" s="14" t="s">
        <v>138</v>
      </c>
      <c r="Y499" s="0" t="s">
        <v>138</v>
      </c>
      <c r="Z499" s="14" t="s">
        <v>138</v>
      </c>
      <c r="AA499" s="0" t="s">
        <v>138</v>
      </c>
      <c r="AB499" s="14" t="s">
        <v>138</v>
      </c>
      <c r="AD499" s="0" t="s">
        <v>138</v>
      </c>
      <c r="AF499" s="0">
        <v>0</v>
      </c>
      <c r="AG499" s="0">
        <v>0</v>
      </c>
      <c r="AH499" s="0" t="s">
        <v>140</v>
      </c>
      <c r="AI499" s="0" t="s">
        <v>138</v>
      </c>
      <c r="AL499" s="14"/>
      <c r="AN499" s="14"/>
      <c r="AQ499" s="0" t="s">
        <v>130</v>
      </c>
      <c r="AR499" s="0" t="s">
        <v>130</v>
      </c>
      <c r="AS499" s="0" t="s">
        <v>130</v>
      </c>
      <c r="AT499" s="0" t="s">
        <v>130</v>
      </c>
      <c r="AU499" s="0" t="s">
        <v>130</v>
      </c>
      <c r="AV499" s="0" t="s">
        <v>130</v>
      </c>
      <c r="AW499" s="0" t="s">
        <v>130</v>
      </c>
      <c r="AX499" s="0" t="s">
        <v>130</v>
      </c>
      <c r="AY499" s="0" t="s">
        <v>130</v>
      </c>
      <c r="AZ499" s="0" t="s">
        <v>130</v>
      </c>
      <c r="BA499" s="0" t="s">
        <v>130</v>
      </c>
      <c r="BB499" s="0" t="s">
        <v>130</v>
      </c>
      <c r="BC499" s="0" t="s">
        <v>130</v>
      </c>
      <c r="BD499" s="0" t="s">
        <v>130</v>
      </c>
      <c r="BE499" s="0" t="s">
        <v>130</v>
      </c>
      <c r="BF499" s="0" t="s">
        <v>130</v>
      </c>
      <c r="BG499" s="0" t="s">
        <v>130</v>
      </c>
      <c r="BH499" s="0" t="s">
        <v>130</v>
      </c>
      <c r="BI499" s="0" t="s">
        <v>130</v>
      </c>
      <c r="BJ499" s="0" t="s">
        <v>130</v>
      </c>
      <c r="BK499" s="0" t="s">
        <v>130</v>
      </c>
      <c r="BL499" s="0" t="s">
        <v>130</v>
      </c>
      <c r="BM499" s="0" t="s">
        <v>130</v>
      </c>
      <c r="BN499" s="0" t="s">
        <v>130</v>
      </c>
      <c r="BO499" s="0" t="s">
        <v>130</v>
      </c>
      <c r="BP499" s="0" t="s">
        <v>130</v>
      </c>
      <c r="BQ499" s="0" t="s">
        <v>130</v>
      </c>
      <c r="BR499" s="0" t="s">
        <v>130</v>
      </c>
      <c r="BS499" s="0" t="s">
        <v>130</v>
      </c>
      <c r="BT499" s="0" t="s">
        <v>130</v>
      </c>
      <c r="BU499" s="0" t="s">
        <v>130</v>
      </c>
      <c r="BV499" s="0" t="s">
        <v>130</v>
      </c>
      <c r="BW499" s="0" t="s">
        <v>130</v>
      </c>
      <c r="BX499" s="0" t="s">
        <v>130</v>
      </c>
      <c r="BY499" s="0" t="s">
        <v>130</v>
      </c>
      <c r="BZ499" s="0" t="s">
        <v>130</v>
      </c>
      <c r="CA499" s="0" t="s">
        <v>130</v>
      </c>
      <c r="CB499" s="0" t="s">
        <v>130</v>
      </c>
      <c r="CC499" s="0" t="s">
        <v>130</v>
      </c>
      <c r="CD499" s="0" t="s">
        <v>130</v>
      </c>
      <c r="CE499" s="0" t="s">
        <v>130</v>
      </c>
      <c r="CF499" s="0" t="s">
        <v>130</v>
      </c>
      <c r="CG499" s="0" t="s">
        <v>130</v>
      </c>
      <c r="CH499" s="0" t="s">
        <v>130</v>
      </c>
      <c r="CI499" s="0" t="s">
        <v>130</v>
      </c>
      <c r="CJ499" s="0" t="s">
        <v>130</v>
      </c>
      <c r="CK499" s="0" t="s">
        <v>130</v>
      </c>
      <c r="CL499" s="0" t="s">
        <v>130</v>
      </c>
      <c r="CM499" s="0" t="s">
        <v>130</v>
      </c>
      <c r="CN499" s="0" t="s">
        <v>130</v>
      </c>
      <c r="CO499" s="0" t="s">
        <v>130</v>
      </c>
      <c r="CP499" s="0" t="s">
        <v>130</v>
      </c>
      <c r="CQ499" s="0" t="s">
        <v>130</v>
      </c>
      <c r="CR499" s="0" t="s">
        <v>130</v>
      </c>
      <c r="CS499" s="0" t="s">
        <v>130</v>
      </c>
      <c r="CT499" s="0" t="s">
        <v>1707</v>
      </c>
    </row>
    <row r="500">
      <c r="A500" s="14">
        <v>101534</v>
      </c>
      <c r="B500" s="0" t="s">
        <v>1699</v>
      </c>
      <c r="C500" s="16">
        <f>HYPERLINK("https://eosportal.federatedhermes.com/companies/Q29tcGFueQppNjM1OTI=", "Unilever PLC")</f>
      </c>
      <c r="D500" s="0" t="s">
        <v>25</v>
      </c>
      <c r="E500" s="0" t="s">
        <v>1708</v>
      </c>
      <c r="F500" s="16">
        <f>HYPERLINK("https://eosportal.federatedhermes.com/engagements/RW5nYWdlbWVudAppMjA3MzM=", "Sustainable Living Plan")</f>
      </c>
      <c r="G500" s="14" t="s">
        <v>291</v>
      </c>
      <c r="H500" s="0" t="s">
        <v>141</v>
      </c>
      <c r="I500" s="14" t="s">
        <v>636</v>
      </c>
      <c r="J500" s="0" t="s">
        <v>153</v>
      </c>
      <c r="K500" s="0" t="s">
        <v>154</v>
      </c>
      <c r="L500" s="0" t="s">
        <v>306</v>
      </c>
      <c r="M500" s="0" t="s">
        <v>272</v>
      </c>
      <c r="N500" s="0" t="s">
        <v>273</v>
      </c>
      <c r="O500" s="0" t="s">
        <v>332</v>
      </c>
      <c r="Q500" s="0" t="s">
        <v>130</v>
      </c>
      <c r="R500" s="0" t="s">
        <v>138</v>
      </c>
      <c r="S500" s="14">
        <v>0</v>
      </c>
      <c r="T500" s="0" t="s">
        <v>181</v>
      </c>
      <c r="U500" s="0" t="s">
        <v>138</v>
      </c>
      <c r="V500" s="14" t="s">
        <v>138</v>
      </c>
      <c r="W500" s="0" t="s">
        <v>138</v>
      </c>
      <c r="X500" s="14" t="s">
        <v>138</v>
      </c>
      <c r="Y500" s="0" t="s">
        <v>138</v>
      </c>
      <c r="Z500" s="14" t="s">
        <v>138</v>
      </c>
      <c r="AA500" s="0" t="s">
        <v>138</v>
      </c>
      <c r="AB500" s="14" t="s">
        <v>138</v>
      </c>
      <c r="AD500" s="0" t="s">
        <v>138</v>
      </c>
      <c r="AF500" s="0">
        <v>0</v>
      </c>
      <c r="AG500" s="0">
        <v>0</v>
      </c>
      <c r="AH500" s="0" t="s">
        <v>140</v>
      </c>
      <c r="AI500" s="0" t="s">
        <v>138</v>
      </c>
      <c r="AL500" s="14"/>
      <c r="AN500" s="14"/>
      <c r="AQ500" s="0" t="s">
        <v>130</v>
      </c>
      <c r="AR500" s="0" t="s">
        <v>130</v>
      </c>
      <c r="AS500" s="0" t="s">
        <v>130</v>
      </c>
      <c r="AT500" s="0" t="s">
        <v>130</v>
      </c>
      <c r="AU500" s="0" t="s">
        <v>130</v>
      </c>
      <c r="AV500" s="0" t="s">
        <v>130</v>
      </c>
      <c r="AW500" s="0" t="s">
        <v>130</v>
      </c>
      <c r="AX500" s="0" t="s">
        <v>130</v>
      </c>
      <c r="AY500" s="0" t="s">
        <v>130</v>
      </c>
      <c r="AZ500" s="0" t="s">
        <v>130</v>
      </c>
      <c r="BA500" s="0" t="s">
        <v>130</v>
      </c>
      <c r="BB500" s="0" t="s">
        <v>130</v>
      </c>
      <c r="BC500" s="0" t="s">
        <v>130</v>
      </c>
      <c r="BD500" s="0" t="s">
        <v>130</v>
      </c>
      <c r="BE500" s="0" t="s">
        <v>130</v>
      </c>
      <c r="BF500" s="0" t="s">
        <v>130</v>
      </c>
      <c r="BG500" s="0" t="s">
        <v>130</v>
      </c>
      <c r="BH500" s="0" t="s">
        <v>130</v>
      </c>
      <c r="BI500" s="0" t="s">
        <v>130</v>
      </c>
      <c r="BJ500" s="0" t="s">
        <v>130</v>
      </c>
      <c r="BK500" s="0" t="s">
        <v>130</v>
      </c>
      <c r="BL500" s="0" t="s">
        <v>130</v>
      </c>
      <c r="BM500" s="0" t="s">
        <v>130</v>
      </c>
      <c r="BN500" s="0" t="s">
        <v>130</v>
      </c>
      <c r="BO500" s="0" t="s">
        <v>130</v>
      </c>
      <c r="BP500" s="0" t="s">
        <v>130</v>
      </c>
      <c r="BQ500" s="0" t="s">
        <v>130</v>
      </c>
      <c r="BR500" s="0" t="s">
        <v>130</v>
      </c>
      <c r="BS500" s="0" t="s">
        <v>130</v>
      </c>
      <c r="BT500" s="0" t="s">
        <v>130</v>
      </c>
      <c r="BU500" s="0" t="s">
        <v>130</v>
      </c>
      <c r="BV500" s="0" t="s">
        <v>130</v>
      </c>
      <c r="BW500" s="0" t="s">
        <v>130</v>
      </c>
      <c r="BX500" s="0" t="s">
        <v>130</v>
      </c>
      <c r="BY500" s="0" t="s">
        <v>130</v>
      </c>
      <c r="BZ500" s="0" t="s">
        <v>130</v>
      </c>
      <c r="CA500" s="0" t="s">
        <v>130</v>
      </c>
      <c r="CB500" s="0" t="s">
        <v>130</v>
      </c>
      <c r="CC500" s="0" t="s">
        <v>130</v>
      </c>
      <c r="CD500" s="0" t="s">
        <v>130</v>
      </c>
      <c r="CE500" s="0" t="s">
        <v>130</v>
      </c>
      <c r="CF500" s="0" t="s">
        <v>130</v>
      </c>
      <c r="CG500" s="0" t="s">
        <v>130</v>
      </c>
      <c r="CH500" s="0" t="s">
        <v>130</v>
      </c>
      <c r="CI500" s="0" t="s">
        <v>130</v>
      </c>
      <c r="CJ500" s="0" t="s">
        <v>130</v>
      </c>
      <c r="CK500" s="0" t="s">
        <v>130</v>
      </c>
      <c r="CL500" s="0" t="s">
        <v>130</v>
      </c>
      <c r="CM500" s="0" t="s">
        <v>130</v>
      </c>
      <c r="CN500" s="0" t="s">
        <v>130</v>
      </c>
      <c r="CO500" s="0" t="s">
        <v>130</v>
      </c>
      <c r="CP500" s="0" t="s">
        <v>130</v>
      </c>
      <c r="CQ500" s="0" t="s">
        <v>130</v>
      </c>
      <c r="CR500" s="0" t="s">
        <v>130</v>
      </c>
      <c r="CS500" s="0" t="s">
        <v>130</v>
      </c>
      <c r="CT500" s="0" t="s">
        <v>1709</v>
      </c>
    </row>
    <row r="501">
      <c r="A501" s="14">
        <v>101534</v>
      </c>
      <c r="B501" s="0" t="s">
        <v>1699</v>
      </c>
      <c r="C501" s="16">
        <f>HYPERLINK("https://eosportal.federatedhermes.com/companies/Q29tcGFueQppNjM1OTI=", "Unilever PLC")</f>
      </c>
      <c r="D501" s="0" t="s">
        <v>25</v>
      </c>
      <c r="E501" s="0" t="s">
        <v>652</v>
      </c>
      <c r="F501" s="16">
        <f>HYPERLINK("https://eosportal.federatedhermes.com/engagements/RW5nYWdlbWVudAppMjA3MzQ=", "Protein diversification")</f>
      </c>
      <c r="G501" s="14" t="s">
        <v>653</v>
      </c>
      <c r="H501" s="0" t="s">
        <v>141</v>
      </c>
      <c r="I501" s="14" t="s">
        <v>636</v>
      </c>
      <c r="J501" s="0" t="s">
        <v>197</v>
      </c>
      <c r="K501" s="0" t="s">
        <v>337</v>
      </c>
      <c r="L501" s="0" t="s">
        <v>576</v>
      </c>
      <c r="M501" s="0" t="s">
        <v>272</v>
      </c>
      <c r="N501" s="0" t="s">
        <v>273</v>
      </c>
      <c r="O501" s="0" t="s">
        <v>332</v>
      </c>
      <c r="Q501" s="0" t="s">
        <v>130</v>
      </c>
      <c r="R501" s="0" t="s">
        <v>138</v>
      </c>
      <c r="S501" s="14">
        <v>0</v>
      </c>
      <c r="T501" s="0" t="s">
        <v>333</v>
      </c>
      <c r="U501" s="0" t="s">
        <v>138</v>
      </c>
      <c r="V501" s="14" t="s">
        <v>138</v>
      </c>
      <c r="W501" s="0" t="s">
        <v>138</v>
      </c>
      <c r="X501" s="14" t="s">
        <v>138</v>
      </c>
      <c r="Y501" s="0" t="s">
        <v>138</v>
      </c>
      <c r="Z501" s="14" t="s">
        <v>138</v>
      </c>
      <c r="AA501" s="0" t="s">
        <v>138</v>
      </c>
      <c r="AB501" s="14" t="s">
        <v>138</v>
      </c>
      <c r="AD501" s="0" t="s">
        <v>138</v>
      </c>
      <c r="AF501" s="0">
        <v>0</v>
      </c>
      <c r="AG501" s="0">
        <v>0</v>
      </c>
      <c r="AH501" s="0" t="s">
        <v>140</v>
      </c>
      <c r="AI501" s="0" t="s">
        <v>138</v>
      </c>
      <c r="AL501" s="14"/>
      <c r="AN501" s="14"/>
      <c r="AQ501" s="0" t="s">
        <v>130</v>
      </c>
      <c r="AR501" s="0" t="s">
        <v>141</v>
      </c>
      <c r="AS501" s="0" t="s">
        <v>130</v>
      </c>
      <c r="AT501" s="0" t="s">
        <v>130</v>
      </c>
      <c r="AU501" s="0" t="s">
        <v>130</v>
      </c>
      <c r="AV501" s="0" t="s">
        <v>130</v>
      </c>
      <c r="AW501" s="0" t="s">
        <v>130</v>
      </c>
      <c r="AX501" s="0" t="s">
        <v>130</v>
      </c>
      <c r="AY501" s="0" t="s">
        <v>130</v>
      </c>
      <c r="AZ501" s="0" t="s">
        <v>130</v>
      </c>
      <c r="BA501" s="0" t="s">
        <v>130</v>
      </c>
      <c r="BB501" s="0" t="s">
        <v>141</v>
      </c>
      <c r="BC501" s="0" t="s">
        <v>130</v>
      </c>
      <c r="BD501" s="0" t="s">
        <v>130</v>
      </c>
      <c r="BE501" s="0" t="s">
        <v>141</v>
      </c>
      <c r="BF501" s="0" t="s">
        <v>130</v>
      </c>
      <c r="BG501" s="0" t="s">
        <v>130</v>
      </c>
      <c r="BH501" s="0" t="s">
        <v>130</v>
      </c>
      <c r="BI501" s="0" t="s">
        <v>130</v>
      </c>
      <c r="BJ501" s="0" t="s">
        <v>130</v>
      </c>
      <c r="BK501" s="0" t="s">
        <v>130</v>
      </c>
      <c r="BL501" s="0" t="s">
        <v>130</v>
      </c>
      <c r="BM501" s="0" t="s">
        <v>130</v>
      </c>
      <c r="BN501" s="0" t="s">
        <v>130</v>
      </c>
      <c r="BO501" s="0" t="s">
        <v>130</v>
      </c>
      <c r="BP501" s="0" t="s">
        <v>130</v>
      </c>
      <c r="BQ501" s="0" t="s">
        <v>130</v>
      </c>
      <c r="BR501" s="0" t="s">
        <v>130</v>
      </c>
      <c r="BS501" s="0" t="s">
        <v>130</v>
      </c>
      <c r="BT501" s="0" t="s">
        <v>130</v>
      </c>
      <c r="BU501" s="0" t="s">
        <v>130</v>
      </c>
      <c r="BV501" s="0" t="s">
        <v>130</v>
      </c>
      <c r="BW501" s="0" t="s">
        <v>130</v>
      </c>
      <c r="BX501" s="0" t="s">
        <v>130</v>
      </c>
      <c r="BY501" s="0" t="s">
        <v>130</v>
      </c>
      <c r="BZ501" s="0" t="s">
        <v>130</v>
      </c>
      <c r="CA501" s="0" t="s">
        <v>130</v>
      </c>
      <c r="CB501" s="0" t="s">
        <v>130</v>
      </c>
      <c r="CC501" s="0" t="s">
        <v>130</v>
      </c>
      <c r="CD501" s="0" t="s">
        <v>130</v>
      </c>
      <c r="CE501" s="0" t="s">
        <v>130</v>
      </c>
      <c r="CF501" s="0" t="s">
        <v>130</v>
      </c>
      <c r="CG501" s="0" t="s">
        <v>130</v>
      </c>
      <c r="CH501" s="0" t="s">
        <v>130</v>
      </c>
      <c r="CI501" s="0" t="s">
        <v>130</v>
      </c>
      <c r="CJ501" s="0" t="s">
        <v>130</v>
      </c>
      <c r="CK501" s="0" t="s">
        <v>130</v>
      </c>
      <c r="CL501" s="0" t="s">
        <v>130</v>
      </c>
      <c r="CM501" s="0" t="s">
        <v>130</v>
      </c>
      <c r="CN501" s="0" t="s">
        <v>130</v>
      </c>
      <c r="CO501" s="0" t="s">
        <v>130</v>
      </c>
      <c r="CP501" s="0" t="s">
        <v>130</v>
      </c>
      <c r="CQ501" s="0" t="s">
        <v>130</v>
      </c>
      <c r="CR501" s="0" t="s">
        <v>130</v>
      </c>
      <c r="CS501" s="0" t="s">
        <v>130</v>
      </c>
      <c r="CT501" s="0" t="s">
        <v>1710</v>
      </c>
    </row>
    <row r="502">
      <c r="A502" s="14">
        <v>101534</v>
      </c>
      <c r="B502" s="0" t="s">
        <v>1699</v>
      </c>
      <c r="C502" s="16">
        <f>HYPERLINK("https://eosportal.federatedhermes.com/companies/Q29tcGFueQppNjM1OTI=", "Unilever PLC")</f>
      </c>
      <c r="D502" s="0" t="s">
        <v>25</v>
      </c>
      <c r="E502" s="0" t="s">
        <v>1711</v>
      </c>
      <c r="F502" s="16">
        <f>HYPERLINK("https://eosportal.federatedhermes.com/engagements/RW5nYWdlbWVudAppMjA3MzU=", "Human rights in Myanmar")</f>
      </c>
      <c r="G502" s="14" t="s">
        <v>1712</v>
      </c>
      <c r="H502" s="0" t="s">
        <v>141</v>
      </c>
      <c r="I502" s="14" t="s">
        <v>636</v>
      </c>
      <c r="J502" s="0" t="s">
        <v>153</v>
      </c>
      <c r="K502" s="0" t="s">
        <v>243</v>
      </c>
      <c r="L502" s="0" t="s">
        <v>456</v>
      </c>
      <c r="M502" s="0" t="s">
        <v>272</v>
      </c>
      <c r="N502" s="0" t="s">
        <v>273</v>
      </c>
      <c r="O502" s="0" t="s">
        <v>332</v>
      </c>
      <c r="Q502" s="0" t="s">
        <v>130</v>
      </c>
      <c r="R502" s="0" t="s">
        <v>138</v>
      </c>
      <c r="S502" s="14">
        <v>0</v>
      </c>
      <c r="T502" s="0" t="s">
        <v>327</v>
      </c>
      <c r="U502" s="0" t="s">
        <v>138</v>
      </c>
      <c r="V502" s="14" t="s">
        <v>138</v>
      </c>
      <c r="W502" s="0" t="s">
        <v>138</v>
      </c>
      <c r="X502" s="14" t="s">
        <v>138</v>
      </c>
      <c r="Y502" s="0" t="s">
        <v>138</v>
      </c>
      <c r="Z502" s="14" t="s">
        <v>138</v>
      </c>
      <c r="AA502" s="0" t="s">
        <v>138</v>
      </c>
      <c r="AB502" s="14" t="s">
        <v>138</v>
      </c>
      <c r="AD502" s="0" t="s">
        <v>138</v>
      </c>
      <c r="AF502" s="0">
        <v>0</v>
      </c>
      <c r="AG502" s="0">
        <v>0</v>
      </c>
      <c r="AH502" s="0" t="s">
        <v>140</v>
      </c>
      <c r="AI502" s="0" t="s">
        <v>138</v>
      </c>
      <c r="AL502" s="14"/>
      <c r="AN502" s="14"/>
      <c r="AQ502" s="0" t="s">
        <v>130</v>
      </c>
      <c r="AR502" s="0" t="s">
        <v>130</v>
      </c>
      <c r="AS502" s="0" t="s">
        <v>130</v>
      </c>
      <c r="AT502" s="0" t="s">
        <v>130</v>
      </c>
      <c r="AU502" s="0" t="s">
        <v>130</v>
      </c>
      <c r="AV502" s="0" t="s">
        <v>130</v>
      </c>
      <c r="AW502" s="0" t="s">
        <v>130</v>
      </c>
      <c r="AX502" s="0" t="s">
        <v>130</v>
      </c>
      <c r="AY502" s="0" t="s">
        <v>130</v>
      </c>
      <c r="AZ502" s="0" t="s">
        <v>141</v>
      </c>
      <c r="BA502" s="0" t="s">
        <v>130</v>
      </c>
      <c r="BB502" s="0" t="s">
        <v>141</v>
      </c>
      <c r="BC502" s="0" t="s">
        <v>130</v>
      </c>
      <c r="BD502" s="0" t="s">
        <v>130</v>
      </c>
      <c r="BE502" s="0" t="s">
        <v>130</v>
      </c>
      <c r="BF502" s="0" t="s">
        <v>141</v>
      </c>
      <c r="BG502" s="0" t="s">
        <v>130</v>
      </c>
      <c r="BH502" s="0" t="s">
        <v>130</v>
      </c>
      <c r="BI502" s="0" t="s">
        <v>130</v>
      </c>
      <c r="BJ502" s="0" t="s">
        <v>130</v>
      </c>
      <c r="BK502" s="0" t="s">
        <v>130</v>
      </c>
      <c r="BL502" s="0" t="s">
        <v>130</v>
      </c>
      <c r="BM502" s="0" t="s">
        <v>130</v>
      </c>
      <c r="BN502" s="0" t="s">
        <v>130</v>
      </c>
      <c r="BO502" s="0" t="s">
        <v>130</v>
      </c>
      <c r="BP502" s="0" t="s">
        <v>130</v>
      </c>
      <c r="BQ502" s="0" t="s">
        <v>130</v>
      </c>
      <c r="BR502" s="0" t="s">
        <v>130</v>
      </c>
      <c r="BS502" s="0" t="s">
        <v>130</v>
      </c>
      <c r="BT502" s="0" t="s">
        <v>130</v>
      </c>
      <c r="BU502" s="0" t="s">
        <v>130</v>
      </c>
      <c r="BV502" s="0" t="s">
        <v>130</v>
      </c>
      <c r="BW502" s="0" t="s">
        <v>130</v>
      </c>
      <c r="BX502" s="0" t="s">
        <v>130</v>
      </c>
      <c r="BY502" s="0" t="s">
        <v>130</v>
      </c>
      <c r="BZ502" s="0" t="s">
        <v>130</v>
      </c>
      <c r="CA502" s="0" t="s">
        <v>130</v>
      </c>
      <c r="CB502" s="0" t="s">
        <v>130</v>
      </c>
      <c r="CC502" s="0" t="s">
        <v>130</v>
      </c>
      <c r="CD502" s="0" t="s">
        <v>130</v>
      </c>
      <c r="CE502" s="0" t="s">
        <v>130</v>
      </c>
      <c r="CF502" s="0" t="s">
        <v>130</v>
      </c>
      <c r="CG502" s="0" t="s">
        <v>130</v>
      </c>
      <c r="CH502" s="0" t="s">
        <v>130</v>
      </c>
      <c r="CI502" s="0" t="s">
        <v>130</v>
      </c>
      <c r="CJ502" s="0" t="s">
        <v>130</v>
      </c>
      <c r="CK502" s="0" t="s">
        <v>130</v>
      </c>
      <c r="CL502" s="0" t="s">
        <v>130</v>
      </c>
      <c r="CM502" s="0" t="s">
        <v>130</v>
      </c>
      <c r="CN502" s="0" t="s">
        <v>130</v>
      </c>
      <c r="CO502" s="0" t="s">
        <v>130</v>
      </c>
      <c r="CP502" s="0" t="s">
        <v>130</v>
      </c>
      <c r="CQ502" s="0" t="s">
        <v>130</v>
      </c>
      <c r="CR502" s="0" t="s">
        <v>130</v>
      </c>
      <c r="CS502" s="0" t="s">
        <v>130</v>
      </c>
      <c r="CT502" s="0" t="s">
        <v>1713</v>
      </c>
    </row>
    <row r="503">
      <c r="A503" s="14">
        <v>101534</v>
      </c>
      <c r="B503" s="0" t="s">
        <v>1699</v>
      </c>
      <c r="C503" s="16">
        <f>HYPERLINK("https://eosportal.federatedhermes.com/companies/Q29tcGFueQppNjM1OTI=", "Unilever PLC")</f>
      </c>
      <c r="D503" s="0" t="s">
        <v>25</v>
      </c>
      <c r="E503" s="0" t="s">
        <v>1714</v>
      </c>
      <c r="F503" s="16">
        <f>HYPERLINK("https://eosportal.federatedhermes.com/engagements/RW5nYWdlbWVudAppMjA3Mzg=", "Living wage strategy")</f>
      </c>
      <c r="G503" s="14" t="s">
        <v>1714</v>
      </c>
      <c r="H503" s="0" t="s">
        <v>141</v>
      </c>
      <c r="I503" s="14" t="s">
        <v>636</v>
      </c>
      <c r="J503" s="0" t="s">
        <v>153</v>
      </c>
      <c r="K503" s="0" t="s">
        <v>154</v>
      </c>
      <c r="L503" s="0" t="s">
        <v>306</v>
      </c>
      <c r="M503" s="0" t="s">
        <v>272</v>
      </c>
      <c r="N503" s="0" t="s">
        <v>273</v>
      </c>
      <c r="O503" s="0" t="s">
        <v>332</v>
      </c>
      <c r="Q503" s="0" t="s">
        <v>130</v>
      </c>
      <c r="R503" s="0" t="s">
        <v>138</v>
      </c>
      <c r="S503" s="14">
        <v>0</v>
      </c>
      <c r="T503" s="0" t="s">
        <v>416</v>
      </c>
      <c r="U503" s="0" t="s">
        <v>138</v>
      </c>
      <c r="V503" s="14" t="s">
        <v>138</v>
      </c>
      <c r="W503" s="0" t="s">
        <v>138</v>
      </c>
      <c r="X503" s="14" t="s">
        <v>138</v>
      </c>
      <c r="Y503" s="0" t="s">
        <v>138</v>
      </c>
      <c r="Z503" s="14" t="s">
        <v>138</v>
      </c>
      <c r="AA503" s="0" t="s">
        <v>138</v>
      </c>
      <c r="AB503" s="14" t="s">
        <v>138</v>
      </c>
      <c r="AD503" s="0" t="s">
        <v>138</v>
      </c>
      <c r="AF503" s="0">
        <v>0</v>
      </c>
      <c r="AG503" s="0">
        <v>0</v>
      </c>
      <c r="AH503" s="0" t="s">
        <v>140</v>
      </c>
      <c r="AI503" s="0" t="s">
        <v>138</v>
      </c>
      <c r="AL503" s="14"/>
      <c r="AN503" s="14"/>
      <c r="AQ503" s="0" t="s">
        <v>141</v>
      </c>
      <c r="AR503" s="0" t="s">
        <v>130</v>
      </c>
      <c r="AS503" s="0" t="s">
        <v>130</v>
      </c>
      <c r="AT503" s="0" t="s">
        <v>130</v>
      </c>
      <c r="AU503" s="0" t="s">
        <v>130</v>
      </c>
      <c r="AV503" s="0" t="s">
        <v>130</v>
      </c>
      <c r="AW503" s="0" t="s">
        <v>130</v>
      </c>
      <c r="AX503" s="0" t="s">
        <v>141</v>
      </c>
      <c r="AY503" s="0" t="s">
        <v>130</v>
      </c>
      <c r="AZ503" s="0" t="s">
        <v>141</v>
      </c>
      <c r="BA503" s="0" t="s">
        <v>130</v>
      </c>
      <c r="BB503" s="0" t="s">
        <v>130</v>
      </c>
      <c r="BC503" s="0" t="s">
        <v>130</v>
      </c>
      <c r="BD503" s="0" t="s">
        <v>130</v>
      </c>
      <c r="BE503" s="0" t="s">
        <v>130</v>
      </c>
      <c r="BF503" s="0" t="s">
        <v>130</v>
      </c>
      <c r="BG503" s="0" t="s">
        <v>130</v>
      </c>
      <c r="BH503" s="0" t="s">
        <v>130</v>
      </c>
      <c r="BI503" s="0" t="s">
        <v>130</v>
      </c>
      <c r="BJ503" s="0" t="s">
        <v>130</v>
      </c>
      <c r="BK503" s="0" t="s">
        <v>130</v>
      </c>
      <c r="BL503" s="0" t="s">
        <v>130</v>
      </c>
      <c r="BM503" s="0" t="s">
        <v>130</v>
      </c>
      <c r="BN503" s="0" t="s">
        <v>130</v>
      </c>
      <c r="BO503" s="0" t="s">
        <v>130</v>
      </c>
      <c r="BP503" s="0" t="s">
        <v>130</v>
      </c>
      <c r="BQ503" s="0" t="s">
        <v>130</v>
      </c>
      <c r="BR503" s="0" t="s">
        <v>130</v>
      </c>
      <c r="BS503" s="0" t="s">
        <v>130</v>
      </c>
      <c r="BT503" s="0" t="s">
        <v>130</v>
      </c>
      <c r="BU503" s="0" t="s">
        <v>130</v>
      </c>
      <c r="BV503" s="0" t="s">
        <v>130</v>
      </c>
      <c r="BW503" s="0" t="s">
        <v>130</v>
      </c>
      <c r="BX503" s="0" t="s">
        <v>130</v>
      </c>
      <c r="BY503" s="0" t="s">
        <v>130</v>
      </c>
      <c r="BZ503" s="0" t="s">
        <v>130</v>
      </c>
      <c r="CA503" s="0" t="s">
        <v>130</v>
      </c>
      <c r="CB503" s="0" t="s">
        <v>130</v>
      </c>
      <c r="CC503" s="0" t="s">
        <v>130</v>
      </c>
      <c r="CD503" s="0" t="s">
        <v>130</v>
      </c>
      <c r="CE503" s="0" t="s">
        <v>130</v>
      </c>
      <c r="CF503" s="0" t="s">
        <v>130</v>
      </c>
      <c r="CG503" s="0" t="s">
        <v>130</v>
      </c>
      <c r="CH503" s="0" t="s">
        <v>130</v>
      </c>
      <c r="CI503" s="0" t="s">
        <v>130</v>
      </c>
      <c r="CJ503" s="0" t="s">
        <v>130</v>
      </c>
      <c r="CK503" s="0" t="s">
        <v>130</v>
      </c>
      <c r="CL503" s="0" t="s">
        <v>130</v>
      </c>
      <c r="CM503" s="0" t="s">
        <v>130</v>
      </c>
      <c r="CN503" s="0" t="s">
        <v>130</v>
      </c>
      <c r="CO503" s="0" t="s">
        <v>130</v>
      </c>
      <c r="CP503" s="0" t="s">
        <v>130</v>
      </c>
      <c r="CQ503" s="0" t="s">
        <v>130</v>
      </c>
      <c r="CR503" s="0" t="s">
        <v>130</v>
      </c>
      <c r="CS503" s="0" t="s">
        <v>130</v>
      </c>
      <c r="CT503" s="0" t="s">
        <v>1715</v>
      </c>
    </row>
    <row r="504">
      <c r="A504" s="14">
        <v>101534</v>
      </c>
      <c r="B504" s="0" t="s">
        <v>1699</v>
      </c>
      <c r="C504" s="16">
        <f>HYPERLINK("https://eosportal.federatedhermes.com/companies/Q29tcGFueQppNjM1OTI=", "Unilever PLC")</f>
      </c>
      <c r="D504" s="0" t="s">
        <v>25</v>
      </c>
      <c r="E504" s="0" t="s">
        <v>276</v>
      </c>
      <c r="F504" s="16">
        <f>HYPERLINK("https://eosportal.federatedhermes.com/engagements/RW5nYWdlbWVudAppMjA3Mzk=", "Succession planning")</f>
      </c>
      <c r="G504" s="14" t="s">
        <v>291</v>
      </c>
      <c r="H504" s="0" t="s">
        <v>141</v>
      </c>
      <c r="I504" s="14" t="s">
        <v>636</v>
      </c>
      <c r="J504" s="0" t="s">
        <v>145</v>
      </c>
      <c r="K504" s="0" t="s">
        <v>164</v>
      </c>
      <c r="L504" s="0" t="s">
        <v>277</v>
      </c>
      <c r="M504" s="0" t="s">
        <v>272</v>
      </c>
      <c r="N504" s="0" t="s">
        <v>273</v>
      </c>
      <c r="O504" s="0" t="s">
        <v>332</v>
      </c>
      <c r="Q504" s="0" t="s">
        <v>130</v>
      </c>
      <c r="R504" s="0" t="s">
        <v>138</v>
      </c>
      <c r="S504" s="14">
        <v>0</v>
      </c>
      <c r="T504" s="0" t="s">
        <v>299</v>
      </c>
      <c r="U504" s="0" t="s">
        <v>138</v>
      </c>
      <c r="V504" s="14" t="s">
        <v>138</v>
      </c>
      <c r="W504" s="0" t="s">
        <v>138</v>
      </c>
      <c r="X504" s="14" t="s">
        <v>138</v>
      </c>
      <c r="Y504" s="0" t="s">
        <v>138</v>
      </c>
      <c r="Z504" s="14" t="s">
        <v>138</v>
      </c>
      <c r="AA504" s="0" t="s">
        <v>138</v>
      </c>
      <c r="AB504" s="14" t="s">
        <v>138</v>
      </c>
      <c r="AD504" s="0" t="s">
        <v>138</v>
      </c>
      <c r="AF504" s="0">
        <v>0</v>
      </c>
      <c r="AG504" s="0">
        <v>0</v>
      </c>
      <c r="AH504" s="0" t="s">
        <v>140</v>
      </c>
      <c r="AI504" s="0" t="s">
        <v>138</v>
      </c>
      <c r="AL504" s="14"/>
      <c r="AN504" s="14"/>
      <c r="AQ504" s="0" t="s">
        <v>130</v>
      </c>
      <c r="AR504" s="0" t="s">
        <v>130</v>
      </c>
      <c r="AS504" s="0" t="s">
        <v>130</v>
      </c>
      <c r="AT504" s="0" t="s">
        <v>130</v>
      </c>
      <c r="AU504" s="0" t="s">
        <v>130</v>
      </c>
      <c r="AV504" s="0" t="s">
        <v>130</v>
      </c>
      <c r="AW504" s="0" t="s">
        <v>130</v>
      </c>
      <c r="AX504" s="0" t="s">
        <v>130</v>
      </c>
      <c r="AY504" s="0" t="s">
        <v>130</v>
      </c>
      <c r="AZ504" s="0" t="s">
        <v>130</v>
      </c>
      <c r="BA504" s="0" t="s">
        <v>130</v>
      </c>
      <c r="BB504" s="0" t="s">
        <v>130</v>
      </c>
      <c r="BC504" s="0" t="s">
        <v>130</v>
      </c>
      <c r="BD504" s="0" t="s">
        <v>130</v>
      </c>
      <c r="BE504" s="0" t="s">
        <v>130</v>
      </c>
      <c r="BF504" s="0" t="s">
        <v>130</v>
      </c>
      <c r="BG504" s="0" t="s">
        <v>130</v>
      </c>
      <c r="BH504" s="0" t="s">
        <v>130</v>
      </c>
      <c r="BI504" s="0" t="s">
        <v>130</v>
      </c>
      <c r="BJ504" s="0" t="s">
        <v>130</v>
      </c>
      <c r="BK504" s="0" t="s">
        <v>130</v>
      </c>
      <c r="BL504" s="0" t="s">
        <v>130</v>
      </c>
      <c r="BM504" s="0" t="s">
        <v>130</v>
      </c>
      <c r="BN504" s="0" t="s">
        <v>130</v>
      </c>
      <c r="BO504" s="0" t="s">
        <v>130</v>
      </c>
      <c r="BP504" s="0" t="s">
        <v>130</v>
      </c>
      <c r="BQ504" s="0" t="s">
        <v>130</v>
      </c>
      <c r="BR504" s="0" t="s">
        <v>130</v>
      </c>
      <c r="BS504" s="0" t="s">
        <v>130</v>
      </c>
      <c r="BT504" s="0" t="s">
        <v>130</v>
      </c>
      <c r="BU504" s="0" t="s">
        <v>130</v>
      </c>
      <c r="BV504" s="0" t="s">
        <v>130</v>
      </c>
      <c r="BW504" s="0" t="s">
        <v>130</v>
      </c>
      <c r="BX504" s="0" t="s">
        <v>130</v>
      </c>
      <c r="BY504" s="0" t="s">
        <v>130</v>
      </c>
      <c r="BZ504" s="0" t="s">
        <v>130</v>
      </c>
      <c r="CA504" s="0" t="s">
        <v>130</v>
      </c>
      <c r="CB504" s="0" t="s">
        <v>130</v>
      </c>
      <c r="CC504" s="0" t="s">
        <v>130</v>
      </c>
      <c r="CD504" s="0" t="s">
        <v>130</v>
      </c>
      <c r="CE504" s="0" t="s">
        <v>130</v>
      </c>
      <c r="CF504" s="0" t="s">
        <v>130</v>
      </c>
      <c r="CG504" s="0" t="s">
        <v>130</v>
      </c>
      <c r="CH504" s="0" t="s">
        <v>130</v>
      </c>
      <c r="CI504" s="0" t="s">
        <v>130</v>
      </c>
      <c r="CJ504" s="0" t="s">
        <v>130</v>
      </c>
      <c r="CK504" s="0" t="s">
        <v>130</v>
      </c>
      <c r="CL504" s="0" t="s">
        <v>130</v>
      </c>
      <c r="CM504" s="0" t="s">
        <v>130</v>
      </c>
      <c r="CN504" s="0" t="s">
        <v>130</v>
      </c>
      <c r="CO504" s="0" t="s">
        <v>130</v>
      </c>
      <c r="CP504" s="0" t="s">
        <v>130</v>
      </c>
      <c r="CQ504" s="0" t="s">
        <v>130</v>
      </c>
      <c r="CR504" s="0" t="s">
        <v>130</v>
      </c>
      <c r="CS504" s="0" t="s">
        <v>130</v>
      </c>
      <c r="CT504" s="0" t="s">
        <v>1716</v>
      </c>
    </row>
    <row r="505">
      <c r="A505" s="14">
        <v>101534</v>
      </c>
      <c r="B505" s="0" t="s">
        <v>1699</v>
      </c>
      <c r="C505" s="16">
        <f>HYPERLINK("https://eosportal.federatedhermes.com/companies/Q29tcGFueQppNjM1OTI=", "Unilever PLC")</f>
      </c>
      <c r="D505" s="0" t="s">
        <v>25</v>
      </c>
      <c r="E505" s="0" t="s">
        <v>1717</v>
      </c>
      <c r="F505" s="16">
        <f>HYPERLINK("https://eosportal.federatedhermes.com/engagements/RW5nYWdlbWVudAppMjA3NDA=", "Access to nutrition")</f>
      </c>
      <c r="G505" s="14" t="s">
        <v>1067</v>
      </c>
      <c r="H505" s="0" t="s">
        <v>141</v>
      </c>
      <c r="I505" s="14" t="s">
        <v>636</v>
      </c>
      <c r="J505" s="0" t="s">
        <v>153</v>
      </c>
      <c r="K505" s="0" t="s">
        <v>243</v>
      </c>
      <c r="L505" s="0" t="s">
        <v>292</v>
      </c>
      <c r="M505" s="0" t="s">
        <v>272</v>
      </c>
      <c r="N505" s="0" t="s">
        <v>273</v>
      </c>
      <c r="O505" s="0" t="s">
        <v>332</v>
      </c>
      <c r="Q505" s="0" t="s">
        <v>141</v>
      </c>
      <c r="R505" s="0" t="s">
        <v>138</v>
      </c>
      <c r="S505" s="14">
        <v>1</v>
      </c>
      <c r="T505" s="0" t="s">
        <v>333</v>
      </c>
      <c r="U505" s="0" t="s">
        <v>138</v>
      </c>
      <c r="V505" s="14" t="s">
        <v>138</v>
      </c>
      <c r="W505" s="0" t="s">
        <v>138</v>
      </c>
      <c r="X505" s="14" t="s">
        <v>138</v>
      </c>
      <c r="Y505" s="0" t="s">
        <v>138</v>
      </c>
      <c r="Z505" s="14" t="s">
        <v>138</v>
      </c>
      <c r="AA505" s="0" t="s">
        <v>138</v>
      </c>
      <c r="AB505" s="14" t="s">
        <v>138</v>
      </c>
      <c r="AD505" s="0" t="s">
        <v>138</v>
      </c>
      <c r="AF505" s="0">
        <v>0</v>
      </c>
      <c r="AG505" s="0">
        <v>0</v>
      </c>
      <c r="AH505" s="0" t="s">
        <v>140</v>
      </c>
      <c r="AI505" s="0" t="s">
        <v>138</v>
      </c>
      <c r="AK505" s="0" t="s">
        <v>253</v>
      </c>
      <c r="AL505" s="14"/>
      <c r="AN505" s="14"/>
      <c r="AQ505" s="0" t="s">
        <v>130</v>
      </c>
      <c r="AR505" s="0" t="s">
        <v>141</v>
      </c>
      <c r="AS505" s="0" t="s">
        <v>141</v>
      </c>
      <c r="AT505" s="0" t="s">
        <v>130</v>
      </c>
      <c r="AU505" s="0" t="s">
        <v>130</v>
      </c>
      <c r="AV505" s="0" t="s">
        <v>130</v>
      </c>
      <c r="AW505" s="0" t="s">
        <v>130</v>
      </c>
      <c r="AX505" s="0" t="s">
        <v>130</v>
      </c>
      <c r="AY505" s="0" t="s">
        <v>130</v>
      </c>
      <c r="AZ505" s="0" t="s">
        <v>130</v>
      </c>
      <c r="BA505" s="0" t="s">
        <v>130</v>
      </c>
      <c r="BB505" s="0" t="s">
        <v>130</v>
      </c>
      <c r="BC505" s="0" t="s">
        <v>130</v>
      </c>
      <c r="BD505" s="0" t="s">
        <v>130</v>
      </c>
      <c r="BE505" s="0" t="s">
        <v>130</v>
      </c>
      <c r="BF505" s="0" t="s">
        <v>130</v>
      </c>
      <c r="BG505" s="0" t="s">
        <v>130</v>
      </c>
      <c r="BH505" s="0" t="s">
        <v>130</v>
      </c>
      <c r="BI505" s="0" t="s">
        <v>130</v>
      </c>
      <c r="BJ505" s="0" t="s">
        <v>130</v>
      </c>
      <c r="BK505" s="0" t="s">
        <v>130</v>
      </c>
      <c r="BL505" s="0" t="s">
        <v>130</v>
      </c>
      <c r="BM505" s="0" t="s">
        <v>130</v>
      </c>
      <c r="BN505" s="0" t="s">
        <v>130</v>
      </c>
      <c r="BO505" s="0" t="s">
        <v>130</v>
      </c>
      <c r="BP505" s="0" t="s">
        <v>130</v>
      </c>
      <c r="BQ505" s="0" t="s">
        <v>130</v>
      </c>
      <c r="BR505" s="0" t="s">
        <v>130</v>
      </c>
      <c r="BS505" s="0" t="s">
        <v>130</v>
      </c>
      <c r="BT505" s="0" t="s">
        <v>130</v>
      </c>
      <c r="BU505" s="0" t="s">
        <v>130</v>
      </c>
      <c r="BV505" s="0" t="s">
        <v>130</v>
      </c>
      <c r="BW505" s="0" t="s">
        <v>130</v>
      </c>
      <c r="BX505" s="0" t="s">
        <v>130</v>
      </c>
      <c r="BY505" s="0" t="s">
        <v>130</v>
      </c>
      <c r="BZ505" s="0" t="s">
        <v>130</v>
      </c>
      <c r="CA505" s="0" t="s">
        <v>130</v>
      </c>
      <c r="CB505" s="0" t="s">
        <v>130</v>
      </c>
      <c r="CC505" s="0" t="s">
        <v>130</v>
      </c>
      <c r="CD505" s="0" t="s">
        <v>130</v>
      </c>
      <c r="CE505" s="0" t="s">
        <v>130</v>
      </c>
      <c r="CF505" s="0" t="s">
        <v>130</v>
      </c>
      <c r="CG505" s="0" t="s">
        <v>130</v>
      </c>
      <c r="CH505" s="0" t="s">
        <v>130</v>
      </c>
      <c r="CI505" s="0" t="s">
        <v>130</v>
      </c>
      <c r="CJ505" s="0" t="s">
        <v>130</v>
      </c>
      <c r="CK505" s="0" t="s">
        <v>130</v>
      </c>
      <c r="CL505" s="0" t="s">
        <v>130</v>
      </c>
      <c r="CM505" s="0" t="s">
        <v>130</v>
      </c>
      <c r="CN505" s="0" t="s">
        <v>130</v>
      </c>
      <c r="CO505" s="0" t="s">
        <v>130</v>
      </c>
      <c r="CP505" s="0" t="s">
        <v>130</v>
      </c>
      <c r="CQ505" s="0" t="s">
        <v>130</v>
      </c>
      <c r="CR505" s="0" t="s">
        <v>130</v>
      </c>
      <c r="CS505" s="0" t="s">
        <v>130</v>
      </c>
      <c r="CT505" s="0" t="s">
        <v>1718</v>
      </c>
    </row>
    <row r="506">
      <c r="A506" s="14">
        <v>101534</v>
      </c>
      <c r="B506" s="0" t="s">
        <v>1699</v>
      </c>
      <c r="C506" s="16">
        <f>HYPERLINK("https://eosportal.federatedhermes.com/companies/Q29tcGFueQppNjM1OTI=", "Unilever PLC")</f>
      </c>
      <c r="D506" s="0" t="s">
        <v>25</v>
      </c>
      <c r="E506" s="0" t="s">
        <v>298</v>
      </c>
      <c r="F506" s="16">
        <f>HYPERLINK("https://eosportal.federatedhermes.com/engagements/RW5nYWdlbWVudAppMjA3NDE=", "Corporate culture")</f>
      </c>
      <c r="G506" s="14" t="s">
        <v>291</v>
      </c>
      <c r="H506" s="0" t="s">
        <v>141</v>
      </c>
      <c r="I506" s="14" t="s">
        <v>636</v>
      </c>
      <c r="J506" s="0" t="s">
        <v>153</v>
      </c>
      <c r="K506" s="0" t="s">
        <v>185</v>
      </c>
      <c r="L506" s="0" t="s">
        <v>186</v>
      </c>
      <c r="M506" s="0" t="s">
        <v>272</v>
      </c>
      <c r="N506" s="0" t="s">
        <v>273</v>
      </c>
      <c r="O506" s="0" t="s">
        <v>332</v>
      </c>
      <c r="Q506" s="0" t="s">
        <v>130</v>
      </c>
      <c r="R506" s="0" t="s">
        <v>138</v>
      </c>
      <c r="S506" s="14">
        <v>0</v>
      </c>
      <c r="T506" s="0" t="s">
        <v>181</v>
      </c>
      <c r="U506" s="0" t="s">
        <v>138</v>
      </c>
      <c r="V506" s="14" t="s">
        <v>138</v>
      </c>
      <c r="W506" s="0" t="s">
        <v>138</v>
      </c>
      <c r="X506" s="14" t="s">
        <v>138</v>
      </c>
      <c r="Y506" s="0" t="s">
        <v>138</v>
      </c>
      <c r="Z506" s="14" t="s">
        <v>138</v>
      </c>
      <c r="AA506" s="0" t="s">
        <v>138</v>
      </c>
      <c r="AB506" s="14" t="s">
        <v>138</v>
      </c>
      <c r="AD506" s="0" t="s">
        <v>138</v>
      </c>
      <c r="AF506" s="0">
        <v>0</v>
      </c>
      <c r="AG506" s="0">
        <v>0</v>
      </c>
      <c r="AH506" s="0" t="s">
        <v>140</v>
      </c>
      <c r="AI506" s="0" t="s">
        <v>138</v>
      </c>
      <c r="AL506" s="14"/>
      <c r="AN506" s="14"/>
      <c r="AQ506" s="0" t="s">
        <v>130</v>
      </c>
      <c r="AR506" s="0" t="s">
        <v>130</v>
      </c>
      <c r="AS506" s="0" t="s">
        <v>130</v>
      </c>
      <c r="AT506" s="0" t="s">
        <v>130</v>
      </c>
      <c r="AU506" s="0" t="s">
        <v>130</v>
      </c>
      <c r="AV506" s="0" t="s">
        <v>130</v>
      </c>
      <c r="AW506" s="0" t="s">
        <v>130</v>
      </c>
      <c r="AX506" s="0" t="s">
        <v>130</v>
      </c>
      <c r="AY506" s="0" t="s">
        <v>130</v>
      </c>
      <c r="AZ506" s="0" t="s">
        <v>130</v>
      </c>
      <c r="BA506" s="0" t="s">
        <v>130</v>
      </c>
      <c r="BB506" s="0" t="s">
        <v>130</v>
      </c>
      <c r="BC506" s="0" t="s">
        <v>130</v>
      </c>
      <c r="BD506" s="0" t="s">
        <v>130</v>
      </c>
      <c r="BE506" s="0" t="s">
        <v>130</v>
      </c>
      <c r="BF506" s="0" t="s">
        <v>130</v>
      </c>
      <c r="BG506" s="0" t="s">
        <v>130</v>
      </c>
      <c r="BH506" s="0" t="s">
        <v>130</v>
      </c>
      <c r="BI506" s="0" t="s">
        <v>130</v>
      </c>
      <c r="BJ506" s="0" t="s">
        <v>130</v>
      </c>
      <c r="BK506" s="0" t="s">
        <v>130</v>
      </c>
      <c r="BL506" s="0" t="s">
        <v>130</v>
      </c>
      <c r="BM506" s="0" t="s">
        <v>130</v>
      </c>
      <c r="BN506" s="0" t="s">
        <v>130</v>
      </c>
      <c r="BO506" s="0" t="s">
        <v>130</v>
      </c>
      <c r="BP506" s="0" t="s">
        <v>130</v>
      </c>
      <c r="BQ506" s="0" t="s">
        <v>130</v>
      </c>
      <c r="BR506" s="0" t="s">
        <v>130</v>
      </c>
      <c r="BS506" s="0" t="s">
        <v>130</v>
      </c>
      <c r="BT506" s="0" t="s">
        <v>130</v>
      </c>
      <c r="BU506" s="0" t="s">
        <v>130</v>
      </c>
      <c r="BV506" s="0" t="s">
        <v>130</v>
      </c>
      <c r="BW506" s="0" t="s">
        <v>130</v>
      </c>
      <c r="BX506" s="0" t="s">
        <v>130</v>
      </c>
      <c r="BY506" s="0" t="s">
        <v>130</v>
      </c>
      <c r="BZ506" s="0" t="s">
        <v>130</v>
      </c>
      <c r="CA506" s="0" t="s">
        <v>130</v>
      </c>
      <c r="CB506" s="0" t="s">
        <v>130</v>
      </c>
      <c r="CC506" s="0" t="s">
        <v>130</v>
      </c>
      <c r="CD506" s="0" t="s">
        <v>130</v>
      </c>
      <c r="CE506" s="0" t="s">
        <v>130</v>
      </c>
      <c r="CF506" s="0" t="s">
        <v>130</v>
      </c>
      <c r="CG506" s="0" t="s">
        <v>130</v>
      </c>
      <c r="CH506" s="0" t="s">
        <v>130</v>
      </c>
      <c r="CI506" s="0" t="s">
        <v>130</v>
      </c>
      <c r="CJ506" s="0" t="s">
        <v>130</v>
      </c>
      <c r="CK506" s="0" t="s">
        <v>130</v>
      </c>
      <c r="CL506" s="0" t="s">
        <v>130</v>
      </c>
      <c r="CM506" s="0" t="s">
        <v>130</v>
      </c>
      <c r="CN506" s="0" t="s">
        <v>130</v>
      </c>
      <c r="CO506" s="0" t="s">
        <v>130</v>
      </c>
      <c r="CP506" s="0" t="s">
        <v>130</v>
      </c>
      <c r="CQ506" s="0" t="s">
        <v>130</v>
      </c>
      <c r="CR506" s="0" t="s">
        <v>130</v>
      </c>
      <c r="CS506" s="0" t="s">
        <v>130</v>
      </c>
      <c r="CT506" s="0" t="s">
        <v>1719</v>
      </c>
    </row>
    <row r="507">
      <c r="A507" s="14">
        <v>101534</v>
      </c>
      <c r="B507" s="0" t="s">
        <v>1699</v>
      </c>
      <c r="C507" s="16">
        <f>HYPERLINK("https://eosportal.federatedhermes.com/companies/Q29tcGFueQppNjM1OTI=", "Unilever PLC")</f>
      </c>
      <c r="D507" s="0" t="s">
        <v>25</v>
      </c>
      <c r="E507" s="0" t="s">
        <v>1720</v>
      </c>
      <c r="F507" s="16">
        <f>HYPERLINK("https://eosportal.federatedhermes.com/engagements/RW5nYWdlbWVudAppMjA3NDI=", "Remuneration Policy Consultation")</f>
      </c>
      <c r="G507" s="14" t="s">
        <v>1721</v>
      </c>
      <c r="H507" s="0" t="s">
        <v>141</v>
      </c>
      <c r="I507" s="14" t="s">
        <v>636</v>
      </c>
      <c r="J507" s="0" t="s">
        <v>145</v>
      </c>
      <c r="K507" s="0" t="s">
        <v>146</v>
      </c>
      <c r="L507" s="0" t="s">
        <v>147</v>
      </c>
      <c r="M507" s="0" t="s">
        <v>272</v>
      </c>
      <c r="N507" s="0" t="s">
        <v>273</v>
      </c>
      <c r="O507" s="0" t="s">
        <v>332</v>
      </c>
      <c r="Q507" s="0" t="s">
        <v>130</v>
      </c>
      <c r="R507" s="0" t="s">
        <v>138</v>
      </c>
      <c r="S507" s="14">
        <v>0</v>
      </c>
      <c r="T507" s="0" t="s">
        <v>384</v>
      </c>
      <c r="U507" s="0" t="s">
        <v>138</v>
      </c>
      <c r="V507" s="14" t="s">
        <v>138</v>
      </c>
      <c r="W507" s="0" t="s">
        <v>138</v>
      </c>
      <c r="X507" s="14" t="s">
        <v>138</v>
      </c>
      <c r="Y507" s="0" t="s">
        <v>138</v>
      </c>
      <c r="Z507" s="14" t="s">
        <v>138</v>
      </c>
      <c r="AA507" s="0" t="s">
        <v>138</v>
      </c>
      <c r="AB507" s="14" t="s">
        <v>138</v>
      </c>
      <c r="AD507" s="0" t="s">
        <v>138</v>
      </c>
      <c r="AF507" s="0">
        <v>0</v>
      </c>
      <c r="AG507" s="0">
        <v>0</v>
      </c>
      <c r="AH507" s="0" t="s">
        <v>140</v>
      </c>
      <c r="AI507" s="0" t="s">
        <v>138</v>
      </c>
      <c r="AL507" s="14"/>
      <c r="AN507" s="14"/>
      <c r="AQ507" s="0" t="s">
        <v>130</v>
      </c>
      <c r="AR507" s="0" t="s">
        <v>130</v>
      </c>
      <c r="AS507" s="0" t="s">
        <v>130</v>
      </c>
      <c r="AT507" s="0" t="s">
        <v>130</v>
      </c>
      <c r="AU507" s="0" t="s">
        <v>130</v>
      </c>
      <c r="AV507" s="0" t="s">
        <v>130</v>
      </c>
      <c r="AW507" s="0" t="s">
        <v>130</v>
      </c>
      <c r="AX507" s="0" t="s">
        <v>130</v>
      </c>
      <c r="AY507" s="0" t="s">
        <v>130</v>
      </c>
      <c r="AZ507" s="0" t="s">
        <v>130</v>
      </c>
      <c r="BA507" s="0" t="s">
        <v>130</v>
      </c>
      <c r="BB507" s="0" t="s">
        <v>130</v>
      </c>
      <c r="BC507" s="0" t="s">
        <v>130</v>
      </c>
      <c r="BD507" s="0" t="s">
        <v>130</v>
      </c>
      <c r="BE507" s="0" t="s">
        <v>130</v>
      </c>
      <c r="BF507" s="0" t="s">
        <v>130</v>
      </c>
      <c r="BG507" s="0" t="s">
        <v>130</v>
      </c>
      <c r="BH507" s="0" t="s">
        <v>130</v>
      </c>
      <c r="BI507" s="0" t="s">
        <v>130</v>
      </c>
      <c r="BJ507" s="0" t="s">
        <v>130</v>
      </c>
      <c r="BK507" s="0" t="s">
        <v>130</v>
      </c>
      <c r="BL507" s="0" t="s">
        <v>130</v>
      </c>
      <c r="BM507" s="0" t="s">
        <v>130</v>
      </c>
      <c r="BN507" s="0" t="s">
        <v>130</v>
      </c>
      <c r="BO507" s="0" t="s">
        <v>130</v>
      </c>
      <c r="BP507" s="0" t="s">
        <v>130</v>
      </c>
      <c r="BQ507" s="0" t="s">
        <v>130</v>
      </c>
      <c r="BR507" s="0" t="s">
        <v>130</v>
      </c>
      <c r="BS507" s="0" t="s">
        <v>130</v>
      </c>
      <c r="BT507" s="0" t="s">
        <v>130</v>
      </c>
      <c r="BU507" s="0" t="s">
        <v>130</v>
      </c>
      <c r="BV507" s="0" t="s">
        <v>130</v>
      </c>
      <c r="BW507" s="0" t="s">
        <v>130</v>
      </c>
      <c r="BX507" s="0" t="s">
        <v>130</v>
      </c>
      <c r="BY507" s="0" t="s">
        <v>130</v>
      </c>
      <c r="BZ507" s="0" t="s">
        <v>130</v>
      </c>
      <c r="CA507" s="0" t="s">
        <v>130</v>
      </c>
      <c r="CB507" s="0" t="s">
        <v>130</v>
      </c>
      <c r="CC507" s="0" t="s">
        <v>130</v>
      </c>
      <c r="CD507" s="0" t="s">
        <v>130</v>
      </c>
      <c r="CE507" s="0" t="s">
        <v>130</v>
      </c>
      <c r="CF507" s="0" t="s">
        <v>130</v>
      </c>
      <c r="CG507" s="0" t="s">
        <v>130</v>
      </c>
      <c r="CH507" s="0" t="s">
        <v>130</v>
      </c>
      <c r="CI507" s="0" t="s">
        <v>130</v>
      </c>
      <c r="CJ507" s="0" t="s">
        <v>130</v>
      </c>
      <c r="CK507" s="0" t="s">
        <v>130</v>
      </c>
      <c r="CL507" s="0" t="s">
        <v>130</v>
      </c>
      <c r="CM507" s="0" t="s">
        <v>130</v>
      </c>
      <c r="CN507" s="0" t="s">
        <v>130</v>
      </c>
      <c r="CO507" s="0" t="s">
        <v>130</v>
      </c>
      <c r="CP507" s="0" t="s">
        <v>130</v>
      </c>
      <c r="CQ507" s="0" t="s">
        <v>130</v>
      </c>
      <c r="CR507" s="0" t="s">
        <v>130</v>
      </c>
      <c r="CS507" s="0" t="s">
        <v>130</v>
      </c>
      <c r="CT507" s="0" t="s">
        <v>1722</v>
      </c>
    </row>
    <row r="508">
      <c r="A508" s="14">
        <v>101534</v>
      </c>
      <c r="B508" s="0" t="s">
        <v>1699</v>
      </c>
      <c r="C508" s="16">
        <f>HYPERLINK("https://eosportal.federatedhermes.com/companies/Q29tcGFueQppNjM1OTI=", "Unilever PLC")</f>
      </c>
      <c r="D508" s="0" t="s">
        <v>25</v>
      </c>
      <c r="E508" s="0" t="s">
        <v>1723</v>
      </c>
      <c r="F508" s="16">
        <f>HYPERLINK("https://eosportal.federatedhermes.com/engagements/RW5nYWdlbWVudAppMjA3NDM=", "Participate in the Statement of Significant Audiences and Materiality campaign")</f>
      </c>
      <c r="G508" s="14" t="s">
        <v>1724</v>
      </c>
      <c r="H508" s="0" t="s">
        <v>141</v>
      </c>
      <c r="I508" s="14" t="s">
        <v>636</v>
      </c>
      <c r="J508" s="0" t="s">
        <v>132</v>
      </c>
      <c r="K508" s="0" t="s">
        <v>170</v>
      </c>
      <c r="L508" s="0" t="s">
        <v>171</v>
      </c>
      <c r="M508" s="0" t="s">
        <v>272</v>
      </c>
      <c r="N508" s="0" t="s">
        <v>273</v>
      </c>
      <c r="O508" s="0" t="s">
        <v>332</v>
      </c>
      <c r="Q508" s="0" t="s">
        <v>130</v>
      </c>
      <c r="R508" s="0" t="s">
        <v>138</v>
      </c>
      <c r="S508" s="14">
        <v>0</v>
      </c>
      <c r="T508" s="0" t="s">
        <v>457</v>
      </c>
      <c r="U508" s="0" t="s">
        <v>138</v>
      </c>
      <c r="V508" s="14" t="s">
        <v>138</v>
      </c>
      <c r="W508" s="0" t="s">
        <v>138</v>
      </c>
      <c r="X508" s="14" t="s">
        <v>138</v>
      </c>
      <c r="Y508" s="0" t="s">
        <v>138</v>
      </c>
      <c r="Z508" s="14" t="s">
        <v>138</v>
      </c>
      <c r="AA508" s="0" t="s">
        <v>138</v>
      </c>
      <c r="AB508" s="14" t="s">
        <v>138</v>
      </c>
      <c r="AD508" s="0" t="s">
        <v>138</v>
      </c>
      <c r="AF508" s="0">
        <v>0</v>
      </c>
      <c r="AG508" s="0">
        <v>0</v>
      </c>
      <c r="AH508" s="0" t="s">
        <v>140</v>
      </c>
      <c r="AI508" s="0" t="s">
        <v>138</v>
      </c>
      <c r="AL508" s="14"/>
      <c r="AN508" s="14"/>
      <c r="AQ508" s="0" t="s">
        <v>130</v>
      </c>
      <c r="AR508" s="0" t="s">
        <v>130</v>
      </c>
      <c r="AS508" s="0" t="s">
        <v>130</v>
      </c>
      <c r="AT508" s="0" t="s">
        <v>130</v>
      </c>
      <c r="AU508" s="0" t="s">
        <v>130</v>
      </c>
      <c r="AV508" s="0" t="s">
        <v>130</v>
      </c>
      <c r="AW508" s="0" t="s">
        <v>130</v>
      </c>
      <c r="AX508" s="0" t="s">
        <v>130</v>
      </c>
      <c r="AY508" s="0" t="s">
        <v>130</v>
      </c>
      <c r="AZ508" s="0" t="s">
        <v>130</v>
      </c>
      <c r="BA508" s="0" t="s">
        <v>130</v>
      </c>
      <c r="BB508" s="0" t="s">
        <v>130</v>
      </c>
      <c r="BC508" s="0" t="s">
        <v>130</v>
      </c>
      <c r="BD508" s="0" t="s">
        <v>130</v>
      </c>
      <c r="BE508" s="0" t="s">
        <v>130</v>
      </c>
      <c r="BF508" s="0" t="s">
        <v>130</v>
      </c>
      <c r="BG508" s="0" t="s">
        <v>130</v>
      </c>
      <c r="BH508" s="0" t="s">
        <v>130</v>
      </c>
      <c r="BI508" s="0" t="s">
        <v>130</v>
      </c>
      <c r="BJ508" s="0" t="s">
        <v>130</v>
      </c>
      <c r="BK508" s="0" t="s">
        <v>130</v>
      </c>
      <c r="BL508" s="0" t="s">
        <v>130</v>
      </c>
      <c r="BM508" s="0" t="s">
        <v>130</v>
      </c>
      <c r="BN508" s="0" t="s">
        <v>130</v>
      </c>
      <c r="BO508" s="0" t="s">
        <v>130</v>
      </c>
      <c r="BP508" s="0" t="s">
        <v>130</v>
      </c>
      <c r="BQ508" s="0" t="s">
        <v>130</v>
      </c>
      <c r="BR508" s="0" t="s">
        <v>130</v>
      </c>
      <c r="BS508" s="0" t="s">
        <v>130</v>
      </c>
      <c r="BT508" s="0" t="s">
        <v>130</v>
      </c>
      <c r="BU508" s="0" t="s">
        <v>130</v>
      </c>
      <c r="BV508" s="0" t="s">
        <v>130</v>
      </c>
      <c r="BW508" s="0" t="s">
        <v>130</v>
      </c>
      <c r="BX508" s="0" t="s">
        <v>130</v>
      </c>
      <c r="BY508" s="0" t="s">
        <v>130</v>
      </c>
      <c r="BZ508" s="0" t="s">
        <v>130</v>
      </c>
      <c r="CA508" s="0" t="s">
        <v>130</v>
      </c>
      <c r="CB508" s="0" t="s">
        <v>130</v>
      </c>
      <c r="CC508" s="0" t="s">
        <v>130</v>
      </c>
      <c r="CD508" s="0" t="s">
        <v>130</v>
      </c>
      <c r="CE508" s="0" t="s">
        <v>130</v>
      </c>
      <c r="CF508" s="0" t="s">
        <v>130</v>
      </c>
      <c r="CG508" s="0" t="s">
        <v>130</v>
      </c>
      <c r="CH508" s="0" t="s">
        <v>130</v>
      </c>
      <c r="CI508" s="0" t="s">
        <v>130</v>
      </c>
      <c r="CJ508" s="0" t="s">
        <v>130</v>
      </c>
      <c r="CK508" s="0" t="s">
        <v>130</v>
      </c>
      <c r="CL508" s="0" t="s">
        <v>130</v>
      </c>
      <c r="CM508" s="0" t="s">
        <v>130</v>
      </c>
      <c r="CN508" s="0" t="s">
        <v>130</v>
      </c>
      <c r="CO508" s="0" t="s">
        <v>130</v>
      </c>
      <c r="CP508" s="0" t="s">
        <v>130</v>
      </c>
      <c r="CQ508" s="0" t="s">
        <v>130</v>
      </c>
      <c r="CR508" s="0" t="s">
        <v>130</v>
      </c>
      <c r="CS508" s="0" t="s">
        <v>130</v>
      </c>
      <c r="CT508" s="0" t="s">
        <v>1725</v>
      </c>
    </row>
    <row r="509">
      <c r="A509" s="14">
        <v>101534</v>
      </c>
      <c r="B509" s="0" t="s">
        <v>1699</v>
      </c>
      <c r="C509" s="16">
        <f>HYPERLINK("https://eosportal.federatedhermes.com/companies/Q29tcGFueQppNjM1OTI=", "Unilever PLC")</f>
      </c>
      <c r="D509" s="0" t="s">
        <v>25</v>
      </c>
      <c r="E509" s="0" t="s">
        <v>1726</v>
      </c>
      <c r="F509" s="16">
        <f>HYPERLINK("https://eosportal.federatedhermes.com/engagements/RW5nYWdlbWVudAppMjA3NDQ=", "CEO Succession")</f>
      </c>
      <c r="G509" s="14" t="s">
        <v>1727</v>
      </c>
      <c r="H509" s="0" t="s">
        <v>141</v>
      </c>
      <c r="I509" s="14" t="s">
        <v>636</v>
      </c>
      <c r="J509" s="0" t="s">
        <v>145</v>
      </c>
      <c r="K509" s="0" t="s">
        <v>164</v>
      </c>
      <c r="L509" s="0" t="s">
        <v>277</v>
      </c>
      <c r="M509" s="0" t="s">
        <v>272</v>
      </c>
      <c r="N509" s="0" t="s">
        <v>273</v>
      </c>
      <c r="O509" s="0" t="s">
        <v>332</v>
      </c>
      <c r="Q509" s="0" t="s">
        <v>130</v>
      </c>
      <c r="R509" s="0" t="s">
        <v>138</v>
      </c>
      <c r="S509" s="14">
        <v>0</v>
      </c>
      <c r="T509" s="0" t="s">
        <v>320</v>
      </c>
      <c r="U509" s="0" t="s">
        <v>138</v>
      </c>
      <c r="V509" s="14" t="s">
        <v>138</v>
      </c>
      <c r="W509" s="0" t="s">
        <v>138</v>
      </c>
      <c r="X509" s="14" t="s">
        <v>138</v>
      </c>
      <c r="Y509" s="0" t="s">
        <v>138</v>
      </c>
      <c r="Z509" s="14" t="s">
        <v>138</v>
      </c>
      <c r="AA509" s="0" t="s">
        <v>138</v>
      </c>
      <c r="AB509" s="14" t="s">
        <v>138</v>
      </c>
      <c r="AD509" s="0" t="s">
        <v>138</v>
      </c>
      <c r="AF509" s="0">
        <v>0</v>
      </c>
      <c r="AG509" s="0">
        <v>0</v>
      </c>
      <c r="AH509" s="0" t="s">
        <v>140</v>
      </c>
      <c r="AI509" s="0" t="s">
        <v>138</v>
      </c>
      <c r="AL509" s="14"/>
      <c r="AN509" s="14"/>
      <c r="AQ509" s="0" t="s">
        <v>130</v>
      </c>
      <c r="AR509" s="0" t="s">
        <v>130</v>
      </c>
      <c r="AS509" s="0" t="s">
        <v>130</v>
      </c>
      <c r="AT509" s="0" t="s">
        <v>130</v>
      </c>
      <c r="AU509" s="0" t="s">
        <v>130</v>
      </c>
      <c r="AV509" s="0" t="s">
        <v>130</v>
      </c>
      <c r="AW509" s="0" t="s">
        <v>130</v>
      </c>
      <c r="AX509" s="0" t="s">
        <v>130</v>
      </c>
      <c r="AY509" s="0" t="s">
        <v>130</v>
      </c>
      <c r="AZ509" s="0" t="s">
        <v>130</v>
      </c>
      <c r="BA509" s="0" t="s">
        <v>130</v>
      </c>
      <c r="BB509" s="0" t="s">
        <v>130</v>
      </c>
      <c r="BC509" s="0" t="s">
        <v>130</v>
      </c>
      <c r="BD509" s="0" t="s">
        <v>130</v>
      </c>
      <c r="BE509" s="0" t="s">
        <v>130</v>
      </c>
      <c r="BF509" s="0" t="s">
        <v>130</v>
      </c>
      <c r="BG509" s="0" t="s">
        <v>130</v>
      </c>
      <c r="BH509" s="0" t="s">
        <v>130</v>
      </c>
      <c r="BI509" s="0" t="s">
        <v>130</v>
      </c>
      <c r="BJ509" s="0" t="s">
        <v>130</v>
      </c>
      <c r="BK509" s="0" t="s">
        <v>130</v>
      </c>
      <c r="BL509" s="0" t="s">
        <v>130</v>
      </c>
      <c r="BM509" s="0" t="s">
        <v>130</v>
      </c>
      <c r="BN509" s="0" t="s">
        <v>130</v>
      </c>
      <c r="BO509" s="0" t="s">
        <v>130</v>
      </c>
      <c r="BP509" s="0" t="s">
        <v>130</v>
      </c>
      <c r="BQ509" s="0" t="s">
        <v>130</v>
      </c>
      <c r="BR509" s="0" t="s">
        <v>130</v>
      </c>
      <c r="BS509" s="0" t="s">
        <v>130</v>
      </c>
      <c r="BT509" s="0" t="s">
        <v>130</v>
      </c>
      <c r="BU509" s="0" t="s">
        <v>130</v>
      </c>
      <c r="BV509" s="0" t="s">
        <v>130</v>
      </c>
      <c r="BW509" s="0" t="s">
        <v>130</v>
      </c>
      <c r="BX509" s="0" t="s">
        <v>130</v>
      </c>
      <c r="BY509" s="0" t="s">
        <v>130</v>
      </c>
      <c r="BZ509" s="0" t="s">
        <v>130</v>
      </c>
      <c r="CA509" s="0" t="s">
        <v>130</v>
      </c>
      <c r="CB509" s="0" t="s">
        <v>130</v>
      </c>
      <c r="CC509" s="0" t="s">
        <v>130</v>
      </c>
      <c r="CD509" s="0" t="s">
        <v>130</v>
      </c>
      <c r="CE509" s="0" t="s">
        <v>130</v>
      </c>
      <c r="CF509" s="0" t="s">
        <v>130</v>
      </c>
      <c r="CG509" s="0" t="s">
        <v>130</v>
      </c>
      <c r="CH509" s="0" t="s">
        <v>130</v>
      </c>
      <c r="CI509" s="0" t="s">
        <v>130</v>
      </c>
      <c r="CJ509" s="0" t="s">
        <v>130</v>
      </c>
      <c r="CK509" s="0" t="s">
        <v>130</v>
      </c>
      <c r="CL509" s="0" t="s">
        <v>130</v>
      </c>
      <c r="CM509" s="0" t="s">
        <v>130</v>
      </c>
      <c r="CN509" s="0" t="s">
        <v>130</v>
      </c>
      <c r="CO509" s="0" t="s">
        <v>130</v>
      </c>
      <c r="CP509" s="0" t="s">
        <v>130</v>
      </c>
      <c r="CQ509" s="0" t="s">
        <v>130</v>
      </c>
      <c r="CR509" s="0" t="s">
        <v>130</v>
      </c>
      <c r="CS509" s="0" t="s">
        <v>130</v>
      </c>
      <c r="CT509" s="0" t="s">
        <v>1728</v>
      </c>
    </row>
    <row r="510">
      <c r="A510" s="14">
        <v>101534</v>
      </c>
      <c r="B510" s="0" t="s">
        <v>1699</v>
      </c>
      <c r="C510" s="16">
        <f>HYPERLINK("https://eosportal.federatedhermes.com/companies/Q29tcGFueQppNjM1OTI=", "Unilever PLC")</f>
      </c>
      <c r="D510" s="0" t="s">
        <v>25</v>
      </c>
      <c r="E510" s="0" t="s">
        <v>1729</v>
      </c>
      <c r="F510" s="16">
        <f>HYPERLINK("https://eosportal.federatedhermes.com/engagements/RW5nYWdlbWVudAppMjA3NDU=", "Business strategy")</f>
      </c>
      <c r="G510" s="14" t="s">
        <v>291</v>
      </c>
      <c r="H510" s="0" t="s">
        <v>141</v>
      </c>
      <c r="I510" s="14" t="s">
        <v>636</v>
      </c>
      <c r="J510" s="0" t="s">
        <v>153</v>
      </c>
      <c r="K510" s="0" t="s">
        <v>185</v>
      </c>
      <c r="L510" s="0" t="s">
        <v>186</v>
      </c>
      <c r="M510" s="0" t="s">
        <v>272</v>
      </c>
      <c r="N510" s="0" t="s">
        <v>273</v>
      </c>
      <c r="O510" s="0" t="s">
        <v>332</v>
      </c>
      <c r="Q510" s="0" t="s">
        <v>130</v>
      </c>
      <c r="R510" s="0" t="s">
        <v>138</v>
      </c>
      <c r="S510" s="14">
        <v>0</v>
      </c>
      <c r="T510" s="0" t="s">
        <v>181</v>
      </c>
      <c r="U510" s="0" t="s">
        <v>138</v>
      </c>
      <c r="V510" s="14" t="s">
        <v>138</v>
      </c>
      <c r="W510" s="0" t="s">
        <v>138</v>
      </c>
      <c r="X510" s="14" t="s">
        <v>138</v>
      </c>
      <c r="Y510" s="0" t="s">
        <v>138</v>
      </c>
      <c r="Z510" s="14" t="s">
        <v>138</v>
      </c>
      <c r="AA510" s="0" t="s">
        <v>138</v>
      </c>
      <c r="AB510" s="14" t="s">
        <v>138</v>
      </c>
      <c r="AD510" s="0" t="s">
        <v>138</v>
      </c>
      <c r="AF510" s="0">
        <v>0</v>
      </c>
      <c r="AG510" s="0">
        <v>0</v>
      </c>
      <c r="AH510" s="0" t="s">
        <v>140</v>
      </c>
      <c r="AI510" s="0" t="s">
        <v>138</v>
      </c>
      <c r="AL510" s="14"/>
      <c r="AN510" s="14"/>
      <c r="AQ510" s="0" t="s">
        <v>130</v>
      </c>
      <c r="AR510" s="0" t="s">
        <v>130</v>
      </c>
      <c r="AS510" s="0" t="s">
        <v>130</v>
      </c>
      <c r="AT510" s="0" t="s">
        <v>130</v>
      </c>
      <c r="AU510" s="0" t="s">
        <v>130</v>
      </c>
      <c r="AV510" s="0" t="s">
        <v>130</v>
      </c>
      <c r="AW510" s="0" t="s">
        <v>130</v>
      </c>
      <c r="AX510" s="0" t="s">
        <v>130</v>
      </c>
      <c r="AY510" s="0" t="s">
        <v>130</v>
      </c>
      <c r="AZ510" s="0" t="s">
        <v>130</v>
      </c>
      <c r="BA510" s="0" t="s">
        <v>130</v>
      </c>
      <c r="BB510" s="0" t="s">
        <v>130</v>
      </c>
      <c r="BC510" s="0" t="s">
        <v>130</v>
      </c>
      <c r="BD510" s="0" t="s">
        <v>130</v>
      </c>
      <c r="BE510" s="0" t="s">
        <v>130</v>
      </c>
      <c r="BF510" s="0" t="s">
        <v>130</v>
      </c>
      <c r="BG510" s="0" t="s">
        <v>130</v>
      </c>
      <c r="BH510" s="0" t="s">
        <v>130</v>
      </c>
      <c r="BI510" s="0" t="s">
        <v>130</v>
      </c>
      <c r="BJ510" s="0" t="s">
        <v>130</v>
      </c>
      <c r="BK510" s="0" t="s">
        <v>130</v>
      </c>
      <c r="BL510" s="0" t="s">
        <v>130</v>
      </c>
      <c r="BM510" s="0" t="s">
        <v>130</v>
      </c>
      <c r="BN510" s="0" t="s">
        <v>130</v>
      </c>
      <c r="BO510" s="0" t="s">
        <v>130</v>
      </c>
      <c r="BP510" s="0" t="s">
        <v>130</v>
      </c>
      <c r="BQ510" s="0" t="s">
        <v>130</v>
      </c>
      <c r="BR510" s="0" t="s">
        <v>130</v>
      </c>
      <c r="BS510" s="0" t="s">
        <v>130</v>
      </c>
      <c r="BT510" s="0" t="s">
        <v>130</v>
      </c>
      <c r="BU510" s="0" t="s">
        <v>130</v>
      </c>
      <c r="BV510" s="0" t="s">
        <v>130</v>
      </c>
      <c r="BW510" s="0" t="s">
        <v>130</v>
      </c>
      <c r="BX510" s="0" t="s">
        <v>130</v>
      </c>
      <c r="BY510" s="0" t="s">
        <v>130</v>
      </c>
      <c r="BZ510" s="0" t="s">
        <v>130</v>
      </c>
      <c r="CA510" s="0" t="s">
        <v>130</v>
      </c>
      <c r="CB510" s="0" t="s">
        <v>130</v>
      </c>
      <c r="CC510" s="0" t="s">
        <v>130</v>
      </c>
      <c r="CD510" s="0" t="s">
        <v>130</v>
      </c>
      <c r="CE510" s="0" t="s">
        <v>130</v>
      </c>
      <c r="CF510" s="0" t="s">
        <v>130</v>
      </c>
      <c r="CG510" s="0" t="s">
        <v>130</v>
      </c>
      <c r="CH510" s="0" t="s">
        <v>130</v>
      </c>
      <c r="CI510" s="0" t="s">
        <v>130</v>
      </c>
      <c r="CJ510" s="0" t="s">
        <v>130</v>
      </c>
      <c r="CK510" s="0" t="s">
        <v>130</v>
      </c>
      <c r="CL510" s="0" t="s">
        <v>130</v>
      </c>
      <c r="CM510" s="0" t="s">
        <v>130</v>
      </c>
      <c r="CN510" s="0" t="s">
        <v>130</v>
      </c>
      <c r="CO510" s="0" t="s">
        <v>130</v>
      </c>
      <c r="CP510" s="0" t="s">
        <v>130</v>
      </c>
      <c r="CQ510" s="0" t="s">
        <v>130</v>
      </c>
      <c r="CR510" s="0" t="s">
        <v>130</v>
      </c>
      <c r="CS510" s="0" t="s">
        <v>130</v>
      </c>
      <c r="CT510" s="0" t="s">
        <v>1730</v>
      </c>
    </row>
    <row r="511">
      <c r="A511" s="14">
        <v>101534</v>
      </c>
      <c r="B511" s="0" t="s">
        <v>1699</v>
      </c>
      <c r="C511" s="16">
        <f>HYPERLINK("https://eosportal.federatedhermes.com/companies/Q29tcGFueQppNjM1OTI=", "Unilever PLC")</f>
      </c>
      <c r="D511" s="0" t="s">
        <v>25</v>
      </c>
      <c r="E511" s="0" t="s">
        <v>729</v>
      </c>
      <c r="F511" s="16">
        <f>HYPERLINK("https://eosportal.federatedhermes.com/engagements/RW5nYWdlbWVudAppMjA3NDY=", "Board diversity")</f>
      </c>
      <c r="G511" s="14" t="s">
        <v>291</v>
      </c>
      <c r="H511" s="0" t="s">
        <v>141</v>
      </c>
      <c r="I511" s="14" t="s">
        <v>636</v>
      </c>
      <c r="J511" s="0" t="s">
        <v>145</v>
      </c>
      <c r="K511" s="0" t="s">
        <v>164</v>
      </c>
      <c r="L511" s="0" t="s">
        <v>165</v>
      </c>
      <c r="M511" s="0" t="s">
        <v>272</v>
      </c>
      <c r="N511" s="0" t="s">
        <v>273</v>
      </c>
      <c r="O511" s="0" t="s">
        <v>332</v>
      </c>
      <c r="Q511" s="0" t="s">
        <v>130</v>
      </c>
      <c r="R511" s="0" t="s">
        <v>138</v>
      </c>
      <c r="S511" s="14">
        <v>0</v>
      </c>
      <c r="T511" s="0" t="s">
        <v>181</v>
      </c>
      <c r="U511" s="0" t="s">
        <v>138</v>
      </c>
      <c r="V511" s="14" t="s">
        <v>138</v>
      </c>
      <c r="W511" s="0" t="s">
        <v>138</v>
      </c>
      <c r="X511" s="14" t="s">
        <v>138</v>
      </c>
      <c r="Y511" s="0" t="s">
        <v>138</v>
      </c>
      <c r="Z511" s="14" t="s">
        <v>138</v>
      </c>
      <c r="AA511" s="0" t="s">
        <v>138</v>
      </c>
      <c r="AB511" s="14" t="s">
        <v>138</v>
      </c>
      <c r="AD511" s="0" t="s">
        <v>138</v>
      </c>
      <c r="AF511" s="0">
        <v>0</v>
      </c>
      <c r="AG511" s="0">
        <v>0</v>
      </c>
      <c r="AH511" s="0" t="s">
        <v>140</v>
      </c>
      <c r="AI511" s="0" t="s">
        <v>138</v>
      </c>
      <c r="AL511" s="14"/>
      <c r="AN511" s="14"/>
      <c r="AQ511" s="0" t="s">
        <v>130</v>
      </c>
      <c r="AR511" s="0" t="s">
        <v>130</v>
      </c>
      <c r="AS511" s="0" t="s">
        <v>130</v>
      </c>
      <c r="AT511" s="0" t="s">
        <v>130</v>
      </c>
      <c r="AU511" s="0" t="s">
        <v>130</v>
      </c>
      <c r="AV511" s="0" t="s">
        <v>130</v>
      </c>
      <c r="AW511" s="0" t="s">
        <v>130</v>
      </c>
      <c r="AX511" s="0" t="s">
        <v>130</v>
      </c>
      <c r="AY511" s="0" t="s">
        <v>130</v>
      </c>
      <c r="AZ511" s="0" t="s">
        <v>130</v>
      </c>
      <c r="BA511" s="0" t="s">
        <v>130</v>
      </c>
      <c r="BB511" s="0" t="s">
        <v>130</v>
      </c>
      <c r="BC511" s="0" t="s">
        <v>130</v>
      </c>
      <c r="BD511" s="0" t="s">
        <v>130</v>
      </c>
      <c r="BE511" s="0" t="s">
        <v>130</v>
      </c>
      <c r="BF511" s="0" t="s">
        <v>130</v>
      </c>
      <c r="BG511" s="0" t="s">
        <v>130</v>
      </c>
      <c r="BH511" s="0" t="s">
        <v>130</v>
      </c>
      <c r="BI511" s="0" t="s">
        <v>130</v>
      </c>
      <c r="BJ511" s="0" t="s">
        <v>130</v>
      </c>
      <c r="BK511" s="0" t="s">
        <v>130</v>
      </c>
      <c r="BL511" s="0" t="s">
        <v>130</v>
      </c>
      <c r="BM511" s="0" t="s">
        <v>130</v>
      </c>
      <c r="BN511" s="0" t="s">
        <v>130</v>
      </c>
      <c r="BO511" s="0" t="s">
        <v>130</v>
      </c>
      <c r="BP511" s="0" t="s">
        <v>130</v>
      </c>
      <c r="BQ511" s="0" t="s">
        <v>130</v>
      </c>
      <c r="BR511" s="0" t="s">
        <v>130</v>
      </c>
      <c r="BS511" s="0" t="s">
        <v>130</v>
      </c>
      <c r="BT511" s="0" t="s">
        <v>130</v>
      </c>
      <c r="BU511" s="0" t="s">
        <v>130</v>
      </c>
      <c r="BV511" s="0" t="s">
        <v>130</v>
      </c>
      <c r="BW511" s="0" t="s">
        <v>130</v>
      </c>
      <c r="BX511" s="0" t="s">
        <v>130</v>
      </c>
      <c r="BY511" s="0" t="s">
        <v>130</v>
      </c>
      <c r="BZ511" s="0" t="s">
        <v>130</v>
      </c>
      <c r="CA511" s="0" t="s">
        <v>130</v>
      </c>
      <c r="CB511" s="0" t="s">
        <v>130</v>
      </c>
      <c r="CC511" s="0" t="s">
        <v>130</v>
      </c>
      <c r="CD511" s="0" t="s">
        <v>130</v>
      </c>
      <c r="CE511" s="0" t="s">
        <v>130</v>
      </c>
      <c r="CF511" s="0" t="s">
        <v>130</v>
      </c>
      <c r="CG511" s="0" t="s">
        <v>130</v>
      </c>
      <c r="CH511" s="0" t="s">
        <v>130</v>
      </c>
      <c r="CI511" s="0" t="s">
        <v>130</v>
      </c>
      <c r="CJ511" s="0" t="s">
        <v>130</v>
      </c>
      <c r="CK511" s="0" t="s">
        <v>130</v>
      </c>
      <c r="CL511" s="0" t="s">
        <v>130</v>
      </c>
      <c r="CM511" s="0" t="s">
        <v>130</v>
      </c>
      <c r="CN511" s="0" t="s">
        <v>130</v>
      </c>
      <c r="CO511" s="0" t="s">
        <v>130</v>
      </c>
      <c r="CP511" s="0" t="s">
        <v>130</v>
      </c>
      <c r="CQ511" s="0" t="s">
        <v>130</v>
      </c>
      <c r="CR511" s="0" t="s">
        <v>130</v>
      </c>
      <c r="CS511" s="0" t="s">
        <v>130</v>
      </c>
      <c r="CT511" s="0" t="s">
        <v>1731</v>
      </c>
    </row>
    <row r="512">
      <c r="A512" s="14">
        <v>101534</v>
      </c>
      <c r="B512" s="0" t="s">
        <v>1699</v>
      </c>
      <c r="C512" s="16">
        <f>HYPERLINK("https://eosportal.federatedhermes.com/companies/Q29tcGFueQppNjM1OTI=", "Unilever PLC")</f>
      </c>
      <c r="D512" s="0" t="s">
        <v>25</v>
      </c>
      <c r="E512" s="0" t="s">
        <v>1732</v>
      </c>
      <c r="F512" s="16">
        <f>HYPERLINK("https://eosportal.federatedhermes.com/engagements/RW5nYWdlbWVudAppMjA3NDc=", "Unilever PLC-Governance-Remuneration")</f>
      </c>
      <c r="G512" s="14" t="s">
        <v>1733</v>
      </c>
      <c r="H512" s="0" t="s">
        <v>141</v>
      </c>
      <c r="I512" s="14" t="s">
        <v>636</v>
      </c>
      <c r="J512" s="0" t="s">
        <v>145</v>
      </c>
      <c r="K512" s="0" t="s">
        <v>146</v>
      </c>
      <c r="L512" s="0" t="s">
        <v>147</v>
      </c>
      <c r="M512" s="0" t="s">
        <v>272</v>
      </c>
      <c r="N512" s="0" t="s">
        <v>273</v>
      </c>
      <c r="O512" s="0" t="s">
        <v>332</v>
      </c>
      <c r="Q512" s="0" t="s">
        <v>130</v>
      </c>
      <c r="R512" s="0" t="s">
        <v>138</v>
      </c>
      <c r="S512" s="14">
        <v>0</v>
      </c>
      <c r="T512" s="0" t="s">
        <v>1520</v>
      </c>
      <c r="U512" s="0" t="s">
        <v>138</v>
      </c>
      <c r="V512" s="14" t="s">
        <v>138</v>
      </c>
      <c r="W512" s="0" t="s">
        <v>138</v>
      </c>
      <c r="X512" s="14" t="s">
        <v>138</v>
      </c>
      <c r="Y512" s="0" t="s">
        <v>138</v>
      </c>
      <c r="Z512" s="14" t="s">
        <v>138</v>
      </c>
      <c r="AA512" s="0" t="s">
        <v>138</v>
      </c>
      <c r="AB512" s="14" t="s">
        <v>138</v>
      </c>
      <c r="AD512" s="0" t="s">
        <v>138</v>
      </c>
      <c r="AF512" s="0">
        <v>0</v>
      </c>
      <c r="AG512" s="0">
        <v>0</v>
      </c>
      <c r="AH512" s="0" t="s">
        <v>140</v>
      </c>
      <c r="AI512" s="0" t="s">
        <v>138</v>
      </c>
      <c r="AL512" s="14"/>
      <c r="AN512" s="14"/>
      <c r="AQ512" s="0" t="s">
        <v>130</v>
      </c>
      <c r="AR512" s="0" t="s">
        <v>130</v>
      </c>
      <c r="AS512" s="0" t="s">
        <v>130</v>
      </c>
      <c r="AT512" s="0" t="s">
        <v>130</v>
      </c>
      <c r="AU512" s="0" t="s">
        <v>130</v>
      </c>
      <c r="AV512" s="0" t="s">
        <v>130</v>
      </c>
      <c r="AW512" s="0" t="s">
        <v>130</v>
      </c>
      <c r="AX512" s="0" t="s">
        <v>130</v>
      </c>
      <c r="AY512" s="0" t="s">
        <v>130</v>
      </c>
      <c r="AZ512" s="0" t="s">
        <v>130</v>
      </c>
      <c r="BA512" s="0" t="s">
        <v>130</v>
      </c>
      <c r="BB512" s="0" t="s">
        <v>130</v>
      </c>
      <c r="BC512" s="0" t="s">
        <v>130</v>
      </c>
      <c r="BD512" s="0" t="s">
        <v>130</v>
      </c>
      <c r="BE512" s="0" t="s">
        <v>130</v>
      </c>
      <c r="BF512" s="0" t="s">
        <v>130</v>
      </c>
      <c r="BG512" s="0" t="s">
        <v>130</v>
      </c>
      <c r="BH512" s="0" t="s">
        <v>130</v>
      </c>
      <c r="BI512" s="0" t="s">
        <v>130</v>
      </c>
      <c r="BJ512" s="0" t="s">
        <v>130</v>
      </c>
      <c r="BK512" s="0" t="s">
        <v>130</v>
      </c>
      <c r="BL512" s="0" t="s">
        <v>130</v>
      </c>
      <c r="BM512" s="0" t="s">
        <v>130</v>
      </c>
      <c r="BN512" s="0" t="s">
        <v>130</v>
      </c>
      <c r="BO512" s="0" t="s">
        <v>130</v>
      </c>
      <c r="BP512" s="0" t="s">
        <v>130</v>
      </c>
      <c r="BQ512" s="0" t="s">
        <v>130</v>
      </c>
      <c r="BR512" s="0" t="s">
        <v>130</v>
      </c>
      <c r="BS512" s="0" t="s">
        <v>130</v>
      </c>
      <c r="BT512" s="0" t="s">
        <v>130</v>
      </c>
      <c r="BU512" s="0" t="s">
        <v>130</v>
      </c>
      <c r="BV512" s="0" t="s">
        <v>130</v>
      </c>
      <c r="BW512" s="0" t="s">
        <v>130</v>
      </c>
      <c r="BX512" s="0" t="s">
        <v>130</v>
      </c>
      <c r="BY512" s="0" t="s">
        <v>130</v>
      </c>
      <c r="BZ512" s="0" t="s">
        <v>130</v>
      </c>
      <c r="CA512" s="0" t="s">
        <v>130</v>
      </c>
      <c r="CB512" s="0" t="s">
        <v>130</v>
      </c>
      <c r="CC512" s="0" t="s">
        <v>130</v>
      </c>
      <c r="CD512" s="0" t="s">
        <v>130</v>
      </c>
      <c r="CE512" s="0" t="s">
        <v>130</v>
      </c>
      <c r="CF512" s="0" t="s">
        <v>130</v>
      </c>
      <c r="CG512" s="0" t="s">
        <v>130</v>
      </c>
      <c r="CH512" s="0" t="s">
        <v>130</v>
      </c>
      <c r="CI512" s="0" t="s">
        <v>130</v>
      </c>
      <c r="CJ512" s="0" t="s">
        <v>130</v>
      </c>
      <c r="CK512" s="0" t="s">
        <v>130</v>
      </c>
      <c r="CL512" s="0" t="s">
        <v>130</v>
      </c>
      <c r="CM512" s="0" t="s">
        <v>130</v>
      </c>
      <c r="CN512" s="0" t="s">
        <v>130</v>
      </c>
      <c r="CO512" s="0" t="s">
        <v>130</v>
      </c>
      <c r="CP512" s="0" t="s">
        <v>130</v>
      </c>
      <c r="CQ512" s="0" t="s">
        <v>130</v>
      </c>
      <c r="CR512" s="0" t="s">
        <v>130</v>
      </c>
      <c r="CS512" s="0" t="s">
        <v>130</v>
      </c>
      <c r="CT512" s="0" t="s">
        <v>1734</v>
      </c>
    </row>
    <row r="513">
      <c r="A513" s="14">
        <v>101534</v>
      </c>
      <c r="B513" s="0" t="s">
        <v>1699</v>
      </c>
      <c r="C513" s="16">
        <f>HYPERLINK("https://eosportal.federatedhermes.com/companies/Q29tcGFueQppNjM1OTI=", "Unilever PLC")</f>
      </c>
      <c r="D513" s="0" t="s">
        <v>25</v>
      </c>
      <c r="E513" s="0" t="s">
        <v>1735</v>
      </c>
      <c r="F513" s="16">
        <f>HYPERLINK("https://eosportal.federatedhermes.com/engagements/RW5nYWdlbWVudAppMjA3NDg=", "Supply chain auditing")</f>
      </c>
      <c r="G513" s="14" t="s">
        <v>1736</v>
      </c>
      <c r="H513" s="0" t="s">
        <v>141</v>
      </c>
      <c r="I513" s="14" t="s">
        <v>636</v>
      </c>
      <c r="J513" s="0" t="s">
        <v>153</v>
      </c>
      <c r="K513" s="0" t="s">
        <v>243</v>
      </c>
      <c r="L513" s="0" t="s">
        <v>244</v>
      </c>
      <c r="M513" s="0" t="s">
        <v>272</v>
      </c>
      <c r="N513" s="0" t="s">
        <v>273</v>
      </c>
      <c r="O513" s="0" t="s">
        <v>332</v>
      </c>
      <c r="Q513" s="0" t="s">
        <v>141</v>
      </c>
      <c r="R513" s="0" t="s">
        <v>138</v>
      </c>
      <c r="S513" s="14">
        <v>1</v>
      </c>
      <c r="T513" s="0" t="s">
        <v>380</v>
      </c>
      <c r="U513" s="0" t="s">
        <v>138</v>
      </c>
      <c r="V513" s="14" t="s">
        <v>138</v>
      </c>
      <c r="W513" s="0" t="s">
        <v>138</v>
      </c>
      <c r="X513" s="14" t="s">
        <v>138</v>
      </c>
      <c r="Y513" s="0" t="s">
        <v>138</v>
      </c>
      <c r="Z513" s="14" t="s">
        <v>138</v>
      </c>
      <c r="AA513" s="0" t="s">
        <v>138</v>
      </c>
      <c r="AB513" s="14" t="s">
        <v>138</v>
      </c>
      <c r="AD513" s="0" t="s">
        <v>138</v>
      </c>
      <c r="AF513" s="0">
        <v>0</v>
      </c>
      <c r="AG513" s="0">
        <v>0</v>
      </c>
      <c r="AH513" s="0" t="s">
        <v>140</v>
      </c>
      <c r="AI513" s="0" t="s">
        <v>138</v>
      </c>
      <c r="AK513" s="0" t="s">
        <v>339</v>
      </c>
      <c r="AL513" s="14"/>
      <c r="AN513" s="14"/>
      <c r="AQ513" s="0" t="s">
        <v>130</v>
      </c>
      <c r="AR513" s="0" t="s">
        <v>130</v>
      </c>
      <c r="AS513" s="0" t="s">
        <v>130</v>
      </c>
      <c r="AT513" s="0" t="s">
        <v>130</v>
      </c>
      <c r="AU513" s="0" t="s">
        <v>130</v>
      </c>
      <c r="AV513" s="0" t="s">
        <v>130</v>
      </c>
      <c r="AW513" s="0" t="s">
        <v>130</v>
      </c>
      <c r="AX513" s="0" t="s">
        <v>130</v>
      </c>
      <c r="AY513" s="0" t="s">
        <v>130</v>
      </c>
      <c r="AZ513" s="0" t="s">
        <v>130</v>
      </c>
      <c r="BA513" s="0" t="s">
        <v>130</v>
      </c>
      <c r="BB513" s="0" t="s">
        <v>130</v>
      </c>
      <c r="BC513" s="0" t="s">
        <v>130</v>
      </c>
      <c r="BD513" s="0" t="s">
        <v>130</v>
      </c>
      <c r="BE513" s="0" t="s">
        <v>130</v>
      </c>
      <c r="BF513" s="0" t="s">
        <v>130</v>
      </c>
      <c r="BG513" s="0" t="s">
        <v>130</v>
      </c>
      <c r="BH513" s="0" t="s">
        <v>130</v>
      </c>
      <c r="BI513" s="0" t="s">
        <v>130</v>
      </c>
      <c r="BJ513" s="0" t="s">
        <v>130</v>
      </c>
      <c r="BK513" s="0" t="s">
        <v>130</v>
      </c>
      <c r="BL513" s="0" t="s">
        <v>130</v>
      </c>
      <c r="BM513" s="0" t="s">
        <v>130</v>
      </c>
      <c r="BN513" s="0" t="s">
        <v>130</v>
      </c>
      <c r="BO513" s="0" t="s">
        <v>130</v>
      </c>
      <c r="BP513" s="0" t="s">
        <v>130</v>
      </c>
      <c r="BQ513" s="0" t="s">
        <v>130</v>
      </c>
      <c r="BR513" s="0" t="s">
        <v>130</v>
      </c>
      <c r="BS513" s="0" t="s">
        <v>130</v>
      </c>
      <c r="BT513" s="0" t="s">
        <v>130</v>
      </c>
      <c r="BU513" s="0" t="s">
        <v>130</v>
      </c>
      <c r="BV513" s="0" t="s">
        <v>130</v>
      </c>
      <c r="BW513" s="0" t="s">
        <v>130</v>
      </c>
      <c r="BX513" s="0" t="s">
        <v>130</v>
      </c>
      <c r="BY513" s="0" t="s">
        <v>130</v>
      </c>
      <c r="BZ513" s="0" t="s">
        <v>130</v>
      </c>
      <c r="CA513" s="0" t="s">
        <v>130</v>
      </c>
      <c r="CB513" s="0" t="s">
        <v>130</v>
      </c>
      <c r="CC513" s="0" t="s">
        <v>130</v>
      </c>
      <c r="CD513" s="0" t="s">
        <v>130</v>
      </c>
      <c r="CE513" s="0" t="s">
        <v>130</v>
      </c>
      <c r="CF513" s="0" t="s">
        <v>130</v>
      </c>
      <c r="CG513" s="0" t="s">
        <v>130</v>
      </c>
      <c r="CH513" s="0" t="s">
        <v>130</v>
      </c>
      <c r="CI513" s="0" t="s">
        <v>130</v>
      </c>
      <c r="CJ513" s="0" t="s">
        <v>130</v>
      </c>
      <c r="CK513" s="0" t="s">
        <v>130</v>
      </c>
      <c r="CL513" s="0" t="s">
        <v>130</v>
      </c>
      <c r="CM513" s="0" t="s">
        <v>130</v>
      </c>
      <c r="CN513" s="0" t="s">
        <v>130</v>
      </c>
      <c r="CO513" s="0" t="s">
        <v>130</v>
      </c>
      <c r="CP513" s="0" t="s">
        <v>130</v>
      </c>
      <c r="CQ513" s="0" t="s">
        <v>130</v>
      </c>
      <c r="CR513" s="0" t="s">
        <v>130</v>
      </c>
      <c r="CS513" s="0" t="s">
        <v>130</v>
      </c>
      <c r="CT513" s="0" t="s">
        <v>1737</v>
      </c>
    </row>
    <row r="514">
      <c r="A514" s="14">
        <v>101548</v>
      </c>
      <c r="B514" s="0" t="s">
        <v>1738</v>
      </c>
      <c r="C514" s="16">
        <f>HYPERLINK("https://eosportal.federatedhermes.com/companies/Q29tcGFueQppNjI0NTk=", "UnitedHealth Group Inc")</f>
      </c>
      <c r="D514" s="0" t="s">
        <v>25</v>
      </c>
      <c r="E514" s="0" t="s">
        <v>1194</v>
      </c>
      <c r="F514" s="16">
        <f>HYPERLINK("https://eosportal.federatedhermes.com/engagements/RW5nYWdlbWVudAppMjA3NjI=", "Diversity and inclusion")</f>
      </c>
      <c r="G514" s="14" t="s">
        <v>1739</v>
      </c>
      <c r="H514" s="0" t="s">
        <v>141</v>
      </c>
      <c r="I514" s="14" t="s">
        <v>636</v>
      </c>
      <c r="J514" s="0" t="s">
        <v>153</v>
      </c>
      <c r="K514" s="0" t="s">
        <v>154</v>
      </c>
      <c r="L514" s="0" t="s">
        <v>268</v>
      </c>
      <c r="M514" s="0" t="s">
        <v>135</v>
      </c>
      <c r="N514" s="0" t="s">
        <v>136</v>
      </c>
      <c r="O514" s="0" t="s">
        <v>274</v>
      </c>
      <c r="Q514" s="0" t="s">
        <v>130</v>
      </c>
      <c r="R514" s="0" t="s">
        <v>138</v>
      </c>
      <c r="S514" s="14">
        <v>0</v>
      </c>
      <c r="T514" s="0" t="s">
        <v>148</v>
      </c>
      <c r="U514" s="0" t="s">
        <v>138</v>
      </c>
      <c r="V514" s="14" t="s">
        <v>138</v>
      </c>
      <c r="W514" s="0" t="s">
        <v>138</v>
      </c>
      <c r="X514" s="14" t="s">
        <v>138</v>
      </c>
      <c r="Y514" s="0" t="s">
        <v>138</v>
      </c>
      <c r="Z514" s="14" t="s">
        <v>138</v>
      </c>
      <c r="AA514" s="0" t="s">
        <v>138</v>
      </c>
      <c r="AB514" s="14" t="s">
        <v>138</v>
      </c>
      <c r="AD514" s="0" t="s">
        <v>138</v>
      </c>
      <c r="AF514" s="0">
        <v>0</v>
      </c>
      <c r="AG514" s="0">
        <v>0</v>
      </c>
      <c r="AH514" s="0" t="s">
        <v>140</v>
      </c>
      <c r="AI514" s="0" t="s">
        <v>138</v>
      </c>
      <c r="AL514" s="14"/>
      <c r="AN514" s="14"/>
      <c r="AQ514" s="0" t="s">
        <v>130</v>
      </c>
      <c r="AR514" s="0" t="s">
        <v>130</v>
      </c>
      <c r="AS514" s="0" t="s">
        <v>130</v>
      </c>
      <c r="AT514" s="0" t="s">
        <v>130</v>
      </c>
      <c r="AU514" s="0" t="s">
        <v>130</v>
      </c>
      <c r="AV514" s="0" t="s">
        <v>130</v>
      </c>
      <c r="AW514" s="0" t="s">
        <v>130</v>
      </c>
      <c r="AX514" s="0" t="s">
        <v>130</v>
      </c>
      <c r="AY514" s="0" t="s">
        <v>130</v>
      </c>
      <c r="AZ514" s="0" t="s">
        <v>130</v>
      </c>
      <c r="BA514" s="0" t="s">
        <v>130</v>
      </c>
      <c r="BB514" s="0" t="s">
        <v>130</v>
      </c>
      <c r="BC514" s="0" t="s">
        <v>130</v>
      </c>
      <c r="BD514" s="0" t="s">
        <v>130</v>
      </c>
      <c r="BE514" s="0" t="s">
        <v>130</v>
      </c>
      <c r="BF514" s="0" t="s">
        <v>130</v>
      </c>
      <c r="BG514" s="0" t="s">
        <v>130</v>
      </c>
      <c r="BH514" s="0" t="s">
        <v>130</v>
      </c>
      <c r="BI514" s="0" t="s">
        <v>130</v>
      </c>
      <c r="BJ514" s="0" t="s">
        <v>130</v>
      </c>
      <c r="BK514" s="0" t="s">
        <v>130</v>
      </c>
      <c r="BL514" s="0" t="s">
        <v>130</v>
      </c>
      <c r="BM514" s="0" t="s">
        <v>130</v>
      </c>
      <c r="BN514" s="0" t="s">
        <v>130</v>
      </c>
      <c r="BO514" s="0" t="s">
        <v>130</v>
      </c>
      <c r="BP514" s="0" t="s">
        <v>130</v>
      </c>
      <c r="BQ514" s="0" t="s">
        <v>130</v>
      </c>
      <c r="BR514" s="0" t="s">
        <v>130</v>
      </c>
      <c r="BS514" s="0" t="s">
        <v>130</v>
      </c>
      <c r="BT514" s="0" t="s">
        <v>130</v>
      </c>
      <c r="BU514" s="0" t="s">
        <v>130</v>
      </c>
      <c r="BV514" s="0" t="s">
        <v>130</v>
      </c>
      <c r="BW514" s="0" t="s">
        <v>130</v>
      </c>
      <c r="BX514" s="0" t="s">
        <v>130</v>
      </c>
      <c r="BY514" s="0" t="s">
        <v>130</v>
      </c>
      <c r="BZ514" s="0" t="s">
        <v>130</v>
      </c>
      <c r="CA514" s="0" t="s">
        <v>130</v>
      </c>
      <c r="CB514" s="0" t="s">
        <v>130</v>
      </c>
      <c r="CC514" s="0" t="s">
        <v>130</v>
      </c>
      <c r="CD514" s="0" t="s">
        <v>130</v>
      </c>
      <c r="CE514" s="0" t="s">
        <v>130</v>
      </c>
      <c r="CF514" s="0" t="s">
        <v>130</v>
      </c>
      <c r="CG514" s="0" t="s">
        <v>130</v>
      </c>
      <c r="CH514" s="0" t="s">
        <v>130</v>
      </c>
      <c r="CI514" s="0" t="s">
        <v>130</v>
      </c>
      <c r="CJ514" s="0" t="s">
        <v>130</v>
      </c>
      <c r="CK514" s="0" t="s">
        <v>141</v>
      </c>
      <c r="CL514" s="0" t="s">
        <v>130</v>
      </c>
      <c r="CM514" s="0" t="s">
        <v>130</v>
      </c>
      <c r="CN514" s="0" t="s">
        <v>130</v>
      </c>
      <c r="CO514" s="0" t="s">
        <v>130</v>
      </c>
      <c r="CP514" s="0" t="s">
        <v>130</v>
      </c>
      <c r="CQ514" s="0" t="s">
        <v>130</v>
      </c>
      <c r="CR514" s="0" t="s">
        <v>130</v>
      </c>
      <c r="CS514" s="0" t="s">
        <v>130</v>
      </c>
      <c r="CT514" s="0" t="s">
        <v>1740</v>
      </c>
    </row>
    <row r="515">
      <c r="A515" s="14">
        <v>101548</v>
      </c>
      <c r="B515" s="0" t="s">
        <v>1738</v>
      </c>
      <c r="C515" s="16">
        <f>HYPERLINK("https://eosportal.federatedhermes.com/companies/Q29tcGFueQppNjI0NTk=", "UnitedHealth Group Inc")</f>
      </c>
      <c r="D515" s="0" t="s">
        <v>23</v>
      </c>
      <c r="E515" s="0" t="s">
        <v>1741</v>
      </c>
      <c r="F515" s="16">
        <f>HYPERLINK("https://eosportal.federatedhermes.com/engagements/RW5nYWdlbWVudAppMjA3Njc=", "Access to healthcare")</f>
      </c>
      <c r="G515" s="14" t="s">
        <v>1742</v>
      </c>
      <c r="H515" s="0" t="s">
        <v>141</v>
      </c>
      <c r="I515" s="14" t="s">
        <v>636</v>
      </c>
      <c r="J515" s="0" t="s">
        <v>153</v>
      </c>
      <c r="K515" s="0" t="s">
        <v>243</v>
      </c>
      <c r="L515" s="0" t="s">
        <v>292</v>
      </c>
      <c r="M515" s="0" t="s">
        <v>135</v>
      </c>
      <c r="N515" s="0" t="s">
        <v>136</v>
      </c>
      <c r="O515" s="0" t="s">
        <v>274</v>
      </c>
      <c r="Q515" s="0" t="s">
        <v>130</v>
      </c>
      <c r="R515" s="0" t="s">
        <v>130</v>
      </c>
      <c r="S515" s="14">
        <v>0</v>
      </c>
      <c r="T515" s="0" t="s">
        <v>327</v>
      </c>
      <c r="U515" s="0" t="s">
        <v>221</v>
      </c>
      <c r="V515" s="14" t="s">
        <v>327</v>
      </c>
      <c r="W515" s="0" t="s">
        <v>221</v>
      </c>
      <c r="X515" s="14" t="s">
        <v>327</v>
      </c>
      <c r="Y515" s="0" t="s">
        <v>221</v>
      </c>
      <c r="Z515" s="14" t="s">
        <v>230</v>
      </c>
      <c r="AA515" s="0" t="s">
        <v>223</v>
      </c>
      <c r="AB515" s="14" t="s">
        <v>138</v>
      </c>
      <c r="AD515" s="0" t="s">
        <v>20</v>
      </c>
      <c r="AF515" s="0">
        <v>0</v>
      </c>
      <c r="AG515" s="0">
        <v>0</v>
      </c>
      <c r="AH515" s="0" t="s">
        <v>140</v>
      </c>
      <c r="AI515" s="0" t="s">
        <v>479</v>
      </c>
      <c r="AL515" s="14"/>
      <c r="AN515" s="14"/>
      <c r="AQ515" s="0" t="s">
        <v>141</v>
      </c>
      <c r="AR515" s="0" t="s">
        <v>130</v>
      </c>
      <c r="AS515" s="0" t="s">
        <v>141</v>
      </c>
      <c r="AT515" s="0" t="s">
        <v>130</v>
      </c>
      <c r="AU515" s="0" t="s">
        <v>130</v>
      </c>
      <c r="AV515" s="0" t="s">
        <v>130</v>
      </c>
      <c r="AW515" s="0" t="s">
        <v>130</v>
      </c>
      <c r="AX515" s="0" t="s">
        <v>130</v>
      </c>
      <c r="AY515" s="0" t="s">
        <v>130</v>
      </c>
      <c r="AZ515" s="0" t="s">
        <v>130</v>
      </c>
      <c r="BA515" s="0" t="s">
        <v>130</v>
      </c>
      <c r="BB515" s="0" t="s">
        <v>130</v>
      </c>
      <c r="BC515" s="0" t="s">
        <v>130</v>
      </c>
      <c r="BD515" s="0" t="s">
        <v>130</v>
      </c>
      <c r="BE515" s="0" t="s">
        <v>130</v>
      </c>
      <c r="BF515" s="0" t="s">
        <v>130</v>
      </c>
      <c r="BG515" s="0" t="s">
        <v>130</v>
      </c>
      <c r="BH515" s="0" t="s">
        <v>130</v>
      </c>
      <c r="BI515" s="0" t="s">
        <v>130</v>
      </c>
      <c r="BJ515" s="0" t="s">
        <v>130</v>
      </c>
      <c r="BK515" s="0" t="s">
        <v>130</v>
      </c>
      <c r="BL515" s="0" t="s">
        <v>130</v>
      </c>
      <c r="BM515" s="0" t="s">
        <v>130</v>
      </c>
      <c r="BN515" s="0" t="s">
        <v>130</v>
      </c>
      <c r="BO515" s="0" t="s">
        <v>130</v>
      </c>
      <c r="BP515" s="0" t="s">
        <v>130</v>
      </c>
      <c r="BQ515" s="0" t="s">
        <v>130</v>
      </c>
      <c r="BR515" s="0" t="s">
        <v>130</v>
      </c>
      <c r="BS515" s="0" t="s">
        <v>130</v>
      </c>
      <c r="BT515" s="0" t="s">
        <v>130</v>
      </c>
      <c r="BU515" s="0" t="s">
        <v>130</v>
      </c>
      <c r="BV515" s="0" t="s">
        <v>130</v>
      </c>
      <c r="BW515" s="0" t="s">
        <v>130</v>
      </c>
      <c r="BX515" s="0" t="s">
        <v>130</v>
      </c>
      <c r="BY515" s="0" t="s">
        <v>130</v>
      </c>
      <c r="BZ515" s="0" t="s">
        <v>130</v>
      </c>
      <c r="CA515" s="0" t="s">
        <v>130</v>
      </c>
      <c r="CB515" s="0" t="s">
        <v>130</v>
      </c>
      <c r="CC515" s="0" t="s">
        <v>130</v>
      </c>
      <c r="CD515" s="0" t="s">
        <v>130</v>
      </c>
      <c r="CE515" s="0" t="s">
        <v>130</v>
      </c>
      <c r="CF515" s="0" t="s">
        <v>130</v>
      </c>
      <c r="CG515" s="0" t="s">
        <v>130</v>
      </c>
      <c r="CH515" s="0" t="s">
        <v>130</v>
      </c>
      <c r="CI515" s="0" t="s">
        <v>130</v>
      </c>
      <c r="CJ515" s="0" t="s">
        <v>130</v>
      </c>
      <c r="CK515" s="0" t="s">
        <v>130</v>
      </c>
      <c r="CL515" s="0" t="s">
        <v>130</v>
      </c>
      <c r="CM515" s="0" t="s">
        <v>130</v>
      </c>
      <c r="CN515" s="0" t="s">
        <v>130</v>
      </c>
      <c r="CO515" s="0" t="s">
        <v>130</v>
      </c>
      <c r="CP515" s="0" t="s">
        <v>130</v>
      </c>
      <c r="CQ515" s="0" t="s">
        <v>130</v>
      </c>
      <c r="CR515" s="0" t="s">
        <v>130</v>
      </c>
      <c r="CS515" s="0" t="s">
        <v>130</v>
      </c>
      <c r="CT515" s="0" t="s">
        <v>1743</v>
      </c>
    </row>
    <row r="516">
      <c r="A516" s="14">
        <v>101548</v>
      </c>
      <c r="B516" s="0" t="s">
        <v>1738</v>
      </c>
      <c r="C516" s="16">
        <f>HYPERLINK("https://eosportal.federatedhermes.com/companies/Q29tcGFueQppNjI0NTk=", "UnitedHealth Group Inc")</f>
      </c>
      <c r="D516" s="0" t="s">
        <v>25</v>
      </c>
      <c r="E516" s="0" t="s">
        <v>1744</v>
      </c>
      <c r="F516" s="16">
        <f>HYPERLINK("https://eosportal.federatedhermes.com/engagements/RW5nYWdlbWVudAppMjA3Njk=", "Political donations and lobbying disclosure")</f>
      </c>
      <c r="G516" s="14" t="s">
        <v>1745</v>
      </c>
      <c r="H516" s="0" t="s">
        <v>141</v>
      </c>
      <c r="I516" s="14" t="s">
        <v>636</v>
      </c>
      <c r="J516" s="0" t="s">
        <v>153</v>
      </c>
      <c r="K516" s="0" t="s">
        <v>185</v>
      </c>
      <c r="L516" s="0" t="s">
        <v>186</v>
      </c>
      <c r="M516" s="0" t="s">
        <v>135</v>
      </c>
      <c r="N516" s="0" t="s">
        <v>136</v>
      </c>
      <c r="O516" s="0" t="s">
        <v>274</v>
      </c>
      <c r="Q516" s="0" t="s">
        <v>130</v>
      </c>
      <c r="R516" s="0" t="s">
        <v>138</v>
      </c>
      <c r="S516" s="14">
        <v>0</v>
      </c>
      <c r="T516" s="0" t="s">
        <v>483</v>
      </c>
      <c r="U516" s="0" t="s">
        <v>138</v>
      </c>
      <c r="V516" s="14" t="s">
        <v>138</v>
      </c>
      <c r="W516" s="0" t="s">
        <v>138</v>
      </c>
      <c r="X516" s="14" t="s">
        <v>138</v>
      </c>
      <c r="Y516" s="0" t="s">
        <v>138</v>
      </c>
      <c r="Z516" s="14" t="s">
        <v>138</v>
      </c>
      <c r="AA516" s="0" t="s">
        <v>138</v>
      </c>
      <c r="AB516" s="14" t="s">
        <v>138</v>
      </c>
      <c r="AD516" s="0" t="s">
        <v>138</v>
      </c>
      <c r="AF516" s="0">
        <v>0</v>
      </c>
      <c r="AG516" s="0">
        <v>0</v>
      </c>
      <c r="AH516" s="0" t="s">
        <v>140</v>
      </c>
      <c r="AI516" s="0" t="s">
        <v>138</v>
      </c>
      <c r="AL516" s="14"/>
      <c r="AN516" s="14"/>
      <c r="AQ516" s="0" t="s">
        <v>130</v>
      </c>
      <c r="AR516" s="0" t="s">
        <v>130</v>
      </c>
      <c r="AS516" s="0" t="s">
        <v>130</v>
      </c>
      <c r="AT516" s="0" t="s">
        <v>130</v>
      </c>
      <c r="AU516" s="0" t="s">
        <v>130</v>
      </c>
      <c r="AV516" s="0" t="s">
        <v>130</v>
      </c>
      <c r="AW516" s="0" t="s">
        <v>130</v>
      </c>
      <c r="AX516" s="0" t="s">
        <v>130</v>
      </c>
      <c r="AY516" s="0" t="s">
        <v>130</v>
      </c>
      <c r="AZ516" s="0" t="s">
        <v>130</v>
      </c>
      <c r="BA516" s="0" t="s">
        <v>130</v>
      </c>
      <c r="BB516" s="0" t="s">
        <v>130</v>
      </c>
      <c r="BC516" s="0" t="s">
        <v>130</v>
      </c>
      <c r="BD516" s="0" t="s">
        <v>130</v>
      </c>
      <c r="BE516" s="0" t="s">
        <v>130</v>
      </c>
      <c r="BF516" s="0" t="s">
        <v>130</v>
      </c>
      <c r="BG516" s="0" t="s">
        <v>130</v>
      </c>
      <c r="BH516" s="0" t="s">
        <v>130</v>
      </c>
      <c r="BI516" s="0" t="s">
        <v>130</v>
      </c>
      <c r="BJ516" s="0" t="s">
        <v>130</v>
      </c>
      <c r="BK516" s="0" t="s">
        <v>130</v>
      </c>
      <c r="BL516" s="0" t="s">
        <v>130</v>
      </c>
      <c r="BM516" s="0" t="s">
        <v>130</v>
      </c>
      <c r="BN516" s="0" t="s">
        <v>130</v>
      </c>
      <c r="BO516" s="0" t="s">
        <v>130</v>
      </c>
      <c r="BP516" s="0" t="s">
        <v>130</v>
      </c>
      <c r="BQ516" s="0" t="s">
        <v>130</v>
      </c>
      <c r="BR516" s="0" t="s">
        <v>130</v>
      </c>
      <c r="BS516" s="0" t="s">
        <v>130</v>
      </c>
      <c r="BT516" s="0" t="s">
        <v>130</v>
      </c>
      <c r="BU516" s="0" t="s">
        <v>130</v>
      </c>
      <c r="BV516" s="0" t="s">
        <v>130</v>
      </c>
      <c r="BW516" s="0" t="s">
        <v>130</v>
      </c>
      <c r="BX516" s="0" t="s">
        <v>130</v>
      </c>
      <c r="BY516" s="0" t="s">
        <v>130</v>
      </c>
      <c r="BZ516" s="0" t="s">
        <v>130</v>
      </c>
      <c r="CA516" s="0" t="s">
        <v>130</v>
      </c>
      <c r="CB516" s="0" t="s">
        <v>130</v>
      </c>
      <c r="CC516" s="0" t="s">
        <v>130</v>
      </c>
      <c r="CD516" s="0" t="s">
        <v>130</v>
      </c>
      <c r="CE516" s="0" t="s">
        <v>130</v>
      </c>
      <c r="CF516" s="0" t="s">
        <v>130</v>
      </c>
      <c r="CG516" s="0" t="s">
        <v>130</v>
      </c>
      <c r="CH516" s="0" t="s">
        <v>130</v>
      </c>
      <c r="CI516" s="0" t="s">
        <v>130</v>
      </c>
      <c r="CJ516" s="0" t="s">
        <v>130</v>
      </c>
      <c r="CK516" s="0" t="s">
        <v>130</v>
      </c>
      <c r="CL516" s="0" t="s">
        <v>130</v>
      </c>
      <c r="CM516" s="0" t="s">
        <v>130</v>
      </c>
      <c r="CN516" s="0" t="s">
        <v>130</v>
      </c>
      <c r="CO516" s="0" t="s">
        <v>130</v>
      </c>
      <c r="CP516" s="0" t="s">
        <v>130</v>
      </c>
      <c r="CQ516" s="0" t="s">
        <v>130</v>
      </c>
      <c r="CR516" s="0" t="s">
        <v>130</v>
      </c>
      <c r="CS516" s="0" t="s">
        <v>130</v>
      </c>
      <c r="CT516" s="0" t="s">
        <v>1746</v>
      </c>
    </row>
    <row r="517">
      <c r="A517" s="14">
        <v>101548</v>
      </c>
      <c r="B517" s="0" t="s">
        <v>1738</v>
      </c>
      <c r="C517" s="16">
        <f>HYPERLINK("https://eosportal.federatedhermes.com/companies/Q29tcGFueQppNjI0NTk=", "UnitedHealth Group Inc")</f>
      </c>
      <c r="D517" s="0" t="s">
        <v>25</v>
      </c>
      <c r="E517" s="0" t="s">
        <v>1747</v>
      </c>
      <c r="F517" s="16">
        <f>HYPERLINK("https://eosportal.federatedhermes.com/engagements/RW5nYWdlbWVudAppMjA3NzA=", "Disclosure of Long-term Strategy and Significant Stakeholders")</f>
      </c>
      <c r="G517" s="14" t="s">
        <v>1748</v>
      </c>
      <c r="H517" s="0" t="s">
        <v>141</v>
      </c>
      <c r="I517" s="14" t="s">
        <v>636</v>
      </c>
      <c r="J517" s="0" t="s">
        <v>132</v>
      </c>
      <c r="K517" s="0" t="s">
        <v>133</v>
      </c>
      <c r="L517" s="0" t="s">
        <v>160</v>
      </c>
      <c r="M517" s="0" t="s">
        <v>135</v>
      </c>
      <c r="N517" s="0" t="s">
        <v>136</v>
      </c>
      <c r="O517" s="0" t="s">
        <v>274</v>
      </c>
      <c r="Q517" s="0" t="s">
        <v>130</v>
      </c>
      <c r="R517" s="0" t="s">
        <v>138</v>
      </c>
      <c r="S517" s="14">
        <v>0</v>
      </c>
      <c r="T517" s="0" t="s">
        <v>1145</v>
      </c>
      <c r="U517" s="0" t="s">
        <v>138</v>
      </c>
      <c r="V517" s="14" t="s">
        <v>138</v>
      </c>
      <c r="W517" s="0" t="s">
        <v>138</v>
      </c>
      <c r="X517" s="14" t="s">
        <v>138</v>
      </c>
      <c r="Y517" s="0" t="s">
        <v>138</v>
      </c>
      <c r="Z517" s="14" t="s">
        <v>138</v>
      </c>
      <c r="AA517" s="0" t="s">
        <v>138</v>
      </c>
      <c r="AB517" s="14" t="s">
        <v>138</v>
      </c>
      <c r="AD517" s="0" t="s">
        <v>138</v>
      </c>
      <c r="AF517" s="0">
        <v>0</v>
      </c>
      <c r="AG517" s="0">
        <v>0</v>
      </c>
      <c r="AH517" s="0" t="s">
        <v>140</v>
      </c>
      <c r="AI517" s="0" t="s">
        <v>138</v>
      </c>
      <c r="AL517" s="14"/>
      <c r="AN517" s="14"/>
      <c r="AQ517" s="0" t="s">
        <v>130</v>
      </c>
      <c r="AR517" s="0" t="s">
        <v>130</v>
      </c>
      <c r="AS517" s="0" t="s">
        <v>130</v>
      </c>
      <c r="AT517" s="0" t="s">
        <v>130</v>
      </c>
      <c r="AU517" s="0" t="s">
        <v>130</v>
      </c>
      <c r="AV517" s="0" t="s">
        <v>130</v>
      </c>
      <c r="AW517" s="0" t="s">
        <v>130</v>
      </c>
      <c r="AX517" s="0" t="s">
        <v>130</v>
      </c>
      <c r="AY517" s="0" t="s">
        <v>130</v>
      </c>
      <c r="AZ517" s="0" t="s">
        <v>130</v>
      </c>
      <c r="BA517" s="0" t="s">
        <v>130</v>
      </c>
      <c r="BB517" s="0" t="s">
        <v>130</v>
      </c>
      <c r="BC517" s="0" t="s">
        <v>130</v>
      </c>
      <c r="BD517" s="0" t="s">
        <v>130</v>
      </c>
      <c r="BE517" s="0" t="s">
        <v>130</v>
      </c>
      <c r="BF517" s="0" t="s">
        <v>130</v>
      </c>
      <c r="BG517" s="0" t="s">
        <v>130</v>
      </c>
      <c r="BH517" s="0" t="s">
        <v>130</v>
      </c>
      <c r="BI517" s="0" t="s">
        <v>130</v>
      </c>
      <c r="BJ517" s="0" t="s">
        <v>130</v>
      </c>
      <c r="BK517" s="0" t="s">
        <v>130</v>
      </c>
      <c r="BL517" s="0" t="s">
        <v>130</v>
      </c>
      <c r="BM517" s="0" t="s">
        <v>130</v>
      </c>
      <c r="BN517" s="0" t="s">
        <v>130</v>
      </c>
      <c r="BO517" s="0" t="s">
        <v>130</v>
      </c>
      <c r="BP517" s="0" t="s">
        <v>130</v>
      </c>
      <c r="BQ517" s="0" t="s">
        <v>130</v>
      </c>
      <c r="BR517" s="0" t="s">
        <v>130</v>
      </c>
      <c r="BS517" s="0" t="s">
        <v>130</v>
      </c>
      <c r="BT517" s="0" t="s">
        <v>130</v>
      </c>
      <c r="BU517" s="0" t="s">
        <v>130</v>
      </c>
      <c r="BV517" s="0" t="s">
        <v>130</v>
      </c>
      <c r="BW517" s="0" t="s">
        <v>130</v>
      </c>
      <c r="BX517" s="0" t="s">
        <v>130</v>
      </c>
      <c r="BY517" s="0" t="s">
        <v>130</v>
      </c>
      <c r="BZ517" s="0" t="s">
        <v>130</v>
      </c>
      <c r="CA517" s="0" t="s">
        <v>130</v>
      </c>
      <c r="CB517" s="0" t="s">
        <v>130</v>
      </c>
      <c r="CC517" s="0" t="s">
        <v>130</v>
      </c>
      <c r="CD517" s="0" t="s">
        <v>130</v>
      </c>
      <c r="CE517" s="0" t="s">
        <v>130</v>
      </c>
      <c r="CF517" s="0" t="s">
        <v>130</v>
      </c>
      <c r="CG517" s="0" t="s">
        <v>130</v>
      </c>
      <c r="CH517" s="0" t="s">
        <v>130</v>
      </c>
      <c r="CI517" s="0" t="s">
        <v>130</v>
      </c>
      <c r="CJ517" s="0" t="s">
        <v>130</v>
      </c>
      <c r="CK517" s="0" t="s">
        <v>130</v>
      </c>
      <c r="CL517" s="0" t="s">
        <v>130</v>
      </c>
      <c r="CM517" s="0" t="s">
        <v>130</v>
      </c>
      <c r="CN517" s="0" t="s">
        <v>130</v>
      </c>
      <c r="CO517" s="0" t="s">
        <v>130</v>
      </c>
      <c r="CP517" s="0" t="s">
        <v>130</v>
      </c>
      <c r="CQ517" s="0" t="s">
        <v>130</v>
      </c>
      <c r="CR517" s="0" t="s">
        <v>130</v>
      </c>
      <c r="CS517" s="0" t="s">
        <v>130</v>
      </c>
      <c r="CT517" s="0" t="s">
        <v>1749</v>
      </c>
    </row>
    <row r="518">
      <c r="A518" s="14">
        <v>101548</v>
      </c>
      <c r="B518" s="0" t="s">
        <v>1738</v>
      </c>
      <c r="C518" s="16">
        <f>HYPERLINK("https://eosportal.federatedhermes.com/companies/Q29tcGFueQppNjI0NTk=", "UnitedHealth Group Inc")</f>
      </c>
      <c r="D518" s="0" t="s">
        <v>25</v>
      </c>
      <c r="E518" s="0" t="s">
        <v>1750</v>
      </c>
      <c r="F518" s="16">
        <f>HYPERLINK("https://eosportal.federatedhermes.com/engagements/RW5nYWdlbWVudAppMjA3NzE=", "Board Diversity Disclosures")</f>
      </c>
      <c r="G518" s="14" t="s">
        <v>1751</v>
      </c>
      <c r="H518" s="0" t="s">
        <v>141</v>
      </c>
      <c r="I518" s="14" t="s">
        <v>636</v>
      </c>
      <c r="J518" s="0" t="s">
        <v>145</v>
      </c>
      <c r="K518" s="0" t="s">
        <v>164</v>
      </c>
      <c r="L518" s="0" t="s">
        <v>165</v>
      </c>
      <c r="M518" s="0" t="s">
        <v>135</v>
      </c>
      <c r="N518" s="0" t="s">
        <v>136</v>
      </c>
      <c r="O518" s="0" t="s">
        <v>274</v>
      </c>
      <c r="Q518" s="0" t="s">
        <v>130</v>
      </c>
      <c r="R518" s="0" t="s">
        <v>138</v>
      </c>
      <c r="S518" s="14">
        <v>0</v>
      </c>
      <c r="T518" s="0" t="s">
        <v>166</v>
      </c>
      <c r="U518" s="0" t="s">
        <v>138</v>
      </c>
      <c r="V518" s="14" t="s">
        <v>138</v>
      </c>
      <c r="W518" s="0" t="s">
        <v>138</v>
      </c>
      <c r="X518" s="14" t="s">
        <v>138</v>
      </c>
      <c r="Y518" s="0" t="s">
        <v>138</v>
      </c>
      <c r="Z518" s="14" t="s">
        <v>138</v>
      </c>
      <c r="AA518" s="0" t="s">
        <v>138</v>
      </c>
      <c r="AB518" s="14" t="s">
        <v>138</v>
      </c>
      <c r="AD518" s="0" t="s">
        <v>138</v>
      </c>
      <c r="AF518" s="0">
        <v>0</v>
      </c>
      <c r="AG518" s="0">
        <v>0</v>
      </c>
      <c r="AH518" s="0" t="s">
        <v>140</v>
      </c>
      <c r="AI518" s="0" t="s">
        <v>138</v>
      </c>
      <c r="AL518" s="14"/>
      <c r="AN518" s="14"/>
      <c r="AQ518" s="0" t="s">
        <v>130</v>
      </c>
      <c r="AR518" s="0" t="s">
        <v>130</v>
      </c>
      <c r="AS518" s="0" t="s">
        <v>130</v>
      </c>
      <c r="AT518" s="0" t="s">
        <v>130</v>
      </c>
      <c r="AU518" s="0" t="s">
        <v>141</v>
      </c>
      <c r="AV518" s="0" t="s">
        <v>130</v>
      </c>
      <c r="AW518" s="0" t="s">
        <v>130</v>
      </c>
      <c r="AX518" s="0" t="s">
        <v>130</v>
      </c>
      <c r="AY518" s="0" t="s">
        <v>130</v>
      </c>
      <c r="AZ518" s="0" t="s">
        <v>141</v>
      </c>
      <c r="BA518" s="0" t="s">
        <v>130</v>
      </c>
      <c r="BB518" s="0" t="s">
        <v>130</v>
      </c>
      <c r="BC518" s="0" t="s">
        <v>130</v>
      </c>
      <c r="BD518" s="0" t="s">
        <v>130</v>
      </c>
      <c r="BE518" s="0" t="s">
        <v>130</v>
      </c>
      <c r="BF518" s="0" t="s">
        <v>130</v>
      </c>
      <c r="BG518" s="0" t="s">
        <v>130</v>
      </c>
      <c r="BH518" s="0" t="s">
        <v>130</v>
      </c>
      <c r="BI518" s="0" t="s">
        <v>130</v>
      </c>
      <c r="BJ518" s="0" t="s">
        <v>130</v>
      </c>
      <c r="BK518" s="0" t="s">
        <v>130</v>
      </c>
      <c r="BL518" s="0" t="s">
        <v>130</v>
      </c>
      <c r="BM518" s="0" t="s">
        <v>130</v>
      </c>
      <c r="BN518" s="0" t="s">
        <v>130</v>
      </c>
      <c r="BO518" s="0" t="s">
        <v>130</v>
      </c>
      <c r="BP518" s="0" t="s">
        <v>130</v>
      </c>
      <c r="BQ518" s="0" t="s">
        <v>130</v>
      </c>
      <c r="BR518" s="0" t="s">
        <v>130</v>
      </c>
      <c r="BS518" s="0" t="s">
        <v>130</v>
      </c>
      <c r="BT518" s="0" t="s">
        <v>130</v>
      </c>
      <c r="BU518" s="0" t="s">
        <v>130</v>
      </c>
      <c r="BV518" s="0" t="s">
        <v>130</v>
      </c>
      <c r="BW518" s="0" t="s">
        <v>130</v>
      </c>
      <c r="BX518" s="0" t="s">
        <v>130</v>
      </c>
      <c r="BY518" s="0" t="s">
        <v>130</v>
      </c>
      <c r="BZ518" s="0" t="s">
        <v>130</v>
      </c>
      <c r="CA518" s="0" t="s">
        <v>130</v>
      </c>
      <c r="CB518" s="0" t="s">
        <v>130</v>
      </c>
      <c r="CC518" s="0" t="s">
        <v>130</v>
      </c>
      <c r="CD518" s="0" t="s">
        <v>130</v>
      </c>
      <c r="CE518" s="0" t="s">
        <v>130</v>
      </c>
      <c r="CF518" s="0" t="s">
        <v>130</v>
      </c>
      <c r="CG518" s="0" t="s">
        <v>130</v>
      </c>
      <c r="CH518" s="0" t="s">
        <v>130</v>
      </c>
      <c r="CI518" s="0" t="s">
        <v>130</v>
      </c>
      <c r="CJ518" s="0" t="s">
        <v>130</v>
      </c>
      <c r="CK518" s="0" t="s">
        <v>130</v>
      </c>
      <c r="CL518" s="0" t="s">
        <v>130</v>
      </c>
      <c r="CM518" s="0" t="s">
        <v>130</v>
      </c>
      <c r="CN518" s="0" t="s">
        <v>130</v>
      </c>
      <c r="CO518" s="0" t="s">
        <v>130</v>
      </c>
      <c r="CP518" s="0" t="s">
        <v>130</v>
      </c>
      <c r="CQ518" s="0" t="s">
        <v>130</v>
      </c>
      <c r="CR518" s="0" t="s">
        <v>130</v>
      </c>
      <c r="CS518" s="0" t="s">
        <v>130</v>
      </c>
      <c r="CT518" s="0" t="s">
        <v>1752</v>
      </c>
    </row>
    <row r="519">
      <c r="A519" s="14">
        <v>101548</v>
      </c>
      <c r="B519" s="0" t="s">
        <v>1738</v>
      </c>
      <c r="C519" s="16">
        <f>HYPERLINK("https://eosportal.federatedhermes.com/companies/Q29tcGFueQppNjI0NTk=", "UnitedHealth Group Inc")</f>
      </c>
      <c r="D519" s="0" t="s">
        <v>25</v>
      </c>
      <c r="E519" s="0" t="s">
        <v>1753</v>
      </c>
      <c r="F519" s="16">
        <f>HYPERLINK("https://eosportal.federatedhermes.com/engagements/RW5nYWdlbWVudAppMjA3NzY=", "Response to coronavirus")</f>
      </c>
      <c r="G519" s="14" t="s">
        <v>1754</v>
      </c>
      <c r="H519" s="0" t="s">
        <v>141</v>
      </c>
      <c r="I519" s="14" t="s">
        <v>636</v>
      </c>
      <c r="J519" s="0" t="s">
        <v>132</v>
      </c>
      <c r="K519" s="0" t="s">
        <v>260</v>
      </c>
      <c r="L519" s="0" t="s">
        <v>261</v>
      </c>
      <c r="M519" s="0" t="s">
        <v>135</v>
      </c>
      <c r="N519" s="0" t="s">
        <v>136</v>
      </c>
      <c r="O519" s="0" t="s">
        <v>274</v>
      </c>
      <c r="Q519" s="0" t="s">
        <v>130</v>
      </c>
      <c r="R519" s="0" t="s">
        <v>138</v>
      </c>
      <c r="S519" s="14">
        <v>0</v>
      </c>
      <c r="T519" s="0" t="s">
        <v>148</v>
      </c>
      <c r="U519" s="0" t="s">
        <v>138</v>
      </c>
      <c r="V519" s="14" t="s">
        <v>138</v>
      </c>
      <c r="W519" s="0" t="s">
        <v>138</v>
      </c>
      <c r="X519" s="14" t="s">
        <v>138</v>
      </c>
      <c r="Y519" s="0" t="s">
        <v>138</v>
      </c>
      <c r="Z519" s="14" t="s">
        <v>138</v>
      </c>
      <c r="AA519" s="0" t="s">
        <v>138</v>
      </c>
      <c r="AB519" s="14" t="s">
        <v>138</v>
      </c>
      <c r="AD519" s="0" t="s">
        <v>138</v>
      </c>
      <c r="AF519" s="0">
        <v>0</v>
      </c>
      <c r="AG519" s="0">
        <v>0</v>
      </c>
      <c r="AH519" s="0" t="s">
        <v>140</v>
      </c>
      <c r="AI519" s="0" t="s">
        <v>138</v>
      </c>
      <c r="AL519" s="14"/>
      <c r="AN519" s="14"/>
      <c r="AQ519" s="0" t="s">
        <v>130</v>
      </c>
      <c r="AR519" s="0" t="s">
        <v>130</v>
      </c>
      <c r="AS519" s="0" t="s">
        <v>141</v>
      </c>
      <c r="AT519" s="0" t="s">
        <v>130</v>
      </c>
      <c r="AU519" s="0" t="s">
        <v>130</v>
      </c>
      <c r="AV519" s="0" t="s">
        <v>130</v>
      </c>
      <c r="AW519" s="0" t="s">
        <v>130</v>
      </c>
      <c r="AX519" s="0" t="s">
        <v>130</v>
      </c>
      <c r="AY519" s="0" t="s">
        <v>130</v>
      </c>
      <c r="AZ519" s="0" t="s">
        <v>130</v>
      </c>
      <c r="BA519" s="0" t="s">
        <v>130</v>
      </c>
      <c r="BB519" s="0" t="s">
        <v>130</v>
      </c>
      <c r="BC519" s="0" t="s">
        <v>130</v>
      </c>
      <c r="BD519" s="0" t="s">
        <v>130</v>
      </c>
      <c r="BE519" s="0" t="s">
        <v>130</v>
      </c>
      <c r="BF519" s="0" t="s">
        <v>130</v>
      </c>
      <c r="BG519" s="0" t="s">
        <v>130</v>
      </c>
      <c r="BH519" s="0" t="s">
        <v>130</v>
      </c>
      <c r="BI519" s="0" t="s">
        <v>130</v>
      </c>
      <c r="BJ519" s="0" t="s">
        <v>130</v>
      </c>
      <c r="BK519" s="0" t="s">
        <v>130</v>
      </c>
      <c r="BL519" s="0" t="s">
        <v>130</v>
      </c>
      <c r="BM519" s="0" t="s">
        <v>130</v>
      </c>
      <c r="BN519" s="0" t="s">
        <v>130</v>
      </c>
      <c r="BO519" s="0" t="s">
        <v>130</v>
      </c>
      <c r="BP519" s="0" t="s">
        <v>130</v>
      </c>
      <c r="BQ519" s="0" t="s">
        <v>130</v>
      </c>
      <c r="BR519" s="0" t="s">
        <v>130</v>
      </c>
      <c r="BS519" s="0" t="s">
        <v>130</v>
      </c>
      <c r="BT519" s="0" t="s">
        <v>130</v>
      </c>
      <c r="BU519" s="0" t="s">
        <v>130</v>
      </c>
      <c r="BV519" s="0" t="s">
        <v>130</v>
      </c>
      <c r="BW519" s="0" t="s">
        <v>130</v>
      </c>
      <c r="BX519" s="0" t="s">
        <v>130</v>
      </c>
      <c r="BY519" s="0" t="s">
        <v>130</v>
      </c>
      <c r="BZ519" s="0" t="s">
        <v>130</v>
      </c>
      <c r="CA519" s="0" t="s">
        <v>130</v>
      </c>
      <c r="CB519" s="0" t="s">
        <v>130</v>
      </c>
      <c r="CC519" s="0" t="s">
        <v>130</v>
      </c>
      <c r="CD519" s="0" t="s">
        <v>130</v>
      </c>
      <c r="CE519" s="0" t="s">
        <v>130</v>
      </c>
      <c r="CF519" s="0" t="s">
        <v>130</v>
      </c>
      <c r="CG519" s="0" t="s">
        <v>130</v>
      </c>
      <c r="CH519" s="0" t="s">
        <v>130</v>
      </c>
      <c r="CI519" s="0" t="s">
        <v>130</v>
      </c>
      <c r="CJ519" s="0" t="s">
        <v>130</v>
      </c>
      <c r="CK519" s="0" t="s">
        <v>130</v>
      </c>
      <c r="CL519" s="0" t="s">
        <v>130</v>
      </c>
      <c r="CM519" s="0" t="s">
        <v>130</v>
      </c>
      <c r="CN519" s="0" t="s">
        <v>130</v>
      </c>
      <c r="CO519" s="0" t="s">
        <v>130</v>
      </c>
      <c r="CP519" s="0" t="s">
        <v>130</v>
      </c>
      <c r="CQ519" s="0" t="s">
        <v>130</v>
      </c>
      <c r="CR519" s="0" t="s">
        <v>130</v>
      </c>
      <c r="CS519" s="0" t="s">
        <v>130</v>
      </c>
      <c r="CT519" s="0" t="s">
        <v>1755</v>
      </c>
    </row>
    <row r="520">
      <c r="A520" s="14">
        <v>101548</v>
      </c>
      <c r="B520" s="0" t="s">
        <v>1738</v>
      </c>
      <c r="C520" s="16">
        <f>HYPERLINK("https://eosportal.federatedhermes.com/companies/Q29tcGFueQppNjI0NTk=", "UnitedHealth Group Inc")</f>
      </c>
      <c r="D520" s="0" t="s">
        <v>25</v>
      </c>
      <c r="E520" s="0" t="s">
        <v>1756</v>
      </c>
      <c r="F520" s="16">
        <f>HYPERLINK("https://eosportal.federatedhermes.com/engagements/RW5nYWdlbWVudAppMjA3Nzc=", "US Principles")</f>
      </c>
      <c r="G520" s="14" t="s">
        <v>1757</v>
      </c>
      <c r="H520" s="0" t="s">
        <v>141</v>
      </c>
      <c r="I520" s="14" t="s">
        <v>636</v>
      </c>
      <c r="J520" s="0" t="s">
        <v>132</v>
      </c>
      <c r="K520" s="0" t="s">
        <v>133</v>
      </c>
      <c r="L520" s="0" t="s">
        <v>160</v>
      </c>
      <c r="M520" s="0" t="s">
        <v>135</v>
      </c>
      <c r="N520" s="0" t="s">
        <v>136</v>
      </c>
      <c r="O520" s="0" t="s">
        <v>274</v>
      </c>
      <c r="Q520" s="0" t="s">
        <v>130</v>
      </c>
      <c r="R520" s="0" t="s">
        <v>138</v>
      </c>
      <c r="S520" s="14">
        <v>0</v>
      </c>
      <c r="T520" s="0" t="s">
        <v>320</v>
      </c>
      <c r="U520" s="0" t="s">
        <v>138</v>
      </c>
      <c r="V520" s="14" t="s">
        <v>138</v>
      </c>
      <c r="W520" s="0" t="s">
        <v>138</v>
      </c>
      <c r="X520" s="14" t="s">
        <v>138</v>
      </c>
      <c r="Y520" s="0" t="s">
        <v>138</v>
      </c>
      <c r="Z520" s="14" t="s">
        <v>138</v>
      </c>
      <c r="AA520" s="0" t="s">
        <v>138</v>
      </c>
      <c r="AB520" s="14" t="s">
        <v>138</v>
      </c>
      <c r="AD520" s="0" t="s">
        <v>138</v>
      </c>
      <c r="AF520" s="0">
        <v>0</v>
      </c>
      <c r="AG520" s="0">
        <v>0</v>
      </c>
      <c r="AH520" s="0" t="s">
        <v>140</v>
      </c>
      <c r="AI520" s="0" t="s">
        <v>138</v>
      </c>
      <c r="AL520" s="14"/>
      <c r="AN520" s="14"/>
      <c r="AQ520" s="0" t="s">
        <v>130</v>
      </c>
      <c r="AR520" s="0" t="s">
        <v>130</v>
      </c>
      <c r="AS520" s="0" t="s">
        <v>130</v>
      </c>
      <c r="AT520" s="0" t="s">
        <v>130</v>
      </c>
      <c r="AU520" s="0" t="s">
        <v>130</v>
      </c>
      <c r="AV520" s="0" t="s">
        <v>130</v>
      </c>
      <c r="AW520" s="0" t="s">
        <v>130</v>
      </c>
      <c r="AX520" s="0" t="s">
        <v>130</v>
      </c>
      <c r="AY520" s="0" t="s">
        <v>130</v>
      </c>
      <c r="AZ520" s="0" t="s">
        <v>130</v>
      </c>
      <c r="BA520" s="0" t="s">
        <v>130</v>
      </c>
      <c r="BB520" s="0" t="s">
        <v>130</v>
      </c>
      <c r="BC520" s="0" t="s">
        <v>130</v>
      </c>
      <c r="BD520" s="0" t="s">
        <v>130</v>
      </c>
      <c r="BE520" s="0" t="s">
        <v>130</v>
      </c>
      <c r="BF520" s="0" t="s">
        <v>130</v>
      </c>
      <c r="BG520" s="0" t="s">
        <v>130</v>
      </c>
      <c r="BH520" s="0" t="s">
        <v>130</v>
      </c>
      <c r="BI520" s="0" t="s">
        <v>130</v>
      </c>
      <c r="BJ520" s="0" t="s">
        <v>130</v>
      </c>
      <c r="BK520" s="0" t="s">
        <v>130</v>
      </c>
      <c r="BL520" s="0" t="s">
        <v>130</v>
      </c>
      <c r="BM520" s="0" t="s">
        <v>130</v>
      </c>
      <c r="BN520" s="0" t="s">
        <v>130</v>
      </c>
      <c r="BO520" s="0" t="s">
        <v>130</v>
      </c>
      <c r="BP520" s="0" t="s">
        <v>130</v>
      </c>
      <c r="BQ520" s="0" t="s">
        <v>130</v>
      </c>
      <c r="BR520" s="0" t="s">
        <v>130</v>
      </c>
      <c r="BS520" s="0" t="s">
        <v>130</v>
      </c>
      <c r="BT520" s="0" t="s">
        <v>130</v>
      </c>
      <c r="BU520" s="0" t="s">
        <v>130</v>
      </c>
      <c r="BV520" s="0" t="s">
        <v>130</v>
      </c>
      <c r="BW520" s="0" t="s">
        <v>130</v>
      </c>
      <c r="BX520" s="0" t="s">
        <v>130</v>
      </c>
      <c r="BY520" s="0" t="s">
        <v>130</v>
      </c>
      <c r="BZ520" s="0" t="s">
        <v>130</v>
      </c>
      <c r="CA520" s="0" t="s">
        <v>130</v>
      </c>
      <c r="CB520" s="0" t="s">
        <v>130</v>
      </c>
      <c r="CC520" s="0" t="s">
        <v>130</v>
      </c>
      <c r="CD520" s="0" t="s">
        <v>130</v>
      </c>
      <c r="CE520" s="0" t="s">
        <v>130</v>
      </c>
      <c r="CF520" s="0" t="s">
        <v>130</v>
      </c>
      <c r="CG520" s="0" t="s">
        <v>130</v>
      </c>
      <c r="CH520" s="0" t="s">
        <v>130</v>
      </c>
      <c r="CI520" s="0" t="s">
        <v>130</v>
      </c>
      <c r="CJ520" s="0" t="s">
        <v>130</v>
      </c>
      <c r="CK520" s="0" t="s">
        <v>130</v>
      </c>
      <c r="CL520" s="0" t="s">
        <v>130</v>
      </c>
      <c r="CM520" s="0" t="s">
        <v>130</v>
      </c>
      <c r="CN520" s="0" t="s">
        <v>130</v>
      </c>
      <c r="CO520" s="0" t="s">
        <v>130</v>
      </c>
      <c r="CP520" s="0" t="s">
        <v>130</v>
      </c>
      <c r="CQ520" s="0" t="s">
        <v>130</v>
      </c>
      <c r="CR520" s="0" t="s">
        <v>130</v>
      </c>
      <c r="CS520" s="0" t="s">
        <v>130</v>
      </c>
      <c r="CT520" s="0" t="s">
        <v>1758</v>
      </c>
    </row>
    <row r="521">
      <c r="A521" s="14">
        <v>101548</v>
      </c>
      <c r="B521" s="0" t="s">
        <v>1738</v>
      </c>
      <c r="C521" s="16">
        <f>HYPERLINK("https://eosportal.federatedhermes.com/companies/Q29tcGFueQppNjI0NTk=", "UnitedHealth Group Inc")</f>
      </c>
      <c r="D521" s="0" t="s">
        <v>25</v>
      </c>
      <c r="E521" s="0" t="s">
        <v>1759</v>
      </c>
      <c r="F521" s="16">
        <f>HYPERLINK("https://eosportal.federatedhermes.com/engagements/RW5nYWdlbWVudAppMjA3Nzg=", "Improve ESG disclosure")</f>
      </c>
      <c r="G521" s="14" t="s">
        <v>1760</v>
      </c>
      <c r="H521" s="0" t="s">
        <v>141</v>
      </c>
      <c r="I521" s="14" t="s">
        <v>636</v>
      </c>
      <c r="J521" s="0" t="s">
        <v>132</v>
      </c>
      <c r="K521" s="0" t="s">
        <v>170</v>
      </c>
      <c r="L521" s="0" t="s">
        <v>171</v>
      </c>
      <c r="M521" s="0" t="s">
        <v>135</v>
      </c>
      <c r="N521" s="0" t="s">
        <v>136</v>
      </c>
      <c r="O521" s="0" t="s">
        <v>274</v>
      </c>
      <c r="Q521" s="0" t="s">
        <v>130</v>
      </c>
      <c r="R521" s="0" t="s">
        <v>138</v>
      </c>
      <c r="S521" s="14">
        <v>0</v>
      </c>
      <c r="T521" s="0" t="s">
        <v>394</v>
      </c>
      <c r="U521" s="0" t="s">
        <v>138</v>
      </c>
      <c r="V521" s="14" t="s">
        <v>138</v>
      </c>
      <c r="W521" s="0" t="s">
        <v>138</v>
      </c>
      <c r="X521" s="14" t="s">
        <v>138</v>
      </c>
      <c r="Y521" s="0" t="s">
        <v>138</v>
      </c>
      <c r="Z521" s="14" t="s">
        <v>138</v>
      </c>
      <c r="AA521" s="0" t="s">
        <v>138</v>
      </c>
      <c r="AB521" s="14" t="s">
        <v>138</v>
      </c>
      <c r="AD521" s="0" t="s">
        <v>138</v>
      </c>
      <c r="AF521" s="0">
        <v>0</v>
      </c>
      <c r="AG521" s="0">
        <v>0</v>
      </c>
      <c r="AH521" s="0" t="s">
        <v>140</v>
      </c>
      <c r="AI521" s="0" t="s">
        <v>138</v>
      </c>
      <c r="AL521" s="14"/>
      <c r="AN521" s="14"/>
      <c r="AQ521" s="0" t="s">
        <v>130</v>
      </c>
      <c r="AR521" s="0" t="s">
        <v>130</v>
      </c>
      <c r="AS521" s="0" t="s">
        <v>130</v>
      </c>
      <c r="AT521" s="0" t="s">
        <v>130</v>
      </c>
      <c r="AU521" s="0" t="s">
        <v>130</v>
      </c>
      <c r="AV521" s="0" t="s">
        <v>130</v>
      </c>
      <c r="AW521" s="0" t="s">
        <v>130</v>
      </c>
      <c r="AX521" s="0" t="s">
        <v>130</v>
      </c>
      <c r="AY521" s="0" t="s">
        <v>130</v>
      </c>
      <c r="AZ521" s="0" t="s">
        <v>130</v>
      </c>
      <c r="BA521" s="0" t="s">
        <v>130</v>
      </c>
      <c r="BB521" s="0" t="s">
        <v>130</v>
      </c>
      <c r="BC521" s="0" t="s">
        <v>130</v>
      </c>
      <c r="BD521" s="0" t="s">
        <v>130</v>
      </c>
      <c r="BE521" s="0" t="s">
        <v>130</v>
      </c>
      <c r="BF521" s="0" t="s">
        <v>130</v>
      </c>
      <c r="BG521" s="0" t="s">
        <v>130</v>
      </c>
      <c r="BH521" s="0" t="s">
        <v>130</v>
      </c>
      <c r="BI521" s="0" t="s">
        <v>130</v>
      </c>
      <c r="BJ521" s="0" t="s">
        <v>130</v>
      </c>
      <c r="BK521" s="0" t="s">
        <v>130</v>
      </c>
      <c r="BL521" s="0" t="s">
        <v>130</v>
      </c>
      <c r="BM521" s="0" t="s">
        <v>130</v>
      </c>
      <c r="BN521" s="0" t="s">
        <v>130</v>
      </c>
      <c r="BO521" s="0" t="s">
        <v>130</v>
      </c>
      <c r="BP521" s="0" t="s">
        <v>130</v>
      </c>
      <c r="BQ521" s="0" t="s">
        <v>130</v>
      </c>
      <c r="BR521" s="0" t="s">
        <v>130</v>
      </c>
      <c r="BS521" s="0" t="s">
        <v>130</v>
      </c>
      <c r="BT521" s="0" t="s">
        <v>130</v>
      </c>
      <c r="BU521" s="0" t="s">
        <v>130</v>
      </c>
      <c r="BV521" s="0" t="s">
        <v>130</v>
      </c>
      <c r="BW521" s="0" t="s">
        <v>130</v>
      </c>
      <c r="BX521" s="0" t="s">
        <v>130</v>
      </c>
      <c r="BY521" s="0" t="s">
        <v>130</v>
      </c>
      <c r="BZ521" s="0" t="s">
        <v>130</v>
      </c>
      <c r="CA521" s="0" t="s">
        <v>130</v>
      </c>
      <c r="CB521" s="0" t="s">
        <v>130</v>
      </c>
      <c r="CC521" s="0" t="s">
        <v>130</v>
      </c>
      <c r="CD521" s="0" t="s">
        <v>130</v>
      </c>
      <c r="CE521" s="0" t="s">
        <v>130</v>
      </c>
      <c r="CF521" s="0" t="s">
        <v>130</v>
      </c>
      <c r="CG521" s="0" t="s">
        <v>130</v>
      </c>
      <c r="CH521" s="0" t="s">
        <v>130</v>
      </c>
      <c r="CI521" s="0" t="s">
        <v>130</v>
      </c>
      <c r="CJ521" s="0" t="s">
        <v>130</v>
      </c>
      <c r="CK521" s="0" t="s">
        <v>130</v>
      </c>
      <c r="CL521" s="0" t="s">
        <v>130</v>
      </c>
      <c r="CM521" s="0" t="s">
        <v>130</v>
      </c>
      <c r="CN521" s="0" t="s">
        <v>130</v>
      </c>
      <c r="CO521" s="0" t="s">
        <v>130</v>
      </c>
      <c r="CP521" s="0" t="s">
        <v>130</v>
      </c>
      <c r="CQ521" s="0" t="s">
        <v>130</v>
      </c>
      <c r="CR521" s="0" t="s">
        <v>130</v>
      </c>
      <c r="CS521" s="0" t="s">
        <v>130</v>
      </c>
      <c r="CT521" s="0" t="s">
        <v>1761</v>
      </c>
    </row>
    <row r="522">
      <c r="A522" s="14">
        <v>101548</v>
      </c>
      <c r="B522" s="0" t="s">
        <v>1738</v>
      </c>
      <c r="C522" s="16">
        <f>HYPERLINK("https://eosportal.federatedhermes.com/companies/Q29tcGFueQppNjI0NTk=", "UnitedHealth Group Inc")</f>
      </c>
      <c r="D522" s="0" t="s">
        <v>25</v>
      </c>
      <c r="E522" s="0" t="s">
        <v>1762</v>
      </c>
      <c r="F522" s="16">
        <f>HYPERLINK("https://eosportal.federatedhermes.com/engagements/RW5nYWdlbWVudAppMjA3Nzk=", "Strategy &amp; changing regulation")</f>
      </c>
      <c r="G522" s="14" t="s">
        <v>1763</v>
      </c>
      <c r="H522" s="0" t="s">
        <v>141</v>
      </c>
      <c r="I522" s="14" t="s">
        <v>636</v>
      </c>
      <c r="J522" s="0" t="s">
        <v>153</v>
      </c>
      <c r="K522" s="0" t="s">
        <v>243</v>
      </c>
      <c r="L522" s="0" t="s">
        <v>244</v>
      </c>
      <c r="M522" s="0" t="s">
        <v>135</v>
      </c>
      <c r="N522" s="0" t="s">
        <v>136</v>
      </c>
      <c r="O522" s="0" t="s">
        <v>274</v>
      </c>
      <c r="Q522" s="0" t="s">
        <v>130</v>
      </c>
      <c r="R522" s="0" t="s">
        <v>138</v>
      </c>
      <c r="S522" s="14">
        <v>0</v>
      </c>
      <c r="T522" s="0" t="s">
        <v>380</v>
      </c>
      <c r="U522" s="0" t="s">
        <v>138</v>
      </c>
      <c r="V522" s="14" t="s">
        <v>138</v>
      </c>
      <c r="W522" s="0" t="s">
        <v>138</v>
      </c>
      <c r="X522" s="14" t="s">
        <v>138</v>
      </c>
      <c r="Y522" s="0" t="s">
        <v>138</v>
      </c>
      <c r="Z522" s="14" t="s">
        <v>138</v>
      </c>
      <c r="AA522" s="0" t="s">
        <v>138</v>
      </c>
      <c r="AB522" s="14" t="s">
        <v>138</v>
      </c>
      <c r="AD522" s="0" t="s">
        <v>138</v>
      </c>
      <c r="AF522" s="0">
        <v>0</v>
      </c>
      <c r="AG522" s="0">
        <v>0</v>
      </c>
      <c r="AH522" s="0" t="s">
        <v>140</v>
      </c>
      <c r="AI522" s="0" t="s">
        <v>138</v>
      </c>
      <c r="AL522" s="14"/>
      <c r="AN522" s="14"/>
      <c r="AQ522" s="0" t="s">
        <v>130</v>
      </c>
      <c r="AR522" s="0" t="s">
        <v>130</v>
      </c>
      <c r="AS522" s="0" t="s">
        <v>130</v>
      </c>
      <c r="AT522" s="0" t="s">
        <v>130</v>
      </c>
      <c r="AU522" s="0" t="s">
        <v>130</v>
      </c>
      <c r="AV522" s="0" t="s">
        <v>130</v>
      </c>
      <c r="AW522" s="0" t="s">
        <v>130</v>
      </c>
      <c r="AX522" s="0" t="s">
        <v>141</v>
      </c>
      <c r="AY522" s="0" t="s">
        <v>130</v>
      </c>
      <c r="AZ522" s="0" t="s">
        <v>130</v>
      </c>
      <c r="BA522" s="0" t="s">
        <v>130</v>
      </c>
      <c r="BB522" s="0" t="s">
        <v>130</v>
      </c>
      <c r="BC522" s="0" t="s">
        <v>130</v>
      </c>
      <c r="BD522" s="0" t="s">
        <v>130</v>
      </c>
      <c r="BE522" s="0" t="s">
        <v>130</v>
      </c>
      <c r="BF522" s="0" t="s">
        <v>130</v>
      </c>
      <c r="BG522" s="0" t="s">
        <v>130</v>
      </c>
      <c r="BH522" s="0" t="s">
        <v>130</v>
      </c>
      <c r="BI522" s="0" t="s">
        <v>130</v>
      </c>
      <c r="BJ522" s="0" t="s">
        <v>130</v>
      </c>
      <c r="BK522" s="0" t="s">
        <v>130</v>
      </c>
      <c r="BL522" s="0" t="s">
        <v>130</v>
      </c>
      <c r="BM522" s="0" t="s">
        <v>130</v>
      </c>
      <c r="BN522" s="0" t="s">
        <v>130</v>
      </c>
      <c r="BO522" s="0" t="s">
        <v>130</v>
      </c>
      <c r="BP522" s="0" t="s">
        <v>130</v>
      </c>
      <c r="BQ522" s="0" t="s">
        <v>130</v>
      </c>
      <c r="BR522" s="0" t="s">
        <v>130</v>
      </c>
      <c r="BS522" s="0" t="s">
        <v>130</v>
      </c>
      <c r="BT522" s="0" t="s">
        <v>130</v>
      </c>
      <c r="BU522" s="0" t="s">
        <v>130</v>
      </c>
      <c r="BV522" s="0" t="s">
        <v>130</v>
      </c>
      <c r="BW522" s="0" t="s">
        <v>130</v>
      </c>
      <c r="BX522" s="0" t="s">
        <v>130</v>
      </c>
      <c r="BY522" s="0" t="s">
        <v>130</v>
      </c>
      <c r="BZ522" s="0" t="s">
        <v>130</v>
      </c>
      <c r="CA522" s="0" t="s">
        <v>130</v>
      </c>
      <c r="CB522" s="0" t="s">
        <v>130</v>
      </c>
      <c r="CC522" s="0" t="s">
        <v>130</v>
      </c>
      <c r="CD522" s="0" t="s">
        <v>130</v>
      </c>
      <c r="CE522" s="0" t="s">
        <v>130</v>
      </c>
      <c r="CF522" s="0" t="s">
        <v>130</v>
      </c>
      <c r="CG522" s="0" t="s">
        <v>130</v>
      </c>
      <c r="CH522" s="0" t="s">
        <v>130</v>
      </c>
      <c r="CI522" s="0" t="s">
        <v>130</v>
      </c>
      <c r="CJ522" s="0" t="s">
        <v>130</v>
      </c>
      <c r="CK522" s="0" t="s">
        <v>130</v>
      </c>
      <c r="CL522" s="0" t="s">
        <v>130</v>
      </c>
      <c r="CM522" s="0" t="s">
        <v>130</v>
      </c>
      <c r="CN522" s="0" t="s">
        <v>130</v>
      </c>
      <c r="CO522" s="0" t="s">
        <v>130</v>
      </c>
      <c r="CP522" s="0" t="s">
        <v>130</v>
      </c>
      <c r="CQ522" s="0" t="s">
        <v>130</v>
      </c>
      <c r="CR522" s="0" t="s">
        <v>130</v>
      </c>
      <c r="CS522" s="0" t="s">
        <v>130</v>
      </c>
      <c r="CT522" s="0" t="s">
        <v>1764</v>
      </c>
    </row>
    <row r="523">
      <c r="A523" s="14">
        <v>101650</v>
      </c>
      <c r="B523" s="0" t="s">
        <v>1765</v>
      </c>
      <c r="C523" s="16">
        <f>HYPERLINK("https://eosportal.federatedhermes.com/companies/Q29tcGFueQppNzU3MDM=", "Westpac Banking Corp")</f>
      </c>
      <c r="D523" s="0" t="s">
        <v>25</v>
      </c>
      <c r="E523" s="0" t="s">
        <v>1766</v>
      </c>
      <c r="F523" s="16">
        <f>HYPERLINK("https://eosportal.federatedhermes.com/engagements/RW5nYWdlbWVudAppMjA3OTk=", "Regnan engagement activity on climate change")</f>
      </c>
      <c r="G523" s="14" t="s">
        <v>999</v>
      </c>
      <c r="H523" s="0" t="s">
        <v>141</v>
      </c>
      <c r="I523" s="14" t="s">
        <v>191</v>
      </c>
      <c r="J523" s="0" t="s">
        <v>197</v>
      </c>
      <c r="K523" s="0" t="s">
        <v>198</v>
      </c>
      <c r="L523" s="0" t="s">
        <v>216</v>
      </c>
      <c r="M523" s="0" t="s">
        <v>371</v>
      </c>
      <c r="N523" s="0" t="s">
        <v>372</v>
      </c>
      <c r="O523" s="0" t="s">
        <v>238</v>
      </c>
      <c r="Q523" s="0" t="s">
        <v>130</v>
      </c>
      <c r="R523" s="0" t="s">
        <v>138</v>
      </c>
      <c r="S523" s="14">
        <v>0</v>
      </c>
      <c r="T523" s="0" t="s">
        <v>1011</v>
      </c>
      <c r="U523" s="0" t="s">
        <v>138</v>
      </c>
      <c r="V523" s="14" t="s">
        <v>138</v>
      </c>
      <c r="W523" s="0" t="s">
        <v>138</v>
      </c>
      <c r="X523" s="14" t="s">
        <v>138</v>
      </c>
      <c r="Y523" s="0" t="s">
        <v>138</v>
      </c>
      <c r="Z523" s="14" t="s">
        <v>138</v>
      </c>
      <c r="AA523" s="0" t="s">
        <v>138</v>
      </c>
      <c r="AB523" s="14" t="s">
        <v>138</v>
      </c>
      <c r="AD523" s="0" t="s">
        <v>138</v>
      </c>
      <c r="AF523" s="0">
        <v>0</v>
      </c>
      <c r="AG523" s="0">
        <v>0</v>
      </c>
      <c r="AH523" s="0" t="s">
        <v>140</v>
      </c>
      <c r="AI523" s="0" t="s">
        <v>138</v>
      </c>
      <c r="AL523" s="14"/>
      <c r="AN523" s="14"/>
      <c r="AQ523" s="0" t="s">
        <v>130</v>
      </c>
      <c r="AR523" s="0" t="s">
        <v>130</v>
      </c>
      <c r="AS523" s="0" t="s">
        <v>130</v>
      </c>
      <c r="AT523" s="0" t="s">
        <v>130</v>
      </c>
      <c r="AU523" s="0" t="s">
        <v>130</v>
      </c>
      <c r="AV523" s="0" t="s">
        <v>130</v>
      </c>
      <c r="AW523" s="0" t="s">
        <v>141</v>
      </c>
      <c r="AX523" s="0" t="s">
        <v>130</v>
      </c>
      <c r="AY523" s="0" t="s">
        <v>130</v>
      </c>
      <c r="AZ523" s="0" t="s">
        <v>130</v>
      </c>
      <c r="BA523" s="0" t="s">
        <v>130</v>
      </c>
      <c r="BB523" s="0" t="s">
        <v>141</v>
      </c>
      <c r="BC523" s="0" t="s">
        <v>141</v>
      </c>
      <c r="BD523" s="0" t="s">
        <v>130</v>
      </c>
      <c r="BE523" s="0" t="s">
        <v>130</v>
      </c>
      <c r="BF523" s="0" t="s">
        <v>130</v>
      </c>
      <c r="BG523" s="0" t="s">
        <v>130</v>
      </c>
      <c r="BH523" s="0" t="s">
        <v>141</v>
      </c>
      <c r="BI523" s="0" t="s">
        <v>141</v>
      </c>
      <c r="BJ523" s="0" t="s">
        <v>141</v>
      </c>
      <c r="BK523" s="0" t="s">
        <v>130</v>
      </c>
      <c r="BL523" s="0" t="s">
        <v>130</v>
      </c>
      <c r="BM523" s="0" t="s">
        <v>130</v>
      </c>
      <c r="BN523" s="0" t="s">
        <v>130</v>
      </c>
      <c r="BO523" s="0" t="s">
        <v>130</v>
      </c>
      <c r="BP523" s="0" t="s">
        <v>130</v>
      </c>
      <c r="BQ523" s="0" t="s">
        <v>130</v>
      </c>
      <c r="BR523" s="0" t="s">
        <v>130</v>
      </c>
      <c r="BS523" s="0" t="s">
        <v>130</v>
      </c>
      <c r="BT523" s="0" t="s">
        <v>130</v>
      </c>
      <c r="BU523" s="0" t="s">
        <v>130</v>
      </c>
      <c r="BV523" s="0" t="s">
        <v>141</v>
      </c>
      <c r="BW523" s="0" t="s">
        <v>141</v>
      </c>
      <c r="BX523" s="0" t="s">
        <v>130</v>
      </c>
      <c r="BY523" s="0" t="s">
        <v>130</v>
      </c>
      <c r="BZ523" s="0" t="s">
        <v>130</v>
      </c>
      <c r="CA523" s="0" t="s">
        <v>130</v>
      </c>
      <c r="CB523" s="0" t="s">
        <v>130</v>
      </c>
      <c r="CC523" s="0" t="s">
        <v>130</v>
      </c>
      <c r="CD523" s="0" t="s">
        <v>130</v>
      </c>
      <c r="CE523" s="0" t="s">
        <v>130</v>
      </c>
      <c r="CF523" s="0" t="s">
        <v>130</v>
      </c>
      <c r="CG523" s="0" t="s">
        <v>130</v>
      </c>
      <c r="CH523" s="0" t="s">
        <v>130</v>
      </c>
      <c r="CI523" s="0" t="s">
        <v>130</v>
      </c>
      <c r="CJ523" s="0" t="s">
        <v>130</v>
      </c>
      <c r="CK523" s="0" t="s">
        <v>130</v>
      </c>
      <c r="CL523" s="0" t="s">
        <v>130</v>
      </c>
      <c r="CM523" s="0" t="s">
        <v>130</v>
      </c>
      <c r="CN523" s="0" t="s">
        <v>130</v>
      </c>
      <c r="CO523" s="0" t="s">
        <v>130</v>
      </c>
      <c r="CP523" s="0" t="s">
        <v>130</v>
      </c>
      <c r="CQ523" s="0" t="s">
        <v>130</v>
      </c>
      <c r="CR523" s="0" t="s">
        <v>130</v>
      </c>
      <c r="CS523" s="0" t="s">
        <v>130</v>
      </c>
      <c r="CT523" s="0" t="s">
        <v>1767</v>
      </c>
    </row>
    <row r="524">
      <c r="A524" s="14">
        <v>101650</v>
      </c>
      <c r="B524" s="0" t="s">
        <v>1765</v>
      </c>
      <c r="C524" s="16">
        <f>HYPERLINK("https://eosportal.federatedhermes.com/companies/Q29tcGFueQppNzU3MDM=", "Westpac Banking Corp")</f>
      </c>
      <c r="D524" s="0" t="s">
        <v>25</v>
      </c>
      <c r="E524" s="0" t="s">
        <v>1768</v>
      </c>
      <c r="F524" s="16">
        <f>HYPERLINK("https://eosportal.federatedhermes.com/engagements/RW5nYWdlbWVudAppMjA4MDA=", "ACSI engagement activity on Royal Commission and board composition")</f>
      </c>
      <c r="G524" s="14" t="s">
        <v>1769</v>
      </c>
      <c r="H524" s="0" t="s">
        <v>141</v>
      </c>
      <c r="I524" s="14" t="s">
        <v>191</v>
      </c>
      <c r="J524" s="0" t="s">
        <v>145</v>
      </c>
      <c r="K524" s="0" t="s">
        <v>164</v>
      </c>
      <c r="L524" s="0" t="s">
        <v>165</v>
      </c>
      <c r="M524" s="0" t="s">
        <v>371</v>
      </c>
      <c r="N524" s="0" t="s">
        <v>372</v>
      </c>
      <c r="O524" s="0" t="s">
        <v>238</v>
      </c>
      <c r="Q524" s="0" t="s">
        <v>130</v>
      </c>
      <c r="R524" s="0" t="s">
        <v>138</v>
      </c>
      <c r="S524" s="14">
        <v>0</v>
      </c>
      <c r="T524" s="0" t="s">
        <v>166</v>
      </c>
      <c r="U524" s="0" t="s">
        <v>138</v>
      </c>
      <c r="V524" s="14" t="s">
        <v>138</v>
      </c>
      <c r="W524" s="0" t="s">
        <v>138</v>
      </c>
      <c r="X524" s="14" t="s">
        <v>138</v>
      </c>
      <c r="Y524" s="0" t="s">
        <v>138</v>
      </c>
      <c r="Z524" s="14" t="s">
        <v>138</v>
      </c>
      <c r="AA524" s="0" t="s">
        <v>138</v>
      </c>
      <c r="AB524" s="14" t="s">
        <v>138</v>
      </c>
      <c r="AD524" s="0" t="s">
        <v>138</v>
      </c>
      <c r="AF524" s="0">
        <v>0</v>
      </c>
      <c r="AG524" s="0">
        <v>0</v>
      </c>
      <c r="AH524" s="0" t="s">
        <v>140</v>
      </c>
      <c r="AI524" s="0" t="s">
        <v>138</v>
      </c>
      <c r="AL524" s="14"/>
      <c r="AN524" s="14"/>
      <c r="AQ524" s="0" t="s">
        <v>130</v>
      </c>
      <c r="AR524" s="0" t="s">
        <v>130</v>
      </c>
      <c r="AS524" s="0" t="s">
        <v>130</v>
      </c>
      <c r="AT524" s="0" t="s">
        <v>130</v>
      </c>
      <c r="AU524" s="0" t="s">
        <v>130</v>
      </c>
      <c r="AV524" s="0" t="s">
        <v>130</v>
      </c>
      <c r="AW524" s="0" t="s">
        <v>130</v>
      </c>
      <c r="AX524" s="0" t="s">
        <v>130</v>
      </c>
      <c r="AY524" s="0" t="s">
        <v>130</v>
      </c>
      <c r="AZ524" s="0" t="s">
        <v>130</v>
      </c>
      <c r="BA524" s="0" t="s">
        <v>130</v>
      </c>
      <c r="BB524" s="0" t="s">
        <v>130</v>
      </c>
      <c r="BC524" s="0" t="s">
        <v>130</v>
      </c>
      <c r="BD524" s="0" t="s">
        <v>130</v>
      </c>
      <c r="BE524" s="0" t="s">
        <v>130</v>
      </c>
      <c r="BF524" s="0" t="s">
        <v>130</v>
      </c>
      <c r="BG524" s="0" t="s">
        <v>130</v>
      </c>
      <c r="BH524" s="0" t="s">
        <v>130</v>
      </c>
      <c r="BI524" s="0" t="s">
        <v>130</v>
      </c>
      <c r="BJ524" s="0" t="s">
        <v>130</v>
      </c>
      <c r="BK524" s="0" t="s">
        <v>130</v>
      </c>
      <c r="BL524" s="0" t="s">
        <v>130</v>
      </c>
      <c r="BM524" s="0" t="s">
        <v>130</v>
      </c>
      <c r="BN524" s="0" t="s">
        <v>130</v>
      </c>
      <c r="BO524" s="0" t="s">
        <v>130</v>
      </c>
      <c r="BP524" s="0" t="s">
        <v>130</v>
      </c>
      <c r="BQ524" s="0" t="s">
        <v>130</v>
      </c>
      <c r="BR524" s="0" t="s">
        <v>130</v>
      </c>
      <c r="BS524" s="0" t="s">
        <v>130</v>
      </c>
      <c r="BT524" s="0" t="s">
        <v>130</v>
      </c>
      <c r="BU524" s="0" t="s">
        <v>130</v>
      </c>
      <c r="BV524" s="0" t="s">
        <v>130</v>
      </c>
      <c r="BW524" s="0" t="s">
        <v>130</v>
      </c>
      <c r="BX524" s="0" t="s">
        <v>130</v>
      </c>
      <c r="BY524" s="0" t="s">
        <v>130</v>
      </c>
      <c r="BZ524" s="0" t="s">
        <v>130</v>
      </c>
      <c r="CA524" s="0" t="s">
        <v>130</v>
      </c>
      <c r="CB524" s="0" t="s">
        <v>130</v>
      </c>
      <c r="CC524" s="0" t="s">
        <v>130</v>
      </c>
      <c r="CD524" s="0" t="s">
        <v>130</v>
      </c>
      <c r="CE524" s="0" t="s">
        <v>130</v>
      </c>
      <c r="CF524" s="0" t="s">
        <v>130</v>
      </c>
      <c r="CG524" s="0" t="s">
        <v>130</v>
      </c>
      <c r="CH524" s="0" t="s">
        <v>130</v>
      </c>
      <c r="CI524" s="0" t="s">
        <v>130</v>
      </c>
      <c r="CJ524" s="0" t="s">
        <v>130</v>
      </c>
      <c r="CK524" s="0" t="s">
        <v>130</v>
      </c>
      <c r="CL524" s="0" t="s">
        <v>130</v>
      </c>
      <c r="CM524" s="0" t="s">
        <v>130</v>
      </c>
      <c r="CN524" s="0" t="s">
        <v>130</v>
      </c>
      <c r="CO524" s="0" t="s">
        <v>130</v>
      </c>
      <c r="CP524" s="0" t="s">
        <v>130</v>
      </c>
      <c r="CQ524" s="0" t="s">
        <v>130</v>
      </c>
      <c r="CR524" s="0" t="s">
        <v>130</v>
      </c>
      <c r="CS524" s="0" t="s">
        <v>130</v>
      </c>
      <c r="CT524" s="0" t="s">
        <v>1770</v>
      </c>
    </row>
    <row r="525">
      <c r="A525" s="14">
        <v>101650</v>
      </c>
      <c r="B525" s="0" t="s">
        <v>1765</v>
      </c>
      <c r="C525" s="16">
        <f>HYPERLINK("https://eosportal.federatedhermes.com/companies/Q29tcGFueQppNzU3MDM=", "Westpac Banking Corp")</f>
      </c>
      <c r="D525" s="0" t="s">
        <v>25</v>
      </c>
      <c r="E525" s="0" t="s">
        <v>1771</v>
      </c>
      <c r="F525" s="16">
        <f>HYPERLINK("https://eosportal.federatedhermes.com/engagements/RW5nYWdlbWVudAppMjA4MDE=", "ACSI engagement activity on remuneration")</f>
      </c>
      <c r="G525" s="14" t="s">
        <v>1769</v>
      </c>
      <c r="H525" s="0" t="s">
        <v>141</v>
      </c>
      <c r="I525" s="14" t="s">
        <v>191</v>
      </c>
      <c r="J525" s="0" t="s">
        <v>145</v>
      </c>
      <c r="K525" s="0" t="s">
        <v>146</v>
      </c>
      <c r="L525" s="0" t="s">
        <v>147</v>
      </c>
      <c r="M525" s="0" t="s">
        <v>371</v>
      </c>
      <c r="N525" s="0" t="s">
        <v>372</v>
      </c>
      <c r="O525" s="0" t="s">
        <v>238</v>
      </c>
      <c r="Q525" s="0" t="s">
        <v>130</v>
      </c>
      <c r="R525" s="0" t="s">
        <v>138</v>
      </c>
      <c r="S525" s="14">
        <v>0</v>
      </c>
      <c r="T525" s="0" t="s">
        <v>166</v>
      </c>
      <c r="U525" s="0" t="s">
        <v>138</v>
      </c>
      <c r="V525" s="14" t="s">
        <v>138</v>
      </c>
      <c r="W525" s="0" t="s">
        <v>138</v>
      </c>
      <c r="X525" s="14" t="s">
        <v>138</v>
      </c>
      <c r="Y525" s="0" t="s">
        <v>138</v>
      </c>
      <c r="Z525" s="14" t="s">
        <v>138</v>
      </c>
      <c r="AA525" s="0" t="s">
        <v>138</v>
      </c>
      <c r="AB525" s="14" t="s">
        <v>138</v>
      </c>
      <c r="AD525" s="0" t="s">
        <v>138</v>
      </c>
      <c r="AF525" s="0">
        <v>0</v>
      </c>
      <c r="AG525" s="0">
        <v>0</v>
      </c>
      <c r="AH525" s="0" t="s">
        <v>140</v>
      </c>
      <c r="AI525" s="0" t="s">
        <v>138</v>
      </c>
      <c r="AL525" s="14"/>
      <c r="AN525" s="14"/>
      <c r="AQ525" s="0" t="s">
        <v>130</v>
      </c>
      <c r="AR525" s="0" t="s">
        <v>130</v>
      </c>
      <c r="AS525" s="0" t="s">
        <v>130</v>
      </c>
      <c r="AT525" s="0" t="s">
        <v>130</v>
      </c>
      <c r="AU525" s="0" t="s">
        <v>130</v>
      </c>
      <c r="AV525" s="0" t="s">
        <v>130</v>
      </c>
      <c r="AW525" s="0" t="s">
        <v>130</v>
      </c>
      <c r="AX525" s="0" t="s">
        <v>130</v>
      </c>
      <c r="AY525" s="0" t="s">
        <v>130</v>
      </c>
      <c r="AZ525" s="0" t="s">
        <v>130</v>
      </c>
      <c r="BA525" s="0" t="s">
        <v>130</v>
      </c>
      <c r="BB525" s="0" t="s">
        <v>130</v>
      </c>
      <c r="BC525" s="0" t="s">
        <v>130</v>
      </c>
      <c r="BD525" s="0" t="s">
        <v>130</v>
      </c>
      <c r="BE525" s="0" t="s">
        <v>130</v>
      </c>
      <c r="BF525" s="0" t="s">
        <v>130</v>
      </c>
      <c r="BG525" s="0" t="s">
        <v>130</v>
      </c>
      <c r="BH525" s="0" t="s">
        <v>130</v>
      </c>
      <c r="BI525" s="0" t="s">
        <v>130</v>
      </c>
      <c r="BJ525" s="0" t="s">
        <v>130</v>
      </c>
      <c r="BK525" s="0" t="s">
        <v>130</v>
      </c>
      <c r="BL525" s="0" t="s">
        <v>130</v>
      </c>
      <c r="BM525" s="0" t="s">
        <v>130</v>
      </c>
      <c r="BN525" s="0" t="s">
        <v>130</v>
      </c>
      <c r="BO525" s="0" t="s">
        <v>130</v>
      </c>
      <c r="BP525" s="0" t="s">
        <v>130</v>
      </c>
      <c r="BQ525" s="0" t="s">
        <v>130</v>
      </c>
      <c r="BR525" s="0" t="s">
        <v>130</v>
      </c>
      <c r="BS525" s="0" t="s">
        <v>130</v>
      </c>
      <c r="BT525" s="0" t="s">
        <v>130</v>
      </c>
      <c r="BU525" s="0" t="s">
        <v>130</v>
      </c>
      <c r="BV525" s="0" t="s">
        <v>130</v>
      </c>
      <c r="BW525" s="0" t="s">
        <v>130</v>
      </c>
      <c r="BX525" s="0" t="s">
        <v>130</v>
      </c>
      <c r="BY525" s="0" t="s">
        <v>130</v>
      </c>
      <c r="BZ525" s="0" t="s">
        <v>130</v>
      </c>
      <c r="CA525" s="0" t="s">
        <v>130</v>
      </c>
      <c r="CB525" s="0" t="s">
        <v>130</v>
      </c>
      <c r="CC525" s="0" t="s">
        <v>130</v>
      </c>
      <c r="CD525" s="0" t="s">
        <v>130</v>
      </c>
      <c r="CE525" s="0" t="s">
        <v>130</v>
      </c>
      <c r="CF525" s="0" t="s">
        <v>130</v>
      </c>
      <c r="CG525" s="0" t="s">
        <v>130</v>
      </c>
      <c r="CH525" s="0" t="s">
        <v>130</v>
      </c>
      <c r="CI525" s="0" t="s">
        <v>130</v>
      </c>
      <c r="CJ525" s="0" t="s">
        <v>130</v>
      </c>
      <c r="CK525" s="0" t="s">
        <v>130</v>
      </c>
      <c r="CL525" s="0" t="s">
        <v>130</v>
      </c>
      <c r="CM525" s="0" t="s">
        <v>130</v>
      </c>
      <c r="CN525" s="0" t="s">
        <v>130</v>
      </c>
      <c r="CO525" s="0" t="s">
        <v>130</v>
      </c>
      <c r="CP525" s="0" t="s">
        <v>130</v>
      </c>
      <c r="CQ525" s="0" t="s">
        <v>130</v>
      </c>
      <c r="CR525" s="0" t="s">
        <v>130</v>
      </c>
      <c r="CS525" s="0" t="s">
        <v>130</v>
      </c>
      <c r="CT525" s="0" t="s">
        <v>1772</v>
      </c>
    </row>
    <row r="526">
      <c r="A526" s="14">
        <v>101650</v>
      </c>
      <c r="B526" s="0" t="s">
        <v>1765</v>
      </c>
      <c r="C526" s="16">
        <f>HYPERLINK("https://eosportal.federatedhermes.com/companies/Q29tcGFueQppNzU3MDM=", "Westpac Banking Corp")</f>
      </c>
      <c r="D526" s="0" t="s">
        <v>25</v>
      </c>
      <c r="E526" s="0" t="s">
        <v>1773</v>
      </c>
      <c r="F526" s="16">
        <f>HYPERLINK("https://eosportal.federatedhermes.com/engagements/RW5nYWdlbWVudAppMjA4MDI=", "Regnan engagement activity on corporate culture")</f>
      </c>
      <c r="G526" s="14" t="s">
        <v>999</v>
      </c>
      <c r="H526" s="0" t="s">
        <v>141</v>
      </c>
      <c r="I526" s="14" t="s">
        <v>191</v>
      </c>
      <c r="J526" s="0" t="s">
        <v>153</v>
      </c>
      <c r="K526" s="0" t="s">
        <v>185</v>
      </c>
      <c r="L526" s="0" t="s">
        <v>186</v>
      </c>
      <c r="M526" s="0" t="s">
        <v>371</v>
      </c>
      <c r="N526" s="0" t="s">
        <v>372</v>
      </c>
      <c r="O526" s="0" t="s">
        <v>238</v>
      </c>
      <c r="Q526" s="0" t="s">
        <v>130</v>
      </c>
      <c r="R526" s="0" t="s">
        <v>138</v>
      </c>
      <c r="S526" s="14">
        <v>0</v>
      </c>
      <c r="T526" s="0" t="s">
        <v>1011</v>
      </c>
      <c r="U526" s="0" t="s">
        <v>138</v>
      </c>
      <c r="V526" s="14" t="s">
        <v>138</v>
      </c>
      <c r="W526" s="0" t="s">
        <v>138</v>
      </c>
      <c r="X526" s="14" t="s">
        <v>138</v>
      </c>
      <c r="Y526" s="0" t="s">
        <v>138</v>
      </c>
      <c r="Z526" s="14" t="s">
        <v>138</v>
      </c>
      <c r="AA526" s="0" t="s">
        <v>138</v>
      </c>
      <c r="AB526" s="14" t="s">
        <v>138</v>
      </c>
      <c r="AD526" s="0" t="s">
        <v>138</v>
      </c>
      <c r="AF526" s="0">
        <v>0</v>
      </c>
      <c r="AG526" s="0">
        <v>0</v>
      </c>
      <c r="AH526" s="0" t="s">
        <v>140</v>
      </c>
      <c r="AI526" s="0" t="s">
        <v>138</v>
      </c>
      <c r="AL526" s="14"/>
      <c r="AN526" s="14"/>
      <c r="AQ526" s="0" t="s">
        <v>130</v>
      </c>
      <c r="AR526" s="0" t="s">
        <v>130</v>
      </c>
      <c r="AS526" s="0" t="s">
        <v>130</v>
      </c>
      <c r="AT526" s="0" t="s">
        <v>130</v>
      </c>
      <c r="AU526" s="0" t="s">
        <v>130</v>
      </c>
      <c r="AV526" s="0" t="s">
        <v>130</v>
      </c>
      <c r="AW526" s="0" t="s">
        <v>130</v>
      </c>
      <c r="AX526" s="0" t="s">
        <v>130</v>
      </c>
      <c r="AY526" s="0" t="s">
        <v>130</v>
      </c>
      <c r="AZ526" s="0" t="s">
        <v>130</v>
      </c>
      <c r="BA526" s="0" t="s">
        <v>130</v>
      </c>
      <c r="BB526" s="0" t="s">
        <v>130</v>
      </c>
      <c r="BC526" s="0" t="s">
        <v>130</v>
      </c>
      <c r="BD526" s="0" t="s">
        <v>130</v>
      </c>
      <c r="BE526" s="0" t="s">
        <v>130</v>
      </c>
      <c r="BF526" s="0" t="s">
        <v>130</v>
      </c>
      <c r="BG526" s="0" t="s">
        <v>130</v>
      </c>
      <c r="BH526" s="0" t="s">
        <v>130</v>
      </c>
      <c r="BI526" s="0" t="s">
        <v>130</v>
      </c>
      <c r="BJ526" s="0" t="s">
        <v>130</v>
      </c>
      <c r="BK526" s="0" t="s">
        <v>130</v>
      </c>
      <c r="BL526" s="0" t="s">
        <v>130</v>
      </c>
      <c r="BM526" s="0" t="s">
        <v>130</v>
      </c>
      <c r="BN526" s="0" t="s">
        <v>130</v>
      </c>
      <c r="BO526" s="0" t="s">
        <v>130</v>
      </c>
      <c r="BP526" s="0" t="s">
        <v>130</v>
      </c>
      <c r="BQ526" s="0" t="s">
        <v>130</v>
      </c>
      <c r="BR526" s="0" t="s">
        <v>130</v>
      </c>
      <c r="BS526" s="0" t="s">
        <v>130</v>
      </c>
      <c r="BT526" s="0" t="s">
        <v>130</v>
      </c>
      <c r="BU526" s="0" t="s">
        <v>130</v>
      </c>
      <c r="BV526" s="0" t="s">
        <v>130</v>
      </c>
      <c r="BW526" s="0" t="s">
        <v>130</v>
      </c>
      <c r="BX526" s="0" t="s">
        <v>130</v>
      </c>
      <c r="BY526" s="0" t="s">
        <v>130</v>
      </c>
      <c r="BZ526" s="0" t="s">
        <v>130</v>
      </c>
      <c r="CA526" s="0" t="s">
        <v>130</v>
      </c>
      <c r="CB526" s="0" t="s">
        <v>130</v>
      </c>
      <c r="CC526" s="0" t="s">
        <v>130</v>
      </c>
      <c r="CD526" s="0" t="s">
        <v>130</v>
      </c>
      <c r="CE526" s="0" t="s">
        <v>130</v>
      </c>
      <c r="CF526" s="0" t="s">
        <v>130</v>
      </c>
      <c r="CG526" s="0" t="s">
        <v>130</v>
      </c>
      <c r="CH526" s="0" t="s">
        <v>130</v>
      </c>
      <c r="CI526" s="0" t="s">
        <v>130</v>
      </c>
      <c r="CJ526" s="0" t="s">
        <v>130</v>
      </c>
      <c r="CK526" s="0" t="s">
        <v>130</v>
      </c>
      <c r="CL526" s="0" t="s">
        <v>130</v>
      </c>
      <c r="CM526" s="0" t="s">
        <v>130</v>
      </c>
      <c r="CN526" s="0" t="s">
        <v>130</v>
      </c>
      <c r="CO526" s="0" t="s">
        <v>130</v>
      </c>
      <c r="CP526" s="0" t="s">
        <v>130</v>
      </c>
      <c r="CQ526" s="0" t="s">
        <v>130</v>
      </c>
      <c r="CR526" s="0" t="s">
        <v>130</v>
      </c>
      <c r="CS526" s="0" t="s">
        <v>130</v>
      </c>
      <c r="CT526" s="0" t="s">
        <v>1774</v>
      </c>
    </row>
    <row r="527">
      <c r="A527" s="14">
        <v>101650</v>
      </c>
      <c r="B527" s="0" t="s">
        <v>1765</v>
      </c>
      <c r="C527" s="16">
        <f>HYPERLINK("https://eosportal.federatedhermes.com/companies/Q29tcGFueQppNzU3MDM=", "Westpac Banking Corp")</f>
      </c>
      <c r="D527" s="0" t="s">
        <v>25</v>
      </c>
      <c r="E527" s="0" t="s">
        <v>1229</v>
      </c>
      <c r="F527" s="16">
        <f>HYPERLINK("https://eosportal.federatedhermes.com/engagements/RW5nYWdlbWVudAppMjA4MDM=", "Regnan engagement activity on ESG disclosure")</f>
      </c>
      <c r="G527" s="14" t="s">
        <v>999</v>
      </c>
      <c r="H527" s="0" t="s">
        <v>141</v>
      </c>
      <c r="I527" s="14" t="s">
        <v>191</v>
      </c>
      <c r="J527" s="0" t="s">
        <v>132</v>
      </c>
      <c r="K527" s="0" t="s">
        <v>170</v>
      </c>
      <c r="L527" s="0" t="s">
        <v>171</v>
      </c>
      <c r="M527" s="0" t="s">
        <v>371</v>
      </c>
      <c r="N527" s="0" t="s">
        <v>372</v>
      </c>
      <c r="O527" s="0" t="s">
        <v>238</v>
      </c>
      <c r="Q527" s="0" t="s">
        <v>130</v>
      </c>
      <c r="R527" s="0" t="s">
        <v>138</v>
      </c>
      <c r="S527" s="14">
        <v>0</v>
      </c>
      <c r="T527" s="0" t="s">
        <v>1011</v>
      </c>
      <c r="U527" s="0" t="s">
        <v>138</v>
      </c>
      <c r="V527" s="14" t="s">
        <v>138</v>
      </c>
      <c r="W527" s="0" t="s">
        <v>138</v>
      </c>
      <c r="X527" s="14" t="s">
        <v>138</v>
      </c>
      <c r="Y527" s="0" t="s">
        <v>138</v>
      </c>
      <c r="Z527" s="14" t="s">
        <v>138</v>
      </c>
      <c r="AA527" s="0" t="s">
        <v>138</v>
      </c>
      <c r="AB527" s="14" t="s">
        <v>138</v>
      </c>
      <c r="AD527" s="0" t="s">
        <v>138</v>
      </c>
      <c r="AF527" s="0">
        <v>0</v>
      </c>
      <c r="AG527" s="0">
        <v>0</v>
      </c>
      <c r="AH527" s="0" t="s">
        <v>140</v>
      </c>
      <c r="AI527" s="0" t="s">
        <v>138</v>
      </c>
      <c r="AL527" s="14"/>
      <c r="AN527" s="14"/>
      <c r="AQ527" s="0" t="s">
        <v>130</v>
      </c>
      <c r="AR527" s="0" t="s">
        <v>130</v>
      </c>
      <c r="AS527" s="0" t="s">
        <v>130</v>
      </c>
      <c r="AT527" s="0" t="s">
        <v>130</v>
      </c>
      <c r="AU527" s="0" t="s">
        <v>130</v>
      </c>
      <c r="AV527" s="0" t="s">
        <v>130</v>
      </c>
      <c r="AW527" s="0" t="s">
        <v>130</v>
      </c>
      <c r="AX527" s="0" t="s">
        <v>130</v>
      </c>
      <c r="AY527" s="0" t="s">
        <v>130</v>
      </c>
      <c r="AZ527" s="0" t="s">
        <v>130</v>
      </c>
      <c r="BA527" s="0" t="s">
        <v>130</v>
      </c>
      <c r="BB527" s="0" t="s">
        <v>130</v>
      </c>
      <c r="BC527" s="0" t="s">
        <v>130</v>
      </c>
      <c r="BD527" s="0" t="s">
        <v>130</v>
      </c>
      <c r="BE527" s="0" t="s">
        <v>130</v>
      </c>
      <c r="BF527" s="0" t="s">
        <v>130</v>
      </c>
      <c r="BG527" s="0" t="s">
        <v>130</v>
      </c>
      <c r="BH527" s="0" t="s">
        <v>130</v>
      </c>
      <c r="BI527" s="0" t="s">
        <v>130</v>
      </c>
      <c r="BJ527" s="0" t="s">
        <v>130</v>
      </c>
      <c r="BK527" s="0" t="s">
        <v>130</v>
      </c>
      <c r="BL527" s="0" t="s">
        <v>130</v>
      </c>
      <c r="BM527" s="0" t="s">
        <v>130</v>
      </c>
      <c r="BN527" s="0" t="s">
        <v>130</v>
      </c>
      <c r="BO527" s="0" t="s">
        <v>130</v>
      </c>
      <c r="BP527" s="0" t="s">
        <v>130</v>
      </c>
      <c r="BQ527" s="0" t="s">
        <v>130</v>
      </c>
      <c r="BR527" s="0" t="s">
        <v>130</v>
      </c>
      <c r="BS527" s="0" t="s">
        <v>130</v>
      </c>
      <c r="BT527" s="0" t="s">
        <v>130</v>
      </c>
      <c r="BU527" s="0" t="s">
        <v>130</v>
      </c>
      <c r="BV527" s="0" t="s">
        <v>130</v>
      </c>
      <c r="BW527" s="0" t="s">
        <v>130</v>
      </c>
      <c r="BX527" s="0" t="s">
        <v>130</v>
      </c>
      <c r="BY527" s="0" t="s">
        <v>130</v>
      </c>
      <c r="BZ527" s="0" t="s">
        <v>130</v>
      </c>
      <c r="CA527" s="0" t="s">
        <v>130</v>
      </c>
      <c r="CB527" s="0" t="s">
        <v>130</v>
      </c>
      <c r="CC527" s="0" t="s">
        <v>130</v>
      </c>
      <c r="CD527" s="0" t="s">
        <v>130</v>
      </c>
      <c r="CE527" s="0" t="s">
        <v>130</v>
      </c>
      <c r="CF527" s="0" t="s">
        <v>130</v>
      </c>
      <c r="CG527" s="0" t="s">
        <v>130</v>
      </c>
      <c r="CH527" s="0" t="s">
        <v>130</v>
      </c>
      <c r="CI527" s="0" t="s">
        <v>130</v>
      </c>
      <c r="CJ527" s="0" t="s">
        <v>130</v>
      </c>
      <c r="CK527" s="0" t="s">
        <v>130</v>
      </c>
      <c r="CL527" s="0" t="s">
        <v>130</v>
      </c>
      <c r="CM527" s="0" t="s">
        <v>130</v>
      </c>
      <c r="CN527" s="0" t="s">
        <v>130</v>
      </c>
      <c r="CO527" s="0" t="s">
        <v>130</v>
      </c>
      <c r="CP527" s="0" t="s">
        <v>130</v>
      </c>
      <c r="CQ527" s="0" t="s">
        <v>130</v>
      </c>
      <c r="CR527" s="0" t="s">
        <v>130</v>
      </c>
      <c r="CS527" s="0" t="s">
        <v>130</v>
      </c>
      <c r="CT527" s="0" t="s">
        <v>1775</v>
      </c>
    </row>
    <row r="528">
      <c r="A528" s="14">
        <v>101650</v>
      </c>
      <c r="B528" s="0" t="s">
        <v>1765</v>
      </c>
      <c r="C528" s="16">
        <f>HYPERLINK("https://eosportal.federatedhermes.com/companies/Q29tcGFueQppNzU3MDM=", "Westpac Banking Corp")</f>
      </c>
      <c r="D528" s="0" t="s">
        <v>25</v>
      </c>
      <c r="E528" s="0" t="s">
        <v>1015</v>
      </c>
      <c r="F528" s="16">
        <f>HYPERLINK("https://eosportal.federatedhermes.com/engagements/RW5nYWdlbWVudAppMjA4MDQ=", "Regnan Engagement Activity on Human capital management")</f>
      </c>
      <c r="G528" s="14" t="s">
        <v>1765</v>
      </c>
      <c r="H528" s="0" t="s">
        <v>141</v>
      </c>
      <c r="I528" s="14" t="s">
        <v>191</v>
      </c>
      <c r="J528" s="0" t="s">
        <v>153</v>
      </c>
      <c r="K528" s="0" t="s">
        <v>154</v>
      </c>
      <c r="L528" s="0" t="s">
        <v>306</v>
      </c>
      <c r="M528" s="0" t="s">
        <v>371</v>
      </c>
      <c r="N528" s="0" t="s">
        <v>372</v>
      </c>
      <c r="O528" s="0" t="s">
        <v>238</v>
      </c>
      <c r="Q528" s="0" t="s">
        <v>130</v>
      </c>
      <c r="R528" s="0" t="s">
        <v>138</v>
      </c>
      <c r="S528" s="14">
        <v>0</v>
      </c>
      <c r="T528" s="0" t="s">
        <v>920</v>
      </c>
      <c r="U528" s="0" t="s">
        <v>138</v>
      </c>
      <c r="V528" s="14" t="s">
        <v>138</v>
      </c>
      <c r="W528" s="0" t="s">
        <v>138</v>
      </c>
      <c r="X528" s="14" t="s">
        <v>138</v>
      </c>
      <c r="Y528" s="0" t="s">
        <v>138</v>
      </c>
      <c r="Z528" s="14" t="s">
        <v>138</v>
      </c>
      <c r="AA528" s="0" t="s">
        <v>138</v>
      </c>
      <c r="AB528" s="14" t="s">
        <v>138</v>
      </c>
      <c r="AD528" s="0" t="s">
        <v>138</v>
      </c>
      <c r="AF528" s="0">
        <v>0</v>
      </c>
      <c r="AG528" s="0">
        <v>0</v>
      </c>
      <c r="AH528" s="0" t="s">
        <v>140</v>
      </c>
      <c r="AI528" s="0" t="s">
        <v>138</v>
      </c>
      <c r="AL528" s="14"/>
      <c r="AN528" s="14"/>
      <c r="AQ528" s="0" t="s">
        <v>130</v>
      </c>
      <c r="AR528" s="0" t="s">
        <v>130</v>
      </c>
      <c r="AS528" s="0" t="s">
        <v>130</v>
      </c>
      <c r="AT528" s="0" t="s">
        <v>130</v>
      </c>
      <c r="AU528" s="0" t="s">
        <v>130</v>
      </c>
      <c r="AV528" s="0" t="s">
        <v>130</v>
      </c>
      <c r="AW528" s="0" t="s">
        <v>130</v>
      </c>
      <c r="AX528" s="0" t="s">
        <v>130</v>
      </c>
      <c r="AY528" s="0" t="s">
        <v>130</v>
      </c>
      <c r="AZ528" s="0" t="s">
        <v>130</v>
      </c>
      <c r="BA528" s="0" t="s">
        <v>130</v>
      </c>
      <c r="BB528" s="0" t="s">
        <v>130</v>
      </c>
      <c r="BC528" s="0" t="s">
        <v>130</v>
      </c>
      <c r="BD528" s="0" t="s">
        <v>130</v>
      </c>
      <c r="BE528" s="0" t="s">
        <v>130</v>
      </c>
      <c r="BF528" s="0" t="s">
        <v>130</v>
      </c>
      <c r="BG528" s="0" t="s">
        <v>130</v>
      </c>
      <c r="BH528" s="0" t="s">
        <v>130</v>
      </c>
      <c r="BI528" s="0" t="s">
        <v>130</v>
      </c>
      <c r="BJ528" s="0" t="s">
        <v>130</v>
      </c>
      <c r="BK528" s="0" t="s">
        <v>130</v>
      </c>
      <c r="BL528" s="0" t="s">
        <v>130</v>
      </c>
      <c r="BM528" s="0" t="s">
        <v>130</v>
      </c>
      <c r="BN528" s="0" t="s">
        <v>130</v>
      </c>
      <c r="BO528" s="0" t="s">
        <v>130</v>
      </c>
      <c r="BP528" s="0" t="s">
        <v>130</v>
      </c>
      <c r="BQ528" s="0" t="s">
        <v>130</v>
      </c>
      <c r="BR528" s="0" t="s">
        <v>130</v>
      </c>
      <c r="BS528" s="0" t="s">
        <v>130</v>
      </c>
      <c r="BT528" s="0" t="s">
        <v>130</v>
      </c>
      <c r="BU528" s="0" t="s">
        <v>130</v>
      </c>
      <c r="BV528" s="0" t="s">
        <v>130</v>
      </c>
      <c r="BW528" s="0" t="s">
        <v>130</v>
      </c>
      <c r="BX528" s="0" t="s">
        <v>130</v>
      </c>
      <c r="BY528" s="0" t="s">
        <v>130</v>
      </c>
      <c r="BZ528" s="0" t="s">
        <v>130</v>
      </c>
      <c r="CA528" s="0" t="s">
        <v>130</v>
      </c>
      <c r="CB528" s="0" t="s">
        <v>130</v>
      </c>
      <c r="CC528" s="0" t="s">
        <v>130</v>
      </c>
      <c r="CD528" s="0" t="s">
        <v>130</v>
      </c>
      <c r="CE528" s="0" t="s">
        <v>130</v>
      </c>
      <c r="CF528" s="0" t="s">
        <v>130</v>
      </c>
      <c r="CG528" s="0" t="s">
        <v>130</v>
      </c>
      <c r="CH528" s="0" t="s">
        <v>130</v>
      </c>
      <c r="CI528" s="0" t="s">
        <v>130</v>
      </c>
      <c r="CJ528" s="0" t="s">
        <v>130</v>
      </c>
      <c r="CK528" s="0" t="s">
        <v>130</v>
      </c>
      <c r="CL528" s="0" t="s">
        <v>130</v>
      </c>
      <c r="CM528" s="0" t="s">
        <v>130</v>
      </c>
      <c r="CN528" s="0" t="s">
        <v>130</v>
      </c>
      <c r="CO528" s="0" t="s">
        <v>130</v>
      </c>
      <c r="CP528" s="0" t="s">
        <v>130</v>
      </c>
      <c r="CQ528" s="0" t="s">
        <v>130</v>
      </c>
      <c r="CR528" s="0" t="s">
        <v>130</v>
      </c>
      <c r="CS528" s="0" t="s">
        <v>130</v>
      </c>
      <c r="CT528" s="0" t="s">
        <v>1776</v>
      </c>
    </row>
    <row r="529">
      <c r="A529" s="14">
        <v>101650</v>
      </c>
      <c r="B529" s="0" t="s">
        <v>1765</v>
      </c>
      <c r="C529" s="16">
        <f>HYPERLINK("https://eosportal.federatedhermes.com/companies/Q29tcGFueQppNzU3MDM=", "Westpac Banking Corp")</f>
      </c>
      <c r="D529" s="0" t="s">
        <v>25</v>
      </c>
      <c r="E529" s="0" t="s">
        <v>473</v>
      </c>
      <c r="F529" s="16">
        <f>HYPERLINK("https://eosportal.federatedhermes.com/engagements/RW5nYWdlbWVudAppMjA4MDU=", "Auditor rotation")</f>
      </c>
      <c r="G529" s="14" t="s">
        <v>1777</v>
      </c>
      <c r="H529" s="0" t="s">
        <v>141</v>
      </c>
      <c r="I529" s="14" t="s">
        <v>191</v>
      </c>
      <c r="J529" s="0" t="s">
        <v>132</v>
      </c>
      <c r="K529" s="0" t="s">
        <v>170</v>
      </c>
      <c r="L529" s="0" t="s">
        <v>310</v>
      </c>
      <c r="M529" s="0" t="s">
        <v>371</v>
      </c>
      <c r="N529" s="0" t="s">
        <v>372</v>
      </c>
      <c r="O529" s="0" t="s">
        <v>238</v>
      </c>
      <c r="Q529" s="0" t="s">
        <v>130</v>
      </c>
      <c r="R529" s="0" t="s">
        <v>138</v>
      </c>
      <c r="S529" s="14">
        <v>0</v>
      </c>
      <c r="T529" s="0" t="s">
        <v>193</v>
      </c>
      <c r="U529" s="0" t="s">
        <v>138</v>
      </c>
      <c r="V529" s="14" t="s">
        <v>138</v>
      </c>
      <c r="W529" s="0" t="s">
        <v>138</v>
      </c>
      <c r="X529" s="14" t="s">
        <v>138</v>
      </c>
      <c r="Y529" s="0" t="s">
        <v>138</v>
      </c>
      <c r="Z529" s="14" t="s">
        <v>138</v>
      </c>
      <c r="AA529" s="0" t="s">
        <v>138</v>
      </c>
      <c r="AB529" s="14" t="s">
        <v>138</v>
      </c>
      <c r="AD529" s="0" t="s">
        <v>138</v>
      </c>
      <c r="AF529" s="0">
        <v>0</v>
      </c>
      <c r="AG529" s="0">
        <v>0</v>
      </c>
      <c r="AH529" s="0" t="s">
        <v>140</v>
      </c>
      <c r="AI529" s="0" t="s">
        <v>138</v>
      </c>
      <c r="AL529" s="14"/>
      <c r="AN529" s="14"/>
      <c r="AQ529" s="0" t="s">
        <v>130</v>
      </c>
      <c r="AR529" s="0" t="s">
        <v>130</v>
      </c>
      <c r="AS529" s="0" t="s">
        <v>130</v>
      </c>
      <c r="AT529" s="0" t="s">
        <v>130</v>
      </c>
      <c r="AU529" s="0" t="s">
        <v>130</v>
      </c>
      <c r="AV529" s="0" t="s">
        <v>130</v>
      </c>
      <c r="AW529" s="0" t="s">
        <v>130</v>
      </c>
      <c r="AX529" s="0" t="s">
        <v>130</v>
      </c>
      <c r="AY529" s="0" t="s">
        <v>130</v>
      </c>
      <c r="AZ529" s="0" t="s">
        <v>130</v>
      </c>
      <c r="BA529" s="0" t="s">
        <v>130</v>
      </c>
      <c r="BB529" s="0" t="s">
        <v>130</v>
      </c>
      <c r="BC529" s="0" t="s">
        <v>130</v>
      </c>
      <c r="BD529" s="0" t="s">
        <v>130</v>
      </c>
      <c r="BE529" s="0" t="s">
        <v>130</v>
      </c>
      <c r="BF529" s="0" t="s">
        <v>130</v>
      </c>
      <c r="BG529" s="0" t="s">
        <v>130</v>
      </c>
      <c r="BH529" s="0" t="s">
        <v>130</v>
      </c>
      <c r="BI529" s="0" t="s">
        <v>130</v>
      </c>
      <c r="BJ529" s="0" t="s">
        <v>130</v>
      </c>
      <c r="BK529" s="0" t="s">
        <v>130</v>
      </c>
      <c r="BL529" s="0" t="s">
        <v>130</v>
      </c>
      <c r="BM529" s="0" t="s">
        <v>130</v>
      </c>
      <c r="BN529" s="0" t="s">
        <v>130</v>
      </c>
      <c r="BO529" s="0" t="s">
        <v>130</v>
      </c>
      <c r="BP529" s="0" t="s">
        <v>130</v>
      </c>
      <c r="BQ529" s="0" t="s">
        <v>130</v>
      </c>
      <c r="BR529" s="0" t="s">
        <v>130</v>
      </c>
      <c r="BS529" s="0" t="s">
        <v>130</v>
      </c>
      <c r="BT529" s="0" t="s">
        <v>130</v>
      </c>
      <c r="BU529" s="0" t="s">
        <v>130</v>
      </c>
      <c r="BV529" s="0" t="s">
        <v>130</v>
      </c>
      <c r="BW529" s="0" t="s">
        <v>130</v>
      </c>
      <c r="BX529" s="0" t="s">
        <v>130</v>
      </c>
      <c r="BY529" s="0" t="s">
        <v>130</v>
      </c>
      <c r="BZ529" s="0" t="s">
        <v>130</v>
      </c>
      <c r="CA529" s="0" t="s">
        <v>130</v>
      </c>
      <c r="CB529" s="0" t="s">
        <v>130</v>
      </c>
      <c r="CC529" s="0" t="s">
        <v>130</v>
      </c>
      <c r="CD529" s="0" t="s">
        <v>130</v>
      </c>
      <c r="CE529" s="0" t="s">
        <v>130</v>
      </c>
      <c r="CF529" s="0" t="s">
        <v>130</v>
      </c>
      <c r="CG529" s="0" t="s">
        <v>130</v>
      </c>
      <c r="CH529" s="0" t="s">
        <v>130</v>
      </c>
      <c r="CI529" s="0" t="s">
        <v>130</v>
      </c>
      <c r="CJ529" s="0" t="s">
        <v>130</v>
      </c>
      <c r="CK529" s="0" t="s">
        <v>130</v>
      </c>
      <c r="CL529" s="0" t="s">
        <v>130</v>
      </c>
      <c r="CM529" s="0" t="s">
        <v>130</v>
      </c>
      <c r="CN529" s="0" t="s">
        <v>130</v>
      </c>
      <c r="CO529" s="0" t="s">
        <v>130</v>
      </c>
      <c r="CP529" s="0" t="s">
        <v>130</v>
      </c>
      <c r="CQ529" s="0" t="s">
        <v>130</v>
      </c>
      <c r="CR529" s="0" t="s">
        <v>130</v>
      </c>
      <c r="CS529" s="0" t="s">
        <v>130</v>
      </c>
      <c r="CT529" s="0" t="s">
        <v>1778</v>
      </c>
    </row>
    <row r="530">
      <c r="A530" s="14">
        <v>101650</v>
      </c>
      <c r="B530" s="0" t="s">
        <v>1765</v>
      </c>
      <c r="C530" s="16">
        <f>HYPERLINK("https://eosportal.federatedhermes.com/companies/Q29tcGFueQppNzU3MDM=", "Westpac Banking Corp")</f>
      </c>
      <c r="D530" s="0" t="s">
        <v>25</v>
      </c>
      <c r="E530" s="0" t="s">
        <v>907</v>
      </c>
      <c r="F530" s="16">
        <f>HYPERLINK("https://eosportal.federatedhermes.com/engagements/RW5nYWdlbWVudAppMjA4MDY=", "Climate change")</f>
      </c>
      <c r="G530" s="14" t="s">
        <v>1779</v>
      </c>
      <c r="H530" s="0" t="s">
        <v>141</v>
      </c>
      <c r="I530" s="14" t="s">
        <v>191</v>
      </c>
      <c r="J530" s="0" t="s">
        <v>197</v>
      </c>
      <c r="K530" s="0" t="s">
        <v>198</v>
      </c>
      <c r="L530" s="0" t="s">
        <v>216</v>
      </c>
      <c r="M530" s="0" t="s">
        <v>371</v>
      </c>
      <c r="N530" s="0" t="s">
        <v>372</v>
      </c>
      <c r="O530" s="0" t="s">
        <v>238</v>
      </c>
      <c r="Q530" s="0" t="s">
        <v>130</v>
      </c>
      <c r="R530" s="0" t="s">
        <v>138</v>
      </c>
      <c r="S530" s="14">
        <v>0</v>
      </c>
      <c r="T530" s="0" t="s">
        <v>193</v>
      </c>
      <c r="U530" s="0" t="s">
        <v>138</v>
      </c>
      <c r="V530" s="14" t="s">
        <v>138</v>
      </c>
      <c r="W530" s="0" t="s">
        <v>138</v>
      </c>
      <c r="X530" s="14" t="s">
        <v>138</v>
      </c>
      <c r="Y530" s="0" t="s">
        <v>138</v>
      </c>
      <c r="Z530" s="14" t="s">
        <v>138</v>
      </c>
      <c r="AA530" s="0" t="s">
        <v>138</v>
      </c>
      <c r="AB530" s="14" t="s">
        <v>138</v>
      </c>
      <c r="AD530" s="0" t="s">
        <v>138</v>
      </c>
      <c r="AF530" s="0">
        <v>0</v>
      </c>
      <c r="AG530" s="0">
        <v>0</v>
      </c>
      <c r="AH530" s="0" t="s">
        <v>140</v>
      </c>
      <c r="AI530" s="0" t="s">
        <v>138</v>
      </c>
      <c r="AL530" s="14"/>
      <c r="AN530" s="14"/>
      <c r="AQ530" s="0" t="s">
        <v>130</v>
      </c>
      <c r="AR530" s="0" t="s">
        <v>130</v>
      </c>
      <c r="AS530" s="0" t="s">
        <v>130</v>
      </c>
      <c r="AT530" s="0" t="s">
        <v>130</v>
      </c>
      <c r="AU530" s="0" t="s">
        <v>130</v>
      </c>
      <c r="AV530" s="0" t="s">
        <v>130</v>
      </c>
      <c r="AW530" s="0" t="s">
        <v>141</v>
      </c>
      <c r="AX530" s="0" t="s">
        <v>130</v>
      </c>
      <c r="AY530" s="0" t="s">
        <v>130</v>
      </c>
      <c r="AZ530" s="0" t="s">
        <v>130</v>
      </c>
      <c r="BA530" s="0" t="s">
        <v>130</v>
      </c>
      <c r="BB530" s="0" t="s">
        <v>130</v>
      </c>
      <c r="BC530" s="0" t="s">
        <v>141</v>
      </c>
      <c r="BD530" s="0" t="s">
        <v>130</v>
      </c>
      <c r="BE530" s="0" t="s">
        <v>130</v>
      </c>
      <c r="BF530" s="0" t="s">
        <v>130</v>
      </c>
      <c r="BG530" s="0" t="s">
        <v>130</v>
      </c>
      <c r="BH530" s="0" t="s">
        <v>141</v>
      </c>
      <c r="BI530" s="0" t="s">
        <v>141</v>
      </c>
      <c r="BJ530" s="0" t="s">
        <v>141</v>
      </c>
      <c r="BK530" s="0" t="s">
        <v>130</v>
      </c>
      <c r="BL530" s="0" t="s">
        <v>130</v>
      </c>
      <c r="BM530" s="0" t="s">
        <v>130</v>
      </c>
      <c r="BN530" s="0" t="s">
        <v>130</v>
      </c>
      <c r="BO530" s="0" t="s">
        <v>130</v>
      </c>
      <c r="BP530" s="0" t="s">
        <v>130</v>
      </c>
      <c r="BQ530" s="0" t="s">
        <v>130</v>
      </c>
      <c r="BR530" s="0" t="s">
        <v>130</v>
      </c>
      <c r="BS530" s="0" t="s">
        <v>130</v>
      </c>
      <c r="BT530" s="0" t="s">
        <v>130</v>
      </c>
      <c r="BU530" s="0" t="s">
        <v>130</v>
      </c>
      <c r="BV530" s="0" t="s">
        <v>141</v>
      </c>
      <c r="BW530" s="0" t="s">
        <v>141</v>
      </c>
      <c r="BX530" s="0" t="s">
        <v>130</v>
      </c>
      <c r="BY530" s="0" t="s">
        <v>130</v>
      </c>
      <c r="BZ530" s="0" t="s">
        <v>130</v>
      </c>
      <c r="CA530" s="0" t="s">
        <v>130</v>
      </c>
      <c r="CB530" s="0" t="s">
        <v>130</v>
      </c>
      <c r="CC530" s="0" t="s">
        <v>130</v>
      </c>
      <c r="CD530" s="0" t="s">
        <v>130</v>
      </c>
      <c r="CE530" s="0" t="s">
        <v>130</v>
      </c>
      <c r="CF530" s="0" t="s">
        <v>130</v>
      </c>
      <c r="CG530" s="0" t="s">
        <v>130</v>
      </c>
      <c r="CH530" s="0" t="s">
        <v>130</v>
      </c>
      <c r="CI530" s="0" t="s">
        <v>130</v>
      </c>
      <c r="CJ530" s="0" t="s">
        <v>130</v>
      </c>
      <c r="CK530" s="0" t="s">
        <v>130</v>
      </c>
      <c r="CL530" s="0" t="s">
        <v>130</v>
      </c>
      <c r="CM530" s="0" t="s">
        <v>130</v>
      </c>
      <c r="CN530" s="0" t="s">
        <v>130</v>
      </c>
      <c r="CO530" s="0" t="s">
        <v>130</v>
      </c>
      <c r="CP530" s="0" t="s">
        <v>130</v>
      </c>
      <c r="CQ530" s="0" t="s">
        <v>130</v>
      </c>
      <c r="CR530" s="0" t="s">
        <v>130</v>
      </c>
      <c r="CS530" s="0" t="s">
        <v>130</v>
      </c>
      <c r="CT530" s="0" t="s">
        <v>1780</v>
      </c>
    </row>
    <row r="531">
      <c r="A531" s="14">
        <v>101650</v>
      </c>
      <c r="B531" s="0" t="s">
        <v>1765</v>
      </c>
      <c r="C531" s="16">
        <f>HYPERLINK("https://eosportal.federatedhermes.com/companies/Q29tcGFueQppNzU3MDM=", "Westpac Banking Corp")</f>
      </c>
      <c r="D531" s="0" t="s">
        <v>25</v>
      </c>
      <c r="E531" s="0" t="s">
        <v>873</v>
      </c>
      <c r="F531" s="16">
        <f>HYPERLINK("https://eosportal.federatedhermes.com/engagements/RW5nYWdlbWVudAppMjA4MDc=", "Risk management")</f>
      </c>
      <c r="G531" s="14" t="s">
        <v>1781</v>
      </c>
      <c r="H531" s="0" t="s">
        <v>141</v>
      </c>
      <c r="I531" s="14" t="s">
        <v>191</v>
      </c>
      <c r="J531" s="0" t="s">
        <v>132</v>
      </c>
      <c r="K531" s="0" t="s">
        <v>260</v>
      </c>
      <c r="L531" s="0" t="s">
        <v>261</v>
      </c>
      <c r="M531" s="0" t="s">
        <v>371</v>
      </c>
      <c r="N531" s="0" t="s">
        <v>372</v>
      </c>
      <c r="O531" s="0" t="s">
        <v>238</v>
      </c>
      <c r="Q531" s="0" t="s">
        <v>141</v>
      </c>
      <c r="R531" s="0" t="s">
        <v>138</v>
      </c>
      <c r="S531" s="14">
        <v>1</v>
      </c>
      <c r="T531" s="0" t="s">
        <v>278</v>
      </c>
      <c r="U531" s="0" t="s">
        <v>138</v>
      </c>
      <c r="V531" s="14" t="s">
        <v>138</v>
      </c>
      <c r="W531" s="0" t="s">
        <v>138</v>
      </c>
      <c r="X531" s="14" t="s">
        <v>138</v>
      </c>
      <c r="Y531" s="0" t="s">
        <v>138</v>
      </c>
      <c r="Z531" s="14" t="s">
        <v>138</v>
      </c>
      <c r="AA531" s="0" t="s">
        <v>138</v>
      </c>
      <c r="AB531" s="14" t="s">
        <v>138</v>
      </c>
      <c r="AD531" s="0" t="s">
        <v>138</v>
      </c>
      <c r="AF531" s="0">
        <v>0</v>
      </c>
      <c r="AG531" s="0">
        <v>0</v>
      </c>
      <c r="AH531" s="0" t="s">
        <v>140</v>
      </c>
      <c r="AI531" s="0" t="s">
        <v>138</v>
      </c>
      <c r="AK531" s="0" t="s">
        <v>1151</v>
      </c>
      <c r="AL531" s="14"/>
      <c r="AN531" s="14"/>
      <c r="AQ531" s="0" t="s">
        <v>130</v>
      </c>
      <c r="AR531" s="0" t="s">
        <v>130</v>
      </c>
      <c r="AS531" s="0" t="s">
        <v>130</v>
      </c>
      <c r="AT531" s="0" t="s">
        <v>130</v>
      </c>
      <c r="AU531" s="0" t="s">
        <v>130</v>
      </c>
      <c r="AV531" s="0" t="s">
        <v>130</v>
      </c>
      <c r="AW531" s="0" t="s">
        <v>130</v>
      </c>
      <c r="AX531" s="0" t="s">
        <v>130</v>
      </c>
      <c r="AY531" s="0" t="s">
        <v>130</v>
      </c>
      <c r="AZ531" s="0" t="s">
        <v>130</v>
      </c>
      <c r="BA531" s="0" t="s">
        <v>130</v>
      </c>
      <c r="BB531" s="0" t="s">
        <v>130</v>
      </c>
      <c r="BC531" s="0" t="s">
        <v>130</v>
      </c>
      <c r="BD531" s="0" t="s">
        <v>130</v>
      </c>
      <c r="BE531" s="0" t="s">
        <v>130</v>
      </c>
      <c r="BF531" s="0" t="s">
        <v>130</v>
      </c>
      <c r="BG531" s="0" t="s">
        <v>130</v>
      </c>
      <c r="BH531" s="0" t="s">
        <v>130</v>
      </c>
      <c r="BI531" s="0" t="s">
        <v>130</v>
      </c>
      <c r="BJ531" s="0" t="s">
        <v>130</v>
      </c>
      <c r="BK531" s="0" t="s">
        <v>130</v>
      </c>
      <c r="BL531" s="0" t="s">
        <v>130</v>
      </c>
      <c r="BM531" s="0" t="s">
        <v>130</v>
      </c>
      <c r="BN531" s="0" t="s">
        <v>130</v>
      </c>
      <c r="BO531" s="0" t="s">
        <v>130</v>
      </c>
      <c r="BP531" s="0" t="s">
        <v>130</v>
      </c>
      <c r="BQ531" s="0" t="s">
        <v>130</v>
      </c>
      <c r="BR531" s="0" t="s">
        <v>130</v>
      </c>
      <c r="BS531" s="0" t="s">
        <v>130</v>
      </c>
      <c r="BT531" s="0" t="s">
        <v>130</v>
      </c>
      <c r="BU531" s="0" t="s">
        <v>130</v>
      </c>
      <c r="BV531" s="0" t="s">
        <v>130</v>
      </c>
      <c r="BW531" s="0" t="s">
        <v>130</v>
      </c>
      <c r="BX531" s="0" t="s">
        <v>130</v>
      </c>
      <c r="BY531" s="0" t="s">
        <v>130</v>
      </c>
      <c r="BZ531" s="0" t="s">
        <v>130</v>
      </c>
      <c r="CA531" s="0" t="s">
        <v>130</v>
      </c>
      <c r="CB531" s="0" t="s">
        <v>130</v>
      </c>
      <c r="CC531" s="0" t="s">
        <v>130</v>
      </c>
      <c r="CD531" s="0" t="s">
        <v>130</v>
      </c>
      <c r="CE531" s="0" t="s">
        <v>130</v>
      </c>
      <c r="CF531" s="0" t="s">
        <v>130</v>
      </c>
      <c r="CG531" s="0" t="s">
        <v>130</v>
      </c>
      <c r="CH531" s="0" t="s">
        <v>130</v>
      </c>
      <c r="CI531" s="0" t="s">
        <v>130</v>
      </c>
      <c r="CJ531" s="0" t="s">
        <v>130</v>
      </c>
      <c r="CK531" s="0" t="s">
        <v>130</v>
      </c>
      <c r="CL531" s="0" t="s">
        <v>130</v>
      </c>
      <c r="CM531" s="0" t="s">
        <v>130</v>
      </c>
      <c r="CN531" s="0" t="s">
        <v>130</v>
      </c>
      <c r="CO531" s="0" t="s">
        <v>130</v>
      </c>
      <c r="CP531" s="0" t="s">
        <v>130</v>
      </c>
      <c r="CQ531" s="0" t="s">
        <v>130</v>
      </c>
      <c r="CR531" s="0" t="s">
        <v>130</v>
      </c>
      <c r="CS531" s="0" t="s">
        <v>130</v>
      </c>
      <c r="CT531" s="0" t="s">
        <v>1782</v>
      </c>
    </row>
    <row r="532">
      <c r="A532" s="14">
        <v>101650</v>
      </c>
      <c r="B532" s="0" t="s">
        <v>1765</v>
      </c>
      <c r="C532" s="16">
        <f>HYPERLINK("https://eosportal.federatedhermes.com/companies/Q29tcGFueQppNzU3MDM=", "Westpac Banking Corp")</f>
      </c>
      <c r="D532" s="0" t="s">
        <v>25</v>
      </c>
      <c r="E532" s="0" t="s">
        <v>341</v>
      </c>
      <c r="F532" s="16">
        <f>HYPERLINK("https://eosportal.federatedhermes.com/engagements/RW5nYWdlbWVudAppMjA4MDg=", "Remuneration")</f>
      </c>
      <c r="G532" s="14" t="s">
        <v>642</v>
      </c>
      <c r="H532" s="0" t="s">
        <v>141</v>
      </c>
      <c r="I532" s="14" t="s">
        <v>191</v>
      </c>
      <c r="J532" s="0" t="s">
        <v>145</v>
      </c>
      <c r="K532" s="0" t="s">
        <v>146</v>
      </c>
      <c r="L532" s="0" t="s">
        <v>147</v>
      </c>
      <c r="M532" s="0" t="s">
        <v>371</v>
      </c>
      <c r="N532" s="0" t="s">
        <v>372</v>
      </c>
      <c r="O532" s="0" t="s">
        <v>238</v>
      </c>
      <c r="Q532" s="0" t="s">
        <v>141</v>
      </c>
      <c r="R532" s="0" t="s">
        <v>138</v>
      </c>
      <c r="S532" s="14">
        <v>1</v>
      </c>
      <c r="T532" s="0" t="s">
        <v>278</v>
      </c>
      <c r="U532" s="0" t="s">
        <v>138</v>
      </c>
      <c r="V532" s="14" t="s">
        <v>138</v>
      </c>
      <c r="W532" s="0" t="s">
        <v>138</v>
      </c>
      <c r="X532" s="14" t="s">
        <v>138</v>
      </c>
      <c r="Y532" s="0" t="s">
        <v>138</v>
      </c>
      <c r="Z532" s="14" t="s">
        <v>138</v>
      </c>
      <c r="AA532" s="0" t="s">
        <v>138</v>
      </c>
      <c r="AB532" s="14" t="s">
        <v>138</v>
      </c>
      <c r="AD532" s="0" t="s">
        <v>138</v>
      </c>
      <c r="AF532" s="0">
        <v>0</v>
      </c>
      <c r="AG532" s="0">
        <v>0</v>
      </c>
      <c r="AH532" s="0" t="s">
        <v>140</v>
      </c>
      <c r="AI532" s="0" t="s">
        <v>138</v>
      </c>
      <c r="AK532" s="0" t="s">
        <v>1151</v>
      </c>
      <c r="AL532" s="14"/>
      <c r="AN532" s="14"/>
      <c r="AQ532" s="0" t="s">
        <v>130</v>
      </c>
      <c r="AR532" s="0" t="s">
        <v>130</v>
      </c>
      <c r="AS532" s="0" t="s">
        <v>130</v>
      </c>
      <c r="AT532" s="0" t="s">
        <v>130</v>
      </c>
      <c r="AU532" s="0" t="s">
        <v>130</v>
      </c>
      <c r="AV532" s="0" t="s">
        <v>130</v>
      </c>
      <c r="AW532" s="0" t="s">
        <v>130</v>
      </c>
      <c r="AX532" s="0" t="s">
        <v>130</v>
      </c>
      <c r="AY532" s="0" t="s">
        <v>130</v>
      </c>
      <c r="AZ532" s="0" t="s">
        <v>130</v>
      </c>
      <c r="BA532" s="0" t="s">
        <v>130</v>
      </c>
      <c r="BB532" s="0" t="s">
        <v>130</v>
      </c>
      <c r="BC532" s="0" t="s">
        <v>130</v>
      </c>
      <c r="BD532" s="0" t="s">
        <v>130</v>
      </c>
      <c r="BE532" s="0" t="s">
        <v>130</v>
      </c>
      <c r="BF532" s="0" t="s">
        <v>130</v>
      </c>
      <c r="BG532" s="0" t="s">
        <v>130</v>
      </c>
      <c r="BH532" s="0" t="s">
        <v>130</v>
      </c>
      <c r="BI532" s="0" t="s">
        <v>130</v>
      </c>
      <c r="BJ532" s="0" t="s">
        <v>130</v>
      </c>
      <c r="BK532" s="0" t="s">
        <v>130</v>
      </c>
      <c r="BL532" s="0" t="s">
        <v>130</v>
      </c>
      <c r="BM532" s="0" t="s">
        <v>130</v>
      </c>
      <c r="BN532" s="0" t="s">
        <v>130</v>
      </c>
      <c r="BO532" s="0" t="s">
        <v>130</v>
      </c>
      <c r="BP532" s="0" t="s">
        <v>130</v>
      </c>
      <c r="BQ532" s="0" t="s">
        <v>130</v>
      </c>
      <c r="BR532" s="0" t="s">
        <v>130</v>
      </c>
      <c r="BS532" s="0" t="s">
        <v>130</v>
      </c>
      <c r="BT532" s="0" t="s">
        <v>130</v>
      </c>
      <c r="BU532" s="0" t="s">
        <v>130</v>
      </c>
      <c r="BV532" s="0" t="s">
        <v>130</v>
      </c>
      <c r="BW532" s="0" t="s">
        <v>130</v>
      </c>
      <c r="BX532" s="0" t="s">
        <v>130</v>
      </c>
      <c r="BY532" s="0" t="s">
        <v>130</v>
      </c>
      <c r="BZ532" s="0" t="s">
        <v>130</v>
      </c>
      <c r="CA532" s="0" t="s">
        <v>130</v>
      </c>
      <c r="CB532" s="0" t="s">
        <v>130</v>
      </c>
      <c r="CC532" s="0" t="s">
        <v>130</v>
      </c>
      <c r="CD532" s="0" t="s">
        <v>130</v>
      </c>
      <c r="CE532" s="0" t="s">
        <v>130</v>
      </c>
      <c r="CF532" s="0" t="s">
        <v>130</v>
      </c>
      <c r="CG532" s="0" t="s">
        <v>130</v>
      </c>
      <c r="CH532" s="0" t="s">
        <v>130</v>
      </c>
      <c r="CI532" s="0" t="s">
        <v>130</v>
      </c>
      <c r="CJ532" s="0" t="s">
        <v>130</v>
      </c>
      <c r="CK532" s="0" t="s">
        <v>130</v>
      </c>
      <c r="CL532" s="0" t="s">
        <v>130</v>
      </c>
      <c r="CM532" s="0" t="s">
        <v>130</v>
      </c>
      <c r="CN532" s="0" t="s">
        <v>130</v>
      </c>
      <c r="CO532" s="0" t="s">
        <v>130</v>
      </c>
      <c r="CP532" s="0" t="s">
        <v>130</v>
      </c>
      <c r="CQ532" s="0" t="s">
        <v>130</v>
      </c>
      <c r="CR532" s="0" t="s">
        <v>130</v>
      </c>
      <c r="CS532" s="0" t="s">
        <v>130</v>
      </c>
      <c r="CT532" s="0" t="s">
        <v>1783</v>
      </c>
    </row>
    <row r="533">
      <c r="A533" s="14">
        <v>101652</v>
      </c>
      <c r="B533" s="0" t="s">
        <v>1784</v>
      </c>
      <c r="C533" s="16">
        <f>HYPERLINK("https://eosportal.federatedhermes.com/companies/Q29tcGFueQppNTg5NjE=", "Weyerhaeuser Co")</f>
      </c>
      <c r="D533" s="0" t="s">
        <v>25</v>
      </c>
      <c r="E533" s="0" t="s">
        <v>1785</v>
      </c>
      <c r="F533" s="16">
        <f>HYPERLINK("https://eosportal.federatedhermes.com/engagements/RW5nYWdlbWVudAppMjA4MDk=", "Weyerhaeuser Co-Environmental-Other environmental")</f>
      </c>
      <c r="G533" s="14" t="s">
        <v>1786</v>
      </c>
      <c r="H533" s="0" t="s">
        <v>130</v>
      </c>
      <c r="I533" s="14" t="s">
        <v>131</v>
      </c>
      <c r="J533" s="0" t="s">
        <v>197</v>
      </c>
      <c r="K533" s="0" t="s">
        <v>337</v>
      </c>
      <c r="L533" s="0" t="s">
        <v>576</v>
      </c>
      <c r="M533" s="0" t="s">
        <v>135</v>
      </c>
      <c r="N533" s="0" t="s">
        <v>136</v>
      </c>
      <c r="O533" s="0" t="s">
        <v>238</v>
      </c>
      <c r="Q533" s="0" t="s">
        <v>130</v>
      </c>
      <c r="R533" s="0" t="s">
        <v>138</v>
      </c>
      <c r="S533" s="14">
        <v>0</v>
      </c>
      <c r="T533" s="0" t="s">
        <v>1321</v>
      </c>
      <c r="U533" s="0" t="s">
        <v>138</v>
      </c>
      <c r="V533" s="14" t="s">
        <v>138</v>
      </c>
      <c r="W533" s="0" t="s">
        <v>138</v>
      </c>
      <c r="X533" s="14" t="s">
        <v>138</v>
      </c>
      <c r="Y533" s="0" t="s">
        <v>138</v>
      </c>
      <c r="Z533" s="14" t="s">
        <v>138</v>
      </c>
      <c r="AA533" s="0" t="s">
        <v>138</v>
      </c>
      <c r="AB533" s="14" t="s">
        <v>138</v>
      </c>
      <c r="AD533" s="0" t="s">
        <v>138</v>
      </c>
      <c r="AF533" s="0">
        <v>0</v>
      </c>
      <c r="AG533" s="0">
        <v>0</v>
      </c>
      <c r="AH533" s="0" t="s">
        <v>140</v>
      </c>
      <c r="AI533" s="0" t="s">
        <v>138</v>
      </c>
      <c r="AL533" s="14"/>
      <c r="AN533" s="14"/>
      <c r="AQ533" s="0" t="s">
        <v>130</v>
      </c>
      <c r="AR533" s="0" t="s">
        <v>141</v>
      </c>
      <c r="AS533" s="0" t="s">
        <v>130</v>
      </c>
      <c r="AT533" s="0" t="s">
        <v>130</v>
      </c>
      <c r="AU533" s="0" t="s">
        <v>130</v>
      </c>
      <c r="AV533" s="0" t="s">
        <v>130</v>
      </c>
      <c r="AW533" s="0" t="s">
        <v>130</v>
      </c>
      <c r="AX533" s="0" t="s">
        <v>130</v>
      </c>
      <c r="AY533" s="0" t="s">
        <v>130</v>
      </c>
      <c r="AZ533" s="0" t="s">
        <v>130</v>
      </c>
      <c r="BA533" s="0" t="s">
        <v>130</v>
      </c>
      <c r="BB533" s="0" t="s">
        <v>141</v>
      </c>
      <c r="BC533" s="0" t="s">
        <v>130</v>
      </c>
      <c r="BD533" s="0" t="s">
        <v>130</v>
      </c>
      <c r="BE533" s="0" t="s">
        <v>141</v>
      </c>
      <c r="BF533" s="0" t="s">
        <v>130</v>
      </c>
      <c r="BG533" s="0" t="s">
        <v>130</v>
      </c>
      <c r="BH533" s="0" t="s">
        <v>130</v>
      </c>
      <c r="BI533" s="0" t="s">
        <v>130</v>
      </c>
      <c r="BJ533" s="0" t="s">
        <v>130</v>
      </c>
      <c r="BK533" s="0" t="s">
        <v>130</v>
      </c>
      <c r="BL533" s="0" t="s">
        <v>130</v>
      </c>
      <c r="BM533" s="0" t="s">
        <v>130</v>
      </c>
      <c r="BN533" s="0" t="s">
        <v>130</v>
      </c>
      <c r="BO533" s="0" t="s">
        <v>130</v>
      </c>
      <c r="BP533" s="0" t="s">
        <v>130</v>
      </c>
      <c r="BQ533" s="0" t="s">
        <v>130</v>
      </c>
      <c r="BR533" s="0" t="s">
        <v>130</v>
      </c>
      <c r="BS533" s="0" t="s">
        <v>130</v>
      </c>
      <c r="BT533" s="0" t="s">
        <v>130</v>
      </c>
      <c r="BU533" s="0" t="s">
        <v>130</v>
      </c>
      <c r="BV533" s="0" t="s">
        <v>130</v>
      </c>
      <c r="BW533" s="0" t="s">
        <v>130</v>
      </c>
      <c r="BX533" s="0" t="s">
        <v>130</v>
      </c>
      <c r="BY533" s="0" t="s">
        <v>130</v>
      </c>
      <c r="BZ533" s="0" t="s">
        <v>130</v>
      </c>
      <c r="CA533" s="0" t="s">
        <v>130</v>
      </c>
      <c r="CB533" s="0" t="s">
        <v>130</v>
      </c>
      <c r="CC533" s="0" t="s">
        <v>130</v>
      </c>
      <c r="CD533" s="0" t="s">
        <v>130</v>
      </c>
      <c r="CE533" s="0" t="s">
        <v>130</v>
      </c>
      <c r="CF533" s="0" t="s">
        <v>130</v>
      </c>
      <c r="CG533" s="0" t="s">
        <v>130</v>
      </c>
      <c r="CH533" s="0" t="s">
        <v>130</v>
      </c>
      <c r="CI533" s="0" t="s">
        <v>130</v>
      </c>
      <c r="CJ533" s="0" t="s">
        <v>130</v>
      </c>
      <c r="CK533" s="0" t="s">
        <v>130</v>
      </c>
      <c r="CL533" s="0" t="s">
        <v>130</v>
      </c>
      <c r="CM533" s="0" t="s">
        <v>130</v>
      </c>
      <c r="CN533" s="0" t="s">
        <v>130</v>
      </c>
      <c r="CO533" s="0" t="s">
        <v>130</v>
      </c>
      <c r="CP533" s="0" t="s">
        <v>130</v>
      </c>
      <c r="CQ533" s="0" t="s">
        <v>130</v>
      </c>
      <c r="CR533" s="0" t="s">
        <v>130</v>
      </c>
      <c r="CS533" s="0" t="s">
        <v>130</v>
      </c>
      <c r="CT533" s="0" t="s">
        <v>1787</v>
      </c>
    </row>
    <row r="534">
      <c r="A534" s="14">
        <v>101652</v>
      </c>
      <c r="B534" s="0" t="s">
        <v>1784</v>
      </c>
      <c r="C534" s="16">
        <f>HYPERLINK("https://eosportal.federatedhermes.com/companies/Q29tcGFueQppNTg5NjE=", "Weyerhaeuser Co")</f>
      </c>
      <c r="D534" s="0" t="s">
        <v>25</v>
      </c>
      <c r="E534" s="0" t="s">
        <v>1788</v>
      </c>
      <c r="F534" s="16">
        <f>HYPERLINK("https://eosportal.federatedhermes.com/engagements/RW5nYWdlbWVudAppMjA4MTA=", "Forest Management &amp; Climate Resiliency")</f>
      </c>
      <c r="G534" s="14" t="s">
        <v>1789</v>
      </c>
      <c r="H534" s="0" t="s">
        <v>130</v>
      </c>
      <c r="I534" s="14" t="s">
        <v>131</v>
      </c>
      <c r="J534" s="0" t="s">
        <v>197</v>
      </c>
      <c r="K534" s="0" t="s">
        <v>198</v>
      </c>
      <c r="L534" s="0" t="s">
        <v>682</v>
      </c>
      <c r="M534" s="0" t="s">
        <v>135</v>
      </c>
      <c r="N534" s="0" t="s">
        <v>136</v>
      </c>
      <c r="O534" s="0" t="s">
        <v>238</v>
      </c>
      <c r="Q534" s="0" t="s">
        <v>130</v>
      </c>
      <c r="R534" s="0" t="s">
        <v>138</v>
      </c>
      <c r="S534" s="14">
        <v>0</v>
      </c>
      <c r="T534" s="0" t="s">
        <v>166</v>
      </c>
      <c r="U534" s="0" t="s">
        <v>138</v>
      </c>
      <c r="V534" s="14" t="s">
        <v>138</v>
      </c>
      <c r="W534" s="0" t="s">
        <v>138</v>
      </c>
      <c r="X534" s="14" t="s">
        <v>138</v>
      </c>
      <c r="Y534" s="0" t="s">
        <v>138</v>
      </c>
      <c r="Z534" s="14" t="s">
        <v>138</v>
      </c>
      <c r="AA534" s="0" t="s">
        <v>138</v>
      </c>
      <c r="AB534" s="14" t="s">
        <v>138</v>
      </c>
      <c r="AD534" s="0" t="s">
        <v>138</v>
      </c>
      <c r="AF534" s="0">
        <v>0</v>
      </c>
      <c r="AG534" s="0">
        <v>0</v>
      </c>
      <c r="AH534" s="0" t="s">
        <v>140</v>
      </c>
      <c r="AI534" s="0" t="s">
        <v>138</v>
      </c>
      <c r="AL534" s="14"/>
      <c r="AN534" s="14"/>
      <c r="AQ534" s="0" t="s">
        <v>130</v>
      </c>
      <c r="AR534" s="0" t="s">
        <v>130</v>
      </c>
      <c r="AS534" s="0" t="s">
        <v>130</v>
      </c>
      <c r="AT534" s="0" t="s">
        <v>130</v>
      </c>
      <c r="AU534" s="0" t="s">
        <v>130</v>
      </c>
      <c r="AV534" s="0" t="s">
        <v>130</v>
      </c>
      <c r="AW534" s="0" t="s">
        <v>130</v>
      </c>
      <c r="AX534" s="0" t="s">
        <v>130</v>
      </c>
      <c r="AY534" s="0" t="s">
        <v>130</v>
      </c>
      <c r="AZ534" s="0" t="s">
        <v>130</v>
      </c>
      <c r="BA534" s="0" t="s">
        <v>130</v>
      </c>
      <c r="BB534" s="0" t="s">
        <v>130</v>
      </c>
      <c r="BC534" s="0" t="s">
        <v>141</v>
      </c>
      <c r="BD534" s="0" t="s">
        <v>130</v>
      </c>
      <c r="BE534" s="0" t="s">
        <v>130</v>
      </c>
      <c r="BF534" s="0" t="s">
        <v>130</v>
      </c>
      <c r="BG534" s="0" t="s">
        <v>130</v>
      </c>
      <c r="BH534" s="0" t="s">
        <v>130</v>
      </c>
      <c r="BI534" s="0" t="s">
        <v>130</v>
      </c>
      <c r="BJ534" s="0" t="s">
        <v>130</v>
      </c>
      <c r="BK534" s="0" t="s">
        <v>130</v>
      </c>
      <c r="BL534" s="0" t="s">
        <v>130</v>
      </c>
      <c r="BM534" s="0" t="s">
        <v>130</v>
      </c>
      <c r="BN534" s="0" t="s">
        <v>130</v>
      </c>
      <c r="BO534" s="0" t="s">
        <v>130</v>
      </c>
      <c r="BP534" s="0" t="s">
        <v>130</v>
      </c>
      <c r="BQ534" s="0" t="s">
        <v>130</v>
      </c>
      <c r="BR534" s="0" t="s">
        <v>130</v>
      </c>
      <c r="BS534" s="0" t="s">
        <v>130</v>
      </c>
      <c r="BT534" s="0" t="s">
        <v>130</v>
      </c>
      <c r="BU534" s="0" t="s">
        <v>130</v>
      </c>
      <c r="BV534" s="0" t="s">
        <v>130</v>
      </c>
      <c r="BW534" s="0" t="s">
        <v>130</v>
      </c>
      <c r="BX534" s="0" t="s">
        <v>130</v>
      </c>
      <c r="BY534" s="0" t="s">
        <v>130</v>
      </c>
      <c r="BZ534" s="0" t="s">
        <v>130</v>
      </c>
      <c r="CA534" s="0" t="s">
        <v>130</v>
      </c>
      <c r="CB534" s="0" t="s">
        <v>130</v>
      </c>
      <c r="CC534" s="0" t="s">
        <v>130</v>
      </c>
      <c r="CD534" s="0" t="s">
        <v>130</v>
      </c>
      <c r="CE534" s="0" t="s">
        <v>130</v>
      </c>
      <c r="CF534" s="0" t="s">
        <v>130</v>
      </c>
      <c r="CG534" s="0" t="s">
        <v>130</v>
      </c>
      <c r="CH534" s="0" t="s">
        <v>130</v>
      </c>
      <c r="CI534" s="0" t="s">
        <v>130</v>
      </c>
      <c r="CJ534" s="0" t="s">
        <v>130</v>
      </c>
      <c r="CK534" s="0" t="s">
        <v>130</v>
      </c>
      <c r="CL534" s="0" t="s">
        <v>130</v>
      </c>
      <c r="CM534" s="0" t="s">
        <v>130</v>
      </c>
      <c r="CN534" s="0" t="s">
        <v>130</v>
      </c>
      <c r="CO534" s="0" t="s">
        <v>130</v>
      </c>
      <c r="CP534" s="0" t="s">
        <v>130</v>
      </c>
      <c r="CQ534" s="0" t="s">
        <v>130</v>
      </c>
      <c r="CR534" s="0" t="s">
        <v>130</v>
      </c>
      <c r="CS534" s="0" t="s">
        <v>130</v>
      </c>
      <c r="CT534" s="0" t="s">
        <v>1790</v>
      </c>
    </row>
    <row r="535">
      <c r="A535" s="14">
        <v>101652</v>
      </c>
      <c r="B535" s="0" t="s">
        <v>1784</v>
      </c>
      <c r="C535" s="16">
        <f>HYPERLINK("https://eosportal.federatedhermes.com/companies/Q29tcGFueQppNTg5NjE=", "Weyerhaeuser Co")</f>
      </c>
      <c r="D535" s="0" t="s">
        <v>25</v>
      </c>
      <c r="E535" s="0" t="s">
        <v>146</v>
      </c>
      <c r="F535" s="16">
        <f>HYPERLINK("https://eosportal.federatedhermes.com/engagements/RW5nYWdlbWVudAppMjA4MTE=", "Executive Remuneration")</f>
      </c>
      <c r="G535" s="14" t="s">
        <v>1791</v>
      </c>
      <c r="H535" s="0" t="s">
        <v>130</v>
      </c>
      <c r="I535" s="14" t="s">
        <v>131</v>
      </c>
      <c r="J535" s="0" t="s">
        <v>145</v>
      </c>
      <c r="K535" s="0" t="s">
        <v>146</v>
      </c>
      <c r="L535" s="0" t="s">
        <v>147</v>
      </c>
      <c r="M535" s="0" t="s">
        <v>135</v>
      </c>
      <c r="N535" s="0" t="s">
        <v>136</v>
      </c>
      <c r="O535" s="0" t="s">
        <v>238</v>
      </c>
      <c r="Q535" s="0" t="s">
        <v>130</v>
      </c>
      <c r="R535" s="0" t="s">
        <v>138</v>
      </c>
      <c r="S535" s="14">
        <v>0</v>
      </c>
      <c r="T535" s="0" t="s">
        <v>166</v>
      </c>
      <c r="U535" s="0" t="s">
        <v>138</v>
      </c>
      <c r="V535" s="14" t="s">
        <v>138</v>
      </c>
      <c r="W535" s="0" t="s">
        <v>138</v>
      </c>
      <c r="X535" s="14" t="s">
        <v>138</v>
      </c>
      <c r="Y535" s="0" t="s">
        <v>138</v>
      </c>
      <c r="Z535" s="14" t="s">
        <v>138</v>
      </c>
      <c r="AA535" s="0" t="s">
        <v>138</v>
      </c>
      <c r="AB535" s="14" t="s">
        <v>138</v>
      </c>
      <c r="AD535" s="0" t="s">
        <v>138</v>
      </c>
      <c r="AF535" s="0">
        <v>0</v>
      </c>
      <c r="AG535" s="0">
        <v>0</v>
      </c>
      <c r="AH535" s="0" t="s">
        <v>140</v>
      </c>
      <c r="AI535" s="0" t="s">
        <v>138</v>
      </c>
      <c r="AL535" s="14"/>
      <c r="AN535" s="14"/>
      <c r="AQ535" s="0" t="s">
        <v>130</v>
      </c>
      <c r="AR535" s="0" t="s">
        <v>130</v>
      </c>
      <c r="AS535" s="0" t="s">
        <v>130</v>
      </c>
      <c r="AT535" s="0" t="s">
        <v>130</v>
      </c>
      <c r="AU535" s="0" t="s">
        <v>130</v>
      </c>
      <c r="AV535" s="0" t="s">
        <v>130</v>
      </c>
      <c r="AW535" s="0" t="s">
        <v>130</v>
      </c>
      <c r="AX535" s="0" t="s">
        <v>130</v>
      </c>
      <c r="AY535" s="0" t="s">
        <v>130</v>
      </c>
      <c r="AZ535" s="0" t="s">
        <v>130</v>
      </c>
      <c r="BA535" s="0" t="s">
        <v>130</v>
      </c>
      <c r="BB535" s="0" t="s">
        <v>130</v>
      </c>
      <c r="BC535" s="0" t="s">
        <v>130</v>
      </c>
      <c r="BD535" s="0" t="s">
        <v>130</v>
      </c>
      <c r="BE535" s="0" t="s">
        <v>130</v>
      </c>
      <c r="BF535" s="0" t="s">
        <v>130</v>
      </c>
      <c r="BG535" s="0" t="s">
        <v>130</v>
      </c>
      <c r="BH535" s="0" t="s">
        <v>130</v>
      </c>
      <c r="BI535" s="0" t="s">
        <v>130</v>
      </c>
      <c r="BJ535" s="0" t="s">
        <v>130</v>
      </c>
      <c r="BK535" s="0" t="s">
        <v>130</v>
      </c>
      <c r="BL535" s="0" t="s">
        <v>130</v>
      </c>
      <c r="BM535" s="0" t="s">
        <v>130</v>
      </c>
      <c r="BN535" s="0" t="s">
        <v>130</v>
      </c>
      <c r="BO535" s="0" t="s">
        <v>130</v>
      </c>
      <c r="BP535" s="0" t="s">
        <v>130</v>
      </c>
      <c r="BQ535" s="0" t="s">
        <v>130</v>
      </c>
      <c r="BR535" s="0" t="s">
        <v>130</v>
      </c>
      <c r="BS535" s="0" t="s">
        <v>130</v>
      </c>
      <c r="BT535" s="0" t="s">
        <v>130</v>
      </c>
      <c r="BU535" s="0" t="s">
        <v>130</v>
      </c>
      <c r="BV535" s="0" t="s">
        <v>130</v>
      </c>
      <c r="BW535" s="0" t="s">
        <v>130</v>
      </c>
      <c r="BX535" s="0" t="s">
        <v>130</v>
      </c>
      <c r="BY535" s="0" t="s">
        <v>130</v>
      </c>
      <c r="BZ535" s="0" t="s">
        <v>130</v>
      </c>
      <c r="CA535" s="0" t="s">
        <v>130</v>
      </c>
      <c r="CB535" s="0" t="s">
        <v>130</v>
      </c>
      <c r="CC535" s="0" t="s">
        <v>130</v>
      </c>
      <c r="CD535" s="0" t="s">
        <v>130</v>
      </c>
      <c r="CE535" s="0" t="s">
        <v>130</v>
      </c>
      <c r="CF535" s="0" t="s">
        <v>130</v>
      </c>
      <c r="CG535" s="0" t="s">
        <v>130</v>
      </c>
      <c r="CH535" s="0" t="s">
        <v>130</v>
      </c>
      <c r="CI535" s="0" t="s">
        <v>130</v>
      </c>
      <c r="CJ535" s="0" t="s">
        <v>130</v>
      </c>
      <c r="CK535" s="0" t="s">
        <v>130</v>
      </c>
      <c r="CL535" s="0" t="s">
        <v>130</v>
      </c>
      <c r="CM535" s="0" t="s">
        <v>130</v>
      </c>
      <c r="CN535" s="0" t="s">
        <v>130</v>
      </c>
      <c r="CO535" s="0" t="s">
        <v>130</v>
      </c>
      <c r="CP535" s="0" t="s">
        <v>130</v>
      </c>
      <c r="CQ535" s="0" t="s">
        <v>130</v>
      </c>
      <c r="CR535" s="0" t="s">
        <v>130</v>
      </c>
      <c r="CS535" s="0" t="s">
        <v>130</v>
      </c>
      <c r="CT535" s="0" t="s">
        <v>1792</v>
      </c>
    </row>
    <row r="536">
      <c r="A536" s="14">
        <v>101661</v>
      </c>
      <c r="B536" s="0" t="s">
        <v>1793</v>
      </c>
      <c r="C536" s="16">
        <f>HYPERLINK("https://eosportal.federatedhermes.com/companies/Q29tcGFueQppNTg5ODA=", "Williams Cos Inc/The")</f>
      </c>
      <c r="D536" s="0" t="s">
        <v>25</v>
      </c>
      <c r="E536" s="0" t="s">
        <v>1794</v>
      </c>
      <c r="F536" s="16">
        <f>HYPERLINK("https://eosportal.federatedhermes.com/engagements/RW5nYWdlbWVudAppMjA4MjA=", "Corporate Governance Principles")</f>
      </c>
      <c r="G536" s="14" t="s">
        <v>1795</v>
      </c>
      <c r="H536" s="0" t="s">
        <v>130</v>
      </c>
      <c r="I536" s="14" t="s">
        <v>131</v>
      </c>
      <c r="J536" s="0" t="s">
        <v>145</v>
      </c>
      <c r="K536" s="0" t="s">
        <v>400</v>
      </c>
      <c r="L536" s="0" t="s">
        <v>507</v>
      </c>
      <c r="M536" s="0" t="s">
        <v>135</v>
      </c>
      <c r="N536" s="0" t="s">
        <v>136</v>
      </c>
      <c r="O536" s="0" t="s">
        <v>542</v>
      </c>
      <c r="Q536" s="0" t="s">
        <v>130</v>
      </c>
      <c r="R536" s="0" t="s">
        <v>138</v>
      </c>
      <c r="S536" s="14">
        <v>0</v>
      </c>
      <c r="T536" s="0" t="s">
        <v>278</v>
      </c>
      <c r="U536" s="0" t="s">
        <v>138</v>
      </c>
      <c r="V536" s="14" t="s">
        <v>138</v>
      </c>
      <c r="W536" s="0" t="s">
        <v>138</v>
      </c>
      <c r="X536" s="14" t="s">
        <v>138</v>
      </c>
      <c r="Y536" s="0" t="s">
        <v>138</v>
      </c>
      <c r="Z536" s="14" t="s">
        <v>138</v>
      </c>
      <c r="AA536" s="0" t="s">
        <v>138</v>
      </c>
      <c r="AB536" s="14" t="s">
        <v>138</v>
      </c>
      <c r="AD536" s="0" t="s">
        <v>138</v>
      </c>
      <c r="AF536" s="0">
        <v>0</v>
      </c>
      <c r="AG536" s="0">
        <v>0</v>
      </c>
      <c r="AH536" s="0" t="s">
        <v>140</v>
      </c>
      <c r="AI536" s="0" t="s">
        <v>138</v>
      </c>
      <c r="AL536" s="14"/>
      <c r="AN536" s="14"/>
      <c r="AQ536" s="0" t="s">
        <v>130</v>
      </c>
      <c r="AR536" s="0" t="s">
        <v>130</v>
      </c>
      <c r="AS536" s="0" t="s">
        <v>130</v>
      </c>
      <c r="AT536" s="0" t="s">
        <v>130</v>
      </c>
      <c r="AU536" s="0" t="s">
        <v>130</v>
      </c>
      <c r="AV536" s="0" t="s">
        <v>130</v>
      </c>
      <c r="AW536" s="0" t="s">
        <v>130</v>
      </c>
      <c r="AX536" s="0" t="s">
        <v>130</v>
      </c>
      <c r="AY536" s="0" t="s">
        <v>130</v>
      </c>
      <c r="AZ536" s="0" t="s">
        <v>130</v>
      </c>
      <c r="BA536" s="0" t="s">
        <v>130</v>
      </c>
      <c r="BB536" s="0" t="s">
        <v>130</v>
      </c>
      <c r="BC536" s="0" t="s">
        <v>130</v>
      </c>
      <c r="BD536" s="0" t="s">
        <v>130</v>
      </c>
      <c r="BE536" s="0" t="s">
        <v>130</v>
      </c>
      <c r="BF536" s="0" t="s">
        <v>130</v>
      </c>
      <c r="BG536" s="0" t="s">
        <v>130</v>
      </c>
      <c r="BH536" s="0" t="s">
        <v>130</v>
      </c>
      <c r="BI536" s="0" t="s">
        <v>130</v>
      </c>
      <c r="BJ536" s="0" t="s">
        <v>130</v>
      </c>
      <c r="BK536" s="0" t="s">
        <v>130</v>
      </c>
      <c r="BL536" s="0" t="s">
        <v>130</v>
      </c>
      <c r="BM536" s="0" t="s">
        <v>130</v>
      </c>
      <c r="BN536" s="0" t="s">
        <v>130</v>
      </c>
      <c r="BO536" s="0" t="s">
        <v>130</v>
      </c>
      <c r="BP536" s="0" t="s">
        <v>130</v>
      </c>
      <c r="BQ536" s="0" t="s">
        <v>130</v>
      </c>
      <c r="BR536" s="0" t="s">
        <v>130</v>
      </c>
      <c r="BS536" s="0" t="s">
        <v>130</v>
      </c>
      <c r="BT536" s="0" t="s">
        <v>130</v>
      </c>
      <c r="BU536" s="0" t="s">
        <v>130</v>
      </c>
      <c r="BV536" s="0" t="s">
        <v>130</v>
      </c>
      <c r="BW536" s="0" t="s">
        <v>130</v>
      </c>
      <c r="BX536" s="0" t="s">
        <v>130</v>
      </c>
      <c r="BY536" s="0" t="s">
        <v>130</v>
      </c>
      <c r="BZ536" s="0" t="s">
        <v>130</v>
      </c>
      <c r="CA536" s="0" t="s">
        <v>130</v>
      </c>
      <c r="CB536" s="0" t="s">
        <v>130</v>
      </c>
      <c r="CC536" s="0" t="s">
        <v>130</v>
      </c>
      <c r="CD536" s="0" t="s">
        <v>130</v>
      </c>
      <c r="CE536" s="0" t="s">
        <v>130</v>
      </c>
      <c r="CF536" s="0" t="s">
        <v>130</v>
      </c>
      <c r="CG536" s="0" t="s">
        <v>130</v>
      </c>
      <c r="CH536" s="0" t="s">
        <v>130</v>
      </c>
      <c r="CI536" s="0" t="s">
        <v>130</v>
      </c>
      <c r="CJ536" s="0" t="s">
        <v>130</v>
      </c>
      <c r="CK536" s="0" t="s">
        <v>130</v>
      </c>
      <c r="CL536" s="0" t="s">
        <v>130</v>
      </c>
      <c r="CM536" s="0" t="s">
        <v>130</v>
      </c>
      <c r="CN536" s="0" t="s">
        <v>130</v>
      </c>
      <c r="CO536" s="0" t="s">
        <v>130</v>
      </c>
      <c r="CP536" s="0" t="s">
        <v>130</v>
      </c>
      <c r="CQ536" s="0" t="s">
        <v>130</v>
      </c>
      <c r="CR536" s="0" t="s">
        <v>130</v>
      </c>
      <c r="CS536" s="0" t="s">
        <v>130</v>
      </c>
      <c r="CT536" s="0" t="s">
        <v>1796</v>
      </c>
    </row>
    <row r="537">
      <c r="A537" s="14">
        <v>101605</v>
      </c>
      <c r="B537" s="0" t="s">
        <v>1797</v>
      </c>
      <c r="C537" s="16">
        <f>HYPERLINK("https://eosportal.federatedhermes.com/companies/Q29tcGFueQppNjI1MDc=", "Vodafone Group PLC")</f>
      </c>
      <c r="D537" s="0" t="s">
        <v>25</v>
      </c>
      <c r="E537" s="0" t="s">
        <v>1516</v>
      </c>
      <c r="F537" s="16">
        <f>HYPERLINK("https://eosportal.federatedhermes.com/engagements/RW5nYWdlbWVudAppMjA4NjM=", "Cyber security")</f>
      </c>
      <c r="G537" s="14" t="s">
        <v>1798</v>
      </c>
      <c r="H537" s="0" t="s">
        <v>130</v>
      </c>
      <c r="I537" s="14" t="s">
        <v>319</v>
      </c>
      <c r="J537" s="0" t="s">
        <v>132</v>
      </c>
      <c r="K537" s="0" t="s">
        <v>260</v>
      </c>
      <c r="L537" s="0" t="s">
        <v>743</v>
      </c>
      <c r="M537" s="0" t="s">
        <v>272</v>
      </c>
      <c r="N537" s="0" t="s">
        <v>273</v>
      </c>
      <c r="O537" s="0" t="s">
        <v>137</v>
      </c>
      <c r="Q537" s="0" t="s">
        <v>141</v>
      </c>
      <c r="R537" s="0" t="s">
        <v>138</v>
      </c>
      <c r="S537" s="14">
        <v>2</v>
      </c>
      <c r="T537" s="0" t="s">
        <v>166</v>
      </c>
      <c r="U537" s="0" t="s">
        <v>138</v>
      </c>
      <c r="V537" s="14" t="s">
        <v>138</v>
      </c>
      <c r="W537" s="0" t="s">
        <v>138</v>
      </c>
      <c r="X537" s="14" t="s">
        <v>138</v>
      </c>
      <c r="Y537" s="0" t="s">
        <v>138</v>
      </c>
      <c r="Z537" s="14" t="s">
        <v>138</v>
      </c>
      <c r="AA537" s="0" t="s">
        <v>138</v>
      </c>
      <c r="AB537" s="14" t="s">
        <v>138</v>
      </c>
      <c r="AD537" s="0" t="s">
        <v>138</v>
      </c>
      <c r="AF537" s="0">
        <v>0</v>
      </c>
      <c r="AG537" s="0">
        <v>0</v>
      </c>
      <c r="AH537" s="0" t="s">
        <v>140</v>
      </c>
      <c r="AI537" s="0" t="s">
        <v>138</v>
      </c>
      <c r="AK537" s="0" t="s">
        <v>1799</v>
      </c>
      <c r="AL537" s="14"/>
      <c r="AN537" s="14"/>
      <c r="AQ537" s="0" t="s">
        <v>130</v>
      </c>
      <c r="AR537" s="0" t="s">
        <v>130</v>
      </c>
      <c r="AS537" s="0" t="s">
        <v>130</v>
      </c>
      <c r="AT537" s="0" t="s">
        <v>130</v>
      </c>
      <c r="AU537" s="0" t="s">
        <v>130</v>
      </c>
      <c r="AV537" s="0" t="s">
        <v>130</v>
      </c>
      <c r="AW537" s="0" t="s">
        <v>130</v>
      </c>
      <c r="AX537" s="0" t="s">
        <v>130</v>
      </c>
      <c r="AY537" s="0" t="s">
        <v>130</v>
      </c>
      <c r="AZ537" s="0" t="s">
        <v>130</v>
      </c>
      <c r="BA537" s="0" t="s">
        <v>130</v>
      </c>
      <c r="BB537" s="0" t="s">
        <v>130</v>
      </c>
      <c r="BC537" s="0" t="s">
        <v>130</v>
      </c>
      <c r="BD537" s="0" t="s">
        <v>130</v>
      </c>
      <c r="BE537" s="0" t="s">
        <v>130</v>
      </c>
      <c r="BF537" s="0" t="s">
        <v>130</v>
      </c>
      <c r="BG537" s="0" t="s">
        <v>130</v>
      </c>
      <c r="BH537" s="0" t="s">
        <v>130</v>
      </c>
      <c r="BI537" s="0" t="s">
        <v>130</v>
      </c>
      <c r="BJ537" s="0" t="s">
        <v>130</v>
      </c>
      <c r="BK537" s="0" t="s">
        <v>130</v>
      </c>
      <c r="BL537" s="0" t="s">
        <v>130</v>
      </c>
      <c r="BM537" s="0" t="s">
        <v>130</v>
      </c>
      <c r="BN537" s="0" t="s">
        <v>130</v>
      </c>
      <c r="BO537" s="0" t="s">
        <v>130</v>
      </c>
      <c r="BP537" s="0" t="s">
        <v>130</v>
      </c>
      <c r="BQ537" s="0" t="s">
        <v>130</v>
      </c>
      <c r="BR537" s="0" t="s">
        <v>130</v>
      </c>
      <c r="BS537" s="0" t="s">
        <v>130</v>
      </c>
      <c r="BT537" s="0" t="s">
        <v>130</v>
      </c>
      <c r="BU537" s="0" t="s">
        <v>130</v>
      </c>
      <c r="BV537" s="0" t="s">
        <v>130</v>
      </c>
      <c r="BW537" s="0" t="s">
        <v>130</v>
      </c>
      <c r="BX537" s="0" t="s">
        <v>130</v>
      </c>
      <c r="BY537" s="0" t="s">
        <v>130</v>
      </c>
      <c r="BZ537" s="0" t="s">
        <v>130</v>
      </c>
      <c r="CA537" s="0" t="s">
        <v>130</v>
      </c>
      <c r="CB537" s="0" t="s">
        <v>130</v>
      </c>
      <c r="CC537" s="0" t="s">
        <v>130</v>
      </c>
      <c r="CD537" s="0" t="s">
        <v>130</v>
      </c>
      <c r="CE537" s="0" t="s">
        <v>130</v>
      </c>
      <c r="CF537" s="0" t="s">
        <v>130</v>
      </c>
      <c r="CG537" s="0" t="s">
        <v>130</v>
      </c>
      <c r="CH537" s="0" t="s">
        <v>130</v>
      </c>
      <c r="CI537" s="0" t="s">
        <v>130</v>
      </c>
      <c r="CJ537" s="0" t="s">
        <v>130</v>
      </c>
      <c r="CK537" s="0" t="s">
        <v>130</v>
      </c>
      <c r="CL537" s="0" t="s">
        <v>130</v>
      </c>
      <c r="CM537" s="0" t="s">
        <v>130</v>
      </c>
      <c r="CN537" s="0" t="s">
        <v>130</v>
      </c>
      <c r="CO537" s="0" t="s">
        <v>130</v>
      </c>
      <c r="CP537" s="0" t="s">
        <v>130</v>
      </c>
      <c r="CQ537" s="0" t="s">
        <v>130</v>
      </c>
      <c r="CR537" s="0" t="s">
        <v>130</v>
      </c>
      <c r="CS537" s="0" t="s">
        <v>130</v>
      </c>
      <c r="CT537" s="0" t="s">
        <v>1800</v>
      </c>
    </row>
    <row r="538">
      <c r="A538" s="14">
        <v>101605</v>
      </c>
      <c r="B538" s="0" t="s">
        <v>1797</v>
      </c>
      <c r="C538" s="16">
        <f>HYPERLINK("https://eosportal.federatedhermes.com/companies/Q29tcGFueQppNjI1MDc=", "Vodafone Group PLC")</f>
      </c>
      <c r="D538" s="0" t="s">
        <v>25</v>
      </c>
      <c r="E538" s="0" t="s">
        <v>1801</v>
      </c>
      <c r="F538" s="16">
        <f>HYPERLINK("https://eosportal.federatedhermes.com/engagements/RW5nYWdlbWVudAppMjA4NjQ=", "Digital Human Rights")</f>
      </c>
      <c r="G538" s="14" t="s">
        <v>1802</v>
      </c>
      <c r="H538" s="0" t="s">
        <v>130</v>
      </c>
      <c r="I538" s="14" t="s">
        <v>319</v>
      </c>
      <c r="J538" s="0" t="s">
        <v>153</v>
      </c>
      <c r="K538" s="0" t="s">
        <v>243</v>
      </c>
      <c r="L538" s="0" t="s">
        <v>537</v>
      </c>
      <c r="M538" s="0" t="s">
        <v>272</v>
      </c>
      <c r="N538" s="0" t="s">
        <v>273</v>
      </c>
      <c r="O538" s="0" t="s">
        <v>137</v>
      </c>
      <c r="Q538" s="0" t="s">
        <v>130</v>
      </c>
      <c r="R538" s="0" t="s">
        <v>138</v>
      </c>
      <c r="S538" s="14">
        <v>0</v>
      </c>
      <c r="T538" s="0" t="s">
        <v>166</v>
      </c>
      <c r="U538" s="0" t="s">
        <v>138</v>
      </c>
      <c r="V538" s="14" t="s">
        <v>138</v>
      </c>
      <c r="W538" s="0" t="s">
        <v>138</v>
      </c>
      <c r="X538" s="14" t="s">
        <v>138</v>
      </c>
      <c r="Y538" s="0" t="s">
        <v>138</v>
      </c>
      <c r="Z538" s="14" t="s">
        <v>138</v>
      </c>
      <c r="AA538" s="0" t="s">
        <v>138</v>
      </c>
      <c r="AB538" s="14" t="s">
        <v>138</v>
      </c>
      <c r="AD538" s="0" t="s">
        <v>138</v>
      </c>
      <c r="AF538" s="0">
        <v>0</v>
      </c>
      <c r="AG538" s="0">
        <v>0</v>
      </c>
      <c r="AH538" s="0" t="s">
        <v>140</v>
      </c>
      <c r="AI538" s="0" t="s">
        <v>138</v>
      </c>
      <c r="AL538" s="14"/>
      <c r="AN538" s="14"/>
      <c r="AQ538" s="0" t="s">
        <v>130</v>
      </c>
      <c r="AR538" s="0" t="s">
        <v>130</v>
      </c>
      <c r="AS538" s="0" t="s">
        <v>130</v>
      </c>
      <c r="AT538" s="0" t="s">
        <v>130</v>
      </c>
      <c r="AU538" s="0" t="s">
        <v>130</v>
      </c>
      <c r="AV538" s="0" t="s">
        <v>130</v>
      </c>
      <c r="AW538" s="0" t="s">
        <v>130</v>
      </c>
      <c r="AX538" s="0" t="s">
        <v>130</v>
      </c>
      <c r="AY538" s="0" t="s">
        <v>130</v>
      </c>
      <c r="AZ538" s="0" t="s">
        <v>130</v>
      </c>
      <c r="BA538" s="0" t="s">
        <v>130</v>
      </c>
      <c r="BB538" s="0" t="s">
        <v>141</v>
      </c>
      <c r="BC538" s="0" t="s">
        <v>130</v>
      </c>
      <c r="BD538" s="0" t="s">
        <v>130</v>
      </c>
      <c r="BE538" s="0" t="s">
        <v>130</v>
      </c>
      <c r="BF538" s="0" t="s">
        <v>141</v>
      </c>
      <c r="BG538" s="0" t="s">
        <v>130</v>
      </c>
      <c r="BH538" s="0" t="s">
        <v>130</v>
      </c>
      <c r="BI538" s="0" t="s">
        <v>130</v>
      </c>
      <c r="BJ538" s="0" t="s">
        <v>130</v>
      </c>
      <c r="BK538" s="0" t="s">
        <v>130</v>
      </c>
      <c r="BL538" s="0" t="s">
        <v>130</v>
      </c>
      <c r="BM538" s="0" t="s">
        <v>130</v>
      </c>
      <c r="BN538" s="0" t="s">
        <v>130</v>
      </c>
      <c r="BO538" s="0" t="s">
        <v>130</v>
      </c>
      <c r="BP538" s="0" t="s">
        <v>130</v>
      </c>
      <c r="BQ538" s="0" t="s">
        <v>130</v>
      </c>
      <c r="BR538" s="0" t="s">
        <v>130</v>
      </c>
      <c r="BS538" s="0" t="s">
        <v>130</v>
      </c>
      <c r="BT538" s="0" t="s">
        <v>130</v>
      </c>
      <c r="BU538" s="0" t="s">
        <v>130</v>
      </c>
      <c r="BV538" s="0" t="s">
        <v>130</v>
      </c>
      <c r="BW538" s="0" t="s">
        <v>130</v>
      </c>
      <c r="BX538" s="0" t="s">
        <v>130</v>
      </c>
      <c r="BY538" s="0" t="s">
        <v>130</v>
      </c>
      <c r="BZ538" s="0" t="s">
        <v>130</v>
      </c>
      <c r="CA538" s="0" t="s">
        <v>130</v>
      </c>
      <c r="CB538" s="0" t="s">
        <v>130</v>
      </c>
      <c r="CC538" s="0" t="s">
        <v>130</v>
      </c>
      <c r="CD538" s="0" t="s">
        <v>130</v>
      </c>
      <c r="CE538" s="0" t="s">
        <v>130</v>
      </c>
      <c r="CF538" s="0" t="s">
        <v>130</v>
      </c>
      <c r="CG538" s="0" t="s">
        <v>130</v>
      </c>
      <c r="CH538" s="0" t="s">
        <v>130</v>
      </c>
      <c r="CI538" s="0" t="s">
        <v>130</v>
      </c>
      <c r="CJ538" s="0" t="s">
        <v>130</v>
      </c>
      <c r="CK538" s="0" t="s">
        <v>130</v>
      </c>
      <c r="CL538" s="0" t="s">
        <v>130</v>
      </c>
      <c r="CM538" s="0" t="s">
        <v>130</v>
      </c>
      <c r="CN538" s="0" t="s">
        <v>130</v>
      </c>
      <c r="CO538" s="0" t="s">
        <v>130</v>
      </c>
      <c r="CP538" s="0" t="s">
        <v>130</v>
      </c>
      <c r="CQ538" s="0" t="s">
        <v>130</v>
      </c>
      <c r="CR538" s="0" t="s">
        <v>130</v>
      </c>
      <c r="CS538" s="0" t="s">
        <v>130</v>
      </c>
      <c r="CT538" s="0" t="s">
        <v>1803</v>
      </c>
    </row>
    <row r="539">
      <c r="A539" s="14">
        <v>101605</v>
      </c>
      <c r="B539" s="0" t="s">
        <v>1797</v>
      </c>
      <c r="C539" s="16">
        <f>HYPERLINK("https://eosportal.federatedhermes.com/companies/Q29tcGFueQppNjI1MDc=", "Vodafone Group PLC")</f>
      </c>
      <c r="D539" s="0" t="s">
        <v>25</v>
      </c>
      <c r="E539" s="0" t="s">
        <v>1804</v>
      </c>
      <c r="F539" s="16">
        <f>HYPERLINK("https://eosportal.federatedhermes.com/engagements/RW5nYWdlbWVudAppMjA4NjU=", "Audit quality - auditor independence and conflict of interest")</f>
      </c>
      <c r="G539" s="14" t="s">
        <v>1805</v>
      </c>
      <c r="H539" s="0" t="s">
        <v>130</v>
      </c>
      <c r="I539" s="14" t="s">
        <v>319</v>
      </c>
      <c r="J539" s="0" t="s">
        <v>132</v>
      </c>
      <c r="K539" s="0" t="s">
        <v>170</v>
      </c>
      <c r="L539" s="0" t="s">
        <v>310</v>
      </c>
      <c r="M539" s="0" t="s">
        <v>272</v>
      </c>
      <c r="N539" s="0" t="s">
        <v>273</v>
      </c>
      <c r="O539" s="0" t="s">
        <v>137</v>
      </c>
      <c r="Q539" s="0" t="s">
        <v>130</v>
      </c>
      <c r="R539" s="0" t="s">
        <v>138</v>
      </c>
      <c r="S539" s="14">
        <v>0</v>
      </c>
      <c r="T539" s="0" t="s">
        <v>457</v>
      </c>
      <c r="U539" s="0" t="s">
        <v>138</v>
      </c>
      <c r="V539" s="14" t="s">
        <v>138</v>
      </c>
      <c r="W539" s="0" t="s">
        <v>138</v>
      </c>
      <c r="X539" s="14" t="s">
        <v>138</v>
      </c>
      <c r="Y539" s="0" t="s">
        <v>138</v>
      </c>
      <c r="Z539" s="14" t="s">
        <v>138</v>
      </c>
      <c r="AA539" s="0" t="s">
        <v>138</v>
      </c>
      <c r="AB539" s="14" t="s">
        <v>138</v>
      </c>
      <c r="AD539" s="0" t="s">
        <v>138</v>
      </c>
      <c r="AF539" s="0">
        <v>0</v>
      </c>
      <c r="AG539" s="0">
        <v>0</v>
      </c>
      <c r="AH539" s="0" t="s">
        <v>140</v>
      </c>
      <c r="AI539" s="0" t="s">
        <v>138</v>
      </c>
      <c r="AL539" s="14"/>
      <c r="AN539" s="14"/>
      <c r="AQ539" s="0" t="s">
        <v>130</v>
      </c>
      <c r="AR539" s="0" t="s">
        <v>130</v>
      </c>
      <c r="AS539" s="0" t="s">
        <v>130</v>
      </c>
      <c r="AT539" s="0" t="s">
        <v>130</v>
      </c>
      <c r="AU539" s="0" t="s">
        <v>130</v>
      </c>
      <c r="AV539" s="0" t="s">
        <v>130</v>
      </c>
      <c r="AW539" s="0" t="s">
        <v>130</v>
      </c>
      <c r="AX539" s="0" t="s">
        <v>130</v>
      </c>
      <c r="AY539" s="0" t="s">
        <v>130</v>
      </c>
      <c r="AZ539" s="0" t="s">
        <v>130</v>
      </c>
      <c r="BA539" s="0" t="s">
        <v>130</v>
      </c>
      <c r="BB539" s="0" t="s">
        <v>130</v>
      </c>
      <c r="BC539" s="0" t="s">
        <v>130</v>
      </c>
      <c r="BD539" s="0" t="s">
        <v>130</v>
      </c>
      <c r="BE539" s="0" t="s">
        <v>130</v>
      </c>
      <c r="BF539" s="0" t="s">
        <v>130</v>
      </c>
      <c r="BG539" s="0" t="s">
        <v>130</v>
      </c>
      <c r="BH539" s="0" t="s">
        <v>130</v>
      </c>
      <c r="BI539" s="0" t="s">
        <v>130</v>
      </c>
      <c r="BJ539" s="0" t="s">
        <v>130</v>
      </c>
      <c r="BK539" s="0" t="s">
        <v>130</v>
      </c>
      <c r="BL539" s="0" t="s">
        <v>130</v>
      </c>
      <c r="BM539" s="0" t="s">
        <v>130</v>
      </c>
      <c r="BN539" s="0" t="s">
        <v>130</v>
      </c>
      <c r="BO539" s="0" t="s">
        <v>130</v>
      </c>
      <c r="BP539" s="0" t="s">
        <v>130</v>
      </c>
      <c r="BQ539" s="0" t="s">
        <v>130</v>
      </c>
      <c r="BR539" s="0" t="s">
        <v>130</v>
      </c>
      <c r="BS539" s="0" t="s">
        <v>130</v>
      </c>
      <c r="BT539" s="0" t="s">
        <v>130</v>
      </c>
      <c r="BU539" s="0" t="s">
        <v>130</v>
      </c>
      <c r="BV539" s="0" t="s">
        <v>130</v>
      </c>
      <c r="BW539" s="0" t="s">
        <v>130</v>
      </c>
      <c r="BX539" s="0" t="s">
        <v>130</v>
      </c>
      <c r="BY539" s="0" t="s">
        <v>130</v>
      </c>
      <c r="BZ539" s="0" t="s">
        <v>130</v>
      </c>
      <c r="CA539" s="0" t="s">
        <v>130</v>
      </c>
      <c r="CB539" s="0" t="s">
        <v>130</v>
      </c>
      <c r="CC539" s="0" t="s">
        <v>130</v>
      </c>
      <c r="CD539" s="0" t="s">
        <v>130</v>
      </c>
      <c r="CE539" s="0" t="s">
        <v>130</v>
      </c>
      <c r="CF539" s="0" t="s">
        <v>130</v>
      </c>
      <c r="CG539" s="0" t="s">
        <v>130</v>
      </c>
      <c r="CH539" s="0" t="s">
        <v>130</v>
      </c>
      <c r="CI539" s="0" t="s">
        <v>130</v>
      </c>
      <c r="CJ539" s="0" t="s">
        <v>130</v>
      </c>
      <c r="CK539" s="0" t="s">
        <v>130</v>
      </c>
      <c r="CL539" s="0" t="s">
        <v>130</v>
      </c>
      <c r="CM539" s="0" t="s">
        <v>130</v>
      </c>
      <c r="CN539" s="0" t="s">
        <v>130</v>
      </c>
      <c r="CO539" s="0" t="s">
        <v>130</v>
      </c>
      <c r="CP539" s="0" t="s">
        <v>130</v>
      </c>
      <c r="CQ539" s="0" t="s">
        <v>130</v>
      </c>
      <c r="CR539" s="0" t="s">
        <v>130</v>
      </c>
      <c r="CS539" s="0" t="s">
        <v>130</v>
      </c>
      <c r="CT539" s="0" t="s">
        <v>1806</v>
      </c>
    </row>
    <row r="540">
      <c r="A540" s="14">
        <v>101605</v>
      </c>
      <c r="B540" s="0" t="s">
        <v>1797</v>
      </c>
      <c r="C540" s="16">
        <f>HYPERLINK("https://eosportal.federatedhermes.com/companies/Q29tcGFueQppNjI1MDc=", "Vodafone Group PLC")</f>
      </c>
      <c r="D540" s="0" t="s">
        <v>25</v>
      </c>
      <c r="E540" s="0" t="s">
        <v>1807</v>
      </c>
      <c r="F540" s="16">
        <f>HYPERLINK("https://eosportal.federatedhermes.com/engagements/RW5nYWdlbWVudAppMjA4NjY=", "Audit retendering")</f>
      </c>
      <c r="G540" s="14" t="s">
        <v>291</v>
      </c>
      <c r="H540" s="0" t="s">
        <v>130</v>
      </c>
      <c r="I540" s="14" t="s">
        <v>319</v>
      </c>
      <c r="J540" s="0" t="s">
        <v>132</v>
      </c>
      <c r="K540" s="0" t="s">
        <v>170</v>
      </c>
      <c r="L540" s="0" t="s">
        <v>310</v>
      </c>
      <c r="M540" s="0" t="s">
        <v>272</v>
      </c>
      <c r="N540" s="0" t="s">
        <v>273</v>
      </c>
      <c r="O540" s="0" t="s">
        <v>137</v>
      </c>
      <c r="Q540" s="0" t="s">
        <v>130</v>
      </c>
      <c r="R540" s="0" t="s">
        <v>138</v>
      </c>
      <c r="S540" s="14">
        <v>0</v>
      </c>
      <c r="T540" s="0" t="s">
        <v>303</v>
      </c>
      <c r="U540" s="0" t="s">
        <v>138</v>
      </c>
      <c r="V540" s="14" t="s">
        <v>138</v>
      </c>
      <c r="W540" s="0" t="s">
        <v>138</v>
      </c>
      <c r="X540" s="14" t="s">
        <v>138</v>
      </c>
      <c r="Y540" s="0" t="s">
        <v>138</v>
      </c>
      <c r="Z540" s="14" t="s">
        <v>138</v>
      </c>
      <c r="AA540" s="0" t="s">
        <v>138</v>
      </c>
      <c r="AB540" s="14" t="s">
        <v>138</v>
      </c>
      <c r="AD540" s="0" t="s">
        <v>138</v>
      </c>
      <c r="AF540" s="0">
        <v>0</v>
      </c>
      <c r="AG540" s="0">
        <v>0</v>
      </c>
      <c r="AH540" s="0" t="s">
        <v>140</v>
      </c>
      <c r="AI540" s="0" t="s">
        <v>138</v>
      </c>
      <c r="AL540" s="14"/>
      <c r="AN540" s="14"/>
      <c r="AQ540" s="0" t="s">
        <v>130</v>
      </c>
      <c r="AR540" s="0" t="s">
        <v>130</v>
      </c>
      <c r="AS540" s="0" t="s">
        <v>130</v>
      </c>
      <c r="AT540" s="0" t="s">
        <v>130</v>
      </c>
      <c r="AU540" s="0" t="s">
        <v>130</v>
      </c>
      <c r="AV540" s="0" t="s">
        <v>130</v>
      </c>
      <c r="AW540" s="0" t="s">
        <v>130</v>
      </c>
      <c r="AX540" s="0" t="s">
        <v>130</v>
      </c>
      <c r="AY540" s="0" t="s">
        <v>130</v>
      </c>
      <c r="AZ540" s="0" t="s">
        <v>130</v>
      </c>
      <c r="BA540" s="0" t="s">
        <v>130</v>
      </c>
      <c r="BB540" s="0" t="s">
        <v>130</v>
      </c>
      <c r="BC540" s="0" t="s">
        <v>130</v>
      </c>
      <c r="BD540" s="0" t="s">
        <v>130</v>
      </c>
      <c r="BE540" s="0" t="s">
        <v>130</v>
      </c>
      <c r="BF540" s="0" t="s">
        <v>130</v>
      </c>
      <c r="BG540" s="0" t="s">
        <v>130</v>
      </c>
      <c r="BH540" s="0" t="s">
        <v>130</v>
      </c>
      <c r="BI540" s="0" t="s">
        <v>130</v>
      </c>
      <c r="BJ540" s="0" t="s">
        <v>130</v>
      </c>
      <c r="BK540" s="0" t="s">
        <v>130</v>
      </c>
      <c r="BL540" s="0" t="s">
        <v>130</v>
      </c>
      <c r="BM540" s="0" t="s">
        <v>130</v>
      </c>
      <c r="BN540" s="0" t="s">
        <v>130</v>
      </c>
      <c r="BO540" s="0" t="s">
        <v>130</v>
      </c>
      <c r="BP540" s="0" t="s">
        <v>130</v>
      </c>
      <c r="BQ540" s="0" t="s">
        <v>130</v>
      </c>
      <c r="BR540" s="0" t="s">
        <v>130</v>
      </c>
      <c r="BS540" s="0" t="s">
        <v>130</v>
      </c>
      <c r="BT540" s="0" t="s">
        <v>130</v>
      </c>
      <c r="BU540" s="0" t="s">
        <v>130</v>
      </c>
      <c r="BV540" s="0" t="s">
        <v>130</v>
      </c>
      <c r="BW540" s="0" t="s">
        <v>130</v>
      </c>
      <c r="BX540" s="0" t="s">
        <v>130</v>
      </c>
      <c r="BY540" s="0" t="s">
        <v>130</v>
      </c>
      <c r="BZ540" s="0" t="s">
        <v>130</v>
      </c>
      <c r="CA540" s="0" t="s">
        <v>130</v>
      </c>
      <c r="CB540" s="0" t="s">
        <v>130</v>
      </c>
      <c r="CC540" s="0" t="s">
        <v>130</v>
      </c>
      <c r="CD540" s="0" t="s">
        <v>130</v>
      </c>
      <c r="CE540" s="0" t="s">
        <v>130</v>
      </c>
      <c r="CF540" s="0" t="s">
        <v>130</v>
      </c>
      <c r="CG540" s="0" t="s">
        <v>130</v>
      </c>
      <c r="CH540" s="0" t="s">
        <v>130</v>
      </c>
      <c r="CI540" s="0" t="s">
        <v>130</v>
      </c>
      <c r="CJ540" s="0" t="s">
        <v>130</v>
      </c>
      <c r="CK540" s="0" t="s">
        <v>130</v>
      </c>
      <c r="CL540" s="0" t="s">
        <v>130</v>
      </c>
      <c r="CM540" s="0" t="s">
        <v>130</v>
      </c>
      <c r="CN540" s="0" t="s">
        <v>130</v>
      </c>
      <c r="CO540" s="0" t="s">
        <v>130</v>
      </c>
      <c r="CP540" s="0" t="s">
        <v>130</v>
      </c>
      <c r="CQ540" s="0" t="s">
        <v>130</v>
      </c>
      <c r="CR540" s="0" t="s">
        <v>130</v>
      </c>
      <c r="CS540" s="0" t="s">
        <v>130</v>
      </c>
      <c r="CT540" s="0" t="s">
        <v>1808</v>
      </c>
    </row>
    <row r="541">
      <c r="A541" s="14">
        <v>101605</v>
      </c>
      <c r="B541" s="0" t="s">
        <v>1797</v>
      </c>
      <c r="C541" s="16">
        <f>HYPERLINK("https://eosportal.federatedhermes.com/companies/Q29tcGFueQppNjI1MDc=", "Vodafone Group PLC")</f>
      </c>
      <c r="D541" s="0" t="s">
        <v>25</v>
      </c>
      <c r="E541" s="0" t="s">
        <v>1194</v>
      </c>
      <c r="F541" s="16">
        <f>HYPERLINK("https://eosportal.federatedhermes.com/engagements/RW5nYWdlbWVudAppMjA4Njc=", "Diversity and inclusion")</f>
      </c>
      <c r="G541" s="14" t="s">
        <v>1809</v>
      </c>
      <c r="H541" s="0" t="s">
        <v>130</v>
      </c>
      <c r="I541" s="14" t="s">
        <v>319</v>
      </c>
      <c r="J541" s="0" t="s">
        <v>153</v>
      </c>
      <c r="K541" s="0" t="s">
        <v>154</v>
      </c>
      <c r="L541" s="0" t="s">
        <v>268</v>
      </c>
      <c r="M541" s="0" t="s">
        <v>272</v>
      </c>
      <c r="N541" s="0" t="s">
        <v>273</v>
      </c>
      <c r="O541" s="0" t="s">
        <v>137</v>
      </c>
      <c r="Q541" s="0" t="s">
        <v>130</v>
      </c>
      <c r="R541" s="0" t="s">
        <v>138</v>
      </c>
      <c r="S541" s="14">
        <v>0</v>
      </c>
      <c r="T541" s="0" t="s">
        <v>333</v>
      </c>
      <c r="U541" s="0" t="s">
        <v>138</v>
      </c>
      <c r="V541" s="14" t="s">
        <v>138</v>
      </c>
      <c r="W541" s="0" t="s">
        <v>138</v>
      </c>
      <c r="X541" s="14" t="s">
        <v>138</v>
      </c>
      <c r="Y541" s="0" t="s">
        <v>138</v>
      </c>
      <c r="Z541" s="14" t="s">
        <v>138</v>
      </c>
      <c r="AA541" s="0" t="s">
        <v>138</v>
      </c>
      <c r="AB541" s="14" t="s">
        <v>138</v>
      </c>
      <c r="AD541" s="0" t="s">
        <v>138</v>
      </c>
      <c r="AF541" s="0">
        <v>0</v>
      </c>
      <c r="AG541" s="0">
        <v>0</v>
      </c>
      <c r="AH541" s="0" t="s">
        <v>140</v>
      </c>
      <c r="AI541" s="0" t="s">
        <v>138</v>
      </c>
      <c r="AL541" s="14"/>
      <c r="AN541" s="14"/>
      <c r="AQ541" s="0" t="s">
        <v>130</v>
      </c>
      <c r="AR541" s="0" t="s">
        <v>130</v>
      </c>
      <c r="AS541" s="0" t="s">
        <v>130</v>
      </c>
      <c r="AT541" s="0" t="s">
        <v>130</v>
      </c>
      <c r="AU541" s="0" t="s">
        <v>130</v>
      </c>
      <c r="AV541" s="0" t="s">
        <v>130</v>
      </c>
      <c r="AW541" s="0" t="s">
        <v>130</v>
      </c>
      <c r="AX541" s="0" t="s">
        <v>130</v>
      </c>
      <c r="AY541" s="0" t="s">
        <v>130</v>
      </c>
      <c r="AZ541" s="0" t="s">
        <v>130</v>
      </c>
      <c r="BA541" s="0" t="s">
        <v>130</v>
      </c>
      <c r="BB541" s="0" t="s">
        <v>130</v>
      </c>
      <c r="BC541" s="0" t="s">
        <v>130</v>
      </c>
      <c r="BD541" s="0" t="s">
        <v>130</v>
      </c>
      <c r="BE541" s="0" t="s">
        <v>130</v>
      </c>
      <c r="BF541" s="0" t="s">
        <v>130</v>
      </c>
      <c r="BG541" s="0" t="s">
        <v>130</v>
      </c>
      <c r="BH541" s="0" t="s">
        <v>130</v>
      </c>
      <c r="BI541" s="0" t="s">
        <v>130</v>
      </c>
      <c r="BJ541" s="0" t="s">
        <v>130</v>
      </c>
      <c r="BK541" s="0" t="s">
        <v>130</v>
      </c>
      <c r="BL541" s="0" t="s">
        <v>130</v>
      </c>
      <c r="BM541" s="0" t="s">
        <v>130</v>
      </c>
      <c r="BN541" s="0" t="s">
        <v>130</v>
      </c>
      <c r="BO541" s="0" t="s">
        <v>130</v>
      </c>
      <c r="BP541" s="0" t="s">
        <v>130</v>
      </c>
      <c r="BQ541" s="0" t="s">
        <v>130</v>
      </c>
      <c r="BR541" s="0" t="s">
        <v>130</v>
      </c>
      <c r="BS541" s="0" t="s">
        <v>130</v>
      </c>
      <c r="BT541" s="0" t="s">
        <v>130</v>
      </c>
      <c r="BU541" s="0" t="s">
        <v>130</v>
      </c>
      <c r="BV541" s="0" t="s">
        <v>130</v>
      </c>
      <c r="BW541" s="0" t="s">
        <v>130</v>
      </c>
      <c r="BX541" s="0" t="s">
        <v>130</v>
      </c>
      <c r="BY541" s="0" t="s">
        <v>130</v>
      </c>
      <c r="BZ541" s="0" t="s">
        <v>130</v>
      </c>
      <c r="CA541" s="0" t="s">
        <v>130</v>
      </c>
      <c r="CB541" s="0" t="s">
        <v>130</v>
      </c>
      <c r="CC541" s="0" t="s">
        <v>130</v>
      </c>
      <c r="CD541" s="0" t="s">
        <v>130</v>
      </c>
      <c r="CE541" s="0" t="s">
        <v>130</v>
      </c>
      <c r="CF541" s="0" t="s">
        <v>130</v>
      </c>
      <c r="CG541" s="0" t="s">
        <v>130</v>
      </c>
      <c r="CH541" s="0" t="s">
        <v>130</v>
      </c>
      <c r="CI541" s="0" t="s">
        <v>130</v>
      </c>
      <c r="CJ541" s="0" t="s">
        <v>130</v>
      </c>
      <c r="CK541" s="0" t="s">
        <v>141</v>
      </c>
      <c r="CL541" s="0" t="s">
        <v>130</v>
      </c>
      <c r="CM541" s="0" t="s">
        <v>130</v>
      </c>
      <c r="CN541" s="0" t="s">
        <v>130</v>
      </c>
      <c r="CO541" s="0" t="s">
        <v>130</v>
      </c>
      <c r="CP541" s="0" t="s">
        <v>130</v>
      </c>
      <c r="CQ541" s="0" t="s">
        <v>130</v>
      </c>
      <c r="CR541" s="0" t="s">
        <v>130</v>
      </c>
      <c r="CS541" s="0" t="s">
        <v>130</v>
      </c>
      <c r="CT541" s="0" t="s">
        <v>1810</v>
      </c>
    </row>
    <row r="542">
      <c r="A542" s="14">
        <v>101605</v>
      </c>
      <c r="B542" s="0" t="s">
        <v>1797</v>
      </c>
      <c r="C542" s="16">
        <f>HYPERLINK("https://eosportal.federatedhermes.com/companies/Q29tcGFueQppNjI1MDc=", "Vodafone Group PLC")</f>
      </c>
      <c r="D542" s="0" t="s">
        <v>25</v>
      </c>
      <c r="E542" s="0" t="s">
        <v>1811</v>
      </c>
      <c r="F542" s="16">
        <f>HYPERLINK("https://eosportal.federatedhermes.com/engagements/RW5nYWdlbWVudAppMjA4Njk=", "Living wage")</f>
      </c>
      <c r="G542" s="14" t="s">
        <v>1812</v>
      </c>
      <c r="H542" s="0" t="s">
        <v>130</v>
      </c>
      <c r="I542" s="14" t="s">
        <v>319</v>
      </c>
      <c r="J542" s="0" t="s">
        <v>153</v>
      </c>
      <c r="K542" s="0" t="s">
        <v>154</v>
      </c>
      <c r="L542" s="0" t="s">
        <v>306</v>
      </c>
      <c r="M542" s="0" t="s">
        <v>272</v>
      </c>
      <c r="N542" s="0" t="s">
        <v>273</v>
      </c>
      <c r="O542" s="0" t="s">
        <v>137</v>
      </c>
      <c r="Q542" s="0" t="s">
        <v>130</v>
      </c>
      <c r="R542" s="0" t="s">
        <v>138</v>
      </c>
      <c r="S542" s="14">
        <v>0</v>
      </c>
      <c r="T542" s="0" t="s">
        <v>314</v>
      </c>
      <c r="U542" s="0" t="s">
        <v>138</v>
      </c>
      <c r="V542" s="14" t="s">
        <v>138</v>
      </c>
      <c r="W542" s="0" t="s">
        <v>138</v>
      </c>
      <c r="X542" s="14" t="s">
        <v>138</v>
      </c>
      <c r="Y542" s="0" t="s">
        <v>138</v>
      </c>
      <c r="Z542" s="14" t="s">
        <v>138</v>
      </c>
      <c r="AA542" s="0" t="s">
        <v>138</v>
      </c>
      <c r="AB542" s="14" t="s">
        <v>138</v>
      </c>
      <c r="AD542" s="0" t="s">
        <v>138</v>
      </c>
      <c r="AF542" s="0">
        <v>0</v>
      </c>
      <c r="AG542" s="0">
        <v>0</v>
      </c>
      <c r="AH542" s="0" t="s">
        <v>140</v>
      </c>
      <c r="AI542" s="0" t="s">
        <v>138</v>
      </c>
      <c r="AL542" s="14"/>
      <c r="AN542" s="14"/>
      <c r="AQ542" s="0" t="s">
        <v>130</v>
      </c>
      <c r="AR542" s="0" t="s">
        <v>130</v>
      </c>
      <c r="AS542" s="0" t="s">
        <v>130</v>
      </c>
      <c r="AT542" s="0" t="s">
        <v>130</v>
      </c>
      <c r="AU542" s="0" t="s">
        <v>130</v>
      </c>
      <c r="AV542" s="0" t="s">
        <v>130</v>
      </c>
      <c r="AW542" s="0" t="s">
        <v>130</v>
      </c>
      <c r="AX542" s="0" t="s">
        <v>130</v>
      </c>
      <c r="AY542" s="0" t="s">
        <v>130</v>
      </c>
      <c r="AZ542" s="0" t="s">
        <v>130</v>
      </c>
      <c r="BA542" s="0" t="s">
        <v>130</v>
      </c>
      <c r="BB542" s="0" t="s">
        <v>130</v>
      </c>
      <c r="BC542" s="0" t="s">
        <v>130</v>
      </c>
      <c r="BD542" s="0" t="s">
        <v>130</v>
      </c>
      <c r="BE542" s="0" t="s">
        <v>130</v>
      </c>
      <c r="BF542" s="0" t="s">
        <v>141</v>
      </c>
      <c r="BG542" s="0" t="s">
        <v>130</v>
      </c>
      <c r="BH542" s="0" t="s">
        <v>130</v>
      </c>
      <c r="BI542" s="0" t="s">
        <v>130</v>
      </c>
      <c r="BJ542" s="0" t="s">
        <v>130</v>
      </c>
      <c r="BK542" s="0" t="s">
        <v>130</v>
      </c>
      <c r="BL542" s="0" t="s">
        <v>130</v>
      </c>
      <c r="BM542" s="0" t="s">
        <v>130</v>
      </c>
      <c r="BN542" s="0" t="s">
        <v>130</v>
      </c>
      <c r="BO542" s="0" t="s">
        <v>130</v>
      </c>
      <c r="BP542" s="0" t="s">
        <v>130</v>
      </c>
      <c r="BQ542" s="0" t="s">
        <v>130</v>
      </c>
      <c r="BR542" s="0" t="s">
        <v>130</v>
      </c>
      <c r="BS542" s="0" t="s">
        <v>130</v>
      </c>
      <c r="BT542" s="0" t="s">
        <v>130</v>
      </c>
      <c r="BU542" s="0" t="s">
        <v>130</v>
      </c>
      <c r="BV542" s="0" t="s">
        <v>130</v>
      </c>
      <c r="BW542" s="0" t="s">
        <v>130</v>
      </c>
      <c r="BX542" s="0" t="s">
        <v>130</v>
      </c>
      <c r="BY542" s="0" t="s">
        <v>130</v>
      </c>
      <c r="BZ542" s="0" t="s">
        <v>130</v>
      </c>
      <c r="CA542" s="0" t="s">
        <v>130</v>
      </c>
      <c r="CB542" s="0" t="s">
        <v>130</v>
      </c>
      <c r="CC542" s="0" t="s">
        <v>130</v>
      </c>
      <c r="CD542" s="0" t="s">
        <v>130</v>
      </c>
      <c r="CE542" s="0" t="s">
        <v>130</v>
      </c>
      <c r="CF542" s="0" t="s">
        <v>130</v>
      </c>
      <c r="CG542" s="0" t="s">
        <v>130</v>
      </c>
      <c r="CH542" s="0" t="s">
        <v>130</v>
      </c>
      <c r="CI542" s="0" t="s">
        <v>130</v>
      </c>
      <c r="CJ542" s="0" t="s">
        <v>130</v>
      </c>
      <c r="CK542" s="0" t="s">
        <v>130</v>
      </c>
      <c r="CL542" s="0" t="s">
        <v>130</v>
      </c>
      <c r="CM542" s="0" t="s">
        <v>130</v>
      </c>
      <c r="CN542" s="0" t="s">
        <v>130</v>
      </c>
      <c r="CO542" s="0" t="s">
        <v>130</v>
      </c>
      <c r="CP542" s="0" t="s">
        <v>130</v>
      </c>
      <c r="CQ542" s="0" t="s">
        <v>130</v>
      </c>
      <c r="CR542" s="0" t="s">
        <v>130</v>
      </c>
      <c r="CS542" s="0" t="s">
        <v>130</v>
      </c>
      <c r="CT542" s="0" t="s">
        <v>1813</v>
      </c>
    </row>
    <row r="543">
      <c r="A543" s="14">
        <v>101605</v>
      </c>
      <c r="B543" s="0" t="s">
        <v>1797</v>
      </c>
      <c r="C543" s="16">
        <f>HYPERLINK("https://eosportal.federatedhermes.com/companies/Q29tcGFueQppNjI1MDc=", "Vodafone Group PLC")</f>
      </c>
      <c r="D543" s="0" t="s">
        <v>25</v>
      </c>
      <c r="E543" s="0" t="s">
        <v>341</v>
      </c>
      <c r="F543" s="16">
        <f>HYPERLINK("https://eosportal.federatedhermes.com/engagements/RW5nYWdlbWVudAppMjA4NzM=", "Remuneration")</f>
      </c>
      <c r="G543" s="14" t="s">
        <v>341</v>
      </c>
      <c r="H543" s="0" t="s">
        <v>130</v>
      </c>
      <c r="I543" s="14" t="s">
        <v>319</v>
      </c>
      <c r="J543" s="0" t="s">
        <v>145</v>
      </c>
      <c r="K543" s="0" t="s">
        <v>146</v>
      </c>
      <c r="L543" s="0" t="s">
        <v>147</v>
      </c>
      <c r="M543" s="0" t="s">
        <v>272</v>
      </c>
      <c r="N543" s="0" t="s">
        <v>273</v>
      </c>
      <c r="O543" s="0" t="s">
        <v>137</v>
      </c>
      <c r="Q543" s="0" t="s">
        <v>130</v>
      </c>
      <c r="R543" s="0" t="s">
        <v>138</v>
      </c>
      <c r="S543" s="14">
        <v>0</v>
      </c>
      <c r="T543" s="0" t="s">
        <v>825</v>
      </c>
      <c r="U543" s="0" t="s">
        <v>138</v>
      </c>
      <c r="V543" s="14" t="s">
        <v>138</v>
      </c>
      <c r="W543" s="0" t="s">
        <v>138</v>
      </c>
      <c r="X543" s="14" t="s">
        <v>138</v>
      </c>
      <c r="Y543" s="0" t="s">
        <v>138</v>
      </c>
      <c r="Z543" s="14" t="s">
        <v>138</v>
      </c>
      <c r="AA543" s="0" t="s">
        <v>138</v>
      </c>
      <c r="AB543" s="14" t="s">
        <v>138</v>
      </c>
      <c r="AD543" s="0" t="s">
        <v>138</v>
      </c>
      <c r="AF543" s="0">
        <v>0</v>
      </c>
      <c r="AG543" s="0">
        <v>0</v>
      </c>
      <c r="AH543" s="0" t="s">
        <v>140</v>
      </c>
      <c r="AI543" s="0" t="s">
        <v>138</v>
      </c>
      <c r="AL543" s="14"/>
      <c r="AN543" s="14"/>
      <c r="AQ543" s="0" t="s">
        <v>130</v>
      </c>
      <c r="AR543" s="0" t="s">
        <v>130</v>
      </c>
      <c r="AS543" s="0" t="s">
        <v>130</v>
      </c>
      <c r="AT543" s="0" t="s">
        <v>130</v>
      </c>
      <c r="AU543" s="0" t="s">
        <v>130</v>
      </c>
      <c r="AV543" s="0" t="s">
        <v>130</v>
      </c>
      <c r="AW543" s="0" t="s">
        <v>130</v>
      </c>
      <c r="AX543" s="0" t="s">
        <v>130</v>
      </c>
      <c r="AY543" s="0" t="s">
        <v>130</v>
      </c>
      <c r="AZ543" s="0" t="s">
        <v>130</v>
      </c>
      <c r="BA543" s="0" t="s">
        <v>130</v>
      </c>
      <c r="BB543" s="0" t="s">
        <v>130</v>
      </c>
      <c r="BC543" s="0" t="s">
        <v>130</v>
      </c>
      <c r="BD543" s="0" t="s">
        <v>130</v>
      </c>
      <c r="BE543" s="0" t="s">
        <v>130</v>
      </c>
      <c r="BF543" s="0" t="s">
        <v>130</v>
      </c>
      <c r="BG543" s="0" t="s">
        <v>130</v>
      </c>
      <c r="BH543" s="0" t="s">
        <v>130</v>
      </c>
      <c r="BI543" s="0" t="s">
        <v>130</v>
      </c>
      <c r="BJ543" s="0" t="s">
        <v>130</v>
      </c>
      <c r="BK543" s="0" t="s">
        <v>130</v>
      </c>
      <c r="BL543" s="0" t="s">
        <v>130</v>
      </c>
      <c r="BM543" s="0" t="s">
        <v>130</v>
      </c>
      <c r="BN543" s="0" t="s">
        <v>130</v>
      </c>
      <c r="BO543" s="0" t="s">
        <v>130</v>
      </c>
      <c r="BP543" s="0" t="s">
        <v>130</v>
      </c>
      <c r="BQ543" s="0" t="s">
        <v>130</v>
      </c>
      <c r="BR543" s="0" t="s">
        <v>130</v>
      </c>
      <c r="BS543" s="0" t="s">
        <v>130</v>
      </c>
      <c r="BT543" s="0" t="s">
        <v>130</v>
      </c>
      <c r="BU543" s="0" t="s">
        <v>130</v>
      </c>
      <c r="BV543" s="0" t="s">
        <v>130</v>
      </c>
      <c r="BW543" s="0" t="s">
        <v>130</v>
      </c>
      <c r="BX543" s="0" t="s">
        <v>130</v>
      </c>
      <c r="BY543" s="0" t="s">
        <v>130</v>
      </c>
      <c r="BZ543" s="0" t="s">
        <v>130</v>
      </c>
      <c r="CA543" s="0" t="s">
        <v>130</v>
      </c>
      <c r="CB543" s="0" t="s">
        <v>130</v>
      </c>
      <c r="CC543" s="0" t="s">
        <v>130</v>
      </c>
      <c r="CD543" s="0" t="s">
        <v>130</v>
      </c>
      <c r="CE543" s="0" t="s">
        <v>130</v>
      </c>
      <c r="CF543" s="0" t="s">
        <v>130</v>
      </c>
      <c r="CG543" s="0" t="s">
        <v>130</v>
      </c>
      <c r="CH543" s="0" t="s">
        <v>130</v>
      </c>
      <c r="CI543" s="0" t="s">
        <v>130</v>
      </c>
      <c r="CJ543" s="0" t="s">
        <v>130</v>
      </c>
      <c r="CK543" s="0" t="s">
        <v>130</v>
      </c>
      <c r="CL543" s="0" t="s">
        <v>130</v>
      </c>
      <c r="CM543" s="0" t="s">
        <v>130</v>
      </c>
      <c r="CN543" s="0" t="s">
        <v>130</v>
      </c>
      <c r="CO543" s="0" t="s">
        <v>130</v>
      </c>
      <c r="CP543" s="0" t="s">
        <v>130</v>
      </c>
      <c r="CQ543" s="0" t="s">
        <v>130</v>
      </c>
      <c r="CR543" s="0" t="s">
        <v>130</v>
      </c>
      <c r="CS543" s="0" t="s">
        <v>130</v>
      </c>
      <c r="CT543" s="0" t="s">
        <v>1814</v>
      </c>
    </row>
    <row r="544">
      <c r="A544" s="14">
        <v>101605</v>
      </c>
      <c r="B544" s="0" t="s">
        <v>1797</v>
      </c>
      <c r="C544" s="16">
        <f>HYPERLINK("https://eosportal.federatedhermes.com/companies/Q29tcGFueQppNjI1MDc=", "Vodafone Group PLC")</f>
      </c>
      <c r="D544" s="0" t="s">
        <v>25</v>
      </c>
      <c r="E544" s="0" t="s">
        <v>1815</v>
      </c>
      <c r="F544" s="16">
        <f>HYPERLINK("https://eosportal.federatedhermes.com/engagements/RW5nYWdlbWVudAppMjA4NzQ=", "Strategic evolution")</f>
      </c>
      <c r="G544" s="14" t="s">
        <v>1816</v>
      </c>
      <c r="H544" s="0" t="s">
        <v>130</v>
      </c>
      <c r="I544" s="14" t="s">
        <v>319</v>
      </c>
      <c r="J544" s="0" t="s">
        <v>132</v>
      </c>
      <c r="K544" s="0" t="s">
        <v>133</v>
      </c>
      <c r="L544" s="0" t="s">
        <v>160</v>
      </c>
      <c r="M544" s="0" t="s">
        <v>272</v>
      </c>
      <c r="N544" s="0" t="s">
        <v>273</v>
      </c>
      <c r="O544" s="0" t="s">
        <v>137</v>
      </c>
      <c r="Q544" s="0" t="s">
        <v>141</v>
      </c>
      <c r="R544" s="0" t="s">
        <v>138</v>
      </c>
      <c r="S544" s="14">
        <v>1</v>
      </c>
      <c r="T544" s="0" t="s">
        <v>245</v>
      </c>
      <c r="U544" s="0" t="s">
        <v>138</v>
      </c>
      <c r="V544" s="14" t="s">
        <v>138</v>
      </c>
      <c r="W544" s="0" t="s">
        <v>138</v>
      </c>
      <c r="X544" s="14" t="s">
        <v>138</v>
      </c>
      <c r="Y544" s="0" t="s">
        <v>138</v>
      </c>
      <c r="Z544" s="14" t="s">
        <v>138</v>
      </c>
      <c r="AA544" s="0" t="s">
        <v>138</v>
      </c>
      <c r="AB544" s="14" t="s">
        <v>138</v>
      </c>
      <c r="AD544" s="0" t="s">
        <v>138</v>
      </c>
      <c r="AF544" s="0">
        <v>0</v>
      </c>
      <c r="AG544" s="0">
        <v>0</v>
      </c>
      <c r="AH544" s="0" t="s">
        <v>140</v>
      </c>
      <c r="AI544" s="0" t="s">
        <v>138</v>
      </c>
      <c r="AK544" s="0" t="s">
        <v>1799</v>
      </c>
      <c r="AL544" s="14"/>
      <c r="AN544" s="14"/>
      <c r="AQ544" s="0" t="s">
        <v>130</v>
      </c>
      <c r="AR544" s="0" t="s">
        <v>130</v>
      </c>
      <c r="AS544" s="0" t="s">
        <v>130</v>
      </c>
      <c r="AT544" s="0" t="s">
        <v>130</v>
      </c>
      <c r="AU544" s="0" t="s">
        <v>130</v>
      </c>
      <c r="AV544" s="0" t="s">
        <v>130</v>
      </c>
      <c r="AW544" s="0" t="s">
        <v>130</v>
      </c>
      <c r="AX544" s="0" t="s">
        <v>130</v>
      </c>
      <c r="AY544" s="0" t="s">
        <v>130</v>
      </c>
      <c r="AZ544" s="0" t="s">
        <v>130</v>
      </c>
      <c r="BA544" s="0" t="s">
        <v>130</v>
      </c>
      <c r="BB544" s="0" t="s">
        <v>130</v>
      </c>
      <c r="BC544" s="0" t="s">
        <v>130</v>
      </c>
      <c r="BD544" s="0" t="s">
        <v>130</v>
      </c>
      <c r="BE544" s="0" t="s">
        <v>130</v>
      </c>
      <c r="BF544" s="0" t="s">
        <v>130</v>
      </c>
      <c r="BG544" s="0" t="s">
        <v>130</v>
      </c>
      <c r="BH544" s="0" t="s">
        <v>130</v>
      </c>
      <c r="BI544" s="0" t="s">
        <v>130</v>
      </c>
      <c r="BJ544" s="0" t="s">
        <v>130</v>
      </c>
      <c r="BK544" s="0" t="s">
        <v>130</v>
      </c>
      <c r="BL544" s="0" t="s">
        <v>130</v>
      </c>
      <c r="BM544" s="0" t="s">
        <v>130</v>
      </c>
      <c r="BN544" s="0" t="s">
        <v>130</v>
      </c>
      <c r="BO544" s="0" t="s">
        <v>130</v>
      </c>
      <c r="BP544" s="0" t="s">
        <v>130</v>
      </c>
      <c r="BQ544" s="0" t="s">
        <v>130</v>
      </c>
      <c r="BR544" s="0" t="s">
        <v>130</v>
      </c>
      <c r="BS544" s="0" t="s">
        <v>130</v>
      </c>
      <c r="BT544" s="0" t="s">
        <v>130</v>
      </c>
      <c r="BU544" s="0" t="s">
        <v>130</v>
      </c>
      <c r="BV544" s="0" t="s">
        <v>130</v>
      </c>
      <c r="BW544" s="0" t="s">
        <v>130</v>
      </c>
      <c r="BX544" s="0" t="s">
        <v>130</v>
      </c>
      <c r="BY544" s="0" t="s">
        <v>130</v>
      </c>
      <c r="BZ544" s="0" t="s">
        <v>130</v>
      </c>
      <c r="CA544" s="0" t="s">
        <v>130</v>
      </c>
      <c r="CB544" s="0" t="s">
        <v>130</v>
      </c>
      <c r="CC544" s="0" t="s">
        <v>130</v>
      </c>
      <c r="CD544" s="0" t="s">
        <v>130</v>
      </c>
      <c r="CE544" s="0" t="s">
        <v>130</v>
      </c>
      <c r="CF544" s="0" t="s">
        <v>130</v>
      </c>
      <c r="CG544" s="0" t="s">
        <v>130</v>
      </c>
      <c r="CH544" s="0" t="s">
        <v>130</v>
      </c>
      <c r="CI544" s="0" t="s">
        <v>130</v>
      </c>
      <c r="CJ544" s="0" t="s">
        <v>130</v>
      </c>
      <c r="CK544" s="0" t="s">
        <v>130</v>
      </c>
      <c r="CL544" s="0" t="s">
        <v>130</v>
      </c>
      <c r="CM544" s="0" t="s">
        <v>130</v>
      </c>
      <c r="CN544" s="0" t="s">
        <v>130</v>
      </c>
      <c r="CO544" s="0" t="s">
        <v>130</v>
      </c>
      <c r="CP544" s="0" t="s">
        <v>130</v>
      </c>
      <c r="CQ544" s="0" t="s">
        <v>130</v>
      </c>
      <c r="CR544" s="0" t="s">
        <v>130</v>
      </c>
      <c r="CS544" s="0" t="s">
        <v>130</v>
      </c>
      <c r="CT544" s="0" t="s">
        <v>1817</v>
      </c>
    </row>
    <row r="545">
      <c r="A545" s="14">
        <v>101616</v>
      </c>
      <c r="B545" s="0" t="s">
        <v>1818</v>
      </c>
      <c r="C545" s="16">
        <f>HYPERLINK("https://eosportal.federatedhermes.com/companies/Q29tcGFueQppNjgxNjU=", "Walmart Inc")</f>
      </c>
      <c r="D545" s="0" t="s">
        <v>25</v>
      </c>
      <c r="E545" s="0" t="s">
        <v>1819</v>
      </c>
      <c r="F545" s="16">
        <f>HYPERLINK("https://eosportal.federatedhermes.com/engagements/RW5nYWdlbWVudAppMjA5MTQ=", "Animal Cruelty in the Supply Chain")</f>
      </c>
      <c r="G545" s="14" t="s">
        <v>1820</v>
      </c>
      <c r="H545" s="0" t="s">
        <v>141</v>
      </c>
      <c r="I545" s="14" t="s">
        <v>191</v>
      </c>
      <c r="J545" s="0" t="s">
        <v>153</v>
      </c>
      <c r="K545" s="0" t="s">
        <v>185</v>
      </c>
      <c r="L545" s="0" t="s">
        <v>186</v>
      </c>
      <c r="M545" s="0" t="s">
        <v>135</v>
      </c>
      <c r="N545" s="0" t="s">
        <v>136</v>
      </c>
      <c r="O545" s="0" t="s">
        <v>643</v>
      </c>
      <c r="Q545" s="0" t="s">
        <v>130</v>
      </c>
      <c r="R545" s="0" t="s">
        <v>138</v>
      </c>
      <c r="S545" s="14">
        <v>0</v>
      </c>
      <c r="T545" s="0" t="s">
        <v>327</v>
      </c>
      <c r="U545" s="0" t="s">
        <v>138</v>
      </c>
      <c r="V545" s="14" t="s">
        <v>138</v>
      </c>
      <c r="W545" s="0" t="s">
        <v>138</v>
      </c>
      <c r="X545" s="14" t="s">
        <v>138</v>
      </c>
      <c r="Y545" s="0" t="s">
        <v>138</v>
      </c>
      <c r="Z545" s="14" t="s">
        <v>138</v>
      </c>
      <c r="AA545" s="0" t="s">
        <v>138</v>
      </c>
      <c r="AB545" s="14" t="s">
        <v>138</v>
      </c>
      <c r="AD545" s="0" t="s">
        <v>138</v>
      </c>
      <c r="AF545" s="0">
        <v>0</v>
      </c>
      <c r="AG545" s="0">
        <v>0</v>
      </c>
      <c r="AH545" s="0" t="s">
        <v>140</v>
      </c>
      <c r="AI545" s="0" t="s">
        <v>138</v>
      </c>
      <c r="AL545" s="14"/>
      <c r="AN545" s="14"/>
      <c r="AQ545" s="0" t="s">
        <v>130</v>
      </c>
      <c r="AR545" s="0" t="s">
        <v>130</v>
      </c>
      <c r="AS545" s="0" t="s">
        <v>130</v>
      </c>
      <c r="AT545" s="0" t="s">
        <v>130</v>
      </c>
      <c r="AU545" s="0" t="s">
        <v>130</v>
      </c>
      <c r="AV545" s="0" t="s">
        <v>130</v>
      </c>
      <c r="AW545" s="0" t="s">
        <v>130</v>
      </c>
      <c r="AX545" s="0" t="s">
        <v>130</v>
      </c>
      <c r="AY545" s="0" t="s">
        <v>130</v>
      </c>
      <c r="AZ545" s="0" t="s">
        <v>130</v>
      </c>
      <c r="BA545" s="0" t="s">
        <v>130</v>
      </c>
      <c r="BB545" s="0" t="s">
        <v>130</v>
      </c>
      <c r="BC545" s="0" t="s">
        <v>130</v>
      </c>
      <c r="BD545" s="0" t="s">
        <v>130</v>
      </c>
      <c r="BE545" s="0" t="s">
        <v>130</v>
      </c>
      <c r="BF545" s="0" t="s">
        <v>130</v>
      </c>
      <c r="BG545" s="0" t="s">
        <v>130</v>
      </c>
      <c r="BH545" s="0" t="s">
        <v>130</v>
      </c>
      <c r="BI545" s="0" t="s">
        <v>130</v>
      </c>
      <c r="BJ545" s="0" t="s">
        <v>130</v>
      </c>
      <c r="BK545" s="0" t="s">
        <v>130</v>
      </c>
      <c r="BL545" s="0" t="s">
        <v>130</v>
      </c>
      <c r="BM545" s="0" t="s">
        <v>130</v>
      </c>
      <c r="BN545" s="0" t="s">
        <v>130</v>
      </c>
      <c r="BO545" s="0" t="s">
        <v>130</v>
      </c>
      <c r="BP545" s="0" t="s">
        <v>130</v>
      </c>
      <c r="BQ545" s="0" t="s">
        <v>130</v>
      </c>
      <c r="BR545" s="0" t="s">
        <v>130</v>
      </c>
      <c r="BS545" s="0" t="s">
        <v>130</v>
      </c>
      <c r="BT545" s="0" t="s">
        <v>130</v>
      </c>
      <c r="BU545" s="0" t="s">
        <v>130</v>
      </c>
      <c r="BV545" s="0" t="s">
        <v>130</v>
      </c>
      <c r="BW545" s="0" t="s">
        <v>130</v>
      </c>
      <c r="BX545" s="0" t="s">
        <v>130</v>
      </c>
      <c r="BY545" s="0" t="s">
        <v>130</v>
      </c>
      <c r="BZ545" s="0" t="s">
        <v>130</v>
      </c>
      <c r="CA545" s="0" t="s">
        <v>130</v>
      </c>
      <c r="CB545" s="0" t="s">
        <v>130</v>
      </c>
      <c r="CC545" s="0" t="s">
        <v>130</v>
      </c>
      <c r="CD545" s="0" t="s">
        <v>130</v>
      </c>
      <c r="CE545" s="0" t="s">
        <v>130</v>
      </c>
      <c r="CF545" s="0" t="s">
        <v>130</v>
      </c>
      <c r="CG545" s="0" t="s">
        <v>130</v>
      </c>
      <c r="CH545" s="0" t="s">
        <v>130</v>
      </c>
      <c r="CI545" s="0" t="s">
        <v>130</v>
      </c>
      <c r="CJ545" s="0" t="s">
        <v>130</v>
      </c>
      <c r="CK545" s="0" t="s">
        <v>130</v>
      </c>
      <c r="CL545" s="0" t="s">
        <v>130</v>
      </c>
      <c r="CM545" s="0" t="s">
        <v>130</v>
      </c>
      <c r="CN545" s="0" t="s">
        <v>130</v>
      </c>
      <c r="CO545" s="0" t="s">
        <v>130</v>
      </c>
      <c r="CP545" s="0" t="s">
        <v>130</v>
      </c>
      <c r="CQ545" s="0" t="s">
        <v>130</v>
      </c>
      <c r="CR545" s="0" t="s">
        <v>130</v>
      </c>
      <c r="CS545" s="0" t="s">
        <v>130</v>
      </c>
      <c r="CT545" s="0" t="s">
        <v>1821</v>
      </c>
    </row>
    <row r="546">
      <c r="A546" s="14">
        <v>101616</v>
      </c>
      <c r="B546" s="0" t="s">
        <v>1818</v>
      </c>
      <c r="C546" s="16">
        <f>HYPERLINK("https://eosportal.federatedhermes.com/companies/Q29tcGFueQppNjgxNjU=", "Walmart Inc")</f>
      </c>
      <c r="D546" s="0" t="s">
        <v>25</v>
      </c>
      <c r="E546" s="0" t="s">
        <v>1822</v>
      </c>
      <c r="F546" s="16">
        <f>HYPERLINK("https://eosportal.federatedhermes.com/engagements/RW5nYWdlbWVudAppMjA5MTU=", "Antibiotics in the supply chain")</f>
      </c>
      <c r="G546" s="14" t="s">
        <v>1823</v>
      </c>
      <c r="H546" s="0" t="s">
        <v>141</v>
      </c>
      <c r="I546" s="14" t="s">
        <v>191</v>
      </c>
      <c r="J546" s="0" t="s">
        <v>197</v>
      </c>
      <c r="K546" s="0" t="s">
        <v>337</v>
      </c>
      <c r="L546" s="0" t="s">
        <v>1222</v>
      </c>
      <c r="M546" s="0" t="s">
        <v>135</v>
      </c>
      <c r="N546" s="0" t="s">
        <v>136</v>
      </c>
      <c r="O546" s="0" t="s">
        <v>643</v>
      </c>
      <c r="Q546" s="0" t="s">
        <v>130</v>
      </c>
      <c r="R546" s="0" t="s">
        <v>138</v>
      </c>
      <c r="S546" s="14">
        <v>0</v>
      </c>
      <c r="T546" s="0" t="s">
        <v>148</v>
      </c>
      <c r="U546" s="0" t="s">
        <v>138</v>
      </c>
      <c r="V546" s="14" t="s">
        <v>138</v>
      </c>
      <c r="W546" s="0" t="s">
        <v>138</v>
      </c>
      <c r="X546" s="14" t="s">
        <v>138</v>
      </c>
      <c r="Y546" s="0" t="s">
        <v>138</v>
      </c>
      <c r="Z546" s="14" t="s">
        <v>138</v>
      </c>
      <c r="AA546" s="0" t="s">
        <v>138</v>
      </c>
      <c r="AB546" s="14" t="s">
        <v>138</v>
      </c>
      <c r="AD546" s="0" t="s">
        <v>138</v>
      </c>
      <c r="AF546" s="0">
        <v>0</v>
      </c>
      <c r="AG546" s="0">
        <v>0</v>
      </c>
      <c r="AH546" s="0" t="s">
        <v>140</v>
      </c>
      <c r="AI546" s="0" t="s">
        <v>138</v>
      </c>
      <c r="AL546" s="14"/>
      <c r="AN546" s="14"/>
      <c r="AQ546" s="0" t="s">
        <v>130</v>
      </c>
      <c r="AR546" s="0" t="s">
        <v>130</v>
      </c>
      <c r="AS546" s="0" t="s">
        <v>141</v>
      </c>
      <c r="AT546" s="0" t="s">
        <v>130</v>
      </c>
      <c r="AU546" s="0" t="s">
        <v>130</v>
      </c>
      <c r="AV546" s="0" t="s">
        <v>130</v>
      </c>
      <c r="AW546" s="0" t="s">
        <v>130</v>
      </c>
      <c r="AX546" s="0" t="s">
        <v>130</v>
      </c>
      <c r="AY546" s="0" t="s">
        <v>130</v>
      </c>
      <c r="AZ546" s="0" t="s">
        <v>130</v>
      </c>
      <c r="BA546" s="0" t="s">
        <v>130</v>
      </c>
      <c r="BB546" s="0" t="s">
        <v>141</v>
      </c>
      <c r="BC546" s="0" t="s">
        <v>130</v>
      </c>
      <c r="BD546" s="0" t="s">
        <v>130</v>
      </c>
      <c r="BE546" s="0" t="s">
        <v>130</v>
      </c>
      <c r="BF546" s="0" t="s">
        <v>130</v>
      </c>
      <c r="BG546" s="0" t="s">
        <v>130</v>
      </c>
      <c r="BH546" s="0" t="s">
        <v>130</v>
      </c>
      <c r="BI546" s="0" t="s">
        <v>130</v>
      </c>
      <c r="BJ546" s="0" t="s">
        <v>130</v>
      </c>
      <c r="BK546" s="0" t="s">
        <v>130</v>
      </c>
      <c r="BL546" s="0" t="s">
        <v>130</v>
      </c>
      <c r="BM546" s="0" t="s">
        <v>130</v>
      </c>
      <c r="BN546" s="0" t="s">
        <v>130</v>
      </c>
      <c r="BO546" s="0" t="s">
        <v>130</v>
      </c>
      <c r="BP546" s="0" t="s">
        <v>130</v>
      </c>
      <c r="BQ546" s="0" t="s">
        <v>130</v>
      </c>
      <c r="BR546" s="0" t="s">
        <v>130</v>
      </c>
      <c r="BS546" s="0" t="s">
        <v>130</v>
      </c>
      <c r="BT546" s="0" t="s">
        <v>130</v>
      </c>
      <c r="BU546" s="0" t="s">
        <v>130</v>
      </c>
      <c r="BV546" s="0" t="s">
        <v>130</v>
      </c>
      <c r="BW546" s="0" t="s">
        <v>130</v>
      </c>
      <c r="BX546" s="0" t="s">
        <v>130</v>
      </c>
      <c r="BY546" s="0" t="s">
        <v>130</v>
      </c>
      <c r="BZ546" s="0" t="s">
        <v>130</v>
      </c>
      <c r="CA546" s="0" t="s">
        <v>130</v>
      </c>
      <c r="CB546" s="0" t="s">
        <v>130</v>
      </c>
      <c r="CC546" s="0" t="s">
        <v>130</v>
      </c>
      <c r="CD546" s="0" t="s">
        <v>130</v>
      </c>
      <c r="CE546" s="0" t="s">
        <v>130</v>
      </c>
      <c r="CF546" s="0" t="s">
        <v>130</v>
      </c>
      <c r="CG546" s="0" t="s">
        <v>130</v>
      </c>
      <c r="CH546" s="0" t="s">
        <v>130</v>
      </c>
      <c r="CI546" s="0" t="s">
        <v>130</v>
      </c>
      <c r="CJ546" s="0" t="s">
        <v>130</v>
      </c>
      <c r="CK546" s="0" t="s">
        <v>130</v>
      </c>
      <c r="CL546" s="0" t="s">
        <v>130</v>
      </c>
      <c r="CM546" s="0" t="s">
        <v>130</v>
      </c>
      <c r="CN546" s="0" t="s">
        <v>130</v>
      </c>
      <c r="CO546" s="0" t="s">
        <v>130</v>
      </c>
      <c r="CP546" s="0" t="s">
        <v>130</v>
      </c>
      <c r="CQ546" s="0" t="s">
        <v>130</v>
      </c>
      <c r="CR546" s="0" t="s">
        <v>130</v>
      </c>
      <c r="CS546" s="0" t="s">
        <v>130</v>
      </c>
      <c r="CT546" s="0" t="s">
        <v>1824</v>
      </c>
    </row>
    <row r="547">
      <c r="A547" s="14">
        <v>101616</v>
      </c>
      <c r="B547" s="0" t="s">
        <v>1818</v>
      </c>
      <c r="C547" s="16">
        <f>HYPERLINK("https://eosportal.federatedhermes.com/companies/Q29tcGFueQppNjgxNjU=", "Walmart Inc")</f>
      </c>
      <c r="D547" s="0" t="s">
        <v>25</v>
      </c>
      <c r="E547" s="0" t="s">
        <v>1825</v>
      </c>
      <c r="F547" s="16">
        <f>HYPERLINK("https://eosportal.federatedhermes.com/engagements/RW5nYWdlbWVudAppMjA5MTY=", "Corporate governance monitor")</f>
      </c>
      <c r="G547" s="14" t="s">
        <v>1826</v>
      </c>
      <c r="H547" s="0" t="s">
        <v>141</v>
      </c>
      <c r="I547" s="14" t="s">
        <v>191</v>
      </c>
      <c r="J547" s="0" t="s">
        <v>145</v>
      </c>
      <c r="K547" s="0" t="s">
        <v>400</v>
      </c>
      <c r="L547" s="0" t="s">
        <v>507</v>
      </c>
      <c r="M547" s="0" t="s">
        <v>135</v>
      </c>
      <c r="N547" s="0" t="s">
        <v>136</v>
      </c>
      <c r="O547" s="0" t="s">
        <v>643</v>
      </c>
      <c r="Q547" s="0" t="s">
        <v>130</v>
      </c>
      <c r="R547" s="0" t="s">
        <v>138</v>
      </c>
      <c r="S547" s="14">
        <v>0</v>
      </c>
      <c r="T547" s="0" t="s">
        <v>206</v>
      </c>
      <c r="U547" s="0" t="s">
        <v>138</v>
      </c>
      <c r="V547" s="14" t="s">
        <v>138</v>
      </c>
      <c r="W547" s="0" t="s">
        <v>138</v>
      </c>
      <c r="X547" s="14" t="s">
        <v>138</v>
      </c>
      <c r="Y547" s="0" t="s">
        <v>138</v>
      </c>
      <c r="Z547" s="14" t="s">
        <v>138</v>
      </c>
      <c r="AA547" s="0" t="s">
        <v>138</v>
      </c>
      <c r="AB547" s="14" t="s">
        <v>138</v>
      </c>
      <c r="AD547" s="0" t="s">
        <v>138</v>
      </c>
      <c r="AF547" s="0">
        <v>0</v>
      </c>
      <c r="AG547" s="0">
        <v>0</v>
      </c>
      <c r="AH547" s="0" t="s">
        <v>140</v>
      </c>
      <c r="AI547" s="0" t="s">
        <v>138</v>
      </c>
      <c r="AL547" s="14"/>
      <c r="AN547" s="14"/>
      <c r="AQ547" s="0" t="s">
        <v>130</v>
      </c>
      <c r="AR547" s="0" t="s">
        <v>130</v>
      </c>
      <c r="AS547" s="0" t="s">
        <v>130</v>
      </c>
      <c r="AT547" s="0" t="s">
        <v>130</v>
      </c>
      <c r="AU547" s="0" t="s">
        <v>130</v>
      </c>
      <c r="AV547" s="0" t="s">
        <v>130</v>
      </c>
      <c r="AW547" s="0" t="s">
        <v>130</v>
      </c>
      <c r="AX547" s="0" t="s">
        <v>130</v>
      </c>
      <c r="AY547" s="0" t="s">
        <v>130</v>
      </c>
      <c r="AZ547" s="0" t="s">
        <v>130</v>
      </c>
      <c r="BA547" s="0" t="s">
        <v>130</v>
      </c>
      <c r="BB547" s="0" t="s">
        <v>130</v>
      </c>
      <c r="BC547" s="0" t="s">
        <v>130</v>
      </c>
      <c r="BD547" s="0" t="s">
        <v>130</v>
      </c>
      <c r="BE547" s="0" t="s">
        <v>130</v>
      </c>
      <c r="BF547" s="0" t="s">
        <v>130</v>
      </c>
      <c r="BG547" s="0" t="s">
        <v>130</v>
      </c>
      <c r="BH547" s="0" t="s">
        <v>130</v>
      </c>
      <c r="BI547" s="0" t="s">
        <v>130</v>
      </c>
      <c r="BJ547" s="0" t="s">
        <v>130</v>
      </c>
      <c r="BK547" s="0" t="s">
        <v>130</v>
      </c>
      <c r="BL547" s="0" t="s">
        <v>130</v>
      </c>
      <c r="BM547" s="0" t="s">
        <v>130</v>
      </c>
      <c r="BN547" s="0" t="s">
        <v>130</v>
      </c>
      <c r="BO547" s="0" t="s">
        <v>130</v>
      </c>
      <c r="BP547" s="0" t="s">
        <v>130</v>
      </c>
      <c r="BQ547" s="0" t="s">
        <v>130</v>
      </c>
      <c r="BR547" s="0" t="s">
        <v>130</v>
      </c>
      <c r="BS547" s="0" t="s">
        <v>130</v>
      </c>
      <c r="BT547" s="0" t="s">
        <v>130</v>
      </c>
      <c r="BU547" s="0" t="s">
        <v>130</v>
      </c>
      <c r="BV547" s="0" t="s">
        <v>130</v>
      </c>
      <c r="BW547" s="0" t="s">
        <v>130</v>
      </c>
      <c r="BX547" s="0" t="s">
        <v>130</v>
      </c>
      <c r="BY547" s="0" t="s">
        <v>130</v>
      </c>
      <c r="BZ547" s="0" t="s">
        <v>130</v>
      </c>
      <c r="CA547" s="0" t="s">
        <v>130</v>
      </c>
      <c r="CB547" s="0" t="s">
        <v>130</v>
      </c>
      <c r="CC547" s="0" t="s">
        <v>130</v>
      </c>
      <c r="CD547" s="0" t="s">
        <v>130</v>
      </c>
      <c r="CE547" s="0" t="s">
        <v>130</v>
      </c>
      <c r="CF547" s="0" t="s">
        <v>130</v>
      </c>
      <c r="CG547" s="0" t="s">
        <v>130</v>
      </c>
      <c r="CH547" s="0" t="s">
        <v>130</v>
      </c>
      <c r="CI547" s="0" t="s">
        <v>130</v>
      </c>
      <c r="CJ547" s="0" t="s">
        <v>130</v>
      </c>
      <c r="CK547" s="0" t="s">
        <v>130</v>
      </c>
      <c r="CL547" s="0" t="s">
        <v>130</v>
      </c>
      <c r="CM547" s="0" t="s">
        <v>130</v>
      </c>
      <c r="CN547" s="0" t="s">
        <v>130</v>
      </c>
      <c r="CO547" s="0" t="s">
        <v>130</v>
      </c>
      <c r="CP547" s="0" t="s">
        <v>130</v>
      </c>
      <c r="CQ547" s="0" t="s">
        <v>130</v>
      </c>
      <c r="CR547" s="0" t="s">
        <v>130</v>
      </c>
      <c r="CS547" s="0" t="s">
        <v>130</v>
      </c>
      <c r="CT547" s="0" t="s">
        <v>1827</v>
      </c>
    </row>
    <row r="548">
      <c r="A548" s="14">
        <v>101616</v>
      </c>
      <c r="B548" s="0" t="s">
        <v>1818</v>
      </c>
      <c r="C548" s="16">
        <f>HYPERLINK("https://eosportal.federatedhermes.com/companies/Q29tcGFueQppNjgxNjU=", "Walmart Inc")</f>
      </c>
      <c r="D548" s="0" t="s">
        <v>25</v>
      </c>
      <c r="E548" s="0" t="s">
        <v>550</v>
      </c>
      <c r="F548" s="16">
        <f>HYPERLINK("https://eosportal.federatedhermes.com/engagements/RW5nYWdlbWVudAppMjA5MTc=", "Independent chair")</f>
      </c>
      <c r="G548" s="14" t="s">
        <v>1828</v>
      </c>
      <c r="H548" s="0" t="s">
        <v>141</v>
      </c>
      <c r="I548" s="14" t="s">
        <v>191</v>
      </c>
      <c r="J548" s="0" t="s">
        <v>145</v>
      </c>
      <c r="K548" s="0" t="s">
        <v>164</v>
      </c>
      <c r="L548" s="0" t="s">
        <v>165</v>
      </c>
      <c r="M548" s="0" t="s">
        <v>135</v>
      </c>
      <c r="N548" s="0" t="s">
        <v>136</v>
      </c>
      <c r="O548" s="0" t="s">
        <v>643</v>
      </c>
      <c r="Q548" s="0" t="s">
        <v>130</v>
      </c>
      <c r="R548" s="0" t="s">
        <v>138</v>
      </c>
      <c r="S548" s="14">
        <v>0</v>
      </c>
      <c r="T548" s="0" t="s">
        <v>239</v>
      </c>
      <c r="U548" s="0" t="s">
        <v>138</v>
      </c>
      <c r="V548" s="14" t="s">
        <v>138</v>
      </c>
      <c r="W548" s="0" t="s">
        <v>138</v>
      </c>
      <c r="X548" s="14" t="s">
        <v>138</v>
      </c>
      <c r="Y548" s="0" t="s">
        <v>138</v>
      </c>
      <c r="Z548" s="14" t="s">
        <v>138</v>
      </c>
      <c r="AA548" s="0" t="s">
        <v>138</v>
      </c>
      <c r="AB548" s="14" t="s">
        <v>138</v>
      </c>
      <c r="AD548" s="0" t="s">
        <v>138</v>
      </c>
      <c r="AF548" s="0">
        <v>0</v>
      </c>
      <c r="AG548" s="0">
        <v>0</v>
      </c>
      <c r="AH548" s="0" t="s">
        <v>140</v>
      </c>
      <c r="AI548" s="0" t="s">
        <v>138</v>
      </c>
      <c r="AL548" s="14"/>
      <c r="AN548" s="14"/>
      <c r="AQ548" s="0" t="s">
        <v>130</v>
      </c>
      <c r="AR548" s="0" t="s">
        <v>130</v>
      </c>
      <c r="AS548" s="0" t="s">
        <v>130</v>
      </c>
      <c r="AT548" s="0" t="s">
        <v>130</v>
      </c>
      <c r="AU548" s="0" t="s">
        <v>130</v>
      </c>
      <c r="AV548" s="0" t="s">
        <v>130</v>
      </c>
      <c r="AW548" s="0" t="s">
        <v>130</v>
      </c>
      <c r="AX548" s="0" t="s">
        <v>130</v>
      </c>
      <c r="AY548" s="0" t="s">
        <v>130</v>
      </c>
      <c r="AZ548" s="0" t="s">
        <v>130</v>
      </c>
      <c r="BA548" s="0" t="s">
        <v>130</v>
      </c>
      <c r="BB548" s="0" t="s">
        <v>130</v>
      </c>
      <c r="BC548" s="0" t="s">
        <v>130</v>
      </c>
      <c r="BD548" s="0" t="s">
        <v>130</v>
      </c>
      <c r="BE548" s="0" t="s">
        <v>130</v>
      </c>
      <c r="BF548" s="0" t="s">
        <v>130</v>
      </c>
      <c r="BG548" s="0" t="s">
        <v>130</v>
      </c>
      <c r="BH548" s="0" t="s">
        <v>130</v>
      </c>
      <c r="BI548" s="0" t="s">
        <v>130</v>
      </c>
      <c r="BJ548" s="0" t="s">
        <v>130</v>
      </c>
      <c r="BK548" s="0" t="s">
        <v>130</v>
      </c>
      <c r="BL548" s="0" t="s">
        <v>130</v>
      </c>
      <c r="BM548" s="0" t="s">
        <v>130</v>
      </c>
      <c r="BN548" s="0" t="s">
        <v>130</v>
      </c>
      <c r="BO548" s="0" t="s">
        <v>130</v>
      </c>
      <c r="BP548" s="0" t="s">
        <v>130</v>
      </c>
      <c r="BQ548" s="0" t="s">
        <v>130</v>
      </c>
      <c r="BR548" s="0" t="s">
        <v>130</v>
      </c>
      <c r="BS548" s="0" t="s">
        <v>130</v>
      </c>
      <c r="BT548" s="0" t="s">
        <v>130</v>
      </c>
      <c r="BU548" s="0" t="s">
        <v>130</v>
      </c>
      <c r="BV548" s="0" t="s">
        <v>130</v>
      </c>
      <c r="BW548" s="0" t="s">
        <v>130</v>
      </c>
      <c r="BX548" s="0" t="s">
        <v>130</v>
      </c>
      <c r="BY548" s="0" t="s">
        <v>130</v>
      </c>
      <c r="BZ548" s="0" t="s">
        <v>130</v>
      </c>
      <c r="CA548" s="0" t="s">
        <v>130</v>
      </c>
      <c r="CB548" s="0" t="s">
        <v>130</v>
      </c>
      <c r="CC548" s="0" t="s">
        <v>130</v>
      </c>
      <c r="CD548" s="0" t="s">
        <v>130</v>
      </c>
      <c r="CE548" s="0" t="s">
        <v>130</v>
      </c>
      <c r="CF548" s="0" t="s">
        <v>130</v>
      </c>
      <c r="CG548" s="0" t="s">
        <v>130</v>
      </c>
      <c r="CH548" s="0" t="s">
        <v>130</v>
      </c>
      <c r="CI548" s="0" t="s">
        <v>130</v>
      </c>
      <c r="CJ548" s="0" t="s">
        <v>130</v>
      </c>
      <c r="CK548" s="0" t="s">
        <v>130</v>
      </c>
      <c r="CL548" s="0" t="s">
        <v>130</v>
      </c>
      <c r="CM548" s="0" t="s">
        <v>130</v>
      </c>
      <c r="CN548" s="0" t="s">
        <v>130</v>
      </c>
      <c r="CO548" s="0" t="s">
        <v>130</v>
      </c>
      <c r="CP548" s="0" t="s">
        <v>130</v>
      </c>
      <c r="CQ548" s="0" t="s">
        <v>130</v>
      </c>
      <c r="CR548" s="0" t="s">
        <v>130</v>
      </c>
      <c r="CS548" s="0" t="s">
        <v>130</v>
      </c>
      <c r="CT548" s="0" t="s">
        <v>1829</v>
      </c>
    </row>
    <row r="549">
      <c r="A549" s="14">
        <v>101616</v>
      </c>
      <c r="B549" s="0" t="s">
        <v>1818</v>
      </c>
      <c r="C549" s="16">
        <f>HYPERLINK("https://eosportal.federatedhermes.com/companies/Q29tcGFueQppNjgxNjU=", "Walmart Inc")</f>
      </c>
      <c r="D549" s="0" t="s">
        <v>25</v>
      </c>
      <c r="E549" s="0" t="s">
        <v>236</v>
      </c>
      <c r="F549" s="16">
        <f>HYPERLINK("https://eosportal.federatedhermes.com/engagements/RW5nYWdlbWVudAppMjA5MTg=", "Executive pay")</f>
      </c>
      <c r="G549" s="14" t="s">
        <v>1830</v>
      </c>
      <c r="H549" s="0" t="s">
        <v>141</v>
      </c>
      <c r="I549" s="14" t="s">
        <v>191</v>
      </c>
      <c r="J549" s="0" t="s">
        <v>145</v>
      </c>
      <c r="K549" s="0" t="s">
        <v>146</v>
      </c>
      <c r="L549" s="0" t="s">
        <v>147</v>
      </c>
      <c r="M549" s="0" t="s">
        <v>135</v>
      </c>
      <c r="N549" s="0" t="s">
        <v>136</v>
      </c>
      <c r="O549" s="0" t="s">
        <v>643</v>
      </c>
      <c r="Q549" s="0" t="s">
        <v>130</v>
      </c>
      <c r="R549" s="0" t="s">
        <v>138</v>
      </c>
      <c r="S549" s="14">
        <v>0</v>
      </c>
      <c r="T549" s="0" t="s">
        <v>487</v>
      </c>
      <c r="U549" s="0" t="s">
        <v>138</v>
      </c>
      <c r="V549" s="14" t="s">
        <v>138</v>
      </c>
      <c r="W549" s="0" t="s">
        <v>138</v>
      </c>
      <c r="X549" s="14" t="s">
        <v>138</v>
      </c>
      <c r="Y549" s="0" t="s">
        <v>138</v>
      </c>
      <c r="Z549" s="14" t="s">
        <v>138</v>
      </c>
      <c r="AA549" s="0" t="s">
        <v>138</v>
      </c>
      <c r="AB549" s="14" t="s">
        <v>138</v>
      </c>
      <c r="AD549" s="0" t="s">
        <v>138</v>
      </c>
      <c r="AF549" s="0">
        <v>0</v>
      </c>
      <c r="AG549" s="0">
        <v>0</v>
      </c>
      <c r="AH549" s="0" t="s">
        <v>140</v>
      </c>
      <c r="AI549" s="0" t="s">
        <v>138</v>
      </c>
      <c r="AL549" s="14"/>
      <c r="AN549" s="14"/>
      <c r="AQ549" s="0" t="s">
        <v>130</v>
      </c>
      <c r="AR549" s="0" t="s">
        <v>130</v>
      </c>
      <c r="AS549" s="0" t="s">
        <v>130</v>
      </c>
      <c r="AT549" s="0" t="s">
        <v>130</v>
      </c>
      <c r="AU549" s="0" t="s">
        <v>130</v>
      </c>
      <c r="AV549" s="0" t="s">
        <v>130</v>
      </c>
      <c r="AW549" s="0" t="s">
        <v>130</v>
      </c>
      <c r="AX549" s="0" t="s">
        <v>130</v>
      </c>
      <c r="AY549" s="0" t="s">
        <v>130</v>
      </c>
      <c r="AZ549" s="0" t="s">
        <v>130</v>
      </c>
      <c r="BA549" s="0" t="s">
        <v>130</v>
      </c>
      <c r="BB549" s="0" t="s">
        <v>130</v>
      </c>
      <c r="BC549" s="0" t="s">
        <v>130</v>
      </c>
      <c r="BD549" s="0" t="s">
        <v>130</v>
      </c>
      <c r="BE549" s="0" t="s">
        <v>130</v>
      </c>
      <c r="BF549" s="0" t="s">
        <v>130</v>
      </c>
      <c r="BG549" s="0" t="s">
        <v>130</v>
      </c>
      <c r="BH549" s="0" t="s">
        <v>130</v>
      </c>
      <c r="BI549" s="0" t="s">
        <v>130</v>
      </c>
      <c r="BJ549" s="0" t="s">
        <v>130</v>
      </c>
      <c r="BK549" s="0" t="s">
        <v>130</v>
      </c>
      <c r="BL549" s="0" t="s">
        <v>130</v>
      </c>
      <c r="BM549" s="0" t="s">
        <v>130</v>
      </c>
      <c r="BN549" s="0" t="s">
        <v>130</v>
      </c>
      <c r="BO549" s="0" t="s">
        <v>130</v>
      </c>
      <c r="BP549" s="0" t="s">
        <v>130</v>
      </c>
      <c r="BQ549" s="0" t="s">
        <v>130</v>
      </c>
      <c r="BR549" s="0" t="s">
        <v>130</v>
      </c>
      <c r="BS549" s="0" t="s">
        <v>130</v>
      </c>
      <c r="BT549" s="0" t="s">
        <v>130</v>
      </c>
      <c r="BU549" s="0" t="s">
        <v>130</v>
      </c>
      <c r="BV549" s="0" t="s">
        <v>130</v>
      </c>
      <c r="BW549" s="0" t="s">
        <v>130</v>
      </c>
      <c r="BX549" s="0" t="s">
        <v>130</v>
      </c>
      <c r="BY549" s="0" t="s">
        <v>130</v>
      </c>
      <c r="BZ549" s="0" t="s">
        <v>130</v>
      </c>
      <c r="CA549" s="0" t="s">
        <v>130</v>
      </c>
      <c r="CB549" s="0" t="s">
        <v>130</v>
      </c>
      <c r="CC549" s="0" t="s">
        <v>130</v>
      </c>
      <c r="CD549" s="0" t="s">
        <v>130</v>
      </c>
      <c r="CE549" s="0" t="s">
        <v>130</v>
      </c>
      <c r="CF549" s="0" t="s">
        <v>130</v>
      </c>
      <c r="CG549" s="0" t="s">
        <v>130</v>
      </c>
      <c r="CH549" s="0" t="s">
        <v>130</v>
      </c>
      <c r="CI549" s="0" t="s">
        <v>130</v>
      </c>
      <c r="CJ549" s="0" t="s">
        <v>130</v>
      </c>
      <c r="CK549" s="0" t="s">
        <v>130</v>
      </c>
      <c r="CL549" s="0" t="s">
        <v>130</v>
      </c>
      <c r="CM549" s="0" t="s">
        <v>130</v>
      </c>
      <c r="CN549" s="0" t="s">
        <v>130</v>
      </c>
      <c r="CO549" s="0" t="s">
        <v>130</v>
      </c>
      <c r="CP549" s="0" t="s">
        <v>130</v>
      </c>
      <c r="CQ549" s="0" t="s">
        <v>130</v>
      </c>
      <c r="CR549" s="0" t="s">
        <v>130</v>
      </c>
      <c r="CS549" s="0" t="s">
        <v>130</v>
      </c>
      <c r="CT549" s="0" t="s">
        <v>1831</v>
      </c>
    </row>
    <row r="550">
      <c r="A550" s="14">
        <v>101616</v>
      </c>
      <c r="B550" s="0" t="s">
        <v>1818</v>
      </c>
      <c r="C550" s="16">
        <f>HYPERLINK("https://eosportal.federatedhermes.com/companies/Q29tcGFueQppNjgxNjU=", "Walmart Inc")</f>
      </c>
      <c r="D550" s="0" t="s">
        <v>25</v>
      </c>
      <c r="E550" s="0" t="s">
        <v>1832</v>
      </c>
      <c r="F550" s="16">
        <f>HYPERLINK("https://eosportal.federatedhermes.com/engagements/RW5nYWdlbWVudAppMjA5MTk=", "Climate Change Risk Management")</f>
      </c>
      <c r="G550" s="14" t="s">
        <v>1833</v>
      </c>
      <c r="H550" s="0" t="s">
        <v>141</v>
      </c>
      <c r="I550" s="14" t="s">
        <v>191</v>
      </c>
      <c r="J550" s="0" t="s">
        <v>197</v>
      </c>
      <c r="K550" s="0" t="s">
        <v>198</v>
      </c>
      <c r="L550" s="0" t="s">
        <v>199</v>
      </c>
      <c r="M550" s="0" t="s">
        <v>135</v>
      </c>
      <c r="N550" s="0" t="s">
        <v>136</v>
      </c>
      <c r="O550" s="0" t="s">
        <v>643</v>
      </c>
      <c r="Q550" s="0" t="s">
        <v>141</v>
      </c>
      <c r="R550" s="0" t="s">
        <v>138</v>
      </c>
      <c r="S550" s="14">
        <v>1</v>
      </c>
      <c r="T550" s="0" t="s">
        <v>333</v>
      </c>
      <c r="U550" s="0" t="s">
        <v>138</v>
      </c>
      <c r="V550" s="14" t="s">
        <v>138</v>
      </c>
      <c r="W550" s="0" t="s">
        <v>138</v>
      </c>
      <c r="X550" s="14" t="s">
        <v>138</v>
      </c>
      <c r="Y550" s="0" t="s">
        <v>138</v>
      </c>
      <c r="Z550" s="14" t="s">
        <v>138</v>
      </c>
      <c r="AA550" s="0" t="s">
        <v>138</v>
      </c>
      <c r="AB550" s="14" t="s">
        <v>138</v>
      </c>
      <c r="AD550" s="0" t="s">
        <v>138</v>
      </c>
      <c r="AF550" s="0">
        <v>0</v>
      </c>
      <c r="AG550" s="0">
        <v>0</v>
      </c>
      <c r="AH550" s="0" t="s">
        <v>140</v>
      </c>
      <c r="AI550" s="0" t="s">
        <v>138</v>
      </c>
      <c r="AK550" s="0" t="s">
        <v>1834</v>
      </c>
      <c r="AL550" s="14"/>
      <c r="AN550" s="14"/>
      <c r="AQ550" s="0" t="s">
        <v>130</v>
      </c>
      <c r="AR550" s="0" t="s">
        <v>130</v>
      </c>
      <c r="AS550" s="0" t="s">
        <v>130</v>
      </c>
      <c r="AT550" s="0" t="s">
        <v>130</v>
      </c>
      <c r="AU550" s="0" t="s">
        <v>130</v>
      </c>
      <c r="AV550" s="0" t="s">
        <v>130</v>
      </c>
      <c r="AW550" s="0" t="s">
        <v>130</v>
      </c>
      <c r="AX550" s="0" t="s">
        <v>130</v>
      </c>
      <c r="AY550" s="0" t="s">
        <v>130</v>
      </c>
      <c r="AZ550" s="0" t="s">
        <v>130</v>
      </c>
      <c r="BA550" s="0" t="s">
        <v>130</v>
      </c>
      <c r="BB550" s="0" t="s">
        <v>141</v>
      </c>
      <c r="BC550" s="0" t="s">
        <v>130</v>
      </c>
      <c r="BD550" s="0" t="s">
        <v>130</v>
      </c>
      <c r="BE550" s="0" t="s">
        <v>130</v>
      </c>
      <c r="BF550" s="0" t="s">
        <v>130</v>
      </c>
      <c r="BG550" s="0" t="s">
        <v>130</v>
      </c>
      <c r="BH550" s="0" t="s">
        <v>130</v>
      </c>
      <c r="BI550" s="0" t="s">
        <v>130</v>
      </c>
      <c r="BJ550" s="0" t="s">
        <v>130</v>
      </c>
      <c r="BK550" s="0" t="s">
        <v>130</v>
      </c>
      <c r="BL550" s="0" t="s">
        <v>130</v>
      </c>
      <c r="BM550" s="0" t="s">
        <v>130</v>
      </c>
      <c r="BN550" s="0" t="s">
        <v>130</v>
      </c>
      <c r="BO550" s="0" t="s">
        <v>130</v>
      </c>
      <c r="BP550" s="0" t="s">
        <v>130</v>
      </c>
      <c r="BQ550" s="0" t="s">
        <v>130</v>
      </c>
      <c r="BR550" s="0" t="s">
        <v>130</v>
      </c>
      <c r="BS550" s="0" t="s">
        <v>130</v>
      </c>
      <c r="BT550" s="0" t="s">
        <v>130</v>
      </c>
      <c r="BU550" s="0" t="s">
        <v>130</v>
      </c>
      <c r="BV550" s="0" t="s">
        <v>130</v>
      </c>
      <c r="BW550" s="0" t="s">
        <v>130</v>
      </c>
      <c r="BX550" s="0" t="s">
        <v>130</v>
      </c>
      <c r="BY550" s="0" t="s">
        <v>130</v>
      </c>
      <c r="BZ550" s="0" t="s">
        <v>130</v>
      </c>
      <c r="CA550" s="0" t="s">
        <v>130</v>
      </c>
      <c r="CB550" s="0" t="s">
        <v>130</v>
      </c>
      <c r="CC550" s="0" t="s">
        <v>130</v>
      </c>
      <c r="CD550" s="0" t="s">
        <v>130</v>
      </c>
      <c r="CE550" s="0" t="s">
        <v>130</v>
      </c>
      <c r="CF550" s="0" t="s">
        <v>130</v>
      </c>
      <c r="CG550" s="0" t="s">
        <v>130</v>
      </c>
      <c r="CH550" s="0" t="s">
        <v>130</v>
      </c>
      <c r="CI550" s="0" t="s">
        <v>130</v>
      </c>
      <c r="CJ550" s="0" t="s">
        <v>130</v>
      </c>
      <c r="CK550" s="0" t="s">
        <v>130</v>
      </c>
      <c r="CL550" s="0" t="s">
        <v>130</v>
      </c>
      <c r="CM550" s="0" t="s">
        <v>130</v>
      </c>
      <c r="CN550" s="0" t="s">
        <v>130</v>
      </c>
      <c r="CO550" s="0" t="s">
        <v>130</v>
      </c>
      <c r="CP550" s="0" t="s">
        <v>130</v>
      </c>
      <c r="CQ550" s="0" t="s">
        <v>130</v>
      </c>
      <c r="CR550" s="0" t="s">
        <v>130</v>
      </c>
      <c r="CS550" s="0" t="s">
        <v>130</v>
      </c>
      <c r="CT550" s="0" t="s">
        <v>1835</v>
      </c>
    </row>
    <row r="551">
      <c r="A551" s="14">
        <v>101616</v>
      </c>
      <c r="B551" s="0" t="s">
        <v>1818</v>
      </c>
      <c r="C551" s="16">
        <f>HYPERLINK("https://eosportal.federatedhermes.com/companies/Q29tcGFueQppNjgxNjU=", "Walmart Inc")</f>
      </c>
      <c r="D551" s="0" t="s">
        <v>25</v>
      </c>
      <c r="E551" s="0" t="s">
        <v>652</v>
      </c>
      <c r="F551" s="16">
        <f>HYPERLINK("https://eosportal.federatedhermes.com/engagements/RW5nYWdlbWVudAppMjA5MjA=", "Protein diversification")</f>
      </c>
      <c r="G551" s="14" t="s">
        <v>653</v>
      </c>
      <c r="H551" s="0" t="s">
        <v>141</v>
      </c>
      <c r="I551" s="14" t="s">
        <v>191</v>
      </c>
      <c r="J551" s="0" t="s">
        <v>197</v>
      </c>
      <c r="K551" s="0" t="s">
        <v>337</v>
      </c>
      <c r="L551" s="0" t="s">
        <v>576</v>
      </c>
      <c r="M551" s="0" t="s">
        <v>135</v>
      </c>
      <c r="N551" s="0" t="s">
        <v>136</v>
      </c>
      <c r="O551" s="0" t="s">
        <v>643</v>
      </c>
      <c r="Q551" s="0" t="s">
        <v>130</v>
      </c>
      <c r="R551" s="0" t="s">
        <v>138</v>
      </c>
      <c r="S551" s="14">
        <v>0</v>
      </c>
      <c r="T551" s="0" t="s">
        <v>333</v>
      </c>
      <c r="U551" s="0" t="s">
        <v>138</v>
      </c>
      <c r="V551" s="14" t="s">
        <v>138</v>
      </c>
      <c r="W551" s="0" t="s">
        <v>138</v>
      </c>
      <c r="X551" s="14" t="s">
        <v>138</v>
      </c>
      <c r="Y551" s="0" t="s">
        <v>138</v>
      </c>
      <c r="Z551" s="14" t="s">
        <v>138</v>
      </c>
      <c r="AA551" s="0" t="s">
        <v>138</v>
      </c>
      <c r="AB551" s="14" t="s">
        <v>138</v>
      </c>
      <c r="AD551" s="0" t="s">
        <v>138</v>
      </c>
      <c r="AF551" s="0">
        <v>0</v>
      </c>
      <c r="AG551" s="0">
        <v>0</v>
      </c>
      <c r="AH551" s="0" t="s">
        <v>140</v>
      </c>
      <c r="AI551" s="0" t="s">
        <v>138</v>
      </c>
      <c r="AL551" s="14"/>
      <c r="AN551" s="14"/>
      <c r="AQ551" s="0" t="s">
        <v>130</v>
      </c>
      <c r="AR551" s="0" t="s">
        <v>130</v>
      </c>
      <c r="AS551" s="0" t="s">
        <v>130</v>
      </c>
      <c r="AT551" s="0" t="s">
        <v>130</v>
      </c>
      <c r="AU551" s="0" t="s">
        <v>130</v>
      </c>
      <c r="AV551" s="0" t="s">
        <v>130</v>
      </c>
      <c r="AW551" s="0" t="s">
        <v>130</v>
      </c>
      <c r="AX551" s="0" t="s">
        <v>130</v>
      </c>
      <c r="AY551" s="0" t="s">
        <v>130</v>
      </c>
      <c r="AZ551" s="0" t="s">
        <v>130</v>
      </c>
      <c r="BA551" s="0" t="s">
        <v>130</v>
      </c>
      <c r="BB551" s="0" t="s">
        <v>141</v>
      </c>
      <c r="BC551" s="0" t="s">
        <v>130</v>
      </c>
      <c r="BD551" s="0" t="s">
        <v>130</v>
      </c>
      <c r="BE551" s="0" t="s">
        <v>141</v>
      </c>
      <c r="BF551" s="0" t="s">
        <v>130</v>
      </c>
      <c r="BG551" s="0" t="s">
        <v>130</v>
      </c>
      <c r="BH551" s="0" t="s">
        <v>130</v>
      </c>
      <c r="BI551" s="0" t="s">
        <v>130</v>
      </c>
      <c r="BJ551" s="0" t="s">
        <v>130</v>
      </c>
      <c r="BK551" s="0" t="s">
        <v>130</v>
      </c>
      <c r="BL551" s="0" t="s">
        <v>130</v>
      </c>
      <c r="BM551" s="0" t="s">
        <v>130</v>
      </c>
      <c r="BN551" s="0" t="s">
        <v>130</v>
      </c>
      <c r="BO551" s="0" t="s">
        <v>130</v>
      </c>
      <c r="BP551" s="0" t="s">
        <v>130</v>
      </c>
      <c r="BQ551" s="0" t="s">
        <v>130</v>
      </c>
      <c r="BR551" s="0" t="s">
        <v>130</v>
      </c>
      <c r="BS551" s="0" t="s">
        <v>130</v>
      </c>
      <c r="BT551" s="0" t="s">
        <v>130</v>
      </c>
      <c r="BU551" s="0" t="s">
        <v>130</v>
      </c>
      <c r="BV551" s="0" t="s">
        <v>130</v>
      </c>
      <c r="BW551" s="0" t="s">
        <v>130</v>
      </c>
      <c r="BX551" s="0" t="s">
        <v>130</v>
      </c>
      <c r="BY551" s="0" t="s">
        <v>130</v>
      </c>
      <c r="BZ551" s="0" t="s">
        <v>130</v>
      </c>
      <c r="CA551" s="0" t="s">
        <v>130</v>
      </c>
      <c r="CB551" s="0" t="s">
        <v>130</v>
      </c>
      <c r="CC551" s="0" t="s">
        <v>130</v>
      </c>
      <c r="CD551" s="0" t="s">
        <v>130</v>
      </c>
      <c r="CE551" s="0" t="s">
        <v>130</v>
      </c>
      <c r="CF551" s="0" t="s">
        <v>130</v>
      </c>
      <c r="CG551" s="0" t="s">
        <v>130</v>
      </c>
      <c r="CH551" s="0" t="s">
        <v>130</v>
      </c>
      <c r="CI551" s="0" t="s">
        <v>130</v>
      </c>
      <c r="CJ551" s="0" t="s">
        <v>130</v>
      </c>
      <c r="CK551" s="0" t="s">
        <v>130</v>
      </c>
      <c r="CL551" s="0" t="s">
        <v>130</v>
      </c>
      <c r="CM551" s="0" t="s">
        <v>130</v>
      </c>
      <c r="CN551" s="0" t="s">
        <v>130</v>
      </c>
      <c r="CO551" s="0" t="s">
        <v>130</v>
      </c>
      <c r="CP551" s="0" t="s">
        <v>130</v>
      </c>
      <c r="CQ551" s="0" t="s">
        <v>130</v>
      </c>
      <c r="CR551" s="0" t="s">
        <v>130</v>
      </c>
      <c r="CS551" s="0" t="s">
        <v>130</v>
      </c>
      <c r="CT551" s="0" t="s">
        <v>1836</v>
      </c>
    </row>
    <row r="552">
      <c r="A552" s="14">
        <v>101616</v>
      </c>
      <c r="B552" s="0" t="s">
        <v>1818</v>
      </c>
      <c r="C552" s="16">
        <f>HYPERLINK("https://eosportal.federatedhermes.com/companies/Q29tcGFueQppNjgxNjU=", "Walmart Inc")</f>
      </c>
      <c r="D552" s="0" t="s">
        <v>25</v>
      </c>
      <c r="E552" s="0" t="s">
        <v>1837</v>
      </c>
      <c r="F552" s="16">
        <f>HYPERLINK("https://eosportal.federatedhermes.com/engagements/RW5nYWdlbWVudAppMjA5MjE=", "Opioids and product safety")</f>
      </c>
      <c r="G552" s="14" t="s">
        <v>1838</v>
      </c>
      <c r="H552" s="0" t="s">
        <v>141</v>
      </c>
      <c r="I552" s="14" t="s">
        <v>191</v>
      </c>
      <c r="J552" s="0" t="s">
        <v>132</v>
      </c>
      <c r="K552" s="0" t="s">
        <v>260</v>
      </c>
      <c r="L552" s="0" t="s">
        <v>261</v>
      </c>
      <c r="M552" s="0" t="s">
        <v>135</v>
      </c>
      <c r="N552" s="0" t="s">
        <v>136</v>
      </c>
      <c r="O552" s="0" t="s">
        <v>643</v>
      </c>
      <c r="Q552" s="0" t="s">
        <v>130</v>
      </c>
      <c r="R552" s="0" t="s">
        <v>138</v>
      </c>
      <c r="S552" s="14">
        <v>0</v>
      </c>
      <c r="T552" s="0" t="s">
        <v>193</v>
      </c>
      <c r="U552" s="0" t="s">
        <v>138</v>
      </c>
      <c r="V552" s="14" t="s">
        <v>138</v>
      </c>
      <c r="W552" s="0" t="s">
        <v>138</v>
      </c>
      <c r="X552" s="14" t="s">
        <v>138</v>
      </c>
      <c r="Y552" s="0" t="s">
        <v>138</v>
      </c>
      <c r="Z552" s="14" t="s">
        <v>138</v>
      </c>
      <c r="AA552" s="0" t="s">
        <v>138</v>
      </c>
      <c r="AB552" s="14" t="s">
        <v>138</v>
      </c>
      <c r="AD552" s="0" t="s">
        <v>138</v>
      </c>
      <c r="AF552" s="0">
        <v>0</v>
      </c>
      <c r="AG552" s="0">
        <v>0</v>
      </c>
      <c r="AH552" s="0" t="s">
        <v>140</v>
      </c>
      <c r="AI552" s="0" t="s">
        <v>138</v>
      </c>
      <c r="AL552" s="14"/>
      <c r="AN552" s="14"/>
      <c r="AQ552" s="0" t="s">
        <v>130</v>
      </c>
      <c r="AR552" s="0" t="s">
        <v>130</v>
      </c>
      <c r="AS552" s="0" t="s">
        <v>130</v>
      </c>
      <c r="AT552" s="0" t="s">
        <v>130</v>
      </c>
      <c r="AU552" s="0" t="s">
        <v>130</v>
      </c>
      <c r="AV552" s="0" t="s">
        <v>130</v>
      </c>
      <c r="AW552" s="0" t="s">
        <v>130</v>
      </c>
      <c r="AX552" s="0" t="s">
        <v>130</v>
      </c>
      <c r="AY552" s="0" t="s">
        <v>130</v>
      </c>
      <c r="AZ552" s="0" t="s">
        <v>130</v>
      </c>
      <c r="BA552" s="0" t="s">
        <v>130</v>
      </c>
      <c r="BB552" s="0" t="s">
        <v>130</v>
      </c>
      <c r="BC552" s="0" t="s">
        <v>130</v>
      </c>
      <c r="BD552" s="0" t="s">
        <v>130</v>
      </c>
      <c r="BE552" s="0" t="s">
        <v>130</v>
      </c>
      <c r="BF552" s="0" t="s">
        <v>130</v>
      </c>
      <c r="BG552" s="0" t="s">
        <v>130</v>
      </c>
      <c r="BH552" s="0" t="s">
        <v>130</v>
      </c>
      <c r="BI552" s="0" t="s">
        <v>130</v>
      </c>
      <c r="BJ552" s="0" t="s">
        <v>130</v>
      </c>
      <c r="BK552" s="0" t="s">
        <v>130</v>
      </c>
      <c r="BL552" s="0" t="s">
        <v>130</v>
      </c>
      <c r="BM552" s="0" t="s">
        <v>130</v>
      </c>
      <c r="BN552" s="0" t="s">
        <v>130</v>
      </c>
      <c r="BO552" s="0" t="s">
        <v>130</v>
      </c>
      <c r="BP552" s="0" t="s">
        <v>130</v>
      </c>
      <c r="BQ552" s="0" t="s">
        <v>130</v>
      </c>
      <c r="BR552" s="0" t="s">
        <v>130</v>
      </c>
      <c r="BS552" s="0" t="s">
        <v>130</v>
      </c>
      <c r="BT552" s="0" t="s">
        <v>130</v>
      </c>
      <c r="BU552" s="0" t="s">
        <v>130</v>
      </c>
      <c r="BV552" s="0" t="s">
        <v>130</v>
      </c>
      <c r="BW552" s="0" t="s">
        <v>130</v>
      </c>
      <c r="BX552" s="0" t="s">
        <v>130</v>
      </c>
      <c r="BY552" s="0" t="s">
        <v>130</v>
      </c>
      <c r="BZ552" s="0" t="s">
        <v>130</v>
      </c>
      <c r="CA552" s="0" t="s">
        <v>130</v>
      </c>
      <c r="CB552" s="0" t="s">
        <v>130</v>
      </c>
      <c r="CC552" s="0" t="s">
        <v>130</v>
      </c>
      <c r="CD552" s="0" t="s">
        <v>130</v>
      </c>
      <c r="CE552" s="0" t="s">
        <v>130</v>
      </c>
      <c r="CF552" s="0" t="s">
        <v>130</v>
      </c>
      <c r="CG552" s="0" t="s">
        <v>130</v>
      </c>
      <c r="CH552" s="0" t="s">
        <v>130</v>
      </c>
      <c r="CI552" s="0" t="s">
        <v>130</v>
      </c>
      <c r="CJ552" s="0" t="s">
        <v>130</v>
      </c>
      <c r="CK552" s="0" t="s">
        <v>130</v>
      </c>
      <c r="CL552" s="0" t="s">
        <v>130</v>
      </c>
      <c r="CM552" s="0" t="s">
        <v>130</v>
      </c>
      <c r="CN552" s="0" t="s">
        <v>130</v>
      </c>
      <c r="CO552" s="0" t="s">
        <v>130</v>
      </c>
      <c r="CP552" s="0" t="s">
        <v>130</v>
      </c>
      <c r="CQ552" s="0" t="s">
        <v>130</v>
      </c>
      <c r="CR552" s="0" t="s">
        <v>130</v>
      </c>
      <c r="CS552" s="0" t="s">
        <v>130</v>
      </c>
      <c r="CT552" s="0" t="s">
        <v>1839</v>
      </c>
    </row>
    <row r="553">
      <c r="A553" s="14">
        <v>101616</v>
      </c>
      <c r="B553" s="0" t="s">
        <v>1818</v>
      </c>
      <c r="C553" s="16">
        <f>HYPERLINK("https://eosportal.federatedhermes.com/companies/Q29tcGFueQppNjgxNjU=", "Walmart Inc")</f>
      </c>
      <c r="D553" s="0" t="s">
        <v>25</v>
      </c>
      <c r="E553" s="0" t="s">
        <v>1840</v>
      </c>
      <c r="F553" s="16">
        <f>HYPERLINK("https://eosportal.federatedhermes.com/engagements/RW5nYWdlbWVudAppMjA5Mjk=", "Dversity and inclusion")</f>
      </c>
      <c r="G553" s="14" t="s">
        <v>1841</v>
      </c>
      <c r="H553" s="0" t="s">
        <v>141</v>
      </c>
      <c r="I553" s="14" t="s">
        <v>191</v>
      </c>
      <c r="J553" s="0" t="s">
        <v>153</v>
      </c>
      <c r="K553" s="0" t="s">
        <v>154</v>
      </c>
      <c r="L553" s="0" t="s">
        <v>268</v>
      </c>
      <c r="M553" s="0" t="s">
        <v>135</v>
      </c>
      <c r="N553" s="0" t="s">
        <v>136</v>
      </c>
      <c r="O553" s="0" t="s">
        <v>643</v>
      </c>
      <c r="Q553" s="0" t="s">
        <v>130</v>
      </c>
      <c r="R553" s="0" t="s">
        <v>138</v>
      </c>
      <c r="S553" s="14">
        <v>0</v>
      </c>
      <c r="T553" s="0" t="s">
        <v>487</v>
      </c>
      <c r="U553" s="0" t="s">
        <v>138</v>
      </c>
      <c r="V553" s="14" t="s">
        <v>138</v>
      </c>
      <c r="W553" s="0" t="s">
        <v>138</v>
      </c>
      <c r="X553" s="14" t="s">
        <v>138</v>
      </c>
      <c r="Y553" s="0" t="s">
        <v>138</v>
      </c>
      <c r="Z553" s="14" t="s">
        <v>138</v>
      </c>
      <c r="AA553" s="0" t="s">
        <v>138</v>
      </c>
      <c r="AB553" s="14" t="s">
        <v>138</v>
      </c>
      <c r="AD553" s="0" t="s">
        <v>138</v>
      </c>
      <c r="AF553" s="0">
        <v>0</v>
      </c>
      <c r="AG553" s="0">
        <v>0</v>
      </c>
      <c r="AH553" s="0" t="s">
        <v>140</v>
      </c>
      <c r="AI553" s="0" t="s">
        <v>138</v>
      </c>
      <c r="AL553" s="14"/>
      <c r="AN553" s="14"/>
      <c r="AQ553" s="0" t="s">
        <v>130</v>
      </c>
      <c r="AR553" s="0" t="s">
        <v>130</v>
      </c>
      <c r="AS553" s="0" t="s">
        <v>130</v>
      </c>
      <c r="AT553" s="0" t="s">
        <v>130</v>
      </c>
      <c r="AU553" s="0" t="s">
        <v>130</v>
      </c>
      <c r="AV553" s="0" t="s">
        <v>130</v>
      </c>
      <c r="AW553" s="0" t="s">
        <v>130</v>
      </c>
      <c r="AX553" s="0" t="s">
        <v>141</v>
      </c>
      <c r="AY553" s="0" t="s">
        <v>130</v>
      </c>
      <c r="AZ553" s="0" t="s">
        <v>130</v>
      </c>
      <c r="BA553" s="0" t="s">
        <v>130</v>
      </c>
      <c r="BB553" s="0" t="s">
        <v>130</v>
      </c>
      <c r="BC553" s="0" t="s">
        <v>130</v>
      </c>
      <c r="BD553" s="0" t="s">
        <v>130</v>
      </c>
      <c r="BE553" s="0" t="s">
        <v>130</v>
      </c>
      <c r="BF553" s="0" t="s">
        <v>130</v>
      </c>
      <c r="BG553" s="0" t="s">
        <v>130</v>
      </c>
      <c r="BH553" s="0" t="s">
        <v>130</v>
      </c>
      <c r="BI553" s="0" t="s">
        <v>130</v>
      </c>
      <c r="BJ553" s="0" t="s">
        <v>130</v>
      </c>
      <c r="BK553" s="0" t="s">
        <v>130</v>
      </c>
      <c r="BL553" s="0" t="s">
        <v>130</v>
      </c>
      <c r="BM553" s="0" t="s">
        <v>130</v>
      </c>
      <c r="BN553" s="0" t="s">
        <v>130</v>
      </c>
      <c r="BO553" s="0" t="s">
        <v>130</v>
      </c>
      <c r="BP553" s="0" t="s">
        <v>130</v>
      </c>
      <c r="BQ553" s="0" t="s">
        <v>130</v>
      </c>
      <c r="BR553" s="0" t="s">
        <v>130</v>
      </c>
      <c r="BS553" s="0" t="s">
        <v>130</v>
      </c>
      <c r="BT553" s="0" t="s">
        <v>130</v>
      </c>
      <c r="BU553" s="0" t="s">
        <v>130</v>
      </c>
      <c r="BV553" s="0" t="s">
        <v>130</v>
      </c>
      <c r="BW553" s="0" t="s">
        <v>130</v>
      </c>
      <c r="BX553" s="0" t="s">
        <v>130</v>
      </c>
      <c r="BY553" s="0" t="s">
        <v>130</v>
      </c>
      <c r="BZ553" s="0" t="s">
        <v>130</v>
      </c>
      <c r="CA553" s="0" t="s">
        <v>130</v>
      </c>
      <c r="CB553" s="0" t="s">
        <v>130</v>
      </c>
      <c r="CC553" s="0" t="s">
        <v>130</v>
      </c>
      <c r="CD553" s="0" t="s">
        <v>130</v>
      </c>
      <c r="CE553" s="0" t="s">
        <v>130</v>
      </c>
      <c r="CF553" s="0" t="s">
        <v>130</v>
      </c>
      <c r="CG553" s="0" t="s">
        <v>130</v>
      </c>
      <c r="CH553" s="0" t="s">
        <v>130</v>
      </c>
      <c r="CI553" s="0" t="s">
        <v>130</v>
      </c>
      <c r="CJ553" s="0" t="s">
        <v>130</v>
      </c>
      <c r="CK553" s="0" t="s">
        <v>141</v>
      </c>
      <c r="CL553" s="0" t="s">
        <v>130</v>
      </c>
      <c r="CM553" s="0" t="s">
        <v>130</v>
      </c>
      <c r="CN553" s="0" t="s">
        <v>130</v>
      </c>
      <c r="CO553" s="0" t="s">
        <v>130</v>
      </c>
      <c r="CP553" s="0" t="s">
        <v>130</v>
      </c>
      <c r="CQ553" s="0" t="s">
        <v>130</v>
      </c>
      <c r="CR553" s="0" t="s">
        <v>130</v>
      </c>
      <c r="CS553" s="0" t="s">
        <v>130</v>
      </c>
      <c r="CT553" s="0" t="s">
        <v>1842</v>
      </c>
    </row>
    <row r="554">
      <c r="A554" s="14">
        <v>101616</v>
      </c>
      <c r="B554" s="0" t="s">
        <v>1818</v>
      </c>
      <c r="C554" s="16">
        <f>HYPERLINK("https://eosportal.federatedhermes.com/companies/Q29tcGFueQppNjgxNjU=", "Walmart Inc")</f>
      </c>
      <c r="D554" s="0" t="s">
        <v>25</v>
      </c>
      <c r="E554" s="0" t="s">
        <v>1201</v>
      </c>
      <c r="F554" s="16">
        <f>HYPERLINK("https://eosportal.federatedhermes.com/engagements/RW5nYWdlbWVudAppMjA5MzA=", "Working conditions")</f>
      </c>
      <c r="G554" s="14" t="s">
        <v>1843</v>
      </c>
      <c r="H554" s="0" t="s">
        <v>141</v>
      </c>
      <c r="I554" s="14" t="s">
        <v>191</v>
      </c>
      <c r="J554" s="0" t="s">
        <v>153</v>
      </c>
      <c r="K554" s="0" t="s">
        <v>154</v>
      </c>
      <c r="L554" s="0" t="s">
        <v>306</v>
      </c>
      <c r="M554" s="0" t="s">
        <v>135</v>
      </c>
      <c r="N554" s="0" t="s">
        <v>136</v>
      </c>
      <c r="O554" s="0" t="s">
        <v>643</v>
      </c>
      <c r="Q554" s="0" t="s">
        <v>141</v>
      </c>
      <c r="R554" s="0" t="s">
        <v>138</v>
      </c>
      <c r="S554" s="14">
        <v>1</v>
      </c>
      <c r="T554" s="0" t="s">
        <v>487</v>
      </c>
      <c r="U554" s="0" t="s">
        <v>138</v>
      </c>
      <c r="V554" s="14" t="s">
        <v>138</v>
      </c>
      <c r="W554" s="0" t="s">
        <v>138</v>
      </c>
      <c r="X554" s="14" t="s">
        <v>138</v>
      </c>
      <c r="Y554" s="0" t="s">
        <v>138</v>
      </c>
      <c r="Z554" s="14" t="s">
        <v>138</v>
      </c>
      <c r="AA554" s="0" t="s">
        <v>138</v>
      </c>
      <c r="AB554" s="14" t="s">
        <v>138</v>
      </c>
      <c r="AD554" s="0" t="s">
        <v>138</v>
      </c>
      <c r="AF554" s="0">
        <v>0</v>
      </c>
      <c r="AG554" s="0">
        <v>0</v>
      </c>
      <c r="AH554" s="0" t="s">
        <v>140</v>
      </c>
      <c r="AI554" s="0" t="s">
        <v>138</v>
      </c>
      <c r="AK554" s="0" t="s">
        <v>413</v>
      </c>
      <c r="AL554" s="14"/>
      <c r="AN554" s="14"/>
      <c r="AQ554" s="0" t="s">
        <v>130</v>
      </c>
      <c r="AR554" s="0" t="s">
        <v>130</v>
      </c>
      <c r="AS554" s="0" t="s">
        <v>130</v>
      </c>
      <c r="AT554" s="0" t="s">
        <v>130</v>
      </c>
      <c r="AU554" s="0" t="s">
        <v>130</v>
      </c>
      <c r="AV554" s="0" t="s">
        <v>130</v>
      </c>
      <c r="AW554" s="0" t="s">
        <v>130</v>
      </c>
      <c r="AX554" s="0" t="s">
        <v>141</v>
      </c>
      <c r="AY554" s="0" t="s">
        <v>130</v>
      </c>
      <c r="AZ554" s="0" t="s">
        <v>141</v>
      </c>
      <c r="BA554" s="0" t="s">
        <v>130</v>
      </c>
      <c r="BB554" s="0" t="s">
        <v>130</v>
      </c>
      <c r="BC554" s="0" t="s">
        <v>130</v>
      </c>
      <c r="BD554" s="0" t="s">
        <v>130</v>
      </c>
      <c r="BE554" s="0" t="s">
        <v>130</v>
      </c>
      <c r="BF554" s="0" t="s">
        <v>130</v>
      </c>
      <c r="BG554" s="0" t="s">
        <v>130</v>
      </c>
      <c r="BH554" s="0" t="s">
        <v>130</v>
      </c>
      <c r="BI554" s="0" t="s">
        <v>130</v>
      </c>
      <c r="BJ554" s="0" t="s">
        <v>130</v>
      </c>
      <c r="BK554" s="0" t="s">
        <v>130</v>
      </c>
      <c r="BL554" s="0" t="s">
        <v>130</v>
      </c>
      <c r="BM554" s="0" t="s">
        <v>130</v>
      </c>
      <c r="BN554" s="0" t="s">
        <v>130</v>
      </c>
      <c r="BO554" s="0" t="s">
        <v>130</v>
      </c>
      <c r="BP554" s="0" t="s">
        <v>130</v>
      </c>
      <c r="BQ554" s="0" t="s">
        <v>130</v>
      </c>
      <c r="BR554" s="0" t="s">
        <v>130</v>
      </c>
      <c r="BS554" s="0" t="s">
        <v>130</v>
      </c>
      <c r="BT554" s="0" t="s">
        <v>130</v>
      </c>
      <c r="BU554" s="0" t="s">
        <v>130</v>
      </c>
      <c r="BV554" s="0" t="s">
        <v>130</v>
      </c>
      <c r="BW554" s="0" t="s">
        <v>130</v>
      </c>
      <c r="BX554" s="0" t="s">
        <v>130</v>
      </c>
      <c r="BY554" s="0" t="s">
        <v>130</v>
      </c>
      <c r="BZ554" s="0" t="s">
        <v>130</v>
      </c>
      <c r="CA554" s="0" t="s">
        <v>130</v>
      </c>
      <c r="CB554" s="0" t="s">
        <v>130</v>
      </c>
      <c r="CC554" s="0" t="s">
        <v>130</v>
      </c>
      <c r="CD554" s="0" t="s">
        <v>130</v>
      </c>
      <c r="CE554" s="0" t="s">
        <v>130</v>
      </c>
      <c r="CF554" s="0" t="s">
        <v>130</v>
      </c>
      <c r="CG554" s="0" t="s">
        <v>130</v>
      </c>
      <c r="CH554" s="0" t="s">
        <v>130</v>
      </c>
      <c r="CI554" s="0" t="s">
        <v>130</v>
      </c>
      <c r="CJ554" s="0" t="s">
        <v>130</v>
      </c>
      <c r="CK554" s="0" t="s">
        <v>130</v>
      </c>
      <c r="CL554" s="0" t="s">
        <v>130</v>
      </c>
      <c r="CM554" s="0" t="s">
        <v>130</v>
      </c>
      <c r="CN554" s="0" t="s">
        <v>130</v>
      </c>
      <c r="CO554" s="0" t="s">
        <v>130</v>
      </c>
      <c r="CP554" s="0" t="s">
        <v>130</v>
      </c>
      <c r="CQ554" s="0" t="s">
        <v>130</v>
      </c>
      <c r="CR554" s="0" t="s">
        <v>130</v>
      </c>
      <c r="CS554" s="0" t="s">
        <v>130</v>
      </c>
      <c r="CT554" s="0" t="s">
        <v>1844</v>
      </c>
    </row>
    <row r="555">
      <c r="A555" s="14">
        <v>101616</v>
      </c>
      <c r="B555" s="0" t="s">
        <v>1818</v>
      </c>
      <c r="C555" s="16">
        <f>HYPERLINK("https://eosportal.federatedhermes.com/companies/Q29tcGFueQppNjgxNjU=", "Walmart Inc")</f>
      </c>
      <c r="D555" s="0" t="s">
        <v>23</v>
      </c>
      <c r="E555" s="0" t="s">
        <v>1845</v>
      </c>
      <c r="F555" s="16">
        <f>HYPERLINK("https://eosportal.federatedhermes.com/engagements/RW5nYWdlbWVudAppMjA5MzE=", "Plastics reduction target")</f>
      </c>
      <c r="G555" s="14" t="s">
        <v>1846</v>
      </c>
      <c r="H555" s="0" t="s">
        <v>141</v>
      </c>
      <c r="I555" s="14" t="s">
        <v>191</v>
      </c>
      <c r="J555" s="0" t="s">
        <v>197</v>
      </c>
      <c r="K555" s="0" t="s">
        <v>348</v>
      </c>
      <c r="L555" s="0" t="s">
        <v>349</v>
      </c>
      <c r="M555" s="0" t="s">
        <v>135</v>
      </c>
      <c r="N555" s="0" t="s">
        <v>136</v>
      </c>
      <c r="O555" s="0" t="s">
        <v>643</v>
      </c>
      <c r="Q555" s="0" t="s">
        <v>141</v>
      </c>
      <c r="R555" s="0" t="s">
        <v>130</v>
      </c>
      <c r="S555" s="14">
        <v>1</v>
      </c>
      <c r="T555" s="0" t="s">
        <v>148</v>
      </c>
      <c r="U555" s="0" t="s">
        <v>221</v>
      </c>
      <c r="V555" s="14" t="s">
        <v>148</v>
      </c>
      <c r="W555" s="0" t="s">
        <v>223</v>
      </c>
      <c r="X555" s="14" t="s">
        <v>138</v>
      </c>
      <c r="Y555" s="0" t="s">
        <v>224</v>
      </c>
      <c r="Z555" s="14" t="s">
        <v>138</v>
      </c>
      <c r="AA555" s="0" t="s">
        <v>224</v>
      </c>
      <c r="AB555" s="14" t="s">
        <v>138</v>
      </c>
      <c r="AD555" s="0" t="s">
        <v>14</v>
      </c>
      <c r="AF555" s="0">
        <v>0</v>
      </c>
      <c r="AG555" s="0">
        <v>0</v>
      </c>
      <c r="AH555" s="0" t="s">
        <v>140</v>
      </c>
      <c r="AI555" s="0" t="s">
        <v>225</v>
      </c>
      <c r="AK555" s="0" t="s">
        <v>413</v>
      </c>
      <c r="AL555" s="14"/>
      <c r="AN555" s="14"/>
      <c r="AQ555" s="0" t="s">
        <v>130</v>
      </c>
      <c r="AR555" s="0" t="s">
        <v>130</v>
      </c>
      <c r="AS555" s="0" t="s">
        <v>130</v>
      </c>
      <c r="AT555" s="0" t="s">
        <v>130</v>
      </c>
      <c r="AU555" s="0" t="s">
        <v>130</v>
      </c>
      <c r="AV555" s="0" t="s">
        <v>130</v>
      </c>
      <c r="AW555" s="0" t="s">
        <v>130</v>
      </c>
      <c r="AX555" s="0" t="s">
        <v>130</v>
      </c>
      <c r="AY555" s="0" t="s">
        <v>130</v>
      </c>
      <c r="AZ555" s="0" t="s">
        <v>130</v>
      </c>
      <c r="BA555" s="0" t="s">
        <v>130</v>
      </c>
      <c r="BB555" s="0" t="s">
        <v>141</v>
      </c>
      <c r="BC555" s="0" t="s">
        <v>130</v>
      </c>
      <c r="BD555" s="0" t="s">
        <v>130</v>
      </c>
      <c r="BE555" s="0" t="s">
        <v>130</v>
      </c>
      <c r="BF555" s="0" t="s">
        <v>130</v>
      </c>
      <c r="BG555" s="0" t="s">
        <v>130</v>
      </c>
      <c r="BH555" s="0" t="s">
        <v>130</v>
      </c>
      <c r="BI555" s="0" t="s">
        <v>130</v>
      </c>
      <c r="BJ555" s="0" t="s">
        <v>130</v>
      </c>
      <c r="BK555" s="0" t="s">
        <v>130</v>
      </c>
      <c r="BL555" s="0" t="s">
        <v>130</v>
      </c>
      <c r="BM555" s="0" t="s">
        <v>130</v>
      </c>
      <c r="BN555" s="0" t="s">
        <v>130</v>
      </c>
      <c r="BO555" s="0" t="s">
        <v>130</v>
      </c>
      <c r="BP555" s="0" t="s">
        <v>130</v>
      </c>
      <c r="BQ555" s="0" t="s">
        <v>130</v>
      </c>
      <c r="BR555" s="0" t="s">
        <v>130</v>
      </c>
      <c r="BS555" s="0" t="s">
        <v>130</v>
      </c>
      <c r="BT555" s="0" t="s">
        <v>130</v>
      </c>
      <c r="BU555" s="0" t="s">
        <v>130</v>
      </c>
      <c r="BV555" s="0" t="s">
        <v>130</v>
      </c>
      <c r="BW555" s="0" t="s">
        <v>130</v>
      </c>
      <c r="BX555" s="0" t="s">
        <v>130</v>
      </c>
      <c r="BY555" s="0" t="s">
        <v>130</v>
      </c>
      <c r="BZ555" s="0" t="s">
        <v>130</v>
      </c>
      <c r="CA555" s="0" t="s">
        <v>130</v>
      </c>
      <c r="CB555" s="0" t="s">
        <v>130</v>
      </c>
      <c r="CC555" s="0" t="s">
        <v>130</v>
      </c>
      <c r="CD555" s="0" t="s">
        <v>141</v>
      </c>
      <c r="CE555" s="0" t="s">
        <v>130</v>
      </c>
      <c r="CF555" s="0" t="s">
        <v>130</v>
      </c>
      <c r="CG555" s="0" t="s">
        <v>130</v>
      </c>
      <c r="CH555" s="0" t="s">
        <v>130</v>
      </c>
      <c r="CI555" s="0" t="s">
        <v>130</v>
      </c>
      <c r="CJ555" s="0" t="s">
        <v>130</v>
      </c>
      <c r="CK555" s="0" t="s">
        <v>130</v>
      </c>
      <c r="CL555" s="0" t="s">
        <v>130</v>
      </c>
      <c r="CM555" s="0" t="s">
        <v>130</v>
      </c>
      <c r="CN555" s="0" t="s">
        <v>130</v>
      </c>
      <c r="CO555" s="0" t="s">
        <v>130</v>
      </c>
      <c r="CP555" s="0" t="s">
        <v>130</v>
      </c>
      <c r="CQ555" s="0" t="s">
        <v>130</v>
      </c>
      <c r="CR555" s="0" t="s">
        <v>130</v>
      </c>
      <c r="CS555" s="0" t="s">
        <v>130</v>
      </c>
      <c r="CT555" s="0" t="s">
        <v>1847</v>
      </c>
    </row>
    <row r="556">
      <c r="A556" s="14">
        <v>101616</v>
      </c>
      <c r="B556" s="0" t="s">
        <v>1818</v>
      </c>
      <c r="C556" s="16">
        <f>HYPERLINK("https://eosportal.federatedhermes.com/companies/Q29tcGFueQppNjgxNjU=", "Walmart Inc")</f>
      </c>
      <c r="D556" s="0" t="s">
        <v>23</v>
      </c>
      <c r="E556" s="0" t="s">
        <v>1848</v>
      </c>
      <c r="F556" s="16">
        <f>HYPERLINK("https://eosportal.federatedhermes.com/engagements/RW5nYWdlbWVudAppMjA5MzI=", "Disclose plastics footprint")</f>
      </c>
      <c r="G556" s="14" t="s">
        <v>1849</v>
      </c>
      <c r="H556" s="0" t="s">
        <v>141</v>
      </c>
      <c r="I556" s="14" t="s">
        <v>191</v>
      </c>
      <c r="J556" s="0" t="s">
        <v>197</v>
      </c>
      <c r="K556" s="0" t="s">
        <v>348</v>
      </c>
      <c r="L556" s="0" t="s">
        <v>349</v>
      </c>
      <c r="M556" s="0" t="s">
        <v>135</v>
      </c>
      <c r="N556" s="0" t="s">
        <v>136</v>
      </c>
      <c r="O556" s="0" t="s">
        <v>643</v>
      </c>
      <c r="Q556" s="0" t="s">
        <v>141</v>
      </c>
      <c r="R556" s="0" t="s">
        <v>141</v>
      </c>
      <c r="S556" s="14">
        <v>1</v>
      </c>
      <c r="T556" s="0" t="s">
        <v>148</v>
      </c>
      <c r="U556" s="0" t="s">
        <v>221</v>
      </c>
      <c r="V556" s="14" t="s">
        <v>148</v>
      </c>
      <c r="W556" s="0" t="s">
        <v>221</v>
      </c>
      <c r="X556" s="14" t="s">
        <v>355</v>
      </c>
      <c r="Y556" s="0" t="s">
        <v>221</v>
      </c>
      <c r="Z556" s="14" t="s">
        <v>230</v>
      </c>
      <c r="AA556" s="0" t="s">
        <v>221</v>
      </c>
      <c r="AB556" s="14" t="s">
        <v>361</v>
      </c>
      <c r="AC556" s="0" t="s">
        <v>20</v>
      </c>
      <c r="AD556" s="0" t="s">
        <v>362</v>
      </c>
      <c r="AE556" s="0" t="s">
        <v>363</v>
      </c>
      <c r="AF556" s="0">
        <v>1</v>
      </c>
      <c r="AG556" s="0">
        <v>0</v>
      </c>
      <c r="AH556" s="0" t="s">
        <v>140</v>
      </c>
      <c r="AI556" s="0" t="s">
        <v>221</v>
      </c>
      <c r="AJ556" s="0" t="s">
        <v>364</v>
      </c>
      <c r="AK556" s="0" t="s">
        <v>413</v>
      </c>
      <c r="AL556" s="14"/>
      <c r="AN556" s="14"/>
      <c r="AQ556" s="0" t="s">
        <v>130</v>
      </c>
      <c r="AR556" s="0" t="s">
        <v>130</v>
      </c>
      <c r="AS556" s="0" t="s">
        <v>130</v>
      </c>
      <c r="AT556" s="0" t="s">
        <v>130</v>
      </c>
      <c r="AU556" s="0" t="s">
        <v>130</v>
      </c>
      <c r="AV556" s="0" t="s">
        <v>130</v>
      </c>
      <c r="AW556" s="0" t="s">
        <v>130</v>
      </c>
      <c r="AX556" s="0" t="s">
        <v>130</v>
      </c>
      <c r="AY556" s="0" t="s">
        <v>130</v>
      </c>
      <c r="AZ556" s="0" t="s">
        <v>130</v>
      </c>
      <c r="BA556" s="0" t="s">
        <v>130</v>
      </c>
      <c r="BB556" s="0" t="s">
        <v>141</v>
      </c>
      <c r="BC556" s="0" t="s">
        <v>130</v>
      </c>
      <c r="BD556" s="0" t="s">
        <v>130</v>
      </c>
      <c r="BE556" s="0" t="s">
        <v>130</v>
      </c>
      <c r="BF556" s="0" t="s">
        <v>130</v>
      </c>
      <c r="BG556" s="0" t="s">
        <v>130</v>
      </c>
      <c r="BH556" s="0" t="s">
        <v>130</v>
      </c>
      <c r="BI556" s="0" t="s">
        <v>130</v>
      </c>
      <c r="BJ556" s="0" t="s">
        <v>130</v>
      </c>
      <c r="BK556" s="0" t="s">
        <v>130</v>
      </c>
      <c r="BL556" s="0" t="s">
        <v>130</v>
      </c>
      <c r="BM556" s="0" t="s">
        <v>130</v>
      </c>
      <c r="BN556" s="0" t="s">
        <v>130</v>
      </c>
      <c r="BO556" s="0" t="s">
        <v>130</v>
      </c>
      <c r="BP556" s="0" t="s">
        <v>130</v>
      </c>
      <c r="BQ556" s="0" t="s">
        <v>130</v>
      </c>
      <c r="BR556" s="0" t="s">
        <v>130</v>
      </c>
      <c r="BS556" s="0" t="s">
        <v>130</v>
      </c>
      <c r="BT556" s="0" t="s">
        <v>130</v>
      </c>
      <c r="BU556" s="0" t="s">
        <v>130</v>
      </c>
      <c r="BV556" s="0" t="s">
        <v>130</v>
      </c>
      <c r="BW556" s="0" t="s">
        <v>130</v>
      </c>
      <c r="BX556" s="0" t="s">
        <v>130</v>
      </c>
      <c r="BY556" s="0" t="s">
        <v>130</v>
      </c>
      <c r="BZ556" s="0" t="s">
        <v>130</v>
      </c>
      <c r="CA556" s="0" t="s">
        <v>130</v>
      </c>
      <c r="CB556" s="0" t="s">
        <v>130</v>
      </c>
      <c r="CC556" s="0" t="s">
        <v>130</v>
      </c>
      <c r="CD556" s="0" t="s">
        <v>141</v>
      </c>
      <c r="CE556" s="0" t="s">
        <v>130</v>
      </c>
      <c r="CF556" s="0" t="s">
        <v>130</v>
      </c>
      <c r="CG556" s="0" t="s">
        <v>130</v>
      </c>
      <c r="CH556" s="0" t="s">
        <v>130</v>
      </c>
      <c r="CI556" s="0" t="s">
        <v>130</v>
      </c>
      <c r="CJ556" s="0" t="s">
        <v>130</v>
      </c>
      <c r="CK556" s="0" t="s">
        <v>130</v>
      </c>
      <c r="CL556" s="0" t="s">
        <v>130</v>
      </c>
      <c r="CM556" s="0" t="s">
        <v>130</v>
      </c>
      <c r="CN556" s="0" t="s">
        <v>130</v>
      </c>
      <c r="CO556" s="0" t="s">
        <v>130</v>
      </c>
      <c r="CP556" s="0" t="s">
        <v>130</v>
      </c>
      <c r="CQ556" s="0" t="s">
        <v>130</v>
      </c>
      <c r="CR556" s="0" t="s">
        <v>130</v>
      </c>
      <c r="CS556" s="0" t="s">
        <v>130</v>
      </c>
      <c r="CT556" s="0" t="s">
        <v>1850</v>
      </c>
    </row>
    <row r="557">
      <c r="A557" s="14">
        <v>101616</v>
      </c>
      <c r="B557" s="0" t="s">
        <v>1818</v>
      </c>
      <c r="C557" s="16">
        <f>HYPERLINK("https://eosportal.federatedhermes.com/companies/Q29tcGFueQppNjgxNjU=", "Walmart Inc")</f>
      </c>
      <c r="D557" s="0" t="s">
        <v>23</v>
      </c>
      <c r="E557" s="0" t="s">
        <v>1851</v>
      </c>
      <c r="F557" s="16">
        <f>HYPERLINK("https://eosportal.federatedhermes.com/engagements/RW5nYWdlbWVudAppMjA5MzM=", "Board oversight of human capital management")</f>
      </c>
      <c r="G557" s="14" t="s">
        <v>1852</v>
      </c>
      <c r="H557" s="0" t="s">
        <v>141</v>
      </c>
      <c r="I557" s="14" t="s">
        <v>191</v>
      </c>
      <c r="J557" s="0" t="s">
        <v>153</v>
      </c>
      <c r="K557" s="0" t="s">
        <v>154</v>
      </c>
      <c r="L557" s="0" t="s">
        <v>268</v>
      </c>
      <c r="M557" s="0" t="s">
        <v>135</v>
      </c>
      <c r="N557" s="0" t="s">
        <v>136</v>
      </c>
      <c r="O557" s="0" t="s">
        <v>643</v>
      </c>
      <c r="Q557" s="0" t="s">
        <v>141</v>
      </c>
      <c r="R557" s="0" t="s">
        <v>130</v>
      </c>
      <c r="S557" s="14">
        <v>2</v>
      </c>
      <c r="T557" s="0" t="s">
        <v>148</v>
      </c>
      <c r="U557" s="0" t="s">
        <v>221</v>
      </c>
      <c r="V557" s="14" t="s">
        <v>148</v>
      </c>
      <c r="W557" s="0" t="s">
        <v>221</v>
      </c>
      <c r="X557" s="14" t="s">
        <v>355</v>
      </c>
      <c r="Y557" s="0" t="s">
        <v>221</v>
      </c>
      <c r="Z557" s="14" t="s">
        <v>327</v>
      </c>
      <c r="AA557" s="0" t="s">
        <v>223</v>
      </c>
      <c r="AB557" s="14" t="s">
        <v>138</v>
      </c>
      <c r="AD557" s="0" t="s">
        <v>20</v>
      </c>
      <c r="AF557" s="0">
        <v>0</v>
      </c>
      <c r="AG557" s="0">
        <v>0</v>
      </c>
      <c r="AH557" s="0" t="s">
        <v>140</v>
      </c>
      <c r="AI557" s="0" t="s">
        <v>232</v>
      </c>
      <c r="AK557" s="0" t="s">
        <v>1853</v>
      </c>
      <c r="AL557" s="14"/>
      <c r="AN557" s="14"/>
      <c r="AQ557" s="0" t="s">
        <v>130</v>
      </c>
      <c r="AR557" s="0" t="s">
        <v>130</v>
      </c>
      <c r="AS557" s="0" t="s">
        <v>130</v>
      </c>
      <c r="AT557" s="0" t="s">
        <v>130</v>
      </c>
      <c r="AU557" s="0" t="s">
        <v>130</v>
      </c>
      <c r="AV557" s="0" t="s">
        <v>130</v>
      </c>
      <c r="AW557" s="0" t="s">
        <v>130</v>
      </c>
      <c r="AX557" s="0" t="s">
        <v>130</v>
      </c>
      <c r="AY557" s="0" t="s">
        <v>130</v>
      </c>
      <c r="AZ557" s="0" t="s">
        <v>130</v>
      </c>
      <c r="BA557" s="0" t="s">
        <v>130</v>
      </c>
      <c r="BB557" s="0" t="s">
        <v>130</v>
      </c>
      <c r="BC557" s="0" t="s">
        <v>130</v>
      </c>
      <c r="BD557" s="0" t="s">
        <v>130</v>
      </c>
      <c r="BE557" s="0" t="s">
        <v>130</v>
      </c>
      <c r="BF557" s="0" t="s">
        <v>130</v>
      </c>
      <c r="BG557" s="0" t="s">
        <v>130</v>
      </c>
      <c r="BH557" s="0" t="s">
        <v>130</v>
      </c>
      <c r="BI557" s="0" t="s">
        <v>130</v>
      </c>
      <c r="BJ557" s="0" t="s">
        <v>130</v>
      </c>
      <c r="BK557" s="0" t="s">
        <v>130</v>
      </c>
      <c r="BL557" s="0" t="s">
        <v>130</v>
      </c>
      <c r="BM557" s="0" t="s">
        <v>130</v>
      </c>
      <c r="BN557" s="0" t="s">
        <v>130</v>
      </c>
      <c r="BO557" s="0" t="s">
        <v>130</v>
      </c>
      <c r="BP557" s="0" t="s">
        <v>130</v>
      </c>
      <c r="BQ557" s="0" t="s">
        <v>130</v>
      </c>
      <c r="BR557" s="0" t="s">
        <v>130</v>
      </c>
      <c r="BS557" s="0" t="s">
        <v>130</v>
      </c>
      <c r="BT557" s="0" t="s">
        <v>130</v>
      </c>
      <c r="BU557" s="0" t="s">
        <v>130</v>
      </c>
      <c r="BV557" s="0" t="s">
        <v>130</v>
      </c>
      <c r="BW557" s="0" t="s">
        <v>130</v>
      </c>
      <c r="BX557" s="0" t="s">
        <v>130</v>
      </c>
      <c r="BY557" s="0" t="s">
        <v>130</v>
      </c>
      <c r="BZ557" s="0" t="s">
        <v>130</v>
      </c>
      <c r="CA557" s="0" t="s">
        <v>130</v>
      </c>
      <c r="CB557" s="0" t="s">
        <v>130</v>
      </c>
      <c r="CC557" s="0" t="s">
        <v>130</v>
      </c>
      <c r="CD557" s="0" t="s">
        <v>130</v>
      </c>
      <c r="CE557" s="0" t="s">
        <v>130</v>
      </c>
      <c r="CF557" s="0" t="s">
        <v>130</v>
      </c>
      <c r="CG557" s="0" t="s">
        <v>130</v>
      </c>
      <c r="CH557" s="0" t="s">
        <v>130</v>
      </c>
      <c r="CI557" s="0" t="s">
        <v>130</v>
      </c>
      <c r="CJ557" s="0" t="s">
        <v>130</v>
      </c>
      <c r="CK557" s="0" t="s">
        <v>141</v>
      </c>
      <c r="CL557" s="0" t="s">
        <v>130</v>
      </c>
      <c r="CM557" s="0" t="s">
        <v>130</v>
      </c>
      <c r="CN557" s="0" t="s">
        <v>130</v>
      </c>
      <c r="CO557" s="0" t="s">
        <v>130</v>
      </c>
      <c r="CP557" s="0" t="s">
        <v>130</v>
      </c>
      <c r="CQ557" s="0" t="s">
        <v>130</v>
      </c>
      <c r="CR557" s="0" t="s">
        <v>130</v>
      </c>
      <c r="CS557" s="0" t="s">
        <v>130</v>
      </c>
      <c r="CT557" s="0" t="s">
        <v>1854</v>
      </c>
    </row>
    <row r="558">
      <c r="A558" s="14">
        <v>101616</v>
      </c>
      <c r="B558" s="0" t="s">
        <v>1818</v>
      </c>
      <c r="C558" s="16">
        <f>HYPERLINK("https://eosportal.federatedhermes.com/companies/Q29tcGFueQppNjgxNjU=", "Walmart Inc")</f>
      </c>
      <c r="D558" s="0" t="s">
        <v>23</v>
      </c>
      <c r="E558" s="0" t="s">
        <v>746</v>
      </c>
      <c r="F558" s="16">
        <f>HYPERLINK("https://eosportal.federatedhermes.com/engagements/RW5nYWdlbWVudAppMjA5MzQ=", "Improved climate-related financial disclosures")</f>
      </c>
      <c r="G558" s="14" t="s">
        <v>747</v>
      </c>
      <c r="H558" s="0" t="s">
        <v>141</v>
      </c>
      <c r="I558" s="14" t="s">
        <v>191</v>
      </c>
      <c r="J558" s="0" t="s">
        <v>197</v>
      </c>
      <c r="K558" s="0" t="s">
        <v>198</v>
      </c>
      <c r="L558" s="0" t="s">
        <v>199</v>
      </c>
      <c r="M558" s="0" t="s">
        <v>135</v>
      </c>
      <c r="N558" s="0" t="s">
        <v>136</v>
      </c>
      <c r="O558" s="0" t="s">
        <v>643</v>
      </c>
      <c r="Q558" s="0" t="s">
        <v>141</v>
      </c>
      <c r="R558" s="0" t="s">
        <v>130</v>
      </c>
      <c r="S558" s="14">
        <v>3</v>
      </c>
      <c r="T558" s="0" t="s">
        <v>193</v>
      </c>
      <c r="U558" s="0" t="s">
        <v>221</v>
      </c>
      <c r="V558" s="14" t="s">
        <v>193</v>
      </c>
      <c r="W558" s="0" t="s">
        <v>223</v>
      </c>
      <c r="X558" s="14" t="s">
        <v>138</v>
      </c>
      <c r="Y558" s="0" t="s">
        <v>224</v>
      </c>
      <c r="Z558" s="14" t="s">
        <v>138</v>
      </c>
      <c r="AA558" s="0" t="s">
        <v>224</v>
      </c>
      <c r="AB558" s="14" t="s">
        <v>138</v>
      </c>
      <c r="AD558" s="0" t="s">
        <v>14</v>
      </c>
      <c r="AF558" s="0">
        <v>0</v>
      </c>
      <c r="AG558" s="0">
        <v>0</v>
      </c>
      <c r="AH558" s="0" t="s">
        <v>140</v>
      </c>
      <c r="AI558" s="0" t="s">
        <v>225</v>
      </c>
      <c r="AK558" s="0" t="s">
        <v>1853</v>
      </c>
      <c r="AL558" s="14"/>
      <c r="AN558" s="14"/>
      <c r="AQ558" s="0" t="s">
        <v>130</v>
      </c>
      <c r="AR558" s="0" t="s">
        <v>130</v>
      </c>
      <c r="AS558" s="0" t="s">
        <v>130</v>
      </c>
      <c r="AT558" s="0" t="s">
        <v>130</v>
      </c>
      <c r="AU558" s="0" t="s">
        <v>130</v>
      </c>
      <c r="AV558" s="0" t="s">
        <v>130</v>
      </c>
      <c r="AW558" s="0" t="s">
        <v>130</v>
      </c>
      <c r="AX558" s="0" t="s">
        <v>130</v>
      </c>
      <c r="AY558" s="0" t="s">
        <v>130</v>
      </c>
      <c r="AZ558" s="0" t="s">
        <v>130</v>
      </c>
      <c r="BA558" s="0" t="s">
        <v>130</v>
      </c>
      <c r="BB558" s="0" t="s">
        <v>141</v>
      </c>
      <c r="BC558" s="0" t="s">
        <v>130</v>
      </c>
      <c r="BD558" s="0" t="s">
        <v>130</v>
      </c>
      <c r="BE558" s="0" t="s">
        <v>130</v>
      </c>
      <c r="BF558" s="0" t="s">
        <v>130</v>
      </c>
      <c r="BG558" s="0" t="s">
        <v>130</v>
      </c>
      <c r="BH558" s="0" t="s">
        <v>130</v>
      </c>
      <c r="BI558" s="0" t="s">
        <v>130</v>
      </c>
      <c r="BJ558" s="0" t="s">
        <v>130</v>
      </c>
      <c r="BK558" s="0" t="s">
        <v>130</v>
      </c>
      <c r="BL558" s="0" t="s">
        <v>130</v>
      </c>
      <c r="BM558" s="0" t="s">
        <v>130</v>
      </c>
      <c r="BN558" s="0" t="s">
        <v>130</v>
      </c>
      <c r="BO558" s="0" t="s">
        <v>130</v>
      </c>
      <c r="BP558" s="0" t="s">
        <v>130</v>
      </c>
      <c r="BQ558" s="0" t="s">
        <v>130</v>
      </c>
      <c r="BR558" s="0" t="s">
        <v>130</v>
      </c>
      <c r="BS558" s="0" t="s">
        <v>130</v>
      </c>
      <c r="BT558" s="0" t="s">
        <v>130</v>
      </c>
      <c r="BU558" s="0" t="s">
        <v>130</v>
      </c>
      <c r="BV558" s="0" t="s">
        <v>130</v>
      </c>
      <c r="BW558" s="0" t="s">
        <v>130</v>
      </c>
      <c r="BX558" s="0" t="s">
        <v>130</v>
      </c>
      <c r="BY558" s="0" t="s">
        <v>130</v>
      </c>
      <c r="BZ558" s="0" t="s">
        <v>130</v>
      </c>
      <c r="CA558" s="0" t="s">
        <v>130</v>
      </c>
      <c r="CB558" s="0" t="s">
        <v>130</v>
      </c>
      <c r="CC558" s="0" t="s">
        <v>130</v>
      </c>
      <c r="CD558" s="0" t="s">
        <v>130</v>
      </c>
      <c r="CE558" s="0" t="s">
        <v>130</v>
      </c>
      <c r="CF558" s="0" t="s">
        <v>130</v>
      </c>
      <c r="CG558" s="0" t="s">
        <v>130</v>
      </c>
      <c r="CH558" s="0" t="s">
        <v>130</v>
      </c>
      <c r="CI558" s="0" t="s">
        <v>130</v>
      </c>
      <c r="CJ558" s="0" t="s">
        <v>130</v>
      </c>
      <c r="CK558" s="0" t="s">
        <v>130</v>
      </c>
      <c r="CL558" s="0" t="s">
        <v>130</v>
      </c>
      <c r="CM558" s="0" t="s">
        <v>130</v>
      </c>
      <c r="CN558" s="0" t="s">
        <v>130</v>
      </c>
      <c r="CO558" s="0" t="s">
        <v>130</v>
      </c>
      <c r="CP558" s="0" t="s">
        <v>130</v>
      </c>
      <c r="CQ558" s="0" t="s">
        <v>130</v>
      </c>
      <c r="CR558" s="0" t="s">
        <v>130</v>
      </c>
      <c r="CS558" s="0" t="s">
        <v>130</v>
      </c>
      <c r="CT558" s="0" t="s">
        <v>1855</v>
      </c>
    </row>
    <row r="559">
      <c r="A559" s="14">
        <v>101616</v>
      </c>
      <c r="B559" s="0" t="s">
        <v>1818</v>
      </c>
      <c r="C559" s="16">
        <f>HYPERLINK("https://eosportal.federatedhermes.com/companies/Q29tcGFueQppNjgxNjU=", "Walmart Inc")</f>
      </c>
      <c r="D559" s="0" t="s">
        <v>23</v>
      </c>
      <c r="E559" s="0" t="s">
        <v>1856</v>
      </c>
      <c r="F559" s="16">
        <f>HYPERLINK("https://eosportal.federatedhermes.com/engagements/RW5nYWdlbWVudAppMjA5MzU=", "Additionality of Project Gigaton")</f>
      </c>
      <c r="G559" s="14" t="s">
        <v>1857</v>
      </c>
      <c r="H559" s="0" t="s">
        <v>141</v>
      </c>
      <c r="I559" s="14" t="s">
        <v>191</v>
      </c>
      <c r="J559" s="0" t="s">
        <v>132</v>
      </c>
      <c r="K559" s="0" t="s">
        <v>170</v>
      </c>
      <c r="L559" s="0" t="s">
        <v>171</v>
      </c>
      <c r="M559" s="0" t="s">
        <v>135</v>
      </c>
      <c r="N559" s="0" t="s">
        <v>136</v>
      </c>
      <c r="O559" s="0" t="s">
        <v>643</v>
      </c>
      <c r="Q559" s="0" t="s">
        <v>141</v>
      </c>
      <c r="R559" s="0" t="s">
        <v>141</v>
      </c>
      <c r="S559" s="14">
        <v>2</v>
      </c>
      <c r="T559" s="0" t="s">
        <v>193</v>
      </c>
      <c r="U559" s="0" t="s">
        <v>221</v>
      </c>
      <c r="V559" s="14" t="s">
        <v>193</v>
      </c>
      <c r="W559" s="0" t="s">
        <v>221</v>
      </c>
      <c r="X559" s="14" t="s">
        <v>139</v>
      </c>
      <c r="Y559" s="0" t="s">
        <v>221</v>
      </c>
      <c r="Z559" s="14" t="s">
        <v>230</v>
      </c>
      <c r="AA559" s="0" t="s">
        <v>221</v>
      </c>
      <c r="AB559" s="14" t="s">
        <v>361</v>
      </c>
      <c r="AC559" s="0" t="s">
        <v>20</v>
      </c>
      <c r="AD559" s="0" t="s">
        <v>362</v>
      </c>
      <c r="AE559" s="0" t="s">
        <v>363</v>
      </c>
      <c r="AF559" s="0">
        <v>1</v>
      </c>
      <c r="AG559" s="0">
        <v>0</v>
      </c>
      <c r="AH559" s="0" t="s">
        <v>140</v>
      </c>
      <c r="AI559" s="0" t="s">
        <v>221</v>
      </c>
      <c r="AJ559" s="0" t="s">
        <v>364</v>
      </c>
      <c r="AK559" s="0" t="s">
        <v>1853</v>
      </c>
      <c r="AL559" s="14"/>
      <c r="AN559" s="14"/>
      <c r="AQ559" s="0" t="s">
        <v>130</v>
      </c>
      <c r="AR559" s="0" t="s">
        <v>130</v>
      </c>
      <c r="AS559" s="0" t="s">
        <v>130</v>
      </c>
      <c r="AT559" s="0" t="s">
        <v>130</v>
      </c>
      <c r="AU559" s="0" t="s">
        <v>130</v>
      </c>
      <c r="AV559" s="0" t="s">
        <v>130</v>
      </c>
      <c r="AW559" s="0" t="s">
        <v>130</v>
      </c>
      <c r="AX559" s="0" t="s">
        <v>130</v>
      </c>
      <c r="AY559" s="0" t="s">
        <v>130</v>
      </c>
      <c r="AZ559" s="0" t="s">
        <v>130</v>
      </c>
      <c r="BA559" s="0" t="s">
        <v>130</v>
      </c>
      <c r="BB559" s="0" t="s">
        <v>141</v>
      </c>
      <c r="BC559" s="0" t="s">
        <v>130</v>
      </c>
      <c r="BD559" s="0" t="s">
        <v>130</v>
      </c>
      <c r="BE559" s="0" t="s">
        <v>130</v>
      </c>
      <c r="BF559" s="0" t="s">
        <v>130</v>
      </c>
      <c r="BG559" s="0" t="s">
        <v>130</v>
      </c>
      <c r="BH559" s="0" t="s">
        <v>130</v>
      </c>
      <c r="BI559" s="0" t="s">
        <v>130</v>
      </c>
      <c r="BJ559" s="0" t="s">
        <v>130</v>
      </c>
      <c r="BK559" s="0" t="s">
        <v>130</v>
      </c>
      <c r="BL559" s="0" t="s">
        <v>130</v>
      </c>
      <c r="BM559" s="0" t="s">
        <v>130</v>
      </c>
      <c r="BN559" s="0" t="s">
        <v>130</v>
      </c>
      <c r="BO559" s="0" t="s">
        <v>130</v>
      </c>
      <c r="BP559" s="0" t="s">
        <v>130</v>
      </c>
      <c r="BQ559" s="0" t="s">
        <v>130</v>
      </c>
      <c r="BR559" s="0" t="s">
        <v>130</v>
      </c>
      <c r="BS559" s="0" t="s">
        <v>130</v>
      </c>
      <c r="BT559" s="0" t="s">
        <v>130</v>
      </c>
      <c r="BU559" s="0" t="s">
        <v>130</v>
      </c>
      <c r="BV559" s="0" t="s">
        <v>130</v>
      </c>
      <c r="BW559" s="0" t="s">
        <v>130</v>
      </c>
      <c r="BX559" s="0" t="s">
        <v>130</v>
      </c>
      <c r="BY559" s="0" t="s">
        <v>130</v>
      </c>
      <c r="BZ559" s="0" t="s">
        <v>130</v>
      </c>
      <c r="CA559" s="0" t="s">
        <v>130</v>
      </c>
      <c r="CB559" s="0" t="s">
        <v>130</v>
      </c>
      <c r="CC559" s="0" t="s">
        <v>130</v>
      </c>
      <c r="CD559" s="0" t="s">
        <v>130</v>
      </c>
      <c r="CE559" s="0" t="s">
        <v>130</v>
      </c>
      <c r="CF559" s="0" t="s">
        <v>130</v>
      </c>
      <c r="CG559" s="0" t="s">
        <v>130</v>
      </c>
      <c r="CH559" s="0" t="s">
        <v>130</v>
      </c>
      <c r="CI559" s="0" t="s">
        <v>130</v>
      </c>
      <c r="CJ559" s="0" t="s">
        <v>130</v>
      </c>
      <c r="CK559" s="0" t="s">
        <v>130</v>
      </c>
      <c r="CL559" s="0" t="s">
        <v>130</v>
      </c>
      <c r="CM559" s="0" t="s">
        <v>130</v>
      </c>
      <c r="CN559" s="0" t="s">
        <v>130</v>
      </c>
      <c r="CO559" s="0" t="s">
        <v>130</v>
      </c>
      <c r="CP559" s="0" t="s">
        <v>130</v>
      </c>
      <c r="CQ559" s="0" t="s">
        <v>130</v>
      </c>
      <c r="CR559" s="0" t="s">
        <v>130</v>
      </c>
      <c r="CS559" s="0" t="s">
        <v>130</v>
      </c>
      <c r="CT559" s="0" t="s">
        <v>1858</v>
      </c>
    </row>
    <row r="560">
      <c r="A560" s="14">
        <v>101616</v>
      </c>
      <c r="B560" s="0" t="s">
        <v>1818</v>
      </c>
      <c r="C560" s="16">
        <f>HYPERLINK("https://eosportal.federatedhermes.com/companies/Q29tcGFueQppNjgxNjU=", "Walmart Inc")</f>
      </c>
      <c r="D560" s="0" t="s">
        <v>23</v>
      </c>
      <c r="E560" s="0" t="s">
        <v>1859</v>
      </c>
      <c r="F560" s="16">
        <f>HYPERLINK("https://eosportal.federatedhermes.com/engagements/RW5nYWdlbWVudAppMjA5MzY=", "Governance oversight of industry associations")</f>
      </c>
      <c r="G560" s="14" t="s">
        <v>1860</v>
      </c>
      <c r="H560" s="0" t="s">
        <v>141</v>
      </c>
      <c r="I560" s="14" t="s">
        <v>191</v>
      </c>
      <c r="J560" s="0" t="s">
        <v>197</v>
      </c>
      <c r="K560" s="0" t="s">
        <v>198</v>
      </c>
      <c r="L560" s="0" t="s">
        <v>199</v>
      </c>
      <c r="M560" s="0" t="s">
        <v>135</v>
      </c>
      <c r="N560" s="0" t="s">
        <v>136</v>
      </c>
      <c r="O560" s="0" t="s">
        <v>643</v>
      </c>
      <c r="Q560" s="0" t="s">
        <v>141</v>
      </c>
      <c r="R560" s="0" t="s">
        <v>130</v>
      </c>
      <c r="S560" s="14">
        <v>2</v>
      </c>
      <c r="T560" s="0" t="s">
        <v>193</v>
      </c>
      <c r="U560" s="0" t="s">
        <v>221</v>
      </c>
      <c r="V560" s="14" t="s">
        <v>193</v>
      </c>
      <c r="W560" s="0" t="s">
        <v>221</v>
      </c>
      <c r="X560" s="14" t="s">
        <v>193</v>
      </c>
      <c r="Y560" s="0" t="s">
        <v>221</v>
      </c>
      <c r="Z560" s="14" t="s">
        <v>583</v>
      </c>
      <c r="AA560" s="0" t="s">
        <v>223</v>
      </c>
      <c r="AB560" s="14" t="s">
        <v>138</v>
      </c>
      <c r="AD560" s="0" t="s">
        <v>20</v>
      </c>
      <c r="AF560" s="0">
        <v>0</v>
      </c>
      <c r="AG560" s="0">
        <v>0</v>
      </c>
      <c r="AH560" s="0" t="s">
        <v>140</v>
      </c>
      <c r="AI560" s="0" t="s">
        <v>225</v>
      </c>
      <c r="AK560" s="0" t="s">
        <v>1853</v>
      </c>
      <c r="AL560" s="14"/>
      <c r="AN560" s="14"/>
      <c r="AQ560" s="0" t="s">
        <v>130</v>
      </c>
      <c r="AR560" s="0" t="s">
        <v>130</v>
      </c>
      <c r="AS560" s="0" t="s">
        <v>130</v>
      </c>
      <c r="AT560" s="0" t="s">
        <v>130</v>
      </c>
      <c r="AU560" s="0" t="s">
        <v>130</v>
      </c>
      <c r="AV560" s="0" t="s">
        <v>130</v>
      </c>
      <c r="AW560" s="0" t="s">
        <v>130</v>
      </c>
      <c r="AX560" s="0" t="s">
        <v>130</v>
      </c>
      <c r="AY560" s="0" t="s">
        <v>130</v>
      </c>
      <c r="AZ560" s="0" t="s">
        <v>130</v>
      </c>
      <c r="BA560" s="0" t="s">
        <v>130</v>
      </c>
      <c r="BB560" s="0" t="s">
        <v>141</v>
      </c>
      <c r="BC560" s="0" t="s">
        <v>141</v>
      </c>
      <c r="BD560" s="0" t="s">
        <v>130</v>
      </c>
      <c r="BE560" s="0" t="s">
        <v>130</v>
      </c>
      <c r="BF560" s="0" t="s">
        <v>130</v>
      </c>
      <c r="BG560" s="0" t="s">
        <v>130</v>
      </c>
      <c r="BH560" s="0" t="s">
        <v>130</v>
      </c>
      <c r="BI560" s="0" t="s">
        <v>130</v>
      </c>
      <c r="BJ560" s="0" t="s">
        <v>130</v>
      </c>
      <c r="BK560" s="0" t="s">
        <v>130</v>
      </c>
      <c r="BL560" s="0" t="s">
        <v>130</v>
      </c>
      <c r="BM560" s="0" t="s">
        <v>130</v>
      </c>
      <c r="BN560" s="0" t="s">
        <v>130</v>
      </c>
      <c r="BO560" s="0" t="s">
        <v>130</v>
      </c>
      <c r="BP560" s="0" t="s">
        <v>130</v>
      </c>
      <c r="BQ560" s="0" t="s">
        <v>130</v>
      </c>
      <c r="BR560" s="0" t="s">
        <v>130</v>
      </c>
      <c r="BS560" s="0" t="s">
        <v>130</v>
      </c>
      <c r="BT560" s="0" t="s">
        <v>130</v>
      </c>
      <c r="BU560" s="0" t="s">
        <v>130</v>
      </c>
      <c r="BV560" s="0" t="s">
        <v>130</v>
      </c>
      <c r="BW560" s="0" t="s">
        <v>130</v>
      </c>
      <c r="BX560" s="0" t="s">
        <v>130</v>
      </c>
      <c r="BY560" s="0" t="s">
        <v>130</v>
      </c>
      <c r="BZ560" s="0" t="s">
        <v>130</v>
      </c>
      <c r="CA560" s="0" t="s">
        <v>130</v>
      </c>
      <c r="CB560" s="0" t="s">
        <v>130</v>
      </c>
      <c r="CC560" s="0" t="s">
        <v>130</v>
      </c>
      <c r="CD560" s="0" t="s">
        <v>130</v>
      </c>
      <c r="CE560" s="0" t="s">
        <v>130</v>
      </c>
      <c r="CF560" s="0" t="s">
        <v>130</v>
      </c>
      <c r="CG560" s="0" t="s">
        <v>130</v>
      </c>
      <c r="CH560" s="0" t="s">
        <v>130</v>
      </c>
      <c r="CI560" s="0" t="s">
        <v>130</v>
      </c>
      <c r="CJ560" s="0" t="s">
        <v>130</v>
      </c>
      <c r="CK560" s="0" t="s">
        <v>130</v>
      </c>
      <c r="CL560" s="0" t="s">
        <v>130</v>
      </c>
      <c r="CM560" s="0" t="s">
        <v>130</v>
      </c>
      <c r="CN560" s="0" t="s">
        <v>130</v>
      </c>
      <c r="CO560" s="0" t="s">
        <v>130</v>
      </c>
      <c r="CP560" s="0" t="s">
        <v>130</v>
      </c>
      <c r="CQ560" s="0" t="s">
        <v>130</v>
      </c>
      <c r="CR560" s="0" t="s">
        <v>130</v>
      </c>
      <c r="CS560" s="0" t="s">
        <v>130</v>
      </c>
      <c r="CT560" s="0" t="s">
        <v>1861</v>
      </c>
    </row>
    <row r="561">
      <c r="A561" s="14">
        <v>101616</v>
      </c>
      <c r="B561" s="0" t="s">
        <v>1818</v>
      </c>
      <c r="C561" s="16">
        <f>HYPERLINK("https://eosportal.federatedhermes.com/companies/Q29tcGFueQppNjgxNjU=", "Walmart Inc")</f>
      </c>
      <c r="D561" s="0" t="s">
        <v>25</v>
      </c>
      <c r="E561" s="0" t="s">
        <v>709</v>
      </c>
      <c r="F561" s="16">
        <f>HYPERLINK("https://eosportal.federatedhermes.com/engagements/RW5nYWdlbWVudAppMjA5Mzc=", "Proxy access")</f>
      </c>
      <c r="G561" s="14" t="s">
        <v>1862</v>
      </c>
      <c r="H561" s="0" t="s">
        <v>141</v>
      </c>
      <c r="I561" s="14" t="s">
        <v>191</v>
      </c>
      <c r="J561" s="0" t="s">
        <v>145</v>
      </c>
      <c r="K561" s="0" t="s">
        <v>400</v>
      </c>
      <c r="L561" s="0" t="s">
        <v>507</v>
      </c>
      <c r="M561" s="0" t="s">
        <v>135</v>
      </c>
      <c r="N561" s="0" t="s">
        <v>136</v>
      </c>
      <c r="O561" s="0" t="s">
        <v>643</v>
      </c>
      <c r="Q561" s="0" t="s">
        <v>130</v>
      </c>
      <c r="R561" s="0" t="s">
        <v>138</v>
      </c>
      <c r="S561" s="14">
        <v>0</v>
      </c>
      <c r="T561" s="0" t="s">
        <v>239</v>
      </c>
      <c r="U561" s="0" t="s">
        <v>138</v>
      </c>
      <c r="V561" s="14" t="s">
        <v>138</v>
      </c>
      <c r="W561" s="0" t="s">
        <v>138</v>
      </c>
      <c r="X561" s="14" t="s">
        <v>138</v>
      </c>
      <c r="Y561" s="0" t="s">
        <v>138</v>
      </c>
      <c r="Z561" s="14" t="s">
        <v>138</v>
      </c>
      <c r="AA561" s="0" t="s">
        <v>138</v>
      </c>
      <c r="AB561" s="14" t="s">
        <v>138</v>
      </c>
      <c r="AD561" s="0" t="s">
        <v>138</v>
      </c>
      <c r="AF561" s="0">
        <v>0</v>
      </c>
      <c r="AG561" s="0">
        <v>0</v>
      </c>
      <c r="AH561" s="0" t="s">
        <v>140</v>
      </c>
      <c r="AI561" s="0" t="s">
        <v>138</v>
      </c>
      <c r="AL561" s="14"/>
      <c r="AN561" s="14"/>
      <c r="AQ561" s="0" t="s">
        <v>130</v>
      </c>
      <c r="AR561" s="0" t="s">
        <v>130</v>
      </c>
      <c r="AS561" s="0" t="s">
        <v>130</v>
      </c>
      <c r="AT561" s="0" t="s">
        <v>130</v>
      </c>
      <c r="AU561" s="0" t="s">
        <v>130</v>
      </c>
      <c r="AV561" s="0" t="s">
        <v>130</v>
      </c>
      <c r="AW561" s="0" t="s">
        <v>130</v>
      </c>
      <c r="AX561" s="0" t="s">
        <v>130</v>
      </c>
      <c r="AY561" s="0" t="s">
        <v>130</v>
      </c>
      <c r="AZ561" s="0" t="s">
        <v>130</v>
      </c>
      <c r="BA561" s="0" t="s">
        <v>130</v>
      </c>
      <c r="BB561" s="0" t="s">
        <v>130</v>
      </c>
      <c r="BC561" s="0" t="s">
        <v>130</v>
      </c>
      <c r="BD561" s="0" t="s">
        <v>130</v>
      </c>
      <c r="BE561" s="0" t="s">
        <v>130</v>
      </c>
      <c r="BF561" s="0" t="s">
        <v>130</v>
      </c>
      <c r="BG561" s="0" t="s">
        <v>130</v>
      </c>
      <c r="BH561" s="0" t="s">
        <v>130</v>
      </c>
      <c r="BI561" s="0" t="s">
        <v>130</v>
      </c>
      <c r="BJ561" s="0" t="s">
        <v>130</v>
      </c>
      <c r="BK561" s="0" t="s">
        <v>130</v>
      </c>
      <c r="BL561" s="0" t="s">
        <v>130</v>
      </c>
      <c r="BM561" s="0" t="s">
        <v>130</v>
      </c>
      <c r="BN561" s="0" t="s">
        <v>130</v>
      </c>
      <c r="BO561" s="0" t="s">
        <v>130</v>
      </c>
      <c r="BP561" s="0" t="s">
        <v>130</v>
      </c>
      <c r="BQ561" s="0" t="s">
        <v>130</v>
      </c>
      <c r="BR561" s="0" t="s">
        <v>130</v>
      </c>
      <c r="BS561" s="0" t="s">
        <v>130</v>
      </c>
      <c r="BT561" s="0" t="s">
        <v>130</v>
      </c>
      <c r="BU561" s="0" t="s">
        <v>130</v>
      </c>
      <c r="BV561" s="0" t="s">
        <v>130</v>
      </c>
      <c r="BW561" s="0" t="s">
        <v>130</v>
      </c>
      <c r="BX561" s="0" t="s">
        <v>130</v>
      </c>
      <c r="BY561" s="0" t="s">
        <v>130</v>
      </c>
      <c r="BZ561" s="0" t="s">
        <v>130</v>
      </c>
      <c r="CA561" s="0" t="s">
        <v>130</v>
      </c>
      <c r="CB561" s="0" t="s">
        <v>130</v>
      </c>
      <c r="CC561" s="0" t="s">
        <v>130</v>
      </c>
      <c r="CD561" s="0" t="s">
        <v>130</v>
      </c>
      <c r="CE561" s="0" t="s">
        <v>130</v>
      </c>
      <c r="CF561" s="0" t="s">
        <v>130</v>
      </c>
      <c r="CG561" s="0" t="s">
        <v>130</v>
      </c>
      <c r="CH561" s="0" t="s">
        <v>130</v>
      </c>
      <c r="CI561" s="0" t="s">
        <v>130</v>
      </c>
      <c r="CJ561" s="0" t="s">
        <v>130</v>
      </c>
      <c r="CK561" s="0" t="s">
        <v>130</v>
      </c>
      <c r="CL561" s="0" t="s">
        <v>130</v>
      </c>
      <c r="CM561" s="0" t="s">
        <v>130</v>
      </c>
      <c r="CN561" s="0" t="s">
        <v>130</v>
      </c>
      <c r="CO561" s="0" t="s">
        <v>130</v>
      </c>
      <c r="CP561" s="0" t="s">
        <v>130</v>
      </c>
      <c r="CQ561" s="0" t="s">
        <v>130</v>
      </c>
      <c r="CR561" s="0" t="s">
        <v>130</v>
      </c>
      <c r="CS561" s="0" t="s">
        <v>130</v>
      </c>
      <c r="CT561" s="0" t="s">
        <v>1863</v>
      </c>
    </row>
    <row r="562">
      <c r="A562" s="14">
        <v>101616</v>
      </c>
      <c r="B562" s="0" t="s">
        <v>1818</v>
      </c>
      <c r="C562" s="16">
        <f>HYPERLINK("https://eosportal.federatedhermes.com/companies/Q29tcGFueQppNjgxNjU=", "Walmart Inc")</f>
      </c>
      <c r="D562" s="0" t="s">
        <v>25</v>
      </c>
      <c r="E562" s="0" t="s">
        <v>1864</v>
      </c>
      <c r="F562" s="16">
        <f>HYPERLINK("https://eosportal.federatedhermes.com/engagements/RW5nYWdlbWVudAppMjA5Mzg=", "Controversy linked to General OECD Issue - Employees Human Rights")</f>
      </c>
      <c r="G562" s="14" t="s">
        <v>1865</v>
      </c>
      <c r="H562" s="0" t="s">
        <v>141</v>
      </c>
      <c r="I562" s="14" t="s">
        <v>191</v>
      </c>
      <c r="J562" s="0" t="s">
        <v>153</v>
      </c>
      <c r="K562" s="0" t="s">
        <v>154</v>
      </c>
      <c r="L562" s="0" t="s">
        <v>306</v>
      </c>
      <c r="M562" s="0" t="s">
        <v>135</v>
      </c>
      <c r="N562" s="0" t="s">
        <v>136</v>
      </c>
      <c r="O562" s="0" t="s">
        <v>643</v>
      </c>
      <c r="Q562" s="0" t="s">
        <v>130</v>
      </c>
      <c r="R562" s="0" t="s">
        <v>138</v>
      </c>
      <c r="S562" s="14">
        <v>0</v>
      </c>
      <c r="T562" s="0" t="s">
        <v>148</v>
      </c>
      <c r="U562" s="0" t="s">
        <v>138</v>
      </c>
      <c r="V562" s="14" t="s">
        <v>138</v>
      </c>
      <c r="W562" s="0" t="s">
        <v>138</v>
      </c>
      <c r="X562" s="14" t="s">
        <v>138</v>
      </c>
      <c r="Y562" s="0" t="s">
        <v>138</v>
      </c>
      <c r="Z562" s="14" t="s">
        <v>138</v>
      </c>
      <c r="AA562" s="0" t="s">
        <v>138</v>
      </c>
      <c r="AB562" s="14" t="s">
        <v>138</v>
      </c>
      <c r="AD562" s="0" t="s">
        <v>138</v>
      </c>
      <c r="AF562" s="0">
        <v>0</v>
      </c>
      <c r="AG562" s="0">
        <v>0</v>
      </c>
      <c r="AH562" s="0" t="s">
        <v>140</v>
      </c>
      <c r="AI562" s="0" t="s">
        <v>138</v>
      </c>
      <c r="AL562" s="14"/>
      <c r="AN562" s="14"/>
      <c r="AQ562" s="0" t="s">
        <v>130</v>
      </c>
      <c r="AR562" s="0" t="s">
        <v>130</v>
      </c>
      <c r="AS562" s="0" t="s">
        <v>130</v>
      </c>
      <c r="AT562" s="0" t="s">
        <v>130</v>
      </c>
      <c r="AU562" s="0" t="s">
        <v>130</v>
      </c>
      <c r="AV562" s="0" t="s">
        <v>130</v>
      </c>
      <c r="AW562" s="0" t="s">
        <v>130</v>
      </c>
      <c r="AX562" s="0" t="s">
        <v>141</v>
      </c>
      <c r="AY562" s="0" t="s">
        <v>130</v>
      </c>
      <c r="AZ562" s="0" t="s">
        <v>141</v>
      </c>
      <c r="BA562" s="0" t="s">
        <v>130</v>
      </c>
      <c r="BB562" s="0" t="s">
        <v>130</v>
      </c>
      <c r="BC562" s="0" t="s">
        <v>130</v>
      </c>
      <c r="BD562" s="0" t="s">
        <v>130</v>
      </c>
      <c r="BE562" s="0" t="s">
        <v>130</v>
      </c>
      <c r="BF562" s="0" t="s">
        <v>130</v>
      </c>
      <c r="BG562" s="0" t="s">
        <v>130</v>
      </c>
      <c r="BH562" s="0" t="s">
        <v>130</v>
      </c>
      <c r="BI562" s="0" t="s">
        <v>130</v>
      </c>
      <c r="BJ562" s="0" t="s">
        <v>130</v>
      </c>
      <c r="BK562" s="0" t="s">
        <v>130</v>
      </c>
      <c r="BL562" s="0" t="s">
        <v>130</v>
      </c>
      <c r="BM562" s="0" t="s">
        <v>130</v>
      </c>
      <c r="BN562" s="0" t="s">
        <v>130</v>
      </c>
      <c r="BO562" s="0" t="s">
        <v>130</v>
      </c>
      <c r="BP562" s="0" t="s">
        <v>141</v>
      </c>
      <c r="BQ562" s="0" t="s">
        <v>130</v>
      </c>
      <c r="BR562" s="0" t="s">
        <v>130</v>
      </c>
      <c r="BS562" s="0" t="s">
        <v>130</v>
      </c>
      <c r="BT562" s="0" t="s">
        <v>130</v>
      </c>
      <c r="BU562" s="0" t="s">
        <v>130</v>
      </c>
      <c r="BV562" s="0" t="s">
        <v>130</v>
      </c>
      <c r="BW562" s="0" t="s">
        <v>130</v>
      </c>
      <c r="BX562" s="0" t="s">
        <v>130</v>
      </c>
      <c r="BY562" s="0" t="s">
        <v>130</v>
      </c>
      <c r="BZ562" s="0" t="s">
        <v>130</v>
      </c>
      <c r="CA562" s="0" t="s">
        <v>130</v>
      </c>
      <c r="CB562" s="0" t="s">
        <v>130</v>
      </c>
      <c r="CC562" s="0" t="s">
        <v>130</v>
      </c>
      <c r="CD562" s="0" t="s">
        <v>130</v>
      </c>
      <c r="CE562" s="0" t="s">
        <v>130</v>
      </c>
      <c r="CF562" s="0" t="s">
        <v>130</v>
      </c>
      <c r="CG562" s="0" t="s">
        <v>130</v>
      </c>
      <c r="CH562" s="0" t="s">
        <v>130</v>
      </c>
      <c r="CI562" s="0" t="s">
        <v>130</v>
      </c>
      <c r="CJ562" s="0" t="s">
        <v>130</v>
      </c>
      <c r="CK562" s="0" t="s">
        <v>130</v>
      </c>
      <c r="CL562" s="0" t="s">
        <v>130</v>
      </c>
      <c r="CM562" s="0" t="s">
        <v>130</v>
      </c>
      <c r="CN562" s="0" t="s">
        <v>130</v>
      </c>
      <c r="CO562" s="0" t="s">
        <v>130</v>
      </c>
      <c r="CP562" s="0" t="s">
        <v>130</v>
      </c>
      <c r="CQ562" s="0" t="s">
        <v>130</v>
      </c>
      <c r="CR562" s="0" t="s">
        <v>130</v>
      </c>
      <c r="CS562" s="0" t="s">
        <v>130</v>
      </c>
      <c r="CT562" s="0" t="s">
        <v>1866</v>
      </c>
    </row>
    <row r="563">
      <c r="A563" s="14">
        <v>101639</v>
      </c>
      <c r="B563" s="0" t="s">
        <v>1867</v>
      </c>
      <c r="C563" s="16">
        <f>HYPERLINK("https://eosportal.federatedhermes.com/companies/Q29tcGFueQppNzU2NzE=", "West Pharmaceutical Services Inc")</f>
      </c>
      <c r="D563" s="0" t="s">
        <v>25</v>
      </c>
      <c r="E563" s="0" t="s">
        <v>1868</v>
      </c>
      <c r="F563" s="16">
        <f>HYPERLINK("https://eosportal.federatedhermes.com/engagements/RW5nYWdlbWVudAppMjA5ODA=", "COVID Response")</f>
      </c>
      <c r="G563" s="14" t="s">
        <v>1869</v>
      </c>
      <c r="H563" s="0" t="s">
        <v>130</v>
      </c>
      <c r="I563" s="14" t="s">
        <v>131</v>
      </c>
      <c r="J563" s="0" t="s">
        <v>153</v>
      </c>
      <c r="K563" s="0" t="s">
        <v>154</v>
      </c>
      <c r="L563" s="0" t="s">
        <v>155</v>
      </c>
      <c r="M563" s="0" t="s">
        <v>135</v>
      </c>
      <c r="N563" s="0" t="s">
        <v>136</v>
      </c>
      <c r="O563" s="0" t="s">
        <v>274</v>
      </c>
      <c r="Q563" s="0" t="s">
        <v>130</v>
      </c>
      <c r="R563" s="0" t="s">
        <v>138</v>
      </c>
      <c r="S563" s="14">
        <v>0</v>
      </c>
      <c r="T563" s="0" t="s">
        <v>148</v>
      </c>
      <c r="U563" s="0" t="s">
        <v>138</v>
      </c>
      <c r="V563" s="14" t="s">
        <v>138</v>
      </c>
      <c r="W563" s="0" t="s">
        <v>138</v>
      </c>
      <c r="X563" s="14" t="s">
        <v>138</v>
      </c>
      <c r="Y563" s="0" t="s">
        <v>138</v>
      </c>
      <c r="Z563" s="14" t="s">
        <v>138</v>
      </c>
      <c r="AA563" s="0" t="s">
        <v>138</v>
      </c>
      <c r="AB563" s="14" t="s">
        <v>138</v>
      </c>
      <c r="AD563" s="0" t="s">
        <v>138</v>
      </c>
      <c r="AF563" s="0">
        <v>0</v>
      </c>
      <c r="AG563" s="0">
        <v>0</v>
      </c>
      <c r="AH563" s="0" t="s">
        <v>140</v>
      </c>
      <c r="AI563" s="0" t="s">
        <v>138</v>
      </c>
      <c r="AL563" s="14"/>
      <c r="AN563" s="14"/>
      <c r="AQ563" s="0" t="s">
        <v>130</v>
      </c>
      <c r="AR563" s="0" t="s">
        <v>130</v>
      </c>
      <c r="AS563" s="0" t="s">
        <v>130</v>
      </c>
      <c r="AT563" s="0" t="s">
        <v>130</v>
      </c>
      <c r="AU563" s="0" t="s">
        <v>130</v>
      </c>
      <c r="AV563" s="0" t="s">
        <v>130</v>
      </c>
      <c r="AW563" s="0" t="s">
        <v>130</v>
      </c>
      <c r="AX563" s="0" t="s">
        <v>141</v>
      </c>
      <c r="AY563" s="0" t="s">
        <v>130</v>
      </c>
      <c r="AZ563" s="0" t="s">
        <v>130</v>
      </c>
      <c r="BA563" s="0" t="s">
        <v>130</v>
      </c>
      <c r="BB563" s="0" t="s">
        <v>130</v>
      </c>
      <c r="BC563" s="0" t="s">
        <v>130</v>
      </c>
      <c r="BD563" s="0" t="s">
        <v>130</v>
      </c>
      <c r="BE563" s="0" t="s">
        <v>130</v>
      </c>
      <c r="BF563" s="0" t="s">
        <v>130</v>
      </c>
      <c r="BG563" s="0" t="s">
        <v>130</v>
      </c>
      <c r="BH563" s="0" t="s">
        <v>130</v>
      </c>
      <c r="BI563" s="0" t="s">
        <v>130</v>
      </c>
      <c r="BJ563" s="0" t="s">
        <v>130</v>
      </c>
      <c r="BK563" s="0" t="s">
        <v>130</v>
      </c>
      <c r="BL563" s="0" t="s">
        <v>130</v>
      </c>
      <c r="BM563" s="0" t="s">
        <v>130</v>
      </c>
      <c r="BN563" s="0" t="s">
        <v>130</v>
      </c>
      <c r="BO563" s="0" t="s">
        <v>130</v>
      </c>
      <c r="BP563" s="0" t="s">
        <v>130</v>
      </c>
      <c r="BQ563" s="0" t="s">
        <v>130</v>
      </c>
      <c r="BR563" s="0" t="s">
        <v>130</v>
      </c>
      <c r="BS563" s="0" t="s">
        <v>130</v>
      </c>
      <c r="BT563" s="0" t="s">
        <v>130</v>
      </c>
      <c r="BU563" s="0" t="s">
        <v>130</v>
      </c>
      <c r="BV563" s="0" t="s">
        <v>130</v>
      </c>
      <c r="BW563" s="0" t="s">
        <v>130</v>
      </c>
      <c r="BX563" s="0" t="s">
        <v>130</v>
      </c>
      <c r="BY563" s="0" t="s">
        <v>130</v>
      </c>
      <c r="BZ563" s="0" t="s">
        <v>130</v>
      </c>
      <c r="CA563" s="0" t="s">
        <v>130</v>
      </c>
      <c r="CB563" s="0" t="s">
        <v>130</v>
      </c>
      <c r="CC563" s="0" t="s">
        <v>130</v>
      </c>
      <c r="CD563" s="0" t="s">
        <v>130</v>
      </c>
      <c r="CE563" s="0" t="s">
        <v>130</v>
      </c>
      <c r="CF563" s="0" t="s">
        <v>130</v>
      </c>
      <c r="CG563" s="0" t="s">
        <v>130</v>
      </c>
      <c r="CH563" s="0" t="s">
        <v>130</v>
      </c>
      <c r="CI563" s="0" t="s">
        <v>141</v>
      </c>
      <c r="CJ563" s="0" t="s">
        <v>130</v>
      </c>
      <c r="CK563" s="0" t="s">
        <v>130</v>
      </c>
      <c r="CL563" s="0" t="s">
        <v>130</v>
      </c>
      <c r="CM563" s="0" t="s">
        <v>130</v>
      </c>
      <c r="CN563" s="0" t="s">
        <v>130</v>
      </c>
      <c r="CO563" s="0" t="s">
        <v>130</v>
      </c>
      <c r="CP563" s="0" t="s">
        <v>130</v>
      </c>
      <c r="CQ563" s="0" t="s">
        <v>130</v>
      </c>
      <c r="CR563" s="0" t="s">
        <v>130</v>
      </c>
      <c r="CS563" s="0" t="s">
        <v>130</v>
      </c>
      <c r="CT563" s="0" t="s">
        <v>1870</v>
      </c>
    </row>
    <row r="564">
      <c r="A564" s="14">
        <v>101639</v>
      </c>
      <c r="B564" s="0" t="s">
        <v>1867</v>
      </c>
      <c r="C564" s="16">
        <f>HYPERLINK("https://eosportal.federatedhermes.com/companies/Q29tcGFueQppNzU2NzE=", "West Pharmaceutical Services Inc")</f>
      </c>
      <c r="D564" s="0" t="s">
        <v>25</v>
      </c>
      <c r="E564" s="0" t="s">
        <v>1871</v>
      </c>
      <c r="F564" s="16">
        <f>HYPERLINK("https://eosportal.federatedhermes.com/engagements/RW5nYWdlbWVudAppMjA5ODE=", "Women and Covid-19")</f>
      </c>
      <c r="G564" s="14" t="s">
        <v>1872</v>
      </c>
      <c r="H564" s="0" t="s">
        <v>130</v>
      </c>
      <c r="I564" s="14" t="s">
        <v>131</v>
      </c>
      <c r="J564" s="0" t="s">
        <v>153</v>
      </c>
      <c r="K564" s="0" t="s">
        <v>154</v>
      </c>
      <c r="L564" s="0" t="s">
        <v>155</v>
      </c>
      <c r="M564" s="0" t="s">
        <v>135</v>
      </c>
      <c r="N564" s="0" t="s">
        <v>136</v>
      </c>
      <c r="O564" s="0" t="s">
        <v>274</v>
      </c>
      <c r="Q564" s="0" t="s">
        <v>130</v>
      </c>
      <c r="R564" s="0" t="s">
        <v>138</v>
      </c>
      <c r="S564" s="14">
        <v>0</v>
      </c>
      <c r="T564" s="0" t="s">
        <v>206</v>
      </c>
      <c r="U564" s="0" t="s">
        <v>138</v>
      </c>
      <c r="V564" s="14" t="s">
        <v>138</v>
      </c>
      <c r="W564" s="0" t="s">
        <v>138</v>
      </c>
      <c r="X564" s="14" t="s">
        <v>138</v>
      </c>
      <c r="Y564" s="0" t="s">
        <v>138</v>
      </c>
      <c r="Z564" s="14" t="s">
        <v>138</v>
      </c>
      <c r="AA564" s="0" t="s">
        <v>138</v>
      </c>
      <c r="AB564" s="14" t="s">
        <v>138</v>
      </c>
      <c r="AD564" s="0" t="s">
        <v>138</v>
      </c>
      <c r="AF564" s="0">
        <v>0</v>
      </c>
      <c r="AG564" s="0">
        <v>0</v>
      </c>
      <c r="AH564" s="0" t="s">
        <v>140</v>
      </c>
      <c r="AI564" s="0" t="s">
        <v>138</v>
      </c>
      <c r="AL564" s="14"/>
      <c r="AN564" s="14"/>
      <c r="AQ564" s="0" t="s">
        <v>130</v>
      </c>
      <c r="AR564" s="0" t="s">
        <v>130</v>
      </c>
      <c r="AS564" s="0" t="s">
        <v>130</v>
      </c>
      <c r="AT564" s="0" t="s">
        <v>130</v>
      </c>
      <c r="AU564" s="0" t="s">
        <v>141</v>
      </c>
      <c r="AV564" s="0" t="s">
        <v>130</v>
      </c>
      <c r="AW564" s="0" t="s">
        <v>130</v>
      </c>
      <c r="AX564" s="0" t="s">
        <v>141</v>
      </c>
      <c r="AY564" s="0" t="s">
        <v>130</v>
      </c>
      <c r="AZ564" s="0" t="s">
        <v>141</v>
      </c>
      <c r="BA564" s="0" t="s">
        <v>130</v>
      </c>
      <c r="BB564" s="0" t="s">
        <v>130</v>
      </c>
      <c r="BC564" s="0" t="s">
        <v>130</v>
      </c>
      <c r="BD564" s="0" t="s">
        <v>130</v>
      </c>
      <c r="BE564" s="0" t="s">
        <v>130</v>
      </c>
      <c r="BF564" s="0" t="s">
        <v>130</v>
      </c>
      <c r="BG564" s="0" t="s">
        <v>130</v>
      </c>
      <c r="BH564" s="0" t="s">
        <v>130</v>
      </c>
      <c r="BI564" s="0" t="s">
        <v>130</v>
      </c>
      <c r="BJ564" s="0" t="s">
        <v>130</v>
      </c>
      <c r="BK564" s="0" t="s">
        <v>130</v>
      </c>
      <c r="BL564" s="0" t="s">
        <v>130</v>
      </c>
      <c r="BM564" s="0" t="s">
        <v>130</v>
      </c>
      <c r="BN564" s="0" t="s">
        <v>130</v>
      </c>
      <c r="BO564" s="0" t="s">
        <v>130</v>
      </c>
      <c r="BP564" s="0" t="s">
        <v>130</v>
      </c>
      <c r="BQ564" s="0" t="s">
        <v>130</v>
      </c>
      <c r="BR564" s="0" t="s">
        <v>130</v>
      </c>
      <c r="BS564" s="0" t="s">
        <v>130</v>
      </c>
      <c r="BT564" s="0" t="s">
        <v>130</v>
      </c>
      <c r="BU564" s="0" t="s">
        <v>130</v>
      </c>
      <c r="BV564" s="0" t="s">
        <v>130</v>
      </c>
      <c r="BW564" s="0" t="s">
        <v>130</v>
      </c>
      <c r="BX564" s="0" t="s">
        <v>130</v>
      </c>
      <c r="BY564" s="0" t="s">
        <v>130</v>
      </c>
      <c r="BZ564" s="0" t="s">
        <v>130</v>
      </c>
      <c r="CA564" s="0" t="s">
        <v>130</v>
      </c>
      <c r="CB564" s="0" t="s">
        <v>130</v>
      </c>
      <c r="CC564" s="0" t="s">
        <v>130</v>
      </c>
      <c r="CD564" s="0" t="s">
        <v>130</v>
      </c>
      <c r="CE564" s="0" t="s">
        <v>130</v>
      </c>
      <c r="CF564" s="0" t="s">
        <v>130</v>
      </c>
      <c r="CG564" s="0" t="s">
        <v>130</v>
      </c>
      <c r="CH564" s="0" t="s">
        <v>130</v>
      </c>
      <c r="CI564" s="0" t="s">
        <v>141</v>
      </c>
      <c r="CJ564" s="0" t="s">
        <v>130</v>
      </c>
      <c r="CK564" s="0" t="s">
        <v>130</v>
      </c>
      <c r="CL564" s="0" t="s">
        <v>130</v>
      </c>
      <c r="CM564" s="0" t="s">
        <v>130</v>
      </c>
      <c r="CN564" s="0" t="s">
        <v>130</v>
      </c>
      <c r="CO564" s="0" t="s">
        <v>130</v>
      </c>
      <c r="CP564" s="0" t="s">
        <v>130</v>
      </c>
      <c r="CQ564" s="0" t="s">
        <v>130</v>
      </c>
      <c r="CR564" s="0" t="s">
        <v>130</v>
      </c>
      <c r="CS564" s="0" t="s">
        <v>130</v>
      </c>
      <c r="CT564" s="0" t="s">
        <v>1873</v>
      </c>
    </row>
    <row r="565">
      <c r="A565" s="14">
        <v>101639</v>
      </c>
      <c r="B565" s="0" t="s">
        <v>1867</v>
      </c>
      <c r="C565" s="16">
        <f>HYPERLINK("https://eosportal.federatedhermes.com/companies/Q29tcGFueQppNzU2NzE=", "West Pharmaceutical Services Inc")</f>
      </c>
      <c r="D565" s="0" t="s">
        <v>25</v>
      </c>
      <c r="E565" s="0" t="s">
        <v>968</v>
      </c>
      <c r="F565" s="16">
        <f>HYPERLINK("https://eosportal.federatedhermes.com/engagements/RW5nYWdlbWVudAppMjA5ODI=", "Board effectiveness")</f>
      </c>
      <c r="G565" s="14" t="s">
        <v>1874</v>
      </c>
      <c r="H565" s="0" t="s">
        <v>130</v>
      </c>
      <c r="I565" s="14" t="s">
        <v>131</v>
      </c>
      <c r="J565" s="0" t="s">
        <v>145</v>
      </c>
      <c r="K565" s="0" t="s">
        <v>164</v>
      </c>
      <c r="L565" s="0" t="s">
        <v>165</v>
      </c>
      <c r="M565" s="0" t="s">
        <v>135</v>
      </c>
      <c r="N565" s="0" t="s">
        <v>136</v>
      </c>
      <c r="O565" s="0" t="s">
        <v>274</v>
      </c>
      <c r="Q565" s="0" t="s">
        <v>130</v>
      </c>
      <c r="R565" s="0" t="s">
        <v>138</v>
      </c>
      <c r="S565" s="14">
        <v>0</v>
      </c>
      <c r="T565" s="0" t="s">
        <v>239</v>
      </c>
      <c r="U565" s="0" t="s">
        <v>138</v>
      </c>
      <c r="V565" s="14" t="s">
        <v>138</v>
      </c>
      <c r="W565" s="0" t="s">
        <v>138</v>
      </c>
      <c r="X565" s="14" t="s">
        <v>138</v>
      </c>
      <c r="Y565" s="0" t="s">
        <v>138</v>
      </c>
      <c r="Z565" s="14" t="s">
        <v>138</v>
      </c>
      <c r="AA565" s="0" t="s">
        <v>138</v>
      </c>
      <c r="AB565" s="14" t="s">
        <v>138</v>
      </c>
      <c r="AD565" s="0" t="s">
        <v>138</v>
      </c>
      <c r="AF565" s="0">
        <v>0</v>
      </c>
      <c r="AG565" s="0">
        <v>0</v>
      </c>
      <c r="AH565" s="0" t="s">
        <v>140</v>
      </c>
      <c r="AI565" s="0" t="s">
        <v>138</v>
      </c>
      <c r="AL565" s="14"/>
      <c r="AN565" s="14"/>
      <c r="AQ565" s="0" t="s">
        <v>130</v>
      </c>
      <c r="AR565" s="0" t="s">
        <v>130</v>
      </c>
      <c r="AS565" s="0" t="s">
        <v>130</v>
      </c>
      <c r="AT565" s="0" t="s">
        <v>130</v>
      </c>
      <c r="AU565" s="0" t="s">
        <v>130</v>
      </c>
      <c r="AV565" s="0" t="s">
        <v>130</v>
      </c>
      <c r="AW565" s="0" t="s">
        <v>130</v>
      </c>
      <c r="AX565" s="0" t="s">
        <v>130</v>
      </c>
      <c r="AY565" s="0" t="s">
        <v>130</v>
      </c>
      <c r="AZ565" s="0" t="s">
        <v>130</v>
      </c>
      <c r="BA565" s="0" t="s">
        <v>130</v>
      </c>
      <c r="BB565" s="0" t="s">
        <v>130</v>
      </c>
      <c r="BC565" s="0" t="s">
        <v>130</v>
      </c>
      <c r="BD565" s="0" t="s">
        <v>130</v>
      </c>
      <c r="BE565" s="0" t="s">
        <v>130</v>
      </c>
      <c r="BF565" s="0" t="s">
        <v>130</v>
      </c>
      <c r="BG565" s="0" t="s">
        <v>130</v>
      </c>
      <c r="BH565" s="0" t="s">
        <v>130</v>
      </c>
      <c r="BI565" s="0" t="s">
        <v>130</v>
      </c>
      <c r="BJ565" s="0" t="s">
        <v>130</v>
      </c>
      <c r="BK565" s="0" t="s">
        <v>130</v>
      </c>
      <c r="BL565" s="0" t="s">
        <v>130</v>
      </c>
      <c r="BM565" s="0" t="s">
        <v>130</v>
      </c>
      <c r="BN565" s="0" t="s">
        <v>130</v>
      </c>
      <c r="BO565" s="0" t="s">
        <v>130</v>
      </c>
      <c r="BP565" s="0" t="s">
        <v>130</v>
      </c>
      <c r="BQ565" s="0" t="s">
        <v>130</v>
      </c>
      <c r="BR565" s="0" t="s">
        <v>130</v>
      </c>
      <c r="BS565" s="0" t="s">
        <v>130</v>
      </c>
      <c r="BT565" s="0" t="s">
        <v>130</v>
      </c>
      <c r="BU565" s="0" t="s">
        <v>130</v>
      </c>
      <c r="BV565" s="0" t="s">
        <v>130</v>
      </c>
      <c r="BW565" s="0" t="s">
        <v>130</v>
      </c>
      <c r="BX565" s="0" t="s">
        <v>130</v>
      </c>
      <c r="BY565" s="0" t="s">
        <v>130</v>
      </c>
      <c r="BZ565" s="0" t="s">
        <v>130</v>
      </c>
      <c r="CA565" s="0" t="s">
        <v>130</v>
      </c>
      <c r="CB565" s="0" t="s">
        <v>130</v>
      </c>
      <c r="CC565" s="0" t="s">
        <v>130</v>
      </c>
      <c r="CD565" s="0" t="s">
        <v>130</v>
      </c>
      <c r="CE565" s="0" t="s">
        <v>130</v>
      </c>
      <c r="CF565" s="0" t="s">
        <v>130</v>
      </c>
      <c r="CG565" s="0" t="s">
        <v>130</v>
      </c>
      <c r="CH565" s="0" t="s">
        <v>130</v>
      </c>
      <c r="CI565" s="0" t="s">
        <v>130</v>
      </c>
      <c r="CJ565" s="0" t="s">
        <v>130</v>
      </c>
      <c r="CK565" s="0" t="s">
        <v>130</v>
      </c>
      <c r="CL565" s="0" t="s">
        <v>130</v>
      </c>
      <c r="CM565" s="0" t="s">
        <v>130</v>
      </c>
      <c r="CN565" s="0" t="s">
        <v>130</v>
      </c>
      <c r="CO565" s="0" t="s">
        <v>130</v>
      </c>
      <c r="CP565" s="0" t="s">
        <v>130</v>
      </c>
      <c r="CQ565" s="0" t="s">
        <v>130</v>
      </c>
      <c r="CR565" s="0" t="s">
        <v>130</v>
      </c>
      <c r="CS565" s="0" t="s">
        <v>130</v>
      </c>
      <c r="CT565" s="0" t="s">
        <v>1875</v>
      </c>
    </row>
    <row r="566">
      <c r="A566" s="14">
        <v>101639</v>
      </c>
      <c r="B566" s="0" t="s">
        <v>1867</v>
      </c>
      <c r="C566" s="16">
        <f>HYPERLINK("https://eosportal.federatedhermes.com/companies/Q29tcGFueQppNzU2NzE=", "West Pharmaceutical Services Inc")</f>
      </c>
      <c r="D566" s="0" t="s">
        <v>25</v>
      </c>
      <c r="E566" s="0" t="s">
        <v>1741</v>
      </c>
      <c r="F566" s="16">
        <f>HYPERLINK("https://eosportal.federatedhermes.com/engagements/RW5nYWdlbWVudAppMjA5ODM=", "Access to healthcare")</f>
      </c>
      <c r="G566" s="14" t="s">
        <v>1876</v>
      </c>
      <c r="H566" s="0" t="s">
        <v>130</v>
      </c>
      <c r="I566" s="14" t="s">
        <v>131</v>
      </c>
      <c r="J566" s="0" t="s">
        <v>153</v>
      </c>
      <c r="K566" s="0" t="s">
        <v>243</v>
      </c>
      <c r="L566" s="0" t="s">
        <v>292</v>
      </c>
      <c r="M566" s="0" t="s">
        <v>135</v>
      </c>
      <c r="N566" s="0" t="s">
        <v>136</v>
      </c>
      <c r="O566" s="0" t="s">
        <v>274</v>
      </c>
      <c r="Q566" s="0" t="s">
        <v>130</v>
      </c>
      <c r="R566" s="0" t="s">
        <v>138</v>
      </c>
      <c r="S566" s="14">
        <v>0</v>
      </c>
      <c r="T566" s="0" t="s">
        <v>333</v>
      </c>
      <c r="U566" s="0" t="s">
        <v>138</v>
      </c>
      <c r="V566" s="14" t="s">
        <v>138</v>
      </c>
      <c r="W566" s="0" t="s">
        <v>138</v>
      </c>
      <c r="X566" s="14" t="s">
        <v>138</v>
      </c>
      <c r="Y566" s="0" t="s">
        <v>138</v>
      </c>
      <c r="Z566" s="14" t="s">
        <v>138</v>
      </c>
      <c r="AA566" s="0" t="s">
        <v>138</v>
      </c>
      <c r="AB566" s="14" t="s">
        <v>138</v>
      </c>
      <c r="AD566" s="0" t="s">
        <v>138</v>
      </c>
      <c r="AF566" s="0">
        <v>0</v>
      </c>
      <c r="AG566" s="0">
        <v>0</v>
      </c>
      <c r="AH566" s="0" t="s">
        <v>140</v>
      </c>
      <c r="AI566" s="0" t="s">
        <v>138</v>
      </c>
      <c r="AL566" s="14"/>
      <c r="AN566" s="14"/>
      <c r="AQ566" s="0" t="s">
        <v>141</v>
      </c>
      <c r="AR566" s="0" t="s">
        <v>130</v>
      </c>
      <c r="AS566" s="0" t="s">
        <v>141</v>
      </c>
      <c r="AT566" s="0" t="s">
        <v>130</v>
      </c>
      <c r="AU566" s="0" t="s">
        <v>130</v>
      </c>
      <c r="AV566" s="0" t="s">
        <v>130</v>
      </c>
      <c r="AW566" s="0" t="s">
        <v>130</v>
      </c>
      <c r="AX566" s="0" t="s">
        <v>130</v>
      </c>
      <c r="AY566" s="0" t="s">
        <v>130</v>
      </c>
      <c r="AZ566" s="0" t="s">
        <v>130</v>
      </c>
      <c r="BA566" s="0" t="s">
        <v>130</v>
      </c>
      <c r="BB566" s="0" t="s">
        <v>130</v>
      </c>
      <c r="BC566" s="0" t="s">
        <v>130</v>
      </c>
      <c r="BD566" s="0" t="s">
        <v>130</v>
      </c>
      <c r="BE566" s="0" t="s">
        <v>130</v>
      </c>
      <c r="BF566" s="0" t="s">
        <v>130</v>
      </c>
      <c r="BG566" s="0" t="s">
        <v>141</v>
      </c>
      <c r="BH566" s="0" t="s">
        <v>130</v>
      </c>
      <c r="BI566" s="0" t="s">
        <v>130</v>
      </c>
      <c r="BJ566" s="0" t="s">
        <v>130</v>
      </c>
      <c r="BK566" s="0" t="s">
        <v>130</v>
      </c>
      <c r="BL566" s="0" t="s">
        <v>130</v>
      </c>
      <c r="BM566" s="0" t="s">
        <v>130</v>
      </c>
      <c r="BN566" s="0" t="s">
        <v>130</v>
      </c>
      <c r="BO566" s="0" t="s">
        <v>130</v>
      </c>
      <c r="BP566" s="0" t="s">
        <v>130</v>
      </c>
      <c r="BQ566" s="0" t="s">
        <v>130</v>
      </c>
      <c r="BR566" s="0" t="s">
        <v>130</v>
      </c>
      <c r="BS566" s="0" t="s">
        <v>130</v>
      </c>
      <c r="BT566" s="0" t="s">
        <v>130</v>
      </c>
      <c r="BU566" s="0" t="s">
        <v>130</v>
      </c>
      <c r="BV566" s="0" t="s">
        <v>130</v>
      </c>
      <c r="BW566" s="0" t="s">
        <v>130</v>
      </c>
      <c r="BX566" s="0" t="s">
        <v>130</v>
      </c>
      <c r="BY566" s="0" t="s">
        <v>130</v>
      </c>
      <c r="BZ566" s="0" t="s">
        <v>130</v>
      </c>
      <c r="CA566" s="0" t="s">
        <v>130</v>
      </c>
      <c r="CB566" s="0" t="s">
        <v>130</v>
      </c>
      <c r="CC566" s="0" t="s">
        <v>130</v>
      </c>
      <c r="CD566" s="0" t="s">
        <v>130</v>
      </c>
      <c r="CE566" s="0" t="s">
        <v>130</v>
      </c>
      <c r="CF566" s="0" t="s">
        <v>130</v>
      </c>
      <c r="CG566" s="0" t="s">
        <v>130</v>
      </c>
      <c r="CH566" s="0" t="s">
        <v>130</v>
      </c>
      <c r="CI566" s="0" t="s">
        <v>130</v>
      </c>
      <c r="CJ566" s="0" t="s">
        <v>130</v>
      </c>
      <c r="CK566" s="0" t="s">
        <v>130</v>
      </c>
      <c r="CL566" s="0" t="s">
        <v>130</v>
      </c>
      <c r="CM566" s="0" t="s">
        <v>130</v>
      </c>
      <c r="CN566" s="0" t="s">
        <v>130</v>
      </c>
      <c r="CO566" s="0" t="s">
        <v>130</v>
      </c>
      <c r="CP566" s="0" t="s">
        <v>130</v>
      </c>
      <c r="CQ566" s="0" t="s">
        <v>130</v>
      </c>
      <c r="CR566" s="0" t="s">
        <v>130</v>
      </c>
      <c r="CS566" s="0" t="s">
        <v>130</v>
      </c>
      <c r="CT566" s="0" t="s">
        <v>1877</v>
      </c>
    </row>
    <row r="567">
      <c r="A567" s="14">
        <v>101639</v>
      </c>
      <c r="B567" s="0" t="s">
        <v>1867</v>
      </c>
      <c r="C567" s="16">
        <f>HYPERLINK("https://eosportal.federatedhermes.com/companies/Q29tcGFueQppNzU2NzE=", "West Pharmaceutical Services Inc")</f>
      </c>
      <c r="D567" s="0" t="s">
        <v>25</v>
      </c>
      <c r="E567" s="0" t="s">
        <v>1878</v>
      </c>
      <c r="F567" s="16">
        <f>HYPERLINK("https://eosportal.federatedhermes.com/engagements/RW5nYWdlbWVudAppMjA5ODQ=", "Shareholder engagement")</f>
      </c>
      <c r="G567" s="14" t="s">
        <v>1879</v>
      </c>
      <c r="H567" s="0" t="s">
        <v>130</v>
      </c>
      <c r="I567" s="14" t="s">
        <v>131</v>
      </c>
      <c r="J567" s="0" t="s">
        <v>145</v>
      </c>
      <c r="K567" s="0" t="s">
        <v>400</v>
      </c>
      <c r="L567" s="0" t="s">
        <v>401</v>
      </c>
      <c r="M567" s="0" t="s">
        <v>135</v>
      </c>
      <c r="N567" s="0" t="s">
        <v>136</v>
      </c>
      <c r="O567" s="0" t="s">
        <v>274</v>
      </c>
      <c r="Q567" s="0" t="s">
        <v>130</v>
      </c>
      <c r="R567" s="0" t="s">
        <v>138</v>
      </c>
      <c r="S567" s="14">
        <v>0</v>
      </c>
      <c r="T567" s="0" t="s">
        <v>239</v>
      </c>
      <c r="U567" s="0" t="s">
        <v>138</v>
      </c>
      <c r="V567" s="14" t="s">
        <v>138</v>
      </c>
      <c r="W567" s="0" t="s">
        <v>138</v>
      </c>
      <c r="X567" s="14" t="s">
        <v>138</v>
      </c>
      <c r="Y567" s="0" t="s">
        <v>138</v>
      </c>
      <c r="Z567" s="14" t="s">
        <v>138</v>
      </c>
      <c r="AA567" s="0" t="s">
        <v>138</v>
      </c>
      <c r="AB567" s="14" t="s">
        <v>138</v>
      </c>
      <c r="AD567" s="0" t="s">
        <v>138</v>
      </c>
      <c r="AF567" s="0">
        <v>0</v>
      </c>
      <c r="AG567" s="0">
        <v>0</v>
      </c>
      <c r="AH567" s="0" t="s">
        <v>140</v>
      </c>
      <c r="AI567" s="0" t="s">
        <v>138</v>
      </c>
      <c r="AL567" s="14"/>
      <c r="AN567" s="14"/>
      <c r="AQ567" s="0" t="s">
        <v>130</v>
      </c>
      <c r="AR567" s="0" t="s">
        <v>130</v>
      </c>
      <c r="AS567" s="0" t="s">
        <v>130</v>
      </c>
      <c r="AT567" s="0" t="s">
        <v>130</v>
      </c>
      <c r="AU567" s="0" t="s">
        <v>130</v>
      </c>
      <c r="AV567" s="0" t="s">
        <v>130</v>
      </c>
      <c r="AW567" s="0" t="s">
        <v>130</v>
      </c>
      <c r="AX567" s="0" t="s">
        <v>130</v>
      </c>
      <c r="AY567" s="0" t="s">
        <v>130</v>
      </c>
      <c r="AZ567" s="0" t="s">
        <v>130</v>
      </c>
      <c r="BA567" s="0" t="s">
        <v>130</v>
      </c>
      <c r="BB567" s="0" t="s">
        <v>130</v>
      </c>
      <c r="BC567" s="0" t="s">
        <v>130</v>
      </c>
      <c r="BD567" s="0" t="s">
        <v>130</v>
      </c>
      <c r="BE567" s="0" t="s">
        <v>130</v>
      </c>
      <c r="BF567" s="0" t="s">
        <v>130</v>
      </c>
      <c r="BG567" s="0" t="s">
        <v>130</v>
      </c>
      <c r="BH567" s="0" t="s">
        <v>130</v>
      </c>
      <c r="BI567" s="0" t="s">
        <v>130</v>
      </c>
      <c r="BJ567" s="0" t="s">
        <v>130</v>
      </c>
      <c r="BK567" s="0" t="s">
        <v>130</v>
      </c>
      <c r="BL567" s="0" t="s">
        <v>130</v>
      </c>
      <c r="BM567" s="0" t="s">
        <v>130</v>
      </c>
      <c r="BN567" s="0" t="s">
        <v>130</v>
      </c>
      <c r="BO567" s="0" t="s">
        <v>130</v>
      </c>
      <c r="BP567" s="0" t="s">
        <v>130</v>
      </c>
      <c r="BQ567" s="0" t="s">
        <v>130</v>
      </c>
      <c r="BR567" s="0" t="s">
        <v>130</v>
      </c>
      <c r="BS567" s="0" t="s">
        <v>130</v>
      </c>
      <c r="BT567" s="0" t="s">
        <v>130</v>
      </c>
      <c r="BU567" s="0" t="s">
        <v>130</v>
      </c>
      <c r="BV567" s="0" t="s">
        <v>130</v>
      </c>
      <c r="BW567" s="0" t="s">
        <v>130</v>
      </c>
      <c r="BX567" s="0" t="s">
        <v>130</v>
      </c>
      <c r="BY567" s="0" t="s">
        <v>130</v>
      </c>
      <c r="BZ567" s="0" t="s">
        <v>130</v>
      </c>
      <c r="CA567" s="0" t="s">
        <v>130</v>
      </c>
      <c r="CB567" s="0" t="s">
        <v>130</v>
      </c>
      <c r="CC567" s="0" t="s">
        <v>130</v>
      </c>
      <c r="CD567" s="0" t="s">
        <v>130</v>
      </c>
      <c r="CE567" s="0" t="s">
        <v>130</v>
      </c>
      <c r="CF567" s="0" t="s">
        <v>130</v>
      </c>
      <c r="CG567" s="0" t="s">
        <v>130</v>
      </c>
      <c r="CH567" s="0" t="s">
        <v>130</v>
      </c>
      <c r="CI567" s="0" t="s">
        <v>130</v>
      </c>
      <c r="CJ567" s="0" t="s">
        <v>130</v>
      </c>
      <c r="CK567" s="0" t="s">
        <v>130</v>
      </c>
      <c r="CL567" s="0" t="s">
        <v>130</v>
      </c>
      <c r="CM567" s="0" t="s">
        <v>130</v>
      </c>
      <c r="CN567" s="0" t="s">
        <v>130</v>
      </c>
      <c r="CO567" s="0" t="s">
        <v>130</v>
      </c>
      <c r="CP567" s="0" t="s">
        <v>130</v>
      </c>
      <c r="CQ567" s="0" t="s">
        <v>130</v>
      </c>
      <c r="CR567" s="0" t="s">
        <v>130</v>
      </c>
      <c r="CS567" s="0" t="s">
        <v>130</v>
      </c>
      <c r="CT567" s="0" t="s">
        <v>1880</v>
      </c>
    </row>
    <row r="568">
      <c r="A568" s="14">
        <v>101639</v>
      </c>
      <c r="B568" s="0" t="s">
        <v>1867</v>
      </c>
      <c r="C568" s="16">
        <f>HYPERLINK("https://eosportal.federatedhermes.com/companies/Q29tcGFueQppNzU2NzE=", "West Pharmaceutical Services Inc")</f>
      </c>
      <c r="D568" s="0" t="s">
        <v>25</v>
      </c>
      <c r="E568" s="0" t="s">
        <v>1881</v>
      </c>
      <c r="F568" s="16">
        <f>HYPERLINK("https://eosportal.federatedhermes.com/engagements/RW5nYWdlbWVudAppMjA5ODU=", "Decent work")</f>
      </c>
      <c r="G568" s="14" t="s">
        <v>1882</v>
      </c>
      <c r="H568" s="0" t="s">
        <v>130</v>
      </c>
      <c r="I568" s="14" t="s">
        <v>131</v>
      </c>
      <c r="J568" s="0" t="s">
        <v>132</v>
      </c>
      <c r="K568" s="0" t="s">
        <v>133</v>
      </c>
      <c r="L568" s="0" t="s">
        <v>160</v>
      </c>
      <c r="M568" s="0" t="s">
        <v>135</v>
      </c>
      <c r="N568" s="0" t="s">
        <v>136</v>
      </c>
      <c r="O568" s="0" t="s">
        <v>274</v>
      </c>
      <c r="Q568" s="0" t="s">
        <v>130</v>
      </c>
      <c r="R568" s="0" t="s">
        <v>138</v>
      </c>
      <c r="S568" s="14">
        <v>0</v>
      </c>
      <c r="T568" s="0" t="s">
        <v>288</v>
      </c>
      <c r="U568" s="0" t="s">
        <v>138</v>
      </c>
      <c r="V568" s="14" t="s">
        <v>138</v>
      </c>
      <c r="W568" s="0" t="s">
        <v>138</v>
      </c>
      <c r="X568" s="14" t="s">
        <v>138</v>
      </c>
      <c r="Y568" s="0" t="s">
        <v>138</v>
      </c>
      <c r="Z568" s="14" t="s">
        <v>138</v>
      </c>
      <c r="AA568" s="0" t="s">
        <v>138</v>
      </c>
      <c r="AB568" s="14" t="s">
        <v>138</v>
      </c>
      <c r="AD568" s="0" t="s">
        <v>138</v>
      </c>
      <c r="AF568" s="0">
        <v>0</v>
      </c>
      <c r="AG568" s="0">
        <v>0</v>
      </c>
      <c r="AH568" s="0" t="s">
        <v>140</v>
      </c>
      <c r="AI568" s="0" t="s">
        <v>138</v>
      </c>
      <c r="AL568" s="14"/>
      <c r="AN568" s="14"/>
      <c r="AQ568" s="0" t="s">
        <v>141</v>
      </c>
      <c r="AR568" s="0" t="s">
        <v>130</v>
      </c>
      <c r="AS568" s="0" t="s">
        <v>141</v>
      </c>
      <c r="AT568" s="0" t="s">
        <v>141</v>
      </c>
      <c r="AU568" s="0" t="s">
        <v>141</v>
      </c>
      <c r="AV568" s="0" t="s">
        <v>130</v>
      </c>
      <c r="AW568" s="0" t="s">
        <v>130</v>
      </c>
      <c r="AX568" s="0" t="s">
        <v>141</v>
      </c>
      <c r="AY568" s="0" t="s">
        <v>130</v>
      </c>
      <c r="AZ568" s="0" t="s">
        <v>130</v>
      </c>
      <c r="BA568" s="0" t="s">
        <v>130</v>
      </c>
      <c r="BB568" s="0" t="s">
        <v>130</v>
      </c>
      <c r="BC568" s="0" t="s">
        <v>130</v>
      </c>
      <c r="BD568" s="0" t="s">
        <v>130</v>
      </c>
      <c r="BE568" s="0" t="s">
        <v>130</v>
      </c>
      <c r="BF568" s="0" t="s">
        <v>130</v>
      </c>
      <c r="BG568" s="0" t="s">
        <v>130</v>
      </c>
      <c r="BH568" s="0" t="s">
        <v>130</v>
      </c>
      <c r="BI568" s="0" t="s">
        <v>130</v>
      </c>
      <c r="BJ568" s="0" t="s">
        <v>130</v>
      </c>
      <c r="BK568" s="0" t="s">
        <v>130</v>
      </c>
      <c r="BL568" s="0" t="s">
        <v>130</v>
      </c>
      <c r="BM568" s="0" t="s">
        <v>130</v>
      </c>
      <c r="BN568" s="0" t="s">
        <v>130</v>
      </c>
      <c r="BO568" s="0" t="s">
        <v>130</v>
      </c>
      <c r="BP568" s="0" t="s">
        <v>130</v>
      </c>
      <c r="BQ568" s="0" t="s">
        <v>130</v>
      </c>
      <c r="BR568" s="0" t="s">
        <v>130</v>
      </c>
      <c r="BS568" s="0" t="s">
        <v>130</v>
      </c>
      <c r="BT568" s="0" t="s">
        <v>130</v>
      </c>
      <c r="BU568" s="0" t="s">
        <v>130</v>
      </c>
      <c r="BV568" s="0" t="s">
        <v>130</v>
      </c>
      <c r="BW568" s="0" t="s">
        <v>130</v>
      </c>
      <c r="BX568" s="0" t="s">
        <v>130</v>
      </c>
      <c r="BY568" s="0" t="s">
        <v>130</v>
      </c>
      <c r="BZ568" s="0" t="s">
        <v>130</v>
      </c>
      <c r="CA568" s="0" t="s">
        <v>130</v>
      </c>
      <c r="CB568" s="0" t="s">
        <v>130</v>
      </c>
      <c r="CC568" s="0" t="s">
        <v>130</v>
      </c>
      <c r="CD568" s="0" t="s">
        <v>130</v>
      </c>
      <c r="CE568" s="0" t="s">
        <v>130</v>
      </c>
      <c r="CF568" s="0" t="s">
        <v>130</v>
      </c>
      <c r="CG568" s="0" t="s">
        <v>130</v>
      </c>
      <c r="CH568" s="0" t="s">
        <v>130</v>
      </c>
      <c r="CI568" s="0" t="s">
        <v>130</v>
      </c>
      <c r="CJ568" s="0" t="s">
        <v>130</v>
      </c>
      <c r="CK568" s="0" t="s">
        <v>130</v>
      </c>
      <c r="CL568" s="0" t="s">
        <v>130</v>
      </c>
      <c r="CM568" s="0" t="s">
        <v>130</v>
      </c>
      <c r="CN568" s="0" t="s">
        <v>130</v>
      </c>
      <c r="CO568" s="0" t="s">
        <v>130</v>
      </c>
      <c r="CP568" s="0" t="s">
        <v>130</v>
      </c>
      <c r="CQ568" s="0" t="s">
        <v>130</v>
      </c>
      <c r="CR568" s="0" t="s">
        <v>130</v>
      </c>
      <c r="CS568" s="0" t="s">
        <v>130</v>
      </c>
      <c r="CT568" s="0" t="s">
        <v>1883</v>
      </c>
    </row>
    <row r="569">
      <c r="A569" s="14">
        <v>101639</v>
      </c>
      <c r="B569" s="0" t="s">
        <v>1867</v>
      </c>
      <c r="C569" s="16">
        <f>HYPERLINK("https://eosportal.federatedhermes.com/companies/Q29tcGFueQppNzU2NzE=", "West Pharmaceutical Services Inc")</f>
      </c>
      <c r="D569" s="0" t="s">
        <v>23</v>
      </c>
      <c r="E569" s="0" t="s">
        <v>1884</v>
      </c>
      <c r="F569" s="16">
        <f>HYPERLINK("https://eosportal.federatedhermes.com/engagements/RW5nYWdlbWVudAppMjA5ODg=", "Sustainability in executive compensation")</f>
      </c>
      <c r="G569" s="14" t="s">
        <v>1885</v>
      </c>
      <c r="H569" s="0" t="s">
        <v>130</v>
      </c>
      <c r="I569" s="14" t="s">
        <v>131</v>
      </c>
      <c r="J569" s="0" t="s">
        <v>145</v>
      </c>
      <c r="K569" s="0" t="s">
        <v>146</v>
      </c>
      <c r="L569" s="0" t="s">
        <v>147</v>
      </c>
      <c r="M569" s="0" t="s">
        <v>135</v>
      </c>
      <c r="N569" s="0" t="s">
        <v>136</v>
      </c>
      <c r="O569" s="0" t="s">
        <v>274</v>
      </c>
      <c r="Q569" s="0" t="s">
        <v>130</v>
      </c>
      <c r="R569" s="0" t="s">
        <v>130</v>
      </c>
      <c r="S569" s="14">
        <v>0</v>
      </c>
      <c r="T569" s="0" t="s">
        <v>327</v>
      </c>
      <c r="U569" s="0" t="s">
        <v>221</v>
      </c>
      <c r="V569" s="14" t="s">
        <v>327</v>
      </c>
      <c r="W569" s="0" t="s">
        <v>221</v>
      </c>
      <c r="X569" s="14" t="s">
        <v>230</v>
      </c>
      <c r="Y569" s="0" t="s">
        <v>221</v>
      </c>
      <c r="Z569" s="14" t="s">
        <v>230</v>
      </c>
      <c r="AA569" s="0" t="s">
        <v>223</v>
      </c>
      <c r="AB569" s="14" t="s">
        <v>138</v>
      </c>
      <c r="AD569" s="0" t="s">
        <v>20</v>
      </c>
      <c r="AF569" s="0">
        <v>0</v>
      </c>
      <c r="AG569" s="0">
        <v>0</v>
      </c>
      <c r="AH569" s="0" t="s">
        <v>140</v>
      </c>
      <c r="AI569" s="0" t="s">
        <v>479</v>
      </c>
      <c r="AL569" s="14"/>
      <c r="AN569" s="14"/>
      <c r="AQ569" s="0" t="s">
        <v>130</v>
      </c>
      <c r="AR569" s="0" t="s">
        <v>130</v>
      </c>
      <c r="AS569" s="0" t="s">
        <v>130</v>
      </c>
      <c r="AT569" s="0" t="s">
        <v>130</v>
      </c>
      <c r="AU569" s="0" t="s">
        <v>130</v>
      </c>
      <c r="AV569" s="0" t="s">
        <v>130</v>
      </c>
      <c r="AW569" s="0" t="s">
        <v>130</v>
      </c>
      <c r="AX569" s="0" t="s">
        <v>130</v>
      </c>
      <c r="AY569" s="0" t="s">
        <v>130</v>
      </c>
      <c r="AZ569" s="0" t="s">
        <v>130</v>
      </c>
      <c r="BA569" s="0" t="s">
        <v>130</v>
      </c>
      <c r="BB569" s="0" t="s">
        <v>130</v>
      </c>
      <c r="BC569" s="0" t="s">
        <v>130</v>
      </c>
      <c r="BD569" s="0" t="s">
        <v>130</v>
      </c>
      <c r="BE569" s="0" t="s">
        <v>130</v>
      </c>
      <c r="BF569" s="0" t="s">
        <v>130</v>
      </c>
      <c r="BG569" s="0" t="s">
        <v>130</v>
      </c>
      <c r="BH569" s="0" t="s">
        <v>130</v>
      </c>
      <c r="BI569" s="0" t="s">
        <v>130</v>
      </c>
      <c r="BJ569" s="0" t="s">
        <v>130</v>
      </c>
      <c r="BK569" s="0" t="s">
        <v>130</v>
      </c>
      <c r="BL569" s="0" t="s">
        <v>130</v>
      </c>
      <c r="BM569" s="0" t="s">
        <v>130</v>
      </c>
      <c r="BN569" s="0" t="s">
        <v>130</v>
      </c>
      <c r="BO569" s="0" t="s">
        <v>130</v>
      </c>
      <c r="BP569" s="0" t="s">
        <v>130</v>
      </c>
      <c r="BQ569" s="0" t="s">
        <v>130</v>
      </c>
      <c r="BR569" s="0" t="s">
        <v>130</v>
      </c>
      <c r="BS569" s="0" t="s">
        <v>130</v>
      </c>
      <c r="BT569" s="0" t="s">
        <v>130</v>
      </c>
      <c r="BU569" s="0" t="s">
        <v>130</v>
      </c>
      <c r="BV569" s="0" t="s">
        <v>130</v>
      </c>
      <c r="BW569" s="0" t="s">
        <v>130</v>
      </c>
      <c r="BX569" s="0" t="s">
        <v>130</v>
      </c>
      <c r="BY569" s="0" t="s">
        <v>130</v>
      </c>
      <c r="BZ569" s="0" t="s">
        <v>130</v>
      </c>
      <c r="CA569" s="0" t="s">
        <v>130</v>
      </c>
      <c r="CB569" s="0" t="s">
        <v>130</v>
      </c>
      <c r="CC569" s="0" t="s">
        <v>130</v>
      </c>
      <c r="CD569" s="0" t="s">
        <v>130</v>
      </c>
      <c r="CE569" s="0" t="s">
        <v>130</v>
      </c>
      <c r="CF569" s="0" t="s">
        <v>130</v>
      </c>
      <c r="CG569" s="0" t="s">
        <v>130</v>
      </c>
      <c r="CH569" s="0" t="s">
        <v>130</v>
      </c>
      <c r="CI569" s="0" t="s">
        <v>130</v>
      </c>
      <c r="CJ569" s="0" t="s">
        <v>130</v>
      </c>
      <c r="CK569" s="0" t="s">
        <v>130</v>
      </c>
      <c r="CL569" s="0" t="s">
        <v>130</v>
      </c>
      <c r="CM569" s="0" t="s">
        <v>130</v>
      </c>
      <c r="CN569" s="0" t="s">
        <v>130</v>
      </c>
      <c r="CO569" s="0" t="s">
        <v>130</v>
      </c>
      <c r="CP569" s="0" t="s">
        <v>130</v>
      </c>
      <c r="CQ569" s="0" t="s">
        <v>130</v>
      </c>
      <c r="CR569" s="0" t="s">
        <v>130</v>
      </c>
      <c r="CS569" s="0" t="s">
        <v>130</v>
      </c>
      <c r="CT569" s="0" t="s">
        <v>1886</v>
      </c>
    </row>
    <row r="570">
      <c r="A570" s="14">
        <v>101639</v>
      </c>
      <c r="B570" s="0" t="s">
        <v>1867</v>
      </c>
      <c r="C570" s="16">
        <f>HYPERLINK("https://eosportal.federatedhermes.com/companies/Q29tcGFueQppNzU2NzE=", "West Pharmaceutical Services Inc")</f>
      </c>
      <c r="D570" s="0" t="s">
        <v>25</v>
      </c>
      <c r="E570" s="0" t="s">
        <v>1887</v>
      </c>
      <c r="F570" s="16">
        <f>HYPERLINK("https://eosportal.federatedhermes.com/engagements/RW5nYWdlbWVudAppMjA5OTE=", "Board diversity - racial diversity")</f>
      </c>
      <c r="G570" s="14" t="s">
        <v>1888</v>
      </c>
      <c r="H570" s="0" t="s">
        <v>130</v>
      </c>
      <c r="I570" s="14" t="s">
        <v>131</v>
      </c>
      <c r="J570" s="0" t="s">
        <v>145</v>
      </c>
      <c r="K570" s="0" t="s">
        <v>164</v>
      </c>
      <c r="L570" s="0" t="s">
        <v>165</v>
      </c>
      <c r="M570" s="0" t="s">
        <v>135</v>
      </c>
      <c r="N570" s="0" t="s">
        <v>136</v>
      </c>
      <c r="O570" s="0" t="s">
        <v>274</v>
      </c>
      <c r="Q570" s="0" t="s">
        <v>130</v>
      </c>
      <c r="R570" s="0" t="s">
        <v>138</v>
      </c>
      <c r="S570" s="14">
        <v>0</v>
      </c>
      <c r="T570" s="0" t="s">
        <v>355</v>
      </c>
      <c r="U570" s="0" t="s">
        <v>138</v>
      </c>
      <c r="V570" s="14" t="s">
        <v>138</v>
      </c>
      <c r="W570" s="0" t="s">
        <v>138</v>
      </c>
      <c r="X570" s="14" t="s">
        <v>138</v>
      </c>
      <c r="Y570" s="0" t="s">
        <v>138</v>
      </c>
      <c r="Z570" s="14" t="s">
        <v>138</v>
      </c>
      <c r="AA570" s="0" t="s">
        <v>138</v>
      </c>
      <c r="AB570" s="14" t="s">
        <v>138</v>
      </c>
      <c r="AD570" s="0" t="s">
        <v>138</v>
      </c>
      <c r="AF570" s="0">
        <v>0</v>
      </c>
      <c r="AG570" s="0">
        <v>0</v>
      </c>
      <c r="AH570" s="0" t="s">
        <v>140</v>
      </c>
      <c r="AI570" s="0" t="s">
        <v>138</v>
      </c>
      <c r="AL570" s="14"/>
      <c r="AN570" s="14"/>
      <c r="AQ570" s="0" t="s">
        <v>130</v>
      </c>
      <c r="AR570" s="0" t="s">
        <v>130</v>
      </c>
      <c r="AS570" s="0" t="s">
        <v>130</v>
      </c>
      <c r="AT570" s="0" t="s">
        <v>130</v>
      </c>
      <c r="AU570" s="0" t="s">
        <v>130</v>
      </c>
      <c r="AV570" s="0" t="s">
        <v>130</v>
      </c>
      <c r="AW570" s="0" t="s">
        <v>130</v>
      </c>
      <c r="AX570" s="0" t="s">
        <v>130</v>
      </c>
      <c r="AY570" s="0" t="s">
        <v>130</v>
      </c>
      <c r="AZ570" s="0" t="s">
        <v>141</v>
      </c>
      <c r="BA570" s="0" t="s">
        <v>130</v>
      </c>
      <c r="BB570" s="0" t="s">
        <v>130</v>
      </c>
      <c r="BC570" s="0" t="s">
        <v>130</v>
      </c>
      <c r="BD570" s="0" t="s">
        <v>130</v>
      </c>
      <c r="BE570" s="0" t="s">
        <v>130</v>
      </c>
      <c r="BF570" s="0" t="s">
        <v>130</v>
      </c>
      <c r="BG570" s="0" t="s">
        <v>130</v>
      </c>
      <c r="BH570" s="0" t="s">
        <v>130</v>
      </c>
      <c r="BI570" s="0" t="s">
        <v>130</v>
      </c>
      <c r="BJ570" s="0" t="s">
        <v>130</v>
      </c>
      <c r="BK570" s="0" t="s">
        <v>130</v>
      </c>
      <c r="BL570" s="0" t="s">
        <v>130</v>
      </c>
      <c r="BM570" s="0" t="s">
        <v>130</v>
      </c>
      <c r="BN570" s="0" t="s">
        <v>130</v>
      </c>
      <c r="BO570" s="0" t="s">
        <v>130</v>
      </c>
      <c r="BP570" s="0" t="s">
        <v>130</v>
      </c>
      <c r="BQ570" s="0" t="s">
        <v>130</v>
      </c>
      <c r="BR570" s="0" t="s">
        <v>130</v>
      </c>
      <c r="BS570" s="0" t="s">
        <v>130</v>
      </c>
      <c r="BT570" s="0" t="s">
        <v>130</v>
      </c>
      <c r="BU570" s="0" t="s">
        <v>130</v>
      </c>
      <c r="BV570" s="0" t="s">
        <v>130</v>
      </c>
      <c r="BW570" s="0" t="s">
        <v>130</v>
      </c>
      <c r="BX570" s="0" t="s">
        <v>130</v>
      </c>
      <c r="BY570" s="0" t="s">
        <v>130</v>
      </c>
      <c r="BZ570" s="0" t="s">
        <v>130</v>
      </c>
      <c r="CA570" s="0" t="s">
        <v>130</v>
      </c>
      <c r="CB570" s="0" t="s">
        <v>130</v>
      </c>
      <c r="CC570" s="0" t="s">
        <v>130</v>
      </c>
      <c r="CD570" s="0" t="s">
        <v>130</v>
      </c>
      <c r="CE570" s="0" t="s">
        <v>130</v>
      </c>
      <c r="CF570" s="0" t="s">
        <v>130</v>
      </c>
      <c r="CG570" s="0" t="s">
        <v>130</v>
      </c>
      <c r="CH570" s="0" t="s">
        <v>130</v>
      </c>
      <c r="CI570" s="0" t="s">
        <v>130</v>
      </c>
      <c r="CJ570" s="0" t="s">
        <v>130</v>
      </c>
      <c r="CK570" s="0" t="s">
        <v>130</v>
      </c>
      <c r="CL570" s="0" t="s">
        <v>130</v>
      </c>
      <c r="CM570" s="0" t="s">
        <v>130</v>
      </c>
      <c r="CN570" s="0" t="s">
        <v>130</v>
      </c>
      <c r="CO570" s="0" t="s">
        <v>130</v>
      </c>
      <c r="CP570" s="0" t="s">
        <v>130</v>
      </c>
      <c r="CQ570" s="0" t="s">
        <v>130</v>
      </c>
      <c r="CR570" s="0" t="s">
        <v>130</v>
      </c>
      <c r="CS570" s="0" t="s">
        <v>130</v>
      </c>
      <c r="CT570" s="0" t="s">
        <v>1889</v>
      </c>
    </row>
    <row r="571">
      <c r="A571" s="14">
        <v>101639</v>
      </c>
      <c r="B571" s="0" t="s">
        <v>1867</v>
      </c>
      <c r="C571" s="16">
        <f>HYPERLINK("https://eosportal.federatedhermes.com/companies/Q29tcGFueQppNzU2NzE=", "West Pharmaceutical Services Inc")</f>
      </c>
      <c r="D571" s="0" t="s">
        <v>25</v>
      </c>
      <c r="E571" s="0" t="s">
        <v>1890</v>
      </c>
      <c r="F571" s="16">
        <f>HYPERLINK("https://eosportal.federatedhermes.com/engagements/RW5nYWdlbWVudAppMjA5OTI=", "Board diversity - gender diversity")</f>
      </c>
      <c r="G571" s="14" t="s">
        <v>1891</v>
      </c>
      <c r="H571" s="0" t="s">
        <v>130</v>
      </c>
      <c r="I571" s="14" t="s">
        <v>131</v>
      </c>
      <c r="J571" s="0" t="s">
        <v>145</v>
      </c>
      <c r="K571" s="0" t="s">
        <v>164</v>
      </c>
      <c r="L571" s="0" t="s">
        <v>165</v>
      </c>
      <c r="M571" s="0" t="s">
        <v>135</v>
      </c>
      <c r="N571" s="0" t="s">
        <v>136</v>
      </c>
      <c r="O571" s="0" t="s">
        <v>274</v>
      </c>
      <c r="Q571" s="0" t="s">
        <v>130</v>
      </c>
      <c r="R571" s="0" t="s">
        <v>138</v>
      </c>
      <c r="S571" s="14">
        <v>0</v>
      </c>
      <c r="T571" s="0" t="s">
        <v>355</v>
      </c>
      <c r="U571" s="0" t="s">
        <v>138</v>
      </c>
      <c r="V571" s="14" t="s">
        <v>138</v>
      </c>
      <c r="W571" s="0" t="s">
        <v>138</v>
      </c>
      <c r="X571" s="14" t="s">
        <v>138</v>
      </c>
      <c r="Y571" s="0" t="s">
        <v>138</v>
      </c>
      <c r="Z571" s="14" t="s">
        <v>138</v>
      </c>
      <c r="AA571" s="0" t="s">
        <v>138</v>
      </c>
      <c r="AB571" s="14" t="s">
        <v>138</v>
      </c>
      <c r="AD571" s="0" t="s">
        <v>138</v>
      </c>
      <c r="AF571" s="0">
        <v>0</v>
      </c>
      <c r="AG571" s="0">
        <v>0</v>
      </c>
      <c r="AH571" s="0" t="s">
        <v>140</v>
      </c>
      <c r="AI571" s="0" t="s">
        <v>138</v>
      </c>
      <c r="AL571" s="14"/>
      <c r="AN571" s="14"/>
      <c r="AQ571" s="0" t="s">
        <v>130</v>
      </c>
      <c r="AR571" s="0" t="s">
        <v>130</v>
      </c>
      <c r="AS571" s="0" t="s">
        <v>130</v>
      </c>
      <c r="AT571" s="0" t="s">
        <v>130</v>
      </c>
      <c r="AU571" s="0" t="s">
        <v>141</v>
      </c>
      <c r="AV571" s="0" t="s">
        <v>130</v>
      </c>
      <c r="AW571" s="0" t="s">
        <v>130</v>
      </c>
      <c r="AX571" s="0" t="s">
        <v>130</v>
      </c>
      <c r="AY571" s="0" t="s">
        <v>130</v>
      </c>
      <c r="AZ571" s="0" t="s">
        <v>130</v>
      </c>
      <c r="BA571" s="0" t="s">
        <v>130</v>
      </c>
      <c r="BB571" s="0" t="s">
        <v>130</v>
      </c>
      <c r="BC571" s="0" t="s">
        <v>130</v>
      </c>
      <c r="BD571" s="0" t="s">
        <v>130</v>
      </c>
      <c r="BE571" s="0" t="s">
        <v>130</v>
      </c>
      <c r="BF571" s="0" t="s">
        <v>130</v>
      </c>
      <c r="BG571" s="0" t="s">
        <v>130</v>
      </c>
      <c r="BH571" s="0" t="s">
        <v>130</v>
      </c>
      <c r="BI571" s="0" t="s">
        <v>130</v>
      </c>
      <c r="BJ571" s="0" t="s">
        <v>130</v>
      </c>
      <c r="BK571" s="0" t="s">
        <v>130</v>
      </c>
      <c r="BL571" s="0" t="s">
        <v>130</v>
      </c>
      <c r="BM571" s="0" t="s">
        <v>130</v>
      </c>
      <c r="BN571" s="0" t="s">
        <v>130</v>
      </c>
      <c r="BO571" s="0" t="s">
        <v>130</v>
      </c>
      <c r="BP571" s="0" t="s">
        <v>130</v>
      </c>
      <c r="BQ571" s="0" t="s">
        <v>130</v>
      </c>
      <c r="BR571" s="0" t="s">
        <v>130</v>
      </c>
      <c r="BS571" s="0" t="s">
        <v>130</v>
      </c>
      <c r="BT571" s="0" t="s">
        <v>130</v>
      </c>
      <c r="BU571" s="0" t="s">
        <v>130</v>
      </c>
      <c r="BV571" s="0" t="s">
        <v>130</v>
      </c>
      <c r="BW571" s="0" t="s">
        <v>130</v>
      </c>
      <c r="BX571" s="0" t="s">
        <v>130</v>
      </c>
      <c r="BY571" s="0" t="s">
        <v>130</v>
      </c>
      <c r="BZ571" s="0" t="s">
        <v>130</v>
      </c>
      <c r="CA571" s="0" t="s">
        <v>130</v>
      </c>
      <c r="CB571" s="0" t="s">
        <v>130</v>
      </c>
      <c r="CC571" s="0" t="s">
        <v>130</v>
      </c>
      <c r="CD571" s="0" t="s">
        <v>130</v>
      </c>
      <c r="CE571" s="0" t="s">
        <v>130</v>
      </c>
      <c r="CF571" s="0" t="s">
        <v>130</v>
      </c>
      <c r="CG571" s="0" t="s">
        <v>130</v>
      </c>
      <c r="CH571" s="0" t="s">
        <v>130</v>
      </c>
      <c r="CI571" s="0" t="s">
        <v>130</v>
      </c>
      <c r="CJ571" s="0" t="s">
        <v>130</v>
      </c>
      <c r="CK571" s="0" t="s">
        <v>130</v>
      </c>
      <c r="CL571" s="0" t="s">
        <v>130</v>
      </c>
      <c r="CM571" s="0" t="s">
        <v>130</v>
      </c>
      <c r="CN571" s="0" t="s">
        <v>130</v>
      </c>
      <c r="CO571" s="0" t="s">
        <v>130</v>
      </c>
      <c r="CP571" s="0" t="s">
        <v>130</v>
      </c>
      <c r="CQ571" s="0" t="s">
        <v>130</v>
      </c>
      <c r="CR571" s="0" t="s">
        <v>130</v>
      </c>
      <c r="CS571" s="0" t="s">
        <v>130</v>
      </c>
      <c r="CT571" s="0" t="s">
        <v>1892</v>
      </c>
    </row>
    <row r="572">
      <c r="A572" s="14">
        <v>101743</v>
      </c>
      <c r="B572" s="0" t="s">
        <v>1893</v>
      </c>
      <c r="C572" s="16">
        <f>HYPERLINK("https://eosportal.federatedhermes.com/companies/Q29tcGFueQppNjI1MDg=", "Microsoft Corp")</f>
      </c>
      <c r="D572" s="0" t="s">
        <v>25</v>
      </c>
      <c r="E572" s="0" t="s">
        <v>1894</v>
      </c>
      <c r="F572" s="16">
        <f>HYPERLINK("https://eosportal.federatedhermes.com/engagements/RW5nYWdlbWVudAppMjEwMjg=", "Inclusion and diversity")</f>
      </c>
      <c r="G572" s="14" t="s">
        <v>1895</v>
      </c>
      <c r="H572" s="0" t="s">
        <v>141</v>
      </c>
      <c r="I572" s="14" t="s">
        <v>191</v>
      </c>
      <c r="J572" s="0" t="s">
        <v>153</v>
      </c>
      <c r="K572" s="0" t="s">
        <v>154</v>
      </c>
      <c r="L572" s="0" t="s">
        <v>268</v>
      </c>
      <c r="M572" s="0" t="s">
        <v>135</v>
      </c>
      <c r="N572" s="0" t="s">
        <v>136</v>
      </c>
      <c r="O572" s="0" t="s">
        <v>137</v>
      </c>
      <c r="Q572" s="0" t="s">
        <v>130</v>
      </c>
      <c r="R572" s="0" t="s">
        <v>138</v>
      </c>
      <c r="S572" s="14">
        <v>0</v>
      </c>
      <c r="T572" s="0" t="s">
        <v>156</v>
      </c>
      <c r="U572" s="0" t="s">
        <v>138</v>
      </c>
      <c r="V572" s="14" t="s">
        <v>138</v>
      </c>
      <c r="W572" s="0" t="s">
        <v>138</v>
      </c>
      <c r="X572" s="14" t="s">
        <v>138</v>
      </c>
      <c r="Y572" s="0" t="s">
        <v>138</v>
      </c>
      <c r="Z572" s="14" t="s">
        <v>138</v>
      </c>
      <c r="AA572" s="0" t="s">
        <v>138</v>
      </c>
      <c r="AB572" s="14" t="s">
        <v>138</v>
      </c>
      <c r="AD572" s="0" t="s">
        <v>138</v>
      </c>
      <c r="AF572" s="0">
        <v>0</v>
      </c>
      <c r="AG572" s="0">
        <v>0</v>
      </c>
      <c r="AH572" s="0" t="s">
        <v>140</v>
      </c>
      <c r="AI572" s="0" t="s">
        <v>138</v>
      </c>
      <c r="AL572" s="14"/>
      <c r="AN572" s="14"/>
      <c r="AQ572" s="0" t="s">
        <v>130</v>
      </c>
      <c r="AR572" s="0" t="s">
        <v>130</v>
      </c>
      <c r="AS572" s="0" t="s">
        <v>130</v>
      </c>
      <c r="AT572" s="0" t="s">
        <v>130</v>
      </c>
      <c r="AU572" s="0" t="s">
        <v>130</v>
      </c>
      <c r="AV572" s="0" t="s">
        <v>130</v>
      </c>
      <c r="AW572" s="0" t="s">
        <v>130</v>
      </c>
      <c r="AX572" s="0" t="s">
        <v>130</v>
      </c>
      <c r="AY572" s="0" t="s">
        <v>130</v>
      </c>
      <c r="AZ572" s="0" t="s">
        <v>130</v>
      </c>
      <c r="BA572" s="0" t="s">
        <v>130</v>
      </c>
      <c r="BB572" s="0" t="s">
        <v>130</v>
      </c>
      <c r="BC572" s="0" t="s">
        <v>130</v>
      </c>
      <c r="BD572" s="0" t="s">
        <v>130</v>
      </c>
      <c r="BE572" s="0" t="s">
        <v>130</v>
      </c>
      <c r="BF572" s="0" t="s">
        <v>130</v>
      </c>
      <c r="BG572" s="0" t="s">
        <v>130</v>
      </c>
      <c r="BH572" s="0" t="s">
        <v>130</v>
      </c>
      <c r="BI572" s="0" t="s">
        <v>130</v>
      </c>
      <c r="BJ572" s="0" t="s">
        <v>130</v>
      </c>
      <c r="BK572" s="0" t="s">
        <v>130</v>
      </c>
      <c r="BL572" s="0" t="s">
        <v>130</v>
      </c>
      <c r="BM572" s="0" t="s">
        <v>130</v>
      </c>
      <c r="BN572" s="0" t="s">
        <v>130</v>
      </c>
      <c r="BO572" s="0" t="s">
        <v>130</v>
      </c>
      <c r="BP572" s="0" t="s">
        <v>130</v>
      </c>
      <c r="BQ572" s="0" t="s">
        <v>130</v>
      </c>
      <c r="BR572" s="0" t="s">
        <v>130</v>
      </c>
      <c r="BS572" s="0" t="s">
        <v>130</v>
      </c>
      <c r="BT572" s="0" t="s">
        <v>130</v>
      </c>
      <c r="BU572" s="0" t="s">
        <v>130</v>
      </c>
      <c r="BV572" s="0" t="s">
        <v>130</v>
      </c>
      <c r="BW572" s="0" t="s">
        <v>130</v>
      </c>
      <c r="BX572" s="0" t="s">
        <v>130</v>
      </c>
      <c r="BY572" s="0" t="s">
        <v>130</v>
      </c>
      <c r="BZ572" s="0" t="s">
        <v>130</v>
      </c>
      <c r="CA572" s="0" t="s">
        <v>130</v>
      </c>
      <c r="CB572" s="0" t="s">
        <v>130</v>
      </c>
      <c r="CC572" s="0" t="s">
        <v>130</v>
      </c>
      <c r="CD572" s="0" t="s">
        <v>130</v>
      </c>
      <c r="CE572" s="0" t="s">
        <v>130</v>
      </c>
      <c r="CF572" s="0" t="s">
        <v>130</v>
      </c>
      <c r="CG572" s="0" t="s">
        <v>130</v>
      </c>
      <c r="CH572" s="0" t="s">
        <v>130</v>
      </c>
      <c r="CI572" s="0" t="s">
        <v>130</v>
      </c>
      <c r="CJ572" s="0" t="s">
        <v>130</v>
      </c>
      <c r="CK572" s="0" t="s">
        <v>141</v>
      </c>
      <c r="CL572" s="0" t="s">
        <v>130</v>
      </c>
      <c r="CM572" s="0" t="s">
        <v>130</v>
      </c>
      <c r="CN572" s="0" t="s">
        <v>130</v>
      </c>
      <c r="CO572" s="0" t="s">
        <v>130</v>
      </c>
      <c r="CP572" s="0" t="s">
        <v>130</v>
      </c>
      <c r="CQ572" s="0" t="s">
        <v>130</v>
      </c>
      <c r="CR572" s="0" t="s">
        <v>130</v>
      </c>
      <c r="CS572" s="0" t="s">
        <v>130</v>
      </c>
      <c r="CT572" s="0" t="s">
        <v>1896</v>
      </c>
    </row>
    <row r="573">
      <c r="A573" s="14">
        <v>101743</v>
      </c>
      <c r="B573" s="0" t="s">
        <v>1893</v>
      </c>
      <c r="C573" s="16">
        <f>HYPERLINK("https://eosportal.federatedhermes.com/companies/Q29tcGFueQppNjI1MDg=", "Microsoft Corp")</f>
      </c>
      <c r="D573" s="0" t="s">
        <v>25</v>
      </c>
      <c r="E573" s="0" t="s">
        <v>1897</v>
      </c>
      <c r="F573" s="16">
        <f>HYPERLINK("https://eosportal.federatedhermes.com/engagements/RW5nYWdlbWVudAppMjEwMjk=", "Christchurch Call response")</f>
      </c>
      <c r="G573" s="14" t="s">
        <v>1898</v>
      </c>
      <c r="H573" s="0" t="s">
        <v>141</v>
      </c>
      <c r="I573" s="14" t="s">
        <v>191</v>
      </c>
      <c r="J573" s="0" t="s">
        <v>153</v>
      </c>
      <c r="K573" s="0" t="s">
        <v>243</v>
      </c>
      <c r="L573" s="0" t="s">
        <v>537</v>
      </c>
      <c r="M573" s="0" t="s">
        <v>135</v>
      </c>
      <c r="N573" s="0" t="s">
        <v>136</v>
      </c>
      <c r="O573" s="0" t="s">
        <v>137</v>
      </c>
      <c r="Q573" s="0" t="s">
        <v>130</v>
      </c>
      <c r="R573" s="0" t="s">
        <v>138</v>
      </c>
      <c r="S573" s="14">
        <v>0</v>
      </c>
      <c r="T573" s="0" t="s">
        <v>359</v>
      </c>
      <c r="U573" s="0" t="s">
        <v>138</v>
      </c>
      <c r="V573" s="14" t="s">
        <v>138</v>
      </c>
      <c r="W573" s="0" t="s">
        <v>138</v>
      </c>
      <c r="X573" s="14" t="s">
        <v>138</v>
      </c>
      <c r="Y573" s="0" t="s">
        <v>138</v>
      </c>
      <c r="Z573" s="14" t="s">
        <v>138</v>
      </c>
      <c r="AA573" s="0" t="s">
        <v>138</v>
      </c>
      <c r="AB573" s="14" t="s">
        <v>138</v>
      </c>
      <c r="AD573" s="0" t="s">
        <v>138</v>
      </c>
      <c r="AF573" s="0">
        <v>0</v>
      </c>
      <c r="AG573" s="0">
        <v>0</v>
      </c>
      <c r="AH573" s="0" t="s">
        <v>140</v>
      </c>
      <c r="AI573" s="0" t="s">
        <v>138</v>
      </c>
      <c r="AL573" s="14"/>
      <c r="AN573" s="14"/>
      <c r="AQ573" s="0" t="s">
        <v>130</v>
      </c>
      <c r="AR573" s="0" t="s">
        <v>130</v>
      </c>
      <c r="AS573" s="0" t="s">
        <v>130</v>
      </c>
      <c r="AT573" s="0" t="s">
        <v>130</v>
      </c>
      <c r="AU573" s="0" t="s">
        <v>130</v>
      </c>
      <c r="AV573" s="0" t="s">
        <v>130</v>
      </c>
      <c r="AW573" s="0" t="s">
        <v>130</v>
      </c>
      <c r="AX573" s="0" t="s">
        <v>130</v>
      </c>
      <c r="AY573" s="0" t="s">
        <v>130</v>
      </c>
      <c r="AZ573" s="0" t="s">
        <v>130</v>
      </c>
      <c r="BA573" s="0" t="s">
        <v>130</v>
      </c>
      <c r="BB573" s="0" t="s">
        <v>130</v>
      </c>
      <c r="BC573" s="0" t="s">
        <v>130</v>
      </c>
      <c r="BD573" s="0" t="s">
        <v>130</v>
      </c>
      <c r="BE573" s="0" t="s">
        <v>130</v>
      </c>
      <c r="BF573" s="0" t="s">
        <v>141</v>
      </c>
      <c r="BG573" s="0" t="s">
        <v>130</v>
      </c>
      <c r="BH573" s="0" t="s">
        <v>130</v>
      </c>
      <c r="BI573" s="0" t="s">
        <v>130</v>
      </c>
      <c r="BJ573" s="0" t="s">
        <v>130</v>
      </c>
      <c r="BK573" s="0" t="s">
        <v>130</v>
      </c>
      <c r="BL573" s="0" t="s">
        <v>130</v>
      </c>
      <c r="BM573" s="0" t="s">
        <v>130</v>
      </c>
      <c r="BN573" s="0" t="s">
        <v>130</v>
      </c>
      <c r="BO573" s="0" t="s">
        <v>130</v>
      </c>
      <c r="BP573" s="0" t="s">
        <v>130</v>
      </c>
      <c r="BQ573" s="0" t="s">
        <v>130</v>
      </c>
      <c r="BR573" s="0" t="s">
        <v>130</v>
      </c>
      <c r="BS573" s="0" t="s">
        <v>130</v>
      </c>
      <c r="BT573" s="0" t="s">
        <v>130</v>
      </c>
      <c r="BU573" s="0" t="s">
        <v>130</v>
      </c>
      <c r="BV573" s="0" t="s">
        <v>130</v>
      </c>
      <c r="BW573" s="0" t="s">
        <v>130</v>
      </c>
      <c r="BX573" s="0" t="s">
        <v>130</v>
      </c>
      <c r="BY573" s="0" t="s">
        <v>130</v>
      </c>
      <c r="BZ573" s="0" t="s">
        <v>130</v>
      </c>
      <c r="CA573" s="0" t="s">
        <v>130</v>
      </c>
      <c r="CB573" s="0" t="s">
        <v>130</v>
      </c>
      <c r="CC573" s="0" t="s">
        <v>130</v>
      </c>
      <c r="CD573" s="0" t="s">
        <v>130</v>
      </c>
      <c r="CE573" s="0" t="s">
        <v>130</v>
      </c>
      <c r="CF573" s="0" t="s">
        <v>130</v>
      </c>
      <c r="CG573" s="0" t="s">
        <v>130</v>
      </c>
      <c r="CH573" s="0" t="s">
        <v>130</v>
      </c>
      <c r="CI573" s="0" t="s">
        <v>130</v>
      </c>
      <c r="CJ573" s="0" t="s">
        <v>130</v>
      </c>
      <c r="CK573" s="0" t="s">
        <v>130</v>
      </c>
      <c r="CL573" s="0" t="s">
        <v>130</v>
      </c>
      <c r="CM573" s="0" t="s">
        <v>130</v>
      </c>
      <c r="CN573" s="0" t="s">
        <v>130</v>
      </c>
      <c r="CO573" s="0" t="s">
        <v>130</v>
      </c>
      <c r="CP573" s="0" t="s">
        <v>130</v>
      </c>
      <c r="CQ573" s="0" t="s">
        <v>130</v>
      </c>
      <c r="CR573" s="0" t="s">
        <v>130</v>
      </c>
      <c r="CS573" s="0" t="s">
        <v>130</v>
      </c>
      <c r="CT573" s="0" t="s">
        <v>1899</v>
      </c>
    </row>
    <row r="574">
      <c r="A574" s="14">
        <v>101743</v>
      </c>
      <c r="B574" s="0" t="s">
        <v>1893</v>
      </c>
      <c r="C574" s="16">
        <f>HYPERLINK("https://eosportal.federatedhermes.com/companies/Q29tcGFueQppNjI1MDg=", "Microsoft Corp")</f>
      </c>
      <c r="D574" s="0" t="s">
        <v>25</v>
      </c>
      <c r="E574" s="0" t="s">
        <v>1900</v>
      </c>
      <c r="F574" s="16">
        <f>HYPERLINK("https://eosportal.federatedhermes.com/engagements/RW5nYWdlbWVudAppMjEwMzA=", "Business purpose")</f>
      </c>
      <c r="G574" s="14" t="s">
        <v>1901</v>
      </c>
      <c r="H574" s="0" t="s">
        <v>141</v>
      </c>
      <c r="I574" s="14" t="s">
        <v>191</v>
      </c>
      <c r="J574" s="0" t="s">
        <v>132</v>
      </c>
      <c r="K574" s="0" t="s">
        <v>133</v>
      </c>
      <c r="L574" s="0" t="s">
        <v>134</v>
      </c>
      <c r="M574" s="0" t="s">
        <v>135</v>
      </c>
      <c r="N574" s="0" t="s">
        <v>136</v>
      </c>
      <c r="O574" s="0" t="s">
        <v>137</v>
      </c>
      <c r="Q574" s="0" t="s">
        <v>130</v>
      </c>
      <c r="R574" s="0" t="s">
        <v>138</v>
      </c>
      <c r="S574" s="14">
        <v>0</v>
      </c>
      <c r="T574" s="0" t="s">
        <v>156</v>
      </c>
      <c r="U574" s="0" t="s">
        <v>138</v>
      </c>
      <c r="V574" s="14" t="s">
        <v>138</v>
      </c>
      <c r="W574" s="0" t="s">
        <v>138</v>
      </c>
      <c r="X574" s="14" t="s">
        <v>138</v>
      </c>
      <c r="Y574" s="0" t="s">
        <v>138</v>
      </c>
      <c r="Z574" s="14" t="s">
        <v>138</v>
      </c>
      <c r="AA574" s="0" t="s">
        <v>138</v>
      </c>
      <c r="AB574" s="14" t="s">
        <v>138</v>
      </c>
      <c r="AD574" s="0" t="s">
        <v>138</v>
      </c>
      <c r="AF574" s="0">
        <v>0</v>
      </c>
      <c r="AG574" s="0">
        <v>0</v>
      </c>
      <c r="AH574" s="0" t="s">
        <v>140</v>
      </c>
      <c r="AI574" s="0" t="s">
        <v>138</v>
      </c>
      <c r="AL574" s="14"/>
      <c r="AN574" s="14"/>
      <c r="AQ574" s="0" t="s">
        <v>130</v>
      </c>
      <c r="AR574" s="0" t="s">
        <v>130</v>
      </c>
      <c r="AS574" s="0" t="s">
        <v>130</v>
      </c>
      <c r="AT574" s="0" t="s">
        <v>130</v>
      </c>
      <c r="AU574" s="0" t="s">
        <v>130</v>
      </c>
      <c r="AV574" s="0" t="s">
        <v>130</v>
      </c>
      <c r="AW574" s="0" t="s">
        <v>130</v>
      </c>
      <c r="AX574" s="0" t="s">
        <v>130</v>
      </c>
      <c r="AY574" s="0" t="s">
        <v>130</v>
      </c>
      <c r="AZ574" s="0" t="s">
        <v>130</v>
      </c>
      <c r="BA574" s="0" t="s">
        <v>130</v>
      </c>
      <c r="BB574" s="0" t="s">
        <v>130</v>
      </c>
      <c r="BC574" s="0" t="s">
        <v>130</v>
      </c>
      <c r="BD574" s="0" t="s">
        <v>130</v>
      </c>
      <c r="BE574" s="0" t="s">
        <v>130</v>
      </c>
      <c r="BF574" s="0" t="s">
        <v>130</v>
      </c>
      <c r="BG574" s="0" t="s">
        <v>130</v>
      </c>
      <c r="BH574" s="0" t="s">
        <v>130</v>
      </c>
      <c r="BI574" s="0" t="s">
        <v>130</v>
      </c>
      <c r="BJ574" s="0" t="s">
        <v>130</v>
      </c>
      <c r="BK574" s="0" t="s">
        <v>130</v>
      </c>
      <c r="BL574" s="0" t="s">
        <v>130</v>
      </c>
      <c r="BM574" s="0" t="s">
        <v>130</v>
      </c>
      <c r="BN574" s="0" t="s">
        <v>130</v>
      </c>
      <c r="BO574" s="0" t="s">
        <v>130</v>
      </c>
      <c r="BP574" s="0" t="s">
        <v>130</v>
      </c>
      <c r="BQ574" s="0" t="s">
        <v>130</v>
      </c>
      <c r="BR574" s="0" t="s">
        <v>130</v>
      </c>
      <c r="BS574" s="0" t="s">
        <v>130</v>
      </c>
      <c r="BT574" s="0" t="s">
        <v>130</v>
      </c>
      <c r="BU574" s="0" t="s">
        <v>130</v>
      </c>
      <c r="BV574" s="0" t="s">
        <v>130</v>
      </c>
      <c r="BW574" s="0" t="s">
        <v>130</v>
      </c>
      <c r="BX574" s="0" t="s">
        <v>130</v>
      </c>
      <c r="BY574" s="0" t="s">
        <v>130</v>
      </c>
      <c r="BZ574" s="0" t="s">
        <v>130</v>
      </c>
      <c r="CA574" s="0" t="s">
        <v>130</v>
      </c>
      <c r="CB574" s="0" t="s">
        <v>130</v>
      </c>
      <c r="CC574" s="0" t="s">
        <v>130</v>
      </c>
      <c r="CD574" s="0" t="s">
        <v>130</v>
      </c>
      <c r="CE574" s="0" t="s">
        <v>130</v>
      </c>
      <c r="CF574" s="0" t="s">
        <v>130</v>
      </c>
      <c r="CG574" s="0" t="s">
        <v>130</v>
      </c>
      <c r="CH574" s="0" t="s">
        <v>130</v>
      </c>
      <c r="CI574" s="0" t="s">
        <v>130</v>
      </c>
      <c r="CJ574" s="0" t="s">
        <v>130</v>
      </c>
      <c r="CK574" s="0" t="s">
        <v>130</v>
      </c>
      <c r="CL574" s="0" t="s">
        <v>130</v>
      </c>
      <c r="CM574" s="0" t="s">
        <v>130</v>
      </c>
      <c r="CN574" s="0" t="s">
        <v>130</v>
      </c>
      <c r="CO574" s="0" t="s">
        <v>130</v>
      </c>
      <c r="CP574" s="0" t="s">
        <v>130</v>
      </c>
      <c r="CQ574" s="0" t="s">
        <v>130</v>
      </c>
      <c r="CR574" s="0" t="s">
        <v>130</v>
      </c>
      <c r="CS574" s="0" t="s">
        <v>130</v>
      </c>
      <c r="CT574" s="0" t="s">
        <v>1902</v>
      </c>
    </row>
    <row r="575">
      <c r="A575" s="14">
        <v>101743</v>
      </c>
      <c r="B575" s="0" t="s">
        <v>1893</v>
      </c>
      <c r="C575" s="16">
        <f>HYPERLINK("https://eosportal.federatedhermes.com/companies/Q29tcGFueQppNjI1MDg=", "Microsoft Corp")</f>
      </c>
      <c r="D575" s="0" t="s">
        <v>25</v>
      </c>
      <c r="E575" s="0" t="s">
        <v>1903</v>
      </c>
      <c r="F575" s="16">
        <f>HYPERLINK("https://eosportal.federatedhermes.com/engagements/RW5nYWdlbWVudAppMjEwMzE=", "CEO shareholding requirements")</f>
      </c>
      <c r="G575" s="14" t="s">
        <v>1904</v>
      </c>
      <c r="H575" s="0" t="s">
        <v>141</v>
      </c>
      <c r="I575" s="14" t="s">
        <v>191</v>
      </c>
      <c r="J575" s="0" t="s">
        <v>145</v>
      </c>
      <c r="K575" s="0" t="s">
        <v>146</v>
      </c>
      <c r="L575" s="0" t="s">
        <v>147</v>
      </c>
      <c r="M575" s="0" t="s">
        <v>135</v>
      </c>
      <c r="N575" s="0" t="s">
        <v>136</v>
      </c>
      <c r="O575" s="0" t="s">
        <v>137</v>
      </c>
      <c r="Q575" s="0" t="s">
        <v>130</v>
      </c>
      <c r="R575" s="0" t="s">
        <v>138</v>
      </c>
      <c r="S575" s="14">
        <v>0</v>
      </c>
      <c r="T575" s="0" t="s">
        <v>359</v>
      </c>
      <c r="U575" s="0" t="s">
        <v>138</v>
      </c>
      <c r="V575" s="14" t="s">
        <v>138</v>
      </c>
      <c r="W575" s="0" t="s">
        <v>138</v>
      </c>
      <c r="X575" s="14" t="s">
        <v>138</v>
      </c>
      <c r="Y575" s="0" t="s">
        <v>138</v>
      </c>
      <c r="Z575" s="14" t="s">
        <v>138</v>
      </c>
      <c r="AA575" s="0" t="s">
        <v>138</v>
      </c>
      <c r="AB575" s="14" t="s">
        <v>138</v>
      </c>
      <c r="AD575" s="0" t="s">
        <v>138</v>
      </c>
      <c r="AF575" s="0">
        <v>0</v>
      </c>
      <c r="AG575" s="0">
        <v>0</v>
      </c>
      <c r="AH575" s="0" t="s">
        <v>140</v>
      </c>
      <c r="AI575" s="0" t="s">
        <v>138</v>
      </c>
      <c r="AL575" s="14"/>
      <c r="AN575" s="14"/>
      <c r="AQ575" s="0" t="s">
        <v>130</v>
      </c>
      <c r="AR575" s="0" t="s">
        <v>130</v>
      </c>
      <c r="AS575" s="0" t="s">
        <v>130</v>
      </c>
      <c r="AT575" s="0" t="s">
        <v>130</v>
      </c>
      <c r="AU575" s="0" t="s">
        <v>130</v>
      </c>
      <c r="AV575" s="0" t="s">
        <v>130</v>
      </c>
      <c r="AW575" s="0" t="s">
        <v>130</v>
      </c>
      <c r="AX575" s="0" t="s">
        <v>130</v>
      </c>
      <c r="AY575" s="0" t="s">
        <v>130</v>
      </c>
      <c r="AZ575" s="0" t="s">
        <v>130</v>
      </c>
      <c r="BA575" s="0" t="s">
        <v>130</v>
      </c>
      <c r="BB575" s="0" t="s">
        <v>130</v>
      </c>
      <c r="BC575" s="0" t="s">
        <v>130</v>
      </c>
      <c r="BD575" s="0" t="s">
        <v>130</v>
      </c>
      <c r="BE575" s="0" t="s">
        <v>130</v>
      </c>
      <c r="BF575" s="0" t="s">
        <v>130</v>
      </c>
      <c r="BG575" s="0" t="s">
        <v>130</v>
      </c>
      <c r="BH575" s="0" t="s">
        <v>130</v>
      </c>
      <c r="BI575" s="0" t="s">
        <v>130</v>
      </c>
      <c r="BJ575" s="0" t="s">
        <v>130</v>
      </c>
      <c r="BK575" s="0" t="s">
        <v>130</v>
      </c>
      <c r="BL575" s="0" t="s">
        <v>130</v>
      </c>
      <c r="BM575" s="0" t="s">
        <v>130</v>
      </c>
      <c r="BN575" s="0" t="s">
        <v>130</v>
      </c>
      <c r="BO575" s="0" t="s">
        <v>130</v>
      </c>
      <c r="BP575" s="0" t="s">
        <v>130</v>
      </c>
      <c r="BQ575" s="0" t="s">
        <v>130</v>
      </c>
      <c r="BR575" s="0" t="s">
        <v>130</v>
      </c>
      <c r="BS575" s="0" t="s">
        <v>130</v>
      </c>
      <c r="BT575" s="0" t="s">
        <v>130</v>
      </c>
      <c r="BU575" s="0" t="s">
        <v>130</v>
      </c>
      <c r="BV575" s="0" t="s">
        <v>130</v>
      </c>
      <c r="BW575" s="0" t="s">
        <v>130</v>
      </c>
      <c r="BX575" s="0" t="s">
        <v>130</v>
      </c>
      <c r="BY575" s="0" t="s">
        <v>130</v>
      </c>
      <c r="BZ575" s="0" t="s">
        <v>130</v>
      </c>
      <c r="CA575" s="0" t="s">
        <v>130</v>
      </c>
      <c r="CB575" s="0" t="s">
        <v>130</v>
      </c>
      <c r="CC575" s="0" t="s">
        <v>130</v>
      </c>
      <c r="CD575" s="0" t="s">
        <v>130</v>
      </c>
      <c r="CE575" s="0" t="s">
        <v>130</v>
      </c>
      <c r="CF575" s="0" t="s">
        <v>130</v>
      </c>
      <c r="CG575" s="0" t="s">
        <v>130</v>
      </c>
      <c r="CH575" s="0" t="s">
        <v>130</v>
      </c>
      <c r="CI575" s="0" t="s">
        <v>130</v>
      </c>
      <c r="CJ575" s="0" t="s">
        <v>130</v>
      </c>
      <c r="CK575" s="0" t="s">
        <v>130</v>
      </c>
      <c r="CL575" s="0" t="s">
        <v>130</v>
      </c>
      <c r="CM575" s="0" t="s">
        <v>130</v>
      </c>
      <c r="CN575" s="0" t="s">
        <v>130</v>
      </c>
      <c r="CO575" s="0" t="s">
        <v>130</v>
      </c>
      <c r="CP575" s="0" t="s">
        <v>130</v>
      </c>
      <c r="CQ575" s="0" t="s">
        <v>130</v>
      </c>
      <c r="CR575" s="0" t="s">
        <v>130</v>
      </c>
      <c r="CS575" s="0" t="s">
        <v>130</v>
      </c>
      <c r="CT575" s="0" t="s">
        <v>1905</v>
      </c>
    </row>
    <row r="576">
      <c r="A576" s="14">
        <v>101743</v>
      </c>
      <c r="B576" s="0" t="s">
        <v>1893</v>
      </c>
      <c r="C576" s="16">
        <f>HYPERLINK("https://eosportal.federatedhermes.com/companies/Q29tcGFueQppNjI1MDg=", "Microsoft Corp")</f>
      </c>
      <c r="D576" s="0" t="s">
        <v>25</v>
      </c>
      <c r="E576" s="0" t="s">
        <v>1906</v>
      </c>
      <c r="F576" s="16">
        <f>HYPERLINK("https://eosportal.federatedhermes.com/engagements/RW5nYWdlbWVudAppMjEwMzI=", "Corporate Culture/Sexual harassmentand Discrimination")</f>
      </c>
      <c r="G576" s="14" t="s">
        <v>1907</v>
      </c>
      <c r="H576" s="0" t="s">
        <v>141</v>
      </c>
      <c r="I576" s="14" t="s">
        <v>191</v>
      </c>
      <c r="J576" s="0" t="s">
        <v>153</v>
      </c>
      <c r="K576" s="0" t="s">
        <v>154</v>
      </c>
      <c r="L576" s="0" t="s">
        <v>155</v>
      </c>
      <c r="M576" s="0" t="s">
        <v>135</v>
      </c>
      <c r="N576" s="0" t="s">
        <v>136</v>
      </c>
      <c r="O576" s="0" t="s">
        <v>137</v>
      </c>
      <c r="Q576" s="0" t="s">
        <v>130</v>
      </c>
      <c r="R576" s="0" t="s">
        <v>138</v>
      </c>
      <c r="S576" s="14">
        <v>0</v>
      </c>
      <c r="T576" s="0" t="s">
        <v>583</v>
      </c>
      <c r="U576" s="0" t="s">
        <v>138</v>
      </c>
      <c r="V576" s="14" t="s">
        <v>138</v>
      </c>
      <c r="W576" s="0" t="s">
        <v>138</v>
      </c>
      <c r="X576" s="14" t="s">
        <v>138</v>
      </c>
      <c r="Y576" s="0" t="s">
        <v>138</v>
      </c>
      <c r="Z576" s="14" t="s">
        <v>138</v>
      </c>
      <c r="AA576" s="0" t="s">
        <v>138</v>
      </c>
      <c r="AB576" s="14" t="s">
        <v>138</v>
      </c>
      <c r="AD576" s="0" t="s">
        <v>138</v>
      </c>
      <c r="AF576" s="0">
        <v>0</v>
      </c>
      <c r="AG576" s="0">
        <v>0</v>
      </c>
      <c r="AH576" s="0" t="s">
        <v>140</v>
      </c>
      <c r="AI576" s="0" t="s">
        <v>138</v>
      </c>
      <c r="AL576" s="14"/>
      <c r="AN576" s="14"/>
      <c r="AQ576" s="0" t="s">
        <v>130</v>
      </c>
      <c r="AR576" s="0" t="s">
        <v>130</v>
      </c>
      <c r="AS576" s="0" t="s">
        <v>130</v>
      </c>
      <c r="AT576" s="0" t="s">
        <v>130</v>
      </c>
      <c r="AU576" s="0" t="s">
        <v>130</v>
      </c>
      <c r="AV576" s="0" t="s">
        <v>130</v>
      </c>
      <c r="AW576" s="0" t="s">
        <v>130</v>
      </c>
      <c r="AX576" s="0" t="s">
        <v>141</v>
      </c>
      <c r="AY576" s="0" t="s">
        <v>130</v>
      </c>
      <c r="AZ576" s="0" t="s">
        <v>141</v>
      </c>
      <c r="BA576" s="0" t="s">
        <v>130</v>
      </c>
      <c r="BB576" s="0" t="s">
        <v>130</v>
      </c>
      <c r="BC576" s="0" t="s">
        <v>130</v>
      </c>
      <c r="BD576" s="0" t="s">
        <v>130</v>
      </c>
      <c r="BE576" s="0" t="s">
        <v>130</v>
      </c>
      <c r="BF576" s="0" t="s">
        <v>130</v>
      </c>
      <c r="BG576" s="0" t="s">
        <v>130</v>
      </c>
      <c r="BH576" s="0" t="s">
        <v>130</v>
      </c>
      <c r="BI576" s="0" t="s">
        <v>130</v>
      </c>
      <c r="BJ576" s="0" t="s">
        <v>130</v>
      </c>
      <c r="BK576" s="0" t="s">
        <v>130</v>
      </c>
      <c r="BL576" s="0" t="s">
        <v>130</v>
      </c>
      <c r="BM576" s="0" t="s">
        <v>130</v>
      </c>
      <c r="BN576" s="0" t="s">
        <v>130</v>
      </c>
      <c r="BO576" s="0" t="s">
        <v>130</v>
      </c>
      <c r="BP576" s="0" t="s">
        <v>130</v>
      </c>
      <c r="BQ576" s="0" t="s">
        <v>130</v>
      </c>
      <c r="BR576" s="0" t="s">
        <v>130</v>
      </c>
      <c r="BS576" s="0" t="s">
        <v>130</v>
      </c>
      <c r="BT576" s="0" t="s">
        <v>130</v>
      </c>
      <c r="BU576" s="0" t="s">
        <v>130</v>
      </c>
      <c r="BV576" s="0" t="s">
        <v>130</v>
      </c>
      <c r="BW576" s="0" t="s">
        <v>130</v>
      </c>
      <c r="BX576" s="0" t="s">
        <v>130</v>
      </c>
      <c r="BY576" s="0" t="s">
        <v>130</v>
      </c>
      <c r="BZ576" s="0" t="s">
        <v>130</v>
      </c>
      <c r="CA576" s="0" t="s">
        <v>130</v>
      </c>
      <c r="CB576" s="0" t="s">
        <v>130</v>
      </c>
      <c r="CC576" s="0" t="s">
        <v>130</v>
      </c>
      <c r="CD576" s="0" t="s">
        <v>130</v>
      </c>
      <c r="CE576" s="0" t="s">
        <v>130</v>
      </c>
      <c r="CF576" s="0" t="s">
        <v>130</v>
      </c>
      <c r="CG576" s="0" t="s">
        <v>130</v>
      </c>
      <c r="CH576" s="0" t="s">
        <v>130</v>
      </c>
      <c r="CI576" s="0" t="s">
        <v>141</v>
      </c>
      <c r="CJ576" s="0" t="s">
        <v>130</v>
      </c>
      <c r="CK576" s="0" t="s">
        <v>130</v>
      </c>
      <c r="CL576" s="0" t="s">
        <v>130</v>
      </c>
      <c r="CM576" s="0" t="s">
        <v>130</v>
      </c>
      <c r="CN576" s="0" t="s">
        <v>130</v>
      </c>
      <c r="CO576" s="0" t="s">
        <v>130</v>
      </c>
      <c r="CP576" s="0" t="s">
        <v>130</v>
      </c>
      <c r="CQ576" s="0" t="s">
        <v>130</v>
      </c>
      <c r="CR576" s="0" t="s">
        <v>130</v>
      </c>
      <c r="CS576" s="0" t="s">
        <v>130</v>
      </c>
      <c r="CT576" s="0" t="s">
        <v>1908</v>
      </c>
    </row>
    <row r="577">
      <c r="A577" s="14">
        <v>101743</v>
      </c>
      <c r="B577" s="0" t="s">
        <v>1893</v>
      </c>
      <c r="C577" s="16">
        <f>HYPERLINK("https://eosportal.federatedhermes.com/companies/Q29tcGFueQppNjI1MDg=", "Microsoft Corp")</f>
      </c>
      <c r="D577" s="0" t="s">
        <v>25</v>
      </c>
      <c r="E577" s="0" t="s">
        <v>1909</v>
      </c>
      <c r="F577" s="16">
        <f>HYPERLINK("https://eosportal.federatedhermes.com/engagements/RW5nYWdlbWVudAppMjEwMzM=", "US principles")</f>
      </c>
      <c r="G577" s="14" t="s">
        <v>1910</v>
      </c>
      <c r="H577" s="0" t="s">
        <v>141</v>
      </c>
      <c r="I577" s="14" t="s">
        <v>191</v>
      </c>
      <c r="J577" s="0" t="s">
        <v>132</v>
      </c>
      <c r="K577" s="0" t="s">
        <v>133</v>
      </c>
      <c r="L577" s="0" t="s">
        <v>160</v>
      </c>
      <c r="M577" s="0" t="s">
        <v>135</v>
      </c>
      <c r="N577" s="0" t="s">
        <v>136</v>
      </c>
      <c r="O577" s="0" t="s">
        <v>137</v>
      </c>
      <c r="Q577" s="0" t="s">
        <v>141</v>
      </c>
      <c r="R577" s="0" t="s">
        <v>138</v>
      </c>
      <c r="S577" s="14">
        <v>1</v>
      </c>
      <c r="T577" s="0" t="s">
        <v>384</v>
      </c>
      <c r="U577" s="0" t="s">
        <v>138</v>
      </c>
      <c r="V577" s="14" t="s">
        <v>138</v>
      </c>
      <c r="W577" s="0" t="s">
        <v>138</v>
      </c>
      <c r="X577" s="14" t="s">
        <v>138</v>
      </c>
      <c r="Y577" s="0" t="s">
        <v>138</v>
      </c>
      <c r="Z577" s="14" t="s">
        <v>138</v>
      </c>
      <c r="AA577" s="0" t="s">
        <v>138</v>
      </c>
      <c r="AB577" s="14" t="s">
        <v>138</v>
      </c>
      <c r="AD577" s="0" t="s">
        <v>138</v>
      </c>
      <c r="AF577" s="0">
        <v>0</v>
      </c>
      <c r="AG577" s="0">
        <v>0</v>
      </c>
      <c r="AH577" s="0" t="s">
        <v>140</v>
      </c>
      <c r="AI577" s="0" t="s">
        <v>138</v>
      </c>
      <c r="AK577" s="0" t="s">
        <v>149</v>
      </c>
      <c r="AL577" s="14"/>
      <c r="AN577" s="14"/>
      <c r="AQ577" s="0" t="s">
        <v>130</v>
      </c>
      <c r="AR577" s="0" t="s">
        <v>130</v>
      </c>
      <c r="AS577" s="0" t="s">
        <v>130</v>
      </c>
      <c r="AT577" s="0" t="s">
        <v>130</v>
      </c>
      <c r="AU577" s="0" t="s">
        <v>130</v>
      </c>
      <c r="AV577" s="0" t="s">
        <v>130</v>
      </c>
      <c r="AW577" s="0" t="s">
        <v>130</v>
      </c>
      <c r="AX577" s="0" t="s">
        <v>130</v>
      </c>
      <c r="AY577" s="0" t="s">
        <v>130</v>
      </c>
      <c r="AZ577" s="0" t="s">
        <v>130</v>
      </c>
      <c r="BA577" s="0" t="s">
        <v>130</v>
      </c>
      <c r="BB577" s="0" t="s">
        <v>130</v>
      </c>
      <c r="BC577" s="0" t="s">
        <v>130</v>
      </c>
      <c r="BD577" s="0" t="s">
        <v>130</v>
      </c>
      <c r="BE577" s="0" t="s">
        <v>130</v>
      </c>
      <c r="BF577" s="0" t="s">
        <v>130</v>
      </c>
      <c r="BG577" s="0" t="s">
        <v>130</v>
      </c>
      <c r="BH577" s="0" t="s">
        <v>130</v>
      </c>
      <c r="BI577" s="0" t="s">
        <v>130</v>
      </c>
      <c r="BJ577" s="0" t="s">
        <v>130</v>
      </c>
      <c r="BK577" s="0" t="s">
        <v>130</v>
      </c>
      <c r="BL577" s="0" t="s">
        <v>130</v>
      </c>
      <c r="BM577" s="0" t="s">
        <v>130</v>
      </c>
      <c r="BN577" s="0" t="s">
        <v>130</v>
      </c>
      <c r="BO577" s="0" t="s">
        <v>130</v>
      </c>
      <c r="BP577" s="0" t="s">
        <v>130</v>
      </c>
      <c r="BQ577" s="0" t="s">
        <v>130</v>
      </c>
      <c r="BR577" s="0" t="s">
        <v>130</v>
      </c>
      <c r="BS577" s="0" t="s">
        <v>130</v>
      </c>
      <c r="BT577" s="0" t="s">
        <v>130</v>
      </c>
      <c r="BU577" s="0" t="s">
        <v>130</v>
      </c>
      <c r="BV577" s="0" t="s">
        <v>130</v>
      </c>
      <c r="BW577" s="0" t="s">
        <v>130</v>
      </c>
      <c r="BX577" s="0" t="s">
        <v>130</v>
      </c>
      <c r="BY577" s="0" t="s">
        <v>130</v>
      </c>
      <c r="BZ577" s="0" t="s">
        <v>130</v>
      </c>
      <c r="CA577" s="0" t="s">
        <v>130</v>
      </c>
      <c r="CB577" s="0" t="s">
        <v>130</v>
      </c>
      <c r="CC577" s="0" t="s">
        <v>130</v>
      </c>
      <c r="CD577" s="0" t="s">
        <v>130</v>
      </c>
      <c r="CE577" s="0" t="s">
        <v>130</v>
      </c>
      <c r="CF577" s="0" t="s">
        <v>130</v>
      </c>
      <c r="CG577" s="0" t="s">
        <v>130</v>
      </c>
      <c r="CH577" s="0" t="s">
        <v>130</v>
      </c>
      <c r="CI577" s="0" t="s">
        <v>130</v>
      </c>
      <c r="CJ577" s="0" t="s">
        <v>130</v>
      </c>
      <c r="CK577" s="0" t="s">
        <v>130</v>
      </c>
      <c r="CL577" s="0" t="s">
        <v>130</v>
      </c>
      <c r="CM577" s="0" t="s">
        <v>130</v>
      </c>
      <c r="CN577" s="0" t="s">
        <v>130</v>
      </c>
      <c r="CO577" s="0" t="s">
        <v>130</v>
      </c>
      <c r="CP577" s="0" t="s">
        <v>130</v>
      </c>
      <c r="CQ577" s="0" t="s">
        <v>130</v>
      </c>
      <c r="CR577" s="0" t="s">
        <v>130</v>
      </c>
      <c r="CS577" s="0" t="s">
        <v>130</v>
      </c>
      <c r="CT577" s="0" t="s">
        <v>1911</v>
      </c>
    </row>
    <row r="578">
      <c r="A578" s="14">
        <v>101743</v>
      </c>
      <c r="B578" s="0" t="s">
        <v>1893</v>
      </c>
      <c r="C578" s="16">
        <f>HYPERLINK("https://eosportal.federatedhermes.com/companies/Q29tcGFueQppNjI1MDg=", "Microsoft Corp")</f>
      </c>
      <c r="D578" s="0" t="s">
        <v>25</v>
      </c>
      <c r="E578" s="0" t="s">
        <v>1912</v>
      </c>
      <c r="F578" s="16">
        <f>HYPERLINK("https://eosportal.federatedhermes.com/engagements/RW5nYWdlbWVudAppMjEwMzQ=", "Facial recognition software use in Israel/Palestine")</f>
      </c>
      <c r="G578" s="14" t="s">
        <v>1913</v>
      </c>
      <c r="H578" s="0" t="s">
        <v>141</v>
      </c>
      <c r="I578" s="14" t="s">
        <v>191</v>
      </c>
      <c r="J578" s="0" t="s">
        <v>153</v>
      </c>
      <c r="K578" s="0" t="s">
        <v>243</v>
      </c>
      <c r="L578" s="0" t="s">
        <v>537</v>
      </c>
      <c r="M578" s="0" t="s">
        <v>135</v>
      </c>
      <c r="N578" s="0" t="s">
        <v>136</v>
      </c>
      <c r="O578" s="0" t="s">
        <v>137</v>
      </c>
      <c r="Q578" s="0" t="s">
        <v>141</v>
      </c>
      <c r="R578" s="0" t="s">
        <v>138</v>
      </c>
      <c r="S578" s="14">
        <v>1</v>
      </c>
      <c r="T578" s="0" t="s">
        <v>359</v>
      </c>
      <c r="U578" s="0" t="s">
        <v>138</v>
      </c>
      <c r="V578" s="14" t="s">
        <v>138</v>
      </c>
      <c r="W578" s="0" t="s">
        <v>138</v>
      </c>
      <c r="X578" s="14" t="s">
        <v>138</v>
      </c>
      <c r="Y578" s="0" t="s">
        <v>138</v>
      </c>
      <c r="Z578" s="14" t="s">
        <v>138</v>
      </c>
      <c r="AA578" s="0" t="s">
        <v>138</v>
      </c>
      <c r="AB578" s="14" t="s">
        <v>138</v>
      </c>
      <c r="AD578" s="0" t="s">
        <v>138</v>
      </c>
      <c r="AF578" s="0">
        <v>0</v>
      </c>
      <c r="AG578" s="0">
        <v>0</v>
      </c>
      <c r="AH578" s="0" t="s">
        <v>140</v>
      </c>
      <c r="AI578" s="0" t="s">
        <v>138</v>
      </c>
      <c r="AK578" s="0" t="s">
        <v>339</v>
      </c>
      <c r="AL578" s="14"/>
      <c r="AN578" s="14"/>
      <c r="AQ578" s="0" t="s">
        <v>130</v>
      </c>
      <c r="AR578" s="0" t="s">
        <v>130</v>
      </c>
      <c r="AS578" s="0" t="s">
        <v>130</v>
      </c>
      <c r="AT578" s="0" t="s">
        <v>130</v>
      </c>
      <c r="AU578" s="0" t="s">
        <v>130</v>
      </c>
      <c r="AV578" s="0" t="s">
        <v>130</v>
      </c>
      <c r="AW578" s="0" t="s">
        <v>130</v>
      </c>
      <c r="AX578" s="0" t="s">
        <v>130</v>
      </c>
      <c r="AY578" s="0" t="s">
        <v>130</v>
      </c>
      <c r="AZ578" s="0" t="s">
        <v>141</v>
      </c>
      <c r="BA578" s="0" t="s">
        <v>130</v>
      </c>
      <c r="BB578" s="0" t="s">
        <v>130</v>
      </c>
      <c r="BC578" s="0" t="s">
        <v>130</v>
      </c>
      <c r="BD578" s="0" t="s">
        <v>130</v>
      </c>
      <c r="BE578" s="0" t="s">
        <v>130</v>
      </c>
      <c r="BF578" s="0" t="s">
        <v>141</v>
      </c>
      <c r="BG578" s="0" t="s">
        <v>130</v>
      </c>
      <c r="BH578" s="0" t="s">
        <v>130</v>
      </c>
      <c r="BI578" s="0" t="s">
        <v>130</v>
      </c>
      <c r="BJ578" s="0" t="s">
        <v>130</v>
      </c>
      <c r="BK578" s="0" t="s">
        <v>130</v>
      </c>
      <c r="BL578" s="0" t="s">
        <v>130</v>
      </c>
      <c r="BM578" s="0" t="s">
        <v>130</v>
      </c>
      <c r="BN578" s="0" t="s">
        <v>130</v>
      </c>
      <c r="BO578" s="0" t="s">
        <v>130</v>
      </c>
      <c r="BP578" s="0" t="s">
        <v>130</v>
      </c>
      <c r="BQ578" s="0" t="s">
        <v>130</v>
      </c>
      <c r="BR578" s="0" t="s">
        <v>130</v>
      </c>
      <c r="BS578" s="0" t="s">
        <v>130</v>
      </c>
      <c r="BT578" s="0" t="s">
        <v>130</v>
      </c>
      <c r="BU578" s="0" t="s">
        <v>130</v>
      </c>
      <c r="BV578" s="0" t="s">
        <v>130</v>
      </c>
      <c r="BW578" s="0" t="s">
        <v>130</v>
      </c>
      <c r="BX578" s="0" t="s">
        <v>130</v>
      </c>
      <c r="BY578" s="0" t="s">
        <v>130</v>
      </c>
      <c r="BZ578" s="0" t="s">
        <v>130</v>
      </c>
      <c r="CA578" s="0" t="s">
        <v>130</v>
      </c>
      <c r="CB578" s="0" t="s">
        <v>130</v>
      </c>
      <c r="CC578" s="0" t="s">
        <v>130</v>
      </c>
      <c r="CD578" s="0" t="s">
        <v>130</v>
      </c>
      <c r="CE578" s="0" t="s">
        <v>130</v>
      </c>
      <c r="CF578" s="0" t="s">
        <v>130</v>
      </c>
      <c r="CG578" s="0" t="s">
        <v>130</v>
      </c>
      <c r="CH578" s="0" t="s">
        <v>130</v>
      </c>
      <c r="CI578" s="0" t="s">
        <v>130</v>
      </c>
      <c r="CJ578" s="0" t="s">
        <v>130</v>
      </c>
      <c r="CK578" s="0" t="s">
        <v>130</v>
      </c>
      <c r="CL578" s="0" t="s">
        <v>130</v>
      </c>
      <c r="CM578" s="0" t="s">
        <v>130</v>
      </c>
      <c r="CN578" s="0" t="s">
        <v>130</v>
      </c>
      <c r="CO578" s="0" t="s">
        <v>130</v>
      </c>
      <c r="CP578" s="0" t="s">
        <v>130</v>
      </c>
      <c r="CQ578" s="0" t="s">
        <v>130</v>
      </c>
      <c r="CR578" s="0" t="s">
        <v>130</v>
      </c>
      <c r="CS578" s="0" t="s">
        <v>130</v>
      </c>
      <c r="CT578" s="0" t="s">
        <v>1914</v>
      </c>
    </row>
    <row r="579">
      <c r="A579" s="14">
        <v>101743</v>
      </c>
      <c r="B579" s="0" t="s">
        <v>1893</v>
      </c>
      <c r="C579" s="16">
        <f>HYPERLINK("https://eosportal.federatedhermes.com/companies/Q29tcGFueQppNjI1MDg=", "Microsoft Corp")</f>
      </c>
      <c r="D579" s="0" t="s">
        <v>25</v>
      </c>
      <c r="E579" s="0" t="s">
        <v>1915</v>
      </c>
      <c r="F579" s="16">
        <f>HYPERLINK("https://eosportal.federatedhermes.com/engagements/RW5nYWdlbWVudAppMjEwMzU=", "Conflict minerals management")</f>
      </c>
      <c r="G579" s="14" t="s">
        <v>1915</v>
      </c>
      <c r="H579" s="0" t="s">
        <v>141</v>
      </c>
      <c r="I579" s="14" t="s">
        <v>191</v>
      </c>
      <c r="J579" s="0" t="s">
        <v>153</v>
      </c>
      <c r="K579" s="0" t="s">
        <v>243</v>
      </c>
      <c r="L579" s="0" t="s">
        <v>244</v>
      </c>
      <c r="M579" s="0" t="s">
        <v>135</v>
      </c>
      <c r="N579" s="0" t="s">
        <v>136</v>
      </c>
      <c r="O579" s="0" t="s">
        <v>137</v>
      </c>
      <c r="Q579" s="0" t="s">
        <v>130</v>
      </c>
      <c r="R579" s="0" t="s">
        <v>138</v>
      </c>
      <c r="S579" s="14">
        <v>0</v>
      </c>
      <c r="T579" s="0" t="s">
        <v>245</v>
      </c>
      <c r="U579" s="0" t="s">
        <v>138</v>
      </c>
      <c r="V579" s="14" t="s">
        <v>138</v>
      </c>
      <c r="W579" s="0" t="s">
        <v>138</v>
      </c>
      <c r="X579" s="14" t="s">
        <v>138</v>
      </c>
      <c r="Y579" s="0" t="s">
        <v>138</v>
      </c>
      <c r="Z579" s="14" t="s">
        <v>138</v>
      </c>
      <c r="AA579" s="0" t="s">
        <v>138</v>
      </c>
      <c r="AB579" s="14" t="s">
        <v>138</v>
      </c>
      <c r="AD579" s="0" t="s">
        <v>138</v>
      </c>
      <c r="AF579" s="0">
        <v>0</v>
      </c>
      <c r="AG579" s="0">
        <v>0</v>
      </c>
      <c r="AH579" s="0" t="s">
        <v>140</v>
      </c>
      <c r="AI579" s="0" t="s">
        <v>138</v>
      </c>
      <c r="AL579" s="14"/>
      <c r="AN579" s="14"/>
      <c r="AQ579" s="0" t="s">
        <v>130</v>
      </c>
      <c r="AR579" s="0" t="s">
        <v>130</v>
      </c>
      <c r="AS579" s="0" t="s">
        <v>130</v>
      </c>
      <c r="AT579" s="0" t="s">
        <v>130</v>
      </c>
      <c r="AU579" s="0" t="s">
        <v>130</v>
      </c>
      <c r="AV579" s="0" t="s">
        <v>130</v>
      </c>
      <c r="AW579" s="0" t="s">
        <v>130</v>
      </c>
      <c r="AX579" s="0" t="s">
        <v>141</v>
      </c>
      <c r="AY579" s="0" t="s">
        <v>130</v>
      </c>
      <c r="AZ579" s="0" t="s">
        <v>130</v>
      </c>
      <c r="BA579" s="0" t="s">
        <v>130</v>
      </c>
      <c r="BB579" s="0" t="s">
        <v>130</v>
      </c>
      <c r="BC579" s="0" t="s">
        <v>130</v>
      </c>
      <c r="BD579" s="0" t="s">
        <v>130</v>
      </c>
      <c r="BE579" s="0" t="s">
        <v>130</v>
      </c>
      <c r="BF579" s="0" t="s">
        <v>130</v>
      </c>
      <c r="BG579" s="0" t="s">
        <v>130</v>
      </c>
      <c r="BH579" s="0" t="s">
        <v>130</v>
      </c>
      <c r="BI579" s="0" t="s">
        <v>130</v>
      </c>
      <c r="BJ579" s="0" t="s">
        <v>130</v>
      </c>
      <c r="BK579" s="0" t="s">
        <v>130</v>
      </c>
      <c r="BL579" s="0" t="s">
        <v>130</v>
      </c>
      <c r="BM579" s="0" t="s">
        <v>130</v>
      </c>
      <c r="BN579" s="0" t="s">
        <v>130</v>
      </c>
      <c r="BO579" s="0" t="s">
        <v>130</v>
      </c>
      <c r="BP579" s="0" t="s">
        <v>130</v>
      </c>
      <c r="BQ579" s="0" t="s">
        <v>130</v>
      </c>
      <c r="BR579" s="0" t="s">
        <v>130</v>
      </c>
      <c r="BS579" s="0" t="s">
        <v>130</v>
      </c>
      <c r="BT579" s="0" t="s">
        <v>130</v>
      </c>
      <c r="BU579" s="0" t="s">
        <v>130</v>
      </c>
      <c r="BV579" s="0" t="s">
        <v>130</v>
      </c>
      <c r="BW579" s="0" t="s">
        <v>130</v>
      </c>
      <c r="BX579" s="0" t="s">
        <v>130</v>
      </c>
      <c r="BY579" s="0" t="s">
        <v>130</v>
      </c>
      <c r="BZ579" s="0" t="s">
        <v>130</v>
      </c>
      <c r="CA579" s="0" t="s">
        <v>130</v>
      </c>
      <c r="CB579" s="0" t="s">
        <v>130</v>
      </c>
      <c r="CC579" s="0" t="s">
        <v>130</v>
      </c>
      <c r="CD579" s="0" t="s">
        <v>130</v>
      </c>
      <c r="CE579" s="0" t="s">
        <v>130</v>
      </c>
      <c r="CF579" s="0" t="s">
        <v>130</v>
      </c>
      <c r="CG579" s="0" t="s">
        <v>130</v>
      </c>
      <c r="CH579" s="0" t="s">
        <v>130</v>
      </c>
      <c r="CI579" s="0" t="s">
        <v>130</v>
      </c>
      <c r="CJ579" s="0" t="s">
        <v>130</v>
      </c>
      <c r="CK579" s="0" t="s">
        <v>130</v>
      </c>
      <c r="CL579" s="0" t="s">
        <v>130</v>
      </c>
      <c r="CM579" s="0" t="s">
        <v>130</v>
      </c>
      <c r="CN579" s="0" t="s">
        <v>130</v>
      </c>
      <c r="CO579" s="0" t="s">
        <v>130</v>
      </c>
      <c r="CP579" s="0" t="s">
        <v>130</v>
      </c>
      <c r="CQ579" s="0" t="s">
        <v>130</v>
      </c>
      <c r="CR579" s="0" t="s">
        <v>130</v>
      </c>
      <c r="CS579" s="0" t="s">
        <v>130</v>
      </c>
      <c r="CT579" s="0" t="s">
        <v>1916</v>
      </c>
    </row>
    <row r="580">
      <c r="A580" s="14">
        <v>101743</v>
      </c>
      <c r="B580" s="0" t="s">
        <v>1893</v>
      </c>
      <c r="C580" s="16">
        <f>HYPERLINK("https://eosportal.federatedhermes.com/companies/Q29tcGFueQppNjI1MDg=", "Microsoft Corp")</f>
      </c>
      <c r="D580" s="0" t="s">
        <v>25</v>
      </c>
      <c r="E580" s="0" t="s">
        <v>1455</v>
      </c>
      <c r="F580" s="16">
        <f>HYPERLINK("https://eosportal.federatedhermes.com/engagements/RW5nYWdlbWVudAppMjEwMzY=", "Enhanced proxy access")</f>
      </c>
      <c r="G580" s="14" t="s">
        <v>1917</v>
      </c>
      <c r="H580" s="0" t="s">
        <v>141</v>
      </c>
      <c r="I580" s="14" t="s">
        <v>191</v>
      </c>
      <c r="J580" s="0" t="s">
        <v>145</v>
      </c>
      <c r="K580" s="0" t="s">
        <v>400</v>
      </c>
      <c r="L580" s="0" t="s">
        <v>401</v>
      </c>
      <c r="M580" s="0" t="s">
        <v>135</v>
      </c>
      <c r="N580" s="0" t="s">
        <v>136</v>
      </c>
      <c r="O580" s="0" t="s">
        <v>137</v>
      </c>
      <c r="Q580" s="0" t="s">
        <v>141</v>
      </c>
      <c r="R580" s="0" t="s">
        <v>138</v>
      </c>
      <c r="S580" s="14">
        <v>1</v>
      </c>
      <c r="T580" s="0" t="s">
        <v>384</v>
      </c>
      <c r="U580" s="0" t="s">
        <v>138</v>
      </c>
      <c r="V580" s="14" t="s">
        <v>138</v>
      </c>
      <c r="W580" s="0" t="s">
        <v>138</v>
      </c>
      <c r="X580" s="14" t="s">
        <v>138</v>
      </c>
      <c r="Y580" s="0" t="s">
        <v>138</v>
      </c>
      <c r="Z580" s="14" t="s">
        <v>138</v>
      </c>
      <c r="AA580" s="0" t="s">
        <v>138</v>
      </c>
      <c r="AB580" s="14" t="s">
        <v>138</v>
      </c>
      <c r="AD580" s="0" t="s">
        <v>138</v>
      </c>
      <c r="AF580" s="0">
        <v>0</v>
      </c>
      <c r="AG580" s="0">
        <v>0</v>
      </c>
      <c r="AH580" s="0" t="s">
        <v>140</v>
      </c>
      <c r="AI580" s="0" t="s">
        <v>138</v>
      </c>
      <c r="AK580" s="0" t="s">
        <v>149</v>
      </c>
      <c r="AL580" s="14"/>
      <c r="AN580" s="14"/>
      <c r="AQ580" s="0" t="s">
        <v>130</v>
      </c>
      <c r="AR580" s="0" t="s">
        <v>130</v>
      </c>
      <c r="AS580" s="0" t="s">
        <v>130</v>
      </c>
      <c r="AT580" s="0" t="s">
        <v>130</v>
      </c>
      <c r="AU580" s="0" t="s">
        <v>130</v>
      </c>
      <c r="AV580" s="0" t="s">
        <v>130</v>
      </c>
      <c r="AW580" s="0" t="s">
        <v>130</v>
      </c>
      <c r="AX580" s="0" t="s">
        <v>130</v>
      </c>
      <c r="AY580" s="0" t="s">
        <v>130</v>
      </c>
      <c r="AZ580" s="0" t="s">
        <v>130</v>
      </c>
      <c r="BA580" s="0" t="s">
        <v>130</v>
      </c>
      <c r="BB580" s="0" t="s">
        <v>130</v>
      </c>
      <c r="BC580" s="0" t="s">
        <v>130</v>
      </c>
      <c r="BD580" s="0" t="s">
        <v>130</v>
      </c>
      <c r="BE580" s="0" t="s">
        <v>130</v>
      </c>
      <c r="BF580" s="0" t="s">
        <v>130</v>
      </c>
      <c r="BG580" s="0" t="s">
        <v>130</v>
      </c>
      <c r="BH580" s="0" t="s">
        <v>130</v>
      </c>
      <c r="BI580" s="0" t="s">
        <v>130</v>
      </c>
      <c r="BJ580" s="0" t="s">
        <v>130</v>
      </c>
      <c r="BK580" s="0" t="s">
        <v>130</v>
      </c>
      <c r="BL580" s="0" t="s">
        <v>130</v>
      </c>
      <c r="BM580" s="0" t="s">
        <v>130</v>
      </c>
      <c r="BN580" s="0" t="s">
        <v>130</v>
      </c>
      <c r="BO580" s="0" t="s">
        <v>130</v>
      </c>
      <c r="BP580" s="0" t="s">
        <v>130</v>
      </c>
      <c r="BQ580" s="0" t="s">
        <v>130</v>
      </c>
      <c r="BR580" s="0" t="s">
        <v>130</v>
      </c>
      <c r="BS580" s="0" t="s">
        <v>130</v>
      </c>
      <c r="BT580" s="0" t="s">
        <v>130</v>
      </c>
      <c r="BU580" s="0" t="s">
        <v>130</v>
      </c>
      <c r="BV580" s="0" t="s">
        <v>130</v>
      </c>
      <c r="BW580" s="0" t="s">
        <v>130</v>
      </c>
      <c r="BX580" s="0" t="s">
        <v>130</v>
      </c>
      <c r="BY580" s="0" t="s">
        <v>130</v>
      </c>
      <c r="BZ580" s="0" t="s">
        <v>130</v>
      </c>
      <c r="CA580" s="0" t="s">
        <v>130</v>
      </c>
      <c r="CB580" s="0" t="s">
        <v>130</v>
      </c>
      <c r="CC580" s="0" t="s">
        <v>130</v>
      </c>
      <c r="CD580" s="0" t="s">
        <v>130</v>
      </c>
      <c r="CE580" s="0" t="s">
        <v>130</v>
      </c>
      <c r="CF580" s="0" t="s">
        <v>130</v>
      </c>
      <c r="CG580" s="0" t="s">
        <v>130</v>
      </c>
      <c r="CH580" s="0" t="s">
        <v>130</v>
      </c>
      <c r="CI580" s="0" t="s">
        <v>130</v>
      </c>
      <c r="CJ580" s="0" t="s">
        <v>130</v>
      </c>
      <c r="CK580" s="0" t="s">
        <v>130</v>
      </c>
      <c r="CL580" s="0" t="s">
        <v>130</v>
      </c>
      <c r="CM580" s="0" t="s">
        <v>130</v>
      </c>
      <c r="CN580" s="0" t="s">
        <v>130</v>
      </c>
      <c r="CO580" s="0" t="s">
        <v>130</v>
      </c>
      <c r="CP580" s="0" t="s">
        <v>130</v>
      </c>
      <c r="CQ580" s="0" t="s">
        <v>130</v>
      </c>
      <c r="CR580" s="0" t="s">
        <v>130</v>
      </c>
      <c r="CS580" s="0" t="s">
        <v>130</v>
      </c>
      <c r="CT580" s="0" t="s">
        <v>1918</v>
      </c>
    </row>
    <row r="581">
      <c r="A581" s="14">
        <v>101743</v>
      </c>
      <c r="B581" s="0" t="s">
        <v>1893</v>
      </c>
      <c r="C581" s="16">
        <f>HYPERLINK("https://eosportal.federatedhermes.com/companies/Q29tcGFueQppNjI1MDg=", "Microsoft Corp")</f>
      </c>
      <c r="D581" s="0" t="s">
        <v>25</v>
      </c>
      <c r="E581" s="0" t="s">
        <v>1919</v>
      </c>
      <c r="F581" s="16">
        <f>HYPERLINK("https://eosportal.federatedhermes.com/engagements/RW5nYWdlbWVudAppMjEwMzc=", "Climate change reporting")</f>
      </c>
      <c r="G581" s="14" t="s">
        <v>1920</v>
      </c>
      <c r="H581" s="0" t="s">
        <v>141</v>
      </c>
      <c r="I581" s="14" t="s">
        <v>191</v>
      </c>
      <c r="J581" s="0" t="s">
        <v>197</v>
      </c>
      <c r="K581" s="0" t="s">
        <v>198</v>
      </c>
      <c r="L581" s="0" t="s">
        <v>199</v>
      </c>
      <c r="M581" s="0" t="s">
        <v>135</v>
      </c>
      <c r="N581" s="0" t="s">
        <v>136</v>
      </c>
      <c r="O581" s="0" t="s">
        <v>137</v>
      </c>
      <c r="Q581" s="0" t="s">
        <v>130</v>
      </c>
      <c r="R581" s="0" t="s">
        <v>138</v>
      </c>
      <c r="S581" s="14">
        <v>0</v>
      </c>
      <c r="T581" s="0" t="s">
        <v>249</v>
      </c>
      <c r="U581" s="0" t="s">
        <v>138</v>
      </c>
      <c r="V581" s="14" t="s">
        <v>138</v>
      </c>
      <c r="W581" s="0" t="s">
        <v>138</v>
      </c>
      <c r="X581" s="14" t="s">
        <v>138</v>
      </c>
      <c r="Y581" s="0" t="s">
        <v>138</v>
      </c>
      <c r="Z581" s="14" t="s">
        <v>138</v>
      </c>
      <c r="AA581" s="0" t="s">
        <v>138</v>
      </c>
      <c r="AB581" s="14" t="s">
        <v>138</v>
      </c>
      <c r="AD581" s="0" t="s">
        <v>138</v>
      </c>
      <c r="AF581" s="0">
        <v>0</v>
      </c>
      <c r="AG581" s="0">
        <v>0</v>
      </c>
      <c r="AH581" s="0" t="s">
        <v>140</v>
      </c>
      <c r="AI581" s="0" t="s">
        <v>138</v>
      </c>
      <c r="AL581" s="14"/>
      <c r="AN581" s="14"/>
      <c r="AQ581" s="0" t="s">
        <v>130</v>
      </c>
      <c r="AR581" s="0" t="s">
        <v>130</v>
      </c>
      <c r="AS581" s="0" t="s">
        <v>130</v>
      </c>
      <c r="AT581" s="0" t="s">
        <v>130</v>
      </c>
      <c r="AU581" s="0" t="s">
        <v>130</v>
      </c>
      <c r="AV581" s="0" t="s">
        <v>130</v>
      </c>
      <c r="AW581" s="0" t="s">
        <v>130</v>
      </c>
      <c r="AX581" s="0" t="s">
        <v>130</v>
      </c>
      <c r="AY581" s="0" t="s">
        <v>130</v>
      </c>
      <c r="AZ581" s="0" t="s">
        <v>130</v>
      </c>
      <c r="BA581" s="0" t="s">
        <v>130</v>
      </c>
      <c r="BB581" s="0" t="s">
        <v>141</v>
      </c>
      <c r="BC581" s="0" t="s">
        <v>141</v>
      </c>
      <c r="BD581" s="0" t="s">
        <v>130</v>
      </c>
      <c r="BE581" s="0" t="s">
        <v>130</v>
      </c>
      <c r="BF581" s="0" t="s">
        <v>130</v>
      </c>
      <c r="BG581" s="0" t="s">
        <v>130</v>
      </c>
      <c r="BH581" s="0" t="s">
        <v>130</v>
      </c>
      <c r="BI581" s="0" t="s">
        <v>130</v>
      </c>
      <c r="BJ581" s="0" t="s">
        <v>130</v>
      </c>
      <c r="BK581" s="0" t="s">
        <v>130</v>
      </c>
      <c r="BL581" s="0" t="s">
        <v>130</v>
      </c>
      <c r="BM581" s="0" t="s">
        <v>130</v>
      </c>
      <c r="BN581" s="0" t="s">
        <v>130</v>
      </c>
      <c r="BO581" s="0" t="s">
        <v>130</v>
      </c>
      <c r="BP581" s="0" t="s">
        <v>130</v>
      </c>
      <c r="BQ581" s="0" t="s">
        <v>130</v>
      </c>
      <c r="BR581" s="0" t="s">
        <v>130</v>
      </c>
      <c r="BS581" s="0" t="s">
        <v>130</v>
      </c>
      <c r="BT581" s="0" t="s">
        <v>130</v>
      </c>
      <c r="BU581" s="0" t="s">
        <v>130</v>
      </c>
      <c r="BV581" s="0" t="s">
        <v>130</v>
      </c>
      <c r="BW581" s="0" t="s">
        <v>130</v>
      </c>
      <c r="BX581" s="0" t="s">
        <v>130</v>
      </c>
      <c r="BY581" s="0" t="s">
        <v>130</v>
      </c>
      <c r="BZ581" s="0" t="s">
        <v>130</v>
      </c>
      <c r="CA581" s="0" t="s">
        <v>130</v>
      </c>
      <c r="CB581" s="0" t="s">
        <v>130</v>
      </c>
      <c r="CC581" s="0" t="s">
        <v>130</v>
      </c>
      <c r="CD581" s="0" t="s">
        <v>130</v>
      </c>
      <c r="CE581" s="0" t="s">
        <v>130</v>
      </c>
      <c r="CF581" s="0" t="s">
        <v>130</v>
      </c>
      <c r="CG581" s="0" t="s">
        <v>130</v>
      </c>
      <c r="CH581" s="0" t="s">
        <v>130</v>
      </c>
      <c r="CI581" s="0" t="s">
        <v>130</v>
      </c>
      <c r="CJ581" s="0" t="s">
        <v>130</v>
      </c>
      <c r="CK581" s="0" t="s">
        <v>130</v>
      </c>
      <c r="CL581" s="0" t="s">
        <v>130</v>
      </c>
      <c r="CM581" s="0" t="s">
        <v>130</v>
      </c>
      <c r="CN581" s="0" t="s">
        <v>130</v>
      </c>
      <c r="CO581" s="0" t="s">
        <v>130</v>
      </c>
      <c r="CP581" s="0" t="s">
        <v>130</v>
      </c>
      <c r="CQ581" s="0" t="s">
        <v>130</v>
      </c>
      <c r="CR581" s="0" t="s">
        <v>130</v>
      </c>
      <c r="CS581" s="0" t="s">
        <v>130</v>
      </c>
      <c r="CT581" s="0" t="s">
        <v>1921</v>
      </c>
    </row>
    <row r="582">
      <c r="A582" s="14">
        <v>101743</v>
      </c>
      <c r="B582" s="0" t="s">
        <v>1893</v>
      </c>
      <c r="C582" s="16">
        <f>HYPERLINK("https://eosportal.federatedhermes.com/companies/Q29tcGFueQppNjI1MDg=", "Microsoft Corp")</f>
      </c>
      <c r="D582" s="0" t="s">
        <v>25</v>
      </c>
      <c r="E582" s="0" t="s">
        <v>1922</v>
      </c>
      <c r="F582" s="16">
        <f>HYPERLINK("https://eosportal.federatedhermes.com/engagements/RW5nYWdlbWVudAppMjEwMzg=", "Tax")</f>
      </c>
      <c r="G582" s="14" t="s">
        <v>1923</v>
      </c>
      <c r="H582" s="0" t="s">
        <v>141</v>
      </c>
      <c r="I582" s="14" t="s">
        <v>191</v>
      </c>
      <c r="J582" s="0" t="s">
        <v>153</v>
      </c>
      <c r="K582" s="0" t="s">
        <v>185</v>
      </c>
      <c r="L582" s="0" t="s">
        <v>548</v>
      </c>
      <c r="M582" s="0" t="s">
        <v>135</v>
      </c>
      <c r="N582" s="0" t="s">
        <v>136</v>
      </c>
      <c r="O582" s="0" t="s">
        <v>137</v>
      </c>
      <c r="Q582" s="0" t="s">
        <v>130</v>
      </c>
      <c r="R582" s="0" t="s">
        <v>138</v>
      </c>
      <c r="S582" s="14">
        <v>0</v>
      </c>
      <c r="T582" s="0" t="s">
        <v>333</v>
      </c>
      <c r="U582" s="0" t="s">
        <v>138</v>
      </c>
      <c r="V582" s="14" t="s">
        <v>138</v>
      </c>
      <c r="W582" s="0" t="s">
        <v>138</v>
      </c>
      <c r="X582" s="14" t="s">
        <v>138</v>
      </c>
      <c r="Y582" s="0" t="s">
        <v>138</v>
      </c>
      <c r="Z582" s="14" t="s">
        <v>138</v>
      </c>
      <c r="AA582" s="0" t="s">
        <v>138</v>
      </c>
      <c r="AB582" s="14" t="s">
        <v>138</v>
      </c>
      <c r="AD582" s="0" t="s">
        <v>138</v>
      </c>
      <c r="AF582" s="0">
        <v>0</v>
      </c>
      <c r="AG582" s="0">
        <v>0</v>
      </c>
      <c r="AH582" s="0" t="s">
        <v>140</v>
      </c>
      <c r="AI582" s="0" t="s">
        <v>138</v>
      </c>
      <c r="AL582" s="14"/>
      <c r="AN582" s="14"/>
      <c r="AQ582" s="0" t="s">
        <v>130</v>
      </c>
      <c r="AR582" s="0" t="s">
        <v>130</v>
      </c>
      <c r="AS582" s="0" t="s">
        <v>130</v>
      </c>
      <c r="AT582" s="0" t="s">
        <v>130</v>
      </c>
      <c r="AU582" s="0" t="s">
        <v>130</v>
      </c>
      <c r="AV582" s="0" t="s">
        <v>130</v>
      </c>
      <c r="AW582" s="0" t="s">
        <v>130</v>
      </c>
      <c r="AX582" s="0" t="s">
        <v>130</v>
      </c>
      <c r="AY582" s="0" t="s">
        <v>130</v>
      </c>
      <c r="AZ582" s="0" t="s">
        <v>130</v>
      </c>
      <c r="BA582" s="0" t="s">
        <v>130</v>
      </c>
      <c r="BB582" s="0" t="s">
        <v>130</v>
      </c>
      <c r="BC582" s="0" t="s">
        <v>130</v>
      </c>
      <c r="BD582" s="0" t="s">
        <v>130</v>
      </c>
      <c r="BE582" s="0" t="s">
        <v>130</v>
      </c>
      <c r="BF582" s="0" t="s">
        <v>130</v>
      </c>
      <c r="BG582" s="0" t="s">
        <v>141</v>
      </c>
      <c r="BH582" s="0" t="s">
        <v>130</v>
      </c>
      <c r="BI582" s="0" t="s">
        <v>130</v>
      </c>
      <c r="BJ582" s="0" t="s">
        <v>130</v>
      </c>
      <c r="BK582" s="0" t="s">
        <v>130</v>
      </c>
      <c r="BL582" s="0" t="s">
        <v>130</v>
      </c>
      <c r="BM582" s="0" t="s">
        <v>130</v>
      </c>
      <c r="BN582" s="0" t="s">
        <v>130</v>
      </c>
      <c r="BO582" s="0" t="s">
        <v>130</v>
      </c>
      <c r="BP582" s="0" t="s">
        <v>130</v>
      </c>
      <c r="BQ582" s="0" t="s">
        <v>130</v>
      </c>
      <c r="BR582" s="0" t="s">
        <v>130</v>
      </c>
      <c r="BS582" s="0" t="s">
        <v>130</v>
      </c>
      <c r="BT582" s="0" t="s">
        <v>130</v>
      </c>
      <c r="BU582" s="0" t="s">
        <v>130</v>
      </c>
      <c r="BV582" s="0" t="s">
        <v>130</v>
      </c>
      <c r="BW582" s="0" t="s">
        <v>130</v>
      </c>
      <c r="BX582" s="0" t="s">
        <v>130</v>
      </c>
      <c r="BY582" s="0" t="s">
        <v>130</v>
      </c>
      <c r="BZ582" s="0" t="s">
        <v>130</v>
      </c>
      <c r="CA582" s="0" t="s">
        <v>130</v>
      </c>
      <c r="CB582" s="0" t="s">
        <v>130</v>
      </c>
      <c r="CC582" s="0" t="s">
        <v>130</v>
      </c>
      <c r="CD582" s="0" t="s">
        <v>130</v>
      </c>
      <c r="CE582" s="0" t="s">
        <v>130</v>
      </c>
      <c r="CF582" s="0" t="s">
        <v>130</v>
      </c>
      <c r="CG582" s="0" t="s">
        <v>130</v>
      </c>
      <c r="CH582" s="0" t="s">
        <v>130</v>
      </c>
      <c r="CI582" s="0" t="s">
        <v>130</v>
      </c>
      <c r="CJ582" s="0" t="s">
        <v>130</v>
      </c>
      <c r="CK582" s="0" t="s">
        <v>130</v>
      </c>
      <c r="CL582" s="0" t="s">
        <v>130</v>
      </c>
      <c r="CM582" s="0" t="s">
        <v>130</v>
      </c>
      <c r="CN582" s="0" t="s">
        <v>130</v>
      </c>
      <c r="CO582" s="0" t="s">
        <v>130</v>
      </c>
      <c r="CP582" s="0" t="s">
        <v>130</v>
      </c>
      <c r="CQ582" s="0" t="s">
        <v>130</v>
      </c>
      <c r="CR582" s="0" t="s">
        <v>130</v>
      </c>
      <c r="CS582" s="0" t="s">
        <v>130</v>
      </c>
      <c r="CT582" s="0" t="s">
        <v>1924</v>
      </c>
    </row>
    <row r="583">
      <c r="A583" s="14">
        <v>101743</v>
      </c>
      <c r="B583" s="0" t="s">
        <v>1893</v>
      </c>
      <c r="C583" s="16">
        <f>HYPERLINK("https://eosportal.federatedhermes.com/companies/Q29tcGFueQppNjI1MDg=", "Microsoft Corp")</f>
      </c>
      <c r="D583" s="0" t="s">
        <v>25</v>
      </c>
      <c r="E583" s="0" t="s">
        <v>1925</v>
      </c>
      <c r="F583" s="16">
        <f>HYPERLINK("https://eosportal.federatedhermes.com/engagements/RW5nYWdlbWVudAppMjEwNDA=", "Sustainable execution of revised strategy")</f>
      </c>
      <c r="G583" s="14" t="s">
        <v>1926</v>
      </c>
      <c r="H583" s="0" t="s">
        <v>141</v>
      </c>
      <c r="I583" s="14" t="s">
        <v>191</v>
      </c>
      <c r="J583" s="0" t="s">
        <v>153</v>
      </c>
      <c r="K583" s="0" t="s">
        <v>243</v>
      </c>
      <c r="L583" s="0" t="s">
        <v>244</v>
      </c>
      <c r="M583" s="0" t="s">
        <v>135</v>
      </c>
      <c r="N583" s="0" t="s">
        <v>136</v>
      </c>
      <c r="O583" s="0" t="s">
        <v>137</v>
      </c>
      <c r="Q583" s="0" t="s">
        <v>130</v>
      </c>
      <c r="R583" s="0" t="s">
        <v>138</v>
      </c>
      <c r="S583" s="14">
        <v>0</v>
      </c>
      <c r="T583" s="0" t="s">
        <v>200</v>
      </c>
      <c r="U583" s="0" t="s">
        <v>138</v>
      </c>
      <c r="V583" s="14" t="s">
        <v>138</v>
      </c>
      <c r="W583" s="0" t="s">
        <v>138</v>
      </c>
      <c r="X583" s="14" t="s">
        <v>138</v>
      </c>
      <c r="Y583" s="0" t="s">
        <v>138</v>
      </c>
      <c r="Z583" s="14" t="s">
        <v>138</v>
      </c>
      <c r="AA583" s="0" t="s">
        <v>138</v>
      </c>
      <c r="AB583" s="14" t="s">
        <v>138</v>
      </c>
      <c r="AD583" s="0" t="s">
        <v>138</v>
      </c>
      <c r="AF583" s="0">
        <v>0</v>
      </c>
      <c r="AG583" s="0">
        <v>0</v>
      </c>
      <c r="AH583" s="0" t="s">
        <v>140</v>
      </c>
      <c r="AI583" s="0" t="s">
        <v>138</v>
      </c>
      <c r="AL583" s="14"/>
      <c r="AN583" s="14"/>
      <c r="AQ583" s="0" t="s">
        <v>130</v>
      </c>
      <c r="AR583" s="0" t="s">
        <v>130</v>
      </c>
      <c r="AS583" s="0" t="s">
        <v>130</v>
      </c>
      <c r="AT583" s="0" t="s">
        <v>130</v>
      </c>
      <c r="AU583" s="0" t="s">
        <v>130</v>
      </c>
      <c r="AV583" s="0" t="s">
        <v>130</v>
      </c>
      <c r="AW583" s="0" t="s">
        <v>130</v>
      </c>
      <c r="AX583" s="0" t="s">
        <v>130</v>
      </c>
      <c r="AY583" s="0" t="s">
        <v>130</v>
      </c>
      <c r="AZ583" s="0" t="s">
        <v>130</v>
      </c>
      <c r="BA583" s="0" t="s">
        <v>130</v>
      </c>
      <c r="BB583" s="0" t="s">
        <v>130</v>
      </c>
      <c r="BC583" s="0" t="s">
        <v>130</v>
      </c>
      <c r="BD583" s="0" t="s">
        <v>130</v>
      </c>
      <c r="BE583" s="0" t="s">
        <v>130</v>
      </c>
      <c r="BF583" s="0" t="s">
        <v>130</v>
      </c>
      <c r="BG583" s="0" t="s">
        <v>130</v>
      </c>
      <c r="BH583" s="0" t="s">
        <v>130</v>
      </c>
      <c r="BI583" s="0" t="s">
        <v>130</v>
      </c>
      <c r="BJ583" s="0" t="s">
        <v>130</v>
      </c>
      <c r="BK583" s="0" t="s">
        <v>130</v>
      </c>
      <c r="BL583" s="0" t="s">
        <v>130</v>
      </c>
      <c r="BM583" s="0" t="s">
        <v>130</v>
      </c>
      <c r="BN583" s="0" t="s">
        <v>130</v>
      </c>
      <c r="BO583" s="0" t="s">
        <v>130</v>
      </c>
      <c r="BP583" s="0" t="s">
        <v>130</v>
      </c>
      <c r="BQ583" s="0" t="s">
        <v>130</v>
      </c>
      <c r="BR583" s="0" t="s">
        <v>130</v>
      </c>
      <c r="BS583" s="0" t="s">
        <v>130</v>
      </c>
      <c r="BT583" s="0" t="s">
        <v>130</v>
      </c>
      <c r="BU583" s="0" t="s">
        <v>130</v>
      </c>
      <c r="BV583" s="0" t="s">
        <v>130</v>
      </c>
      <c r="BW583" s="0" t="s">
        <v>130</v>
      </c>
      <c r="BX583" s="0" t="s">
        <v>130</v>
      </c>
      <c r="BY583" s="0" t="s">
        <v>130</v>
      </c>
      <c r="BZ583" s="0" t="s">
        <v>130</v>
      </c>
      <c r="CA583" s="0" t="s">
        <v>130</v>
      </c>
      <c r="CB583" s="0" t="s">
        <v>130</v>
      </c>
      <c r="CC583" s="0" t="s">
        <v>130</v>
      </c>
      <c r="CD583" s="0" t="s">
        <v>130</v>
      </c>
      <c r="CE583" s="0" t="s">
        <v>130</v>
      </c>
      <c r="CF583" s="0" t="s">
        <v>130</v>
      </c>
      <c r="CG583" s="0" t="s">
        <v>130</v>
      </c>
      <c r="CH583" s="0" t="s">
        <v>130</v>
      </c>
      <c r="CI583" s="0" t="s">
        <v>130</v>
      </c>
      <c r="CJ583" s="0" t="s">
        <v>130</v>
      </c>
      <c r="CK583" s="0" t="s">
        <v>130</v>
      </c>
      <c r="CL583" s="0" t="s">
        <v>130</v>
      </c>
      <c r="CM583" s="0" t="s">
        <v>130</v>
      </c>
      <c r="CN583" s="0" t="s">
        <v>130</v>
      </c>
      <c r="CO583" s="0" t="s">
        <v>130</v>
      </c>
      <c r="CP583" s="0" t="s">
        <v>130</v>
      </c>
      <c r="CQ583" s="0" t="s">
        <v>130</v>
      </c>
      <c r="CR583" s="0" t="s">
        <v>130</v>
      </c>
      <c r="CS583" s="0" t="s">
        <v>130</v>
      </c>
      <c r="CT583" s="0" t="s">
        <v>1927</v>
      </c>
    </row>
    <row r="584">
      <c r="A584" s="14">
        <v>101743</v>
      </c>
      <c r="B584" s="0" t="s">
        <v>1893</v>
      </c>
      <c r="C584" s="16">
        <f>HYPERLINK("https://eosportal.federatedhermes.com/companies/Q29tcGFueQppNjI1MDg=", "Microsoft Corp")</f>
      </c>
      <c r="D584" s="0" t="s">
        <v>25</v>
      </c>
      <c r="E584" s="0" t="s">
        <v>1928</v>
      </c>
      <c r="F584" s="16">
        <f>HYPERLINK("https://eosportal.federatedhermes.com/engagements/RW5nYWdlbWVudAppMjEwNDg=", "Management remuneration")</f>
      </c>
      <c r="G584" s="14" t="s">
        <v>1929</v>
      </c>
      <c r="H584" s="0" t="s">
        <v>141</v>
      </c>
      <c r="I584" s="14" t="s">
        <v>191</v>
      </c>
      <c r="J584" s="0" t="s">
        <v>145</v>
      </c>
      <c r="K584" s="0" t="s">
        <v>146</v>
      </c>
      <c r="L584" s="0" t="s">
        <v>147</v>
      </c>
      <c r="M584" s="0" t="s">
        <v>135</v>
      </c>
      <c r="N584" s="0" t="s">
        <v>136</v>
      </c>
      <c r="O584" s="0" t="s">
        <v>137</v>
      </c>
      <c r="Q584" s="0" t="s">
        <v>130</v>
      </c>
      <c r="R584" s="0" t="s">
        <v>138</v>
      </c>
      <c r="S584" s="14">
        <v>0</v>
      </c>
      <c r="T584" s="0" t="s">
        <v>591</v>
      </c>
      <c r="U584" s="0" t="s">
        <v>138</v>
      </c>
      <c r="V584" s="14" t="s">
        <v>138</v>
      </c>
      <c r="W584" s="0" t="s">
        <v>138</v>
      </c>
      <c r="X584" s="14" t="s">
        <v>138</v>
      </c>
      <c r="Y584" s="0" t="s">
        <v>138</v>
      </c>
      <c r="Z584" s="14" t="s">
        <v>138</v>
      </c>
      <c r="AA584" s="0" t="s">
        <v>138</v>
      </c>
      <c r="AB584" s="14" t="s">
        <v>138</v>
      </c>
      <c r="AD584" s="0" t="s">
        <v>138</v>
      </c>
      <c r="AF584" s="0">
        <v>0</v>
      </c>
      <c r="AG584" s="0">
        <v>0</v>
      </c>
      <c r="AH584" s="0" t="s">
        <v>140</v>
      </c>
      <c r="AI584" s="0" t="s">
        <v>138</v>
      </c>
      <c r="AL584" s="14"/>
      <c r="AN584" s="14"/>
      <c r="AQ584" s="0" t="s">
        <v>130</v>
      </c>
      <c r="AR584" s="0" t="s">
        <v>130</v>
      </c>
      <c r="AS584" s="0" t="s">
        <v>130</v>
      </c>
      <c r="AT584" s="0" t="s">
        <v>130</v>
      </c>
      <c r="AU584" s="0" t="s">
        <v>130</v>
      </c>
      <c r="AV584" s="0" t="s">
        <v>130</v>
      </c>
      <c r="AW584" s="0" t="s">
        <v>130</v>
      </c>
      <c r="AX584" s="0" t="s">
        <v>130</v>
      </c>
      <c r="AY584" s="0" t="s">
        <v>130</v>
      </c>
      <c r="AZ584" s="0" t="s">
        <v>130</v>
      </c>
      <c r="BA584" s="0" t="s">
        <v>130</v>
      </c>
      <c r="BB584" s="0" t="s">
        <v>130</v>
      </c>
      <c r="BC584" s="0" t="s">
        <v>130</v>
      </c>
      <c r="BD584" s="0" t="s">
        <v>130</v>
      </c>
      <c r="BE584" s="0" t="s">
        <v>130</v>
      </c>
      <c r="BF584" s="0" t="s">
        <v>130</v>
      </c>
      <c r="BG584" s="0" t="s">
        <v>130</v>
      </c>
      <c r="BH584" s="0" t="s">
        <v>130</v>
      </c>
      <c r="BI584" s="0" t="s">
        <v>130</v>
      </c>
      <c r="BJ584" s="0" t="s">
        <v>130</v>
      </c>
      <c r="BK584" s="0" t="s">
        <v>130</v>
      </c>
      <c r="BL584" s="0" t="s">
        <v>130</v>
      </c>
      <c r="BM584" s="0" t="s">
        <v>130</v>
      </c>
      <c r="BN584" s="0" t="s">
        <v>130</v>
      </c>
      <c r="BO584" s="0" t="s">
        <v>130</v>
      </c>
      <c r="BP584" s="0" t="s">
        <v>130</v>
      </c>
      <c r="BQ584" s="0" t="s">
        <v>130</v>
      </c>
      <c r="BR584" s="0" t="s">
        <v>130</v>
      </c>
      <c r="BS584" s="0" t="s">
        <v>130</v>
      </c>
      <c r="BT584" s="0" t="s">
        <v>130</v>
      </c>
      <c r="BU584" s="0" t="s">
        <v>130</v>
      </c>
      <c r="BV584" s="0" t="s">
        <v>130</v>
      </c>
      <c r="BW584" s="0" t="s">
        <v>130</v>
      </c>
      <c r="BX584" s="0" t="s">
        <v>130</v>
      </c>
      <c r="BY584" s="0" t="s">
        <v>130</v>
      </c>
      <c r="BZ584" s="0" t="s">
        <v>130</v>
      </c>
      <c r="CA584" s="0" t="s">
        <v>130</v>
      </c>
      <c r="CB584" s="0" t="s">
        <v>130</v>
      </c>
      <c r="CC584" s="0" t="s">
        <v>130</v>
      </c>
      <c r="CD584" s="0" t="s">
        <v>130</v>
      </c>
      <c r="CE584" s="0" t="s">
        <v>130</v>
      </c>
      <c r="CF584" s="0" t="s">
        <v>130</v>
      </c>
      <c r="CG584" s="0" t="s">
        <v>130</v>
      </c>
      <c r="CH584" s="0" t="s">
        <v>130</v>
      </c>
      <c r="CI584" s="0" t="s">
        <v>130</v>
      </c>
      <c r="CJ584" s="0" t="s">
        <v>130</v>
      </c>
      <c r="CK584" s="0" t="s">
        <v>130</v>
      </c>
      <c r="CL584" s="0" t="s">
        <v>130</v>
      </c>
      <c r="CM584" s="0" t="s">
        <v>130</v>
      </c>
      <c r="CN584" s="0" t="s">
        <v>130</v>
      </c>
      <c r="CO584" s="0" t="s">
        <v>130</v>
      </c>
      <c r="CP584" s="0" t="s">
        <v>130</v>
      </c>
      <c r="CQ584" s="0" t="s">
        <v>130</v>
      </c>
      <c r="CR584" s="0" t="s">
        <v>130</v>
      </c>
      <c r="CS584" s="0" t="s">
        <v>130</v>
      </c>
      <c r="CT584" s="0" t="s">
        <v>1930</v>
      </c>
    </row>
    <row r="585">
      <c r="A585" s="14">
        <v>101743</v>
      </c>
      <c r="B585" s="0" t="s">
        <v>1893</v>
      </c>
      <c r="C585" s="16">
        <f>HYPERLINK("https://eosportal.federatedhermes.com/companies/Q29tcGFueQppNjI1MDg=", "Microsoft Corp")</f>
      </c>
      <c r="D585" s="0" t="s">
        <v>25</v>
      </c>
      <c r="E585" s="0" t="s">
        <v>459</v>
      </c>
      <c r="F585" s="16">
        <f>HYPERLINK("https://eosportal.federatedhermes.com/engagements/RW5nYWdlbWVudAppMjEwNDk=", "Human capital management")</f>
      </c>
      <c r="G585" s="14" t="s">
        <v>1931</v>
      </c>
      <c r="H585" s="0" t="s">
        <v>141</v>
      </c>
      <c r="I585" s="14" t="s">
        <v>191</v>
      </c>
      <c r="J585" s="0" t="s">
        <v>153</v>
      </c>
      <c r="K585" s="0" t="s">
        <v>154</v>
      </c>
      <c r="L585" s="0" t="s">
        <v>268</v>
      </c>
      <c r="M585" s="0" t="s">
        <v>135</v>
      </c>
      <c r="N585" s="0" t="s">
        <v>136</v>
      </c>
      <c r="O585" s="0" t="s">
        <v>137</v>
      </c>
      <c r="Q585" s="0" t="s">
        <v>130</v>
      </c>
      <c r="R585" s="0" t="s">
        <v>138</v>
      </c>
      <c r="S585" s="14">
        <v>0</v>
      </c>
      <c r="T585" s="0" t="s">
        <v>1145</v>
      </c>
      <c r="U585" s="0" t="s">
        <v>138</v>
      </c>
      <c r="V585" s="14" t="s">
        <v>138</v>
      </c>
      <c r="W585" s="0" t="s">
        <v>138</v>
      </c>
      <c r="X585" s="14" t="s">
        <v>138</v>
      </c>
      <c r="Y585" s="0" t="s">
        <v>138</v>
      </c>
      <c r="Z585" s="14" t="s">
        <v>138</v>
      </c>
      <c r="AA585" s="0" t="s">
        <v>138</v>
      </c>
      <c r="AB585" s="14" t="s">
        <v>138</v>
      </c>
      <c r="AD585" s="0" t="s">
        <v>138</v>
      </c>
      <c r="AF585" s="0">
        <v>0</v>
      </c>
      <c r="AG585" s="0">
        <v>0</v>
      </c>
      <c r="AH585" s="0" t="s">
        <v>140</v>
      </c>
      <c r="AI585" s="0" t="s">
        <v>138</v>
      </c>
      <c r="AL585" s="14"/>
      <c r="AN585" s="14"/>
      <c r="AQ585" s="0" t="s">
        <v>130</v>
      </c>
      <c r="AR585" s="0" t="s">
        <v>130</v>
      </c>
      <c r="AS585" s="0" t="s">
        <v>130</v>
      </c>
      <c r="AT585" s="0" t="s">
        <v>130</v>
      </c>
      <c r="AU585" s="0" t="s">
        <v>130</v>
      </c>
      <c r="AV585" s="0" t="s">
        <v>130</v>
      </c>
      <c r="AW585" s="0" t="s">
        <v>130</v>
      </c>
      <c r="AX585" s="0" t="s">
        <v>130</v>
      </c>
      <c r="AY585" s="0" t="s">
        <v>130</v>
      </c>
      <c r="AZ585" s="0" t="s">
        <v>130</v>
      </c>
      <c r="BA585" s="0" t="s">
        <v>130</v>
      </c>
      <c r="BB585" s="0" t="s">
        <v>130</v>
      </c>
      <c r="BC585" s="0" t="s">
        <v>130</v>
      </c>
      <c r="BD585" s="0" t="s">
        <v>130</v>
      </c>
      <c r="BE585" s="0" t="s">
        <v>130</v>
      </c>
      <c r="BF585" s="0" t="s">
        <v>130</v>
      </c>
      <c r="BG585" s="0" t="s">
        <v>130</v>
      </c>
      <c r="BH585" s="0" t="s">
        <v>130</v>
      </c>
      <c r="BI585" s="0" t="s">
        <v>130</v>
      </c>
      <c r="BJ585" s="0" t="s">
        <v>130</v>
      </c>
      <c r="BK585" s="0" t="s">
        <v>130</v>
      </c>
      <c r="BL585" s="0" t="s">
        <v>130</v>
      </c>
      <c r="BM585" s="0" t="s">
        <v>130</v>
      </c>
      <c r="BN585" s="0" t="s">
        <v>130</v>
      </c>
      <c r="BO585" s="0" t="s">
        <v>130</v>
      </c>
      <c r="BP585" s="0" t="s">
        <v>130</v>
      </c>
      <c r="BQ585" s="0" t="s">
        <v>130</v>
      </c>
      <c r="BR585" s="0" t="s">
        <v>130</v>
      </c>
      <c r="BS585" s="0" t="s">
        <v>130</v>
      </c>
      <c r="BT585" s="0" t="s">
        <v>130</v>
      </c>
      <c r="BU585" s="0" t="s">
        <v>130</v>
      </c>
      <c r="BV585" s="0" t="s">
        <v>130</v>
      </c>
      <c r="BW585" s="0" t="s">
        <v>130</v>
      </c>
      <c r="BX585" s="0" t="s">
        <v>130</v>
      </c>
      <c r="BY585" s="0" t="s">
        <v>130</v>
      </c>
      <c r="BZ585" s="0" t="s">
        <v>130</v>
      </c>
      <c r="CA585" s="0" t="s">
        <v>130</v>
      </c>
      <c r="CB585" s="0" t="s">
        <v>130</v>
      </c>
      <c r="CC585" s="0" t="s">
        <v>130</v>
      </c>
      <c r="CD585" s="0" t="s">
        <v>130</v>
      </c>
      <c r="CE585" s="0" t="s">
        <v>130</v>
      </c>
      <c r="CF585" s="0" t="s">
        <v>130</v>
      </c>
      <c r="CG585" s="0" t="s">
        <v>130</v>
      </c>
      <c r="CH585" s="0" t="s">
        <v>130</v>
      </c>
      <c r="CI585" s="0" t="s">
        <v>130</v>
      </c>
      <c r="CJ585" s="0" t="s">
        <v>130</v>
      </c>
      <c r="CK585" s="0" t="s">
        <v>141</v>
      </c>
      <c r="CL585" s="0" t="s">
        <v>130</v>
      </c>
      <c r="CM585" s="0" t="s">
        <v>130</v>
      </c>
      <c r="CN585" s="0" t="s">
        <v>130</v>
      </c>
      <c r="CO585" s="0" t="s">
        <v>130</v>
      </c>
      <c r="CP585" s="0" t="s">
        <v>130</v>
      </c>
      <c r="CQ585" s="0" t="s">
        <v>130</v>
      </c>
      <c r="CR585" s="0" t="s">
        <v>130</v>
      </c>
      <c r="CS585" s="0" t="s">
        <v>130</v>
      </c>
      <c r="CT585" s="0" t="s">
        <v>1932</v>
      </c>
    </row>
    <row r="586">
      <c r="A586" s="14">
        <v>101743</v>
      </c>
      <c r="B586" s="0" t="s">
        <v>1893</v>
      </c>
      <c r="C586" s="16">
        <f>HYPERLINK("https://eosportal.federatedhermes.com/companies/Q29tcGFueQppNjI1MDg=", "Microsoft Corp")</f>
      </c>
      <c r="D586" s="0" t="s">
        <v>25</v>
      </c>
      <c r="E586" s="0" t="s">
        <v>1216</v>
      </c>
      <c r="F586" s="16">
        <f>HYPERLINK("https://eosportal.federatedhermes.com/engagements/RW5nYWdlbWVudAppMjEwNTA=", "Human rights of Uyghar people")</f>
      </c>
      <c r="G586" s="14" t="s">
        <v>1933</v>
      </c>
      <c r="H586" s="0" t="s">
        <v>141</v>
      </c>
      <c r="I586" s="14" t="s">
        <v>191</v>
      </c>
      <c r="J586" s="0" t="s">
        <v>153</v>
      </c>
      <c r="K586" s="0" t="s">
        <v>243</v>
      </c>
      <c r="L586" s="0" t="s">
        <v>456</v>
      </c>
      <c r="M586" s="0" t="s">
        <v>135</v>
      </c>
      <c r="N586" s="0" t="s">
        <v>136</v>
      </c>
      <c r="O586" s="0" t="s">
        <v>137</v>
      </c>
      <c r="Q586" s="0" t="s">
        <v>130</v>
      </c>
      <c r="R586" s="0" t="s">
        <v>138</v>
      </c>
      <c r="S586" s="14">
        <v>0</v>
      </c>
      <c r="T586" s="0" t="s">
        <v>206</v>
      </c>
      <c r="U586" s="0" t="s">
        <v>138</v>
      </c>
      <c r="V586" s="14" t="s">
        <v>138</v>
      </c>
      <c r="W586" s="0" t="s">
        <v>138</v>
      </c>
      <c r="X586" s="14" t="s">
        <v>138</v>
      </c>
      <c r="Y586" s="0" t="s">
        <v>138</v>
      </c>
      <c r="Z586" s="14" t="s">
        <v>138</v>
      </c>
      <c r="AA586" s="0" t="s">
        <v>138</v>
      </c>
      <c r="AB586" s="14" t="s">
        <v>138</v>
      </c>
      <c r="AD586" s="0" t="s">
        <v>138</v>
      </c>
      <c r="AF586" s="0">
        <v>0</v>
      </c>
      <c r="AG586" s="0">
        <v>0</v>
      </c>
      <c r="AH586" s="0" t="s">
        <v>140</v>
      </c>
      <c r="AI586" s="0" t="s">
        <v>138</v>
      </c>
      <c r="AL586" s="14"/>
      <c r="AN586" s="14"/>
      <c r="AQ586" s="0" t="s">
        <v>130</v>
      </c>
      <c r="AR586" s="0" t="s">
        <v>130</v>
      </c>
      <c r="AS586" s="0" t="s">
        <v>130</v>
      </c>
      <c r="AT586" s="0" t="s">
        <v>130</v>
      </c>
      <c r="AU586" s="0" t="s">
        <v>130</v>
      </c>
      <c r="AV586" s="0" t="s">
        <v>130</v>
      </c>
      <c r="AW586" s="0" t="s">
        <v>130</v>
      </c>
      <c r="AX586" s="0" t="s">
        <v>141</v>
      </c>
      <c r="AY586" s="0" t="s">
        <v>130</v>
      </c>
      <c r="AZ586" s="0" t="s">
        <v>130</v>
      </c>
      <c r="BA586" s="0" t="s">
        <v>130</v>
      </c>
      <c r="BB586" s="0" t="s">
        <v>130</v>
      </c>
      <c r="BC586" s="0" t="s">
        <v>130</v>
      </c>
      <c r="BD586" s="0" t="s">
        <v>130</v>
      </c>
      <c r="BE586" s="0" t="s">
        <v>130</v>
      </c>
      <c r="BF586" s="0" t="s">
        <v>141</v>
      </c>
      <c r="BG586" s="0" t="s">
        <v>130</v>
      </c>
      <c r="BH586" s="0" t="s">
        <v>130</v>
      </c>
      <c r="BI586" s="0" t="s">
        <v>130</v>
      </c>
      <c r="BJ586" s="0" t="s">
        <v>130</v>
      </c>
      <c r="BK586" s="0" t="s">
        <v>130</v>
      </c>
      <c r="BL586" s="0" t="s">
        <v>130</v>
      </c>
      <c r="BM586" s="0" t="s">
        <v>130</v>
      </c>
      <c r="BN586" s="0" t="s">
        <v>130</v>
      </c>
      <c r="BO586" s="0" t="s">
        <v>130</v>
      </c>
      <c r="BP586" s="0" t="s">
        <v>130</v>
      </c>
      <c r="BQ586" s="0" t="s">
        <v>130</v>
      </c>
      <c r="BR586" s="0" t="s">
        <v>130</v>
      </c>
      <c r="BS586" s="0" t="s">
        <v>130</v>
      </c>
      <c r="BT586" s="0" t="s">
        <v>130</v>
      </c>
      <c r="BU586" s="0" t="s">
        <v>130</v>
      </c>
      <c r="BV586" s="0" t="s">
        <v>130</v>
      </c>
      <c r="BW586" s="0" t="s">
        <v>130</v>
      </c>
      <c r="BX586" s="0" t="s">
        <v>130</v>
      </c>
      <c r="BY586" s="0" t="s">
        <v>130</v>
      </c>
      <c r="BZ586" s="0" t="s">
        <v>130</v>
      </c>
      <c r="CA586" s="0" t="s">
        <v>130</v>
      </c>
      <c r="CB586" s="0" t="s">
        <v>130</v>
      </c>
      <c r="CC586" s="0" t="s">
        <v>130</v>
      </c>
      <c r="CD586" s="0" t="s">
        <v>130</v>
      </c>
      <c r="CE586" s="0" t="s">
        <v>130</v>
      </c>
      <c r="CF586" s="0" t="s">
        <v>130</v>
      </c>
      <c r="CG586" s="0" t="s">
        <v>130</v>
      </c>
      <c r="CH586" s="0" t="s">
        <v>130</v>
      </c>
      <c r="CI586" s="0" t="s">
        <v>130</v>
      </c>
      <c r="CJ586" s="0" t="s">
        <v>130</v>
      </c>
      <c r="CK586" s="0" t="s">
        <v>130</v>
      </c>
      <c r="CL586" s="0" t="s">
        <v>130</v>
      </c>
      <c r="CM586" s="0" t="s">
        <v>130</v>
      </c>
      <c r="CN586" s="0" t="s">
        <v>130</v>
      </c>
      <c r="CO586" s="0" t="s">
        <v>130</v>
      </c>
      <c r="CP586" s="0" t="s">
        <v>130</v>
      </c>
      <c r="CQ586" s="0" t="s">
        <v>130</v>
      </c>
      <c r="CR586" s="0" t="s">
        <v>130</v>
      </c>
      <c r="CS586" s="0" t="s">
        <v>130</v>
      </c>
      <c r="CT586" s="0" t="s">
        <v>1934</v>
      </c>
    </row>
    <row r="587">
      <c r="A587" s="14">
        <v>101743</v>
      </c>
      <c r="B587" s="0" t="s">
        <v>1893</v>
      </c>
      <c r="C587" s="16">
        <f>HYPERLINK("https://eosportal.federatedhermes.com/companies/Q29tcGFueQppNjI1MDg=", "Microsoft Corp")</f>
      </c>
      <c r="D587" s="0" t="s">
        <v>25</v>
      </c>
      <c r="E587" s="0" t="s">
        <v>1935</v>
      </c>
      <c r="F587" s="16">
        <f>HYPERLINK("https://eosportal.federatedhermes.com/engagements/RW5nYWdlbWVudAppMjEwNTE=", "Lobbying and political activity disclosure")</f>
      </c>
      <c r="G587" s="14" t="s">
        <v>1936</v>
      </c>
      <c r="H587" s="0" t="s">
        <v>141</v>
      </c>
      <c r="I587" s="14" t="s">
        <v>191</v>
      </c>
      <c r="J587" s="0" t="s">
        <v>132</v>
      </c>
      <c r="K587" s="0" t="s">
        <v>170</v>
      </c>
      <c r="L587" s="0" t="s">
        <v>171</v>
      </c>
      <c r="M587" s="0" t="s">
        <v>135</v>
      </c>
      <c r="N587" s="0" t="s">
        <v>136</v>
      </c>
      <c r="O587" s="0" t="s">
        <v>137</v>
      </c>
      <c r="Q587" s="0" t="s">
        <v>130</v>
      </c>
      <c r="R587" s="0" t="s">
        <v>138</v>
      </c>
      <c r="S587" s="14">
        <v>0</v>
      </c>
      <c r="T587" s="0" t="s">
        <v>1145</v>
      </c>
      <c r="U587" s="0" t="s">
        <v>138</v>
      </c>
      <c r="V587" s="14" t="s">
        <v>138</v>
      </c>
      <c r="W587" s="0" t="s">
        <v>138</v>
      </c>
      <c r="X587" s="14" t="s">
        <v>138</v>
      </c>
      <c r="Y587" s="0" t="s">
        <v>138</v>
      </c>
      <c r="Z587" s="14" t="s">
        <v>138</v>
      </c>
      <c r="AA587" s="0" t="s">
        <v>138</v>
      </c>
      <c r="AB587" s="14" t="s">
        <v>138</v>
      </c>
      <c r="AD587" s="0" t="s">
        <v>138</v>
      </c>
      <c r="AF587" s="0">
        <v>0</v>
      </c>
      <c r="AG587" s="0">
        <v>0</v>
      </c>
      <c r="AH587" s="0" t="s">
        <v>140</v>
      </c>
      <c r="AI587" s="0" t="s">
        <v>138</v>
      </c>
      <c r="AL587" s="14"/>
      <c r="AN587" s="14"/>
      <c r="AQ587" s="0" t="s">
        <v>130</v>
      </c>
      <c r="AR587" s="0" t="s">
        <v>130</v>
      </c>
      <c r="AS587" s="0" t="s">
        <v>130</v>
      </c>
      <c r="AT587" s="0" t="s">
        <v>130</v>
      </c>
      <c r="AU587" s="0" t="s">
        <v>130</v>
      </c>
      <c r="AV587" s="0" t="s">
        <v>130</v>
      </c>
      <c r="AW587" s="0" t="s">
        <v>130</v>
      </c>
      <c r="AX587" s="0" t="s">
        <v>130</v>
      </c>
      <c r="AY587" s="0" t="s">
        <v>130</v>
      </c>
      <c r="AZ587" s="0" t="s">
        <v>130</v>
      </c>
      <c r="BA587" s="0" t="s">
        <v>130</v>
      </c>
      <c r="BB587" s="0" t="s">
        <v>130</v>
      </c>
      <c r="BC587" s="0" t="s">
        <v>130</v>
      </c>
      <c r="BD587" s="0" t="s">
        <v>130</v>
      </c>
      <c r="BE587" s="0" t="s">
        <v>130</v>
      </c>
      <c r="BF587" s="0" t="s">
        <v>130</v>
      </c>
      <c r="BG587" s="0" t="s">
        <v>130</v>
      </c>
      <c r="BH587" s="0" t="s">
        <v>130</v>
      </c>
      <c r="BI587" s="0" t="s">
        <v>130</v>
      </c>
      <c r="BJ587" s="0" t="s">
        <v>130</v>
      </c>
      <c r="BK587" s="0" t="s">
        <v>130</v>
      </c>
      <c r="BL587" s="0" t="s">
        <v>130</v>
      </c>
      <c r="BM587" s="0" t="s">
        <v>130</v>
      </c>
      <c r="BN587" s="0" t="s">
        <v>130</v>
      </c>
      <c r="BO587" s="0" t="s">
        <v>130</v>
      </c>
      <c r="BP587" s="0" t="s">
        <v>130</v>
      </c>
      <c r="BQ587" s="0" t="s">
        <v>130</v>
      </c>
      <c r="BR587" s="0" t="s">
        <v>130</v>
      </c>
      <c r="BS587" s="0" t="s">
        <v>130</v>
      </c>
      <c r="BT587" s="0" t="s">
        <v>130</v>
      </c>
      <c r="BU587" s="0" t="s">
        <v>130</v>
      </c>
      <c r="BV587" s="0" t="s">
        <v>130</v>
      </c>
      <c r="BW587" s="0" t="s">
        <v>130</v>
      </c>
      <c r="BX587" s="0" t="s">
        <v>130</v>
      </c>
      <c r="BY587" s="0" t="s">
        <v>130</v>
      </c>
      <c r="BZ587" s="0" t="s">
        <v>130</v>
      </c>
      <c r="CA587" s="0" t="s">
        <v>130</v>
      </c>
      <c r="CB587" s="0" t="s">
        <v>130</v>
      </c>
      <c r="CC587" s="0" t="s">
        <v>130</v>
      </c>
      <c r="CD587" s="0" t="s">
        <v>130</v>
      </c>
      <c r="CE587" s="0" t="s">
        <v>130</v>
      </c>
      <c r="CF587" s="0" t="s">
        <v>130</v>
      </c>
      <c r="CG587" s="0" t="s">
        <v>130</v>
      </c>
      <c r="CH587" s="0" t="s">
        <v>130</v>
      </c>
      <c r="CI587" s="0" t="s">
        <v>130</v>
      </c>
      <c r="CJ587" s="0" t="s">
        <v>130</v>
      </c>
      <c r="CK587" s="0" t="s">
        <v>130</v>
      </c>
      <c r="CL587" s="0" t="s">
        <v>130</v>
      </c>
      <c r="CM587" s="0" t="s">
        <v>130</v>
      </c>
      <c r="CN587" s="0" t="s">
        <v>130</v>
      </c>
      <c r="CO587" s="0" t="s">
        <v>130</v>
      </c>
      <c r="CP587" s="0" t="s">
        <v>130</v>
      </c>
      <c r="CQ587" s="0" t="s">
        <v>130</v>
      </c>
      <c r="CR587" s="0" t="s">
        <v>130</v>
      </c>
      <c r="CS587" s="0" t="s">
        <v>130</v>
      </c>
      <c r="CT587" s="0" t="s">
        <v>1937</v>
      </c>
    </row>
    <row r="588">
      <c r="A588" s="14">
        <v>101752</v>
      </c>
      <c r="B588" s="0" t="s">
        <v>1938</v>
      </c>
      <c r="C588" s="16">
        <f>HYPERLINK("https://eosportal.federatedhermes.com/companies/Q29tcGFueQppNzM3NzA=", "Oracle Corp")</f>
      </c>
      <c r="D588" s="0" t="s">
        <v>25</v>
      </c>
      <c r="E588" s="0" t="s">
        <v>1939</v>
      </c>
      <c r="F588" s="16">
        <f>HYPERLINK("https://eosportal.federatedhermes.com/engagements/RW5nYWdlbWVudAppMjEwNTQ=", "TCFD disclosure")</f>
      </c>
      <c r="G588" s="14" t="s">
        <v>1940</v>
      </c>
      <c r="H588" s="0" t="s">
        <v>141</v>
      </c>
      <c r="I588" s="14" t="s">
        <v>131</v>
      </c>
      <c r="J588" s="0" t="s">
        <v>197</v>
      </c>
      <c r="K588" s="0" t="s">
        <v>198</v>
      </c>
      <c r="L588" s="0" t="s">
        <v>199</v>
      </c>
      <c r="M588" s="0" t="s">
        <v>135</v>
      </c>
      <c r="N588" s="0" t="s">
        <v>136</v>
      </c>
      <c r="O588" s="0" t="s">
        <v>137</v>
      </c>
      <c r="Q588" s="0" t="s">
        <v>130</v>
      </c>
      <c r="R588" s="0" t="s">
        <v>138</v>
      </c>
      <c r="S588" s="14">
        <v>0</v>
      </c>
      <c r="T588" s="0" t="s">
        <v>394</v>
      </c>
      <c r="U588" s="0" t="s">
        <v>138</v>
      </c>
      <c r="V588" s="14" t="s">
        <v>138</v>
      </c>
      <c r="W588" s="0" t="s">
        <v>138</v>
      </c>
      <c r="X588" s="14" t="s">
        <v>138</v>
      </c>
      <c r="Y588" s="0" t="s">
        <v>138</v>
      </c>
      <c r="Z588" s="14" t="s">
        <v>138</v>
      </c>
      <c r="AA588" s="0" t="s">
        <v>138</v>
      </c>
      <c r="AB588" s="14" t="s">
        <v>138</v>
      </c>
      <c r="AD588" s="0" t="s">
        <v>138</v>
      </c>
      <c r="AF588" s="0">
        <v>0</v>
      </c>
      <c r="AG588" s="0">
        <v>0</v>
      </c>
      <c r="AH588" s="0" t="s">
        <v>140</v>
      </c>
      <c r="AI588" s="0" t="s">
        <v>138</v>
      </c>
      <c r="AL588" s="14"/>
      <c r="AN588" s="14"/>
      <c r="AQ588" s="0" t="s">
        <v>130</v>
      </c>
      <c r="AR588" s="0" t="s">
        <v>130</v>
      </c>
      <c r="AS588" s="0" t="s">
        <v>130</v>
      </c>
      <c r="AT588" s="0" t="s">
        <v>130</v>
      </c>
      <c r="AU588" s="0" t="s">
        <v>130</v>
      </c>
      <c r="AV588" s="0" t="s">
        <v>130</v>
      </c>
      <c r="AW588" s="0" t="s">
        <v>130</v>
      </c>
      <c r="AX588" s="0" t="s">
        <v>130</v>
      </c>
      <c r="AY588" s="0" t="s">
        <v>130</v>
      </c>
      <c r="AZ588" s="0" t="s">
        <v>130</v>
      </c>
      <c r="BA588" s="0" t="s">
        <v>130</v>
      </c>
      <c r="BB588" s="0" t="s">
        <v>141</v>
      </c>
      <c r="BC588" s="0" t="s">
        <v>141</v>
      </c>
      <c r="BD588" s="0" t="s">
        <v>130</v>
      </c>
      <c r="BE588" s="0" t="s">
        <v>130</v>
      </c>
      <c r="BF588" s="0" t="s">
        <v>130</v>
      </c>
      <c r="BG588" s="0" t="s">
        <v>130</v>
      </c>
      <c r="BH588" s="0" t="s">
        <v>130</v>
      </c>
      <c r="BI588" s="0" t="s">
        <v>130</v>
      </c>
      <c r="BJ588" s="0" t="s">
        <v>130</v>
      </c>
      <c r="BK588" s="0" t="s">
        <v>130</v>
      </c>
      <c r="BL588" s="0" t="s">
        <v>130</v>
      </c>
      <c r="BM588" s="0" t="s">
        <v>130</v>
      </c>
      <c r="BN588" s="0" t="s">
        <v>130</v>
      </c>
      <c r="BO588" s="0" t="s">
        <v>130</v>
      </c>
      <c r="BP588" s="0" t="s">
        <v>130</v>
      </c>
      <c r="BQ588" s="0" t="s">
        <v>130</v>
      </c>
      <c r="BR588" s="0" t="s">
        <v>130</v>
      </c>
      <c r="BS588" s="0" t="s">
        <v>130</v>
      </c>
      <c r="BT588" s="0" t="s">
        <v>130</v>
      </c>
      <c r="BU588" s="0" t="s">
        <v>130</v>
      </c>
      <c r="BV588" s="0" t="s">
        <v>130</v>
      </c>
      <c r="BW588" s="0" t="s">
        <v>130</v>
      </c>
      <c r="BX588" s="0" t="s">
        <v>130</v>
      </c>
      <c r="BY588" s="0" t="s">
        <v>130</v>
      </c>
      <c r="BZ588" s="0" t="s">
        <v>130</v>
      </c>
      <c r="CA588" s="0" t="s">
        <v>130</v>
      </c>
      <c r="CB588" s="0" t="s">
        <v>130</v>
      </c>
      <c r="CC588" s="0" t="s">
        <v>130</v>
      </c>
      <c r="CD588" s="0" t="s">
        <v>130</v>
      </c>
      <c r="CE588" s="0" t="s">
        <v>130</v>
      </c>
      <c r="CF588" s="0" t="s">
        <v>130</v>
      </c>
      <c r="CG588" s="0" t="s">
        <v>130</v>
      </c>
      <c r="CH588" s="0" t="s">
        <v>130</v>
      </c>
      <c r="CI588" s="0" t="s">
        <v>130</v>
      </c>
      <c r="CJ588" s="0" t="s">
        <v>130</v>
      </c>
      <c r="CK588" s="0" t="s">
        <v>130</v>
      </c>
      <c r="CL588" s="0" t="s">
        <v>130</v>
      </c>
      <c r="CM588" s="0" t="s">
        <v>130</v>
      </c>
      <c r="CN588" s="0" t="s">
        <v>130</v>
      </c>
      <c r="CO588" s="0" t="s">
        <v>130</v>
      </c>
      <c r="CP588" s="0" t="s">
        <v>130</v>
      </c>
      <c r="CQ588" s="0" t="s">
        <v>130</v>
      </c>
      <c r="CR588" s="0" t="s">
        <v>130</v>
      </c>
      <c r="CS588" s="0" t="s">
        <v>130</v>
      </c>
      <c r="CT588" s="0" t="s">
        <v>1941</v>
      </c>
    </row>
    <row r="589">
      <c r="A589" s="14">
        <v>101752</v>
      </c>
      <c r="B589" s="0" t="s">
        <v>1938</v>
      </c>
      <c r="C589" s="16">
        <f>HYPERLINK("https://eosportal.federatedhermes.com/companies/Q29tcGFueQppNzM3NzA=", "Oracle Corp")</f>
      </c>
      <c r="D589" s="0" t="s">
        <v>25</v>
      </c>
      <c r="E589" s="0" t="s">
        <v>1942</v>
      </c>
      <c r="F589" s="16">
        <f>HYPERLINK("https://eosportal.federatedhermes.com/engagements/RW5nYWdlbWVudAppMjEwNTU=", "Women and underrepresented minorities in STEM")</f>
      </c>
      <c r="G589" s="14" t="s">
        <v>1943</v>
      </c>
      <c r="H589" s="0" t="s">
        <v>141</v>
      </c>
      <c r="I589" s="14" t="s">
        <v>131</v>
      </c>
      <c r="J589" s="0" t="s">
        <v>153</v>
      </c>
      <c r="K589" s="0" t="s">
        <v>154</v>
      </c>
      <c r="L589" s="0" t="s">
        <v>268</v>
      </c>
      <c r="M589" s="0" t="s">
        <v>135</v>
      </c>
      <c r="N589" s="0" t="s">
        <v>136</v>
      </c>
      <c r="O589" s="0" t="s">
        <v>137</v>
      </c>
      <c r="Q589" s="0" t="s">
        <v>130</v>
      </c>
      <c r="R589" s="0" t="s">
        <v>138</v>
      </c>
      <c r="S589" s="14">
        <v>0</v>
      </c>
      <c r="T589" s="0" t="s">
        <v>359</v>
      </c>
      <c r="U589" s="0" t="s">
        <v>138</v>
      </c>
      <c r="V589" s="14" t="s">
        <v>138</v>
      </c>
      <c r="W589" s="0" t="s">
        <v>138</v>
      </c>
      <c r="X589" s="14" t="s">
        <v>138</v>
      </c>
      <c r="Y589" s="0" t="s">
        <v>138</v>
      </c>
      <c r="Z589" s="14" t="s">
        <v>138</v>
      </c>
      <c r="AA589" s="0" t="s">
        <v>138</v>
      </c>
      <c r="AB589" s="14" t="s">
        <v>138</v>
      </c>
      <c r="AD589" s="0" t="s">
        <v>138</v>
      </c>
      <c r="AF589" s="0">
        <v>0</v>
      </c>
      <c r="AG589" s="0">
        <v>0</v>
      </c>
      <c r="AH589" s="0" t="s">
        <v>140</v>
      </c>
      <c r="AI589" s="0" t="s">
        <v>138</v>
      </c>
      <c r="AL589" s="14"/>
      <c r="AN589" s="14"/>
      <c r="AQ589" s="0" t="s">
        <v>130</v>
      </c>
      <c r="AR589" s="0" t="s">
        <v>130</v>
      </c>
      <c r="AS589" s="0" t="s">
        <v>130</v>
      </c>
      <c r="AT589" s="0" t="s">
        <v>141</v>
      </c>
      <c r="AU589" s="0" t="s">
        <v>130</v>
      </c>
      <c r="AV589" s="0" t="s">
        <v>130</v>
      </c>
      <c r="AW589" s="0" t="s">
        <v>130</v>
      </c>
      <c r="AX589" s="0" t="s">
        <v>130</v>
      </c>
      <c r="AY589" s="0" t="s">
        <v>130</v>
      </c>
      <c r="AZ589" s="0" t="s">
        <v>130</v>
      </c>
      <c r="BA589" s="0" t="s">
        <v>130</v>
      </c>
      <c r="BB589" s="0" t="s">
        <v>130</v>
      </c>
      <c r="BC589" s="0" t="s">
        <v>130</v>
      </c>
      <c r="BD589" s="0" t="s">
        <v>130</v>
      </c>
      <c r="BE589" s="0" t="s">
        <v>130</v>
      </c>
      <c r="BF589" s="0" t="s">
        <v>130</v>
      </c>
      <c r="BG589" s="0" t="s">
        <v>130</v>
      </c>
      <c r="BH589" s="0" t="s">
        <v>130</v>
      </c>
      <c r="BI589" s="0" t="s">
        <v>130</v>
      </c>
      <c r="BJ589" s="0" t="s">
        <v>130</v>
      </c>
      <c r="BK589" s="0" t="s">
        <v>130</v>
      </c>
      <c r="BL589" s="0" t="s">
        <v>130</v>
      </c>
      <c r="BM589" s="0" t="s">
        <v>130</v>
      </c>
      <c r="BN589" s="0" t="s">
        <v>130</v>
      </c>
      <c r="BO589" s="0" t="s">
        <v>130</v>
      </c>
      <c r="BP589" s="0" t="s">
        <v>130</v>
      </c>
      <c r="BQ589" s="0" t="s">
        <v>130</v>
      </c>
      <c r="BR589" s="0" t="s">
        <v>130</v>
      </c>
      <c r="BS589" s="0" t="s">
        <v>130</v>
      </c>
      <c r="BT589" s="0" t="s">
        <v>130</v>
      </c>
      <c r="BU589" s="0" t="s">
        <v>130</v>
      </c>
      <c r="BV589" s="0" t="s">
        <v>130</v>
      </c>
      <c r="BW589" s="0" t="s">
        <v>130</v>
      </c>
      <c r="BX589" s="0" t="s">
        <v>130</v>
      </c>
      <c r="BY589" s="0" t="s">
        <v>130</v>
      </c>
      <c r="BZ589" s="0" t="s">
        <v>130</v>
      </c>
      <c r="CA589" s="0" t="s">
        <v>130</v>
      </c>
      <c r="CB589" s="0" t="s">
        <v>130</v>
      </c>
      <c r="CC589" s="0" t="s">
        <v>130</v>
      </c>
      <c r="CD589" s="0" t="s">
        <v>130</v>
      </c>
      <c r="CE589" s="0" t="s">
        <v>130</v>
      </c>
      <c r="CF589" s="0" t="s">
        <v>130</v>
      </c>
      <c r="CG589" s="0" t="s">
        <v>130</v>
      </c>
      <c r="CH589" s="0" t="s">
        <v>130</v>
      </c>
      <c r="CI589" s="0" t="s">
        <v>130</v>
      </c>
      <c r="CJ589" s="0" t="s">
        <v>130</v>
      </c>
      <c r="CK589" s="0" t="s">
        <v>141</v>
      </c>
      <c r="CL589" s="0" t="s">
        <v>130</v>
      </c>
      <c r="CM589" s="0" t="s">
        <v>130</v>
      </c>
      <c r="CN589" s="0" t="s">
        <v>130</v>
      </c>
      <c r="CO589" s="0" t="s">
        <v>130</v>
      </c>
      <c r="CP589" s="0" t="s">
        <v>130</v>
      </c>
      <c r="CQ589" s="0" t="s">
        <v>130</v>
      </c>
      <c r="CR589" s="0" t="s">
        <v>130</v>
      </c>
      <c r="CS589" s="0" t="s">
        <v>130</v>
      </c>
      <c r="CT589" s="0" t="s">
        <v>1944</v>
      </c>
    </row>
    <row r="590">
      <c r="A590" s="14">
        <v>101752</v>
      </c>
      <c r="B590" s="0" t="s">
        <v>1938</v>
      </c>
      <c r="C590" s="16">
        <f>HYPERLINK("https://eosportal.federatedhermes.com/companies/Q29tcGFueQppNzM3NzA=", "Oracle Corp")</f>
      </c>
      <c r="D590" s="0" t="s">
        <v>25</v>
      </c>
      <c r="E590" s="0" t="s">
        <v>1945</v>
      </c>
      <c r="F590" s="16">
        <f>HYPERLINK("https://eosportal.federatedhermes.com/engagements/RW5nYWdlbWVudAppMjEwNjM=", "Gender and Ethnic Pay Gap")</f>
      </c>
      <c r="G590" s="14" t="s">
        <v>1946</v>
      </c>
      <c r="H590" s="0" t="s">
        <v>141</v>
      </c>
      <c r="I590" s="14" t="s">
        <v>131</v>
      </c>
      <c r="J590" s="0" t="s">
        <v>153</v>
      </c>
      <c r="K590" s="0" t="s">
        <v>154</v>
      </c>
      <c r="L590" s="0" t="s">
        <v>268</v>
      </c>
      <c r="M590" s="0" t="s">
        <v>135</v>
      </c>
      <c r="N590" s="0" t="s">
        <v>136</v>
      </c>
      <c r="O590" s="0" t="s">
        <v>137</v>
      </c>
      <c r="Q590" s="0" t="s">
        <v>130</v>
      </c>
      <c r="R590" s="0" t="s">
        <v>138</v>
      </c>
      <c r="S590" s="14">
        <v>0</v>
      </c>
      <c r="T590" s="0" t="s">
        <v>288</v>
      </c>
      <c r="U590" s="0" t="s">
        <v>138</v>
      </c>
      <c r="V590" s="14" t="s">
        <v>138</v>
      </c>
      <c r="W590" s="0" t="s">
        <v>138</v>
      </c>
      <c r="X590" s="14" t="s">
        <v>138</v>
      </c>
      <c r="Y590" s="0" t="s">
        <v>138</v>
      </c>
      <c r="Z590" s="14" t="s">
        <v>138</v>
      </c>
      <c r="AA590" s="0" t="s">
        <v>138</v>
      </c>
      <c r="AB590" s="14" t="s">
        <v>138</v>
      </c>
      <c r="AD590" s="0" t="s">
        <v>138</v>
      </c>
      <c r="AF590" s="0">
        <v>0</v>
      </c>
      <c r="AG590" s="0">
        <v>0</v>
      </c>
      <c r="AH590" s="0" t="s">
        <v>140</v>
      </c>
      <c r="AI590" s="0" t="s">
        <v>138</v>
      </c>
      <c r="AL590" s="14"/>
      <c r="AN590" s="14"/>
      <c r="AQ590" s="0" t="s">
        <v>130</v>
      </c>
      <c r="AR590" s="0" t="s">
        <v>130</v>
      </c>
      <c r="AS590" s="0" t="s">
        <v>130</v>
      </c>
      <c r="AT590" s="0" t="s">
        <v>130</v>
      </c>
      <c r="AU590" s="0" t="s">
        <v>130</v>
      </c>
      <c r="AV590" s="0" t="s">
        <v>130</v>
      </c>
      <c r="AW590" s="0" t="s">
        <v>130</v>
      </c>
      <c r="AX590" s="0" t="s">
        <v>141</v>
      </c>
      <c r="AY590" s="0" t="s">
        <v>130</v>
      </c>
      <c r="AZ590" s="0" t="s">
        <v>130</v>
      </c>
      <c r="BA590" s="0" t="s">
        <v>130</v>
      </c>
      <c r="BB590" s="0" t="s">
        <v>130</v>
      </c>
      <c r="BC590" s="0" t="s">
        <v>130</v>
      </c>
      <c r="BD590" s="0" t="s">
        <v>130</v>
      </c>
      <c r="BE590" s="0" t="s">
        <v>130</v>
      </c>
      <c r="BF590" s="0" t="s">
        <v>130</v>
      </c>
      <c r="BG590" s="0" t="s">
        <v>130</v>
      </c>
      <c r="BH590" s="0" t="s">
        <v>130</v>
      </c>
      <c r="BI590" s="0" t="s">
        <v>130</v>
      </c>
      <c r="BJ590" s="0" t="s">
        <v>130</v>
      </c>
      <c r="BK590" s="0" t="s">
        <v>130</v>
      </c>
      <c r="BL590" s="0" t="s">
        <v>130</v>
      </c>
      <c r="BM590" s="0" t="s">
        <v>130</v>
      </c>
      <c r="BN590" s="0" t="s">
        <v>130</v>
      </c>
      <c r="BO590" s="0" t="s">
        <v>130</v>
      </c>
      <c r="BP590" s="0" t="s">
        <v>130</v>
      </c>
      <c r="BQ590" s="0" t="s">
        <v>130</v>
      </c>
      <c r="BR590" s="0" t="s">
        <v>130</v>
      </c>
      <c r="BS590" s="0" t="s">
        <v>130</v>
      </c>
      <c r="BT590" s="0" t="s">
        <v>130</v>
      </c>
      <c r="BU590" s="0" t="s">
        <v>130</v>
      </c>
      <c r="BV590" s="0" t="s">
        <v>130</v>
      </c>
      <c r="BW590" s="0" t="s">
        <v>130</v>
      </c>
      <c r="BX590" s="0" t="s">
        <v>130</v>
      </c>
      <c r="BY590" s="0" t="s">
        <v>130</v>
      </c>
      <c r="BZ590" s="0" t="s">
        <v>130</v>
      </c>
      <c r="CA590" s="0" t="s">
        <v>130</v>
      </c>
      <c r="CB590" s="0" t="s">
        <v>130</v>
      </c>
      <c r="CC590" s="0" t="s">
        <v>130</v>
      </c>
      <c r="CD590" s="0" t="s">
        <v>130</v>
      </c>
      <c r="CE590" s="0" t="s">
        <v>130</v>
      </c>
      <c r="CF590" s="0" t="s">
        <v>130</v>
      </c>
      <c r="CG590" s="0" t="s">
        <v>130</v>
      </c>
      <c r="CH590" s="0" t="s">
        <v>130</v>
      </c>
      <c r="CI590" s="0" t="s">
        <v>130</v>
      </c>
      <c r="CJ590" s="0" t="s">
        <v>130</v>
      </c>
      <c r="CK590" s="0" t="s">
        <v>141</v>
      </c>
      <c r="CL590" s="0" t="s">
        <v>130</v>
      </c>
      <c r="CM590" s="0" t="s">
        <v>130</v>
      </c>
      <c r="CN590" s="0" t="s">
        <v>130</v>
      </c>
      <c r="CO590" s="0" t="s">
        <v>130</v>
      </c>
      <c r="CP590" s="0" t="s">
        <v>130</v>
      </c>
      <c r="CQ590" s="0" t="s">
        <v>130</v>
      </c>
      <c r="CR590" s="0" t="s">
        <v>130</v>
      </c>
      <c r="CS590" s="0" t="s">
        <v>130</v>
      </c>
      <c r="CT590" s="0" t="s">
        <v>1947</v>
      </c>
    </row>
    <row r="591">
      <c r="A591" s="14">
        <v>101752</v>
      </c>
      <c r="B591" s="0" t="s">
        <v>1938</v>
      </c>
      <c r="C591" s="16">
        <f>HYPERLINK("https://eosportal.federatedhermes.com/companies/Q29tcGFueQppNzM3NzA=", "Oracle Corp")</f>
      </c>
      <c r="D591" s="0" t="s">
        <v>25</v>
      </c>
      <c r="E591" s="0" t="s">
        <v>1948</v>
      </c>
      <c r="F591" s="16">
        <f>HYPERLINK("https://eosportal.federatedhermes.com/engagements/RW5nYWdlbWVudAppMjEwNjY=", "AI")</f>
      </c>
      <c r="G591" s="14" t="s">
        <v>1949</v>
      </c>
      <c r="H591" s="0" t="s">
        <v>141</v>
      </c>
      <c r="I591" s="14" t="s">
        <v>131</v>
      </c>
      <c r="J591" s="0" t="s">
        <v>153</v>
      </c>
      <c r="K591" s="0" t="s">
        <v>243</v>
      </c>
      <c r="L591" s="0" t="s">
        <v>537</v>
      </c>
      <c r="M591" s="0" t="s">
        <v>135</v>
      </c>
      <c r="N591" s="0" t="s">
        <v>136</v>
      </c>
      <c r="O591" s="0" t="s">
        <v>137</v>
      </c>
      <c r="Q591" s="0" t="s">
        <v>141</v>
      </c>
      <c r="R591" s="0" t="s">
        <v>138</v>
      </c>
      <c r="S591" s="14">
        <v>1</v>
      </c>
      <c r="T591" s="0" t="s">
        <v>394</v>
      </c>
      <c r="U591" s="0" t="s">
        <v>138</v>
      </c>
      <c r="V591" s="14" t="s">
        <v>138</v>
      </c>
      <c r="W591" s="0" t="s">
        <v>138</v>
      </c>
      <c r="X591" s="14" t="s">
        <v>138</v>
      </c>
      <c r="Y591" s="0" t="s">
        <v>138</v>
      </c>
      <c r="Z591" s="14" t="s">
        <v>138</v>
      </c>
      <c r="AA591" s="0" t="s">
        <v>138</v>
      </c>
      <c r="AB591" s="14" t="s">
        <v>138</v>
      </c>
      <c r="AD591" s="0" t="s">
        <v>138</v>
      </c>
      <c r="AF591" s="0">
        <v>0</v>
      </c>
      <c r="AG591" s="0">
        <v>0</v>
      </c>
      <c r="AH591" s="0" t="s">
        <v>140</v>
      </c>
      <c r="AI591" s="0" t="s">
        <v>138</v>
      </c>
      <c r="AK591" s="0" t="s">
        <v>1950</v>
      </c>
      <c r="AL591" s="14"/>
      <c r="AN591" s="14"/>
      <c r="AQ591" s="0" t="s">
        <v>130</v>
      </c>
      <c r="AR591" s="0" t="s">
        <v>130</v>
      </c>
      <c r="AS591" s="0" t="s">
        <v>130</v>
      </c>
      <c r="AT591" s="0" t="s">
        <v>130</v>
      </c>
      <c r="AU591" s="0" t="s">
        <v>130</v>
      </c>
      <c r="AV591" s="0" t="s">
        <v>130</v>
      </c>
      <c r="AW591" s="0" t="s">
        <v>130</v>
      </c>
      <c r="AX591" s="0" t="s">
        <v>130</v>
      </c>
      <c r="AY591" s="0" t="s">
        <v>130</v>
      </c>
      <c r="AZ591" s="0" t="s">
        <v>130</v>
      </c>
      <c r="BA591" s="0" t="s">
        <v>130</v>
      </c>
      <c r="BB591" s="0" t="s">
        <v>130</v>
      </c>
      <c r="BC591" s="0" t="s">
        <v>130</v>
      </c>
      <c r="BD591" s="0" t="s">
        <v>130</v>
      </c>
      <c r="BE591" s="0" t="s">
        <v>130</v>
      </c>
      <c r="BF591" s="0" t="s">
        <v>141</v>
      </c>
      <c r="BG591" s="0" t="s">
        <v>130</v>
      </c>
      <c r="BH591" s="0" t="s">
        <v>130</v>
      </c>
      <c r="BI591" s="0" t="s">
        <v>130</v>
      </c>
      <c r="BJ591" s="0" t="s">
        <v>130</v>
      </c>
      <c r="BK591" s="0" t="s">
        <v>130</v>
      </c>
      <c r="BL591" s="0" t="s">
        <v>130</v>
      </c>
      <c r="BM591" s="0" t="s">
        <v>130</v>
      </c>
      <c r="BN591" s="0" t="s">
        <v>130</v>
      </c>
      <c r="BO591" s="0" t="s">
        <v>130</v>
      </c>
      <c r="BP591" s="0" t="s">
        <v>130</v>
      </c>
      <c r="BQ591" s="0" t="s">
        <v>130</v>
      </c>
      <c r="BR591" s="0" t="s">
        <v>130</v>
      </c>
      <c r="BS591" s="0" t="s">
        <v>130</v>
      </c>
      <c r="BT591" s="0" t="s">
        <v>130</v>
      </c>
      <c r="BU591" s="0" t="s">
        <v>130</v>
      </c>
      <c r="BV591" s="0" t="s">
        <v>130</v>
      </c>
      <c r="BW591" s="0" t="s">
        <v>130</v>
      </c>
      <c r="BX591" s="0" t="s">
        <v>130</v>
      </c>
      <c r="BY591" s="0" t="s">
        <v>130</v>
      </c>
      <c r="BZ591" s="0" t="s">
        <v>130</v>
      </c>
      <c r="CA591" s="0" t="s">
        <v>130</v>
      </c>
      <c r="CB591" s="0" t="s">
        <v>130</v>
      </c>
      <c r="CC591" s="0" t="s">
        <v>130</v>
      </c>
      <c r="CD591" s="0" t="s">
        <v>130</v>
      </c>
      <c r="CE591" s="0" t="s">
        <v>130</v>
      </c>
      <c r="CF591" s="0" t="s">
        <v>130</v>
      </c>
      <c r="CG591" s="0" t="s">
        <v>130</v>
      </c>
      <c r="CH591" s="0" t="s">
        <v>130</v>
      </c>
      <c r="CI591" s="0" t="s">
        <v>130</v>
      </c>
      <c r="CJ591" s="0" t="s">
        <v>130</v>
      </c>
      <c r="CK591" s="0" t="s">
        <v>130</v>
      </c>
      <c r="CL591" s="0" t="s">
        <v>130</v>
      </c>
      <c r="CM591" s="0" t="s">
        <v>130</v>
      </c>
      <c r="CN591" s="0" t="s">
        <v>130</v>
      </c>
      <c r="CO591" s="0" t="s">
        <v>130</v>
      </c>
      <c r="CP591" s="0" t="s">
        <v>130</v>
      </c>
      <c r="CQ591" s="0" t="s">
        <v>130</v>
      </c>
      <c r="CR591" s="0" t="s">
        <v>130</v>
      </c>
      <c r="CS591" s="0" t="s">
        <v>130</v>
      </c>
      <c r="CT591" s="0" t="s">
        <v>1951</v>
      </c>
    </row>
    <row r="592">
      <c r="A592" s="14">
        <v>101758</v>
      </c>
      <c r="B592" s="0" t="s">
        <v>1952</v>
      </c>
      <c r="C592" s="16">
        <f>HYPERLINK("https://eosportal.federatedhermes.com/companies/Q29tcGFueQppNTg5MzI=", "Costco Wholesale Corp")</f>
      </c>
      <c r="D592" s="0" t="s">
        <v>25</v>
      </c>
      <c r="E592" s="0" t="s">
        <v>1953</v>
      </c>
      <c r="F592" s="16">
        <f>HYPERLINK("https://eosportal.federatedhermes.com/engagements/RW5nYWdlbWVudAppMjEwNzc=", "Human capital management - living wage")</f>
      </c>
      <c r="G592" s="14" t="s">
        <v>1954</v>
      </c>
      <c r="H592" s="0" t="s">
        <v>141</v>
      </c>
      <c r="I592" s="14" t="s">
        <v>636</v>
      </c>
      <c r="J592" s="0" t="s">
        <v>153</v>
      </c>
      <c r="K592" s="0" t="s">
        <v>154</v>
      </c>
      <c r="L592" s="0" t="s">
        <v>306</v>
      </c>
      <c r="M592" s="0" t="s">
        <v>135</v>
      </c>
      <c r="N592" s="0" t="s">
        <v>136</v>
      </c>
      <c r="O592" s="0" t="s">
        <v>643</v>
      </c>
      <c r="Q592" s="0" t="s">
        <v>141</v>
      </c>
      <c r="R592" s="0" t="s">
        <v>138</v>
      </c>
      <c r="S592" s="14">
        <v>1</v>
      </c>
      <c r="T592" s="0" t="s">
        <v>230</v>
      </c>
      <c r="U592" s="0" t="s">
        <v>138</v>
      </c>
      <c r="V592" s="14" t="s">
        <v>138</v>
      </c>
      <c r="W592" s="0" t="s">
        <v>138</v>
      </c>
      <c r="X592" s="14" t="s">
        <v>138</v>
      </c>
      <c r="Y592" s="0" t="s">
        <v>138</v>
      </c>
      <c r="Z592" s="14" t="s">
        <v>138</v>
      </c>
      <c r="AA592" s="0" t="s">
        <v>138</v>
      </c>
      <c r="AB592" s="14" t="s">
        <v>138</v>
      </c>
      <c r="AD592" s="0" t="s">
        <v>138</v>
      </c>
      <c r="AF592" s="0">
        <v>0</v>
      </c>
      <c r="AG592" s="0">
        <v>0</v>
      </c>
      <c r="AH592" s="0" t="s">
        <v>140</v>
      </c>
      <c r="AI592" s="0" t="s">
        <v>138</v>
      </c>
      <c r="AK592" s="0" t="s">
        <v>1853</v>
      </c>
      <c r="AL592" s="14"/>
      <c r="AN592" s="14"/>
      <c r="AQ592" s="0" t="s">
        <v>141</v>
      </c>
      <c r="AR592" s="0" t="s">
        <v>130</v>
      </c>
      <c r="AS592" s="0" t="s">
        <v>130</v>
      </c>
      <c r="AT592" s="0" t="s">
        <v>130</v>
      </c>
      <c r="AU592" s="0" t="s">
        <v>130</v>
      </c>
      <c r="AV592" s="0" t="s">
        <v>130</v>
      </c>
      <c r="AW592" s="0" t="s">
        <v>130</v>
      </c>
      <c r="AX592" s="0" t="s">
        <v>141</v>
      </c>
      <c r="AY592" s="0" t="s">
        <v>130</v>
      </c>
      <c r="AZ592" s="0" t="s">
        <v>141</v>
      </c>
      <c r="BA592" s="0" t="s">
        <v>130</v>
      </c>
      <c r="BB592" s="0" t="s">
        <v>130</v>
      </c>
      <c r="BC592" s="0" t="s">
        <v>130</v>
      </c>
      <c r="BD592" s="0" t="s">
        <v>130</v>
      </c>
      <c r="BE592" s="0" t="s">
        <v>130</v>
      </c>
      <c r="BF592" s="0" t="s">
        <v>130</v>
      </c>
      <c r="BG592" s="0" t="s">
        <v>130</v>
      </c>
      <c r="BH592" s="0" t="s">
        <v>130</v>
      </c>
      <c r="BI592" s="0" t="s">
        <v>130</v>
      </c>
      <c r="BJ592" s="0" t="s">
        <v>130</v>
      </c>
      <c r="BK592" s="0" t="s">
        <v>130</v>
      </c>
      <c r="BL592" s="0" t="s">
        <v>130</v>
      </c>
      <c r="BM592" s="0" t="s">
        <v>130</v>
      </c>
      <c r="BN592" s="0" t="s">
        <v>130</v>
      </c>
      <c r="BO592" s="0" t="s">
        <v>130</v>
      </c>
      <c r="BP592" s="0" t="s">
        <v>130</v>
      </c>
      <c r="BQ592" s="0" t="s">
        <v>130</v>
      </c>
      <c r="BR592" s="0" t="s">
        <v>130</v>
      </c>
      <c r="BS592" s="0" t="s">
        <v>130</v>
      </c>
      <c r="BT592" s="0" t="s">
        <v>130</v>
      </c>
      <c r="BU592" s="0" t="s">
        <v>130</v>
      </c>
      <c r="BV592" s="0" t="s">
        <v>130</v>
      </c>
      <c r="BW592" s="0" t="s">
        <v>130</v>
      </c>
      <c r="BX592" s="0" t="s">
        <v>130</v>
      </c>
      <c r="BY592" s="0" t="s">
        <v>130</v>
      </c>
      <c r="BZ592" s="0" t="s">
        <v>130</v>
      </c>
      <c r="CA592" s="0" t="s">
        <v>130</v>
      </c>
      <c r="CB592" s="0" t="s">
        <v>130</v>
      </c>
      <c r="CC592" s="0" t="s">
        <v>130</v>
      </c>
      <c r="CD592" s="0" t="s">
        <v>130</v>
      </c>
      <c r="CE592" s="0" t="s">
        <v>130</v>
      </c>
      <c r="CF592" s="0" t="s">
        <v>130</v>
      </c>
      <c r="CG592" s="0" t="s">
        <v>130</v>
      </c>
      <c r="CH592" s="0" t="s">
        <v>130</v>
      </c>
      <c r="CI592" s="0" t="s">
        <v>130</v>
      </c>
      <c r="CJ592" s="0" t="s">
        <v>130</v>
      </c>
      <c r="CK592" s="0" t="s">
        <v>130</v>
      </c>
      <c r="CL592" s="0" t="s">
        <v>130</v>
      </c>
      <c r="CM592" s="0" t="s">
        <v>130</v>
      </c>
      <c r="CN592" s="0" t="s">
        <v>130</v>
      </c>
      <c r="CO592" s="0" t="s">
        <v>130</v>
      </c>
      <c r="CP592" s="0" t="s">
        <v>130</v>
      </c>
      <c r="CQ592" s="0" t="s">
        <v>130</v>
      </c>
      <c r="CR592" s="0" t="s">
        <v>130</v>
      </c>
      <c r="CS592" s="0" t="s">
        <v>130</v>
      </c>
      <c r="CT592" s="0" t="s">
        <v>1955</v>
      </c>
    </row>
    <row r="593">
      <c r="A593" s="14">
        <v>101758</v>
      </c>
      <c r="B593" s="0" t="s">
        <v>1952</v>
      </c>
      <c r="C593" s="16">
        <f>HYPERLINK("https://eosportal.federatedhermes.com/companies/Q29tcGFueQppNTg5MzI=", "Costco Wholesale Corp")</f>
      </c>
      <c r="D593" s="0" t="s">
        <v>25</v>
      </c>
      <c r="E593" s="0" t="s">
        <v>709</v>
      </c>
      <c r="F593" s="16">
        <f>HYPERLINK("https://eosportal.federatedhermes.com/engagements/RW5nYWdlbWVudAppMjEwNzg=", "Proxy access")</f>
      </c>
      <c r="G593" s="14" t="s">
        <v>1956</v>
      </c>
      <c r="H593" s="0" t="s">
        <v>141</v>
      </c>
      <c r="I593" s="14" t="s">
        <v>636</v>
      </c>
      <c r="J593" s="0" t="s">
        <v>145</v>
      </c>
      <c r="K593" s="0" t="s">
        <v>400</v>
      </c>
      <c r="L593" s="0" t="s">
        <v>507</v>
      </c>
      <c r="M593" s="0" t="s">
        <v>135</v>
      </c>
      <c r="N593" s="0" t="s">
        <v>136</v>
      </c>
      <c r="O593" s="0" t="s">
        <v>643</v>
      </c>
      <c r="Q593" s="0" t="s">
        <v>130</v>
      </c>
      <c r="R593" s="0" t="s">
        <v>138</v>
      </c>
      <c r="S593" s="14">
        <v>0</v>
      </c>
      <c r="T593" s="0" t="s">
        <v>384</v>
      </c>
      <c r="U593" s="0" t="s">
        <v>138</v>
      </c>
      <c r="V593" s="14" t="s">
        <v>138</v>
      </c>
      <c r="W593" s="0" t="s">
        <v>138</v>
      </c>
      <c r="X593" s="14" t="s">
        <v>138</v>
      </c>
      <c r="Y593" s="0" t="s">
        <v>138</v>
      </c>
      <c r="Z593" s="14" t="s">
        <v>138</v>
      </c>
      <c r="AA593" s="0" t="s">
        <v>138</v>
      </c>
      <c r="AB593" s="14" t="s">
        <v>138</v>
      </c>
      <c r="AD593" s="0" t="s">
        <v>138</v>
      </c>
      <c r="AF593" s="0">
        <v>0</v>
      </c>
      <c r="AG593" s="0">
        <v>0</v>
      </c>
      <c r="AH593" s="0" t="s">
        <v>140</v>
      </c>
      <c r="AI593" s="0" t="s">
        <v>138</v>
      </c>
      <c r="AL593" s="14"/>
      <c r="AN593" s="14"/>
      <c r="AQ593" s="0" t="s">
        <v>130</v>
      </c>
      <c r="AR593" s="0" t="s">
        <v>130</v>
      </c>
      <c r="AS593" s="0" t="s">
        <v>130</v>
      </c>
      <c r="AT593" s="0" t="s">
        <v>130</v>
      </c>
      <c r="AU593" s="0" t="s">
        <v>130</v>
      </c>
      <c r="AV593" s="0" t="s">
        <v>130</v>
      </c>
      <c r="AW593" s="0" t="s">
        <v>130</v>
      </c>
      <c r="AX593" s="0" t="s">
        <v>130</v>
      </c>
      <c r="AY593" s="0" t="s">
        <v>130</v>
      </c>
      <c r="AZ593" s="0" t="s">
        <v>130</v>
      </c>
      <c r="BA593" s="0" t="s">
        <v>130</v>
      </c>
      <c r="BB593" s="0" t="s">
        <v>130</v>
      </c>
      <c r="BC593" s="0" t="s">
        <v>130</v>
      </c>
      <c r="BD593" s="0" t="s">
        <v>130</v>
      </c>
      <c r="BE593" s="0" t="s">
        <v>130</v>
      </c>
      <c r="BF593" s="0" t="s">
        <v>130</v>
      </c>
      <c r="BG593" s="0" t="s">
        <v>130</v>
      </c>
      <c r="BH593" s="0" t="s">
        <v>130</v>
      </c>
      <c r="BI593" s="0" t="s">
        <v>130</v>
      </c>
      <c r="BJ593" s="0" t="s">
        <v>130</v>
      </c>
      <c r="BK593" s="0" t="s">
        <v>130</v>
      </c>
      <c r="BL593" s="0" t="s">
        <v>130</v>
      </c>
      <c r="BM593" s="0" t="s">
        <v>130</v>
      </c>
      <c r="BN593" s="0" t="s">
        <v>130</v>
      </c>
      <c r="BO593" s="0" t="s">
        <v>130</v>
      </c>
      <c r="BP593" s="0" t="s">
        <v>130</v>
      </c>
      <c r="BQ593" s="0" t="s">
        <v>130</v>
      </c>
      <c r="BR593" s="0" t="s">
        <v>130</v>
      </c>
      <c r="BS593" s="0" t="s">
        <v>130</v>
      </c>
      <c r="BT593" s="0" t="s">
        <v>130</v>
      </c>
      <c r="BU593" s="0" t="s">
        <v>130</v>
      </c>
      <c r="BV593" s="0" t="s">
        <v>130</v>
      </c>
      <c r="BW593" s="0" t="s">
        <v>130</v>
      </c>
      <c r="BX593" s="0" t="s">
        <v>130</v>
      </c>
      <c r="BY593" s="0" t="s">
        <v>130</v>
      </c>
      <c r="BZ593" s="0" t="s">
        <v>130</v>
      </c>
      <c r="CA593" s="0" t="s">
        <v>130</v>
      </c>
      <c r="CB593" s="0" t="s">
        <v>130</v>
      </c>
      <c r="CC593" s="0" t="s">
        <v>130</v>
      </c>
      <c r="CD593" s="0" t="s">
        <v>130</v>
      </c>
      <c r="CE593" s="0" t="s">
        <v>130</v>
      </c>
      <c r="CF593" s="0" t="s">
        <v>130</v>
      </c>
      <c r="CG593" s="0" t="s">
        <v>130</v>
      </c>
      <c r="CH593" s="0" t="s">
        <v>130</v>
      </c>
      <c r="CI593" s="0" t="s">
        <v>130</v>
      </c>
      <c r="CJ593" s="0" t="s">
        <v>130</v>
      </c>
      <c r="CK593" s="0" t="s">
        <v>130</v>
      </c>
      <c r="CL593" s="0" t="s">
        <v>130</v>
      </c>
      <c r="CM593" s="0" t="s">
        <v>130</v>
      </c>
      <c r="CN593" s="0" t="s">
        <v>130</v>
      </c>
      <c r="CO593" s="0" t="s">
        <v>130</v>
      </c>
      <c r="CP593" s="0" t="s">
        <v>130</v>
      </c>
      <c r="CQ593" s="0" t="s">
        <v>130</v>
      </c>
      <c r="CR593" s="0" t="s">
        <v>130</v>
      </c>
      <c r="CS593" s="0" t="s">
        <v>130</v>
      </c>
      <c r="CT593" s="0" t="s">
        <v>1957</v>
      </c>
    </row>
    <row r="594">
      <c r="A594" s="14">
        <v>101758</v>
      </c>
      <c r="B594" s="0" t="s">
        <v>1952</v>
      </c>
      <c r="C594" s="16">
        <f>HYPERLINK("https://eosportal.federatedhermes.com/companies/Q29tcGFueQppNTg5MzI=", "Costco Wholesale Corp")</f>
      </c>
      <c r="D594" s="0" t="s">
        <v>25</v>
      </c>
      <c r="E594" s="0" t="s">
        <v>1958</v>
      </c>
      <c r="F594" s="16">
        <f>HYPERLINK("https://eosportal.federatedhermes.com/engagements/RW5nYWdlbWVudAppMjEwNzk=", "Assess appropriateness of company's human capital strategy")</f>
      </c>
      <c r="G594" s="14" t="s">
        <v>1959</v>
      </c>
      <c r="H594" s="0" t="s">
        <v>141</v>
      </c>
      <c r="I594" s="14" t="s">
        <v>636</v>
      </c>
      <c r="J594" s="0" t="s">
        <v>153</v>
      </c>
      <c r="K594" s="0" t="s">
        <v>154</v>
      </c>
      <c r="L594" s="0" t="s">
        <v>306</v>
      </c>
      <c r="M594" s="0" t="s">
        <v>135</v>
      </c>
      <c r="N594" s="0" t="s">
        <v>136</v>
      </c>
      <c r="O594" s="0" t="s">
        <v>643</v>
      </c>
      <c r="Q594" s="0" t="s">
        <v>130</v>
      </c>
      <c r="R594" s="0" t="s">
        <v>138</v>
      </c>
      <c r="S594" s="14">
        <v>0</v>
      </c>
      <c r="T594" s="0" t="s">
        <v>387</v>
      </c>
      <c r="U594" s="0" t="s">
        <v>138</v>
      </c>
      <c r="V594" s="14" t="s">
        <v>138</v>
      </c>
      <c r="W594" s="0" t="s">
        <v>138</v>
      </c>
      <c r="X594" s="14" t="s">
        <v>138</v>
      </c>
      <c r="Y594" s="0" t="s">
        <v>138</v>
      </c>
      <c r="Z594" s="14" t="s">
        <v>138</v>
      </c>
      <c r="AA594" s="0" t="s">
        <v>138</v>
      </c>
      <c r="AB594" s="14" t="s">
        <v>138</v>
      </c>
      <c r="AD594" s="0" t="s">
        <v>138</v>
      </c>
      <c r="AF594" s="0">
        <v>0</v>
      </c>
      <c r="AG594" s="0">
        <v>0</v>
      </c>
      <c r="AH594" s="0" t="s">
        <v>140</v>
      </c>
      <c r="AI594" s="0" t="s">
        <v>138</v>
      </c>
      <c r="AL594" s="14"/>
      <c r="AN594" s="14"/>
      <c r="AQ594" s="0" t="s">
        <v>130</v>
      </c>
      <c r="AR594" s="0" t="s">
        <v>130</v>
      </c>
      <c r="AS594" s="0" t="s">
        <v>130</v>
      </c>
      <c r="AT594" s="0" t="s">
        <v>130</v>
      </c>
      <c r="AU594" s="0" t="s">
        <v>130</v>
      </c>
      <c r="AV594" s="0" t="s">
        <v>130</v>
      </c>
      <c r="AW594" s="0" t="s">
        <v>130</v>
      </c>
      <c r="AX594" s="0" t="s">
        <v>130</v>
      </c>
      <c r="AY594" s="0" t="s">
        <v>130</v>
      </c>
      <c r="AZ594" s="0" t="s">
        <v>130</v>
      </c>
      <c r="BA594" s="0" t="s">
        <v>130</v>
      </c>
      <c r="BB594" s="0" t="s">
        <v>130</v>
      </c>
      <c r="BC594" s="0" t="s">
        <v>130</v>
      </c>
      <c r="BD594" s="0" t="s">
        <v>130</v>
      </c>
      <c r="BE594" s="0" t="s">
        <v>130</v>
      </c>
      <c r="BF594" s="0" t="s">
        <v>130</v>
      </c>
      <c r="BG594" s="0" t="s">
        <v>130</v>
      </c>
      <c r="BH594" s="0" t="s">
        <v>130</v>
      </c>
      <c r="BI594" s="0" t="s">
        <v>130</v>
      </c>
      <c r="BJ594" s="0" t="s">
        <v>130</v>
      </c>
      <c r="BK594" s="0" t="s">
        <v>130</v>
      </c>
      <c r="BL594" s="0" t="s">
        <v>130</v>
      </c>
      <c r="BM594" s="0" t="s">
        <v>130</v>
      </c>
      <c r="BN594" s="0" t="s">
        <v>130</v>
      </c>
      <c r="BO594" s="0" t="s">
        <v>130</v>
      </c>
      <c r="BP594" s="0" t="s">
        <v>130</v>
      </c>
      <c r="BQ594" s="0" t="s">
        <v>130</v>
      </c>
      <c r="BR594" s="0" t="s">
        <v>130</v>
      </c>
      <c r="BS594" s="0" t="s">
        <v>130</v>
      </c>
      <c r="BT594" s="0" t="s">
        <v>130</v>
      </c>
      <c r="BU594" s="0" t="s">
        <v>130</v>
      </c>
      <c r="BV594" s="0" t="s">
        <v>130</v>
      </c>
      <c r="BW594" s="0" t="s">
        <v>130</v>
      </c>
      <c r="BX594" s="0" t="s">
        <v>130</v>
      </c>
      <c r="BY594" s="0" t="s">
        <v>130</v>
      </c>
      <c r="BZ594" s="0" t="s">
        <v>130</v>
      </c>
      <c r="CA594" s="0" t="s">
        <v>130</v>
      </c>
      <c r="CB594" s="0" t="s">
        <v>130</v>
      </c>
      <c r="CC594" s="0" t="s">
        <v>130</v>
      </c>
      <c r="CD594" s="0" t="s">
        <v>130</v>
      </c>
      <c r="CE594" s="0" t="s">
        <v>130</v>
      </c>
      <c r="CF594" s="0" t="s">
        <v>130</v>
      </c>
      <c r="CG594" s="0" t="s">
        <v>130</v>
      </c>
      <c r="CH594" s="0" t="s">
        <v>130</v>
      </c>
      <c r="CI594" s="0" t="s">
        <v>130</v>
      </c>
      <c r="CJ594" s="0" t="s">
        <v>130</v>
      </c>
      <c r="CK594" s="0" t="s">
        <v>130</v>
      </c>
      <c r="CL594" s="0" t="s">
        <v>130</v>
      </c>
      <c r="CM594" s="0" t="s">
        <v>130</v>
      </c>
      <c r="CN594" s="0" t="s">
        <v>130</v>
      </c>
      <c r="CO594" s="0" t="s">
        <v>130</v>
      </c>
      <c r="CP594" s="0" t="s">
        <v>130</v>
      </c>
      <c r="CQ594" s="0" t="s">
        <v>130</v>
      </c>
      <c r="CR594" s="0" t="s">
        <v>130</v>
      </c>
      <c r="CS594" s="0" t="s">
        <v>130</v>
      </c>
      <c r="CT594" s="0" t="s">
        <v>1960</v>
      </c>
    </row>
    <row r="595">
      <c r="A595" s="14">
        <v>101758</v>
      </c>
      <c r="B595" s="0" t="s">
        <v>1952</v>
      </c>
      <c r="C595" s="16">
        <f>HYPERLINK("https://eosportal.federatedhermes.com/companies/Q29tcGFueQppNTg5MzI=", "Costco Wholesale Corp")</f>
      </c>
      <c r="D595" s="0" t="s">
        <v>25</v>
      </c>
      <c r="E595" s="0" t="s">
        <v>1961</v>
      </c>
      <c r="F595" s="16">
        <f>HYPERLINK("https://eosportal.federatedhermes.com/engagements/RW5nYWdlbWVudAppMjEwODA=", "Governance best practice - board declassification and simple majority")</f>
      </c>
      <c r="G595" s="14" t="s">
        <v>1962</v>
      </c>
      <c r="H595" s="0" t="s">
        <v>141</v>
      </c>
      <c r="I595" s="14" t="s">
        <v>636</v>
      </c>
      <c r="J595" s="0" t="s">
        <v>145</v>
      </c>
      <c r="K595" s="0" t="s">
        <v>400</v>
      </c>
      <c r="L595" s="0" t="s">
        <v>507</v>
      </c>
      <c r="M595" s="0" t="s">
        <v>135</v>
      </c>
      <c r="N595" s="0" t="s">
        <v>136</v>
      </c>
      <c r="O595" s="0" t="s">
        <v>643</v>
      </c>
      <c r="Q595" s="0" t="s">
        <v>130</v>
      </c>
      <c r="R595" s="0" t="s">
        <v>138</v>
      </c>
      <c r="S595" s="14">
        <v>0</v>
      </c>
      <c r="T595" s="0" t="s">
        <v>249</v>
      </c>
      <c r="U595" s="0" t="s">
        <v>138</v>
      </c>
      <c r="V595" s="14" t="s">
        <v>138</v>
      </c>
      <c r="W595" s="0" t="s">
        <v>138</v>
      </c>
      <c r="X595" s="14" t="s">
        <v>138</v>
      </c>
      <c r="Y595" s="0" t="s">
        <v>138</v>
      </c>
      <c r="Z595" s="14" t="s">
        <v>138</v>
      </c>
      <c r="AA595" s="0" t="s">
        <v>138</v>
      </c>
      <c r="AB595" s="14" t="s">
        <v>138</v>
      </c>
      <c r="AD595" s="0" t="s">
        <v>138</v>
      </c>
      <c r="AF595" s="0">
        <v>0</v>
      </c>
      <c r="AG595" s="0">
        <v>0</v>
      </c>
      <c r="AH595" s="0" t="s">
        <v>140</v>
      </c>
      <c r="AI595" s="0" t="s">
        <v>138</v>
      </c>
      <c r="AL595" s="14"/>
      <c r="AN595" s="14"/>
      <c r="AQ595" s="0" t="s">
        <v>130</v>
      </c>
      <c r="AR595" s="0" t="s">
        <v>130</v>
      </c>
      <c r="AS595" s="0" t="s">
        <v>130</v>
      </c>
      <c r="AT595" s="0" t="s">
        <v>130</v>
      </c>
      <c r="AU595" s="0" t="s">
        <v>130</v>
      </c>
      <c r="AV595" s="0" t="s">
        <v>130</v>
      </c>
      <c r="AW595" s="0" t="s">
        <v>130</v>
      </c>
      <c r="AX595" s="0" t="s">
        <v>130</v>
      </c>
      <c r="AY595" s="0" t="s">
        <v>130</v>
      </c>
      <c r="AZ595" s="0" t="s">
        <v>130</v>
      </c>
      <c r="BA595" s="0" t="s">
        <v>130</v>
      </c>
      <c r="BB595" s="0" t="s">
        <v>130</v>
      </c>
      <c r="BC595" s="0" t="s">
        <v>130</v>
      </c>
      <c r="BD595" s="0" t="s">
        <v>130</v>
      </c>
      <c r="BE595" s="0" t="s">
        <v>130</v>
      </c>
      <c r="BF595" s="0" t="s">
        <v>130</v>
      </c>
      <c r="BG595" s="0" t="s">
        <v>130</v>
      </c>
      <c r="BH595" s="0" t="s">
        <v>130</v>
      </c>
      <c r="BI595" s="0" t="s">
        <v>130</v>
      </c>
      <c r="BJ595" s="0" t="s">
        <v>130</v>
      </c>
      <c r="BK595" s="0" t="s">
        <v>130</v>
      </c>
      <c r="BL595" s="0" t="s">
        <v>130</v>
      </c>
      <c r="BM595" s="0" t="s">
        <v>130</v>
      </c>
      <c r="BN595" s="0" t="s">
        <v>130</v>
      </c>
      <c r="BO595" s="0" t="s">
        <v>130</v>
      </c>
      <c r="BP595" s="0" t="s">
        <v>130</v>
      </c>
      <c r="BQ595" s="0" t="s">
        <v>130</v>
      </c>
      <c r="BR595" s="0" t="s">
        <v>130</v>
      </c>
      <c r="BS595" s="0" t="s">
        <v>130</v>
      </c>
      <c r="BT595" s="0" t="s">
        <v>130</v>
      </c>
      <c r="BU595" s="0" t="s">
        <v>130</v>
      </c>
      <c r="BV595" s="0" t="s">
        <v>130</v>
      </c>
      <c r="BW595" s="0" t="s">
        <v>130</v>
      </c>
      <c r="BX595" s="0" t="s">
        <v>130</v>
      </c>
      <c r="BY595" s="0" t="s">
        <v>130</v>
      </c>
      <c r="BZ595" s="0" t="s">
        <v>130</v>
      </c>
      <c r="CA595" s="0" t="s">
        <v>130</v>
      </c>
      <c r="CB595" s="0" t="s">
        <v>130</v>
      </c>
      <c r="CC595" s="0" t="s">
        <v>130</v>
      </c>
      <c r="CD595" s="0" t="s">
        <v>130</v>
      </c>
      <c r="CE595" s="0" t="s">
        <v>130</v>
      </c>
      <c r="CF595" s="0" t="s">
        <v>130</v>
      </c>
      <c r="CG595" s="0" t="s">
        <v>130</v>
      </c>
      <c r="CH595" s="0" t="s">
        <v>130</v>
      </c>
      <c r="CI595" s="0" t="s">
        <v>130</v>
      </c>
      <c r="CJ595" s="0" t="s">
        <v>130</v>
      </c>
      <c r="CK595" s="0" t="s">
        <v>130</v>
      </c>
      <c r="CL595" s="0" t="s">
        <v>130</v>
      </c>
      <c r="CM595" s="0" t="s">
        <v>130</v>
      </c>
      <c r="CN595" s="0" t="s">
        <v>130</v>
      </c>
      <c r="CO595" s="0" t="s">
        <v>130</v>
      </c>
      <c r="CP595" s="0" t="s">
        <v>130</v>
      </c>
      <c r="CQ595" s="0" t="s">
        <v>130</v>
      </c>
      <c r="CR595" s="0" t="s">
        <v>130</v>
      </c>
      <c r="CS595" s="0" t="s">
        <v>130</v>
      </c>
      <c r="CT595" s="0" t="s">
        <v>1963</v>
      </c>
    </row>
    <row r="596">
      <c r="A596" s="14">
        <v>101758</v>
      </c>
      <c r="B596" s="0" t="s">
        <v>1952</v>
      </c>
      <c r="C596" s="16">
        <f>HYPERLINK("https://eosportal.federatedhermes.com/companies/Q29tcGFueQppNTg5MzI=", "Costco Wholesale Corp")</f>
      </c>
      <c r="D596" s="0" t="s">
        <v>25</v>
      </c>
      <c r="E596" s="0" t="s">
        <v>1964</v>
      </c>
      <c r="F596" s="16">
        <f>HYPERLINK("https://eosportal.federatedhermes.com/engagements/RW5nYWdlbWVudAppMjEwODE=", "Supply chain oversight")</f>
      </c>
      <c r="G596" s="14" t="s">
        <v>1965</v>
      </c>
      <c r="H596" s="0" t="s">
        <v>141</v>
      </c>
      <c r="I596" s="14" t="s">
        <v>636</v>
      </c>
      <c r="J596" s="0" t="s">
        <v>153</v>
      </c>
      <c r="K596" s="0" t="s">
        <v>243</v>
      </c>
      <c r="L596" s="0" t="s">
        <v>244</v>
      </c>
      <c r="M596" s="0" t="s">
        <v>135</v>
      </c>
      <c r="N596" s="0" t="s">
        <v>136</v>
      </c>
      <c r="O596" s="0" t="s">
        <v>643</v>
      </c>
      <c r="Q596" s="0" t="s">
        <v>130</v>
      </c>
      <c r="R596" s="0" t="s">
        <v>138</v>
      </c>
      <c r="S596" s="14">
        <v>0</v>
      </c>
      <c r="T596" s="0" t="s">
        <v>249</v>
      </c>
      <c r="U596" s="0" t="s">
        <v>138</v>
      </c>
      <c r="V596" s="14" t="s">
        <v>138</v>
      </c>
      <c r="W596" s="0" t="s">
        <v>138</v>
      </c>
      <c r="X596" s="14" t="s">
        <v>138</v>
      </c>
      <c r="Y596" s="0" t="s">
        <v>138</v>
      </c>
      <c r="Z596" s="14" t="s">
        <v>138</v>
      </c>
      <c r="AA596" s="0" t="s">
        <v>138</v>
      </c>
      <c r="AB596" s="14" t="s">
        <v>138</v>
      </c>
      <c r="AD596" s="0" t="s">
        <v>138</v>
      </c>
      <c r="AF596" s="0">
        <v>0</v>
      </c>
      <c r="AG596" s="0">
        <v>0</v>
      </c>
      <c r="AH596" s="0" t="s">
        <v>140</v>
      </c>
      <c r="AI596" s="0" t="s">
        <v>138</v>
      </c>
      <c r="AL596" s="14"/>
      <c r="AN596" s="14"/>
      <c r="AQ596" s="0" t="s">
        <v>130</v>
      </c>
      <c r="AR596" s="0" t="s">
        <v>130</v>
      </c>
      <c r="AS596" s="0" t="s">
        <v>130</v>
      </c>
      <c r="AT596" s="0" t="s">
        <v>130</v>
      </c>
      <c r="AU596" s="0" t="s">
        <v>130</v>
      </c>
      <c r="AV596" s="0" t="s">
        <v>130</v>
      </c>
      <c r="AW596" s="0" t="s">
        <v>130</v>
      </c>
      <c r="AX596" s="0" t="s">
        <v>141</v>
      </c>
      <c r="AY596" s="0" t="s">
        <v>130</v>
      </c>
      <c r="AZ596" s="0" t="s">
        <v>130</v>
      </c>
      <c r="BA596" s="0" t="s">
        <v>130</v>
      </c>
      <c r="BB596" s="0" t="s">
        <v>130</v>
      </c>
      <c r="BC596" s="0" t="s">
        <v>130</v>
      </c>
      <c r="BD596" s="0" t="s">
        <v>130</v>
      </c>
      <c r="BE596" s="0" t="s">
        <v>130</v>
      </c>
      <c r="BF596" s="0" t="s">
        <v>130</v>
      </c>
      <c r="BG596" s="0" t="s">
        <v>130</v>
      </c>
      <c r="BH596" s="0" t="s">
        <v>130</v>
      </c>
      <c r="BI596" s="0" t="s">
        <v>130</v>
      </c>
      <c r="BJ596" s="0" t="s">
        <v>130</v>
      </c>
      <c r="BK596" s="0" t="s">
        <v>130</v>
      </c>
      <c r="BL596" s="0" t="s">
        <v>130</v>
      </c>
      <c r="BM596" s="0" t="s">
        <v>130</v>
      </c>
      <c r="BN596" s="0" t="s">
        <v>130</v>
      </c>
      <c r="BO596" s="0" t="s">
        <v>130</v>
      </c>
      <c r="BP596" s="0" t="s">
        <v>130</v>
      </c>
      <c r="BQ596" s="0" t="s">
        <v>130</v>
      </c>
      <c r="BR596" s="0" t="s">
        <v>130</v>
      </c>
      <c r="BS596" s="0" t="s">
        <v>130</v>
      </c>
      <c r="BT596" s="0" t="s">
        <v>130</v>
      </c>
      <c r="BU596" s="0" t="s">
        <v>130</v>
      </c>
      <c r="BV596" s="0" t="s">
        <v>130</v>
      </c>
      <c r="BW596" s="0" t="s">
        <v>130</v>
      </c>
      <c r="BX596" s="0" t="s">
        <v>130</v>
      </c>
      <c r="BY596" s="0" t="s">
        <v>130</v>
      </c>
      <c r="BZ596" s="0" t="s">
        <v>130</v>
      </c>
      <c r="CA596" s="0" t="s">
        <v>130</v>
      </c>
      <c r="CB596" s="0" t="s">
        <v>130</v>
      </c>
      <c r="CC596" s="0" t="s">
        <v>130</v>
      </c>
      <c r="CD596" s="0" t="s">
        <v>130</v>
      </c>
      <c r="CE596" s="0" t="s">
        <v>130</v>
      </c>
      <c r="CF596" s="0" t="s">
        <v>130</v>
      </c>
      <c r="CG596" s="0" t="s">
        <v>130</v>
      </c>
      <c r="CH596" s="0" t="s">
        <v>130</v>
      </c>
      <c r="CI596" s="0" t="s">
        <v>130</v>
      </c>
      <c r="CJ596" s="0" t="s">
        <v>130</v>
      </c>
      <c r="CK596" s="0" t="s">
        <v>130</v>
      </c>
      <c r="CL596" s="0" t="s">
        <v>130</v>
      </c>
      <c r="CM596" s="0" t="s">
        <v>130</v>
      </c>
      <c r="CN596" s="0" t="s">
        <v>130</v>
      </c>
      <c r="CO596" s="0" t="s">
        <v>130</v>
      </c>
      <c r="CP596" s="0" t="s">
        <v>130</v>
      </c>
      <c r="CQ596" s="0" t="s">
        <v>130</v>
      </c>
      <c r="CR596" s="0" t="s">
        <v>130</v>
      </c>
      <c r="CS596" s="0" t="s">
        <v>130</v>
      </c>
      <c r="CT596" s="0" t="s">
        <v>1966</v>
      </c>
    </row>
    <row r="597">
      <c r="A597" s="14">
        <v>101758</v>
      </c>
      <c r="B597" s="0" t="s">
        <v>1952</v>
      </c>
      <c r="C597" s="16">
        <f>HYPERLINK("https://eosportal.federatedhermes.com/companies/Q29tcGFueQppNTg5MzI=", "Costco Wholesale Corp")</f>
      </c>
      <c r="D597" s="0" t="s">
        <v>25</v>
      </c>
      <c r="E597" s="0" t="s">
        <v>341</v>
      </c>
      <c r="F597" s="16">
        <f>HYPERLINK("https://eosportal.federatedhermes.com/engagements/RW5nYWdlbWVudAppMjEwODI=", "Remuneration")</f>
      </c>
      <c r="G597" s="14" t="s">
        <v>642</v>
      </c>
      <c r="H597" s="0" t="s">
        <v>141</v>
      </c>
      <c r="I597" s="14" t="s">
        <v>636</v>
      </c>
      <c r="J597" s="0" t="s">
        <v>145</v>
      </c>
      <c r="K597" s="0" t="s">
        <v>146</v>
      </c>
      <c r="L597" s="0" t="s">
        <v>147</v>
      </c>
      <c r="M597" s="0" t="s">
        <v>135</v>
      </c>
      <c r="N597" s="0" t="s">
        <v>136</v>
      </c>
      <c r="O597" s="0" t="s">
        <v>643</v>
      </c>
      <c r="Q597" s="0" t="s">
        <v>130</v>
      </c>
      <c r="R597" s="0" t="s">
        <v>138</v>
      </c>
      <c r="S597" s="14">
        <v>0</v>
      </c>
      <c r="T597" s="0" t="s">
        <v>343</v>
      </c>
      <c r="U597" s="0" t="s">
        <v>138</v>
      </c>
      <c r="V597" s="14" t="s">
        <v>138</v>
      </c>
      <c r="W597" s="0" t="s">
        <v>138</v>
      </c>
      <c r="X597" s="14" t="s">
        <v>138</v>
      </c>
      <c r="Y597" s="0" t="s">
        <v>138</v>
      </c>
      <c r="Z597" s="14" t="s">
        <v>138</v>
      </c>
      <c r="AA597" s="0" t="s">
        <v>138</v>
      </c>
      <c r="AB597" s="14" t="s">
        <v>138</v>
      </c>
      <c r="AD597" s="0" t="s">
        <v>138</v>
      </c>
      <c r="AF597" s="0">
        <v>0</v>
      </c>
      <c r="AG597" s="0">
        <v>0</v>
      </c>
      <c r="AH597" s="0" t="s">
        <v>140</v>
      </c>
      <c r="AI597" s="0" t="s">
        <v>138</v>
      </c>
      <c r="AL597" s="14"/>
      <c r="AN597" s="14"/>
      <c r="AQ597" s="0" t="s">
        <v>130</v>
      </c>
      <c r="AR597" s="0" t="s">
        <v>130</v>
      </c>
      <c r="AS597" s="0" t="s">
        <v>130</v>
      </c>
      <c r="AT597" s="0" t="s">
        <v>130</v>
      </c>
      <c r="AU597" s="0" t="s">
        <v>130</v>
      </c>
      <c r="AV597" s="0" t="s">
        <v>130</v>
      </c>
      <c r="AW597" s="0" t="s">
        <v>130</v>
      </c>
      <c r="AX597" s="0" t="s">
        <v>130</v>
      </c>
      <c r="AY597" s="0" t="s">
        <v>130</v>
      </c>
      <c r="AZ597" s="0" t="s">
        <v>130</v>
      </c>
      <c r="BA597" s="0" t="s">
        <v>130</v>
      </c>
      <c r="BB597" s="0" t="s">
        <v>130</v>
      </c>
      <c r="BC597" s="0" t="s">
        <v>130</v>
      </c>
      <c r="BD597" s="0" t="s">
        <v>130</v>
      </c>
      <c r="BE597" s="0" t="s">
        <v>130</v>
      </c>
      <c r="BF597" s="0" t="s">
        <v>130</v>
      </c>
      <c r="BG597" s="0" t="s">
        <v>130</v>
      </c>
      <c r="BH597" s="0" t="s">
        <v>130</v>
      </c>
      <c r="BI597" s="0" t="s">
        <v>130</v>
      </c>
      <c r="BJ597" s="0" t="s">
        <v>130</v>
      </c>
      <c r="BK597" s="0" t="s">
        <v>130</v>
      </c>
      <c r="BL597" s="0" t="s">
        <v>130</v>
      </c>
      <c r="BM597" s="0" t="s">
        <v>130</v>
      </c>
      <c r="BN597" s="0" t="s">
        <v>130</v>
      </c>
      <c r="BO597" s="0" t="s">
        <v>130</v>
      </c>
      <c r="BP597" s="0" t="s">
        <v>130</v>
      </c>
      <c r="BQ597" s="0" t="s">
        <v>130</v>
      </c>
      <c r="BR597" s="0" t="s">
        <v>130</v>
      </c>
      <c r="BS597" s="0" t="s">
        <v>130</v>
      </c>
      <c r="BT597" s="0" t="s">
        <v>130</v>
      </c>
      <c r="BU597" s="0" t="s">
        <v>130</v>
      </c>
      <c r="BV597" s="0" t="s">
        <v>130</v>
      </c>
      <c r="BW597" s="0" t="s">
        <v>130</v>
      </c>
      <c r="BX597" s="0" t="s">
        <v>130</v>
      </c>
      <c r="BY597" s="0" t="s">
        <v>130</v>
      </c>
      <c r="BZ597" s="0" t="s">
        <v>130</v>
      </c>
      <c r="CA597" s="0" t="s">
        <v>130</v>
      </c>
      <c r="CB597" s="0" t="s">
        <v>130</v>
      </c>
      <c r="CC597" s="0" t="s">
        <v>130</v>
      </c>
      <c r="CD597" s="0" t="s">
        <v>130</v>
      </c>
      <c r="CE597" s="0" t="s">
        <v>130</v>
      </c>
      <c r="CF597" s="0" t="s">
        <v>130</v>
      </c>
      <c r="CG597" s="0" t="s">
        <v>130</v>
      </c>
      <c r="CH597" s="0" t="s">
        <v>130</v>
      </c>
      <c r="CI597" s="0" t="s">
        <v>130</v>
      </c>
      <c r="CJ597" s="0" t="s">
        <v>130</v>
      </c>
      <c r="CK597" s="0" t="s">
        <v>130</v>
      </c>
      <c r="CL597" s="0" t="s">
        <v>130</v>
      </c>
      <c r="CM597" s="0" t="s">
        <v>130</v>
      </c>
      <c r="CN597" s="0" t="s">
        <v>130</v>
      </c>
      <c r="CO597" s="0" t="s">
        <v>130</v>
      </c>
      <c r="CP597" s="0" t="s">
        <v>130</v>
      </c>
      <c r="CQ597" s="0" t="s">
        <v>130</v>
      </c>
      <c r="CR597" s="0" t="s">
        <v>130</v>
      </c>
      <c r="CS597" s="0" t="s">
        <v>130</v>
      </c>
      <c r="CT597" s="0" t="s">
        <v>1967</v>
      </c>
    </row>
    <row r="598">
      <c r="A598" s="14">
        <v>101758</v>
      </c>
      <c r="B598" s="0" t="s">
        <v>1952</v>
      </c>
      <c r="C598" s="16">
        <f>HYPERLINK("https://eosportal.federatedhermes.com/companies/Q29tcGFueQppNTg5MzI=", "Costco Wholesale Corp")</f>
      </c>
      <c r="D598" s="0" t="s">
        <v>25</v>
      </c>
      <c r="E598" s="0" t="s">
        <v>1034</v>
      </c>
      <c r="F598" s="16">
        <f>HYPERLINK("https://eosportal.federatedhermes.com/engagements/RW5nYWdlbWVudAppMjEwODc=", "Board composition")</f>
      </c>
      <c r="G598" s="14" t="s">
        <v>1968</v>
      </c>
      <c r="H598" s="0" t="s">
        <v>141</v>
      </c>
      <c r="I598" s="14" t="s">
        <v>636</v>
      </c>
      <c r="J598" s="0" t="s">
        <v>145</v>
      </c>
      <c r="K598" s="0" t="s">
        <v>164</v>
      </c>
      <c r="L598" s="0" t="s">
        <v>165</v>
      </c>
      <c r="M598" s="0" t="s">
        <v>135</v>
      </c>
      <c r="N598" s="0" t="s">
        <v>136</v>
      </c>
      <c r="O598" s="0" t="s">
        <v>643</v>
      </c>
      <c r="Q598" s="0" t="s">
        <v>130</v>
      </c>
      <c r="R598" s="0" t="s">
        <v>138</v>
      </c>
      <c r="S598" s="14">
        <v>0</v>
      </c>
      <c r="T598" s="0" t="s">
        <v>343</v>
      </c>
      <c r="U598" s="0" t="s">
        <v>138</v>
      </c>
      <c r="V598" s="14" t="s">
        <v>138</v>
      </c>
      <c r="W598" s="0" t="s">
        <v>138</v>
      </c>
      <c r="X598" s="14" t="s">
        <v>138</v>
      </c>
      <c r="Y598" s="0" t="s">
        <v>138</v>
      </c>
      <c r="Z598" s="14" t="s">
        <v>138</v>
      </c>
      <c r="AA598" s="0" t="s">
        <v>138</v>
      </c>
      <c r="AB598" s="14" t="s">
        <v>138</v>
      </c>
      <c r="AD598" s="0" t="s">
        <v>138</v>
      </c>
      <c r="AF598" s="0">
        <v>0</v>
      </c>
      <c r="AG598" s="0">
        <v>0</v>
      </c>
      <c r="AH598" s="0" t="s">
        <v>140</v>
      </c>
      <c r="AI598" s="0" t="s">
        <v>138</v>
      </c>
      <c r="AL598" s="14"/>
      <c r="AN598" s="14"/>
      <c r="AQ598" s="0" t="s">
        <v>130</v>
      </c>
      <c r="AR598" s="0" t="s">
        <v>130</v>
      </c>
      <c r="AS598" s="0" t="s">
        <v>130</v>
      </c>
      <c r="AT598" s="0" t="s">
        <v>130</v>
      </c>
      <c r="AU598" s="0" t="s">
        <v>141</v>
      </c>
      <c r="AV598" s="0" t="s">
        <v>130</v>
      </c>
      <c r="AW598" s="0" t="s">
        <v>130</v>
      </c>
      <c r="AX598" s="0" t="s">
        <v>130</v>
      </c>
      <c r="AY598" s="0" t="s">
        <v>130</v>
      </c>
      <c r="AZ598" s="0" t="s">
        <v>141</v>
      </c>
      <c r="BA598" s="0" t="s">
        <v>130</v>
      </c>
      <c r="BB598" s="0" t="s">
        <v>130</v>
      </c>
      <c r="BC598" s="0" t="s">
        <v>130</v>
      </c>
      <c r="BD598" s="0" t="s">
        <v>130</v>
      </c>
      <c r="BE598" s="0" t="s">
        <v>130</v>
      </c>
      <c r="BF598" s="0" t="s">
        <v>130</v>
      </c>
      <c r="BG598" s="0" t="s">
        <v>130</v>
      </c>
      <c r="BH598" s="0" t="s">
        <v>130</v>
      </c>
      <c r="BI598" s="0" t="s">
        <v>130</v>
      </c>
      <c r="BJ598" s="0" t="s">
        <v>130</v>
      </c>
      <c r="BK598" s="0" t="s">
        <v>130</v>
      </c>
      <c r="BL598" s="0" t="s">
        <v>130</v>
      </c>
      <c r="BM598" s="0" t="s">
        <v>130</v>
      </c>
      <c r="BN598" s="0" t="s">
        <v>130</v>
      </c>
      <c r="BO598" s="0" t="s">
        <v>130</v>
      </c>
      <c r="BP598" s="0" t="s">
        <v>130</v>
      </c>
      <c r="BQ598" s="0" t="s">
        <v>130</v>
      </c>
      <c r="BR598" s="0" t="s">
        <v>130</v>
      </c>
      <c r="BS598" s="0" t="s">
        <v>130</v>
      </c>
      <c r="BT598" s="0" t="s">
        <v>130</v>
      </c>
      <c r="BU598" s="0" t="s">
        <v>130</v>
      </c>
      <c r="BV598" s="0" t="s">
        <v>130</v>
      </c>
      <c r="BW598" s="0" t="s">
        <v>130</v>
      </c>
      <c r="BX598" s="0" t="s">
        <v>130</v>
      </c>
      <c r="BY598" s="0" t="s">
        <v>130</v>
      </c>
      <c r="BZ598" s="0" t="s">
        <v>130</v>
      </c>
      <c r="CA598" s="0" t="s">
        <v>130</v>
      </c>
      <c r="CB598" s="0" t="s">
        <v>130</v>
      </c>
      <c r="CC598" s="0" t="s">
        <v>130</v>
      </c>
      <c r="CD598" s="0" t="s">
        <v>130</v>
      </c>
      <c r="CE598" s="0" t="s">
        <v>130</v>
      </c>
      <c r="CF598" s="0" t="s">
        <v>130</v>
      </c>
      <c r="CG598" s="0" t="s">
        <v>130</v>
      </c>
      <c r="CH598" s="0" t="s">
        <v>130</v>
      </c>
      <c r="CI598" s="0" t="s">
        <v>130</v>
      </c>
      <c r="CJ598" s="0" t="s">
        <v>130</v>
      </c>
      <c r="CK598" s="0" t="s">
        <v>130</v>
      </c>
      <c r="CL598" s="0" t="s">
        <v>130</v>
      </c>
      <c r="CM598" s="0" t="s">
        <v>130</v>
      </c>
      <c r="CN598" s="0" t="s">
        <v>130</v>
      </c>
      <c r="CO598" s="0" t="s">
        <v>130</v>
      </c>
      <c r="CP598" s="0" t="s">
        <v>130</v>
      </c>
      <c r="CQ598" s="0" t="s">
        <v>130</v>
      </c>
      <c r="CR598" s="0" t="s">
        <v>130</v>
      </c>
      <c r="CS598" s="0" t="s">
        <v>130</v>
      </c>
      <c r="CT598" s="0" t="s">
        <v>1969</v>
      </c>
    </row>
    <row r="599">
      <c r="A599" s="14">
        <v>101758</v>
      </c>
      <c r="B599" s="0" t="s">
        <v>1952</v>
      </c>
      <c r="C599" s="16">
        <f>HYPERLINK("https://eosportal.federatedhermes.com/companies/Q29tcGFueQppNTg5MzI=", "Costco Wholesale Corp")</f>
      </c>
      <c r="D599" s="0" t="s">
        <v>25</v>
      </c>
      <c r="E599" s="0" t="s">
        <v>652</v>
      </c>
      <c r="F599" s="16">
        <f>HYPERLINK("https://eosportal.federatedhermes.com/engagements/RW5nYWdlbWVudAppMjEwODk=", "Protein diversification")</f>
      </c>
      <c r="G599" s="14" t="s">
        <v>653</v>
      </c>
      <c r="H599" s="0" t="s">
        <v>141</v>
      </c>
      <c r="I599" s="14" t="s">
        <v>636</v>
      </c>
      <c r="J599" s="0" t="s">
        <v>197</v>
      </c>
      <c r="K599" s="0" t="s">
        <v>337</v>
      </c>
      <c r="L599" s="0" t="s">
        <v>576</v>
      </c>
      <c r="M599" s="0" t="s">
        <v>135</v>
      </c>
      <c r="N599" s="0" t="s">
        <v>136</v>
      </c>
      <c r="O599" s="0" t="s">
        <v>643</v>
      </c>
      <c r="Q599" s="0" t="s">
        <v>130</v>
      </c>
      <c r="R599" s="0" t="s">
        <v>138</v>
      </c>
      <c r="S599" s="14">
        <v>0</v>
      </c>
      <c r="T599" s="0" t="s">
        <v>333</v>
      </c>
      <c r="U599" s="0" t="s">
        <v>138</v>
      </c>
      <c r="V599" s="14" t="s">
        <v>138</v>
      </c>
      <c r="W599" s="0" t="s">
        <v>138</v>
      </c>
      <c r="X599" s="14" t="s">
        <v>138</v>
      </c>
      <c r="Y599" s="0" t="s">
        <v>138</v>
      </c>
      <c r="Z599" s="14" t="s">
        <v>138</v>
      </c>
      <c r="AA599" s="0" t="s">
        <v>138</v>
      </c>
      <c r="AB599" s="14" t="s">
        <v>138</v>
      </c>
      <c r="AD599" s="0" t="s">
        <v>138</v>
      </c>
      <c r="AF599" s="0">
        <v>0</v>
      </c>
      <c r="AG599" s="0">
        <v>0</v>
      </c>
      <c r="AH599" s="0" t="s">
        <v>140</v>
      </c>
      <c r="AI599" s="0" t="s">
        <v>138</v>
      </c>
      <c r="AL599" s="14"/>
      <c r="AN599" s="14"/>
      <c r="AQ599" s="0" t="s">
        <v>130</v>
      </c>
      <c r="AR599" s="0" t="s">
        <v>141</v>
      </c>
      <c r="AS599" s="0" t="s">
        <v>130</v>
      </c>
      <c r="AT599" s="0" t="s">
        <v>130</v>
      </c>
      <c r="AU599" s="0" t="s">
        <v>130</v>
      </c>
      <c r="AV599" s="0" t="s">
        <v>130</v>
      </c>
      <c r="AW599" s="0" t="s">
        <v>130</v>
      </c>
      <c r="AX599" s="0" t="s">
        <v>130</v>
      </c>
      <c r="AY599" s="0" t="s">
        <v>130</v>
      </c>
      <c r="AZ599" s="0" t="s">
        <v>130</v>
      </c>
      <c r="BA599" s="0" t="s">
        <v>130</v>
      </c>
      <c r="BB599" s="0" t="s">
        <v>141</v>
      </c>
      <c r="BC599" s="0" t="s">
        <v>130</v>
      </c>
      <c r="BD599" s="0" t="s">
        <v>130</v>
      </c>
      <c r="BE599" s="0" t="s">
        <v>141</v>
      </c>
      <c r="BF599" s="0" t="s">
        <v>130</v>
      </c>
      <c r="BG599" s="0" t="s">
        <v>130</v>
      </c>
      <c r="BH599" s="0" t="s">
        <v>130</v>
      </c>
      <c r="BI599" s="0" t="s">
        <v>130</v>
      </c>
      <c r="BJ599" s="0" t="s">
        <v>130</v>
      </c>
      <c r="BK599" s="0" t="s">
        <v>130</v>
      </c>
      <c r="BL599" s="0" t="s">
        <v>130</v>
      </c>
      <c r="BM599" s="0" t="s">
        <v>130</v>
      </c>
      <c r="BN599" s="0" t="s">
        <v>130</v>
      </c>
      <c r="BO599" s="0" t="s">
        <v>130</v>
      </c>
      <c r="BP599" s="0" t="s">
        <v>130</v>
      </c>
      <c r="BQ599" s="0" t="s">
        <v>130</v>
      </c>
      <c r="BR599" s="0" t="s">
        <v>130</v>
      </c>
      <c r="BS599" s="0" t="s">
        <v>130</v>
      </c>
      <c r="BT599" s="0" t="s">
        <v>130</v>
      </c>
      <c r="BU599" s="0" t="s">
        <v>130</v>
      </c>
      <c r="BV599" s="0" t="s">
        <v>130</v>
      </c>
      <c r="BW599" s="0" t="s">
        <v>130</v>
      </c>
      <c r="BX599" s="0" t="s">
        <v>130</v>
      </c>
      <c r="BY599" s="0" t="s">
        <v>130</v>
      </c>
      <c r="BZ599" s="0" t="s">
        <v>130</v>
      </c>
      <c r="CA599" s="0" t="s">
        <v>130</v>
      </c>
      <c r="CB599" s="0" t="s">
        <v>130</v>
      </c>
      <c r="CC599" s="0" t="s">
        <v>130</v>
      </c>
      <c r="CD599" s="0" t="s">
        <v>130</v>
      </c>
      <c r="CE599" s="0" t="s">
        <v>130</v>
      </c>
      <c r="CF599" s="0" t="s">
        <v>130</v>
      </c>
      <c r="CG599" s="0" t="s">
        <v>130</v>
      </c>
      <c r="CH599" s="0" t="s">
        <v>130</v>
      </c>
      <c r="CI599" s="0" t="s">
        <v>130</v>
      </c>
      <c r="CJ599" s="0" t="s">
        <v>130</v>
      </c>
      <c r="CK599" s="0" t="s">
        <v>130</v>
      </c>
      <c r="CL599" s="0" t="s">
        <v>130</v>
      </c>
      <c r="CM599" s="0" t="s">
        <v>130</v>
      </c>
      <c r="CN599" s="0" t="s">
        <v>130</v>
      </c>
      <c r="CO599" s="0" t="s">
        <v>130</v>
      </c>
      <c r="CP599" s="0" t="s">
        <v>130</v>
      </c>
      <c r="CQ599" s="0" t="s">
        <v>130</v>
      </c>
      <c r="CR599" s="0" t="s">
        <v>130</v>
      </c>
      <c r="CS599" s="0" t="s">
        <v>130</v>
      </c>
      <c r="CT599" s="0" t="s">
        <v>1970</v>
      </c>
    </row>
    <row r="600">
      <c r="A600" s="14">
        <v>101758</v>
      </c>
      <c r="B600" s="0" t="s">
        <v>1952</v>
      </c>
      <c r="C600" s="16">
        <f>HYPERLINK("https://eosportal.federatedhermes.com/companies/Q29tcGFueQppNTg5MzI=", "Costco Wholesale Corp")</f>
      </c>
      <c r="D600" s="0" t="s">
        <v>25</v>
      </c>
      <c r="E600" s="0" t="s">
        <v>1971</v>
      </c>
      <c r="F600" s="16">
        <f>HYPERLINK("https://eosportal.federatedhermes.com/engagements/RW5nYWdlbWVudAppMjEwOTA=", "Supply Chain Human Rights")</f>
      </c>
      <c r="G600" s="14" t="s">
        <v>1972</v>
      </c>
      <c r="H600" s="0" t="s">
        <v>141</v>
      </c>
      <c r="I600" s="14" t="s">
        <v>636</v>
      </c>
      <c r="J600" s="0" t="s">
        <v>153</v>
      </c>
      <c r="K600" s="0" t="s">
        <v>243</v>
      </c>
      <c r="L600" s="0" t="s">
        <v>244</v>
      </c>
      <c r="M600" s="0" t="s">
        <v>135</v>
      </c>
      <c r="N600" s="0" t="s">
        <v>136</v>
      </c>
      <c r="O600" s="0" t="s">
        <v>643</v>
      </c>
      <c r="Q600" s="0" t="s">
        <v>130</v>
      </c>
      <c r="R600" s="0" t="s">
        <v>138</v>
      </c>
      <c r="S600" s="14">
        <v>0</v>
      </c>
      <c r="T600" s="0" t="s">
        <v>230</v>
      </c>
      <c r="U600" s="0" t="s">
        <v>138</v>
      </c>
      <c r="V600" s="14" t="s">
        <v>138</v>
      </c>
      <c r="W600" s="0" t="s">
        <v>138</v>
      </c>
      <c r="X600" s="14" t="s">
        <v>138</v>
      </c>
      <c r="Y600" s="0" t="s">
        <v>138</v>
      </c>
      <c r="Z600" s="14" t="s">
        <v>138</v>
      </c>
      <c r="AA600" s="0" t="s">
        <v>138</v>
      </c>
      <c r="AB600" s="14" t="s">
        <v>138</v>
      </c>
      <c r="AD600" s="0" t="s">
        <v>138</v>
      </c>
      <c r="AF600" s="0">
        <v>0</v>
      </c>
      <c r="AG600" s="0">
        <v>0</v>
      </c>
      <c r="AH600" s="0" t="s">
        <v>140</v>
      </c>
      <c r="AI600" s="0" t="s">
        <v>138</v>
      </c>
      <c r="AL600" s="14"/>
      <c r="AN600" s="14"/>
      <c r="AQ600" s="0" t="s">
        <v>130</v>
      </c>
      <c r="AR600" s="0" t="s">
        <v>130</v>
      </c>
      <c r="AS600" s="0" t="s">
        <v>130</v>
      </c>
      <c r="AT600" s="0" t="s">
        <v>130</v>
      </c>
      <c r="AU600" s="0" t="s">
        <v>130</v>
      </c>
      <c r="AV600" s="0" t="s">
        <v>130</v>
      </c>
      <c r="AW600" s="0" t="s">
        <v>130</v>
      </c>
      <c r="AX600" s="0" t="s">
        <v>141</v>
      </c>
      <c r="AY600" s="0" t="s">
        <v>130</v>
      </c>
      <c r="AZ600" s="0" t="s">
        <v>130</v>
      </c>
      <c r="BA600" s="0" t="s">
        <v>130</v>
      </c>
      <c r="BB600" s="0" t="s">
        <v>130</v>
      </c>
      <c r="BC600" s="0" t="s">
        <v>130</v>
      </c>
      <c r="BD600" s="0" t="s">
        <v>130</v>
      </c>
      <c r="BE600" s="0" t="s">
        <v>130</v>
      </c>
      <c r="BF600" s="0" t="s">
        <v>130</v>
      </c>
      <c r="BG600" s="0" t="s">
        <v>130</v>
      </c>
      <c r="BH600" s="0" t="s">
        <v>130</v>
      </c>
      <c r="BI600" s="0" t="s">
        <v>130</v>
      </c>
      <c r="BJ600" s="0" t="s">
        <v>130</v>
      </c>
      <c r="BK600" s="0" t="s">
        <v>130</v>
      </c>
      <c r="BL600" s="0" t="s">
        <v>130</v>
      </c>
      <c r="BM600" s="0" t="s">
        <v>130</v>
      </c>
      <c r="BN600" s="0" t="s">
        <v>130</v>
      </c>
      <c r="BO600" s="0" t="s">
        <v>130</v>
      </c>
      <c r="BP600" s="0" t="s">
        <v>130</v>
      </c>
      <c r="BQ600" s="0" t="s">
        <v>130</v>
      </c>
      <c r="BR600" s="0" t="s">
        <v>130</v>
      </c>
      <c r="BS600" s="0" t="s">
        <v>130</v>
      </c>
      <c r="BT600" s="0" t="s">
        <v>130</v>
      </c>
      <c r="BU600" s="0" t="s">
        <v>130</v>
      </c>
      <c r="BV600" s="0" t="s">
        <v>130</v>
      </c>
      <c r="BW600" s="0" t="s">
        <v>130</v>
      </c>
      <c r="BX600" s="0" t="s">
        <v>130</v>
      </c>
      <c r="BY600" s="0" t="s">
        <v>130</v>
      </c>
      <c r="BZ600" s="0" t="s">
        <v>130</v>
      </c>
      <c r="CA600" s="0" t="s">
        <v>130</v>
      </c>
      <c r="CB600" s="0" t="s">
        <v>130</v>
      </c>
      <c r="CC600" s="0" t="s">
        <v>130</v>
      </c>
      <c r="CD600" s="0" t="s">
        <v>130</v>
      </c>
      <c r="CE600" s="0" t="s">
        <v>130</v>
      </c>
      <c r="CF600" s="0" t="s">
        <v>130</v>
      </c>
      <c r="CG600" s="0" t="s">
        <v>130</v>
      </c>
      <c r="CH600" s="0" t="s">
        <v>130</v>
      </c>
      <c r="CI600" s="0" t="s">
        <v>130</v>
      </c>
      <c r="CJ600" s="0" t="s">
        <v>130</v>
      </c>
      <c r="CK600" s="0" t="s">
        <v>130</v>
      </c>
      <c r="CL600" s="0" t="s">
        <v>130</v>
      </c>
      <c r="CM600" s="0" t="s">
        <v>130</v>
      </c>
      <c r="CN600" s="0" t="s">
        <v>130</v>
      </c>
      <c r="CO600" s="0" t="s">
        <v>130</v>
      </c>
      <c r="CP600" s="0" t="s">
        <v>130</v>
      </c>
      <c r="CQ600" s="0" t="s">
        <v>130</v>
      </c>
      <c r="CR600" s="0" t="s">
        <v>130</v>
      </c>
      <c r="CS600" s="0" t="s">
        <v>130</v>
      </c>
      <c r="CT600" s="0" t="s">
        <v>1973</v>
      </c>
    </row>
    <row r="601">
      <c r="A601" s="14">
        <v>101758</v>
      </c>
      <c r="B601" s="0" t="s">
        <v>1952</v>
      </c>
      <c r="C601" s="16">
        <f>HYPERLINK("https://eosportal.federatedhermes.com/companies/Q29tcGFueQppNTg5MzI=", "Costco Wholesale Corp")</f>
      </c>
      <c r="D601" s="0" t="s">
        <v>25</v>
      </c>
      <c r="E601" s="0" t="s">
        <v>940</v>
      </c>
      <c r="F601" s="16">
        <f>HYPERLINK("https://eosportal.federatedhermes.com/engagements/RW5nYWdlbWVudAppMjEwOTE=", "Paid sick leave for direct and indirect employees")</f>
      </c>
      <c r="G601" s="14" t="s">
        <v>1974</v>
      </c>
      <c r="H601" s="0" t="s">
        <v>141</v>
      </c>
      <c r="I601" s="14" t="s">
        <v>636</v>
      </c>
      <c r="J601" s="0" t="s">
        <v>153</v>
      </c>
      <c r="K601" s="0" t="s">
        <v>154</v>
      </c>
      <c r="L601" s="0" t="s">
        <v>306</v>
      </c>
      <c r="M601" s="0" t="s">
        <v>135</v>
      </c>
      <c r="N601" s="0" t="s">
        <v>136</v>
      </c>
      <c r="O601" s="0" t="s">
        <v>643</v>
      </c>
      <c r="Q601" s="0" t="s">
        <v>130</v>
      </c>
      <c r="R601" s="0" t="s">
        <v>138</v>
      </c>
      <c r="S601" s="14">
        <v>0</v>
      </c>
      <c r="T601" s="0" t="s">
        <v>583</v>
      </c>
      <c r="U601" s="0" t="s">
        <v>138</v>
      </c>
      <c r="V601" s="14" t="s">
        <v>138</v>
      </c>
      <c r="W601" s="0" t="s">
        <v>138</v>
      </c>
      <c r="X601" s="14" t="s">
        <v>138</v>
      </c>
      <c r="Y601" s="0" t="s">
        <v>138</v>
      </c>
      <c r="Z601" s="14" t="s">
        <v>138</v>
      </c>
      <c r="AA601" s="0" t="s">
        <v>138</v>
      </c>
      <c r="AB601" s="14" t="s">
        <v>138</v>
      </c>
      <c r="AD601" s="0" t="s">
        <v>138</v>
      </c>
      <c r="AF601" s="0">
        <v>0</v>
      </c>
      <c r="AG601" s="0">
        <v>0</v>
      </c>
      <c r="AH601" s="0" t="s">
        <v>140</v>
      </c>
      <c r="AI601" s="0" t="s">
        <v>138</v>
      </c>
      <c r="AL601" s="14"/>
      <c r="AN601" s="14"/>
      <c r="AQ601" s="0" t="s">
        <v>141</v>
      </c>
      <c r="AR601" s="0" t="s">
        <v>130</v>
      </c>
      <c r="AS601" s="0" t="s">
        <v>130</v>
      </c>
      <c r="AT601" s="0" t="s">
        <v>130</v>
      </c>
      <c r="AU601" s="0" t="s">
        <v>130</v>
      </c>
      <c r="AV601" s="0" t="s">
        <v>130</v>
      </c>
      <c r="AW601" s="0" t="s">
        <v>130</v>
      </c>
      <c r="AX601" s="0" t="s">
        <v>141</v>
      </c>
      <c r="AY601" s="0" t="s">
        <v>130</v>
      </c>
      <c r="AZ601" s="0" t="s">
        <v>141</v>
      </c>
      <c r="BA601" s="0" t="s">
        <v>130</v>
      </c>
      <c r="BB601" s="0" t="s">
        <v>130</v>
      </c>
      <c r="BC601" s="0" t="s">
        <v>130</v>
      </c>
      <c r="BD601" s="0" t="s">
        <v>130</v>
      </c>
      <c r="BE601" s="0" t="s">
        <v>130</v>
      </c>
      <c r="BF601" s="0" t="s">
        <v>130</v>
      </c>
      <c r="BG601" s="0" t="s">
        <v>130</v>
      </c>
      <c r="BH601" s="0" t="s">
        <v>130</v>
      </c>
      <c r="BI601" s="0" t="s">
        <v>130</v>
      </c>
      <c r="BJ601" s="0" t="s">
        <v>130</v>
      </c>
      <c r="BK601" s="0" t="s">
        <v>130</v>
      </c>
      <c r="BL601" s="0" t="s">
        <v>130</v>
      </c>
      <c r="BM601" s="0" t="s">
        <v>130</v>
      </c>
      <c r="BN601" s="0" t="s">
        <v>130</v>
      </c>
      <c r="BO601" s="0" t="s">
        <v>130</v>
      </c>
      <c r="BP601" s="0" t="s">
        <v>130</v>
      </c>
      <c r="BQ601" s="0" t="s">
        <v>130</v>
      </c>
      <c r="BR601" s="0" t="s">
        <v>130</v>
      </c>
      <c r="BS601" s="0" t="s">
        <v>130</v>
      </c>
      <c r="BT601" s="0" t="s">
        <v>130</v>
      </c>
      <c r="BU601" s="0" t="s">
        <v>130</v>
      </c>
      <c r="BV601" s="0" t="s">
        <v>130</v>
      </c>
      <c r="BW601" s="0" t="s">
        <v>130</v>
      </c>
      <c r="BX601" s="0" t="s">
        <v>130</v>
      </c>
      <c r="BY601" s="0" t="s">
        <v>130</v>
      </c>
      <c r="BZ601" s="0" t="s">
        <v>130</v>
      </c>
      <c r="CA601" s="0" t="s">
        <v>130</v>
      </c>
      <c r="CB601" s="0" t="s">
        <v>130</v>
      </c>
      <c r="CC601" s="0" t="s">
        <v>130</v>
      </c>
      <c r="CD601" s="0" t="s">
        <v>130</v>
      </c>
      <c r="CE601" s="0" t="s">
        <v>130</v>
      </c>
      <c r="CF601" s="0" t="s">
        <v>130</v>
      </c>
      <c r="CG601" s="0" t="s">
        <v>130</v>
      </c>
      <c r="CH601" s="0" t="s">
        <v>130</v>
      </c>
      <c r="CI601" s="0" t="s">
        <v>130</v>
      </c>
      <c r="CJ601" s="0" t="s">
        <v>130</v>
      </c>
      <c r="CK601" s="0" t="s">
        <v>130</v>
      </c>
      <c r="CL601" s="0" t="s">
        <v>130</v>
      </c>
      <c r="CM601" s="0" t="s">
        <v>130</v>
      </c>
      <c r="CN601" s="0" t="s">
        <v>130</v>
      </c>
      <c r="CO601" s="0" t="s">
        <v>130</v>
      </c>
      <c r="CP601" s="0" t="s">
        <v>130</v>
      </c>
      <c r="CQ601" s="0" t="s">
        <v>130</v>
      </c>
      <c r="CR601" s="0" t="s">
        <v>130</v>
      </c>
      <c r="CS601" s="0" t="s">
        <v>130</v>
      </c>
      <c r="CT601" s="0" t="s">
        <v>1975</v>
      </c>
    </row>
    <row r="602">
      <c r="A602" s="14">
        <v>101758</v>
      </c>
      <c r="B602" s="0" t="s">
        <v>1952</v>
      </c>
      <c r="C602" s="16">
        <f>HYPERLINK("https://eosportal.federatedhermes.com/companies/Q29tcGFueQppNTg5MzI=", "Costco Wholesale Corp")</f>
      </c>
      <c r="D602" s="0" t="s">
        <v>25</v>
      </c>
      <c r="E602" s="0" t="s">
        <v>1976</v>
      </c>
      <c r="F602" s="16">
        <f>HYPERLINK("https://eosportal.federatedhermes.com/engagements/RW5nYWdlbWVudAppMjEwOTI=", "Xinjiang exposure")</f>
      </c>
      <c r="G602" s="14" t="s">
        <v>1977</v>
      </c>
      <c r="H602" s="0" t="s">
        <v>141</v>
      </c>
      <c r="I602" s="14" t="s">
        <v>636</v>
      </c>
      <c r="J602" s="0" t="s">
        <v>153</v>
      </c>
      <c r="K602" s="0" t="s">
        <v>243</v>
      </c>
      <c r="L602" s="0" t="s">
        <v>456</v>
      </c>
      <c r="M602" s="0" t="s">
        <v>135</v>
      </c>
      <c r="N602" s="0" t="s">
        <v>136</v>
      </c>
      <c r="O602" s="0" t="s">
        <v>643</v>
      </c>
      <c r="Q602" s="0" t="s">
        <v>130</v>
      </c>
      <c r="R602" s="0" t="s">
        <v>138</v>
      </c>
      <c r="S602" s="14">
        <v>0</v>
      </c>
      <c r="T602" s="0" t="s">
        <v>230</v>
      </c>
      <c r="U602" s="0" t="s">
        <v>138</v>
      </c>
      <c r="V602" s="14" t="s">
        <v>138</v>
      </c>
      <c r="W602" s="0" t="s">
        <v>138</v>
      </c>
      <c r="X602" s="14" t="s">
        <v>138</v>
      </c>
      <c r="Y602" s="0" t="s">
        <v>138</v>
      </c>
      <c r="Z602" s="14" t="s">
        <v>138</v>
      </c>
      <c r="AA602" s="0" t="s">
        <v>138</v>
      </c>
      <c r="AB602" s="14" t="s">
        <v>138</v>
      </c>
      <c r="AD602" s="0" t="s">
        <v>138</v>
      </c>
      <c r="AF602" s="0">
        <v>0</v>
      </c>
      <c r="AG602" s="0">
        <v>0</v>
      </c>
      <c r="AH602" s="0" t="s">
        <v>140</v>
      </c>
      <c r="AI602" s="0" t="s">
        <v>138</v>
      </c>
      <c r="AL602" s="14"/>
      <c r="AN602" s="14"/>
      <c r="AQ602" s="0" t="s">
        <v>130</v>
      </c>
      <c r="AR602" s="0" t="s">
        <v>130</v>
      </c>
      <c r="AS602" s="0" t="s">
        <v>130</v>
      </c>
      <c r="AT602" s="0" t="s">
        <v>130</v>
      </c>
      <c r="AU602" s="0" t="s">
        <v>130</v>
      </c>
      <c r="AV602" s="0" t="s">
        <v>130</v>
      </c>
      <c r="AW602" s="0" t="s">
        <v>130</v>
      </c>
      <c r="AX602" s="0" t="s">
        <v>141</v>
      </c>
      <c r="AY602" s="0" t="s">
        <v>130</v>
      </c>
      <c r="AZ602" s="0" t="s">
        <v>130</v>
      </c>
      <c r="BA602" s="0" t="s">
        <v>130</v>
      </c>
      <c r="BB602" s="0" t="s">
        <v>130</v>
      </c>
      <c r="BC602" s="0" t="s">
        <v>130</v>
      </c>
      <c r="BD602" s="0" t="s">
        <v>130</v>
      </c>
      <c r="BE602" s="0" t="s">
        <v>130</v>
      </c>
      <c r="BF602" s="0" t="s">
        <v>141</v>
      </c>
      <c r="BG602" s="0" t="s">
        <v>130</v>
      </c>
      <c r="BH602" s="0" t="s">
        <v>130</v>
      </c>
      <c r="BI602" s="0" t="s">
        <v>130</v>
      </c>
      <c r="BJ602" s="0" t="s">
        <v>130</v>
      </c>
      <c r="BK602" s="0" t="s">
        <v>130</v>
      </c>
      <c r="BL602" s="0" t="s">
        <v>130</v>
      </c>
      <c r="BM602" s="0" t="s">
        <v>130</v>
      </c>
      <c r="BN602" s="0" t="s">
        <v>130</v>
      </c>
      <c r="BO602" s="0" t="s">
        <v>130</v>
      </c>
      <c r="BP602" s="0" t="s">
        <v>130</v>
      </c>
      <c r="BQ602" s="0" t="s">
        <v>130</v>
      </c>
      <c r="BR602" s="0" t="s">
        <v>130</v>
      </c>
      <c r="BS602" s="0" t="s">
        <v>130</v>
      </c>
      <c r="BT602" s="0" t="s">
        <v>130</v>
      </c>
      <c r="BU602" s="0" t="s">
        <v>130</v>
      </c>
      <c r="BV602" s="0" t="s">
        <v>130</v>
      </c>
      <c r="BW602" s="0" t="s">
        <v>130</v>
      </c>
      <c r="BX602" s="0" t="s">
        <v>130</v>
      </c>
      <c r="BY602" s="0" t="s">
        <v>130</v>
      </c>
      <c r="BZ602" s="0" t="s">
        <v>130</v>
      </c>
      <c r="CA602" s="0" t="s">
        <v>130</v>
      </c>
      <c r="CB602" s="0" t="s">
        <v>130</v>
      </c>
      <c r="CC602" s="0" t="s">
        <v>130</v>
      </c>
      <c r="CD602" s="0" t="s">
        <v>130</v>
      </c>
      <c r="CE602" s="0" t="s">
        <v>130</v>
      </c>
      <c r="CF602" s="0" t="s">
        <v>130</v>
      </c>
      <c r="CG602" s="0" t="s">
        <v>130</v>
      </c>
      <c r="CH602" s="0" t="s">
        <v>130</v>
      </c>
      <c r="CI602" s="0" t="s">
        <v>130</v>
      </c>
      <c r="CJ602" s="0" t="s">
        <v>130</v>
      </c>
      <c r="CK602" s="0" t="s">
        <v>130</v>
      </c>
      <c r="CL602" s="0" t="s">
        <v>130</v>
      </c>
      <c r="CM602" s="0" t="s">
        <v>130</v>
      </c>
      <c r="CN602" s="0" t="s">
        <v>130</v>
      </c>
      <c r="CO602" s="0" t="s">
        <v>130</v>
      </c>
      <c r="CP602" s="0" t="s">
        <v>130</v>
      </c>
      <c r="CQ602" s="0" t="s">
        <v>130</v>
      </c>
      <c r="CR602" s="0" t="s">
        <v>130</v>
      </c>
      <c r="CS602" s="0" t="s">
        <v>130</v>
      </c>
      <c r="CT602" s="0" t="s">
        <v>1978</v>
      </c>
    </row>
    <row r="603">
      <c r="A603" s="14">
        <v>101758</v>
      </c>
      <c r="B603" s="0" t="s">
        <v>1952</v>
      </c>
      <c r="C603" s="16">
        <f>HYPERLINK("https://eosportal.federatedhermes.com/companies/Q29tcGFueQppNTg5MzI=", "Costco Wholesale Corp")</f>
      </c>
      <c r="D603" s="0" t="s">
        <v>25</v>
      </c>
      <c r="E603" s="0" t="s">
        <v>1194</v>
      </c>
      <c r="F603" s="16">
        <f>HYPERLINK("https://eosportal.federatedhermes.com/engagements/RW5nYWdlbWVudAppMjEwOTM=", "Diversity and inclusion")</f>
      </c>
      <c r="G603" s="14" t="s">
        <v>1979</v>
      </c>
      <c r="H603" s="0" t="s">
        <v>141</v>
      </c>
      <c r="I603" s="14" t="s">
        <v>636</v>
      </c>
      <c r="J603" s="0" t="s">
        <v>153</v>
      </c>
      <c r="K603" s="0" t="s">
        <v>154</v>
      </c>
      <c r="L603" s="0" t="s">
        <v>268</v>
      </c>
      <c r="M603" s="0" t="s">
        <v>135</v>
      </c>
      <c r="N603" s="0" t="s">
        <v>136</v>
      </c>
      <c r="O603" s="0" t="s">
        <v>643</v>
      </c>
      <c r="Q603" s="0" t="s">
        <v>130</v>
      </c>
      <c r="R603" s="0" t="s">
        <v>138</v>
      </c>
      <c r="S603" s="14">
        <v>0</v>
      </c>
      <c r="T603" s="0" t="s">
        <v>1145</v>
      </c>
      <c r="U603" s="0" t="s">
        <v>138</v>
      </c>
      <c r="V603" s="14" t="s">
        <v>138</v>
      </c>
      <c r="W603" s="0" t="s">
        <v>138</v>
      </c>
      <c r="X603" s="14" t="s">
        <v>138</v>
      </c>
      <c r="Y603" s="0" t="s">
        <v>138</v>
      </c>
      <c r="Z603" s="14" t="s">
        <v>138</v>
      </c>
      <c r="AA603" s="0" t="s">
        <v>138</v>
      </c>
      <c r="AB603" s="14" t="s">
        <v>138</v>
      </c>
      <c r="AD603" s="0" t="s">
        <v>138</v>
      </c>
      <c r="AF603" s="0">
        <v>0</v>
      </c>
      <c r="AG603" s="0">
        <v>0</v>
      </c>
      <c r="AH603" s="0" t="s">
        <v>140</v>
      </c>
      <c r="AI603" s="0" t="s">
        <v>138</v>
      </c>
      <c r="AL603" s="14"/>
      <c r="AN603" s="14"/>
      <c r="AQ603" s="0" t="s">
        <v>130</v>
      </c>
      <c r="AR603" s="0" t="s">
        <v>130</v>
      </c>
      <c r="AS603" s="0" t="s">
        <v>130</v>
      </c>
      <c r="AT603" s="0" t="s">
        <v>130</v>
      </c>
      <c r="AU603" s="0" t="s">
        <v>130</v>
      </c>
      <c r="AV603" s="0" t="s">
        <v>130</v>
      </c>
      <c r="AW603" s="0" t="s">
        <v>130</v>
      </c>
      <c r="AX603" s="0" t="s">
        <v>130</v>
      </c>
      <c r="AY603" s="0" t="s">
        <v>130</v>
      </c>
      <c r="AZ603" s="0" t="s">
        <v>130</v>
      </c>
      <c r="BA603" s="0" t="s">
        <v>130</v>
      </c>
      <c r="BB603" s="0" t="s">
        <v>130</v>
      </c>
      <c r="BC603" s="0" t="s">
        <v>130</v>
      </c>
      <c r="BD603" s="0" t="s">
        <v>130</v>
      </c>
      <c r="BE603" s="0" t="s">
        <v>130</v>
      </c>
      <c r="BF603" s="0" t="s">
        <v>130</v>
      </c>
      <c r="BG603" s="0" t="s">
        <v>130</v>
      </c>
      <c r="BH603" s="0" t="s">
        <v>130</v>
      </c>
      <c r="BI603" s="0" t="s">
        <v>130</v>
      </c>
      <c r="BJ603" s="0" t="s">
        <v>130</v>
      </c>
      <c r="BK603" s="0" t="s">
        <v>130</v>
      </c>
      <c r="BL603" s="0" t="s">
        <v>130</v>
      </c>
      <c r="BM603" s="0" t="s">
        <v>130</v>
      </c>
      <c r="BN603" s="0" t="s">
        <v>130</v>
      </c>
      <c r="BO603" s="0" t="s">
        <v>130</v>
      </c>
      <c r="BP603" s="0" t="s">
        <v>130</v>
      </c>
      <c r="BQ603" s="0" t="s">
        <v>130</v>
      </c>
      <c r="BR603" s="0" t="s">
        <v>130</v>
      </c>
      <c r="BS603" s="0" t="s">
        <v>130</v>
      </c>
      <c r="BT603" s="0" t="s">
        <v>130</v>
      </c>
      <c r="BU603" s="0" t="s">
        <v>130</v>
      </c>
      <c r="BV603" s="0" t="s">
        <v>130</v>
      </c>
      <c r="BW603" s="0" t="s">
        <v>130</v>
      </c>
      <c r="BX603" s="0" t="s">
        <v>130</v>
      </c>
      <c r="BY603" s="0" t="s">
        <v>130</v>
      </c>
      <c r="BZ603" s="0" t="s">
        <v>130</v>
      </c>
      <c r="CA603" s="0" t="s">
        <v>130</v>
      </c>
      <c r="CB603" s="0" t="s">
        <v>130</v>
      </c>
      <c r="CC603" s="0" t="s">
        <v>130</v>
      </c>
      <c r="CD603" s="0" t="s">
        <v>130</v>
      </c>
      <c r="CE603" s="0" t="s">
        <v>130</v>
      </c>
      <c r="CF603" s="0" t="s">
        <v>130</v>
      </c>
      <c r="CG603" s="0" t="s">
        <v>130</v>
      </c>
      <c r="CH603" s="0" t="s">
        <v>130</v>
      </c>
      <c r="CI603" s="0" t="s">
        <v>130</v>
      </c>
      <c r="CJ603" s="0" t="s">
        <v>130</v>
      </c>
      <c r="CK603" s="0" t="s">
        <v>141</v>
      </c>
      <c r="CL603" s="0" t="s">
        <v>130</v>
      </c>
      <c r="CM603" s="0" t="s">
        <v>130</v>
      </c>
      <c r="CN603" s="0" t="s">
        <v>130</v>
      </c>
      <c r="CO603" s="0" t="s">
        <v>130</v>
      </c>
      <c r="CP603" s="0" t="s">
        <v>130</v>
      </c>
      <c r="CQ603" s="0" t="s">
        <v>130</v>
      </c>
      <c r="CR603" s="0" t="s">
        <v>130</v>
      </c>
      <c r="CS603" s="0" t="s">
        <v>130</v>
      </c>
      <c r="CT603" s="0" t="s">
        <v>1980</v>
      </c>
    </row>
    <row r="604">
      <c r="A604" s="14">
        <v>114151</v>
      </c>
      <c r="B604" s="0" t="s">
        <v>1981</v>
      </c>
      <c r="C604" s="16">
        <f>HYPERLINK("https://eosportal.federatedhermes.com/companies/Q29tcGFueQppNzU2OTQ=", "Mitsubishi Corp")</f>
      </c>
      <c r="D604" s="0" t="s">
        <v>25</v>
      </c>
      <c r="E604" s="0" t="s">
        <v>1982</v>
      </c>
      <c r="F604" s="16">
        <f>HYPERLINK("https://eosportal.federatedhermes.com/engagements/RW5nYWdlbWVudAppMjEwOTU=", "Carbon asset risk")</f>
      </c>
      <c r="G604" s="14" t="s">
        <v>1983</v>
      </c>
      <c r="H604" s="0" t="s">
        <v>141</v>
      </c>
      <c r="I604" s="14" t="s">
        <v>191</v>
      </c>
      <c r="J604" s="0" t="s">
        <v>197</v>
      </c>
      <c r="K604" s="0" t="s">
        <v>198</v>
      </c>
      <c r="L604" s="0" t="s">
        <v>199</v>
      </c>
      <c r="M604" s="0" t="s">
        <v>802</v>
      </c>
      <c r="N604" s="0" t="s">
        <v>952</v>
      </c>
      <c r="O604" s="0" t="s">
        <v>176</v>
      </c>
      <c r="Q604" s="0" t="s">
        <v>141</v>
      </c>
      <c r="R604" s="0" t="s">
        <v>138</v>
      </c>
      <c r="S604" s="14">
        <v>1</v>
      </c>
      <c r="T604" s="0" t="s">
        <v>1011</v>
      </c>
      <c r="U604" s="0" t="s">
        <v>138</v>
      </c>
      <c r="V604" s="14" t="s">
        <v>138</v>
      </c>
      <c r="W604" s="0" t="s">
        <v>138</v>
      </c>
      <c r="X604" s="14" t="s">
        <v>138</v>
      </c>
      <c r="Y604" s="0" t="s">
        <v>138</v>
      </c>
      <c r="Z604" s="14" t="s">
        <v>138</v>
      </c>
      <c r="AA604" s="0" t="s">
        <v>138</v>
      </c>
      <c r="AB604" s="14" t="s">
        <v>138</v>
      </c>
      <c r="AD604" s="0" t="s">
        <v>138</v>
      </c>
      <c r="AF604" s="0">
        <v>0</v>
      </c>
      <c r="AG604" s="0">
        <v>0</v>
      </c>
      <c r="AH604" s="0" t="s">
        <v>140</v>
      </c>
      <c r="AI604" s="0" t="s">
        <v>138</v>
      </c>
      <c r="AK604" s="0" t="s">
        <v>1984</v>
      </c>
      <c r="AL604" s="14"/>
      <c r="AN604" s="14"/>
      <c r="AQ604" s="0" t="s">
        <v>130</v>
      </c>
      <c r="AR604" s="0" t="s">
        <v>130</v>
      </c>
      <c r="AS604" s="0" t="s">
        <v>130</v>
      </c>
      <c r="AT604" s="0" t="s">
        <v>130</v>
      </c>
      <c r="AU604" s="0" t="s">
        <v>130</v>
      </c>
      <c r="AV604" s="0" t="s">
        <v>130</v>
      </c>
      <c r="AW604" s="0" t="s">
        <v>130</v>
      </c>
      <c r="AX604" s="0" t="s">
        <v>130</v>
      </c>
      <c r="AY604" s="0" t="s">
        <v>130</v>
      </c>
      <c r="AZ604" s="0" t="s">
        <v>130</v>
      </c>
      <c r="BA604" s="0" t="s">
        <v>130</v>
      </c>
      <c r="BB604" s="0" t="s">
        <v>141</v>
      </c>
      <c r="BC604" s="0" t="s">
        <v>130</v>
      </c>
      <c r="BD604" s="0" t="s">
        <v>130</v>
      </c>
      <c r="BE604" s="0" t="s">
        <v>130</v>
      </c>
      <c r="BF604" s="0" t="s">
        <v>130</v>
      </c>
      <c r="BG604" s="0" t="s">
        <v>130</v>
      </c>
      <c r="BH604" s="0" t="s">
        <v>130</v>
      </c>
      <c r="BI604" s="0" t="s">
        <v>130</v>
      </c>
      <c r="BJ604" s="0" t="s">
        <v>130</v>
      </c>
      <c r="BK604" s="0" t="s">
        <v>130</v>
      </c>
      <c r="BL604" s="0" t="s">
        <v>130</v>
      </c>
      <c r="BM604" s="0" t="s">
        <v>130</v>
      </c>
      <c r="BN604" s="0" t="s">
        <v>130</v>
      </c>
      <c r="BO604" s="0" t="s">
        <v>130</v>
      </c>
      <c r="BP604" s="0" t="s">
        <v>130</v>
      </c>
      <c r="BQ604" s="0" t="s">
        <v>130</v>
      </c>
      <c r="BR604" s="0" t="s">
        <v>130</v>
      </c>
      <c r="BS604" s="0" t="s">
        <v>130</v>
      </c>
      <c r="BT604" s="0" t="s">
        <v>130</v>
      </c>
      <c r="BU604" s="0" t="s">
        <v>130</v>
      </c>
      <c r="BV604" s="0" t="s">
        <v>130</v>
      </c>
      <c r="BW604" s="0" t="s">
        <v>130</v>
      </c>
      <c r="BX604" s="0" t="s">
        <v>130</v>
      </c>
      <c r="BY604" s="0" t="s">
        <v>130</v>
      </c>
      <c r="BZ604" s="0" t="s">
        <v>130</v>
      </c>
      <c r="CA604" s="0" t="s">
        <v>130</v>
      </c>
      <c r="CB604" s="0" t="s">
        <v>130</v>
      </c>
      <c r="CC604" s="0" t="s">
        <v>130</v>
      </c>
      <c r="CD604" s="0" t="s">
        <v>130</v>
      </c>
      <c r="CE604" s="0" t="s">
        <v>130</v>
      </c>
      <c r="CF604" s="0" t="s">
        <v>130</v>
      </c>
      <c r="CG604" s="0" t="s">
        <v>130</v>
      </c>
      <c r="CH604" s="0" t="s">
        <v>130</v>
      </c>
      <c r="CI604" s="0" t="s">
        <v>130</v>
      </c>
      <c r="CJ604" s="0" t="s">
        <v>130</v>
      </c>
      <c r="CK604" s="0" t="s">
        <v>130</v>
      </c>
      <c r="CL604" s="0" t="s">
        <v>130</v>
      </c>
      <c r="CM604" s="0" t="s">
        <v>130</v>
      </c>
      <c r="CN604" s="0" t="s">
        <v>130</v>
      </c>
      <c r="CO604" s="0" t="s">
        <v>130</v>
      </c>
      <c r="CP604" s="0" t="s">
        <v>130</v>
      </c>
      <c r="CQ604" s="0" t="s">
        <v>130</v>
      </c>
      <c r="CR604" s="0" t="s">
        <v>130</v>
      </c>
      <c r="CS604" s="0" t="s">
        <v>130</v>
      </c>
      <c r="CT604" s="0" t="s">
        <v>1985</v>
      </c>
    </row>
    <row r="605">
      <c r="A605" s="14">
        <v>114151</v>
      </c>
      <c r="B605" s="0" t="s">
        <v>1981</v>
      </c>
      <c r="C605" s="16">
        <f>HYPERLINK("https://eosportal.federatedhermes.com/companies/Q29tcGFueQppNzU2OTQ=", "Mitsubishi Corp")</f>
      </c>
      <c r="D605" s="0" t="s">
        <v>25</v>
      </c>
      <c r="E605" s="0" t="s">
        <v>574</v>
      </c>
      <c r="F605" s="16">
        <f>HYPERLINK("https://eosportal.federatedhermes.com/engagements/RW5nYWdlbWVudAppMjEwOTY=", "Biodiversity")</f>
      </c>
      <c r="G605" s="14" t="s">
        <v>1986</v>
      </c>
      <c r="H605" s="0" t="s">
        <v>141</v>
      </c>
      <c r="I605" s="14" t="s">
        <v>191</v>
      </c>
      <c r="J605" s="0" t="s">
        <v>197</v>
      </c>
      <c r="K605" s="0" t="s">
        <v>337</v>
      </c>
      <c r="L605" s="0" t="s">
        <v>576</v>
      </c>
      <c r="M605" s="0" t="s">
        <v>802</v>
      </c>
      <c r="N605" s="0" t="s">
        <v>952</v>
      </c>
      <c r="O605" s="0" t="s">
        <v>176</v>
      </c>
      <c r="Q605" s="0" t="s">
        <v>141</v>
      </c>
      <c r="R605" s="0" t="s">
        <v>138</v>
      </c>
      <c r="S605" s="14">
        <v>1</v>
      </c>
      <c r="T605" s="0" t="s">
        <v>483</v>
      </c>
      <c r="U605" s="0" t="s">
        <v>138</v>
      </c>
      <c r="V605" s="14" t="s">
        <v>138</v>
      </c>
      <c r="W605" s="0" t="s">
        <v>138</v>
      </c>
      <c r="X605" s="14" t="s">
        <v>138</v>
      </c>
      <c r="Y605" s="0" t="s">
        <v>138</v>
      </c>
      <c r="Z605" s="14" t="s">
        <v>138</v>
      </c>
      <c r="AA605" s="0" t="s">
        <v>138</v>
      </c>
      <c r="AB605" s="14" t="s">
        <v>138</v>
      </c>
      <c r="AD605" s="0" t="s">
        <v>138</v>
      </c>
      <c r="AF605" s="0">
        <v>0</v>
      </c>
      <c r="AG605" s="0">
        <v>0</v>
      </c>
      <c r="AH605" s="0" t="s">
        <v>140</v>
      </c>
      <c r="AI605" s="0" t="s">
        <v>138</v>
      </c>
      <c r="AK605" s="0" t="s">
        <v>1984</v>
      </c>
      <c r="AL605" s="14"/>
      <c r="AN605" s="14"/>
      <c r="AQ605" s="0" t="s">
        <v>130</v>
      </c>
      <c r="AR605" s="0" t="s">
        <v>130</v>
      </c>
      <c r="AS605" s="0" t="s">
        <v>130</v>
      </c>
      <c r="AT605" s="0" t="s">
        <v>130</v>
      </c>
      <c r="AU605" s="0" t="s">
        <v>130</v>
      </c>
      <c r="AV605" s="0" t="s">
        <v>130</v>
      </c>
      <c r="AW605" s="0" t="s">
        <v>130</v>
      </c>
      <c r="AX605" s="0" t="s">
        <v>130</v>
      </c>
      <c r="AY605" s="0" t="s">
        <v>130</v>
      </c>
      <c r="AZ605" s="0" t="s">
        <v>130</v>
      </c>
      <c r="BA605" s="0" t="s">
        <v>130</v>
      </c>
      <c r="BB605" s="0" t="s">
        <v>141</v>
      </c>
      <c r="BC605" s="0" t="s">
        <v>130</v>
      </c>
      <c r="BD605" s="0" t="s">
        <v>130</v>
      </c>
      <c r="BE605" s="0" t="s">
        <v>141</v>
      </c>
      <c r="BF605" s="0" t="s">
        <v>130</v>
      </c>
      <c r="BG605" s="0" t="s">
        <v>130</v>
      </c>
      <c r="BH605" s="0" t="s">
        <v>130</v>
      </c>
      <c r="BI605" s="0" t="s">
        <v>130</v>
      </c>
      <c r="BJ605" s="0" t="s">
        <v>130</v>
      </c>
      <c r="BK605" s="0" t="s">
        <v>130</v>
      </c>
      <c r="BL605" s="0" t="s">
        <v>130</v>
      </c>
      <c r="BM605" s="0" t="s">
        <v>130</v>
      </c>
      <c r="BN605" s="0" t="s">
        <v>130</v>
      </c>
      <c r="BO605" s="0" t="s">
        <v>130</v>
      </c>
      <c r="BP605" s="0" t="s">
        <v>130</v>
      </c>
      <c r="BQ605" s="0" t="s">
        <v>130</v>
      </c>
      <c r="BR605" s="0" t="s">
        <v>130</v>
      </c>
      <c r="BS605" s="0" t="s">
        <v>130</v>
      </c>
      <c r="BT605" s="0" t="s">
        <v>130</v>
      </c>
      <c r="BU605" s="0" t="s">
        <v>130</v>
      </c>
      <c r="BV605" s="0" t="s">
        <v>130</v>
      </c>
      <c r="BW605" s="0" t="s">
        <v>130</v>
      </c>
      <c r="BX605" s="0" t="s">
        <v>130</v>
      </c>
      <c r="BY605" s="0" t="s">
        <v>130</v>
      </c>
      <c r="BZ605" s="0" t="s">
        <v>130</v>
      </c>
      <c r="CA605" s="0" t="s">
        <v>130</v>
      </c>
      <c r="CB605" s="0" t="s">
        <v>130</v>
      </c>
      <c r="CC605" s="0" t="s">
        <v>130</v>
      </c>
      <c r="CD605" s="0" t="s">
        <v>130</v>
      </c>
      <c r="CE605" s="0" t="s">
        <v>130</v>
      </c>
      <c r="CF605" s="0" t="s">
        <v>130</v>
      </c>
      <c r="CG605" s="0" t="s">
        <v>130</v>
      </c>
      <c r="CH605" s="0" t="s">
        <v>130</v>
      </c>
      <c r="CI605" s="0" t="s">
        <v>130</v>
      </c>
      <c r="CJ605" s="0" t="s">
        <v>130</v>
      </c>
      <c r="CK605" s="0" t="s">
        <v>130</v>
      </c>
      <c r="CL605" s="0" t="s">
        <v>130</v>
      </c>
      <c r="CM605" s="0" t="s">
        <v>130</v>
      </c>
      <c r="CN605" s="0" t="s">
        <v>130</v>
      </c>
      <c r="CO605" s="0" t="s">
        <v>130</v>
      </c>
      <c r="CP605" s="0" t="s">
        <v>130</v>
      </c>
      <c r="CQ605" s="0" t="s">
        <v>130</v>
      </c>
      <c r="CR605" s="0" t="s">
        <v>130</v>
      </c>
      <c r="CS605" s="0" t="s">
        <v>130</v>
      </c>
      <c r="CT605" s="0" t="s">
        <v>1987</v>
      </c>
    </row>
    <row r="606">
      <c r="A606" s="14">
        <v>114151</v>
      </c>
      <c r="B606" s="0" t="s">
        <v>1981</v>
      </c>
      <c r="C606" s="16">
        <f>HYPERLINK("https://eosportal.federatedhermes.com/companies/Q29tcGFueQppNzU2OTQ=", "Mitsubishi Corp")</f>
      </c>
      <c r="D606" s="0" t="s">
        <v>25</v>
      </c>
      <c r="E606" s="0" t="s">
        <v>295</v>
      </c>
      <c r="F606" s="16">
        <f>HYPERLINK("https://eosportal.federatedhermes.com/engagements/RW5nYWdlbWVudAppMjEwOTc=", "Board structure")</f>
      </c>
      <c r="G606" s="14" t="s">
        <v>1988</v>
      </c>
      <c r="H606" s="0" t="s">
        <v>141</v>
      </c>
      <c r="I606" s="14" t="s">
        <v>191</v>
      </c>
      <c r="J606" s="0" t="s">
        <v>145</v>
      </c>
      <c r="K606" s="0" t="s">
        <v>164</v>
      </c>
      <c r="L606" s="0" t="s">
        <v>165</v>
      </c>
      <c r="M606" s="0" t="s">
        <v>802</v>
      </c>
      <c r="N606" s="0" t="s">
        <v>952</v>
      </c>
      <c r="O606" s="0" t="s">
        <v>176</v>
      </c>
      <c r="Q606" s="0" t="s">
        <v>141</v>
      </c>
      <c r="R606" s="0" t="s">
        <v>138</v>
      </c>
      <c r="S606" s="14">
        <v>1</v>
      </c>
      <c r="T606" s="0" t="s">
        <v>483</v>
      </c>
      <c r="U606" s="0" t="s">
        <v>138</v>
      </c>
      <c r="V606" s="14" t="s">
        <v>138</v>
      </c>
      <c r="W606" s="0" t="s">
        <v>138</v>
      </c>
      <c r="X606" s="14" t="s">
        <v>138</v>
      </c>
      <c r="Y606" s="0" t="s">
        <v>138</v>
      </c>
      <c r="Z606" s="14" t="s">
        <v>138</v>
      </c>
      <c r="AA606" s="0" t="s">
        <v>138</v>
      </c>
      <c r="AB606" s="14" t="s">
        <v>138</v>
      </c>
      <c r="AD606" s="0" t="s">
        <v>138</v>
      </c>
      <c r="AF606" s="0">
        <v>0</v>
      </c>
      <c r="AG606" s="0">
        <v>0</v>
      </c>
      <c r="AH606" s="0" t="s">
        <v>140</v>
      </c>
      <c r="AI606" s="0" t="s">
        <v>138</v>
      </c>
      <c r="AK606" s="0" t="s">
        <v>1984</v>
      </c>
      <c r="AL606" s="14"/>
      <c r="AN606" s="14"/>
      <c r="AQ606" s="0" t="s">
        <v>130</v>
      </c>
      <c r="AR606" s="0" t="s">
        <v>130</v>
      </c>
      <c r="AS606" s="0" t="s">
        <v>130</v>
      </c>
      <c r="AT606" s="0" t="s">
        <v>130</v>
      </c>
      <c r="AU606" s="0" t="s">
        <v>130</v>
      </c>
      <c r="AV606" s="0" t="s">
        <v>130</v>
      </c>
      <c r="AW606" s="0" t="s">
        <v>130</v>
      </c>
      <c r="AX606" s="0" t="s">
        <v>130</v>
      </c>
      <c r="AY606" s="0" t="s">
        <v>130</v>
      </c>
      <c r="AZ606" s="0" t="s">
        <v>130</v>
      </c>
      <c r="BA606" s="0" t="s">
        <v>130</v>
      </c>
      <c r="BB606" s="0" t="s">
        <v>130</v>
      </c>
      <c r="BC606" s="0" t="s">
        <v>130</v>
      </c>
      <c r="BD606" s="0" t="s">
        <v>130</v>
      </c>
      <c r="BE606" s="0" t="s">
        <v>130</v>
      </c>
      <c r="BF606" s="0" t="s">
        <v>130</v>
      </c>
      <c r="BG606" s="0" t="s">
        <v>130</v>
      </c>
      <c r="BH606" s="0" t="s">
        <v>130</v>
      </c>
      <c r="BI606" s="0" t="s">
        <v>130</v>
      </c>
      <c r="BJ606" s="0" t="s">
        <v>130</v>
      </c>
      <c r="BK606" s="0" t="s">
        <v>130</v>
      </c>
      <c r="BL606" s="0" t="s">
        <v>130</v>
      </c>
      <c r="BM606" s="0" t="s">
        <v>130</v>
      </c>
      <c r="BN606" s="0" t="s">
        <v>130</v>
      </c>
      <c r="BO606" s="0" t="s">
        <v>130</v>
      </c>
      <c r="BP606" s="0" t="s">
        <v>130</v>
      </c>
      <c r="BQ606" s="0" t="s">
        <v>130</v>
      </c>
      <c r="BR606" s="0" t="s">
        <v>130</v>
      </c>
      <c r="BS606" s="0" t="s">
        <v>130</v>
      </c>
      <c r="BT606" s="0" t="s">
        <v>130</v>
      </c>
      <c r="BU606" s="0" t="s">
        <v>130</v>
      </c>
      <c r="BV606" s="0" t="s">
        <v>130</v>
      </c>
      <c r="BW606" s="0" t="s">
        <v>130</v>
      </c>
      <c r="BX606" s="0" t="s">
        <v>130</v>
      </c>
      <c r="BY606" s="0" t="s">
        <v>130</v>
      </c>
      <c r="BZ606" s="0" t="s">
        <v>130</v>
      </c>
      <c r="CA606" s="0" t="s">
        <v>130</v>
      </c>
      <c r="CB606" s="0" t="s">
        <v>130</v>
      </c>
      <c r="CC606" s="0" t="s">
        <v>130</v>
      </c>
      <c r="CD606" s="0" t="s">
        <v>130</v>
      </c>
      <c r="CE606" s="0" t="s">
        <v>130</v>
      </c>
      <c r="CF606" s="0" t="s">
        <v>130</v>
      </c>
      <c r="CG606" s="0" t="s">
        <v>130</v>
      </c>
      <c r="CH606" s="0" t="s">
        <v>130</v>
      </c>
      <c r="CI606" s="0" t="s">
        <v>130</v>
      </c>
      <c r="CJ606" s="0" t="s">
        <v>130</v>
      </c>
      <c r="CK606" s="0" t="s">
        <v>130</v>
      </c>
      <c r="CL606" s="0" t="s">
        <v>130</v>
      </c>
      <c r="CM606" s="0" t="s">
        <v>130</v>
      </c>
      <c r="CN606" s="0" t="s">
        <v>130</v>
      </c>
      <c r="CO606" s="0" t="s">
        <v>130</v>
      </c>
      <c r="CP606" s="0" t="s">
        <v>130</v>
      </c>
      <c r="CQ606" s="0" t="s">
        <v>130</v>
      </c>
      <c r="CR606" s="0" t="s">
        <v>130</v>
      </c>
      <c r="CS606" s="0" t="s">
        <v>130</v>
      </c>
      <c r="CT606" s="0" t="s">
        <v>1989</v>
      </c>
    </row>
    <row r="607">
      <c r="A607" s="14">
        <v>114151</v>
      </c>
      <c r="B607" s="0" t="s">
        <v>1981</v>
      </c>
      <c r="C607" s="16">
        <f>HYPERLINK("https://eosportal.federatedhermes.com/companies/Q29tcGFueQppNzU2OTQ=", "Mitsubishi Corp")</f>
      </c>
      <c r="D607" s="0" t="s">
        <v>23</v>
      </c>
      <c r="E607" s="0" t="s">
        <v>1990</v>
      </c>
      <c r="F607" s="16">
        <f>HYPERLINK("https://eosportal.federatedhermes.com/engagements/RW5nYWdlbWVudAppMjExMDI=", "Appointment of female executive officers")</f>
      </c>
      <c r="G607" s="14" t="s">
        <v>1991</v>
      </c>
      <c r="H607" s="0" t="s">
        <v>141</v>
      </c>
      <c r="I607" s="14" t="s">
        <v>191</v>
      </c>
      <c r="J607" s="0" t="s">
        <v>153</v>
      </c>
      <c r="K607" s="0" t="s">
        <v>154</v>
      </c>
      <c r="L607" s="0" t="s">
        <v>268</v>
      </c>
      <c r="M607" s="0" t="s">
        <v>802</v>
      </c>
      <c r="N607" s="0" t="s">
        <v>952</v>
      </c>
      <c r="O607" s="0" t="s">
        <v>176</v>
      </c>
      <c r="Q607" s="0" t="s">
        <v>141</v>
      </c>
      <c r="R607" s="0" t="s">
        <v>130</v>
      </c>
      <c r="S607" s="14">
        <v>1</v>
      </c>
      <c r="T607" s="0" t="s">
        <v>139</v>
      </c>
      <c r="U607" s="0" t="s">
        <v>221</v>
      </c>
      <c r="V607" s="14" t="s">
        <v>139</v>
      </c>
      <c r="W607" s="0" t="s">
        <v>221</v>
      </c>
      <c r="X607" s="14" t="s">
        <v>139</v>
      </c>
      <c r="Y607" s="0" t="s">
        <v>221</v>
      </c>
      <c r="Z607" s="14" t="s">
        <v>355</v>
      </c>
      <c r="AA607" s="0" t="s">
        <v>223</v>
      </c>
      <c r="AB607" s="14" t="s">
        <v>138</v>
      </c>
      <c r="AD607" s="0" t="s">
        <v>20</v>
      </c>
      <c r="AF607" s="0">
        <v>0</v>
      </c>
      <c r="AG607" s="0">
        <v>0</v>
      </c>
      <c r="AH607" s="0" t="s">
        <v>140</v>
      </c>
      <c r="AI607" s="0" t="s">
        <v>479</v>
      </c>
      <c r="AK607" s="0" t="s">
        <v>1984</v>
      </c>
      <c r="AL607" s="14"/>
      <c r="AN607" s="14"/>
      <c r="AQ607" s="0" t="s">
        <v>130</v>
      </c>
      <c r="AR607" s="0" t="s">
        <v>130</v>
      </c>
      <c r="AS607" s="0" t="s">
        <v>130</v>
      </c>
      <c r="AT607" s="0" t="s">
        <v>130</v>
      </c>
      <c r="AU607" s="0" t="s">
        <v>141</v>
      </c>
      <c r="AV607" s="0" t="s">
        <v>130</v>
      </c>
      <c r="AW607" s="0" t="s">
        <v>130</v>
      </c>
      <c r="AX607" s="0" t="s">
        <v>130</v>
      </c>
      <c r="AY607" s="0" t="s">
        <v>130</v>
      </c>
      <c r="AZ607" s="0" t="s">
        <v>130</v>
      </c>
      <c r="BA607" s="0" t="s">
        <v>130</v>
      </c>
      <c r="BB607" s="0" t="s">
        <v>130</v>
      </c>
      <c r="BC607" s="0" t="s">
        <v>130</v>
      </c>
      <c r="BD607" s="0" t="s">
        <v>130</v>
      </c>
      <c r="BE607" s="0" t="s">
        <v>130</v>
      </c>
      <c r="BF607" s="0" t="s">
        <v>130</v>
      </c>
      <c r="BG607" s="0" t="s">
        <v>130</v>
      </c>
      <c r="BH607" s="0" t="s">
        <v>130</v>
      </c>
      <c r="BI607" s="0" t="s">
        <v>130</v>
      </c>
      <c r="BJ607" s="0" t="s">
        <v>130</v>
      </c>
      <c r="BK607" s="0" t="s">
        <v>130</v>
      </c>
      <c r="BL607" s="0" t="s">
        <v>130</v>
      </c>
      <c r="BM607" s="0" t="s">
        <v>130</v>
      </c>
      <c r="BN607" s="0" t="s">
        <v>130</v>
      </c>
      <c r="BO607" s="0" t="s">
        <v>130</v>
      </c>
      <c r="BP607" s="0" t="s">
        <v>130</v>
      </c>
      <c r="BQ607" s="0" t="s">
        <v>130</v>
      </c>
      <c r="BR607" s="0" t="s">
        <v>130</v>
      </c>
      <c r="BS607" s="0" t="s">
        <v>130</v>
      </c>
      <c r="BT607" s="0" t="s">
        <v>130</v>
      </c>
      <c r="BU607" s="0" t="s">
        <v>130</v>
      </c>
      <c r="BV607" s="0" t="s">
        <v>130</v>
      </c>
      <c r="BW607" s="0" t="s">
        <v>130</v>
      </c>
      <c r="BX607" s="0" t="s">
        <v>130</v>
      </c>
      <c r="BY607" s="0" t="s">
        <v>130</v>
      </c>
      <c r="BZ607" s="0" t="s">
        <v>130</v>
      </c>
      <c r="CA607" s="0" t="s">
        <v>130</v>
      </c>
      <c r="CB607" s="0" t="s">
        <v>130</v>
      </c>
      <c r="CC607" s="0" t="s">
        <v>130</v>
      </c>
      <c r="CD607" s="0" t="s">
        <v>130</v>
      </c>
      <c r="CE607" s="0" t="s">
        <v>130</v>
      </c>
      <c r="CF607" s="0" t="s">
        <v>130</v>
      </c>
      <c r="CG607" s="0" t="s">
        <v>130</v>
      </c>
      <c r="CH607" s="0" t="s">
        <v>130</v>
      </c>
      <c r="CI607" s="0" t="s">
        <v>130</v>
      </c>
      <c r="CJ607" s="0" t="s">
        <v>130</v>
      </c>
      <c r="CK607" s="0" t="s">
        <v>141</v>
      </c>
      <c r="CL607" s="0" t="s">
        <v>130</v>
      </c>
      <c r="CM607" s="0" t="s">
        <v>130</v>
      </c>
      <c r="CN607" s="0" t="s">
        <v>130</v>
      </c>
      <c r="CO607" s="0" t="s">
        <v>130</v>
      </c>
      <c r="CP607" s="0" t="s">
        <v>130</v>
      </c>
      <c r="CQ607" s="0" t="s">
        <v>130</v>
      </c>
      <c r="CR607" s="0" t="s">
        <v>130</v>
      </c>
      <c r="CS607" s="0" t="s">
        <v>130</v>
      </c>
      <c r="CT607" s="0" t="s">
        <v>1992</v>
      </c>
    </row>
    <row r="608">
      <c r="A608" s="14">
        <v>114151</v>
      </c>
      <c r="B608" s="0" t="s">
        <v>1981</v>
      </c>
      <c r="C608" s="16">
        <f>HYPERLINK("https://eosportal.federatedhermes.com/companies/Q29tcGFueQppNzU2OTQ=", "Mitsubishi Corp")</f>
      </c>
      <c r="D608" s="0" t="s">
        <v>25</v>
      </c>
      <c r="E608" s="0" t="s">
        <v>954</v>
      </c>
      <c r="F608" s="16">
        <f>HYPERLINK("https://eosportal.federatedhermes.com/engagements/RW5nYWdlbWVudAppMjExMDM=", "Allegiant shareholding")</f>
      </c>
      <c r="G608" s="14" t="s">
        <v>1993</v>
      </c>
      <c r="H608" s="0" t="s">
        <v>141</v>
      </c>
      <c r="I608" s="14" t="s">
        <v>191</v>
      </c>
      <c r="J608" s="0" t="s">
        <v>145</v>
      </c>
      <c r="K608" s="0" t="s">
        <v>400</v>
      </c>
      <c r="L608" s="0" t="s">
        <v>507</v>
      </c>
      <c r="M608" s="0" t="s">
        <v>802</v>
      </c>
      <c r="N608" s="0" t="s">
        <v>952</v>
      </c>
      <c r="O608" s="0" t="s">
        <v>176</v>
      </c>
      <c r="Q608" s="0" t="s">
        <v>141</v>
      </c>
      <c r="R608" s="0" t="s">
        <v>138</v>
      </c>
      <c r="S608" s="14">
        <v>1</v>
      </c>
      <c r="T608" s="0" t="s">
        <v>591</v>
      </c>
      <c r="U608" s="0" t="s">
        <v>138</v>
      </c>
      <c r="V608" s="14" t="s">
        <v>138</v>
      </c>
      <c r="W608" s="0" t="s">
        <v>138</v>
      </c>
      <c r="X608" s="14" t="s">
        <v>138</v>
      </c>
      <c r="Y608" s="0" t="s">
        <v>138</v>
      </c>
      <c r="Z608" s="14" t="s">
        <v>138</v>
      </c>
      <c r="AA608" s="0" t="s">
        <v>138</v>
      </c>
      <c r="AB608" s="14" t="s">
        <v>138</v>
      </c>
      <c r="AD608" s="0" t="s">
        <v>138</v>
      </c>
      <c r="AF608" s="0">
        <v>0</v>
      </c>
      <c r="AG608" s="0">
        <v>0</v>
      </c>
      <c r="AH608" s="0" t="s">
        <v>140</v>
      </c>
      <c r="AI608" s="0" t="s">
        <v>138</v>
      </c>
      <c r="AK608" s="0" t="s">
        <v>1984</v>
      </c>
      <c r="AL608" s="14"/>
      <c r="AN608" s="14"/>
      <c r="AQ608" s="0" t="s">
        <v>130</v>
      </c>
      <c r="AR608" s="0" t="s">
        <v>130</v>
      </c>
      <c r="AS608" s="0" t="s">
        <v>130</v>
      </c>
      <c r="AT608" s="0" t="s">
        <v>130</v>
      </c>
      <c r="AU608" s="0" t="s">
        <v>130</v>
      </c>
      <c r="AV608" s="0" t="s">
        <v>130</v>
      </c>
      <c r="AW608" s="0" t="s">
        <v>130</v>
      </c>
      <c r="AX608" s="0" t="s">
        <v>130</v>
      </c>
      <c r="AY608" s="0" t="s">
        <v>130</v>
      </c>
      <c r="AZ608" s="0" t="s">
        <v>130</v>
      </c>
      <c r="BA608" s="0" t="s">
        <v>130</v>
      </c>
      <c r="BB608" s="0" t="s">
        <v>130</v>
      </c>
      <c r="BC608" s="0" t="s">
        <v>130</v>
      </c>
      <c r="BD608" s="0" t="s">
        <v>130</v>
      </c>
      <c r="BE608" s="0" t="s">
        <v>130</v>
      </c>
      <c r="BF608" s="0" t="s">
        <v>130</v>
      </c>
      <c r="BG608" s="0" t="s">
        <v>130</v>
      </c>
      <c r="BH608" s="0" t="s">
        <v>130</v>
      </c>
      <c r="BI608" s="0" t="s">
        <v>130</v>
      </c>
      <c r="BJ608" s="0" t="s">
        <v>130</v>
      </c>
      <c r="BK608" s="0" t="s">
        <v>130</v>
      </c>
      <c r="BL608" s="0" t="s">
        <v>130</v>
      </c>
      <c r="BM608" s="0" t="s">
        <v>130</v>
      </c>
      <c r="BN608" s="0" t="s">
        <v>130</v>
      </c>
      <c r="BO608" s="0" t="s">
        <v>130</v>
      </c>
      <c r="BP608" s="0" t="s">
        <v>130</v>
      </c>
      <c r="BQ608" s="0" t="s">
        <v>130</v>
      </c>
      <c r="BR608" s="0" t="s">
        <v>130</v>
      </c>
      <c r="BS608" s="0" t="s">
        <v>130</v>
      </c>
      <c r="BT608" s="0" t="s">
        <v>130</v>
      </c>
      <c r="BU608" s="0" t="s">
        <v>130</v>
      </c>
      <c r="BV608" s="0" t="s">
        <v>130</v>
      </c>
      <c r="BW608" s="0" t="s">
        <v>130</v>
      </c>
      <c r="BX608" s="0" t="s">
        <v>130</v>
      </c>
      <c r="BY608" s="0" t="s">
        <v>130</v>
      </c>
      <c r="BZ608" s="0" t="s">
        <v>130</v>
      </c>
      <c r="CA608" s="0" t="s">
        <v>130</v>
      </c>
      <c r="CB608" s="0" t="s">
        <v>130</v>
      </c>
      <c r="CC608" s="0" t="s">
        <v>130</v>
      </c>
      <c r="CD608" s="0" t="s">
        <v>130</v>
      </c>
      <c r="CE608" s="0" t="s">
        <v>130</v>
      </c>
      <c r="CF608" s="0" t="s">
        <v>130</v>
      </c>
      <c r="CG608" s="0" t="s">
        <v>130</v>
      </c>
      <c r="CH608" s="0" t="s">
        <v>130</v>
      </c>
      <c r="CI608" s="0" t="s">
        <v>130</v>
      </c>
      <c r="CJ608" s="0" t="s">
        <v>130</v>
      </c>
      <c r="CK608" s="0" t="s">
        <v>130</v>
      </c>
      <c r="CL608" s="0" t="s">
        <v>130</v>
      </c>
      <c r="CM608" s="0" t="s">
        <v>130</v>
      </c>
      <c r="CN608" s="0" t="s">
        <v>130</v>
      </c>
      <c r="CO608" s="0" t="s">
        <v>130</v>
      </c>
      <c r="CP608" s="0" t="s">
        <v>130</v>
      </c>
      <c r="CQ608" s="0" t="s">
        <v>130</v>
      </c>
      <c r="CR608" s="0" t="s">
        <v>130</v>
      </c>
      <c r="CS608" s="0" t="s">
        <v>130</v>
      </c>
      <c r="CT608" s="0" t="s">
        <v>1994</v>
      </c>
    </row>
    <row r="609">
      <c r="A609" s="14">
        <v>114151</v>
      </c>
      <c r="B609" s="0" t="s">
        <v>1981</v>
      </c>
      <c r="C609" s="16">
        <f>HYPERLINK("https://eosportal.federatedhermes.com/companies/Q29tcGFueQppNzU2OTQ=", "Mitsubishi Corp")</f>
      </c>
      <c r="D609" s="0" t="s">
        <v>25</v>
      </c>
      <c r="E609" s="0" t="s">
        <v>1995</v>
      </c>
      <c r="F609" s="16">
        <f>HYPERLINK("https://eosportal.federatedhermes.com/engagements/RW5nYWdlbWVudAppMjExMDQ=", "Overfishing")</f>
      </c>
      <c r="G609" s="14" t="s">
        <v>1996</v>
      </c>
      <c r="H609" s="0" t="s">
        <v>141</v>
      </c>
      <c r="I609" s="14" t="s">
        <v>191</v>
      </c>
      <c r="J609" s="0" t="s">
        <v>197</v>
      </c>
      <c r="K609" s="0" t="s">
        <v>337</v>
      </c>
      <c r="L609" s="0" t="s">
        <v>338</v>
      </c>
      <c r="M609" s="0" t="s">
        <v>802</v>
      </c>
      <c r="N609" s="0" t="s">
        <v>952</v>
      </c>
      <c r="O609" s="0" t="s">
        <v>176</v>
      </c>
      <c r="Q609" s="0" t="s">
        <v>130</v>
      </c>
      <c r="R609" s="0" t="s">
        <v>138</v>
      </c>
      <c r="S609" s="14">
        <v>0</v>
      </c>
      <c r="T609" s="0" t="s">
        <v>1529</v>
      </c>
      <c r="U609" s="0" t="s">
        <v>138</v>
      </c>
      <c r="V609" s="14" t="s">
        <v>138</v>
      </c>
      <c r="W609" s="0" t="s">
        <v>138</v>
      </c>
      <c r="X609" s="14" t="s">
        <v>138</v>
      </c>
      <c r="Y609" s="0" t="s">
        <v>138</v>
      </c>
      <c r="Z609" s="14" t="s">
        <v>138</v>
      </c>
      <c r="AA609" s="0" t="s">
        <v>138</v>
      </c>
      <c r="AB609" s="14" t="s">
        <v>138</v>
      </c>
      <c r="AD609" s="0" t="s">
        <v>138</v>
      </c>
      <c r="AF609" s="0">
        <v>0</v>
      </c>
      <c r="AG609" s="0">
        <v>0</v>
      </c>
      <c r="AH609" s="0" t="s">
        <v>140</v>
      </c>
      <c r="AI609" s="0" t="s">
        <v>138</v>
      </c>
      <c r="AL609" s="14"/>
      <c r="AN609" s="14"/>
      <c r="AQ609" s="0" t="s">
        <v>130</v>
      </c>
      <c r="AR609" s="0" t="s">
        <v>141</v>
      </c>
      <c r="AS609" s="0" t="s">
        <v>130</v>
      </c>
      <c r="AT609" s="0" t="s">
        <v>130</v>
      </c>
      <c r="AU609" s="0" t="s">
        <v>130</v>
      </c>
      <c r="AV609" s="0" t="s">
        <v>141</v>
      </c>
      <c r="AW609" s="0" t="s">
        <v>130</v>
      </c>
      <c r="AX609" s="0" t="s">
        <v>130</v>
      </c>
      <c r="AY609" s="0" t="s">
        <v>130</v>
      </c>
      <c r="AZ609" s="0" t="s">
        <v>130</v>
      </c>
      <c r="BA609" s="0" t="s">
        <v>130</v>
      </c>
      <c r="BB609" s="0" t="s">
        <v>130</v>
      </c>
      <c r="BC609" s="0" t="s">
        <v>130</v>
      </c>
      <c r="BD609" s="0" t="s">
        <v>130</v>
      </c>
      <c r="BE609" s="0" t="s">
        <v>130</v>
      </c>
      <c r="BF609" s="0" t="s">
        <v>130</v>
      </c>
      <c r="BG609" s="0" t="s">
        <v>130</v>
      </c>
      <c r="BH609" s="0" t="s">
        <v>130</v>
      </c>
      <c r="BI609" s="0" t="s">
        <v>130</v>
      </c>
      <c r="BJ609" s="0" t="s">
        <v>130</v>
      </c>
      <c r="BK609" s="0" t="s">
        <v>130</v>
      </c>
      <c r="BL609" s="0" t="s">
        <v>130</v>
      </c>
      <c r="BM609" s="0" t="s">
        <v>130</v>
      </c>
      <c r="BN609" s="0" t="s">
        <v>130</v>
      </c>
      <c r="BO609" s="0" t="s">
        <v>130</v>
      </c>
      <c r="BP609" s="0" t="s">
        <v>130</v>
      </c>
      <c r="BQ609" s="0" t="s">
        <v>130</v>
      </c>
      <c r="BR609" s="0" t="s">
        <v>130</v>
      </c>
      <c r="BS609" s="0" t="s">
        <v>130</v>
      </c>
      <c r="BT609" s="0" t="s">
        <v>130</v>
      </c>
      <c r="BU609" s="0" t="s">
        <v>130</v>
      </c>
      <c r="BV609" s="0" t="s">
        <v>130</v>
      </c>
      <c r="BW609" s="0" t="s">
        <v>130</v>
      </c>
      <c r="BX609" s="0" t="s">
        <v>141</v>
      </c>
      <c r="BY609" s="0" t="s">
        <v>130</v>
      </c>
      <c r="BZ609" s="0" t="s">
        <v>130</v>
      </c>
      <c r="CA609" s="0" t="s">
        <v>130</v>
      </c>
      <c r="CB609" s="0" t="s">
        <v>130</v>
      </c>
      <c r="CC609" s="0" t="s">
        <v>130</v>
      </c>
      <c r="CD609" s="0" t="s">
        <v>130</v>
      </c>
      <c r="CE609" s="0" t="s">
        <v>130</v>
      </c>
      <c r="CF609" s="0" t="s">
        <v>130</v>
      </c>
      <c r="CG609" s="0" t="s">
        <v>130</v>
      </c>
      <c r="CH609" s="0" t="s">
        <v>130</v>
      </c>
      <c r="CI609" s="0" t="s">
        <v>130</v>
      </c>
      <c r="CJ609" s="0" t="s">
        <v>130</v>
      </c>
      <c r="CK609" s="0" t="s">
        <v>130</v>
      </c>
      <c r="CL609" s="0" t="s">
        <v>130</v>
      </c>
      <c r="CM609" s="0" t="s">
        <v>130</v>
      </c>
      <c r="CN609" s="0" t="s">
        <v>130</v>
      </c>
      <c r="CO609" s="0" t="s">
        <v>130</v>
      </c>
      <c r="CP609" s="0" t="s">
        <v>130</v>
      </c>
      <c r="CQ609" s="0" t="s">
        <v>130</v>
      </c>
      <c r="CR609" s="0" t="s">
        <v>130</v>
      </c>
      <c r="CS609" s="0" t="s">
        <v>130</v>
      </c>
      <c r="CT609" s="0" t="s">
        <v>1997</v>
      </c>
    </row>
    <row r="610">
      <c r="A610" s="14">
        <v>114151</v>
      </c>
      <c r="B610" s="0" t="s">
        <v>1981</v>
      </c>
      <c r="C610" s="16">
        <f>HYPERLINK("https://eosportal.federatedhermes.com/companies/Q29tcGFueQppNzU2OTQ=", "Mitsubishi Corp")</f>
      </c>
      <c r="D610" s="0" t="s">
        <v>25</v>
      </c>
      <c r="E610" s="0" t="s">
        <v>341</v>
      </c>
      <c r="F610" s="16">
        <f>HYPERLINK("https://eosportal.federatedhermes.com/engagements/RW5nYWdlbWVudAppMjExMDU=", "Remuneration")</f>
      </c>
      <c r="G610" s="14" t="s">
        <v>1998</v>
      </c>
      <c r="H610" s="0" t="s">
        <v>141</v>
      </c>
      <c r="I610" s="14" t="s">
        <v>191</v>
      </c>
      <c r="J610" s="0" t="s">
        <v>145</v>
      </c>
      <c r="K610" s="0" t="s">
        <v>146</v>
      </c>
      <c r="L610" s="0" t="s">
        <v>147</v>
      </c>
      <c r="M610" s="0" t="s">
        <v>802</v>
      </c>
      <c r="N610" s="0" t="s">
        <v>952</v>
      </c>
      <c r="O610" s="0" t="s">
        <v>176</v>
      </c>
      <c r="Q610" s="0" t="s">
        <v>130</v>
      </c>
      <c r="R610" s="0" t="s">
        <v>138</v>
      </c>
      <c r="S610" s="14">
        <v>0</v>
      </c>
      <c r="T610" s="0" t="s">
        <v>278</v>
      </c>
      <c r="U610" s="0" t="s">
        <v>138</v>
      </c>
      <c r="V610" s="14" t="s">
        <v>138</v>
      </c>
      <c r="W610" s="0" t="s">
        <v>138</v>
      </c>
      <c r="X610" s="14" t="s">
        <v>138</v>
      </c>
      <c r="Y610" s="0" t="s">
        <v>138</v>
      </c>
      <c r="Z610" s="14" t="s">
        <v>138</v>
      </c>
      <c r="AA610" s="0" t="s">
        <v>138</v>
      </c>
      <c r="AB610" s="14" t="s">
        <v>138</v>
      </c>
      <c r="AD610" s="0" t="s">
        <v>138</v>
      </c>
      <c r="AF610" s="0">
        <v>0</v>
      </c>
      <c r="AG610" s="0">
        <v>0</v>
      </c>
      <c r="AH610" s="0" t="s">
        <v>140</v>
      </c>
      <c r="AI610" s="0" t="s">
        <v>138</v>
      </c>
      <c r="AL610" s="14"/>
      <c r="AN610" s="14"/>
      <c r="AQ610" s="0" t="s">
        <v>130</v>
      </c>
      <c r="AR610" s="0" t="s">
        <v>130</v>
      </c>
      <c r="AS610" s="0" t="s">
        <v>130</v>
      </c>
      <c r="AT610" s="0" t="s">
        <v>130</v>
      </c>
      <c r="AU610" s="0" t="s">
        <v>130</v>
      </c>
      <c r="AV610" s="0" t="s">
        <v>130</v>
      </c>
      <c r="AW610" s="0" t="s">
        <v>130</v>
      </c>
      <c r="AX610" s="0" t="s">
        <v>130</v>
      </c>
      <c r="AY610" s="0" t="s">
        <v>130</v>
      </c>
      <c r="AZ610" s="0" t="s">
        <v>130</v>
      </c>
      <c r="BA610" s="0" t="s">
        <v>130</v>
      </c>
      <c r="BB610" s="0" t="s">
        <v>130</v>
      </c>
      <c r="BC610" s="0" t="s">
        <v>130</v>
      </c>
      <c r="BD610" s="0" t="s">
        <v>130</v>
      </c>
      <c r="BE610" s="0" t="s">
        <v>130</v>
      </c>
      <c r="BF610" s="0" t="s">
        <v>130</v>
      </c>
      <c r="BG610" s="0" t="s">
        <v>130</v>
      </c>
      <c r="BH610" s="0" t="s">
        <v>130</v>
      </c>
      <c r="BI610" s="0" t="s">
        <v>130</v>
      </c>
      <c r="BJ610" s="0" t="s">
        <v>130</v>
      </c>
      <c r="BK610" s="0" t="s">
        <v>130</v>
      </c>
      <c r="BL610" s="0" t="s">
        <v>130</v>
      </c>
      <c r="BM610" s="0" t="s">
        <v>130</v>
      </c>
      <c r="BN610" s="0" t="s">
        <v>130</v>
      </c>
      <c r="BO610" s="0" t="s">
        <v>130</v>
      </c>
      <c r="BP610" s="0" t="s">
        <v>130</v>
      </c>
      <c r="BQ610" s="0" t="s">
        <v>130</v>
      </c>
      <c r="BR610" s="0" t="s">
        <v>130</v>
      </c>
      <c r="BS610" s="0" t="s">
        <v>130</v>
      </c>
      <c r="BT610" s="0" t="s">
        <v>130</v>
      </c>
      <c r="BU610" s="0" t="s">
        <v>130</v>
      </c>
      <c r="BV610" s="0" t="s">
        <v>130</v>
      </c>
      <c r="BW610" s="0" t="s">
        <v>130</v>
      </c>
      <c r="BX610" s="0" t="s">
        <v>130</v>
      </c>
      <c r="BY610" s="0" t="s">
        <v>130</v>
      </c>
      <c r="BZ610" s="0" t="s">
        <v>130</v>
      </c>
      <c r="CA610" s="0" t="s">
        <v>130</v>
      </c>
      <c r="CB610" s="0" t="s">
        <v>130</v>
      </c>
      <c r="CC610" s="0" t="s">
        <v>130</v>
      </c>
      <c r="CD610" s="0" t="s">
        <v>130</v>
      </c>
      <c r="CE610" s="0" t="s">
        <v>130</v>
      </c>
      <c r="CF610" s="0" t="s">
        <v>130</v>
      </c>
      <c r="CG610" s="0" t="s">
        <v>130</v>
      </c>
      <c r="CH610" s="0" t="s">
        <v>130</v>
      </c>
      <c r="CI610" s="0" t="s">
        <v>130</v>
      </c>
      <c r="CJ610" s="0" t="s">
        <v>130</v>
      </c>
      <c r="CK610" s="0" t="s">
        <v>130</v>
      </c>
      <c r="CL610" s="0" t="s">
        <v>130</v>
      </c>
      <c r="CM610" s="0" t="s">
        <v>130</v>
      </c>
      <c r="CN610" s="0" t="s">
        <v>130</v>
      </c>
      <c r="CO610" s="0" t="s">
        <v>130</v>
      </c>
      <c r="CP610" s="0" t="s">
        <v>130</v>
      </c>
      <c r="CQ610" s="0" t="s">
        <v>130</v>
      </c>
      <c r="CR610" s="0" t="s">
        <v>130</v>
      </c>
      <c r="CS610" s="0" t="s">
        <v>130</v>
      </c>
      <c r="CT610" s="0" t="s">
        <v>1999</v>
      </c>
    </row>
    <row r="611">
      <c r="A611" s="14">
        <v>114151</v>
      </c>
      <c r="B611" s="0" t="s">
        <v>1981</v>
      </c>
      <c r="C611" s="16">
        <f>HYPERLINK("https://eosportal.federatedhermes.com/companies/Q29tcGFueQppNzU2OTQ=", "Mitsubishi Corp")</f>
      </c>
      <c r="D611" s="0" t="s">
        <v>25</v>
      </c>
      <c r="E611" s="0" t="s">
        <v>2000</v>
      </c>
      <c r="F611" s="16">
        <f>HYPERLINK("https://eosportal.federatedhermes.com/engagements/RW5nYWdlbWVudAppMjExMDY=", "Use of antibiotics")</f>
      </c>
      <c r="G611" s="14" t="s">
        <v>2001</v>
      </c>
      <c r="H611" s="0" t="s">
        <v>141</v>
      </c>
      <c r="I611" s="14" t="s">
        <v>191</v>
      </c>
      <c r="J611" s="0" t="s">
        <v>153</v>
      </c>
      <c r="K611" s="0" t="s">
        <v>185</v>
      </c>
      <c r="L611" s="0" t="s">
        <v>186</v>
      </c>
      <c r="M611" s="0" t="s">
        <v>802</v>
      </c>
      <c r="N611" s="0" t="s">
        <v>952</v>
      </c>
      <c r="O611" s="0" t="s">
        <v>176</v>
      </c>
      <c r="Q611" s="0" t="s">
        <v>130</v>
      </c>
      <c r="R611" s="0" t="s">
        <v>138</v>
      </c>
      <c r="S611" s="14">
        <v>0</v>
      </c>
      <c r="T611" s="0" t="s">
        <v>288</v>
      </c>
      <c r="U611" s="0" t="s">
        <v>138</v>
      </c>
      <c r="V611" s="14" t="s">
        <v>138</v>
      </c>
      <c r="W611" s="0" t="s">
        <v>138</v>
      </c>
      <c r="X611" s="14" t="s">
        <v>138</v>
      </c>
      <c r="Y611" s="0" t="s">
        <v>138</v>
      </c>
      <c r="Z611" s="14" t="s">
        <v>138</v>
      </c>
      <c r="AA611" s="0" t="s">
        <v>138</v>
      </c>
      <c r="AB611" s="14" t="s">
        <v>138</v>
      </c>
      <c r="AD611" s="0" t="s">
        <v>138</v>
      </c>
      <c r="AF611" s="0">
        <v>0</v>
      </c>
      <c r="AG611" s="0">
        <v>0</v>
      </c>
      <c r="AH611" s="0" t="s">
        <v>140</v>
      </c>
      <c r="AI611" s="0" t="s">
        <v>138</v>
      </c>
      <c r="AL611" s="14"/>
      <c r="AN611" s="14"/>
      <c r="AQ611" s="0" t="s">
        <v>130</v>
      </c>
      <c r="AR611" s="0" t="s">
        <v>130</v>
      </c>
      <c r="AS611" s="0" t="s">
        <v>141</v>
      </c>
      <c r="AT611" s="0" t="s">
        <v>130</v>
      </c>
      <c r="AU611" s="0" t="s">
        <v>130</v>
      </c>
      <c r="AV611" s="0" t="s">
        <v>130</v>
      </c>
      <c r="AW611" s="0" t="s">
        <v>130</v>
      </c>
      <c r="AX611" s="0" t="s">
        <v>130</v>
      </c>
      <c r="AY611" s="0" t="s">
        <v>130</v>
      </c>
      <c r="AZ611" s="0" t="s">
        <v>130</v>
      </c>
      <c r="BA611" s="0" t="s">
        <v>130</v>
      </c>
      <c r="BB611" s="0" t="s">
        <v>130</v>
      </c>
      <c r="BC611" s="0" t="s">
        <v>130</v>
      </c>
      <c r="BD611" s="0" t="s">
        <v>130</v>
      </c>
      <c r="BE611" s="0" t="s">
        <v>130</v>
      </c>
      <c r="BF611" s="0" t="s">
        <v>130</v>
      </c>
      <c r="BG611" s="0" t="s">
        <v>130</v>
      </c>
      <c r="BH611" s="0" t="s">
        <v>130</v>
      </c>
      <c r="BI611" s="0" t="s">
        <v>130</v>
      </c>
      <c r="BJ611" s="0" t="s">
        <v>130</v>
      </c>
      <c r="BK611" s="0" t="s">
        <v>130</v>
      </c>
      <c r="BL611" s="0" t="s">
        <v>130</v>
      </c>
      <c r="BM611" s="0" t="s">
        <v>130</v>
      </c>
      <c r="BN611" s="0" t="s">
        <v>130</v>
      </c>
      <c r="BO611" s="0" t="s">
        <v>130</v>
      </c>
      <c r="BP611" s="0" t="s">
        <v>130</v>
      </c>
      <c r="BQ611" s="0" t="s">
        <v>130</v>
      </c>
      <c r="BR611" s="0" t="s">
        <v>130</v>
      </c>
      <c r="BS611" s="0" t="s">
        <v>130</v>
      </c>
      <c r="BT611" s="0" t="s">
        <v>130</v>
      </c>
      <c r="BU611" s="0" t="s">
        <v>130</v>
      </c>
      <c r="BV611" s="0" t="s">
        <v>130</v>
      </c>
      <c r="BW611" s="0" t="s">
        <v>130</v>
      </c>
      <c r="BX611" s="0" t="s">
        <v>130</v>
      </c>
      <c r="BY611" s="0" t="s">
        <v>130</v>
      </c>
      <c r="BZ611" s="0" t="s">
        <v>130</v>
      </c>
      <c r="CA611" s="0" t="s">
        <v>130</v>
      </c>
      <c r="CB611" s="0" t="s">
        <v>130</v>
      </c>
      <c r="CC611" s="0" t="s">
        <v>130</v>
      </c>
      <c r="CD611" s="0" t="s">
        <v>130</v>
      </c>
      <c r="CE611" s="0" t="s">
        <v>130</v>
      </c>
      <c r="CF611" s="0" t="s">
        <v>130</v>
      </c>
      <c r="CG611" s="0" t="s">
        <v>130</v>
      </c>
      <c r="CH611" s="0" t="s">
        <v>130</v>
      </c>
      <c r="CI611" s="0" t="s">
        <v>130</v>
      </c>
      <c r="CJ611" s="0" t="s">
        <v>130</v>
      </c>
      <c r="CK611" s="0" t="s">
        <v>130</v>
      </c>
      <c r="CL611" s="0" t="s">
        <v>130</v>
      </c>
      <c r="CM611" s="0" t="s">
        <v>130</v>
      </c>
      <c r="CN611" s="0" t="s">
        <v>130</v>
      </c>
      <c r="CO611" s="0" t="s">
        <v>130</v>
      </c>
      <c r="CP611" s="0" t="s">
        <v>130</v>
      </c>
      <c r="CQ611" s="0" t="s">
        <v>130</v>
      </c>
      <c r="CR611" s="0" t="s">
        <v>130</v>
      </c>
      <c r="CS611" s="0" t="s">
        <v>130</v>
      </c>
      <c r="CT611" s="0" t="s">
        <v>2002</v>
      </c>
    </row>
    <row r="612">
      <c r="A612" s="14">
        <v>114151</v>
      </c>
      <c r="B612" s="0" t="s">
        <v>1981</v>
      </c>
      <c r="C612" s="16">
        <f>HYPERLINK("https://eosportal.federatedhermes.com/companies/Q29tcGFueQppNzU2OTQ=", "Mitsubishi Corp")</f>
      </c>
      <c r="D612" s="0" t="s">
        <v>25</v>
      </c>
      <c r="E612" s="0" t="s">
        <v>2003</v>
      </c>
      <c r="F612" s="16">
        <f>HYPERLINK("https://eosportal.federatedhermes.com/engagements/RW5nYWdlbWVudAppMjExMTA=", "Deforestation in cattle supply chain")</f>
      </c>
      <c r="G612" s="14" t="s">
        <v>2004</v>
      </c>
      <c r="H612" s="0" t="s">
        <v>141</v>
      </c>
      <c r="I612" s="14" t="s">
        <v>191</v>
      </c>
      <c r="J612" s="0" t="s">
        <v>197</v>
      </c>
      <c r="K612" s="0" t="s">
        <v>337</v>
      </c>
      <c r="L612" s="0" t="s">
        <v>576</v>
      </c>
      <c r="M612" s="0" t="s">
        <v>802</v>
      </c>
      <c r="N612" s="0" t="s">
        <v>952</v>
      </c>
      <c r="O612" s="0" t="s">
        <v>176</v>
      </c>
      <c r="Q612" s="0" t="s">
        <v>130</v>
      </c>
      <c r="R612" s="0" t="s">
        <v>138</v>
      </c>
      <c r="S612" s="14">
        <v>0</v>
      </c>
      <c r="T612" s="0" t="s">
        <v>333</v>
      </c>
      <c r="U612" s="0" t="s">
        <v>138</v>
      </c>
      <c r="V612" s="14" t="s">
        <v>138</v>
      </c>
      <c r="W612" s="0" t="s">
        <v>138</v>
      </c>
      <c r="X612" s="14" t="s">
        <v>138</v>
      </c>
      <c r="Y612" s="0" t="s">
        <v>138</v>
      </c>
      <c r="Z612" s="14" t="s">
        <v>138</v>
      </c>
      <c r="AA612" s="0" t="s">
        <v>138</v>
      </c>
      <c r="AB612" s="14" t="s">
        <v>138</v>
      </c>
      <c r="AD612" s="0" t="s">
        <v>138</v>
      </c>
      <c r="AF612" s="0">
        <v>0</v>
      </c>
      <c r="AG612" s="0">
        <v>0</v>
      </c>
      <c r="AH612" s="0" t="s">
        <v>140</v>
      </c>
      <c r="AI612" s="0" t="s">
        <v>138</v>
      </c>
      <c r="AL612" s="14"/>
      <c r="AN612" s="14"/>
      <c r="AQ612" s="0" t="s">
        <v>130</v>
      </c>
      <c r="AR612" s="0" t="s">
        <v>141</v>
      </c>
      <c r="AS612" s="0" t="s">
        <v>130</v>
      </c>
      <c r="AT612" s="0" t="s">
        <v>130</v>
      </c>
      <c r="AU612" s="0" t="s">
        <v>130</v>
      </c>
      <c r="AV612" s="0" t="s">
        <v>130</v>
      </c>
      <c r="AW612" s="0" t="s">
        <v>130</v>
      </c>
      <c r="AX612" s="0" t="s">
        <v>130</v>
      </c>
      <c r="AY612" s="0" t="s">
        <v>130</v>
      </c>
      <c r="AZ612" s="0" t="s">
        <v>130</v>
      </c>
      <c r="BA612" s="0" t="s">
        <v>130</v>
      </c>
      <c r="BB612" s="0" t="s">
        <v>141</v>
      </c>
      <c r="BC612" s="0" t="s">
        <v>130</v>
      </c>
      <c r="BD612" s="0" t="s">
        <v>130</v>
      </c>
      <c r="BE612" s="0" t="s">
        <v>141</v>
      </c>
      <c r="BF612" s="0" t="s">
        <v>130</v>
      </c>
      <c r="BG612" s="0" t="s">
        <v>130</v>
      </c>
      <c r="BH612" s="0" t="s">
        <v>130</v>
      </c>
      <c r="BI612" s="0" t="s">
        <v>130</v>
      </c>
      <c r="BJ612" s="0" t="s">
        <v>130</v>
      </c>
      <c r="BK612" s="0" t="s">
        <v>130</v>
      </c>
      <c r="BL612" s="0" t="s">
        <v>130</v>
      </c>
      <c r="BM612" s="0" t="s">
        <v>130</v>
      </c>
      <c r="BN612" s="0" t="s">
        <v>130</v>
      </c>
      <c r="BO612" s="0" t="s">
        <v>130</v>
      </c>
      <c r="BP612" s="0" t="s">
        <v>130</v>
      </c>
      <c r="BQ612" s="0" t="s">
        <v>130</v>
      </c>
      <c r="BR612" s="0" t="s">
        <v>130</v>
      </c>
      <c r="BS612" s="0" t="s">
        <v>130</v>
      </c>
      <c r="BT612" s="0" t="s">
        <v>130</v>
      </c>
      <c r="BU612" s="0" t="s">
        <v>130</v>
      </c>
      <c r="BV612" s="0" t="s">
        <v>130</v>
      </c>
      <c r="BW612" s="0" t="s">
        <v>130</v>
      </c>
      <c r="BX612" s="0" t="s">
        <v>130</v>
      </c>
      <c r="BY612" s="0" t="s">
        <v>130</v>
      </c>
      <c r="BZ612" s="0" t="s">
        <v>130</v>
      </c>
      <c r="CA612" s="0" t="s">
        <v>130</v>
      </c>
      <c r="CB612" s="0" t="s">
        <v>130</v>
      </c>
      <c r="CC612" s="0" t="s">
        <v>130</v>
      </c>
      <c r="CD612" s="0" t="s">
        <v>130</v>
      </c>
      <c r="CE612" s="0" t="s">
        <v>130</v>
      </c>
      <c r="CF612" s="0" t="s">
        <v>130</v>
      </c>
      <c r="CG612" s="0" t="s">
        <v>130</v>
      </c>
      <c r="CH612" s="0" t="s">
        <v>130</v>
      </c>
      <c r="CI612" s="0" t="s">
        <v>130</v>
      </c>
      <c r="CJ612" s="0" t="s">
        <v>130</v>
      </c>
      <c r="CK612" s="0" t="s">
        <v>130</v>
      </c>
      <c r="CL612" s="0" t="s">
        <v>130</v>
      </c>
      <c r="CM612" s="0" t="s">
        <v>130</v>
      </c>
      <c r="CN612" s="0" t="s">
        <v>130</v>
      </c>
      <c r="CO612" s="0" t="s">
        <v>130</v>
      </c>
      <c r="CP612" s="0" t="s">
        <v>130</v>
      </c>
      <c r="CQ612" s="0" t="s">
        <v>130</v>
      </c>
      <c r="CR612" s="0" t="s">
        <v>130</v>
      </c>
      <c r="CS612" s="0" t="s">
        <v>130</v>
      </c>
      <c r="CT612" s="0" t="s">
        <v>2005</v>
      </c>
    </row>
    <row r="613">
      <c r="A613" s="14">
        <v>101779</v>
      </c>
      <c r="B613" s="0" t="s">
        <v>2006</v>
      </c>
      <c r="C613" s="16">
        <f>HYPERLINK("https://eosportal.federatedhermes.com/companies/Q29tcGFueQppODE1NDU=", "Tyson Foods Inc")</f>
      </c>
      <c r="D613" s="0" t="s">
        <v>25</v>
      </c>
      <c r="E613" s="0" t="s">
        <v>2007</v>
      </c>
      <c r="F613" s="16">
        <f>HYPERLINK("https://eosportal.federatedhermes.com/engagements/RW5nYWdlbWVudAppMjExMjA=", "Dual class shares")</f>
      </c>
      <c r="G613" s="14" t="s">
        <v>2008</v>
      </c>
      <c r="H613" s="0" t="s">
        <v>141</v>
      </c>
      <c r="I613" s="14" t="s">
        <v>131</v>
      </c>
      <c r="J613" s="0" t="s">
        <v>145</v>
      </c>
      <c r="K613" s="0" t="s">
        <v>400</v>
      </c>
      <c r="L613" s="0" t="s">
        <v>507</v>
      </c>
      <c r="M613" s="0" t="s">
        <v>135</v>
      </c>
      <c r="N613" s="0" t="s">
        <v>136</v>
      </c>
      <c r="O613" s="0" t="s">
        <v>332</v>
      </c>
      <c r="Q613" s="0" t="s">
        <v>130</v>
      </c>
      <c r="R613" s="0" t="s">
        <v>138</v>
      </c>
      <c r="S613" s="14">
        <v>0</v>
      </c>
      <c r="T613" s="0" t="s">
        <v>249</v>
      </c>
      <c r="U613" s="0" t="s">
        <v>138</v>
      </c>
      <c r="V613" s="14" t="s">
        <v>138</v>
      </c>
      <c r="W613" s="0" t="s">
        <v>138</v>
      </c>
      <c r="X613" s="14" t="s">
        <v>138</v>
      </c>
      <c r="Y613" s="0" t="s">
        <v>138</v>
      </c>
      <c r="Z613" s="14" t="s">
        <v>138</v>
      </c>
      <c r="AA613" s="0" t="s">
        <v>138</v>
      </c>
      <c r="AB613" s="14" t="s">
        <v>138</v>
      </c>
      <c r="AD613" s="0" t="s">
        <v>138</v>
      </c>
      <c r="AF613" s="0">
        <v>0</v>
      </c>
      <c r="AG613" s="0">
        <v>0</v>
      </c>
      <c r="AH613" s="0" t="s">
        <v>140</v>
      </c>
      <c r="AI613" s="0" t="s">
        <v>138</v>
      </c>
      <c r="AL613" s="14"/>
      <c r="AN613" s="14"/>
      <c r="AQ613" s="0" t="s">
        <v>130</v>
      </c>
      <c r="AR613" s="0" t="s">
        <v>130</v>
      </c>
      <c r="AS613" s="0" t="s">
        <v>130</v>
      </c>
      <c r="AT613" s="0" t="s">
        <v>130</v>
      </c>
      <c r="AU613" s="0" t="s">
        <v>130</v>
      </c>
      <c r="AV613" s="0" t="s">
        <v>130</v>
      </c>
      <c r="AW613" s="0" t="s">
        <v>130</v>
      </c>
      <c r="AX613" s="0" t="s">
        <v>130</v>
      </c>
      <c r="AY613" s="0" t="s">
        <v>130</v>
      </c>
      <c r="AZ613" s="0" t="s">
        <v>130</v>
      </c>
      <c r="BA613" s="0" t="s">
        <v>130</v>
      </c>
      <c r="BB613" s="0" t="s">
        <v>130</v>
      </c>
      <c r="BC613" s="0" t="s">
        <v>130</v>
      </c>
      <c r="BD613" s="0" t="s">
        <v>130</v>
      </c>
      <c r="BE613" s="0" t="s">
        <v>130</v>
      </c>
      <c r="BF613" s="0" t="s">
        <v>130</v>
      </c>
      <c r="BG613" s="0" t="s">
        <v>130</v>
      </c>
      <c r="BH613" s="0" t="s">
        <v>130</v>
      </c>
      <c r="BI613" s="0" t="s">
        <v>130</v>
      </c>
      <c r="BJ613" s="0" t="s">
        <v>130</v>
      </c>
      <c r="BK613" s="0" t="s">
        <v>130</v>
      </c>
      <c r="BL613" s="0" t="s">
        <v>130</v>
      </c>
      <c r="BM613" s="0" t="s">
        <v>130</v>
      </c>
      <c r="BN613" s="0" t="s">
        <v>130</v>
      </c>
      <c r="BO613" s="0" t="s">
        <v>130</v>
      </c>
      <c r="BP613" s="0" t="s">
        <v>130</v>
      </c>
      <c r="BQ613" s="0" t="s">
        <v>130</v>
      </c>
      <c r="BR613" s="0" t="s">
        <v>130</v>
      </c>
      <c r="BS613" s="0" t="s">
        <v>130</v>
      </c>
      <c r="BT613" s="0" t="s">
        <v>130</v>
      </c>
      <c r="BU613" s="0" t="s">
        <v>130</v>
      </c>
      <c r="BV613" s="0" t="s">
        <v>130</v>
      </c>
      <c r="BW613" s="0" t="s">
        <v>130</v>
      </c>
      <c r="BX613" s="0" t="s">
        <v>130</v>
      </c>
      <c r="BY613" s="0" t="s">
        <v>130</v>
      </c>
      <c r="BZ613" s="0" t="s">
        <v>130</v>
      </c>
      <c r="CA613" s="0" t="s">
        <v>130</v>
      </c>
      <c r="CB613" s="0" t="s">
        <v>130</v>
      </c>
      <c r="CC613" s="0" t="s">
        <v>130</v>
      </c>
      <c r="CD613" s="0" t="s">
        <v>130</v>
      </c>
      <c r="CE613" s="0" t="s">
        <v>130</v>
      </c>
      <c r="CF613" s="0" t="s">
        <v>130</v>
      </c>
      <c r="CG613" s="0" t="s">
        <v>130</v>
      </c>
      <c r="CH613" s="0" t="s">
        <v>130</v>
      </c>
      <c r="CI613" s="0" t="s">
        <v>130</v>
      </c>
      <c r="CJ613" s="0" t="s">
        <v>130</v>
      </c>
      <c r="CK613" s="0" t="s">
        <v>130</v>
      </c>
      <c r="CL613" s="0" t="s">
        <v>130</v>
      </c>
      <c r="CM613" s="0" t="s">
        <v>130</v>
      </c>
      <c r="CN613" s="0" t="s">
        <v>130</v>
      </c>
      <c r="CO613" s="0" t="s">
        <v>130</v>
      </c>
      <c r="CP613" s="0" t="s">
        <v>130</v>
      </c>
      <c r="CQ613" s="0" t="s">
        <v>130</v>
      </c>
      <c r="CR613" s="0" t="s">
        <v>130</v>
      </c>
      <c r="CS613" s="0" t="s">
        <v>130</v>
      </c>
      <c r="CT613" s="0" t="s">
        <v>2009</v>
      </c>
    </row>
    <row r="614">
      <c r="A614" s="14">
        <v>101779</v>
      </c>
      <c r="B614" s="0" t="s">
        <v>2006</v>
      </c>
      <c r="C614" s="16">
        <f>HYPERLINK("https://eosportal.federatedhermes.com/companies/Q29tcGFueQppODE1NDU=", "Tyson Foods Inc")</f>
      </c>
      <c r="D614" s="0" t="s">
        <v>25</v>
      </c>
      <c r="E614" s="0" t="s">
        <v>2010</v>
      </c>
      <c r="F614" s="16">
        <f>HYPERLINK("https://eosportal.federatedhermes.com/engagements/RW5nYWdlbWVudAppMjExMjE=", "Encourage response to FFD questionnaire")</f>
      </c>
      <c r="G614" s="14" t="s">
        <v>2010</v>
      </c>
      <c r="H614" s="0" t="s">
        <v>141</v>
      </c>
      <c r="I614" s="14" t="s">
        <v>131</v>
      </c>
      <c r="J614" s="0" t="s">
        <v>197</v>
      </c>
      <c r="K614" s="0" t="s">
        <v>337</v>
      </c>
      <c r="L614" s="0" t="s">
        <v>576</v>
      </c>
      <c r="M614" s="0" t="s">
        <v>135</v>
      </c>
      <c r="N614" s="0" t="s">
        <v>136</v>
      </c>
      <c r="O614" s="0" t="s">
        <v>332</v>
      </c>
      <c r="Q614" s="0" t="s">
        <v>130</v>
      </c>
      <c r="R614" s="0" t="s">
        <v>138</v>
      </c>
      <c r="S614" s="14">
        <v>0</v>
      </c>
      <c r="T614" s="0" t="s">
        <v>380</v>
      </c>
      <c r="U614" s="0" t="s">
        <v>138</v>
      </c>
      <c r="V614" s="14" t="s">
        <v>138</v>
      </c>
      <c r="W614" s="0" t="s">
        <v>138</v>
      </c>
      <c r="X614" s="14" t="s">
        <v>138</v>
      </c>
      <c r="Y614" s="0" t="s">
        <v>138</v>
      </c>
      <c r="Z614" s="14" t="s">
        <v>138</v>
      </c>
      <c r="AA614" s="0" t="s">
        <v>138</v>
      </c>
      <c r="AB614" s="14" t="s">
        <v>138</v>
      </c>
      <c r="AD614" s="0" t="s">
        <v>138</v>
      </c>
      <c r="AF614" s="0">
        <v>0</v>
      </c>
      <c r="AG614" s="0">
        <v>0</v>
      </c>
      <c r="AH614" s="0" t="s">
        <v>140</v>
      </c>
      <c r="AI614" s="0" t="s">
        <v>138</v>
      </c>
      <c r="AL614" s="14"/>
      <c r="AN614" s="14"/>
      <c r="AQ614" s="0" t="s">
        <v>130</v>
      </c>
      <c r="AR614" s="0" t="s">
        <v>130</v>
      </c>
      <c r="AS614" s="0" t="s">
        <v>130</v>
      </c>
      <c r="AT614" s="0" t="s">
        <v>130</v>
      </c>
      <c r="AU614" s="0" t="s">
        <v>130</v>
      </c>
      <c r="AV614" s="0" t="s">
        <v>130</v>
      </c>
      <c r="AW614" s="0" t="s">
        <v>130</v>
      </c>
      <c r="AX614" s="0" t="s">
        <v>130</v>
      </c>
      <c r="AY614" s="0" t="s">
        <v>130</v>
      </c>
      <c r="AZ614" s="0" t="s">
        <v>130</v>
      </c>
      <c r="BA614" s="0" t="s">
        <v>130</v>
      </c>
      <c r="BB614" s="0" t="s">
        <v>130</v>
      </c>
      <c r="BC614" s="0" t="s">
        <v>130</v>
      </c>
      <c r="BD614" s="0" t="s">
        <v>130</v>
      </c>
      <c r="BE614" s="0" t="s">
        <v>130</v>
      </c>
      <c r="BF614" s="0" t="s">
        <v>130</v>
      </c>
      <c r="BG614" s="0" t="s">
        <v>130</v>
      </c>
      <c r="BH614" s="0" t="s">
        <v>130</v>
      </c>
      <c r="BI614" s="0" t="s">
        <v>130</v>
      </c>
      <c r="BJ614" s="0" t="s">
        <v>130</v>
      </c>
      <c r="BK614" s="0" t="s">
        <v>130</v>
      </c>
      <c r="BL614" s="0" t="s">
        <v>130</v>
      </c>
      <c r="BM614" s="0" t="s">
        <v>130</v>
      </c>
      <c r="BN614" s="0" t="s">
        <v>130</v>
      </c>
      <c r="BO614" s="0" t="s">
        <v>130</v>
      </c>
      <c r="BP614" s="0" t="s">
        <v>130</v>
      </c>
      <c r="BQ614" s="0" t="s">
        <v>130</v>
      </c>
      <c r="BR614" s="0" t="s">
        <v>130</v>
      </c>
      <c r="BS614" s="0" t="s">
        <v>130</v>
      </c>
      <c r="BT614" s="0" t="s">
        <v>130</v>
      </c>
      <c r="BU614" s="0" t="s">
        <v>130</v>
      </c>
      <c r="BV614" s="0" t="s">
        <v>130</v>
      </c>
      <c r="BW614" s="0" t="s">
        <v>130</v>
      </c>
      <c r="BX614" s="0" t="s">
        <v>130</v>
      </c>
      <c r="BY614" s="0" t="s">
        <v>130</v>
      </c>
      <c r="BZ614" s="0" t="s">
        <v>130</v>
      </c>
      <c r="CA614" s="0" t="s">
        <v>130</v>
      </c>
      <c r="CB614" s="0" t="s">
        <v>130</v>
      </c>
      <c r="CC614" s="0" t="s">
        <v>130</v>
      </c>
      <c r="CD614" s="0" t="s">
        <v>130</v>
      </c>
      <c r="CE614" s="0" t="s">
        <v>130</v>
      </c>
      <c r="CF614" s="0" t="s">
        <v>130</v>
      </c>
      <c r="CG614" s="0" t="s">
        <v>130</v>
      </c>
      <c r="CH614" s="0" t="s">
        <v>130</v>
      </c>
      <c r="CI614" s="0" t="s">
        <v>130</v>
      </c>
      <c r="CJ614" s="0" t="s">
        <v>130</v>
      </c>
      <c r="CK614" s="0" t="s">
        <v>130</v>
      </c>
      <c r="CL614" s="0" t="s">
        <v>130</v>
      </c>
      <c r="CM614" s="0" t="s">
        <v>130</v>
      </c>
      <c r="CN614" s="0" t="s">
        <v>130</v>
      </c>
      <c r="CO614" s="0" t="s">
        <v>130</v>
      </c>
      <c r="CP614" s="0" t="s">
        <v>130</v>
      </c>
      <c r="CQ614" s="0" t="s">
        <v>130</v>
      </c>
      <c r="CR614" s="0" t="s">
        <v>130</v>
      </c>
      <c r="CS614" s="0" t="s">
        <v>130</v>
      </c>
      <c r="CT614" s="0" t="s">
        <v>2011</v>
      </c>
    </row>
    <row r="615">
      <c r="A615" s="14">
        <v>101779</v>
      </c>
      <c r="B615" s="0" t="s">
        <v>2006</v>
      </c>
      <c r="C615" s="16">
        <f>HYPERLINK("https://eosportal.federatedhermes.com/companies/Q29tcGFueQppODE1NDU=", "Tyson Foods Inc")</f>
      </c>
      <c r="D615" s="0" t="s">
        <v>25</v>
      </c>
      <c r="E615" s="0" t="s">
        <v>2012</v>
      </c>
      <c r="F615" s="16">
        <f>HYPERLINK("https://eosportal.federatedhermes.com/engagements/RW5nYWdlbWVudAppMjExMjM=", "Poultry farmers' Bill of Rights")</f>
      </c>
      <c r="G615" s="14" t="s">
        <v>2013</v>
      </c>
      <c r="H615" s="0" t="s">
        <v>141</v>
      </c>
      <c r="I615" s="14" t="s">
        <v>131</v>
      </c>
      <c r="J615" s="0" t="s">
        <v>153</v>
      </c>
      <c r="K615" s="0" t="s">
        <v>185</v>
      </c>
      <c r="L615" s="0" t="s">
        <v>186</v>
      </c>
      <c r="M615" s="0" t="s">
        <v>135</v>
      </c>
      <c r="N615" s="0" t="s">
        <v>136</v>
      </c>
      <c r="O615" s="0" t="s">
        <v>332</v>
      </c>
      <c r="Q615" s="0" t="s">
        <v>130</v>
      </c>
      <c r="R615" s="0" t="s">
        <v>138</v>
      </c>
      <c r="S615" s="14">
        <v>0</v>
      </c>
      <c r="T615" s="0" t="s">
        <v>333</v>
      </c>
      <c r="U615" s="0" t="s">
        <v>138</v>
      </c>
      <c r="V615" s="14" t="s">
        <v>138</v>
      </c>
      <c r="W615" s="0" t="s">
        <v>138</v>
      </c>
      <c r="X615" s="14" t="s">
        <v>138</v>
      </c>
      <c r="Y615" s="0" t="s">
        <v>138</v>
      </c>
      <c r="Z615" s="14" t="s">
        <v>138</v>
      </c>
      <c r="AA615" s="0" t="s">
        <v>138</v>
      </c>
      <c r="AB615" s="14" t="s">
        <v>138</v>
      </c>
      <c r="AD615" s="0" t="s">
        <v>138</v>
      </c>
      <c r="AF615" s="0">
        <v>0</v>
      </c>
      <c r="AG615" s="0">
        <v>0</v>
      </c>
      <c r="AH615" s="0" t="s">
        <v>140</v>
      </c>
      <c r="AI615" s="0" t="s">
        <v>138</v>
      </c>
      <c r="AL615" s="14"/>
      <c r="AN615" s="14"/>
      <c r="AQ615" s="0" t="s">
        <v>130</v>
      </c>
      <c r="AR615" s="0" t="s">
        <v>130</v>
      </c>
      <c r="AS615" s="0" t="s">
        <v>130</v>
      </c>
      <c r="AT615" s="0" t="s">
        <v>130</v>
      </c>
      <c r="AU615" s="0" t="s">
        <v>130</v>
      </c>
      <c r="AV615" s="0" t="s">
        <v>130</v>
      </c>
      <c r="AW615" s="0" t="s">
        <v>130</v>
      </c>
      <c r="AX615" s="0" t="s">
        <v>130</v>
      </c>
      <c r="AY615" s="0" t="s">
        <v>130</v>
      </c>
      <c r="AZ615" s="0" t="s">
        <v>130</v>
      </c>
      <c r="BA615" s="0" t="s">
        <v>130</v>
      </c>
      <c r="BB615" s="0" t="s">
        <v>130</v>
      </c>
      <c r="BC615" s="0" t="s">
        <v>130</v>
      </c>
      <c r="BD615" s="0" t="s">
        <v>130</v>
      </c>
      <c r="BE615" s="0" t="s">
        <v>130</v>
      </c>
      <c r="BF615" s="0" t="s">
        <v>130</v>
      </c>
      <c r="BG615" s="0" t="s">
        <v>130</v>
      </c>
      <c r="BH615" s="0" t="s">
        <v>130</v>
      </c>
      <c r="BI615" s="0" t="s">
        <v>130</v>
      </c>
      <c r="BJ615" s="0" t="s">
        <v>130</v>
      </c>
      <c r="BK615" s="0" t="s">
        <v>130</v>
      </c>
      <c r="BL615" s="0" t="s">
        <v>130</v>
      </c>
      <c r="BM615" s="0" t="s">
        <v>130</v>
      </c>
      <c r="BN615" s="0" t="s">
        <v>130</v>
      </c>
      <c r="BO615" s="0" t="s">
        <v>130</v>
      </c>
      <c r="BP615" s="0" t="s">
        <v>130</v>
      </c>
      <c r="BQ615" s="0" t="s">
        <v>130</v>
      </c>
      <c r="BR615" s="0" t="s">
        <v>130</v>
      </c>
      <c r="BS615" s="0" t="s">
        <v>130</v>
      </c>
      <c r="BT615" s="0" t="s">
        <v>130</v>
      </c>
      <c r="BU615" s="0" t="s">
        <v>130</v>
      </c>
      <c r="BV615" s="0" t="s">
        <v>130</v>
      </c>
      <c r="BW615" s="0" t="s">
        <v>130</v>
      </c>
      <c r="BX615" s="0" t="s">
        <v>130</v>
      </c>
      <c r="BY615" s="0" t="s">
        <v>130</v>
      </c>
      <c r="BZ615" s="0" t="s">
        <v>130</v>
      </c>
      <c r="CA615" s="0" t="s">
        <v>130</v>
      </c>
      <c r="CB615" s="0" t="s">
        <v>130</v>
      </c>
      <c r="CC615" s="0" t="s">
        <v>130</v>
      </c>
      <c r="CD615" s="0" t="s">
        <v>130</v>
      </c>
      <c r="CE615" s="0" t="s">
        <v>130</v>
      </c>
      <c r="CF615" s="0" t="s">
        <v>130</v>
      </c>
      <c r="CG615" s="0" t="s">
        <v>130</v>
      </c>
      <c r="CH615" s="0" t="s">
        <v>130</v>
      </c>
      <c r="CI615" s="0" t="s">
        <v>130</v>
      </c>
      <c r="CJ615" s="0" t="s">
        <v>130</v>
      </c>
      <c r="CK615" s="0" t="s">
        <v>130</v>
      </c>
      <c r="CL615" s="0" t="s">
        <v>130</v>
      </c>
      <c r="CM615" s="0" t="s">
        <v>130</v>
      </c>
      <c r="CN615" s="0" t="s">
        <v>130</v>
      </c>
      <c r="CO615" s="0" t="s">
        <v>130</v>
      </c>
      <c r="CP615" s="0" t="s">
        <v>130</v>
      </c>
      <c r="CQ615" s="0" t="s">
        <v>130</v>
      </c>
      <c r="CR615" s="0" t="s">
        <v>130</v>
      </c>
      <c r="CS615" s="0" t="s">
        <v>130</v>
      </c>
      <c r="CT615" s="0" t="s">
        <v>2014</v>
      </c>
    </row>
    <row r="616">
      <c r="A616" s="14">
        <v>101779</v>
      </c>
      <c r="B616" s="0" t="s">
        <v>2006</v>
      </c>
      <c r="C616" s="16">
        <f>HYPERLINK("https://eosportal.federatedhermes.com/companies/Q29tcGFueQppODE1NDU=", "Tyson Foods Inc")</f>
      </c>
      <c r="D616" s="0" t="s">
        <v>25</v>
      </c>
      <c r="E616" s="0" t="s">
        <v>721</v>
      </c>
      <c r="F616" s="16">
        <f>HYPERLINK("https://eosportal.federatedhermes.com/engagements/RW5nYWdlbWVudAppMjExMjQ=", "Water stewardship")</f>
      </c>
      <c r="G616" s="14" t="s">
        <v>2015</v>
      </c>
      <c r="H616" s="0" t="s">
        <v>141</v>
      </c>
      <c r="I616" s="14" t="s">
        <v>131</v>
      </c>
      <c r="J616" s="0" t="s">
        <v>197</v>
      </c>
      <c r="K616" s="0" t="s">
        <v>337</v>
      </c>
      <c r="L616" s="0" t="s">
        <v>338</v>
      </c>
      <c r="M616" s="0" t="s">
        <v>135</v>
      </c>
      <c r="N616" s="0" t="s">
        <v>136</v>
      </c>
      <c r="O616" s="0" t="s">
        <v>332</v>
      </c>
      <c r="Q616" s="0" t="s">
        <v>130</v>
      </c>
      <c r="R616" s="0" t="s">
        <v>138</v>
      </c>
      <c r="S616" s="14">
        <v>0</v>
      </c>
      <c r="T616" s="0" t="s">
        <v>249</v>
      </c>
      <c r="U616" s="0" t="s">
        <v>138</v>
      </c>
      <c r="V616" s="14" t="s">
        <v>138</v>
      </c>
      <c r="W616" s="0" t="s">
        <v>138</v>
      </c>
      <c r="X616" s="14" t="s">
        <v>138</v>
      </c>
      <c r="Y616" s="0" t="s">
        <v>138</v>
      </c>
      <c r="Z616" s="14" t="s">
        <v>138</v>
      </c>
      <c r="AA616" s="0" t="s">
        <v>138</v>
      </c>
      <c r="AB616" s="14" t="s">
        <v>138</v>
      </c>
      <c r="AD616" s="0" t="s">
        <v>138</v>
      </c>
      <c r="AF616" s="0">
        <v>0</v>
      </c>
      <c r="AG616" s="0">
        <v>0</v>
      </c>
      <c r="AH616" s="0" t="s">
        <v>140</v>
      </c>
      <c r="AI616" s="0" t="s">
        <v>138</v>
      </c>
      <c r="AL616" s="14"/>
      <c r="AN616" s="14"/>
      <c r="AQ616" s="0" t="s">
        <v>130</v>
      </c>
      <c r="AR616" s="0" t="s">
        <v>141</v>
      </c>
      <c r="AS616" s="0" t="s">
        <v>130</v>
      </c>
      <c r="AT616" s="0" t="s">
        <v>130</v>
      </c>
      <c r="AU616" s="0" t="s">
        <v>130</v>
      </c>
      <c r="AV616" s="0" t="s">
        <v>141</v>
      </c>
      <c r="AW616" s="0" t="s">
        <v>130</v>
      </c>
      <c r="AX616" s="0" t="s">
        <v>130</v>
      </c>
      <c r="AY616" s="0" t="s">
        <v>130</v>
      </c>
      <c r="AZ616" s="0" t="s">
        <v>130</v>
      </c>
      <c r="BA616" s="0" t="s">
        <v>130</v>
      </c>
      <c r="BB616" s="0" t="s">
        <v>130</v>
      </c>
      <c r="BC616" s="0" t="s">
        <v>130</v>
      </c>
      <c r="BD616" s="0" t="s">
        <v>130</v>
      </c>
      <c r="BE616" s="0" t="s">
        <v>130</v>
      </c>
      <c r="BF616" s="0" t="s">
        <v>130</v>
      </c>
      <c r="BG616" s="0" t="s">
        <v>130</v>
      </c>
      <c r="BH616" s="0" t="s">
        <v>130</v>
      </c>
      <c r="BI616" s="0" t="s">
        <v>130</v>
      </c>
      <c r="BJ616" s="0" t="s">
        <v>130</v>
      </c>
      <c r="BK616" s="0" t="s">
        <v>130</v>
      </c>
      <c r="BL616" s="0" t="s">
        <v>130</v>
      </c>
      <c r="BM616" s="0" t="s">
        <v>130</v>
      </c>
      <c r="BN616" s="0" t="s">
        <v>130</v>
      </c>
      <c r="BO616" s="0" t="s">
        <v>130</v>
      </c>
      <c r="BP616" s="0" t="s">
        <v>130</v>
      </c>
      <c r="BQ616" s="0" t="s">
        <v>130</v>
      </c>
      <c r="BR616" s="0" t="s">
        <v>130</v>
      </c>
      <c r="BS616" s="0" t="s">
        <v>130</v>
      </c>
      <c r="BT616" s="0" t="s">
        <v>130</v>
      </c>
      <c r="BU616" s="0" t="s">
        <v>130</v>
      </c>
      <c r="BV616" s="0" t="s">
        <v>130</v>
      </c>
      <c r="BW616" s="0" t="s">
        <v>130</v>
      </c>
      <c r="BX616" s="0" t="s">
        <v>141</v>
      </c>
      <c r="BY616" s="0" t="s">
        <v>130</v>
      </c>
      <c r="BZ616" s="0" t="s">
        <v>130</v>
      </c>
      <c r="CA616" s="0" t="s">
        <v>130</v>
      </c>
      <c r="CB616" s="0" t="s">
        <v>130</v>
      </c>
      <c r="CC616" s="0" t="s">
        <v>130</v>
      </c>
      <c r="CD616" s="0" t="s">
        <v>130</v>
      </c>
      <c r="CE616" s="0" t="s">
        <v>130</v>
      </c>
      <c r="CF616" s="0" t="s">
        <v>130</v>
      </c>
      <c r="CG616" s="0" t="s">
        <v>130</v>
      </c>
      <c r="CH616" s="0" t="s">
        <v>130</v>
      </c>
      <c r="CI616" s="0" t="s">
        <v>130</v>
      </c>
      <c r="CJ616" s="0" t="s">
        <v>130</v>
      </c>
      <c r="CK616" s="0" t="s">
        <v>130</v>
      </c>
      <c r="CL616" s="0" t="s">
        <v>130</v>
      </c>
      <c r="CM616" s="0" t="s">
        <v>130</v>
      </c>
      <c r="CN616" s="0" t="s">
        <v>130</v>
      </c>
      <c r="CO616" s="0" t="s">
        <v>130</v>
      </c>
      <c r="CP616" s="0" t="s">
        <v>130</v>
      </c>
      <c r="CQ616" s="0" t="s">
        <v>130</v>
      </c>
      <c r="CR616" s="0" t="s">
        <v>130</v>
      </c>
      <c r="CS616" s="0" t="s">
        <v>130</v>
      </c>
      <c r="CT616" s="0" t="s">
        <v>2016</v>
      </c>
    </row>
    <row r="617">
      <c r="A617" s="14">
        <v>101779</v>
      </c>
      <c r="B617" s="0" t="s">
        <v>2006</v>
      </c>
      <c r="C617" s="16">
        <f>HYPERLINK("https://eosportal.federatedhermes.com/companies/Q29tcGFueQppODE1NDU=", "Tyson Foods Inc")</f>
      </c>
      <c r="D617" s="0" t="s">
        <v>23</v>
      </c>
      <c r="E617" s="0" t="s">
        <v>2017</v>
      </c>
      <c r="F617" s="16">
        <f>HYPERLINK("https://eosportal.federatedhermes.com/engagements/RW5nYWdlbWVudAppMjExMjU=", "Water strategy for the company's supply chain")</f>
      </c>
      <c r="G617" s="14" t="s">
        <v>2018</v>
      </c>
      <c r="H617" s="0" t="s">
        <v>141</v>
      </c>
      <c r="I617" s="14" t="s">
        <v>131</v>
      </c>
      <c r="J617" s="0" t="s">
        <v>197</v>
      </c>
      <c r="K617" s="0" t="s">
        <v>337</v>
      </c>
      <c r="L617" s="0" t="s">
        <v>338</v>
      </c>
      <c r="M617" s="0" t="s">
        <v>135</v>
      </c>
      <c r="N617" s="0" t="s">
        <v>136</v>
      </c>
      <c r="O617" s="0" t="s">
        <v>332</v>
      </c>
      <c r="Q617" s="0" t="s">
        <v>141</v>
      </c>
      <c r="R617" s="0" t="s">
        <v>130</v>
      </c>
      <c r="S617" s="14">
        <v>1</v>
      </c>
      <c r="T617" s="0" t="s">
        <v>249</v>
      </c>
      <c r="U617" s="0" t="s">
        <v>221</v>
      </c>
      <c r="V617" s="14" t="s">
        <v>249</v>
      </c>
      <c r="W617" s="0" t="s">
        <v>221</v>
      </c>
      <c r="X617" s="14" t="s">
        <v>249</v>
      </c>
      <c r="Y617" s="0" t="s">
        <v>221</v>
      </c>
      <c r="Z617" s="14" t="s">
        <v>193</v>
      </c>
      <c r="AA617" s="0" t="s">
        <v>223</v>
      </c>
      <c r="AB617" s="14" t="s">
        <v>138</v>
      </c>
      <c r="AD617" s="0" t="s">
        <v>20</v>
      </c>
      <c r="AF617" s="0">
        <v>0</v>
      </c>
      <c r="AG617" s="0">
        <v>0</v>
      </c>
      <c r="AH617" s="0" t="s">
        <v>140</v>
      </c>
      <c r="AI617" s="0" t="s">
        <v>225</v>
      </c>
      <c r="AK617" s="0" t="s">
        <v>2019</v>
      </c>
      <c r="AL617" s="14"/>
      <c r="AN617" s="14"/>
      <c r="AQ617" s="0" t="s">
        <v>130</v>
      </c>
      <c r="AR617" s="0" t="s">
        <v>141</v>
      </c>
      <c r="AS617" s="0" t="s">
        <v>130</v>
      </c>
      <c r="AT617" s="0" t="s">
        <v>130</v>
      </c>
      <c r="AU617" s="0" t="s">
        <v>130</v>
      </c>
      <c r="AV617" s="0" t="s">
        <v>141</v>
      </c>
      <c r="AW617" s="0" t="s">
        <v>130</v>
      </c>
      <c r="AX617" s="0" t="s">
        <v>130</v>
      </c>
      <c r="AY617" s="0" t="s">
        <v>130</v>
      </c>
      <c r="AZ617" s="0" t="s">
        <v>130</v>
      </c>
      <c r="BA617" s="0" t="s">
        <v>130</v>
      </c>
      <c r="BB617" s="0" t="s">
        <v>130</v>
      </c>
      <c r="BC617" s="0" t="s">
        <v>130</v>
      </c>
      <c r="BD617" s="0" t="s">
        <v>130</v>
      </c>
      <c r="BE617" s="0" t="s">
        <v>130</v>
      </c>
      <c r="BF617" s="0" t="s">
        <v>130</v>
      </c>
      <c r="BG617" s="0" t="s">
        <v>130</v>
      </c>
      <c r="BH617" s="0" t="s">
        <v>130</v>
      </c>
      <c r="BI617" s="0" t="s">
        <v>130</v>
      </c>
      <c r="BJ617" s="0" t="s">
        <v>130</v>
      </c>
      <c r="BK617" s="0" t="s">
        <v>130</v>
      </c>
      <c r="BL617" s="0" t="s">
        <v>130</v>
      </c>
      <c r="BM617" s="0" t="s">
        <v>130</v>
      </c>
      <c r="BN617" s="0" t="s">
        <v>130</v>
      </c>
      <c r="BO617" s="0" t="s">
        <v>130</v>
      </c>
      <c r="BP617" s="0" t="s">
        <v>130</v>
      </c>
      <c r="BQ617" s="0" t="s">
        <v>130</v>
      </c>
      <c r="BR617" s="0" t="s">
        <v>130</v>
      </c>
      <c r="BS617" s="0" t="s">
        <v>130</v>
      </c>
      <c r="BT617" s="0" t="s">
        <v>130</v>
      </c>
      <c r="BU617" s="0" t="s">
        <v>130</v>
      </c>
      <c r="BV617" s="0" t="s">
        <v>130</v>
      </c>
      <c r="BW617" s="0" t="s">
        <v>130</v>
      </c>
      <c r="BX617" s="0" t="s">
        <v>141</v>
      </c>
      <c r="BY617" s="0" t="s">
        <v>130</v>
      </c>
      <c r="BZ617" s="0" t="s">
        <v>130</v>
      </c>
      <c r="CA617" s="0" t="s">
        <v>130</v>
      </c>
      <c r="CB617" s="0" t="s">
        <v>130</v>
      </c>
      <c r="CC617" s="0" t="s">
        <v>130</v>
      </c>
      <c r="CD617" s="0" t="s">
        <v>130</v>
      </c>
      <c r="CE617" s="0" t="s">
        <v>130</v>
      </c>
      <c r="CF617" s="0" t="s">
        <v>130</v>
      </c>
      <c r="CG617" s="0" t="s">
        <v>130</v>
      </c>
      <c r="CH617" s="0" t="s">
        <v>130</v>
      </c>
      <c r="CI617" s="0" t="s">
        <v>130</v>
      </c>
      <c r="CJ617" s="0" t="s">
        <v>130</v>
      </c>
      <c r="CK617" s="0" t="s">
        <v>130</v>
      </c>
      <c r="CL617" s="0" t="s">
        <v>130</v>
      </c>
      <c r="CM617" s="0" t="s">
        <v>130</v>
      </c>
      <c r="CN617" s="0" t="s">
        <v>130</v>
      </c>
      <c r="CO617" s="0" t="s">
        <v>130</v>
      </c>
      <c r="CP617" s="0" t="s">
        <v>130</v>
      </c>
      <c r="CQ617" s="0" t="s">
        <v>130</v>
      </c>
      <c r="CR617" s="0" t="s">
        <v>130</v>
      </c>
      <c r="CS617" s="0" t="s">
        <v>130</v>
      </c>
      <c r="CT617" s="0" t="s">
        <v>2020</v>
      </c>
    </row>
    <row r="618">
      <c r="A618" s="14">
        <v>101779</v>
      </c>
      <c r="B618" s="0" t="s">
        <v>2006</v>
      </c>
      <c r="C618" s="16">
        <f>HYPERLINK("https://eosportal.federatedhermes.com/companies/Q29tcGFueQppODE1NDU=", "Tyson Foods Inc")</f>
      </c>
      <c r="D618" s="0" t="s">
        <v>23</v>
      </c>
      <c r="E618" s="0" t="s">
        <v>2021</v>
      </c>
      <c r="F618" s="16">
        <f>HYPERLINK("https://eosportal.federatedhermes.com/engagements/RW5nYWdlbWVudAppMjExMjk=", "Antimicrobial Resistance")</f>
      </c>
      <c r="G618" s="14" t="s">
        <v>2022</v>
      </c>
      <c r="H618" s="0" t="s">
        <v>141</v>
      </c>
      <c r="I618" s="14" t="s">
        <v>131</v>
      </c>
      <c r="J618" s="0" t="s">
        <v>197</v>
      </c>
      <c r="K618" s="0" t="s">
        <v>337</v>
      </c>
      <c r="L618" s="0" t="s">
        <v>1222</v>
      </c>
      <c r="M618" s="0" t="s">
        <v>135</v>
      </c>
      <c r="N618" s="0" t="s">
        <v>136</v>
      </c>
      <c r="O618" s="0" t="s">
        <v>332</v>
      </c>
      <c r="Q618" s="0" t="s">
        <v>130</v>
      </c>
      <c r="R618" s="0" t="s">
        <v>130</v>
      </c>
      <c r="S618" s="14">
        <v>0</v>
      </c>
      <c r="T618" s="0" t="s">
        <v>206</v>
      </c>
      <c r="U618" s="0" t="s">
        <v>221</v>
      </c>
      <c r="V618" s="14" t="s">
        <v>206</v>
      </c>
      <c r="W618" s="0" t="s">
        <v>223</v>
      </c>
      <c r="X618" s="14" t="s">
        <v>138</v>
      </c>
      <c r="Y618" s="0" t="s">
        <v>224</v>
      </c>
      <c r="Z618" s="14" t="s">
        <v>138</v>
      </c>
      <c r="AA618" s="0" t="s">
        <v>224</v>
      </c>
      <c r="AB618" s="14" t="s">
        <v>138</v>
      </c>
      <c r="AD618" s="0" t="s">
        <v>14</v>
      </c>
      <c r="AF618" s="0">
        <v>0</v>
      </c>
      <c r="AG618" s="0">
        <v>0</v>
      </c>
      <c r="AH618" s="0" t="s">
        <v>140</v>
      </c>
      <c r="AI618" s="0" t="s">
        <v>225</v>
      </c>
      <c r="AL618" s="14"/>
      <c r="AN618" s="14"/>
      <c r="AQ618" s="0" t="s">
        <v>130</v>
      </c>
      <c r="AR618" s="0" t="s">
        <v>130</v>
      </c>
      <c r="AS618" s="0" t="s">
        <v>141</v>
      </c>
      <c r="AT618" s="0" t="s">
        <v>130</v>
      </c>
      <c r="AU618" s="0" t="s">
        <v>130</v>
      </c>
      <c r="AV618" s="0" t="s">
        <v>130</v>
      </c>
      <c r="AW618" s="0" t="s">
        <v>130</v>
      </c>
      <c r="AX618" s="0" t="s">
        <v>130</v>
      </c>
      <c r="AY618" s="0" t="s">
        <v>130</v>
      </c>
      <c r="AZ618" s="0" t="s">
        <v>130</v>
      </c>
      <c r="BA618" s="0" t="s">
        <v>130</v>
      </c>
      <c r="BB618" s="0" t="s">
        <v>141</v>
      </c>
      <c r="BC618" s="0" t="s">
        <v>130</v>
      </c>
      <c r="BD618" s="0" t="s">
        <v>130</v>
      </c>
      <c r="BE618" s="0" t="s">
        <v>130</v>
      </c>
      <c r="BF618" s="0" t="s">
        <v>130</v>
      </c>
      <c r="BG618" s="0" t="s">
        <v>130</v>
      </c>
      <c r="BH618" s="0" t="s">
        <v>130</v>
      </c>
      <c r="BI618" s="0" t="s">
        <v>130</v>
      </c>
      <c r="BJ618" s="0" t="s">
        <v>130</v>
      </c>
      <c r="BK618" s="0" t="s">
        <v>130</v>
      </c>
      <c r="BL618" s="0" t="s">
        <v>130</v>
      </c>
      <c r="BM618" s="0" t="s">
        <v>130</v>
      </c>
      <c r="BN618" s="0" t="s">
        <v>130</v>
      </c>
      <c r="BO618" s="0" t="s">
        <v>130</v>
      </c>
      <c r="BP618" s="0" t="s">
        <v>130</v>
      </c>
      <c r="BQ618" s="0" t="s">
        <v>130</v>
      </c>
      <c r="BR618" s="0" t="s">
        <v>130</v>
      </c>
      <c r="BS618" s="0" t="s">
        <v>130</v>
      </c>
      <c r="BT618" s="0" t="s">
        <v>130</v>
      </c>
      <c r="BU618" s="0" t="s">
        <v>130</v>
      </c>
      <c r="BV618" s="0" t="s">
        <v>130</v>
      </c>
      <c r="BW618" s="0" t="s">
        <v>130</v>
      </c>
      <c r="BX618" s="0" t="s">
        <v>130</v>
      </c>
      <c r="BY618" s="0" t="s">
        <v>130</v>
      </c>
      <c r="BZ618" s="0" t="s">
        <v>130</v>
      </c>
      <c r="CA618" s="0" t="s">
        <v>130</v>
      </c>
      <c r="CB618" s="0" t="s">
        <v>130</v>
      </c>
      <c r="CC618" s="0" t="s">
        <v>130</v>
      </c>
      <c r="CD618" s="0" t="s">
        <v>130</v>
      </c>
      <c r="CE618" s="0" t="s">
        <v>130</v>
      </c>
      <c r="CF618" s="0" t="s">
        <v>130</v>
      </c>
      <c r="CG618" s="0" t="s">
        <v>130</v>
      </c>
      <c r="CH618" s="0" t="s">
        <v>130</v>
      </c>
      <c r="CI618" s="0" t="s">
        <v>130</v>
      </c>
      <c r="CJ618" s="0" t="s">
        <v>130</v>
      </c>
      <c r="CK618" s="0" t="s">
        <v>130</v>
      </c>
      <c r="CL618" s="0" t="s">
        <v>130</v>
      </c>
      <c r="CM618" s="0" t="s">
        <v>130</v>
      </c>
      <c r="CN618" s="0" t="s">
        <v>130</v>
      </c>
      <c r="CO618" s="0" t="s">
        <v>130</v>
      </c>
      <c r="CP618" s="0" t="s">
        <v>130</v>
      </c>
      <c r="CQ618" s="0" t="s">
        <v>130</v>
      </c>
      <c r="CR618" s="0" t="s">
        <v>130</v>
      </c>
      <c r="CS618" s="0" t="s">
        <v>130</v>
      </c>
      <c r="CT618" s="0" t="s">
        <v>2023</v>
      </c>
    </row>
    <row r="619">
      <c r="A619" s="14">
        <v>101779</v>
      </c>
      <c r="B619" s="0" t="s">
        <v>2006</v>
      </c>
      <c r="C619" s="16">
        <f>HYPERLINK("https://eosportal.federatedhermes.com/companies/Q29tcGFueQppODE1NDU=", "Tyson Foods Inc")</f>
      </c>
      <c r="D619" s="0" t="s">
        <v>23</v>
      </c>
      <c r="E619" s="0" t="s">
        <v>228</v>
      </c>
      <c r="F619" s="16">
        <f>HYPERLINK("https://eosportal.federatedhermes.com/engagements/RW5nYWdlbWVudAppMjExMzA=", "Climate strategy")</f>
      </c>
      <c r="G619" s="14" t="s">
        <v>2024</v>
      </c>
      <c r="H619" s="0" t="s">
        <v>141</v>
      </c>
      <c r="I619" s="14" t="s">
        <v>131</v>
      </c>
      <c r="J619" s="0" t="s">
        <v>197</v>
      </c>
      <c r="K619" s="0" t="s">
        <v>198</v>
      </c>
      <c r="L619" s="0" t="s">
        <v>220</v>
      </c>
      <c r="M619" s="0" t="s">
        <v>135</v>
      </c>
      <c r="N619" s="0" t="s">
        <v>136</v>
      </c>
      <c r="O619" s="0" t="s">
        <v>332</v>
      </c>
      <c r="Q619" s="0" t="s">
        <v>130</v>
      </c>
      <c r="R619" s="0" t="s">
        <v>130</v>
      </c>
      <c r="S619" s="14">
        <v>0</v>
      </c>
      <c r="T619" s="0" t="s">
        <v>327</v>
      </c>
      <c r="U619" s="0" t="s">
        <v>221</v>
      </c>
      <c r="V619" s="14" t="s">
        <v>327</v>
      </c>
      <c r="W619" s="0" t="s">
        <v>221</v>
      </c>
      <c r="X619" s="14" t="s">
        <v>327</v>
      </c>
      <c r="Y619" s="0" t="s">
        <v>221</v>
      </c>
      <c r="Z619" s="14" t="s">
        <v>597</v>
      </c>
      <c r="AA619" s="0" t="s">
        <v>223</v>
      </c>
      <c r="AB619" s="14" t="s">
        <v>138</v>
      </c>
      <c r="AD619" s="0" t="s">
        <v>20</v>
      </c>
      <c r="AF619" s="0">
        <v>0</v>
      </c>
      <c r="AG619" s="0">
        <v>0</v>
      </c>
      <c r="AH619" s="0" t="s">
        <v>140</v>
      </c>
      <c r="AI619" s="0" t="s">
        <v>479</v>
      </c>
      <c r="AL619" s="14"/>
      <c r="AN619" s="14"/>
      <c r="AQ619" s="0" t="s">
        <v>130</v>
      </c>
      <c r="AR619" s="0" t="s">
        <v>130</v>
      </c>
      <c r="AS619" s="0" t="s">
        <v>130</v>
      </c>
      <c r="AT619" s="0" t="s">
        <v>130</v>
      </c>
      <c r="AU619" s="0" t="s">
        <v>130</v>
      </c>
      <c r="AV619" s="0" t="s">
        <v>130</v>
      </c>
      <c r="AW619" s="0" t="s">
        <v>141</v>
      </c>
      <c r="AX619" s="0" t="s">
        <v>130</v>
      </c>
      <c r="AY619" s="0" t="s">
        <v>141</v>
      </c>
      <c r="AZ619" s="0" t="s">
        <v>130</v>
      </c>
      <c r="BA619" s="0" t="s">
        <v>130</v>
      </c>
      <c r="BB619" s="0" t="s">
        <v>130</v>
      </c>
      <c r="BC619" s="0" t="s">
        <v>141</v>
      </c>
      <c r="BD619" s="0" t="s">
        <v>130</v>
      </c>
      <c r="BE619" s="0" t="s">
        <v>130</v>
      </c>
      <c r="BF619" s="0" t="s">
        <v>130</v>
      </c>
      <c r="BG619" s="0" t="s">
        <v>130</v>
      </c>
      <c r="BH619" s="0" t="s">
        <v>141</v>
      </c>
      <c r="BI619" s="0" t="s">
        <v>141</v>
      </c>
      <c r="BJ619" s="0" t="s">
        <v>141</v>
      </c>
      <c r="BK619" s="0" t="s">
        <v>130</v>
      </c>
      <c r="BL619" s="0" t="s">
        <v>130</v>
      </c>
      <c r="BM619" s="0" t="s">
        <v>130</v>
      </c>
      <c r="BN619" s="0" t="s">
        <v>130</v>
      </c>
      <c r="BO619" s="0" t="s">
        <v>130</v>
      </c>
      <c r="BP619" s="0" t="s">
        <v>130</v>
      </c>
      <c r="BQ619" s="0" t="s">
        <v>130</v>
      </c>
      <c r="BR619" s="0" t="s">
        <v>130</v>
      </c>
      <c r="BS619" s="0" t="s">
        <v>130</v>
      </c>
      <c r="BT619" s="0" t="s">
        <v>130</v>
      </c>
      <c r="BU619" s="0" t="s">
        <v>130</v>
      </c>
      <c r="BV619" s="0" t="s">
        <v>141</v>
      </c>
      <c r="BW619" s="0" t="s">
        <v>141</v>
      </c>
      <c r="BX619" s="0" t="s">
        <v>130</v>
      </c>
      <c r="BY619" s="0" t="s">
        <v>130</v>
      </c>
      <c r="BZ619" s="0" t="s">
        <v>130</v>
      </c>
      <c r="CA619" s="0" t="s">
        <v>130</v>
      </c>
      <c r="CB619" s="0" t="s">
        <v>130</v>
      </c>
      <c r="CC619" s="0" t="s">
        <v>130</v>
      </c>
      <c r="CD619" s="0" t="s">
        <v>130</v>
      </c>
      <c r="CE619" s="0" t="s">
        <v>130</v>
      </c>
      <c r="CF619" s="0" t="s">
        <v>130</v>
      </c>
      <c r="CG619" s="0" t="s">
        <v>130</v>
      </c>
      <c r="CH619" s="0" t="s">
        <v>130</v>
      </c>
      <c r="CI619" s="0" t="s">
        <v>130</v>
      </c>
      <c r="CJ619" s="0" t="s">
        <v>130</v>
      </c>
      <c r="CK619" s="0" t="s">
        <v>130</v>
      </c>
      <c r="CL619" s="0" t="s">
        <v>130</v>
      </c>
      <c r="CM619" s="0" t="s">
        <v>130</v>
      </c>
      <c r="CN619" s="0" t="s">
        <v>130</v>
      </c>
      <c r="CO619" s="0" t="s">
        <v>130</v>
      </c>
      <c r="CP619" s="0" t="s">
        <v>130</v>
      </c>
      <c r="CQ619" s="0" t="s">
        <v>130</v>
      </c>
      <c r="CR619" s="0" t="s">
        <v>130</v>
      </c>
      <c r="CS619" s="0" t="s">
        <v>130</v>
      </c>
      <c r="CT619" s="0" t="s">
        <v>2025</v>
      </c>
    </row>
    <row r="620">
      <c r="A620" s="14">
        <v>101779</v>
      </c>
      <c r="B620" s="0" t="s">
        <v>2006</v>
      </c>
      <c r="C620" s="16">
        <f>HYPERLINK("https://eosportal.federatedhermes.com/companies/Q29tcGFueQppODE1NDU=", "Tyson Foods Inc")</f>
      </c>
      <c r="D620" s="0" t="s">
        <v>23</v>
      </c>
      <c r="E620" s="0" t="s">
        <v>2026</v>
      </c>
      <c r="F620" s="16">
        <f>HYPERLINK("https://eosportal.federatedhermes.com/engagements/RW5nYWdlbWVudAppMjExMzE=", "Publish political contributions policy")</f>
      </c>
      <c r="G620" s="14" t="s">
        <v>2027</v>
      </c>
      <c r="H620" s="0" t="s">
        <v>141</v>
      </c>
      <c r="I620" s="14" t="s">
        <v>131</v>
      </c>
      <c r="J620" s="0" t="s">
        <v>153</v>
      </c>
      <c r="K620" s="0" t="s">
        <v>185</v>
      </c>
      <c r="L620" s="0" t="s">
        <v>186</v>
      </c>
      <c r="M620" s="0" t="s">
        <v>135</v>
      </c>
      <c r="N620" s="0" t="s">
        <v>136</v>
      </c>
      <c r="O620" s="0" t="s">
        <v>332</v>
      </c>
      <c r="Q620" s="0" t="s">
        <v>130</v>
      </c>
      <c r="R620" s="0" t="s">
        <v>130</v>
      </c>
      <c r="S620" s="14">
        <v>0</v>
      </c>
      <c r="T620" s="0" t="s">
        <v>249</v>
      </c>
      <c r="U620" s="0" t="s">
        <v>221</v>
      </c>
      <c r="V620" s="14" t="s">
        <v>249</v>
      </c>
      <c r="W620" s="0" t="s">
        <v>221</v>
      </c>
      <c r="X620" s="14" t="s">
        <v>206</v>
      </c>
      <c r="Y620" s="0" t="s">
        <v>223</v>
      </c>
      <c r="Z620" s="14" t="s">
        <v>138</v>
      </c>
      <c r="AA620" s="0" t="s">
        <v>224</v>
      </c>
      <c r="AB620" s="14" t="s">
        <v>138</v>
      </c>
      <c r="AD620" s="0" t="s">
        <v>17</v>
      </c>
      <c r="AF620" s="0">
        <v>0</v>
      </c>
      <c r="AG620" s="0">
        <v>0</v>
      </c>
      <c r="AH620" s="0" t="s">
        <v>140</v>
      </c>
      <c r="AI620" s="0" t="s">
        <v>225</v>
      </c>
      <c r="AL620" s="14"/>
      <c r="AN620" s="14"/>
      <c r="AQ620" s="0" t="s">
        <v>130</v>
      </c>
      <c r="AR620" s="0" t="s">
        <v>130</v>
      </c>
      <c r="AS620" s="0" t="s">
        <v>130</v>
      </c>
      <c r="AT620" s="0" t="s">
        <v>130</v>
      </c>
      <c r="AU620" s="0" t="s">
        <v>130</v>
      </c>
      <c r="AV620" s="0" t="s">
        <v>130</v>
      </c>
      <c r="AW620" s="0" t="s">
        <v>130</v>
      </c>
      <c r="AX620" s="0" t="s">
        <v>130</v>
      </c>
      <c r="AY620" s="0" t="s">
        <v>130</v>
      </c>
      <c r="AZ620" s="0" t="s">
        <v>130</v>
      </c>
      <c r="BA620" s="0" t="s">
        <v>130</v>
      </c>
      <c r="BB620" s="0" t="s">
        <v>130</v>
      </c>
      <c r="BC620" s="0" t="s">
        <v>130</v>
      </c>
      <c r="BD620" s="0" t="s">
        <v>130</v>
      </c>
      <c r="BE620" s="0" t="s">
        <v>130</v>
      </c>
      <c r="BF620" s="0" t="s">
        <v>130</v>
      </c>
      <c r="BG620" s="0" t="s">
        <v>130</v>
      </c>
      <c r="BH620" s="0" t="s">
        <v>130</v>
      </c>
      <c r="BI620" s="0" t="s">
        <v>130</v>
      </c>
      <c r="BJ620" s="0" t="s">
        <v>130</v>
      </c>
      <c r="BK620" s="0" t="s">
        <v>130</v>
      </c>
      <c r="BL620" s="0" t="s">
        <v>130</v>
      </c>
      <c r="BM620" s="0" t="s">
        <v>130</v>
      </c>
      <c r="BN620" s="0" t="s">
        <v>130</v>
      </c>
      <c r="BO620" s="0" t="s">
        <v>130</v>
      </c>
      <c r="BP620" s="0" t="s">
        <v>130</v>
      </c>
      <c r="BQ620" s="0" t="s">
        <v>130</v>
      </c>
      <c r="BR620" s="0" t="s">
        <v>130</v>
      </c>
      <c r="BS620" s="0" t="s">
        <v>130</v>
      </c>
      <c r="BT620" s="0" t="s">
        <v>130</v>
      </c>
      <c r="BU620" s="0" t="s">
        <v>130</v>
      </c>
      <c r="BV620" s="0" t="s">
        <v>130</v>
      </c>
      <c r="BW620" s="0" t="s">
        <v>130</v>
      </c>
      <c r="BX620" s="0" t="s">
        <v>130</v>
      </c>
      <c r="BY620" s="0" t="s">
        <v>130</v>
      </c>
      <c r="BZ620" s="0" t="s">
        <v>130</v>
      </c>
      <c r="CA620" s="0" t="s">
        <v>130</v>
      </c>
      <c r="CB620" s="0" t="s">
        <v>130</v>
      </c>
      <c r="CC620" s="0" t="s">
        <v>130</v>
      </c>
      <c r="CD620" s="0" t="s">
        <v>130</v>
      </c>
      <c r="CE620" s="0" t="s">
        <v>130</v>
      </c>
      <c r="CF620" s="0" t="s">
        <v>130</v>
      </c>
      <c r="CG620" s="0" t="s">
        <v>130</v>
      </c>
      <c r="CH620" s="0" t="s">
        <v>130</v>
      </c>
      <c r="CI620" s="0" t="s">
        <v>130</v>
      </c>
      <c r="CJ620" s="0" t="s">
        <v>130</v>
      </c>
      <c r="CK620" s="0" t="s">
        <v>130</v>
      </c>
      <c r="CL620" s="0" t="s">
        <v>130</v>
      </c>
      <c r="CM620" s="0" t="s">
        <v>130</v>
      </c>
      <c r="CN620" s="0" t="s">
        <v>130</v>
      </c>
      <c r="CO620" s="0" t="s">
        <v>130</v>
      </c>
      <c r="CP620" s="0" t="s">
        <v>130</v>
      </c>
      <c r="CQ620" s="0" t="s">
        <v>130</v>
      </c>
      <c r="CR620" s="0" t="s">
        <v>130</v>
      </c>
      <c r="CS620" s="0" t="s">
        <v>130</v>
      </c>
      <c r="CT620" s="0" t="s">
        <v>2028</v>
      </c>
    </row>
    <row r="621">
      <c r="A621" s="14">
        <v>101779</v>
      </c>
      <c r="B621" s="0" t="s">
        <v>2006</v>
      </c>
      <c r="C621" s="16">
        <f>HYPERLINK("https://eosportal.federatedhermes.com/companies/Q29tcGFueQppODE1NDU=", "Tyson Foods Inc")</f>
      </c>
      <c r="D621" s="0" t="s">
        <v>25</v>
      </c>
      <c r="E621" s="0" t="s">
        <v>540</v>
      </c>
      <c r="F621" s="16">
        <f>HYPERLINK("https://eosportal.federatedhermes.com/engagements/RW5nYWdlbWVudAppMjExMzM=", "Lobbying disclosure")</f>
      </c>
      <c r="G621" s="14" t="s">
        <v>2029</v>
      </c>
      <c r="H621" s="0" t="s">
        <v>141</v>
      </c>
      <c r="I621" s="14" t="s">
        <v>131</v>
      </c>
      <c r="J621" s="0" t="s">
        <v>153</v>
      </c>
      <c r="K621" s="0" t="s">
        <v>185</v>
      </c>
      <c r="L621" s="0" t="s">
        <v>186</v>
      </c>
      <c r="M621" s="0" t="s">
        <v>135</v>
      </c>
      <c r="N621" s="0" t="s">
        <v>136</v>
      </c>
      <c r="O621" s="0" t="s">
        <v>332</v>
      </c>
      <c r="Q621" s="0" t="s">
        <v>130</v>
      </c>
      <c r="R621" s="0" t="s">
        <v>138</v>
      </c>
      <c r="S621" s="14">
        <v>0</v>
      </c>
      <c r="T621" s="0" t="s">
        <v>249</v>
      </c>
      <c r="U621" s="0" t="s">
        <v>138</v>
      </c>
      <c r="V621" s="14" t="s">
        <v>138</v>
      </c>
      <c r="W621" s="0" t="s">
        <v>138</v>
      </c>
      <c r="X621" s="14" t="s">
        <v>138</v>
      </c>
      <c r="Y621" s="0" t="s">
        <v>138</v>
      </c>
      <c r="Z621" s="14" t="s">
        <v>138</v>
      </c>
      <c r="AA621" s="0" t="s">
        <v>138</v>
      </c>
      <c r="AB621" s="14" t="s">
        <v>138</v>
      </c>
      <c r="AD621" s="0" t="s">
        <v>138</v>
      </c>
      <c r="AF621" s="0">
        <v>0</v>
      </c>
      <c r="AG621" s="0">
        <v>0</v>
      </c>
      <c r="AH621" s="0" t="s">
        <v>140</v>
      </c>
      <c r="AI621" s="0" t="s">
        <v>138</v>
      </c>
      <c r="AL621" s="14"/>
      <c r="AN621" s="14"/>
      <c r="AQ621" s="0" t="s">
        <v>130</v>
      </c>
      <c r="AR621" s="0" t="s">
        <v>130</v>
      </c>
      <c r="AS621" s="0" t="s">
        <v>130</v>
      </c>
      <c r="AT621" s="0" t="s">
        <v>130</v>
      </c>
      <c r="AU621" s="0" t="s">
        <v>130</v>
      </c>
      <c r="AV621" s="0" t="s">
        <v>130</v>
      </c>
      <c r="AW621" s="0" t="s">
        <v>130</v>
      </c>
      <c r="AX621" s="0" t="s">
        <v>130</v>
      </c>
      <c r="AY621" s="0" t="s">
        <v>130</v>
      </c>
      <c r="AZ621" s="0" t="s">
        <v>130</v>
      </c>
      <c r="BA621" s="0" t="s">
        <v>130</v>
      </c>
      <c r="BB621" s="0" t="s">
        <v>141</v>
      </c>
      <c r="BC621" s="0" t="s">
        <v>130</v>
      </c>
      <c r="BD621" s="0" t="s">
        <v>130</v>
      </c>
      <c r="BE621" s="0" t="s">
        <v>130</v>
      </c>
      <c r="BF621" s="0" t="s">
        <v>130</v>
      </c>
      <c r="BG621" s="0" t="s">
        <v>130</v>
      </c>
      <c r="BH621" s="0" t="s">
        <v>130</v>
      </c>
      <c r="BI621" s="0" t="s">
        <v>130</v>
      </c>
      <c r="BJ621" s="0" t="s">
        <v>130</v>
      </c>
      <c r="BK621" s="0" t="s">
        <v>130</v>
      </c>
      <c r="BL621" s="0" t="s">
        <v>130</v>
      </c>
      <c r="BM621" s="0" t="s">
        <v>130</v>
      </c>
      <c r="BN621" s="0" t="s">
        <v>130</v>
      </c>
      <c r="BO621" s="0" t="s">
        <v>130</v>
      </c>
      <c r="BP621" s="0" t="s">
        <v>130</v>
      </c>
      <c r="BQ621" s="0" t="s">
        <v>130</v>
      </c>
      <c r="BR621" s="0" t="s">
        <v>130</v>
      </c>
      <c r="BS621" s="0" t="s">
        <v>130</v>
      </c>
      <c r="BT621" s="0" t="s">
        <v>130</v>
      </c>
      <c r="BU621" s="0" t="s">
        <v>130</v>
      </c>
      <c r="BV621" s="0" t="s">
        <v>130</v>
      </c>
      <c r="BW621" s="0" t="s">
        <v>130</v>
      </c>
      <c r="BX621" s="0" t="s">
        <v>130</v>
      </c>
      <c r="BY621" s="0" t="s">
        <v>130</v>
      </c>
      <c r="BZ621" s="0" t="s">
        <v>130</v>
      </c>
      <c r="CA621" s="0" t="s">
        <v>130</v>
      </c>
      <c r="CB621" s="0" t="s">
        <v>130</v>
      </c>
      <c r="CC621" s="0" t="s">
        <v>130</v>
      </c>
      <c r="CD621" s="0" t="s">
        <v>130</v>
      </c>
      <c r="CE621" s="0" t="s">
        <v>130</v>
      </c>
      <c r="CF621" s="0" t="s">
        <v>130</v>
      </c>
      <c r="CG621" s="0" t="s">
        <v>130</v>
      </c>
      <c r="CH621" s="0" t="s">
        <v>130</v>
      </c>
      <c r="CI621" s="0" t="s">
        <v>130</v>
      </c>
      <c r="CJ621" s="0" t="s">
        <v>130</v>
      </c>
      <c r="CK621" s="0" t="s">
        <v>130</v>
      </c>
      <c r="CL621" s="0" t="s">
        <v>130</v>
      </c>
      <c r="CM621" s="0" t="s">
        <v>130</v>
      </c>
      <c r="CN621" s="0" t="s">
        <v>130</v>
      </c>
      <c r="CO621" s="0" t="s">
        <v>130</v>
      </c>
      <c r="CP621" s="0" t="s">
        <v>130</v>
      </c>
      <c r="CQ621" s="0" t="s">
        <v>130</v>
      </c>
      <c r="CR621" s="0" t="s">
        <v>130</v>
      </c>
      <c r="CS621" s="0" t="s">
        <v>130</v>
      </c>
      <c r="CT621" s="0" t="s">
        <v>2030</v>
      </c>
    </row>
    <row r="622">
      <c r="A622" s="14">
        <v>102435</v>
      </c>
      <c r="B622" s="0" t="s">
        <v>2031</v>
      </c>
      <c r="C622" s="16">
        <f>HYPERLINK("https://eosportal.federatedhermes.com/companies/Q29tcGFueQppNzkzOTg=", "Bio-Rad Laboratories Inc")</f>
      </c>
      <c r="D622" s="0" t="s">
        <v>25</v>
      </c>
      <c r="E622" s="0" t="s">
        <v>2032</v>
      </c>
      <c r="F622" s="16">
        <f>HYPERLINK("https://eosportal.federatedhermes.com/engagements/RW5nYWdlbWVudAppMjExNzE=", "Coronavirus")</f>
      </c>
      <c r="G622" s="14" t="s">
        <v>2033</v>
      </c>
      <c r="H622" s="0" t="s">
        <v>130</v>
      </c>
      <c r="I622" s="14" t="s">
        <v>319</v>
      </c>
      <c r="J622" s="0" t="s">
        <v>132</v>
      </c>
      <c r="K622" s="0" t="s">
        <v>260</v>
      </c>
      <c r="L622" s="0" t="s">
        <v>261</v>
      </c>
      <c r="M622" s="0" t="s">
        <v>135</v>
      </c>
      <c r="N622" s="0" t="s">
        <v>136</v>
      </c>
      <c r="O622" s="0" t="s">
        <v>274</v>
      </c>
      <c r="Q622" s="0" t="s">
        <v>130</v>
      </c>
      <c r="R622" s="0" t="s">
        <v>138</v>
      </c>
      <c r="S622" s="14">
        <v>0</v>
      </c>
      <c r="T622" s="0" t="s">
        <v>148</v>
      </c>
      <c r="U622" s="0" t="s">
        <v>138</v>
      </c>
      <c r="V622" s="14" t="s">
        <v>138</v>
      </c>
      <c r="W622" s="0" t="s">
        <v>138</v>
      </c>
      <c r="X622" s="14" t="s">
        <v>138</v>
      </c>
      <c r="Y622" s="0" t="s">
        <v>138</v>
      </c>
      <c r="Z622" s="14" t="s">
        <v>138</v>
      </c>
      <c r="AA622" s="0" t="s">
        <v>138</v>
      </c>
      <c r="AB622" s="14" t="s">
        <v>138</v>
      </c>
      <c r="AD622" s="0" t="s">
        <v>138</v>
      </c>
      <c r="AF622" s="0">
        <v>0</v>
      </c>
      <c r="AG622" s="0">
        <v>0</v>
      </c>
      <c r="AH622" s="0" t="s">
        <v>140</v>
      </c>
      <c r="AI622" s="0" t="s">
        <v>138</v>
      </c>
      <c r="AL622" s="14"/>
      <c r="AN622" s="14"/>
      <c r="AQ622" s="0" t="s">
        <v>130</v>
      </c>
      <c r="AR622" s="0" t="s">
        <v>130</v>
      </c>
      <c r="AS622" s="0" t="s">
        <v>141</v>
      </c>
      <c r="AT622" s="0" t="s">
        <v>130</v>
      </c>
      <c r="AU622" s="0" t="s">
        <v>130</v>
      </c>
      <c r="AV622" s="0" t="s">
        <v>130</v>
      </c>
      <c r="AW622" s="0" t="s">
        <v>130</v>
      </c>
      <c r="AX622" s="0" t="s">
        <v>130</v>
      </c>
      <c r="AY622" s="0" t="s">
        <v>130</v>
      </c>
      <c r="AZ622" s="0" t="s">
        <v>130</v>
      </c>
      <c r="BA622" s="0" t="s">
        <v>130</v>
      </c>
      <c r="BB622" s="0" t="s">
        <v>130</v>
      </c>
      <c r="BC622" s="0" t="s">
        <v>130</v>
      </c>
      <c r="BD622" s="0" t="s">
        <v>130</v>
      </c>
      <c r="BE622" s="0" t="s">
        <v>130</v>
      </c>
      <c r="BF622" s="0" t="s">
        <v>130</v>
      </c>
      <c r="BG622" s="0" t="s">
        <v>130</v>
      </c>
      <c r="BH622" s="0" t="s">
        <v>130</v>
      </c>
      <c r="BI622" s="0" t="s">
        <v>130</v>
      </c>
      <c r="BJ622" s="0" t="s">
        <v>130</v>
      </c>
      <c r="BK622" s="0" t="s">
        <v>130</v>
      </c>
      <c r="BL622" s="0" t="s">
        <v>130</v>
      </c>
      <c r="BM622" s="0" t="s">
        <v>130</v>
      </c>
      <c r="BN622" s="0" t="s">
        <v>130</v>
      </c>
      <c r="BO622" s="0" t="s">
        <v>130</v>
      </c>
      <c r="BP622" s="0" t="s">
        <v>130</v>
      </c>
      <c r="BQ622" s="0" t="s">
        <v>130</v>
      </c>
      <c r="BR622" s="0" t="s">
        <v>130</v>
      </c>
      <c r="BS622" s="0" t="s">
        <v>130</v>
      </c>
      <c r="BT622" s="0" t="s">
        <v>130</v>
      </c>
      <c r="BU622" s="0" t="s">
        <v>130</v>
      </c>
      <c r="BV622" s="0" t="s">
        <v>130</v>
      </c>
      <c r="BW622" s="0" t="s">
        <v>130</v>
      </c>
      <c r="BX622" s="0" t="s">
        <v>130</v>
      </c>
      <c r="BY622" s="0" t="s">
        <v>130</v>
      </c>
      <c r="BZ622" s="0" t="s">
        <v>130</v>
      </c>
      <c r="CA622" s="0" t="s">
        <v>130</v>
      </c>
      <c r="CB622" s="0" t="s">
        <v>130</v>
      </c>
      <c r="CC622" s="0" t="s">
        <v>130</v>
      </c>
      <c r="CD622" s="0" t="s">
        <v>130</v>
      </c>
      <c r="CE622" s="0" t="s">
        <v>130</v>
      </c>
      <c r="CF622" s="0" t="s">
        <v>130</v>
      </c>
      <c r="CG622" s="0" t="s">
        <v>130</v>
      </c>
      <c r="CH622" s="0" t="s">
        <v>130</v>
      </c>
      <c r="CI622" s="0" t="s">
        <v>130</v>
      </c>
      <c r="CJ622" s="0" t="s">
        <v>130</v>
      </c>
      <c r="CK622" s="0" t="s">
        <v>130</v>
      </c>
      <c r="CL622" s="0" t="s">
        <v>130</v>
      </c>
      <c r="CM622" s="0" t="s">
        <v>130</v>
      </c>
      <c r="CN622" s="0" t="s">
        <v>130</v>
      </c>
      <c r="CO622" s="0" t="s">
        <v>130</v>
      </c>
      <c r="CP622" s="0" t="s">
        <v>130</v>
      </c>
      <c r="CQ622" s="0" t="s">
        <v>130</v>
      </c>
      <c r="CR622" s="0" t="s">
        <v>130</v>
      </c>
      <c r="CS622" s="0" t="s">
        <v>130</v>
      </c>
      <c r="CT622" s="0" t="s">
        <v>2034</v>
      </c>
    </row>
    <row r="623">
      <c r="A623" s="14">
        <v>102435</v>
      </c>
      <c r="B623" s="0" t="s">
        <v>2031</v>
      </c>
      <c r="C623" s="16">
        <f>HYPERLINK("https://eosportal.federatedhermes.com/companies/Q29tcGFueQppNzkzOTg=", "Bio-Rad Laboratories Inc")</f>
      </c>
      <c r="D623" s="0" t="s">
        <v>25</v>
      </c>
      <c r="E623" s="0" t="s">
        <v>2035</v>
      </c>
      <c r="F623" s="16">
        <f>HYPERLINK("https://eosportal.federatedhermes.com/engagements/RW5nYWdlbWVudAppMjExNzI=", "Joint chair/CEO")</f>
      </c>
      <c r="G623" s="14" t="s">
        <v>2036</v>
      </c>
      <c r="H623" s="0" t="s">
        <v>130</v>
      </c>
      <c r="I623" s="14" t="s">
        <v>319</v>
      </c>
      <c r="J623" s="0" t="s">
        <v>145</v>
      </c>
      <c r="K623" s="0" t="s">
        <v>164</v>
      </c>
      <c r="L623" s="0" t="s">
        <v>165</v>
      </c>
      <c r="M623" s="0" t="s">
        <v>135</v>
      </c>
      <c r="N623" s="0" t="s">
        <v>136</v>
      </c>
      <c r="O623" s="0" t="s">
        <v>274</v>
      </c>
      <c r="Q623" s="0" t="s">
        <v>130</v>
      </c>
      <c r="R623" s="0" t="s">
        <v>138</v>
      </c>
      <c r="S623" s="14">
        <v>0</v>
      </c>
      <c r="T623" s="0" t="s">
        <v>148</v>
      </c>
      <c r="U623" s="0" t="s">
        <v>138</v>
      </c>
      <c r="V623" s="14" t="s">
        <v>138</v>
      </c>
      <c r="W623" s="0" t="s">
        <v>138</v>
      </c>
      <c r="X623" s="14" t="s">
        <v>138</v>
      </c>
      <c r="Y623" s="0" t="s">
        <v>138</v>
      </c>
      <c r="Z623" s="14" t="s">
        <v>138</v>
      </c>
      <c r="AA623" s="0" t="s">
        <v>138</v>
      </c>
      <c r="AB623" s="14" t="s">
        <v>138</v>
      </c>
      <c r="AD623" s="0" t="s">
        <v>138</v>
      </c>
      <c r="AF623" s="0">
        <v>0</v>
      </c>
      <c r="AG623" s="0">
        <v>0</v>
      </c>
      <c r="AH623" s="0" t="s">
        <v>140</v>
      </c>
      <c r="AI623" s="0" t="s">
        <v>138</v>
      </c>
      <c r="AL623" s="14"/>
      <c r="AN623" s="14"/>
      <c r="AQ623" s="0" t="s">
        <v>130</v>
      </c>
      <c r="AR623" s="0" t="s">
        <v>130</v>
      </c>
      <c r="AS623" s="0" t="s">
        <v>130</v>
      </c>
      <c r="AT623" s="0" t="s">
        <v>130</v>
      </c>
      <c r="AU623" s="0" t="s">
        <v>130</v>
      </c>
      <c r="AV623" s="0" t="s">
        <v>130</v>
      </c>
      <c r="AW623" s="0" t="s">
        <v>130</v>
      </c>
      <c r="AX623" s="0" t="s">
        <v>130</v>
      </c>
      <c r="AY623" s="0" t="s">
        <v>130</v>
      </c>
      <c r="AZ623" s="0" t="s">
        <v>130</v>
      </c>
      <c r="BA623" s="0" t="s">
        <v>130</v>
      </c>
      <c r="BB623" s="0" t="s">
        <v>130</v>
      </c>
      <c r="BC623" s="0" t="s">
        <v>130</v>
      </c>
      <c r="BD623" s="0" t="s">
        <v>130</v>
      </c>
      <c r="BE623" s="0" t="s">
        <v>130</v>
      </c>
      <c r="BF623" s="0" t="s">
        <v>130</v>
      </c>
      <c r="BG623" s="0" t="s">
        <v>130</v>
      </c>
      <c r="BH623" s="0" t="s">
        <v>130</v>
      </c>
      <c r="BI623" s="0" t="s">
        <v>130</v>
      </c>
      <c r="BJ623" s="0" t="s">
        <v>130</v>
      </c>
      <c r="BK623" s="0" t="s">
        <v>130</v>
      </c>
      <c r="BL623" s="0" t="s">
        <v>130</v>
      </c>
      <c r="BM623" s="0" t="s">
        <v>130</v>
      </c>
      <c r="BN623" s="0" t="s">
        <v>130</v>
      </c>
      <c r="BO623" s="0" t="s">
        <v>130</v>
      </c>
      <c r="BP623" s="0" t="s">
        <v>130</v>
      </c>
      <c r="BQ623" s="0" t="s">
        <v>130</v>
      </c>
      <c r="BR623" s="0" t="s">
        <v>130</v>
      </c>
      <c r="BS623" s="0" t="s">
        <v>130</v>
      </c>
      <c r="BT623" s="0" t="s">
        <v>130</v>
      </c>
      <c r="BU623" s="0" t="s">
        <v>130</v>
      </c>
      <c r="BV623" s="0" t="s">
        <v>130</v>
      </c>
      <c r="BW623" s="0" t="s">
        <v>130</v>
      </c>
      <c r="BX623" s="0" t="s">
        <v>130</v>
      </c>
      <c r="BY623" s="0" t="s">
        <v>130</v>
      </c>
      <c r="BZ623" s="0" t="s">
        <v>130</v>
      </c>
      <c r="CA623" s="0" t="s">
        <v>130</v>
      </c>
      <c r="CB623" s="0" t="s">
        <v>130</v>
      </c>
      <c r="CC623" s="0" t="s">
        <v>130</v>
      </c>
      <c r="CD623" s="0" t="s">
        <v>130</v>
      </c>
      <c r="CE623" s="0" t="s">
        <v>130</v>
      </c>
      <c r="CF623" s="0" t="s">
        <v>130</v>
      </c>
      <c r="CG623" s="0" t="s">
        <v>130</v>
      </c>
      <c r="CH623" s="0" t="s">
        <v>130</v>
      </c>
      <c r="CI623" s="0" t="s">
        <v>130</v>
      </c>
      <c r="CJ623" s="0" t="s">
        <v>130</v>
      </c>
      <c r="CK623" s="0" t="s">
        <v>130</v>
      </c>
      <c r="CL623" s="0" t="s">
        <v>130</v>
      </c>
      <c r="CM623" s="0" t="s">
        <v>130</v>
      </c>
      <c r="CN623" s="0" t="s">
        <v>130</v>
      </c>
      <c r="CO623" s="0" t="s">
        <v>130</v>
      </c>
      <c r="CP623" s="0" t="s">
        <v>130</v>
      </c>
      <c r="CQ623" s="0" t="s">
        <v>130</v>
      </c>
      <c r="CR623" s="0" t="s">
        <v>130</v>
      </c>
      <c r="CS623" s="0" t="s">
        <v>130</v>
      </c>
      <c r="CT623" s="0" t="s">
        <v>2037</v>
      </c>
    </row>
    <row r="624">
      <c r="A624" s="14">
        <v>102435</v>
      </c>
      <c r="B624" s="0" t="s">
        <v>2031</v>
      </c>
      <c r="C624" s="16">
        <f>HYPERLINK("https://eosportal.federatedhermes.com/companies/Q29tcGFueQppNzkzOTg=", "Bio-Rad Laboratories Inc")</f>
      </c>
      <c r="D624" s="0" t="s">
        <v>25</v>
      </c>
      <c r="E624" s="0" t="s">
        <v>1900</v>
      </c>
      <c r="F624" s="16">
        <f>HYPERLINK("https://eosportal.federatedhermes.com/engagements/RW5nYWdlbWVudAppMjExNzM=", "Business purpose")</f>
      </c>
      <c r="G624" s="14" t="s">
        <v>2038</v>
      </c>
      <c r="H624" s="0" t="s">
        <v>130</v>
      </c>
      <c r="I624" s="14" t="s">
        <v>319</v>
      </c>
      <c r="J624" s="0" t="s">
        <v>132</v>
      </c>
      <c r="K624" s="0" t="s">
        <v>133</v>
      </c>
      <c r="L624" s="0" t="s">
        <v>134</v>
      </c>
      <c r="M624" s="0" t="s">
        <v>135</v>
      </c>
      <c r="N624" s="0" t="s">
        <v>136</v>
      </c>
      <c r="O624" s="0" t="s">
        <v>274</v>
      </c>
      <c r="Q624" s="0" t="s">
        <v>130</v>
      </c>
      <c r="R624" s="0" t="s">
        <v>138</v>
      </c>
      <c r="S624" s="14">
        <v>0</v>
      </c>
      <c r="T624" s="0" t="s">
        <v>327</v>
      </c>
      <c r="U624" s="0" t="s">
        <v>138</v>
      </c>
      <c r="V624" s="14" t="s">
        <v>138</v>
      </c>
      <c r="W624" s="0" t="s">
        <v>138</v>
      </c>
      <c r="X624" s="14" t="s">
        <v>138</v>
      </c>
      <c r="Y624" s="0" t="s">
        <v>138</v>
      </c>
      <c r="Z624" s="14" t="s">
        <v>138</v>
      </c>
      <c r="AA624" s="0" t="s">
        <v>138</v>
      </c>
      <c r="AB624" s="14" t="s">
        <v>138</v>
      </c>
      <c r="AD624" s="0" t="s">
        <v>138</v>
      </c>
      <c r="AF624" s="0">
        <v>0</v>
      </c>
      <c r="AG624" s="0">
        <v>0</v>
      </c>
      <c r="AH624" s="0" t="s">
        <v>140</v>
      </c>
      <c r="AI624" s="0" t="s">
        <v>138</v>
      </c>
      <c r="AL624" s="14"/>
      <c r="AN624" s="14"/>
      <c r="AQ624" s="0" t="s">
        <v>130</v>
      </c>
      <c r="AR624" s="0" t="s">
        <v>130</v>
      </c>
      <c r="AS624" s="0" t="s">
        <v>130</v>
      </c>
      <c r="AT624" s="0" t="s">
        <v>130</v>
      </c>
      <c r="AU624" s="0" t="s">
        <v>130</v>
      </c>
      <c r="AV624" s="0" t="s">
        <v>130</v>
      </c>
      <c r="AW624" s="0" t="s">
        <v>130</v>
      </c>
      <c r="AX624" s="0" t="s">
        <v>130</v>
      </c>
      <c r="AY624" s="0" t="s">
        <v>130</v>
      </c>
      <c r="AZ624" s="0" t="s">
        <v>130</v>
      </c>
      <c r="BA624" s="0" t="s">
        <v>130</v>
      </c>
      <c r="BB624" s="0" t="s">
        <v>141</v>
      </c>
      <c r="BC624" s="0" t="s">
        <v>130</v>
      </c>
      <c r="BD624" s="0" t="s">
        <v>130</v>
      </c>
      <c r="BE624" s="0" t="s">
        <v>130</v>
      </c>
      <c r="BF624" s="0" t="s">
        <v>130</v>
      </c>
      <c r="BG624" s="0" t="s">
        <v>130</v>
      </c>
      <c r="BH624" s="0" t="s">
        <v>130</v>
      </c>
      <c r="BI624" s="0" t="s">
        <v>130</v>
      </c>
      <c r="BJ624" s="0" t="s">
        <v>130</v>
      </c>
      <c r="BK624" s="0" t="s">
        <v>130</v>
      </c>
      <c r="BL624" s="0" t="s">
        <v>130</v>
      </c>
      <c r="BM624" s="0" t="s">
        <v>130</v>
      </c>
      <c r="BN624" s="0" t="s">
        <v>130</v>
      </c>
      <c r="BO624" s="0" t="s">
        <v>130</v>
      </c>
      <c r="BP624" s="0" t="s">
        <v>130</v>
      </c>
      <c r="BQ624" s="0" t="s">
        <v>130</v>
      </c>
      <c r="BR624" s="0" t="s">
        <v>130</v>
      </c>
      <c r="BS624" s="0" t="s">
        <v>130</v>
      </c>
      <c r="BT624" s="0" t="s">
        <v>130</v>
      </c>
      <c r="BU624" s="0" t="s">
        <v>130</v>
      </c>
      <c r="BV624" s="0" t="s">
        <v>130</v>
      </c>
      <c r="BW624" s="0" t="s">
        <v>130</v>
      </c>
      <c r="BX624" s="0" t="s">
        <v>130</v>
      </c>
      <c r="BY624" s="0" t="s">
        <v>130</v>
      </c>
      <c r="BZ624" s="0" t="s">
        <v>130</v>
      </c>
      <c r="CA624" s="0" t="s">
        <v>130</v>
      </c>
      <c r="CB624" s="0" t="s">
        <v>130</v>
      </c>
      <c r="CC624" s="0" t="s">
        <v>130</v>
      </c>
      <c r="CD624" s="0" t="s">
        <v>130</v>
      </c>
      <c r="CE624" s="0" t="s">
        <v>130</v>
      </c>
      <c r="CF624" s="0" t="s">
        <v>130</v>
      </c>
      <c r="CG624" s="0" t="s">
        <v>130</v>
      </c>
      <c r="CH624" s="0" t="s">
        <v>130</v>
      </c>
      <c r="CI624" s="0" t="s">
        <v>130</v>
      </c>
      <c r="CJ624" s="0" t="s">
        <v>130</v>
      </c>
      <c r="CK624" s="0" t="s">
        <v>130</v>
      </c>
      <c r="CL624" s="0" t="s">
        <v>130</v>
      </c>
      <c r="CM624" s="0" t="s">
        <v>130</v>
      </c>
      <c r="CN624" s="0" t="s">
        <v>130</v>
      </c>
      <c r="CO624" s="0" t="s">
        <v>130</v>
      </c>
      <c r="CP624" s="0" t="s">
        <v>130</v>
      </c>
      <c r="CQ624" s="0" t="s">
        <v>130</v>
      </c>
      <c r="CR624" s="0" t="s">
        <v>130</v>
      </c>
      <c r="CS624" s="0" t="s">
        <v>130</v>
      </c>
      <c r="CT624" s="0" t="s">
        <v>2039</v>
      </c>
    </row>
    <row r="625">
      <c r="A625" s="14">
        <v>102435</v>
      </c>
      <c r="B625" s="0" t="s">
        <v>2031</v>
      </c>
      <c r="C625" s="16">
        <f>HYPERLINK("https://eosportal.federatedhermes.com/companies/Q29tcGFueQppNzkzOTg=", "Bio-Rad Laboratories Inc")</f>
      </c>
      <c r="D625" s="0" t="s">
        <v>25</v>
      </c>
      <c r="E625" s="0" t="s">
        <v>1044</v>
      </c>
      <c r="F625" s="16">
        <f>HYPERLINK("https://eosportal.federatedhermes.com/engagements/RW5nYWdlbWVudAppMjExNzc=", "Classified board")</f>
      </c>
      <c r="G625" s="14" t="s">
        <v>2040</v>
      </c>
      <c r="H625" s="0" t="s">
        <v>130</v>
      </c>
      <c r="I625" s="14" t="s">
        <v>319</v>
      </c>
      <c r="J625" s="0" t="s">
        <v>145</v>
      </c>
      <c r="K625" s="0" t="s">
        <v>400</v>
      </c>
      <c r="L625" s="0" t="s">
        <v>507</v>
      </c>
      <c r="M625" s="0" t="s">
        <v>135</v>
      </c>
      <c r="N625" s="0" t="s">
        <v>136</v>
      </c>
      <c r="O625" s="0" t="s">
        <v>274</v>
      </c>
      <c r="Q625" s="0" t="s">
        <v>130</v>
      </c>
      <c r="R625" s="0" t="s">
        <v>138</v>
      </c>
      <c r="S625" s="14">
        <v>0</v>
      </c>
      <c r="T625" s="0" t="s">
        <v>355</v>
      </c>
      <c r="U625" s="0" t="s">
        <v>138</v>
      </c>
      <c r="V625" s="14" t="s">
        <v>138</v>
      </c>
      <c r="W625" s="0" t="s">
        <v>138</v>
      </c>
      <c r="X625" s="14" t="s">
        <v>138</v>
      </c>
      <c r="Y625" s="0" t="s">
        <v>138</v>
      </c>
      <c r="Z625" s="14" t="s">
        <v>138</v>
      </c>
      <c r="AA625" s="0" t="s">
        <v>138</v>
      </c>
      <c r="AB625" s="14" t="s">
        <v>138</v>
      </c>
      <c r="AD625" s="0" t="s">
        <v>138</v>
      </c>
      <c r="AF625" s="0">
        <v>0</v>
      </c>
      <c r="AG625" s="0">
        <v>0</v>
      </c>
      <c r="AH625" s="0" t="s">
        <v>140</v>
      </c>
      <c r="AI625" s="0" t="s">
        <v>138</v>
      </c>
      <c r="AL625" s="14"/>
      <c r="AN625" s="14"/>
      <c r="AQ625" s="0" t="s">
        <v>130</v>
      </c>
      <c r="AR625" s="0" t="s">
        <v>130</v>
      </c>
      <c r="AS625" s="0" t="s">
        <v>130</v>
      </c>
      <c r="AT625" s="0" t="s">
        <v>130</v>
      </c>
      <c r="AU625" s="0" t="s">
        <v>130</v>
      </c>
      <c r="AV625" s="0" t="s">
        <v>130</v>
      </c>
      <c r="AW625" s="0" t="s">
        <v>130</v>
      </c>
      <c r="AX625" s="0" t="s">
        <v>130</v>
      </c>
      <c r="AY625" s="0" t="s">
        <v>130</v>
      </c>
      <c r="AZ625" s="0" t="s">
        <v>130</v>
      </c>
      <c r="BA625" s="0" t="s">
        <v>130</v>
      </c>
      <c r="BB625" s="0" t="s">
        <v>130</v>
      </c>
      <c r="BC625" s="0" t="s">
        <v>130</v>
      </c>
      <c r="BD625" s="0" t="s">
        <v>130</v>
      </c>
      <c r="BE625" s="0" t="s">
        <v>130</v>
      </c>
      <c r="BF625" s="0" t="s">
        <v>130</v>
      </c>
      <c r="BG625" s="0" t="s">
        <v>130</v>
      </c>
      <c r="BH625" s="0" t="s">
        <v>130</v>
      </c>
      <c r="BI625" s="0" t="s">
        <v>130</v>
      </c>
      <c r="BJ625" s="0" t="s">
        <v>130</v>
      </c>
      <c r="BK625" s="0" t="s">
        <v>130</v>
      </c>
      <c r="BL625" s="0" t="s">
        <v>130</v>
      </c>
      <c r="BM625" s="0" t="s">
        <v>130</v>
      </c>
      <c r="BN625" s="0" t="s">
        <v>130</v>
      </c>
      <c r="BO625" s="0" t="s">
        <v>130</v>
      </c>
      <c r="BP625" s="0" t="s">
        <v>130</v>
      </c>
      <c r="BQ625" s="0" t="s">
        <v>130</v>
      </c>
      <c r="BR625" s="0" t="s">
        <v>130</v>
      </c>
      <c r="BS625" s="0" t="s">
        <v>130</v>
      </c>
      <c r="BT625" s="0" t="s">
        <v>130</v>
      </c>
      <c r="BU625" s="0" t="s">
        <v>130</v>
      </c>
      <c r="BV625" s="0" t="s">
        <v>130</v>
      </c>
      <c r="BW625" s="0" t="s">
        <v>130</v>
      </c>
      <c r="BX625" s="0" t="s">
        <v>130</v>
      </c>
      <c r="BY625" s="0" t="s">
        <v>130</v>
      </c>
      <c r="BZ625" s="0" t="s">
        <v>130</v>
      </c>
      <c r="CA625" s="0" t="s">
        <v>130</v>
      </c>
      <c r="CB625" s="0" t="s">
        <v>130</v>
      </c>
      <c r="CC625" s="0" t="s">
        <v>130</v>
      </c>
      <c r="CD625" s="0" t="s">
        <v>130</v>
      </c>
      <c r="CE625" s="0" t="s">
        <v>130</v>
      </c>
      <c r="CF625" s="0" t="s">
        <v>130</v>
      </c>
      <c r="CG625" s="0" t="s">
        <v>130</v>
      </c>
      <c r="CH625" s="0" t="s">
        <v>130</v>
      </c>
      <c r="CI625" s="0" t="s">
        <v>130</v>
      </c>
      <c r="CJ625" s="0" t="s">
        <v>130</v>
      </c>
      <c r="CK625" s="0" t="s">
        <v>130</v>
      </c>
      <c r="CL625" s="0" t="s">
        <v>130</v>
      </c>
      <c r="CM625" s="0" t="s">
        <v>130</v>
      </c>
      <c r="CN625" s="0" t="s">
        <v>130</v>
      </c>
      <c r="CO625" s="0" t="s">
        <v>130</v>
      </c>
      <c r="CP625" s="0" t="s">
        <v>130</v>
      </c>
      <c r="CQ625" s="0" t="s">
        <v>130</v>
      </c>
      <c r="CR625" s="0" t="s">
        <v>130</v>
      </c>
      <c r="CS625" s="0" t="s">
        <v>130</v>
      </c>
      <c r="CT625" s="0" t="s">
        <v>2041</v>
      </c>
    </row>
    <row r="626">
      <c r="A626" s="14">
        <v>114322</v>
      </c>
      <c r="B626" s="0" t="s">
        <v>2042</v>
      </c>
      <c r="C626" s="16">
        <f>HYPERLINK("https://eosportal.federatedhermes.com/companies/Q29tcGFueQppNjc3MjY=", "Nintendo Co Ltd")</f>
      </c>
      <c r="D626" s="0" t="s">
        <v>25</v>
      </c>
      <c r="E626" s="0" t="s">
        <v>1516</v>
      </c>
      <c r="F626" s="16">
        <f>HYPERLINK("https://eosportal.federatedhermes.com/engagements/RW5nYWdlbWVudAppMjEyNDI=", "Cyber security")</f>
      </c>
      <c r="G626" s="14" t="s">
        <v>2043</v>
      </c>
      <c r="H626" s="0" t="s">
        <v>141</v>
      </c>
      <c r="I626" s="14" t="s">
        <v>131</v>
      </c>
      <c r="J626" s="0" t="s">
        <v>132</v>
      </c>
      <c r="K626" s="0" t="s">
        <v>260</v>
      </c>
      <c r="L626" s="0" t="s">
        <v>261</v>
      </c>
      <c r="M626" s="0" t="s">
        <v>802</v>
      </c>
      <c r="N626" s="0" t="s">
        <v>952</v>
      </c>
      <c r="O626" s="0" t="s">
        <v>137</v>
      </c>
      <c r="Q626" s="0" t="s">
        <v>141</v>
      </c>
      <c r="R626" s="0" t="s">
        <v>138</v>
      </c>
      <c r="S626" s="14">
        <v>1</v>
      </c>
      <c r="T626" s="0" t="s">
        <v>457</v>
      </c>
      <c r="U626" s="0" t="s">
        <v>138</v>
      </c>
      <c r="V626" s="14" t="s">
        <v>138</v>
      </c>
      <c r="W626" s="0" t="s">
        <v>138</v>
      </c>
      <c r="X626" s="14" t="s">
        <v>138</v>
      </c>
      <c r="Y626" s="0" t="s">
        <v>138</v>
      </c>
      <c r="Z626" s="14" t="s">
        <v>138</v>
      </c>
      <c r="AA626" s="0" t="s">
        <v>138</v>
      </c>
      <c r="AB626" s="14" t="s">
        <v>138</v>
      </c>
      <c r="AD626" s="0" t="s">
        <v>138</v>
      </c>
      <c r="AF626" s="0">
        <v>0</v>
      </c>
      <c r="AG626" s="0">
        <v>0</v>
      </c>
      <c r="AH626" s="0" t="s">
        <v>140</v>
      </c>
      <c r="AI626" s="0" t="s">
        <v>138</v>
      </c>
      <c r="AK626" s="0" t="s">
        <v>2044</v>
      </c>
      <c r="AL626" s="14"/>
      <c r="AN626" s="14"/>
      <c r="AQ626" s="0" t="s">
        <v>130</v>
      </c>
      <c r="AR626" s="0" t="s">
        <v>130</v>
      </c>
      <c r="AS626" s="0" t="s">
        <v>130</v>
      </c>
      <c r="AT626" s="0" t="s">
        <v>130</v>
      </c>
      <c r="AU626" s="0" t="s">
        <v>130</v>
      </c>
      <c r="AV626" s="0" t="s">
        <v>130</v>
      </c>
      <c r="AW626" s="0" t="s">
        <v>130</v>
      </c>
      <c r="AX626" s="0" t="s">
        <v>130</v>
      </c>
      <c r="AY626" s="0" t="s">
        <v>141</v>
      </c>
      <c r="AZ626" s="0" t="s">
        <v>130</v>
      </c>
      <c r="BA626" s="0" t="s">
        <v>130</v>
      </c>
      <c r="BB626" s="0" t="s">
        <v>130</v>
      </c>
      <c r="BC626" s="0" t="s">
        <v>130</v>
      </c>
      <c r="BD626" s="0" t="s">
        <v>130</v>
      </c>
      <c r="BE626" s="0" t="s">
        <v>130</v>
      </c>
      <c r="BF626" s="0" t="s">
        <v>130</v>
      </c>
      <c r="BG626" s="0" t="s">
        <v>130</v>
      </c>
      <c r="BH626" s="0" t="s">
        <v>130</v>
      </c>
      <c r="BI626" s="0" t="s">
        <v>130</v>
      </c>
      <c r="BJ626" s="0" t="s">
        <v>130</v>
      </c>
      <c r="BK626" s="0" t="s">
        <v>130</v>
      </c>
      <c r="BL626" s="0" t="s">
        <v>130</v>
      </c>
      <c r="BM626" s="0" t="s">
        <v>130</v>
      </c>
      <c r="BN626" s="0" t="s">
        <v>130</v>
      </c>
      <c r="BO626" s="0" t="s">
        <v>130</v>
      </c>
      <c r="BP626" s="0" t="s">
        <v>130</v>
      </c>
      <c r="BQ626" s="0" t="s">
        <v>130</v>
      </c>
      <c r="BR626" s="0" t="s">
        <v>130</v>
      </c>
      <c r="BS626" s="0" t="s">
        <v>130</v>
      </c>
      <c r="BT626" s="0" t="s">
        <v>130</v>
      </c>
      <c r="BU626" s="0" t="s">
        <v>130</v>
      </c>
      <c r="BV626" s="0" t="s">
        <v>130</v>
      </c>
      <c r="BW626" s="0" t="s">
        <v>130</v>
      </c>
      <c r="BX626" s="0" t="s">
        <v>130</v>
      </c>
      <c r="BY626" s="0" t="s">
        <v>130</v>
      </c>
      <c r="BZ626" s="0" t="s">
        <v>130</v>
      </c>
      <c r="CA626" s="0" t="s">
        <v>130</v>
      </c>
      <c r="CB626" s="0" t="s">
        <v>130</v>
      </c>
      <c r="CC626" s="0" t="s">
        <v>130</v>
      </c>
      <c r="CD626" s="0" t="s">
        <v>130</v>
      </c>
      <c r="CE626" s="0" t="s">
        <v>130</v>
      </c>
      <c r="CF626" s="0" t="s">
        <v>130</v>
      </c>
      <c r="CG626" s="0" t="s">
        <v>130</v>
      </c>
      <c r="CH626" s="0" t="s">
        <v>130</v>
      </c>
      <c r="CI626" s="0" t="s">
        <v>130</v>
      </c>
      <c r="CJ626" s="0" t="s">
        <v>130</v>
      </c>
      <c r="CK626" s="0" t="s">
        <v>130</v>
      </c>
      <c r="CL626" s="0" t="s">
        <v>130</v>
      </c>
      <c r="CM626" s="0" t="s">
        <v>130</v>
      </c>
      <c r="CN626" s="0" t="s">
        <v>130</v>
      </c>
      <c r="CO626" s="0" t="s">
        <v>130</v>
      </c>
      <c r="CP626" s="0" t="s">
        <v>130</v>
      </c>
      <c r="CQ626" s="0" t="s">
        <v>130</v>
      </c>
      <c r="CR626" s="0" t="s">
        <v>130</v>
      </c>
      <c r="CS626" s="0" t="s">
        <v>130</v>
      </c>
      <c r="CT626" s="0" t="s">
        <v>2045</v>
      </c>
    </row>
    <row r="627">
      <c r="A627" s="14">
        <v>114322</v>
      </c>
      <c r="B627" s="0" t="s">
        <v>2042</v>
      </c>
      <c r="C627" s="16">
        <f>HYPERLINK("https://eosportal.federatedhermes.com/companies/Q29tcGFueQppNjc3MjY=", "Nintendo Co Ltd")</f>
      </c>
      <c r="D627" s="0" t="s">
        <v>25</v>
      </c>
      <c r="E627" s="0" t="s">
        <v>2046</v>
      </c>
      <c r="F627" s="16">
        <f>HYPERLINK("https://eosportal.federatedhermes.com/engagements/RW5nYWdlbWVudAppMjEyNDQ=", "Cyber security and child protection")</f>
      </c>
      <c r="G627" s="14" t="s">
        <v>2047</v>
      </c>
      <c r="H627" s="0" t="s">
        <v>141</v>
      </c>
      <c r="I627" s="14" t="s">
        <v>131</v>
      </c>
      <c r="J627" s="0" t="s">
        <v>132</v>
      </c>
      <c r="K627" s="0" t="s">
        <v>260</v>
      </c>
      <c r="L627" s="0" t="s">
        <v>261</v>
      </c>
      <c r="M627" s="0" t="s">
        <v>802</v>
      </c>
      <c r="N627" s="0" t="s">
        <v>952</v>
      </c>
      <c r="O627" s="0" t="s">
        <v>137</v>
      </c>
      <c r="Q627" s="0" t="s">
        <v>141</v>
      </c>
      <c r="R627" s="0" t="s">
        <v>138</v>
      </c>
      <c r="S627" s="14">
        <v>2</v>
      </c>
      <c r="T627" s="0" t="s">
        <v>457</v>
      </c>
      <c r="U627" s="0" t="s">
        <v>138</v>
      </c>
      <c r="V627" s="14" t="s">
        <v>138</v>
      </c>
      <c r="W627" s="0" t="s">
        <v>138</v>
      </c>
      <c r="X627" s="14" t="s">
        <v>138</v>
      </c>
      <c r="Y627" s="0" t="s">
        <v>138</v>
      </c>
      <c r="Z627" s="14" t="s">
        <v>138</v>
      </c>
      <c r="AA627" s="0" t="s">
        <v>138</v>
      </c>
      <c r="AB627" s="14" t="s">
        <v>138</v>
      </c>
      <c r="AD627" s="0" t="s">
        <v>138</v>
      </c>
      <c r="AF627" s="0">
        <v>0</v>
      </c>
      <c r="AG627" s="0">
        <v>0</v>
      </c>
      <c r="AH627" s="0" t="s">
        <v>140</v>
      </c>
      <c r="AI627" s="0" t="s">
        <v>138</v>
      </c>
      <c r="AK627" s="0" t="s">
        <v>2044</v>
      </c>
      <c r="AL627" s="14"/>
      <c r="AN627" s="14"/>
      <c r="AQ627" s="0" t="s">
        <v>130</v>
      </c>
      <c r="AR627" s="0" t="s">
        <v>130</v>
      </c>
      <c r="AS627" s="0" t="s">
        <v>130</v>
      </c>
      <c r="AT627" s="0" t="s">
        <v>130</v>
      </c>
      <c r="AU627" s="0" t="s">
        <v>130</v>
      </c>
      <c r="AV627" s="0" t="s">
        <v>130</v>
      </c>
      <c r="AW627" s="0" t="s">
        <v>130</v>
      </c>
      <c r="AX627" s="0" t="s">
        <v>130</v>
      </c>
      <c r="AY627" s="0" t="s">
        <v>141</v>
      </c>
      <c r="AZ627" s="0" t="s">
        <v>130</v>
      </c>
      <c r="BA627" s="0" t="s">
        <v>130</v>
      </c>
      <c r="BB627" s="0" t="s">
        <v>130</v>
      </c>
      <c r="BC627" s="0" t="s">
        <v>130</v>
      </c>
      <c r="BD627" s="0" t="s">
        <v>130</v>
      </c>
      <c r="BE627" s="0" t="s">
        <v>130</v>
      </c>
      <c r="BF627" s="0" t="s">
        <v>130</v>
      </c>
      <c r="BG627" s="0" t="s">
        <v>130</v>
      </c>
      <c r="BH627" s="0" t="s">
        <v>130</v>
      </c>
      <c r="BI627" s="0" t="s">
        <v>130</v>
      </c>
      <c r="BJ627" s="0" t="s">
        <v>130</v>
      </c>
      <c r="BK627" s="0" t="s">
        <v>130</v>
      </c>
      <c r="BL627" s="0" t="s">
        <v>130</v>
      </c>
      <c r="BM627" s="0" t="s">
        <v>130</v>
      </c>
      <c r="BN627" s="0" t="s">
        <v>130</v>
      </c>
      <c r="BO627" s="0" t="s">
        <v>130</v>
      </c>
      <c r="BP627" s="0" t="s">
        <v>130</v>
      </c>
      <c r="BQ627" s="0" t="s">
        <v>130</v>
      </c>
      <c r="BR627" s="0" t="s">
        <v>130</v>
      </c>
      <c r="BS627" s="0" t="s">
        <v>130</v>
      </c>
      <c r="BT627" s="0" t="s">
        <v>130</v>
      </c>
      <c r="BU627" s="0" t="s">
        <v>130</v>
      </c>
      <c r="BV627" s="0" t="s">
        <v>130</v>
      </c>
      <c r="BW627" s="0" t="s">
        <v>130</v>
      </c>
      <c r="BX627" s="0" t="s">
        <v>130</v>
      </c>
      <c r="BY627" s="0" t="s">
        <v>130</v>
      </c>
      <c r="BZ627" s="0" t="s">
        <v>130</v>
      </c>
      <c r="CA627" s="0" t="s">
        <v>130</v>
      </c>
      <c r="CB627" s="0" t="s">
        <v>130</v>
      </c>
      <c r="CC627" s="0" t="s">
        <v>130</v>
      </c>
      <c r="CD627" s="0" t="s">
        <v>130</v>
      </c>
      <c r="CE627" s="0" t="s">
        <v>130</v>
      </c>
      <c r="CF627" s="0" t="s">
        <v>130</v>
      </c>
      <c r="CG627" s="0" t="s">
        <v>130</v>
      </c>
      <c r="CH627" s="0" t="s">
        <v>130</v>
      </c>
      <c r="CI627" s="0" t="s">
        <v>130</v>
      </c>
      <c r="CJ627" s="0" t="s">
        <v>130</v>
      </c>
      <c r="CK627" s="0" t="s">
        <v>130</v>
      </c>
      <c r="CL627" s="0" t="s">
        <v>130</v>
      </c>
      <c r="CM627" s="0" t="s">
        <v>130</v>
      </c>
      <c r="CN627" s="0" t="s">
        <v>130</v>
      </c>
      <c r="CO627" s="0" t="s">
        <v>130</v>
      </c>
      <c r="CP627" s="0" t="s">
        <v>130</v>
      </c>
      <c r="CQ627" s="0" t="s">
        <v>130</v>
      </c>
      <c r="CR627" s="0" t="s">
        <v>130</v>
      </c>
      <c r="CS627" s="0" t="s">
        <v>130</v>
      </c>
      <c r="CT627" s="0" t="s">
        <v>2048</v>
      </c>
    </row>
    <row r="628">
      <c r="A628" s="14">
        <v>114322</v>
      </c>
      <c r="B628" s="0" t="s">
        <v>2042</v>
      </c>
      <c r="C628" s="16">
        <f>HYPERLINK("https://eosportal.federatedhermes.com/companies/Q29tcGFueQppNjc3MjY=", "Nintendo Co Ltd")</f>
      </c>
      <c r="D628" s="0" t="s">
        <v>25</v>
      </c>
      <c r="E628" s="0" t="s">
        <v>2049</v>
      </c>
      <c r="F628" s="16">
        <f>HYPERLINK("https://eosportal.federatedhermes.com/engagements/RW5nYWdlbWVudAppMjEyNDU=", "Review of business strategy")</f>
      </c>
      <c r="G628" s="14" t="s">
        <v>2050</v>
      </c>
      <c r="H628" s="0" t="s">
        <v>141</v>
      </c>
      <c r="I628" s="14" t="s">
        <v>131</v>
      </c>
      <c r="J628" s="0" t="s">
        <v>153</v>
      </c>
      <c r="K628" s="0" t="s">
        <v>243</v>
      </c>
      <c r="L628" s="0" t="s">
        <v>244</v>
      </c>
      <c r="M628" s="0" t="s">
        <v>802</v>
      </c>
      <c r="N628" s="0" t="s">
        <v>952</v>
      </c>
      <c r="O628" s="0" t="s">
        <v>137</v>
      </c>
      <c r="Q628" s="0" t="s">
        <v>141</v>
      </c>
      <c r="R628" s="0" t="s">
        <v>138</v>
      </c>
      <c r="S628" s="14">
        <v>2</v>
      </c>
      <c r="T628" s="0" t="s">
        <v>920</v>
      </c>
      <c r="U628" s="0" t="s">
        <v>138</v>
      </c>
      <c r="V628" s="14" t="s">
        <v>138</v>
      </c>
      <c r="W628" s="0" t="s">
        <v>138</v>
      </c>
      <c r="X628" s="14" t="s">
        <v>138</v>
      </c>
      <c r="Y628" s="0" t="s">
        <v>138</v>
      </c>
      <c r="Z628" s="14" t="s">
        <v>138</v>
      </c>
      <c r="AA628" s="0" t="s">
        <v>138</v>
      </c>
      <c r="AB628" s="14" t="s">
        <v>138</v>
      </c>
      <c r="AD628" s="0" t="s">
        <v>138</v>
      </c>
      <c r="AF628" s="0">
        <v>0</v>
      </c>
      <c r="AG628" s="0">
        <v>0</v>
      </c>
      <c r="AH628" s="0" t="s">
        <v>140</v>
      </c>
      <c r="AI628" s="0" t="s">
        <v>138</v>
      </c>
      <c r="AK628" s="0" t="s">
        <v>2044</v>
      </c>
      <c r="AL628" s="14"/>
      <c r="AN628" s="14"/>
      <c r="AQ628" s="0" t="s">
        <v>130</v>
      </c>
      <c r="AR628" s="0" t="s">
        <v>130</v>
      </c>
      <c r="AS628" s="0" t="s">
        <v>130</v>
      </c>
      <c r="AT628" s="0" t="s">
        <v>130</v>
      </c>
      <c r="AU628" s="0" t="s">
        <v>130</v>
      </c>
      <c r="AV628" s="0" t="s">
        <v>130</v>
      </c>
      <c r="AW628" s="0" t="s">
        <v>130</v>
      </c>
      <c r="AX628" s="0" t="s">
        <v>130</v>
      </c>
      <c r="AY628" s="0" t="s">
        <v>130</v>
      </c>
      <c r="AZ628" s="0" t="s">
        <v>130</v>
      </c>
      <c r="BA628" s="0" t="s">
        <v>130</v>
      </c>
      <c r="BB628" s="0" t="s">
        <v>130</v>
      </c>
      <c r="BC628" s="0" t="s">
        <v>130</v>
      </c>
      <c r="BD628" s="0" t="s">
        <v>130</v>
      </c>
      <c r="BE628" s="0" t="s">
        <v>130</v>
      </c>
      <c r="BF628" s="0" t="s">
        <v>130</v>
      </c>
      <c r="BG628" s="0" t="s">
        <v>130</v>
      </c>
      <c r="BH628" s="0" t="s">
        <v>130</v>
      </c>
      <c r="BI628" s="0" t="s">
        <v>130</v>
      </c>
      <c r="BJ628" s="0" t="s">
        <v>130</v>
      </c>
      <c r="BK628" s="0" t="s">
        <v>130</v>
      </c>
      <c r="BL628" s="0" t="s">
        <v>130</v>
      </c>
      <c r="BM628" s="0" t="s">
        <v>130</v>
      </c>
      <c r="BN628" s="0" t="s">
        <v>130</v>
      </c>
      <c r="BO628" s="0" t="s">
        <v>130</v>
      </c>
      <c r="BP628" s="0" t="s">
        <v>130</v>
      </c>
      <c r="BQ628" s="0" t="s">
        <v>130</v>
      </c>
      <c r="BR628" s="0" t="s">
        <v>130</v>
      </c>
      <c r="BS628" s="0" t="s">
        <v>130</v>
      </c>
      <c r="BT628" s="0" t="s">
        <v>130</v>
      </c>
      <c r="BU628" s="0" t="s">
        <v>130</v>
      </c>
      <c r="BV628" s="0" t="s">
        <v>130</v>
      </c>
      <c r="BW628" s="0" t="s">
        <v>130</v>
      </c>
      <c r="BX628" s="0" t="s">
        <v>130</v>
      </c>
      <c r="BY628" s="0" t="s">
        <v>130</v>
      </c>
      <c r="BZ628" s="0" t="s">
        <v>130</v>
      </c>
      <c r="CA628" s="0" t="s">
        <v>130</v>
      </c>
      <c r="CB628" s="0" t="s">
        <v>130</v>
      </c>
      <c r="CC628" s="0" t="s">
        <v>130</v>
      </c>
      <c r="CD628" s="0" t="s">
        <v>130</v>
      </c>
      <c r="CE628" s="0" t="s">
        <v>130</v>
      </c>
      <c r="CF628" s="0" t="s">
        <v>130</v>
      </c>
      <c r="CG628" s="0" t="s">
        <v>130</v>
      </c>
      <c r="CH628" s="0" t="s">
        <v>130</v>
      </c>
      <c r="CI628" s="0" t="s">
        <v>130</v>
      </c>
      <c r="CJ628" s="0" t="s">
        <v>130</v>
      </c>
      <c r="CK628" s="0" t="s">
        <v>130</v>
      </c>
      <c r="CL628" s="0" t="s">
        <v>130</v>
      </c>
      <c r="CM628" s="0" t="s">
        <v>130</v>
      </c>
      <c r="CN628" s="0" t="s">
        <v>130</v>
      </c>
      <c r="CO628" s="0" t="s">
        <v>130</v>
      </c>
      <c r="CP628" s="0" t="s">
        <v>130</v>
      </c>
      <c r="CQ628" s="0" t="s">
        <v>130</v>
      </c>
      <c r="CR628" s="0" t="s">
        <v>130</v>
      </c>
      <c r="CS628" s="0" t="s">
        <v>130</v>
      </c>
      <c r="CT628" s="0" t="s">
        <v>2051</v>
      </c>
    </row>
    <row r="629">
      <c r="A629" s="14">
        <v>114322</v>
      </c>
      <c r="B629" s="0" t="s">
        <v>2042</v>
      </c>
      <c r="C629" s="16">
        <f>HYPERLINK("https://eosportal.federatedhermes.com/companies/Q29tcGFueQppNjc3MjY=", "Nintendo Co Ltd")</f>
      </c>
      <c r="D629" s="0" t="s">
        <v>25</v>
      </c>
      <c r="E629" s="0" t="s">
        <v>2052</v>
      </c>
      <c r="F629" s="16">
        <f>HYPERLINK("https://eosportal.federatedhermes.com/engagements/RW5nYWdlbWVudAppMjEyNDY=", "Forced relocation from Xinjiang for Chinese ethnic minorities")</f>
      </c>
      <c r="G629" s="14" t="s">
        <v>2053</v>
      </c>
      <c r="H629" s="0" t="s">
        <v>141</v>
      </c>
      <c r="I629" s="14" t="s">
        <v>131</v>
      </c>
      <c r="J629" s="0" t="s">
        <v>153</v>
      </c>
      <c r="K629" s="0" t="s">
        <v>243</v>
      </c>
      <c r="L629" s="0" t="s">
        <v>456</v>
      </c>
      <c r="M629" s="0" t="s">
        <v>802</v>
      </c>
      <c r="N629" s="0" t="s">
        <v>952</v>
      </c>
      <c r="O629" s="0" t="s">
        <v>137</v>
      </c>
      <c r="Q629" s="0" t="s">
        <v>130</v>
      </c>
      <c r="R629" s="0" t="s">
        <v>138</v>
      </c>
      <c r="S629" s="14">
        <v>0</v>
      </c>
      <c r="T629" s="0" t="s">
        <v>394</v>
      </c>
      <c r="U629" s="0" t="s">
        <v>138</v>
      </c>
      <c r="V629" s="14" t="s">
        <v>138</v>
      </c>
      <c r="W629" s="0" t="s">
        <v>138</v>
      </c>
      <c r="X629" s="14" t="s">
        <v>138</v>
      </c>
      <c r="Y629" s="0" t="s">
        <v>138</v>
      </c>
      <c r="Z629" s="14" t="s">
        <v>138</v>
      </c>
      <c r="AA629" s="0" t="s">
        <v>138</v>
      </c>
      <c r="AB629" s="14" t="s">
        <v>138</v>
      </c>
      <c r="AD629" s="0" t="s">
        <v>138</v>
      </c>
      <c r="AF629" s="0">
        <v>0</v>
      </c>
      <c r="AG629" s="0">
        <v>0</v>
      </c>
      <c r="AH629" s="0" t="s">
        <v>140</v>
      </c>
      <c r="AI629" s="0" t="s">
        <v>138</v>
      </c>
      <c r="AL629" s="14"/>
      <c r="AN629" s="14"/>
      <c r="AQ629" s="0" t="s">
        <v>130</v>
      </c>
      <c r="AR629" s="0" t="s">
        <v>130</v>
      </c>
      <c r="AS629" s="0" t="s">
        <v>130</v>
      </c>
      <c r="AT629" s="0" t="s">
        <v>130</v>
      </c>
      <c r="AU629" s="0" t="s">
        <v>130</v>
      </c>
      <c r="AV629" s="0" t="s">
        <v>130</v>
      </c>
      <c r="AW629" s="0" t="s">
        <v>130</v>
      </c>
      <c r="AX629" s="0" t="s">
        <v>141</v>
      </c>
      <c r="AY629" s="0" t="s">
        <v>130</v>
      </c>
      <c r="AZ629" s="0" t="s">
        <v>130</v>
      </c>
      <c r="BA629" s="0" t="s">
        <v>130</v>
      </c>
      <c r="BB629" s="0" t="s">
        <v>130</v>
      </c>
      <c r="BC629" s="0" t="s">
        <v>130</v>
      </c>
      <c r="BD629" s="0" t="s">
        <v>130</v>
      </c>
      <c r="BE629" s="0" t="s">
        <v>130</v>
      </c>
      <c r="BF629" s="0" t="s">
        <v>141</v>
      </c>
      <c r="BG629" s="0" t="s">
        <v>130</v>
      </c>
      <c r="BH629" s="0" t="s">
        <v>130</v>
      </c>
      <c r="BI629" s="0" t="s">
        <v>130</v>
      </c>
      <c r="BJ629" s="0" t="s">
        <v>130</v>
      </c>
      <c r="BK629" s="0" t="s">
        <v>130</v>
      </c>
      <c r="BL629" s="0" t="s">
        <v>130</v>
      </c>
      <c r="BM629" s="0" t="s">
        <v>130</v>
      </c>
      <c r="BN629" s="0" t="s">
        <v>130</v>
      </c>
      <c r="BO629" s="0" t="s">
        <v>130</v>
      </c>
      <c r="BP629" s="0" t="s">
        <v>130</v>
      </c>
      <c r="BQ629" s="0" t="s">
        <v>130</v>
      </c>
      <c r="BR629" s="0" t="s">
        <v>130</v>
      </c>
      <c r="BS629" s="0" t="s">
        <v>130</v>
      </c>
      <c r="BT629" s="0" t="s">
        <v>130</v>
      </c>
      <c r="BU629" s="0" t="s">
        <v>130</v>
      </c>
      <c r="BV629" s="0" t="s">
        <v>130</v>
      </c>
      <c r="BW629" s="0" t="s">
        <v>130</v>
      </c>
      <c r="BX629" s="0" t="s">
        <v>130</v>
      </c>
      <c r="BY629" s="0" t="s">
        <v>130</v>
      </c>
      <c r="BZ629" s="0" t="s">
        <v>130</v>
      </c>
      <c r="CA629" s="0" t="s">
        <v>130</v>
      </c>
      <c r="CB629" s="0" t="s">
        <v>130</v>
      </c>
      <c r="CC629" s="0" t="s">
        <v>130</v>
      </c>
      <c r="CD629" s="0" t="s">
        <v>130</v>
      </c>
      <c r="CE629" s="0" t="s">
        <v>130</v>
      </c>
      <c r="CF629" s="0" t="s">
        <v>130</v>
      </c>
      <c r="CG629" s="0" t="s">
        <v>130</v>
      </c>
      <c r="CH629" s="0" t="s">
        <v>130</v>
      </c>
      <c r="CI629" s="0" t="s">
        <v>130</v>
      </c>
      <c r="CJ629" s="0" t="s">
        <v>130</v>
      </c>
      <c r="CK629" s="0" t="s">
        <v>130</v>
      </c>
      <c r="CL629" s="0" t="s">
        <v>130</v>
      </c>
      <c r="CM629" s="0" t="s">
        <v>130</v>
      </c>
      <c r="CN629" s="0" t="s">
        <v>130</v>
      </c>
      <c r="CO629" s="0" t="s">
        <v>130</v>
      </c>
      <c r="CP629" s="0" t="s">
        <v>130</v>
      </c>
      <c r="CQ629" s="0" t="s">
        <v>130</v>
      </c>
      <c r="CR629" s="0" t="s">
        <v>130</v>
      </c>
      <c r="CS629" s="0" t="s">
        <v>130</v>
      </c>
      <c r="CT629" s="0" t="s">
        <v>2054</v>
      </c>
    </row>
    <row r="630">
      <c r="A630" s="14">
        <v>114322</v>
      </c>
      <c r="B630" s="0" t="s">
        <v>2042</v>
      </c>
      <c r="C630" s="16">
        <f>HYPERLINK("https://eosportal.federatedhermes.com/companies/Q29tcGFueQppNjc3MjY=", "Nintendo Co Ltd")</f>
      </c>
      <c r="D630" s="0" t="s">
        <v>25</v>
      </c>
      <c r="E630" s="0" t="s">
        <v>2055</v>
      </c>
      <c r="F630" s="16">
        <f>HYPERLINK("https://eosportal.federatedhermes.com/engagements/RW5nYWdlbWVudAppMjEyNTI=", "Returns to shareholders")</f>
      </c>
      <c r="G630" s="14" t="s">
        <v>2056</v>
      </c>
      <c r="H630" s="0" t="s">
        <v>141</v>
      </c>
      <c r="I630" s="14" t="s">
        <v>131</v>
      </c>
      <c r="J630" s="0" t="s">
        <v>132</v>
      </c>
      <c r="K630" s="0" t="s">
        <v>133</v>
      </c>
      <c r="L630" s="0" t="s">
        <v>753</v>
      </c>
      <c r="M630" s="0" t="s">
        <v>802</v>
      </c>
      <c r="N630" s="0" t="s">
        <v>952</v>
      </c>
      <c r="O630" s="0" t="s">
        <v>137</v>
      </c>
      <c r="Q630" s="0" t="s">
        <v>130</v>
      </c>
      <c r="R630" s="0" t="s">
        <v>138</v>
      </c>
      <c r="S630" s="14">
        <v>0</v>
      </c>
      <c r="T630" s="0" t="s">
        <v>1296</v>
      </c>
      <c r="U630" s="0" t="s">
        <v>138</v>
      </c>
      <c r="V630" s="14" t="s">
        <v>138</v>
      </c>
      <c r="W630" s="0" t="s">
        <v>138</v>
      </c>
      <c r="X630" s="14" t="s">
        <v>138</v>
      </c>
      <c r="Y630" s="0" t="s">
        <v>138</v>
      </c>
      <c r="Z630" s="14" t="s">
        <v>138</v>
      </c>
      <c r="AA630" s="0" t="s">
        <v>138</v>
      </c>
      <c r="AB630" s="14" t="s">
        <v>138</v>
      </c>
      <c r="AD630" s="0" t="s">
        <v>138</v>
      </c>
      <c r="AF630" s="0">
        <v>0</v>
      </c>
      <c r="AG630" s="0">
        <v>0</v>
      </c>
      <c r="AH630" s="0" t="s">
        <v>140</v>
      </c>
      <c r="AI630" s="0" t="s">
        <v>138</v>
      </c>
      <c r="AL630" s="14"/>
      <c r="AN630" s="14"/>
      <c r="AQ630" s="0" t="s">
        <v>130</v>
      </c>
      <c r="AR630" s="0" t="s">
        <v>130</v>
      </c>
      <c r="AS630" s="0" t="s">
        <v>130</v>
      </c>
      <c r="AT630" s="0" t="s">
        <v>130</v>
      </c>
      <c r="AU630" s="0" t="s">
        <v>130</v>
      </c>
      <c r="AV630" s="0" t="s">
        <v>130</v>
      </c>
      <c r="AW630" s="0" t="s">
        <v>130</v>
      </c>
      <c r="AX630" s="0" t="s">
        <v>130</v>
      </c>
      <c r="AY630" s="0" t="s">
        <v>130</v>
      </c>
      <c r="AZ630" s="0" t="s">
        <v>130</v>
      </c>
      <c r="BA630" s="0" t="s">
        <v>130</v>
      </c>
      <c r="BB630" s="0" t="s">
        <v>130</v>
      </c>
      <c r="BC630" s="0" t="s">
        <v>130</v>
      </c>
      <c r="BD630" s="0" t="s">
        <v>130</v>
      </c>
      <c r="BE630" s="0" t="s">
        <v>130</v>
      </c>
      <c r="BF630" s="0" t="s">
        <v>130</v>
      </c>
      <c r="BG630" s="0" t="s">
        <v>130</v>
      </c>
      <c r="BH630" s="0" t="s">
        <v>130</v>
      </c>
      <c r="BI630" s="0" t="s">
        <v>130</v>
      </c>
      <c r="BJ630" s="0" t="s">
        <v>130</v>
      </c>
      <c r="BK630" s="0" t="s">
        <v>130</v>
      </c>
      <c r="BL630" s="0" t="s">
        <v>130</v>
      </c>
      <c r="BM630" s="0" t="s">
        <v>130</v>
      </c>
      <c r="BN630" s="0" t="s">
        <v>130</v>
      </c>
      <c r="BO630" s="0" t="s">
        <v>130</v>
      </c>
      <c r="BP630" s="0" t="s">
        <v>130</v>
      </c>
      <c r="BQ630" s="0" t="s">
        <v>130</v>
      </c>
      <c r="BR630" s="0" t="s">
        <v>130</v>
      </c>
      <c r="BS630" s="0" t="s">
        <v>130</v>
      </c>
      <c r="BT630" s="0" t="s">
        <v>130</v>
      </c>
      <c r="BU630" s="0" t="s">
        <v>130</v>
      </c>
      <c r="BV630" s="0" t="s">
        <v>130</v>
      </c>
      <c r="BW630" s="0" t="s">
        <v>130</v>
      </c>
      <c r="BX630" s="0" t="s">
        <v>130</v>
      </c>
      <c r="BY630" s="0" t="s">
        <v>130</v>
      </c>
      <c r="BZ630" s="0" t="s">
        <v>130</v>
      </c>
      <c r="CA630" s="0" t="s">
        <v>130</v>
      </c>
      <c r="CB630" s="0" t="s">
        <v>130</v>
      </c>
      <c r="CC630" s="0" t="s">
        <v>130</v>
      </c>
      <c r="CD630" s="0" t="s">
        <v>130</v>
      </c>
      <c r="CE630" s="0" t="s">
        <v>130</v>
      </c>
      <c r="CF630" s="0" t="s">
        <v>130</v>
      </c>
      <c r="CG630" s="0" t="s">
        <v>130</v>
      </c>
      <c r="CH630" s="0" t="s">
        <v>130</v>
      </c>
      <c r="CI630" s="0" t="s">
        <v>130</v>
      </c>
      <c r="CJ630" s="0" t="s">
        <v>130</v>
      </c>
      <c r="CK630" s="0" t="s">
        <v>130</v>
      </c>
      <c r="CL630" s="0" t="s">
        <v>130</v>
      </c>
      <c r="CM630" s="0" t="s">
        <v>130</v>
      </c>
      <c r="CN630" s="0" t="s">
        <v>130</v>
      </c>
      <c r="CO630" s="0" t="s">
        <v>130</v>
      </c>
      <c r="CP630" s="0" t="s">
        <v>130</v>
      </c>
      <c r="CQ630" s="0" t="s">
        <v>130</v>
      </c>
      <c r="CR630" s="0" t="s">
        <v>130</v>
      </c>
      <c r="CS630" s="0" t="s">
        <v>130</v>
      </c>
      <c r="CT630" s="0" t="s">
        <v>2057</v>
      </c>
    </row>
    <row r="631">
      <c r="A631" s="14">
        <v>114322</v>
      </c>
      <c r="B631" s="0" t="s">
        <v>2042</v>
      </c>
      <c r="C631" s="16">
        <f>HYPERLINK("https://eosportal.federatedhermes.com/companies/Q29tcGFueQppNjc3MjY=", "Nintendo Co Ltd")</f>
      </c>
      <c r="D631" s="0" t="s">
        <v>25</v>
      </c>
      <c r="E631" s="0" t="s">
        <v>1511</v>
      </c>
      <c r="F631" s="16">
        <f>HYPERLINK("https://eosportal.federatedhermes.com/engagements/RW5nYWdlbWVudAppMjEyNTM=", "Supply chain labour standards")</f>
      </c>
      <c r="G631" s="14" t="s">
        <v>2058</v>
      </c>
      <c r="H631" s="0" t="s">
        <v>141</v>
      </c>
      <c r="I631" s="14" t="s">
        <v>131</v>
      </c>
      <c r="J631" s="0" t="s">
        <v>153</v>
      </c>
      <c r="K631" s="0" t="s">
        <v>243</v>
      </c>
      <c r="L631" s="0" t="s">
        <v>244</v>
      </c>
      <c r="M631" s="0" t="s">
        <v>802</v>
      </c>
      <c r="N631" s="0" t="s">
        <v>952</v>
      </c>
      <c r="O631" s="0" t="s">
        <v>137</v>
      </c>
      <c r="Q631" s="0" t="s">
        <v>141</v>
      </c>
      <c r="R631" s="0" t="s">
        <v>138</v>
      </c>
      <c r="S631" s="14">
        <v>1</v>
      </c>
      <c r="T631" s="0" t="s">
        <v>249</v>
      </c>
      <c r="U631" s="0" t="s">
        <v>138</v>
      </c>
      <c r="V631" s="14" t="s">
        <v>138</v>
      </c>
      <c r="W631" s="0" t="s">
        <v>138</v>
      </c>
      <c r="X631" s="14" t="s">
        <v>138</v>
      </c>
      <c r="Y631" s="0" t="s">
        <v>138</v>
      </c>
      <c r="Z631" s="14" t="s">
        <v>138</v>
      </c>
      <c r="AA631" s="0" t="s">
        <v>138</v>
      </c>
      <c r="AB631" s="14" t="s">
        <v>138</v>
      </c>
      <c r="AD631" s="0" t="s">
        <v>138</v>
      </c>
      <c r="AF631" s="0">
        <v>0</v>
      </c>
      <c r="AG631" s="0">
        <v>0</v>
      </c>
      <c r="AH631" s="0" t="s">
        <v>140</v>
      </c>
      <c r="AI631" s="0" t="s">
        <v>138</v>
      </c>
      <c r="AK631" s="0" t="s">
        <v>2044</v>
      </c>
      <c r="AL631" s="14"/>
      <c r="AN631" s="14"/>
      <c r="AQ631" s="0" t="s">
        <v>130</v>
      </c>
      <c r="AR631" s="0" t="s">
        <v>130</v>
      </c>
      <c r="AS631" s="0" t="s">
        <v>130</v>
      </c>
      <c r="AT631" s="0" t="s">
        <v>130</v>
      </c>
      <c r="AU631" s="0" t="s">
        <v>130</v>
      </c>
      <c r="AV631" s="0" t="s">
        <v>130</v>
      </c>
      <c r="AW631" s="0" t="s">
        <v>130</v>
      </c>
      <c r="AX631" s="0" t="s">
        <v>141</v>
      </c>
      <c r="AY631" s="0" t="s">
        <v>130</v>
      </c>
      <c r="AZ631" s="0" t="s">
        <v>130</v>
      </c>
      <c r="BA631" s="0" t="s">
        <v>130</v>
      </c>
      <c r="BB631" s="0" t="s">
        <v>130</v>
      </c>
      <c r="BC631" s="0" t="s">
        <v>130</v>
      </c>
      <c r="BD631" s="0" t="s">
        <v>130</v>
      </c>
      <c r="BE631" s="0" t="s">
        <v>130</v>
      </c>
      <c r="BF631" s="0" t="s">
        <v>130</v>
      </c>
      <c r="BG631" s="0" t="s">
        <v>130</v>
      </c>
      <c r="BH631" s="0" t="s">
        <v>130</v>
      </c>
      <c r="BI631" s="0" t="s">
        <v>130</v>
      </c>
      <c r="BJ631" s="0" t="s">
        <v>130</v>
      </c>
      <c r="BK631" s="0" t="s">
        <v>130</v>
      </c>
      <c r="BL631" s="0" t="s">
        <v>130</v>
      </c>
      <c r="BM631" s="0" t="s">
        <v>130</v>
      </c>
      <c r="BN631" s="0" t="s">
        <v>130</v>
      </c>
      <c r="BO631" s="0" t="s">
        <v>130</v>
      </c>
      <c r="BP631" s="0" t="s">
        <v>130</v>
      </c>
      <c r="BQ631" s="0" t="s">
        <v>130</v>
      </c>
      <c r="BR631" s="0" t="s">
        <v>130</v>
      </c>
      <c r="BS631" s="0" t="s">
        <v>130</v>
      </c>
      <c r="BT631" s="0" t="s">
        <v>130</v>
      </c>
      <c r="BU631" s="0" t="s">
        <v>130</v>
      </c>
      <c r="BV631" s="0" t="s">
        <v>130</v>
      </c>
      <c r="BW631" s="0" t="s">
        <v>130</v>
      </c>
      <c r="BX631" s="0" t="s">
        <v>130</v>
      </c>
      <c r="BY631" s="0" t="s">
        <v>130</v>
      </c>
      <c r="BZ631" s="0" t="s">
        <v>130</v>
      </c>
      <c r="CA631" s="0" t="s">
        <v>130</v>
      </c>
      <c r="CB631" s="0" t="s">
        <v>130</v>
      </c>
      <c r="CC631" s="0" t="s">
        <v>130</v>
      </c>
      <c r="CD631" s="0" t="s">
        <v>130</v>
      </c>
      <c r="CE631" s="0" t="s">
        <v>130</v>
      </c>
      <c r="CF631" s="0" t="s">
        <v>130</v>
      </c>
      <c r="CG631" s="0" t="s">
        <v>130</v>
      </c>
      <c r="CH631" s="0" t="s">
        <v>130</v>
      </c>
      <c r="CI631" s="0" t="s">
        <v>130</v>
      </c>
      <c r="CJ631" s="0" t="s">
        <v>130</v>
      </c>
      <c r="CK631" s="0" t="s">
        <v>130</v>
      </c>
      <c r="CL631" s="0" t="s">
        <v>130</v>
      </c>
      <c r="CM631" s="0" t="s">
        <v>130</v>
      </c>
      <c r="CN631" s="0" t="s">
        <v>130</v>
      </c>
      <c r="CO631" s="0" t="s">
        <v>130</v>
      </c>
      <c r="CP631" s="0" t="s">
        <v>130</v>
      </c>
      <c r="CQ631" s="0" t="s">
        <v>130</v>
      </c>
      <c r="CR631" s="0" t="s">
        <v>130</v>
      </c>
      <c r="CS631" s="0" t="s">
        <v>130</v>
      </c>
      <c r="CT631" s="0" t="s">
        <v>2059</v>
      </c>
    </row>
    <row r="632">
      <c r="A632" s="14">
        <v>114322</v>
      </c>
      <c r="B632" s="0" t="s">
        <v>2042</v>
      </c>
      <c r="C632" s="16">
        <f>HYPERLINK("https://eosportal.federatedhermes.com/companies/Q29tcGFueQppNjc3MjY=", "Nintendo Co Ltd")</f>
      </c>
      <c r="D632" s="0" t="s">
        <v>25</v>
      </c>
      <c r="E632" s="0" t="s">
        <v>2060</v>
      </c>
      <c r="F632" s="16">
        <f>HYPERLINK("https://eosportal.federatedhermes.com/engagements/RW5nYWdlbWVudAppMjEyNTQ=", "executive remuenration")</f>
      </c>
      <c r="G632" s="14" t="s">
        <v>2061</v>
      </c>
      <c r="H632" s="0" t="s">
        <v>141</v>
      </c>
      <c r="I632" s="14" t="s">
        <v>131</v>
      </c>
      <c r="J632" s="0" t="s">
        <v>145</v>
      </c>
      <c r="K632" s="0" t="s">
        <v>146</v>
      </c>
      <c r="L632" s="0" t="s">
        <v>147</v>
      </c>
      <c r="M632" s="0" t="s">
        <v>802</v>
      </c>
      <c r="N632" s="0" t="s">
        <v>952</v>
      </c>
      <c r="O632" s="0" t="s">
        <v>137</v>
      </c>
      <c r="Q632" s="0" t="s">
        <v>130</v>
      </c>
      <c r="R632" s="0" t="s">
        <v>138</v>
      </c>
      <c r="S632" s="14">
        <v>0</v>
      </c>
      <c r="T632" s="0" t="s">
        <v>148</v>
      </c>
      <c r="U632" s="0" t="s">
        <v>138</v>
      </c>
      <c r="V632" s="14" t="s">
        <v>138</v>
      </c>
      <c r="W632" s="0" t="s">
        <v>138</v>
      </c>
      <c r="X632" s="14" t="s">
        <v>138</v>
      </c>
      <c r="Y632" s="0" t="s">
        <v>138</v>
      </c>
      <c r="Z632" s="14" t="s">
        <v>138</v>
      </c>
      <c r="AA632" s="0" t="s">
        <v>138</v>
      </c>
      <c r="AB632" s="14" t="s">
        <v>138</v>
      </c>
      <c r="AD632" s="0" t="s">
        <v>138</v>
      </c>
      <c r="AF632" s="0">
        <v>0</v>
      </c>
      <c r="AG632" s="0">
        <v>0</v>
      </c>
      <c r="AH632" s="0" t="s">
        <v>140</v>
      </c>
      <c r="AI632" s="0" t="s">
        <v>138</v>
      </c>
      <c r="AL632" s="14"/>
      <c r="AN632" s="14"/>
      <c r="AQ632" s="0" t="s">
        <v>130</v>
      </c>
      <c r="AR632" s="0" t="s">
        <v>130</v>
      </c>
      <c r="AS632" s="0" t="s">
        <v>130</v>
      </c>
      <c r="AT632" s="0" t="s">
        <v>130</v>
      </c>
      <c r="AU632" s="0" t="s">
        <v>130</v>
      </c>
      <c r="AV632" s="0" t="s">
        <v>130</v>
      </c>
      <c r="AW632" s="0" t="s">
        <v>130</v>
      </c>
      <c r="AX632" s="0" t="s">
        <v>130</v>
      </c>
      <c r="AY632" s="0" t="s">
        <v>130</v>
      </c>
      <c r="AZ632" s="0" t="s">
        <v>130</v>
      </c>
      <c r="BA632" s="0" t="s">
        <v>130</v>
      </c>
      <c r="BB632" s="0" t="s">
        <v>130</v>
      </c>
      <c r="BC632" s="0" t="s">
        <v>130</v>
      </c>
      <c r="BD632" s="0" t="s">
        <v>130</v>
      </c>
      <c r="BE632" s="0" t="s">
        <v>130</v>
      </c>
      <c r="BF632" s="0" t="s">
        <v>130</v>
      </c>
      <c r="BG632" s="0" t="s">
        <v>130</v>
      </c>
      <c r="BH632" s="0" t="s">
        <v>130</v>
      </c>
      <c r="BI632" s="0" t="s">
        <v>130</v>
      </c>
      <c r="BJ632" s="0" t="s">
        <v>130</v>
      </c>
      <c r="BK632" s="0" t="s">
        <v>130</v>
      </c>
      <c r="BL632" s="0" t="s">
        <v>130</v>
      </c>
      <c r="BM632" s="0" t="s">
        <v>130</v>
      </c>
      <c r="BN632" s="0" t="s">
        <v>130</v>
      </c>
      <c r="BO632" s="0" t="s">
        <v>130</v>
      </c>
      <c r="BP632" s="0" t="s">
        <v>130</v>
      </c>
      <c r="BQ632" s="0" t="s">
        <v>130</v>
      </c>
      <c r="BR632" s="0" t="s">
        <v>130</v>
      </c>
      <c r="BS632" s="0" t="s">
        <v>130</v>
      </c>
      <c r="BT632" s="0" t="s">
        <v>130</v>
      </c>
      <c r="BU632" s="0" t="s">
        <v>130</v>
      </c>
      <c r="BV632" s="0" t="s">
        <v>130</v>
      </c>
      <c r="BW632" s="0" t="s">
        <v>130</v>
      </c>
      <c r="BX632" s="0" t="s">
        <v>130</v>
      </c>
      <c r="BY632" s="0" t="s">
        <v>130</v>
      </c>
      <c r="BZ632" s="0" t="s">
        <v>130</v>
      </c>
      <c r="CA632" s="0" t="s">
        <v>130</v>
      </c>
      <c r="CB632" s="0" t="s">
        <v>130</v>
      </c>
      <c r="CC632" s="0" t="s">
        <v>130</v>
      </c>
      <c r="CD632" s="0" t="s">
        <v>130</v>
      </c>
      <c r="CE632" s="0" t="s">
        <v>130</v>
      </c>
      <c r="CF632" s="0" t="s">
        <v>130</v>
      </c>
      <c r="CG632" s="0" t="s">
        <v>130</v>
      </c>
      <c r="CH632" s="0" t="s">
        <v>130</v>
      </c>
      <c r="CI632" s="0" t="s">
        <v>130</v>
      </c>
      <c r="CJ632" s="0" t="s">
        <v>130</v>
      </c>
      <c r="CK632" s="0" t="s">
        <v>130</v>
      </c>
      <c r="CL632" s="0" t="s">
        <v>130</v>
      </c>
      <c r="CM632" s="0" t="s">
        <v>130</v>
      </c>
      <c r="CN632" s="0" t="s">
        <v>130</v>
      </c>
      <c r="CO632" s="0" t="s">
        <v>130</v>
      </c>
      <c r="CP632" s="0" t="s">
        <v>130</v>
      </c>
      <c r="CQ632" s="0" t="s">
        <v>130</v>
      </c>
      <c r="CR632" s="0" t="s">
        <v>130</v>
      </c>
      <c r="CS632" s="0" t="s">
        <v>130</v>
      </c>
      <c r="CT632" s="0" t="s">
        <v>2062</v>
      </c>
    </row>
    <row r="633">
      <c r="A633" s="14">
        <v>114322</v>
      </c>
      <c r="B633" s="0" t="s">
        <v>2042</v>
      </c>
      <c r="C633" s="16">
        <f>HYPERLINK("https://eosportal.federatedhermes.com/companies/Q29tcGFueQppNjc3MjY=", "Nintendo Co Ltd")</f>
      </c>
      <c r="D633" s="0" t="s">
        <v>25</v>
      </c>
      <c r="E633" s="0" t="s">
        <v>2063</v>
      </c>
      <c r="F633" s="16">
        <f>HYPERLINK("https://eosportal.federatedhermes.com/engagements/RW5nYWdlbWVudAppMjEyNTU=", "Product recycling")</f>
      </c>
      <c r="G633" s="14" t="s">
        <v>2064</v>
      </c>
      <c r="H633" s="0" t="s">
        <v>141</v>
      </c>
      <c r="I633" s="14" t="s">
        <v>131</v>
      </c>
      <c r="J633" s="0" t="s">
        <v>197</v>
      </c>
      <c r="K633" s="0" t="s">
        <v>348</v>
      </c>
      <c r="L633" s="0" t="s">
        <v>349</v>
      </c>
      <c r="M633" s="0" t="s">
        <v>802</v>
      </c>
      <c r="N633" s="0" t="s">
        <v>952</v>
      </c>
      <c r="O633" s="0" t="s">
        <v>137</v>
      </c>
      <c r="Q633" s="0" t="s">
        <v>130</v>
      </c>
      <c r="R633" s="0" t="s">
        <v>138</v>
      </c>
      <c r="S633" s="14">
        <v>0</v>
      </c>
      <c r="T633" s="0" t="s">
        <v>333</v>
      </c>
      <c r="U633" s="0" t="s">
        <v>138</v>
      </c>
      <c r="V633" s="14" t="s">
        <v>138</v>
      </c>
      <c r="W633" s="0" t="s">
        <v>138</v>
      </c>
      <c r="X633" s="14" t="s">
        <v>138</v>
      </c>
      <c r="Y633" s="0" t="s">
        <v>138</v>
      </c>
      <c r="Z633" s="14" t="s">
        <v>138</v>
      </c>
      <c r="AA633" s="0" t="s">
        <v>138</v>
      </c>
      <c r="AB633" s="14" t="s">
        <v>138</v>
      </c>
      <c r="AD633" s="0" t="s">
        <v>138</v>
      </c>
      <c r="AF633" s="0">
        <v>0</v>
      </c>
      <c r="AG633" s="0">
        <v>0</v>
      </c>
      <c r="AH633" s="0" t="s">
        <v>140</v>
      </c>
      <c r="AI633" s="0" t="s">
        <v>138</v>
      </c>
      <c r="AL633" s="14"/>
      <c r="AN633" s="14"/>
      <c r="AQ633" s="0" t="s">
        <v>130</v>
      </c>
      <c r="AR633" s="0" t="s">
        <v>130</v>
      </c>
      <c r="AS633" s="0" t="s">
        <v>130</v>
      </c>
      <c r="AT633" s="0" t="s">
        <v>130</v>
      </c>
      <c r="AU633" s="0" t="s">
        <v>130</v>
      </c>
      <c r="AV633" s="0" t="s">
        <v>130</v>
      </c>
      <c r="AW633" s="0" t="s">
        <v>130</v>
      </c>
      <c r="AX633" s="0" t="s">
        <v>130</v>
      </c>
      <c r="AY633" s="0" t="s">
        <v>130</v>
      </c>
      <c r="AZ633" s="0" t="s">
        <v>130</v>
      </c>
      <c r="BA633" s="0" t="s">
        <v>130</v>
      </c>
      <c r="BB633" s="0" t="s">
        <v>141</v>
      </c>
      <c r="BC633" s="0" t="s">
        <v>130</v>
      </c>
      <c r="BD633" s="0" t="s">
        <v>130</v>
      </c>
      <c r="BE633" s="0" t="s">
        <v>130</v>
      </c>
      <c r="BF633" s="0" t="s">
        <v>130</v>
      </c>
      <c r="BG633" s="0" t="s">
        <v>130</v>
      </c>
      <c r="BH633" s="0" t="s">
        <v>130</v>
      </c>
      <c r="BI633" s="0" t="s">
        <v>130</v>
      </c>
      <c r="BJ633" s="0" t="s">
        <v>130</v>
      </c>
      <c r="BK633" s="0" t="s">
        <v>130</v>
      </c>
      <c r="BL633" s="0" t="s">
        <v>130</v>
      </c>
      <c r="BM633" s="0" t="s">
        <v>130</v>
      </c>
      <c r="BN633" s="0" t="s">
        <v>130</v>
      </c>
      <c r="BO633" s="0" t="s">
        <v>130</v>
      </c>
      <c r="BP633" s="0" t="s">
        <v>130</v>
      </c>
      <c r="BQ633" s="0" t="s">
        <v>130</v>
      </c>
      <c r="BR633" s="0" t="s">
        <v>130</v>
      </c>
      <c r="BS633" s="0" t="s">
        <v>130</v>
      </c>
      <c r="BT633" s="0" t="s">
        <v>130</v>
      </c>
      <c r="BU633" s="0" t="s">
        <v>130</v>
      </c>
      <c r="BV633" s="0" t="s">
        <v>130</v>
      </c>
      <c r="BW633" s="0" t="s">
        <v>130</v>
      </c>
      <c r="BX633" s="0" t="s">
        <v>130</v>
      </c>
      <c r="BY633" s="0" t="s">
        <v>130</v>
      </c>
      <c r="BZ633" s="0" t="s">
        <v>130</v>
      </c>
      <c r="CA633" s="0" t="s">
        <v>130</v>
      </c>
      <c r="CB633" s="0" t="s">
        <v>130</v>
      </c>
      <c r="CC633" s="0" t="s">
        <v>130</v>
      </c>
      <c r="CD633" s="0" t="s">
        <v>141</v>
      </c>
      <c r="CE633" s="0" t="s">
        <v>130</v>
      </c>
      <c r="CF633" s="0" t="s">
        <v>130</v>
      </c>
      <c r="CG633" s="0" t="s">
        <v>130</v>
      </c>
      <c r="CH633" s="0" t="s">
        <v>130</v>
      </c>
      <c r="CI633" s="0" t="s">
        <v>130</v>
      </c>
      <c r="CJ633" s="0" t="s">
        <v>130</v>
      </c>
      <c r="CK633" s="0" t="s">
        <v>130</v>
      </c>
      <c r="CL633" s="0" t="s">
        <v>130</v>
      </c>
      <c r="CM633" s="0" t="s">
        <v>130</v>
      </c>
      <c r="CN633" s="0" t="s">
        <v>130</v>
      </c>
      <c r="CO633" s="0" t="s">
        <v>130</v>
      </c>
      <c r="CP633" s="0" t="s">
        <v>130</v>
      </c>
      <c r="CQ633" s="0" t="s">
        <v>130</v>
      </c>
      <c r="CR633" s="0" t="s">
        <v>130</v>
      </c>
      <c r="CS633" s="0" t="s">
        <v>130</v>
      </c>
      <c r="CT633" s="0" t="s">
        <v>2065</v>
      </c>
    </row>
    <row r="634">
      <c r="A634" s="14">
        <v>114322</v>
      </c>
      <c r="B634" s="0" t="s">
        <v>2042</v>
      </c>
      <c r="C634" s="16">
        <f>HYPERLINK("https://eosportal.federatedhermes.com/companies/Q29tcGFueQppNjc3MjY=", "Nintendo Co Ltd")</f>
      </c>
      <c r="D634" s="0" t="s">
        <v>25</v>
      </c>
      <c r="E634" s="0" t="s">
        <v>2066</v>
      </c>
      <c r="F634" s="16">
        <f>HYPERLINK("https://eosportal.federatedhermes.com/engagements/RW5nYWdlbWVudAppMjEyNTY=", "Carbon emissions in production")</f>
      </c>
      <c r="G634" s="14" t="s">
        <v>2067</v>
      </c>
      <c r="H634" s="0" t="s">
        <v>141</v>
      </c>
      <c r="I634" s="14" t="s">
        <v>131</v>
      </c>
      <c r="J634" s="0" t="s">
        <v>197</v>
      </c>
      <c r="K634" s="0" t="s">
        <v>198</v>
      </c>
      <c r="L634" s="0" t="s">
        <v>199</v>
      </c>
      <c r="M634" s="0" t="s">
        <v>802</v>
      </c>
      <c r="N634" s="0" t="s">
        <v>952</v>
      </c>
      <c r="O634" s="0" t="s">
        <v>137</v>
      </c>
      <c r="Q634" s="0" t="s">
        <v>130</v>
      </c>
      <c r="R634" s="0" t="s">
        <v>138</v>
      </c>
      <c r="S634" s="14">
        <v>0</v>
      </c>
      <c r="T634" s="0" t="s">
        <v>333</v>
      </c>
      <c r="U634" s="0" t="s">
        <v>138</v>
      </c>
      <c r="V634" s="14" t="s">
        <v>138</v>
      </c>
      <c r="W634" s="0" t="s">
        <v>138</v>
      </c>
      <c r="X634" s="14" t="s">
        <v>138</v>
      </c>
      <c r="Y634" s="0" t="s">
        <v>138</v>
      </c>
      <c r="Z634" s="14" t="s">
        <v>138</v>
      </c>
      <c r="AA634" s="0" t="s">
        <v>138</v>
      </c>
      <c r="AB634" s="14" t="s">
        <v>138</v>
      </c>
      <c r="AD634" s="0" t="s">
        <v>138</v>
      </c>
      <c r="AF634" s="0">
        <v>0</v>
      </c>
      <c r="AG634" s="0">
        <v>0</v>
      </c>
      <c r="AH634" s="0" t="s">
        <v>140</v>
      </c>
      <c r="AI634" s="0" t="s">
        <v>138</v>
      </c>
      <c r="AL634" s="14"/>
      <c r="AN634" s="14"/>
      <c r="AQ634" s="0" t="s">
        <v>130</v>
      </c>
      <c r="AR634" s="0" t="s">
        <v>130</v>
      </c>
      <c r="AS634" s="0" t="s">
        <v>130</v>
      </c>
      <c r="AT634" s="0" t="s">
        <v>130</v>
      </c>
      <c r="AU634" s="0" t="s">
        <v>130</v>
      </c>
      <c r="AV634" s="0" t="s">
        <v>130</v>
      </c>
      <c r="AW634" s="0" t="s">
        <v>130</v>
      </c>
      <c r="AX634" s="0" t="s">
        <v>130</v>
      </c>
      <c r="AY634" s="0" t="s">
        <v>130</v>
      </c>
      <c r="AZ634" s="0" t="s">
        <v>130</v>
      </c>
      <c r="BA634" s="0" t="s">
        <v>130</v>
      </c>
      <c r="BB634" s="0" t="s">
        <v>141</v>
      </c>
      <c r="BC634" s="0" t="s">
        <v>130</v>
      </c>
      <c r="BD634" s="0" t="s">
        <v>130</v>
      </c>
      <c r="BE634" s="0" t="s">
        <v>130</v>
      </c>
      <c r="BF634" s="0" t="s">
        <v>130</v>
      </c>
      <c r="BG634" s="0" t="s">
        <v>130</v>
      </c>
      <c r="BH634" s="0" t="s">
        <v>130</v>
      </c>
      <c r="BI634" s="0" t="s">
        <v>130</v>
      </c>
      <c r="BJ634" s="0" t="s">
        <v>130</v>
      </c>
      <c r="BK634" s="0" t="s">
        <v>130</v>
      </c>
      <c r="BL634" s="0" t="s">
        <v>130</v>
      </c>
      <c r="BM634" s="0" t="s">
        <v>130</v>
      </c>
      <c r="BN634" s="0" t="s">
        <v>130</v>
      </c>
      <c r="BO634" s="0" t="s">
        <v>130</v>
      </c>
      <c r="BP634" s="0" t="s">
        <v>130</v>
      </c>
      <c r="BQ634" s="0" t="s">
        <v>130</v>
      </c>
      <c r="BR634" s="0" t="s">
        <v>130</v>
      </c>
      <c r="BS634" s="0" t="s">
        <v>130</v>
      </c>
      <c r="BT634" s="0" t="s">
        <v>130</v>
      </c>
      <c r="BU634" s="0" t="s">
        <v>130</v>
      </c>
      <c r="BV634" s="0" t="s">
        <v>130</v>
      </c>
      <c r="BW634" s="0" t="s">
        <v>130</v>
      </c>
      <c r="BX634" s="0" t="s">
        <v>130</v>
      </c>
      <c r="BY634" s="0" t="s">
        <v>130</v>
      </c>
      <c r="BZ634" s="0" t="s">
        <v>130</v>
      </c>
      <c r="CA634" s="0" t="s">
        <v>130</v>
      </c>
      <c r="CB634" s="0" t="s">
        <v>130</v>
      </c>
      <c r="CC634" s="0" t="s">
        <v>130</v>
      </c>
      <c r="CD634" s="0" t="s">
        <v>130</v>
      </c>
      <c r="CE634" s="0" t="s">
        <v>130</v>
      </c>
      <c r="CF634" s="0" t="s">
        <v>130</v>
      </c>
      <c r="CG634" s="0" t="s">
        <v>130</v>
      </c>
      <c r="CH634" s="0" t="s">
        <v>130</v>
      </c>
      <c r="CI634" s="0" t="s">
        <v>130</v>
      </c>
      <c r="CJ634" s="0" t="s">
        <v>130</v>
      </c>
      <c r="CK634" s="0" t="s">
        <v>130</v>
      </c>
      <c r="CL634" s="0" t="s">
        <v>130</v>
      </c>
      <c r="CM634" s="0" t="s">
        <v>130</v>
      </c>
      <c r="CN634" s="0" t="s">
        <v>130</v>
      </c>
      <c r="CO634" s="0" t="s">
        <v>130</v>
      </c>
      <c r="CP634" s="0" t="s">
        <v>130</v>
      </c>
      <c r="CQ634" s="0" t="s">
        <v>130</v>
      </c>
      <c r="CR634" s="0" t="s">
        <v>130</v>
      </c>
      <c r="CS634" s="0" t="s">
        <v>130</v>
      </c>
      <c r="CT634" s="0" t="s">
        <v>2068</v>
      </c>
    </row>
    <row r="635">
      <c r="A635" s="14">
        <v>114402</v>
      </c>
      <c r="B635" s="0" t="s">
        <v>2069</v>
      </c>
      <c r="C635" s="16">
        <f>HYPERLINK("https://eosportal.federatedhermes.com/companies/Q29tcGFueQppNzU2OTU=", "Nippon Steel Corp")</f>
      </c>
      <c r="D635" s="0" t="s">
        <v>25</v>
      </c>
      <c r="E635" s="0" t="s">
        <v>1729</v>
      </c>
      <c r="F635" s="16">
        <f>HYPERLINK("https://eosportal.federatedhermes.com/engagements/RW5nYWdlbWVudAppMjEyNzk=", "Business strategy")</f>
      </c>
      <c r="G635" s="14" t="s">
        <v>2070</v>
      </c>
      <c r="H635" s="0" t="s">
        <v>130</v>
      </c>
      <c r="I635" s="14" t="s">
        <v>319</v>
      </c>
      <c r="J635" s="0" t="s">
        <v>153</v>
      </c>
      <c r="K635" s="0" t="s">
        <v>185</v>
      </c>
      <c r="L635" s="0" t="s">
        <v>186</v>
      </c>
      <c r="M635" s="0" t="s">
        <v>802</v>
      </c>
      <c r="N635" s="0" t="s">
        <v>952</v>
      </c>
      <c r="O635" s="0" t="s">
        <v>373</v>
      </c>
      <c r="Q635" s="0" t="s">
        <v>141</v>
      </c>
      <c r="R635" s="0" t="s">
        <v>138</v>
      </c>
      <c r="S635" s="14">
        <v>1</v>
      </c>
      <c r="T635" s="0" t="s">
        <v>303</v>
      </c>
      <c r="U635" s="0" t="s">
        <v>138</v>
      </c>
      <c r="V635" s="14" t="s">
        <v>138</v>
      </c>
      <c r="W635" s="0" t="s">
        <v>138</v>
      </c>
      <c r="X635" s="14" t="s">
        <v>138</v>
      </c>
      <c r="Y635" s="0" t="s">
        <v>138</v>
      </c>
      <c r="Z635" s="14" t="s">
        <v>138</v>
      </c>
      <c r="AA635" s="0" t="s">
        <v>138</v>
      </c>
      <c r="AB635" s="14" t="s">
        <v>138</v>
      </c>
      <c r="AD635" s="0" t="s">
        <v>138</v>
      </c>
      <c r="AF635" s="0">
        <v>0</v>
      </c>
      <c r="AG635" s="0">
        <v>0</v>
      </c>
      <c r="AH635" s="0" t="s">
        <v>140</v>
      </c>
      <c r="AI635" s="0" t="s">
        <v>138</v>
      </c>
      <c r="AK635" s="0" t="s">
        <v>1151</v>
      </c>
      <c r="AL635" s="14"/>
      <c r="AN635" s="14"/>
      <c r="AQ635" s="0" t="s">
        <v>130</v>
      </c>
      <c r="AR635" s="0" t="s">
        <v>130</v>
      </c>
      <c r="AS635" s="0" t="s">
        <v>130</v>
      </c>
      <c r="AT635" s="0" t="s">
        <v>130</v>
      </c>
      <c r="AU635" s="0" t="s">
        <v>130</v>
      </c>
      <c r="AV635" s="0" t="s">
        <v>130</v>
      </c>
      <c r="AW635" s="0" t="s">
        <v>130</v>
      </c>
      <c r="AX635" s="0" t="s">
        <v>130</v>
      </c>
      <c r="AY635" s="0" t="s">
        <v>130</v>
      </c>
      <c r="AZ635" s="0" t="s">
        <v>130</v>
      </c>
      <c r="BA635" s="0" t="s">
        <v>130</v>
      </c>
      <c r="BB635" s="0" t="s">
        <v>130</v>
      </c>
      <c r="BC635" s="0" t="s">
        <v>130</v>
      </c>
      <c r="BD635" s="0" t="s">
        <v>130</v>
      </c>
      <c r="BE635" s="0" t="s">
        <v>130</v>
      </c>
      <c r="BF635" s="0" t="s">
        <v>130</v>
      </c>
      <c r="BG635" s="0" t="s">
        <v>130</v>
      </c>
      <c r="BH635" s="0" t="s">
        <v>130</v>
      </c>
      <c r="BI635" s="0" t="s">
        <v>130</v>
      </c>
      <c r="BJ635" s="0" t="s">
        <v>130</v>
      </c>
      <c r="BK635" s="0" t="s">
        <v>130</v>
      </c>
      <c r="BL635" s="0" t="s">
        <v>130</v>
      </c>
      <c r="BM635" s="0" t="s">
        <v>130</v>
      </c>
      <c r="BN635" s="0" t="s">
        <v>130</v>
      </c>
      <c r="BO635" s="0" t="s">
        <v>130</v>
      </c>
      <c r="BP635" s="0" t="s">
        <v>130</v>
      </c>
      <c r="BQ635" s="0" t="s">
        <v>130</v>
      </c>
      <c r="BR635" s="0" t="s">
        <v>130</v>
      </c>
      <c r="BS635" s="0" t="s">
        <v>130</v>
      </c>
      <c r="BT635" s="0" t="s">
        <v>130</v>
      </c>
      <c r="BU635" s="0" t="s">
        <v>130</v>
      </c>
      <c r="BV635" s="0" t="s">
        <v>130</v>
      </c>
      <c r="BW635" s="0" t="s">
        <v>130</v>
      </c>
      <c r="BX635" s="0" t="s">
        <v>130</v>
      </c>
      <c r="BY635" s="0" t="s">
        <v>130</v>
      </c>
      <c r="BZ635" s="0" t="s">
        <v>130</v>
      </c>
      <c r="CA635" s="0" t="s">
        <v>130</v>
      </c>
      <c r="CB635" s="0" t="s">
        <v>130</v>
      </c>
      <c r="CC635" s="0" t="s">
        <v>130</v>
      </c>
      <c r="CD635" s="0" t="s">
        <v>130</v>
      </c>
      <c r="CE635" s="0" t="s">
        <v>130</v>
      </c>
      <c r="CF635" s="0" t="s">
        <v>130</v>
      </c>
      <c r="CG635" s="0" t="s">
        <v>130</v>
      </c>
      <c r="CH635" s="0" t="s">
        <v>130</v>
      </c>
      <c r="CI635" s="0" t="s">
        <v>130</v>
      </c>
      <c r="CJ635" s="0" t="s">
        <v>130</v>
      </c>
      <c r="CK635" s="0" t="s">
        <v>130</v>
      </c>
      <c r="CL635" s="0" t="s">
        <v>130</v>
      </c>
      <c r="CM635" s="0" t="s">
        <v>130</v>
      </c>
      <c r="CN635" s="0" t="s">
        <v>130</v>
      </c>
      <c r="CO635" s="0" t="s">
        <v>130</v>
      </c>
      <c r="CP635" s="0" t="s">
        <v>130</v>
      </c>
      <c r="CQ635" s="0" t="s">
        <v>130</v>
      </c>
      <c r="CR635" s="0" t="s">
        <v>130</v>
      </c>
      <c r="CS635" s="0" t="s">
        <v>130</v>
      </c>
      <c r="CT635" s="0" t="s">
        <v>2071</v>
      </c>
    </row>
    <row r="636">
      <c r="A636" s="14">
        <v>114402</v>
      </c>
      <c r="B636" s="0" t="s">
        <v>2069</v>
      </c>
      <c r="C636" s="16">
        <f>HYPERLINK("https://eosportal.federatedhermes.com/companies/Q29tcGFueQppNzU2OTU=", "Nippon Steel Corp")</f>
      </c>
      <c r="D636" s="0" t="s">
        <v>25</v>
      </c>
      <c r="E636" s="0" t="s">
        <v>2072</v>
      </c>
      <c r="F636" s="16">
        <f>HYPERLINK("https://eosportal.federatedhermes.com/engagements/RW5nYWdlbWVudAppMjEyODI=", "Climate change risk and opportunity management - coal expansion")</f>
      </c>
      <c r="G636" s="14" t="s">
        <v>2073</v>
      </c>
      <c r="H636" s="0" t="s">
        <v>130</v>
      </c>
      <c r="I636" s="14" t="s">
        <v>319</v>
      </c>
      <c r="J636" s="0" t="s">
        <v>197</v>
      </c>
      <c r="K636" s="0" t="s">
        <v>198</v>
      </c>
      <c r="L636" s="0" t="s">
        <v>199</v>
      </c>
      <c r="M636" s="0" t="s">
        <v>802</v>
      </c>
      <c r="N636" s="0" t="s">
        <v>952</v>
      </c>
      <c r="O636" s="0" t="s">
        <v>373</v>
      </c>
      <c r="Q636" s="0" t="s">
        <v>141</v>
      </c>
      <c r="R636" s="0" t="s">
        <v>138</v>
      </c>
      <c r="S636" s="14">
        <v>1</v>
      </c>
      <c r="T636" s="0" t="s">
        <v>355</v>
      </c>
      <c r="U636" s="0" t="s">
        <v>138</v>
      </c>
      <c r="V636" s="14" t="s">
        <v>138</v>
      </c>
      <c r="W636" s="0" t="s">
        <v>138</v>
      </c>
      <c r="X636" s="14" t="s">
        <v>138</v>
      </c>
      <c r="Y636" s="0" t="s">
        <v>138</v>
      </c>
      <c r="Z636" s="14" t="s">
        <v>138</v>
      </c>
      <c r="AA636" s="0" t="s">
        <v>138</v>
      </c>
      <c r="AB636" s="14" t="s">
        <v>138</v>
      </c>
      <c r="AD636" s="0" t="s">
        <v>138</v>
      </c>
      <c r="AF636" s="0">
        <v>0</v>
      </c>
      <c r="AG636" s="0">
        <v>0</v>
      </c>
      <c r="AH636" s="0" t="s">
        <v>140</v>
      </c>
      <c r="AI636" s="0" t="s">
        <v>138</v>
      </c>
      <c r="AK636" s="0" t="s">
        <v>1151</v>
      </c>
      <c r="AL636" s="14"/>
      <c r="AN636" s="14"/>
      <c r="AQ636" s="0" t="s">
        <v>130</v>
      </c>
      <c r="AR636" s="0" t="s">
        <v>130</v>
      </c>
      <c r="AS636" s="0" t="s">
        <v>130</v>
      </c>
      <c r="AT636" s="0" t="s">
        <v>130</v>
      </c>
      <c r="AU636" s="0" t="s">
        <v>130</v>
      </c>
      <c r="AV636" s="0" t="s">
        <v>130</v>
      </c>
      <c r="AW636" s="0" t="s">
        <v>130</v>
      </c>
      <c r="AX636" s="0" t="s">
        <v>130</v>
      </c>
      <c r="AY636" s="0" t="s">
        <v>130</v>
      </c>
      <c r="AZ636" s="0" t="s">
        <v>130</v>
      </c>
      <c r="BA636" s="0" t="s">
        <v>130</v>
      </c>
      <c r="BB636" s="0" t="s">
        <v>141</v>
      </c>
      <c r="BC636" s="0" t="s">
        <v>141</v>
      </c>
      <c r="BD636" s="0" t="s">
        <v>130</v>
      </c>
      <c r="BE636" s="0" t="s">
        <v>130</v>
      </c>
      <c r="BF636" s="0" t="s">
        <v>130</v>
      </c>
      <c r="BG636" s="0" t="s">
        <v>130</v>
      </c>
      <c r="BH636" s="0" t="s">
        <v>130</v>
      </c>
      <c r="BI636" s="0" t="s">
        <v>130</v>
      </c>
      <c r="BJ636" s="0" t="s">
        <v>130</v>
      </c>
      <c r="BK636" s="0" t="s">
        <v>130</v>
      </c>
      <c r="BL636" s="0" t="s">
        <v>130</v>
      </c>
      <c r="BM636" s="0" t="s">
        <v>130</v>
      </c>
      <c r="BN636" s="0" t="s">
        <v>130</v>
      </c>
      <c r="BO636" s="0" t="s">
        <v>130</v>
      </c>
      <c r="BP636" s="0" t="s">
        <v>130</v>
      </c>
      <c r="BQ636" s="0" t="s">
        <v>130</v>
      </c>
      <c r="BR636" s="0" t="s">
        <v>130</v>
      </c>
      <c r="BS636" s="0" t="s">
        <v>130</v>
      </c>
      <c r="BT636" s="0" t="s">
        <v>130</v>
      </c>
      <c r="BU636" s="0" t="s">
        <v>130</v>
      </c>
      <c r="BV636" s="0" t="s">
        <v>130</v>
      </c>
      <c r="BW636" s="0" t="s">
        <v>130</v>
      </c>
      <c r="BX636" s="0" t="s">
        <v>130</v>
      </c>
      <c r="BY636" s="0" t="s">
        <v>130</v>
      </c>
      <c r="BZ636" s="0" t="s">
        <v>130</v>
      </c>
      <c r="CA636" s="0" t="s">
        <v>130</v>
      </c>
      <c r="CB636" s="0" t="s">
        <v>130</v>
      </c>
      <c r="CC636" s="0" t="s">
        <v>130</v>
      </c>
      <c r="CD636" s="0" t="s">
        <v>130</v>
      </c>
      <c r="CE636" s="0" t="s">
        <v>130</v>
      </c>
      <c r="CF636" s="0" t="s">
        <v>130</v>
      </c>
      <c r="CG636" s="0" t="s">
        <v>130</v>
      </c>
      <c r="CH636" s="0" t="s">
        <v>130</v>
      </c>
      <c r="CI636" s="0" t="s">
        <v>130</v>
      </c>
      <c r="CJ636" s="0" t="s">
        <v>130</v>
      </c>
      <c r="CK636" s="0" t="s">
        <v>130</v>
      </c>
      <c r="CL636" s="0" t="s">
        <v>130</v>
      </c>
      <c r="CM636" s="0" t="s">
        <v>130</v>
      </c>
      <c r="CN636" s="0" t="s">
        <v>130</v>
      </c>
      <c r="CO636" s="0" t="s">
        <v>130</v>
      </c>
      <c r="CP636" s="0" t="s">
        <v>130</v>
      </c>
      <c r="CQ636" s="0" t="s">
        <v>130</v>
      </c>
      <c r="CR636" s="0" t="s">
        <v>130</v>
      </c>
      <c r="CS636" s="0" t="s">
        <v>130</v>
      </c>
      <c r="CT636" s="0" t="s">
        <v>2074</v>
      </c>
    </row>
    <row r="637">
      <c r="A637" s="14">
        <v>114402</v>
      </c>
      <c r="B637" s="0" t="s">
        <v>2069</v>
      </c>
      <c r="C637" s="16">
        <f>HYPERLINK("https://eosportal.federatedhermes.com/companies/Q29tcGFueQppNzU2OTU=", "Nippon Steel Corp")</f>
      </c>
      <c r="D637" s="0" t="s">
        <v>25</v>
      </c>
      <c r="E637" s="0" t="s">
        <v>907</v>
      </c>
      <c r="F637" s="16">
        <f>HYPERLINK("https://eosportal.federatedhermes.com/engagements/RW5nYWdlbWVudAppMjEyODM=", "Climate change")</f>
      </c>
      <c r="G637" s="14" t="s">
        <v>2075</v>
      </c>
      <c r="H637" s="0" t="s">
        <v>130</v>
      </c>
      <c r="I637" s="14" t="s">
        <v>319</v>
      </c>
      <c r="J637" s="0" t="s">
        <v>197</v>
      </c>
      <c r="K637" s="0" t="s">
        <v>198</v>
      </c>
      <c r="L637" s="0" t="s">
        <v>199</v>
      </c>
      <c r="M637" s="0" t="s">
        <v>802</v>
      </c>
      <c r="N637" s="0" t="s">
        <v>952</v>
      </c>
      <c r="O637" s="0" t="s">
        <v>373</v>
      </c>
      <c r="Q637" s="0" t="s">
        <v>141</v>
      </c>
      <c r="R637" s="0" t="s">
        <v>138</v>
      </c>
      <c r="S637" s="14">
        <v>1</v>
      </c>
      <c r="T637" s="0" t="s">
        <v>166</v>
      </c>
      <c r="U637" s="0" t="s">
        <v>138</v>
      </c>
      <c r="V637" s="14" t="s">
        <v>138</v>
      </c>
      <c r="W637" s="0" t="s">
        <v>138</v>
      </c>
      <c r="X637" s="14" t="s">
        <v>138</v>
      </c>
      <c r="Y637" s="0" t="s">
        <v>138</v>
      </c>
      <c r="Z637" s="14" t="s">
        <v>138</v>
      </c>
      <c r="AA637" s="0" t="s">
        <v>138</v>
      </c>
      <c r="AB637" s="14" t="s">
        <v>138</v>
      </c>
      <c r="AD637" s="0" t="s">
        <v>138</v>
      </c>
      <c r="AF637" s="0">
        <v>0</v>
      </c>
      <c r="AG637" s="0">
        <v>0</v>
      </c>
      <c r="AH637" s="0" t="s">
        <v>140</v>
      </c>
      <c r="AI637" s="0" t="s">
        <v>138</v>
      </c>
      <c r="AK637" s="0" t="s">
        <v>1151</v>
      </c>
      <c r="AL637" s="14"/>
      <c r="AN637" s="14"/>
      <c r="AQ637" s="0" t="s">
        <v>130</v>
      </c>
      <c r="AR637" s="0" t="s">
        <v>130</v>
      </c>
      <c r="AS637" s="0" t="s">
        <v>130</v>
      </c>
      <c r="AT637" s="0" t="s">
        <v>130</v>
      </c>
      <c r="AU637" s="0" t="s">
        <v>130</v>
      </c>
      <c r="AV637" s="0" t="s">
        <v>130</v>
      </c>
      <c r="AW637" s="0" t="s">
        <v>130</v>
      </c>
      <c r="AX637" s="0" t="s">
        <v>130</v>
      </c>
      <c r="AY637" s="0" t="s">
        <v>130</v>
      </c>
      <c r="AZ637" s="0" t="s">
        <v>130</v>
      </c>
      <c r="BA637" s="0" t="s">
        <v>130</v>
      </c>
      <c r="BB637" s="0" t="s">
        <v>141</v>
      </c>
      <c r="BC637" s="0" t="s">
        <v>130</v>
      </c>
      <c r="BD637" s="0" t="s">
        <v>130</v>
      </c>
      <c r="BE637" s="0" t="s">
        <v>130</v>
      </c>
      <c r="BF637" s="0" t="s">
        <v>130</v>
      </c>
      <c r="BG637" s="0" t="s">
        <v>130</v>
      </c>
      <c r="BH637" s="0" t="s">
        <v>130</v>
      </c>
      <c r="BI637" s="0" t="s">
        <v>130</v>
      </c>
      <c r="BJ637" s="0" t="s">
        <v>130</v>
      </c>
      <c r="BK637" s="0" t="s">
        <v>130</v>
      </c>
      <c r="BL637" s="0" t="s">
        <v>130</v>
      </c>
      <c r="BM637" s="0" t="s">
        <v>130</v>
      </c>
      <c r="BN637" s="0" t="s">
        <v>130</v>
      </c>
      <c r="BO637" s="0" t="s">
        <v>130</v>
      </c>
      <c r="BP637" s="0" t="s">
        <v>130</v>
      </c>
      <c r="BQ637" s="0" t="s">
        <v>130</v>
      </c>
      <c r="BR637" s="0" t="s">
        <v>130</v>
      </c>
      <c r="BS637" s="0" t="s">
        <v>130</v>
      </c>
      <c r="BT637" s="0" t="s">
        <v>130</v>
      </c>
      <c r="BU637" s="0" t="s">
        <v>130</v>
      </c>
      <c r="BV637" s="0" t="s">
        <v>130</v>
      </c>
      <c r="BW637" s="0" t="s">
        <v>130</v>
      </c>
      <c r="BX637" s="0" t="s">
        <v>130</v>
      </c>
      <c r="BY637" s="0" t="s">
        <v>130</v>
      </c>
      <c r="BZ637" s="0" t="s">
        <v>130</v>
      </c>
      <c r="CA637" s="0" t="s">
        <v>130</v>
      </c>
      <c r="CB637" s="0" t="s">
        <v>130</v>
      </c>
      <c r="CC637" s="0" t="s">
        <v>130</v>
      </c>
      <c r="CD637" s="0" t="s">
        <v>130</v>
      </c>
      <c r="CE637" s="0" t="s">
        <v>130</v>
      </c>
      <c r="CF637" s="0" t="s">
        <v>130</v>
      </c>
      <c r="CG637" s="0" t="s">
        <v>130</v>
      </c>
      <c r="CH637" s="0" t="s">
        <v>130</v>
      </c>
      <c r="CI637" s="0" t="s">
        <v>130</v>
      </c>
      <c r="CJ637" s="0" t="s">
        <v>130</v>
      </c>
      <c r="CK637" s="0" t="s">
        <v>130</v>
      </c>
      <c r="CL637" s="0" t="s">
        <v>130</v>
      </c>
      <c r="CM637" s="0" t="s">
        <v>130</v>
      </c>
      <c r="CN637" s="0" t="s">
        <v>130</v>
      </c>
      <c r="CO637" s="0" t="s">
        <v>130</v>
      </c>
      <c r="CP637" s="0" t="s">
        <v>130</v>
      </c>
      <c r="CQ637" s="0" t="s">
        <v>130</v>
      </c>
      <c r="CR637" s="0" t="s">
        <v>130</v>
      </c>
      <c r="CS637" s="0" t="s">
        <v>130</v>
      </c>
      <c r="CT637" s="0" t="s">
        <v>2076</v>
      </c>
    </row>
    <row r="638">
      <c r="A638" s="14">
        <v>114402</v>
      </c>
      <c r="B638" s="0" t="s">
        <v>2069</v>
      </c>
      <c r="C638" s="16">
        <f>HYPERLINK("https://eosportal.federatedhermes.com/companies/Q29tcGFueQppNzU2OTU=", "Nippon Steel Corp")</f>
      </c>
      <c r="D638" s="0" t="s">
        <v>25</v>
      </c>
      <c r="E638" s="0" t="s">
        <v>386</v>
      </c>
      <c r="F638" s="16">
        <f>HYPERLINK("https://eosportal.federatedhermes.com/engagements/RW5nYWdlbWVudAppMjEyODQ=", "Board independence")</f>
      </c>
      <c r="G638" s="14" t="s">
        <v>2077</v>
      </c>
      <c r="H638" s="0" t="s">
        <v>130</v>
      </c>
      <c r="I638" s="14" t="s">
        <v>319</v>
      </c>
      <c r="J638" s="0" t="s">
        <v>145</v>
      </c>
      <c r="K638" s="0" t="s">
        <v>164</v>
      </c>
      <c r="L638" s="0" t="s">
        <v>165</v>
      </c>
      <c r="M638" s="0" t="s">
        <v>802</v>
      </c>
      <c r="N638" s="0" t="s">
        <v>952</v>
      </c>
      <c r="O638" s="0" t="s">
        <v>373</v>
      </c>
      <c r="Q638" s="0" t="s">
        <v>130</v>
      </c>
      <c r="R638" s="0" t="s">
        <v>138</v>
      </c>
      <c r="S638" s="14">
        <v>0</v>
      </c>
      <c r="T638" s="0" t="s">
        <v>166</v>
      </c>
      <c r="U638" s="0" t="s">
        <v>138</v>
      </c>
      <c r="V638" s="14" t="s">
        <v>138</v>
      </c>
      <c r="W638" s="0" t="s">
        <v>138</v>
      </c>
      <c r="X638" s="14" t="s">
        <v>138</v>
      </c>
      <c r="Y638" s="0" t="s">
        <v>138</v>
      </c>
      <c r="Z638" s="14" t="s">
        <v>138</v>
      </c>
      <c r="AA638" s="0" t="s">
        <v>138</v>
      </c>
      <c r="AB638" s="14" t="s">
        <v>138</v>
      </c>
      <c r="AD638" s="0" t="s">
        <v>138</v>
      </c>
      <c r="AF638" s="0">
        <v>0</v>
      </c>
      <c r="AG638" s="0">
        <v>0</v>
      </c>
      <c r="AH638" s="0" t="s">
        <v>140</v>
      </c>
      <c r="AI638" s="0" t="s">
        <v>138</v>
      </c>
      <c r="AL638" s="14"/>
      <c r="AN638" s="14"/>
      <c r="AQ638" s="0" t="s">
        <v>130</v>
      </c>
      <c r="AR638" s="0" t="s">
        <v>130</v>
      </c>
      <c r="AS638" s="0" t="s">
        <v>130</v>
      </c>
      <c r="AT638" s="0" t="s">
        <v>130</v>
      </c>
      <c r="AU638" s="0" t="s">
        <v>130</v>
      </c>
      <c r="AV638" s="0" t="s">
        <v>130</v>
      </c>
      <c r="AW638" s="0" t="s">
        <v>130</v>
      </c>
      <c r="AX638" s="0" t="s">
        <v>130</v>
      </c>
      <c r="AY638" s="0" t="s">
        <v>130</v>
      </c>
      <c r="AZ638" s="0" t="s">
        <v>130</v>
      </c>
      <c r="BA638" s="0" t="s">
        <v>130</v>
      </c>
      <c r="BB638" s="0" t="s">
        <v>130</v>
      </c>
      <c r="BC638" s="0" t="s">
        <v>130</v>
      </c>
      <c r="BD638" s="0" t="s">
        <v>130</v>
      </c>
      <c r="BE638" s="0" t="s">
        <v>130</v>
      </c>
      <c r="BF638" s="0" t="s">
        <v>130</v>
      </c>
      <c r="BG638" s="0" t="s">
        <v>130</v>
      </c>
      <c r="BH638" s="0" t="s">
        <v>130</v>
      </c>
      <c r="BI638" s="0" t="s">
        <v>130</v>
      </c>
      <c r="BJ638" s="0" t="s">
        <v>130</v>
      </c>
      <c r="BK638" s="0" t="s">
        <v>130</v>
      </c>
      <c r="BL638" s="0" t="s">
        <v>130</v>
      </c>
      <c r="BM638" s="0" t="s">
        <v>130</v>
      </c>
      <c r="BN638" s="0" t="s">
        <v>130</v>
      </c>
      <c r="BO638" s="0" t="s">
        <v>130</v>
      </c>
      <c r="BP638" s="0" t="s">
        <v>130</v>
      </c>
      <c r="BQ638" s="0" t="s">
        <v>130</v>
      </c>
      <c r="BR638" s="0" t="s">
        <v>130</v>
      </c>
      <c r="BS638" s="0" t="s">
        <v>130</v>
      </c>
      <c r="BT638" s="0" t="s">
        <v>130</v>
      </c>
      <c r="BU638" s="0" t="s">
        <v>130</v>
      </c>
      <c r="BV638" s="0" t="s">
        <v>130</v>
      </c>
      <c r="BW638" s="0" t="s">
        <v>130</v>
      </c>
      <c r="BX638" s="0" t="s">
        <v>130</v>
      </c>
      <c r="BY638" s="0" t="s">
        <v>130</v>
      </c>
      <c r="BZ638" s="0" t="s">
        <v>130</v>
      </c>
      <c r="CA638" s="0" t="s">
        <v>130</v>
      </c>
      <c r="CB638" s="0" t="s">
        <v>130</v>
      </c>
      <c r="CC638" s="0" t="s">
        <v>130</v>
      </c>
      <c r="CD638" s="0" t="s">
        <v>130</v>
      </c>
      <c r="CE638" s="0" t="s">
        <v>130</v>
      </c>
      <c r="CF638" s="0" t="s">
        <v>130</v>
      </c>
      <c r="CG638" s="0" t="s">
        <v>130</v>
      </c>
      <c r="CH638" s="0" t="s">
        <v>130</v>
      </c>
      <c r="CI638" s="0" t="s">
        <v>130</v>
      </c>
      <c r="CJ638" s="0" t="s">
        <v>130</v>
      </c>
      <c r="CK638" s="0" t="s">
        <v>130</v>
      </c>
      <c r="CL638" s="0" t="s">
        <v>130</v>
      </c>
      <c r="CM638" s="0" t="s">
        <v>130</v>
      </c>
      <c r="CN638" s="0" t="s">
        <v>130</v>
      </c>
      <c r="CO638" s="0" t="s">
        <v>130</v>
      </c>
      <c r="CP638" s="0" t="s">
        <v>130</v>
      </c>
      <c r="CQ638" s="0" t="s">
        <v>130</v>
      </c>
      <c r="CR638" s="0" t="s">
        <v>130</v>
      </c>
      <c r="CS638" s="0" t="s">
        <v>130</v>
      </c>
      <c r="CT638" s="0" t="s">
        <v>2078</v>
      </c>
    </row>
    <row r="639">
      <c r="A639" s="14">
        <v>114415</v>
      </c>
      <c r="B639" s="0" t="s">
        <v>2079</v>
      </c>
      <c r="C639" s="16">
        <f>HYPERLINK("https://eosportal.federatedhermes.com/companies/Q29tcGFueQppNjA0MzU=", "Nippon Yusen KK")</f>
      </c>
      <c r="D639" s="0" t="s">
        <v>25</v>
      </c>
      <c r="E639" s="0" t="s">
        <v>2080</v>
      </c>
      <c r="F639" s="16">
        <f>HYPERLINK("https://eosportal.federatedhermes.com/engagements/RW5nYWdlbWVudAppMjEzMDQ=", "Environmental technologies")</f>
      </c>
      <c r="G639" s="14" t="s">
        <v>2081</v>
      </c>
      <c r="H639" s="0" t="s">
        <v>141</v>
      </c>
      <c r="I639" s="14" t="s">
        <v>636</v>
      </c>
      <c r="J639" s="0" t="s">
        <v>197</v>
      </c>
      <c r="K639" s="0" t="s">
        <v>348</v>
      </c>
      <c r="L639" s="0" t="s">
        <v>650</v>
      </c>
      <c r="M639" s="0" t="s">
        <v>802</v>
      </c>
      <c r="N639" s="0" t="s">
        <v>952</v>
      </c>
      <c r="O639" s="0" t="s">
        <v>425</v>
      </c>
      <c r="Q639" s="0" t="s">
        <v>141</v>
      </c>
      <c r="R639" s="0" t="s">
        <v>138</v>
      </c>
      <c r="S639" s="14">
        <v>1</v>
      </c>
      <c r="T639" s="0" t="s">
        <v>487</v>
      </c>
      <c r="U639" s="0" t="s">
        <v>138</v>
      </c>
      <c r="V639" s="14" t="s">
        <v>138</v>
      </c>
      <c r="W639" s="0" t="s">
        <v>138</v>
      </c>
      <c r="X639" s="14" t="s">
        <v>138</v>
      </c>
      <c r="Y639" s="0" t="s">
        <v>138</v>
      </c>
      <c r="Z639" s="14" t="s">
        <v>138</v>
      </c>
      <c r="AA639" s="0" t="s">
        <v>138</v>
      </c>
      <c r="AB639" s="14" t="s">
        <v>138</v>
      </c>
      <c r="AD639" s="0" t="s">
        <v>138</v>
      </c>
      <c r="AF639" s="0">
        <v>0</v>
      </c>
      <c r="AG639" s="0">
        <v>0</v>
      </c>
      <c r="AH639" s="0" t="s">
        <v>140</v>
      </c>
      <c r="AI639" s="0" t="s">
        <v>138</v>
      </c>
      <c r="AK639" s="0" t="s">
        <v>1439</v>
      </c>
      <c r="AL639" s="14"/>
      <c r="AN639" s="14"/>
      <c r="AQ639" s="0" t="s">
        <v>130</v>
      </c>
      <c r="AR639" s="0" t="s">
        <v>130</v>
      </c>
      <c r="AS639" s="0" t="s">
        <v>130</v>
      </c>
      <c r="AT639" s="0" t="s">
        <v>130</v>
      </c>
      <c r="AU639" s="0" t="s">
        <v>130</v>
      </c>
      <c r="AV639" s="0" t="s">
        <v>130</v>
      </c>
      <c r="AW639" s="0" t="s">
        <v>130</v>
      </c>
      <c r="AX639" s="0" t="s">
        <v>130</v>
      </c>
      <c r="AY639" s="0" t="s">
        <v>130</v>
      </c>
      <c r="AZ639" s="0" t="s">
        <v>130</v>
      </c>
      <c r="BA639" s="0" t="s">
        <v>141</v>
      </c>
      <c r="BB639" s="0" t="s">
        <v>130</v>
      </c>
      <c r="BC639" s="0" t="s">
        <v>130</v>
      </c>
      <c r="BD639" s="0" t="s">
        <v>130</v>
      </c>
      <c r="BE639" s="0" t="s">
        <v>130</v>
      </c>
      <c r="BF639" s="0" t="s">
        <v>130</v>
      </c>
      <c r="BG639" s="0" t="s">
        <v>130</v>
      </c>
      <c r="BH639" s="0" t="s">
        <v>130</v>
      </c>
      <c r="BI639" s="0" t="s">
        <v>130</v>
      </c>
      <c r="BJ639" s="0" t="s">
        <v>130</v>
      </c>
      <c r="BK639" s="0" t="s">
        <v>130</v>
      </c>
      <c r="BL639" s="0" t="s">
        <v>130</v>
      </c>
      <c r="BM639" s="0" t="s">
        <v>130</v>
      </c>
      <c r="BN639" s="0" t="s">
        <v>130</v>
      </c>
      <c r="BO639" s="0" t="s">
        <v>130</v>
      </c>
      <c r="BP639" s="0" t="s">
        <v>130</v>
      </c>
      <c r="BQ639" s="0" t="s">
        <v>130</v>
      </c>
      <c r="BR639" s="0" t="s">
        <v>130</v>
      </c>
      <c r="BS639" s="0" t="s">
        <v>130</v>
      </c>
      <c r="BT639" s="0" t="s">
        <v>130</v>
      </c>
      <c r="BU639" s="0" t="s">
        <v>130</v>
      </c>
      <c r="BV639" s="0" t="s">
        <v>130</v>
      </c>
      <c r="BW639" s="0" t="s">
        <v>130</v>
      </c>
      <c r="BX639" s="0" t="s">
        <v>130</v>
      </c>
      <c r="BY639" s="0" t="s">
        <v>130</v>
      </c>
      <c r="BZ639" s="0" t="s">
        <v>130</v>
      </c>
      <c r="CA639" s="0" t="s">
        <v>130</v>
      </c>
      <c r="CB639" s="0" t="s">
        <v>130</v>
      </c>
      <c r="CC639" s="0" t="s">
        <v>130</v>
      </c>
      <c r="CD639" s="0" t="s">
        <v>130</v>
      </c>
      <c r="CE639" s="0" t="s">
        <v>130</v>
      </c>
      <c r="CF639" s="0" t="s">
        <v>130</v>
      </c>
      <c r="CG639" s="0" t="s">
        <v>130</v>
      </c>
      <c r="CH639" s="0" t="s">
        <v>130</v>
      </c>
      <c r="CI639" s="0" t="s">
        <v>130</v>
      </c>
      <c r="CJ639" s="0" t="s">
        <v>130</v>
      </c>
      <c r="CK639" s="0" t="s">
        <v>130</v>
      </c>
      <c r="CL639" s="0" t="s">
        <v>130</v>
      </c>
      <c r="CM639" s="0" t="s">
        <v>130</v>
      </c>
      <c r="CN639" s="0" t="s">
        <v>130</v>
      </c>
      <c r="CO639" s="0" t="s">
        <v>130</v>
      </c>
      <c r="CP639" s="0" t="s">
        <v>130</v>
      </c>
      <c r="CQ639" s="0" t="s">
        <v>130</v>
      </c>
      <c r="CR639" s="0" t="s">
        <v>130</v>
      </c>
      <c r="CS639" s="0" t="s">
        <v>130</v>
      </c>
      <c r="CT639" s="0" t="s">
        <v>2082</v>
      </c>
    </row>
    <row r="640">
      <c r="A640" s="14">
        <v>114415</v>
      </c>
      <c r="B640" s="0" t="s">
        <v>2079</v>
      </c>
      <c r="C640" s="16">
        <f>HYPERLINK("https://eosportal.federatedhermes.com/companies/Q29tcGFueQppNjA0MzU=", "Nippon Yusen KK")</f>
      </c>
      <c r="D640" s="0" t="s">
        <v>25</v>
      </c>
      <c r="E640" s="0" t="s">
        <v>2083</v>
      </c>
      <c r="F640" s="16">
        <f>HYPERLINK("https://eosportal.federatedhermes.com/engagements/RW5nYWdlbWVudAppMjEzMDU=", "Board composition and organisation")</f>
      </c>
      <c r="G640" s="14" t="s">
        <v>2084</v>
      </c>
      <c r="H640" s="0" t="s">
        <v>141</v>
      </c>
      <c r="I640" s="14" t="s">
        <v>636</v>
      </c>
      <c r="J640" s="0" t="s">
        <v>145</v>
      </c>
      <c r="K640" s="0" t="s">
        <v>164</v>
      </c>
      <c r="L640" s="0" t="s">
        <v>165</v>
      </c>
      <c r="M640" s="0" t="s">
        <v>802</v>
      </c>
      <c r="N640" s="0" t="s">
        <v>952</v>
      </c>
      <c r="O640" s="0" t="s">
        <v>425</v>
      </c>
      <c r="Q640" s="0" t="s">
        <v>130</v>
      </c>
      <c r="R640" s="0" t="s">
        <v>138</v>
      </c>
      <c r="S640" s="14">
        <v>0</v>
      </c>
      <c r="T640" s="0" t="s">
        <v>343</v>
      </c>
      <c r="U640" s="0" t="s">
        <v>138</v>
      </c>
      <c r="V640" s="14" t="s">
        <v>138</v>
      </c>
      <c r="W640" s="0" t="s">
        <v>138</v>
      </c>
      <c r="X640" s="14" t="s">
        <v>138</v>
      </c>
      <c r="Y640" s="0" t="s">
        <v>138</v>
      </c>
      <c r="Z640" s="14" t="s">
        <v>138</v>
      </c>
      <c r="AA640" s="0" t="s">
        <v>138</v>
      </c>
      <c r="AB640" s="14" t="s">
        <v>138</v>
      </c>
      <c r="AD640" s="0" t="s">
        <v>138</v>
      </c>
      <c r="AF640" s="0">
        <v>0</v>
      </c>
      <c r="AG640" s="0">
        <v>0</v>
      </c>
      <c r="AH640" s="0" t="s">
        <v>140</v>
      </c>
      <c r="AI640" s="0" t="s">
        <v>138</v>
      </c>
      <c r="AL640" s="14"/>
      <c r="AN640" s="14"/>
      <c r="AQ640" s="0" t="s">
        <v>130</v>
      </c>
      <c r="AR640" s="0" t="s">
        <v>130</v>
      </c>
      <c r="AS640" s="0" t="s">
        <v>130</v>
      </c>
      <c r="AT640" s="0" t="s">
        <v>130</v>
      </c>
      <c r="AU640" s="0" t="s">
        <v>130</v>
      </c>
      <c r="AV640" s="0" t="s">
        <v>130</v>
      </c>
      <c r="AW640" s="0" t="s">
        <v>130</v>
      </c>
      <c r="AX640" s="0" t="s">
        <v>130</v>
      </c>
      <c r="AY640" s="0" t="s">
        <v>130</v>
      </c>
      <c r="AZ640" s="0" t="s">
        <v>130</v>
      </c>
      <c r="BA640" s="0" t="s">
        <v>130</v>
      </c>
      <c r="BB640" s="0" t="s">
        <v>130</v>
      </c>
      <c r="BC640" s="0" t="s">
        <v>130</v>
      </c>
      <c r="BD640" s="0" t="s">
        <v>130</v>
      </c>
      <c r="BE640" s="0" t="s">
        <v>130</v>
      </c>
      <c r="BF640" s="0" t="s">
        <v>130</v>
      </c>
      <c r="BG640" s="0" t="s">
        <v>130</v>
      </c>
      <c r="BH640" s="0" t="s">
        <v>130</v>
      </c>
      <c r="BI640" s="0" t="s">
        <v>130</v>
      </c>
      <c r="BJ640" s="0" t="s">
        <v>130</v>
      </c>
      <c r="BK640" s="0" t="s">
        <v>130</v>
      </c>
      <c r="BL640" s="0" t="s">
        <v>130</v>
      </c>
      <c r="BM640" s="0" t="s">
        <v>130</v>
      </c>
      <c r="BN640" s="0" t="s">
        <v>130</v>
      </c>
      <c r="BO640" s="0" t="s">
        <v>130</v>
      </c>
      <c r="BP640" s="0" t="s">
        <v>130</v>
      </c>
      <c r="BQ640" s="0" t="s">
        <v>130</v>
      </c>
      <c r="BR640" s="0" t="s">
        <v>130</v>
      </c>
      <c r="BS640" s="0" t="s">
        <v>130</v>
      </c>
      <c r="BT640" s="0" t="s">
        <v>130</v>
      </c>
      <c r="BU640" s="0" t="s">
        <v>130</v>
      </c>
      <c r="BV640" s="0" t="s">
        <v>130</v>
      </c>
      <c r="BW640" s="0" t="s">
        <v>130</v>
      </c>
      <c r="BX640" s="0" t="s">
        <v>130</v>
      </c>
      <c r="BY640" s="0" t="s">
        <v>130</v>
      </c>
      <c r="BZ640" s="0" t="s">
        <v>130</v>
      </c>
      <c r="CA640" s="0" t="s">
        <v>130</v>
      </c>
      <c r="CB640" s="0" t="s">
        <v>130</v>
      </c>
      <c r="CC640" s="0" t="s">
        <v>130</v>
      </c>
      <c r="CD640" s="0" t="s">
        <v>130</v>
      </c>
      <c r="CE640" s="0" t="s">
        <v>130</v>
      </c>
      <c r="CF640" s="0" t="s">
        <v>130</v>
      </c>
      <c r="CG640" s="0" t="s">
        <v>130</v>
      </c>
      <c r="CH640" s="0" t="s">
        <v>130</v>
      </c>
      <c r="CI640" s="0" t="s">
        <v>130</v>
      </c>
      <c r="CJ640" s="0" t="s">
        <v>130</v>
      </c>
      <c r="CK640" s="0" t="s">
        <v>130</v>
      </c>
      <c r="CL640" s="0" t="s">
        <v>130</v>
      </c>
      <c r="CM640" s="0" t="s">
        <v>130</v>
      </c>
      <c r="CN640" s="0" t="s">
        <v>130</v>
      </c>
      <c r="CO640" s="0" t="s">
        <v>130</v>
      </c>
      <c r="CP640" s="0" t="s">
        <v>130</v>
      </c>
      <c r="CQ640" s="0" t="s">
        <v>130</v>
      </c>
      <c r="CR640" s="0" t="s">
        <v>130</v>
      </c>
      <c r="CS640" s="0" t="s">
        <v>130</v>
      </c>
      <c r="CT640" s="0" t="s">
        <v>2085</v>
      </c>
    </row>
    <row r="641">
      <c r="A641" s="14">
        <v>114415</v>
      </c>
      <c r="B641" s="0" t="s">
        <v>2079</v>
      </c>
      <c r="C641" s="16">
        <f>HYPERLINK("https://eosportal.federatedhermes.com/companies/Q29tcGFueQppNjA0MzU=", "Nippon Yusen KK")</f>
      </c>
      <c r="D641" s="0" t="s">
        <v>25</v>
      </c>
      <c r="E641" s="0" t="s">
        <v>2086</v>
      </c>
      <c r="F641" s="16">
        <f>HYPERLINK("https://eosportal.federatedhermes.com/engagements/RW5nYWdlbWVudAppMjEzMDY=", "Concern overall performance")</f>
      </c>
      <c r="G641" s="14" t="s">
        <v>2087</v>
      </c>
      <c r="H641" s="0" t="s">
        <v>141</v>
      </c>
      <c r="I641" s="14" t="s">
        <v>636</v>
      </c>
      <c r="J641" s="0" t="s">
        <v>132</v>
      </c>
      <c r="K641" s="0" t="s">
        <v>133</v>
      </c>
      <c r="L641" s="0" t="s">
        <v>160</v>
      </c>
      <c r="M641" s="0" t="s">
        <v>802</v>
      </c>
      <c r="N641" s="0" t="s">
        <v>952</v>
      </c>
      <c r="O641" s="0" t="s">
        <v>425</v>
      </c>
      <c r="Q641" s="0" t="s">
        <v>130</v>
      </c>
      <c r="R641" s="0" t="s">
        <v>138</v>
      </c>
      <c r="S641" s="14">
        <v>0</v>
      </c>
      <c r="T641" s="0" t="s">
        <v>457</v>
      </c>
      <c r="U641" s="0" t="s">
        <v>138</v>
      </c>
      <c r="V641" s="14" t="s">
        <v>138</v>
      </c>
      <c r="W641" s="0" t="s">
        <v>138</v>
      </c>
      <c r="X641" s="14" t="s">
        <v>138</v>
      </c>
      <c r="Y641" s="0" t="s">
        <v>138</v>
      </c>
      <c r="Z641" s="14" t="s">
        <v>138</v>
      </c>
      <c r="AA641" s="0" t="s">
        <v>138</v>
      </c>
      <c r="AB641" s="14" t="s">
        <v>138</v>
      </c>
      <c r="AD641" s="0" t="s">
        <v>138</v>
      </c>
      <c r="AF641" s="0">
        <v>0</v>
      </c>
      <c r="AG641" s="0">
        <v>0</v>
      </c>
      <c r="AH641" s="0" t="s">
        <v>140</v>
      </c>
      <c r="AI641" s="0" t="s">
        <v>138</v>
      </c>
      <c r="AL641" s="14"/>
      <c r="AN641" s="14"/>
      <c r="AQ641" s="0" t="s">
        <v>130</v>
      </c>
      <c r="AR641" s="0" t="s">
        <v>130</v>
      </c>
      <c r="AS641" s="0" t="s">
        <v>130</v>
      </c>
      <c r="AT641" s="0" t="s">
        <v>130</v>
      </c>
      <c r="AU641" s="0" t="s">
        <v>130</v>
      </c>
      <c r="AV641" s="0" t="s">
        <v>130</v>
      </c>
      <c r="AW641" s="0" t="s">
        <v>130</v>
      </c>
      <c r="AX641" s="0" t="s">
        <v>130</v>
      </c>
      <c r="AY641" s="0" t="s">
        <v>130</v>
      </c>
      <c r="AZ641" s="0" t="s">
        <v>130</v>
      </c>
      <c r="BA641" s="0" t="s">
        <v>130</v>
      </c>
      <c r="BB641" s="0" t="s">
        <v>130</v>
      </c>
      <c r="BC641" s="0" t="s">
        <v>130</v>
      </c>
      <c r="BD641" s="0" t="s">
        <v>130</v>
      </c>
      <c r="BE641" s="0" t="s">
        <v>130</v>
      </c>
      <c r="BF641" s="0" t="s">
        <v>130</v>
      </c>
      <c r="BG641" s="0" t="s">
        <v>130</v>
      </c>
      <c r="BH641" s="0" t="s">
        <v>130</v>
      </c>
      <c r="BI641" s="0" t="s">
        <v>130</v>
      </c>
      <c r="BJ641" s="0" t="s">
        <v>130</v>
      </c>
      <c r="BK641" s="0" t="s">
        <v>130</v>
      </c>
      <c r="BL641" s="0" t="s">
        <v>130</v>
      </c>
      <c r="BM641" s="0" t="s">
        <v>130</v>
      </c>
      <c r="BN641" s="0" t="s">
        <v>130</v>
      </c>
      <c r="BO641" s="0" t="s">
        <v>130</v>
      </c>
      <c r="BP641" s="0" t="s">
        <v>130</v>
      </c>
      <c r="BQ641" s="0" t="s">
        <v>130</v>
      </c>
      <c r="BR641" s="0" t="s">
        <v>130</v>
      </c>
      <c r="BS641" s="0" t="s">
        <v>130</v>
      </c>
      <c r="BT641" s="0" t="s">
        <v>130</v>
      </c>
      <c r="BU641" s="0" t="s">
        <v>130</v>
      </c>
      <c r="BV641" s="0" t="s">
        <v>130</v>
      </c>
      <c r="BW641" s="0" t="s">
        <v>130</v>
      </c>
      <c r="BX641" s="0" t="s">
        <v>130</v>
      </c>
      <c r="BY641" s="0" t="s">
        <v>130</v>
      </c>
      <c r="BZ641" s="0" t="s">
        <v>130</v>
      </c>
      <c r="CA641" s="0" t="s">
        <v>130</v>
      </c>
      <c r="CB641" s="0" t="s">
        <v>130</v>
      </c>
      <c r="CC641" s="0" t="s">
        <v>130</v>
      </c>
      <c r="CD641" s="0" t="s">
        <v>130</v>
      </c>
      <c r="CE641" s="0" t="s">
        <v>130</v>
      </c>
      <c r="CF641" s="0" t="s">
        <v>130</v>
      </c>
      <c r="CG641" s="0" t="s">
        <v>130</v>
      </c>
      <c r="CH641" s="0" t="s">
        <v>130</v>
      </c>
      <c r="CI641" s="0" t="s">
        <v>130</v>
      </c>
      <c r="CJ641" s="0" t="s">
        <v>130</v>
      </c>
      <c r="CK641" s="0" t="s">
        <v>130</v>
      </c>
      <c r="CL641" s="0" t="s">
        <v>130</v>
      </c>
      <c r="CM641" s="0" t="s">
        <v>130</v>
      </c>
      <c r="CN641" s="0" t="s">
        <v>130</v>
      </c>
      <c r="CO641" s="0" t="s">
        <v>130</v>
      </c>
      <c r="CP641" s="0" t="s">
        <v>130</v>
      </c>
      <c r="CQ641" s="0" t="s">
        <v>130</v>
      </c>
      <c r="CR641" s="0" t="s">
        <v>130</v>
      </c>
      <c r="CS641" s="0" t="s">
        <v>130</v>
      </c>
      <c r="CT641" s="0" t="s">
        <v>2088</v>
      </c>
    </row>
    <row r="642">
      <c r="A642" s="14">
        <v>114415</v>
      </c>
      <c r="B642" s="0" t="s">
        <v>2079</v>
      </c>
      <c r="C642" s="16">
        <f>HYPERLINK("https://eosportal.federatedhermes.com/companies/Q29tcGFueQppNjA0MzU=", "Nippon Yusen KK")</f>
      </c>
      <c r="D642" s="0" t="s">
        <v>25</v>
      </c>
      <c r="E642" s="0" t="s">
        <v>2089</v>
      </c>
      <c r="F642" s="16">
        <f>HYPERLINK("https://eosportal.federatedhermes.com/engagements/RW5nYWdlbWVudAppMjEzMDc=", "Risk management of subsidiary companies")</f>
      </c>
      <c r="G642" s="14" t="s">
        <v>2090</v>
      </c>
      <c r="H642" s="0" t="s">
        <v>141</v>
      </c>
      <c r="I642" s="14" t="s">
        <v>636</v>
      </c>
      <c r="J642" s="0" t="s">
        <v>132</v>
      </c>
      <c r="K642" s="0" t="s">
        <v>260</v>
      </c>
      <c r="L642" s="0" t="s">
        <v>261</v>
      </c>
      <c r="M642" s="0" t="s">
        <v>802</v>
      </c>
      <c r="N642" s="0" t="s">
        <v>952</v>
      </c>
      <c r="O642" s="0" t="s">
        <v>425</v>
      </c>
      <c r="Q642" s="0" t="s">
        <v>130</v>
      </c>
      <c r="R642" s="0" t="s">
        <v>138</v>
      </c>
      <c r="S642" s="14">
        <v>0</v>
      </c>
      <c r="T642" s="0" t="s">
        <v>166</v>
      </c>
      <c r="U642" s="0" t="s">
        <v>138</v>
      </c>
      <c r="V642" s="14" t="s">
        <v>138</v>
      </c>
      <c r="W642" s="0" t="s">
        <v>138</v>
      </c>
      <c r="X642" s="14" t="s">
        <v>138</v>
      </c>
      <c r="Y642" s="0" t="s">
        <v>138</v>
      </c>
      <c r="Z642" s="14" t="s">
        <v>138</v>
      </c>
      <c r="AA642" s="0" t="s">
        <v>138</v>
      </c>
      <c r="AB642" s="14" t="s">
        <v>138</v>
      </c>
      <c r="AD642" s="0" t="s">
        <v>138</v>
      </c>
      <c r="AF642" s="0">
        <v>0</v>
      </c>
      <c r="AG642" s="0">
        <v>0</v>
      </c>
      <c r="AH642" s="0" t="s">
        <v>140</v>
      </c>
      <c r="AI642" s="0" t="s">
        <v>138</v>
      </c>
      <c r="AL642" s="14"/>
      <c r="AN642" s="14"/>
      <c r="AQ642" s="0" t="s">
        <v>130</v>
      </c>
      <c r="AR642" s="0" t="s">
        <v>130</v>
      </c>
      <c r="AS642" s="0" t="s">
        <v>130</v>
      </c>
      <c r="AT642" s="0" t="s">
        <v>130</v>
      </c>
      <c r="AU642" s="0" t="s">
        <v>130</v>
      </c>
      <c r="AV642" s="0" t="s">
        <v>130</v>
      </c>
      <c r="AW642" s="0" t="s">
        <v>130</v>
      </c>
      <c r="AX642" s="0" t="s">
        <v>130</v>
      </c>
      <c r="AY642" s="0" t="s">
        <v>130</v>
      </c>
      <c r="AZ642" s="0" t="s">
        <v>130</v>
      </c>
      <c r="BA642" s="0" t="s">
        <v>130</v>
      </c>
      <c r="BB642" s="0" t="s">
        <v>130</v>
      </c>
      <c r="BC642" s="0" t="s">
        <v>130</v>
      </c>
      <c r="BD642" s="0" t="s">
        <v>130</v>
      </c>
      <c r="BE642" s="0" t="s">
        <v>130</v>
      </c>
      <c r="BF642" s="0" t="s">
        <v>130</v>
      </c>
      <c r="BG642" s="0" t="s">
        <v>130</v>
      </c>
      <c r="BH642" s="0" t="s">
        <v>130</v>
      </c>
      <c r="BI642" s="0" t="s">
        <v>130</v>
      </c>
      <c r="BJ642" s="0" t="s">
        <v>130</v>
      </c>
      <c r="BK642" s="0" t="s">
        <v>130</v>
      </c>
      <c r="BL642" s="0" t="s">
        <v>130</v>
      </c>
      <c r="BM642" s="0" t="s">
        <v>130</v>
      </c>
      <c r="BN642" s="0" t="s">
        <v>130</v>
      </c>
      <c r="BO642" s="0" t="s">
        <v>130</v>
      </c>
      <c r="BP642" s="0" t="s">
        <v>130</v>
      </c>
      <c r="BQ642" s="0" t="s">
        <v>130</v>
      </c>
      <c r="BR642" s="0" t="s">
        <v>130</v>
      </c>
      <c r="BS642" s="0" t="s">
        <v>130</v>
      </c>
      <c r="BT642" s="0" t="s">
        <v>130</v>
      </c>
      <c r="BU642" s="0" t="s">
        <v>130</v>
      </c>
      <c r="BV642" s="0" t="s">
        <v>130</v>
      </c>
      <c r="BW642" s="0" t="s">
        <v>130</v>
      </c>
      <c r="BX642" s="0" t="s">
        <v>130</v>
      </c>
      <c r="BY642" s="0" t="s">
        <v>130</v>
      </c>
      <c r="BZ642" s="0" t="s">
        <v>130</v>
      </c>
      <c r="CA642" s="0" t="s">
        <v>130</v>
      </c>
      <c r="CB642" s="0" t="s">
        <v>130</v>
      </c>
      <c r="CC642" s="0" t="s">
        <v>130</v>
      </c>
      <c r="CD642" s="0" t="s">
        <v>130</v>
      </c>
      <c r="CE642" s="0" t="s">
        <v>130</v>
      </c>
      <c r="CF642" s="0" t="s">
        <v>130</v>
      </c>
      <c r="CG642" s="0" t="s">
        <v>130</v>
      </c>
      <c r="CH642" s="0" t="s">
        <v>130</v>
      </c>
      <c r="CI642" s="0" t="s">
        <v>130</v>
      </c>
      <c r="CJ642" s="0" t="s">
        <v>130</v>
      </c>
      <c r="CK642" s="0" t="s">
        <v>130</v>
      </c>
      <c r="CL642" s="0" t="s">
        <v>130</v>
      </c>
      <c r="CM642" s="0" t="s">
        <v>130</v>
      </c>
      <c r="CN642" s="0" t="s">
        <v>130</v>
      </c>
      <c r="CO642" s="0" t="s">
        <v>130</v>
      </c>
      <c r="CP642" s="0" t="s">
        <v>130</v>
      </c>
      <c r="CQ642" s="0" t="s">
        <v>130</v>
      </c>
      <c r="CR642" s="0" t="s">
        <v>130</v>
      </c>
      <c r="CS642" s="0" t="s">
        <v>130</v>
      </c>
      <c r="CT642" s="0" t="s">
        <v>2091</v>
      </c>
    </row>
    <row r="643">
      <c r="A643" s="14">
        <v>114713</v>
      </c>
      <c r="B643" s="0" t="s">
        <v>2092</v>
      </c>
      <c r="C643" s="16">
        <f>HYPERLINK("https://eosportal.federatedhermes.com/companies/Q29tcGFueQppODU4Nzg=", "Shin-Etsu Chemical Co Ltd")</f>
      </c>
      <c r="D643" s="0" t="s">
        <v>25</v>
      </c>
      <c r="E643" s="0" t="s">
        <v>2093</v>
      </c>
      <c r="F643" s="16">
        <f>HYPERLINK("https://eosportal.federatedhermes.com/engagements/RW5nYWdlbWVudAppMjE1MTM=", "Cross-shareholdings")</f>
      </c>
      <c r="G643" s="14" t="s">
        <v>2094</v>
      </c>
      <c r="H643" s="0" t="s">
        <v>130</v>
      </c>
      <c r="I643" s="14" t="s">
        <v>319</v>
      </c>
      <c r="J643" s="0" t="s">
        <v>145</v>
      </c>
      <c r="K643" s="0" t="s">
        <v>400</v>
      </c>
      <c r="L643" s="0" t="s">
        <v>507</v>
      </c>
      <c r="M643" s="0" t="s">
        <v>802</v>
      </c>
      <c r="N643" s="0" t="s">
        <v>952</v>
      </c>
      <c r="O643" s="0" t="s">
        <v>706</v>
      </c>
      <c r="Q643" s="0" t="s">
        <v>130</v>
      </c>
      <c r="R643" s="0" t="s">
        <v>138</v>
      </c>
      <c r="S643" s="14">
        <v>0</v>
      </c>
      <c r="T643" s="0" t="s">
        <v>327</v>
      </c>
      <c r="U643" s="0" t="s">
        <v>138</v>
      </c>
      <c r="V643" s="14" t="s">
        <v>138</v>
      </c>
      <c r="W643" s="0" t="s">
        <v>138</v>
      </c>
      <c r="X643" s="14" t="s">
        <v>138</v>
      </c>
      <c r="Y643" s="0" t="s">
        <v>138</v>
      </c>
      <c r="Z643" s="14" t="s">
        <v>138</v>
      </c>
      <c r="AA643" s="0" t="s">
        <v>138</v>
      </c>
      <c r="AB643" s="14" t="s">
        <v>138</v>
      </c>
      <c r="AD643" s="0" t="s">
        <v>138</v>
      </c>
      <c r="AF643" s="0">
        <v>0</v>
      </c>
      <c r="AG643" s="0">
        <v>0</v>
      </c>
      <c r="AH643" s="0" t="s">
        <v>140</v>
      </c>
      <c r="AI643" s="0" t="s">
        <v>138</v>
      </c>
      <c r="AL643" s="14"/>
      <c r="AN643" s="14"/>
      <c r="AQ643" s="0" t="s">
        <v>130</v>
      </c>
      <c r="AR643" s="0" t="s">
        <v>130</v>
      </c>
      <c r="AS643" s="0" t="s">
        <v>130</v>
      </c>
      <c r="AT643" s="0" t="s">
        <v>130</v>
      </c>
      <c r="AU643" s="0" t="s">
        <v>130</v>
      </c>
      <c r="AV643" s="0" t="s">
        <v>130</v>
      </c>
      <c r="AW643" s="0" t="s">
        <v>130</v>
      </c>
      <c r="AX643" s="0" t="s">
        <v>130</v>
      </c>
      <c r="AY643" s="0" t="s">
        <v>130</v>
      </c>
      <c r="AZ643" s="0" t="s">
        <v>130</v>
      </c>
      <c r="BA643" s="0" t="s">
        <v>130</v>
      </c>
      <c r="BB643" s="0" t="s">
        <v>130</v>
      </c>
      <c r="BC643" s="0" t="s">
        <v>130</v>
      </c>
      <c r="BD643" s="0" t="s">
        <v>130</v>
      </c>
      <c r="BE643" s="0" t="s">
        <v>130</v>
      </c>
      <c r="BF643" s="0" t="s">
        <v>130</v>
      </c>
      <c r="BG643" s="0" t="s">
        <v>130</v>
      </c>
      <c r="BH643" s="0" t="s">
        <v>130</v>
      </c>
      <c r="BI643" s="0" t="s">
        <v>130</v>
      </c>
      <c r="BJ643" s="0" t="s">
        <v>130</v>
      </c>
      <c r="BK643" s="0" t="s">
        <v>130</v>
      </c>
      <c r="BL643" s="0" t="s">
        <v>130</v>
      </c>
      <c r="BM643" s="0" t="s">
        <v>130</v>
      </c>
      <c r="BN643" s="0" t="s">
        <v>130</v>
      </c>
      <c r="BO643" s="0" t="s">
        <v>130</v>
      </c>
      <c r="BP643" s="0" t="s">
        <v>130</v>
      </c>
      <c r="BQ643" s="0" t="s">
        <v>130</v>
      </c>
      <c r="BR643" s="0" t="s">
        <v>130</v>
      </c>
      <c r="BS643" s="0" t="s">
        <v>130</v>
      </c>
      <c r="BT643" s="0" t="s">
        <v>130</v>
      </c>
      <c r="BU643" s="0" t="s">
        <v>130</v>
      </c>
      <c r="BV643" s="0" t="s">
        <v>130</v>
      </c>
      <c r="BW643" s="0" t="s">
        <v>130</v>
      </c>
      <c r="BX643" s="0" t="s">
        <v>130</v>
      </c>
      <c r="BY643" s="0" t="s">
        <v>130</v>
      </c>
      <c r="BZ643" s="0" t="s">
        <v>130</v>
      </c>
      <c r="CA643" s="0" t="s">
        <v>130</v>
      </c>
      <c r="CB643" s="0" t="s">
        <v>130</v>
      </c>
      <c r="CC643" s="0" t="s">
        <v>130</v>
      </c>
      <c r="CD643" s="0" t="s">
        <v>130</v>
      </c>
      <c r="CE643" s="0" t="s">
        <v>130</v>
      </c>
      <c r="CF643" s="0" t="s">
        <v>130</v>
      </c>
      <c r="CG643" s="0" t="s">
        <v>130</v>
      </c>
      <c r="CH643" s="0" t="s">
        <v>130</v>
      </c>
      <c r="CI643" s="0" t="s">
        <v>130</v>
      </c>
      <c r="CJ643" s="0" t="s">
        <v>130</v>
      </c>
      <c r="CK643" s="0" t="s">
        <v>130</v>
      </c>
      <c r="CL643" s="0" t="s">
        <v>130</v>
      </c>
      <c r="CM643" s="0" t="s">
        <v>130</v>
      </c>
      <c r="CN643" s="0" t="s">
        <v>130</v>
      </c>
      <c r="CO643" s="0" t="s">
        <v>130</v>
      </c>
      <c r="CP643" s="0" t="s">
        <v>130</v>
      </c>
      <c r="CQ643" s="0" t="s">
        <v>130</v>
      </c>
      <c r="CR643" s="0" t="s">
        <v>130</v>
      </c>
      <c r="CS643" s="0" t="s">
        <v>130</v>
      </c>
      <c r="CT643" s="0" t="s">
        <v>2095</v>
      </c>
    </row>
    <row r="644">
      <c r="A644" s="14">
        <v>114713</v>
      </c>
      <c r="B644" s="0" t="s">
        <v>2092</v>
      </c>
      <c r="C644" s="16">
        <f>HYPERLINK("https://eosportal.federatedhermes.com/companies/Q29tcGFueQppODU4Nzg=", "Shin-Etsu Chemical Co Ltd")</f>
      </c>
      <c r="D644" s="0" t="s">
        <v>25</v>
      </c>
      <c r="E644" s="0" t="s">
        <v>295</v>
      </c>
      <c r="F644" s="16">
        <f>HYPERLINK("https://eosportal.federatedhermes.com/engagements/RW5nYWdlbWVudAppMjE1MTU=", "Board structure")</f>
      </c>
      <c r="G644" s="14" t="s">
        <v>2096</v>
      </c>
      <c r="H644" s="0" t="s">
        <v>130</v>
      </c>
      <c r="I644" s="14" t="s">
        <v>319</v>
      </c>
      <c r="J644" s="0" t="s">
        <v>145</v>
      </c>
      <c r="K644" s="0" t="s">
        <v>164</v>
      </c>
      <c r="L644" s="0" t="s">
        <v>165</v>
      </c>
      <c r="M644" s="0" t="s">
        <v>802</v>
      </c>
      <c r="N644" s="0" t="s">
        <v>952</v>
      </c>
      <c r="O644" s="0" t="s">
        <v>706</v>
      </c>
      <c r="Q644" s="0" t="s">
        <v>130</v>
      </c>
      <c r="R644" s="0" t="s">
        <v>138</v>
      </c>
      <c r="S644" s="14">
        <v>0</v>
      </c>
      <c r="T644" s="0" t="s">
        <v>487</v>
      </c>
      <c r="U644" s="0" t="s">
        <v>138</v>
      </c>
      <c r="V644" s="14" t="s">
        <v>138</v>
      </c>
      <c r="W644" s="0" t="s">
        <v>138</v>
      </c>
      <c r="X644" s="14" t="s">
        <v>138</v>
      </c>
      <c r="Y644" s="0" t="s">
        <v>138</v>
      </c>
      <c r="Z644" s="14" t="s">
        <v>138</v>
      </c>
      <c r="AA644" s="0" t="s">
        <v>138</v>
      </c>
      <c r="AB644" s="14" t="s">
        <v>138</v>
      </c>
      <c r="AD644" s="0" t="s">
        <v>138</v>
      </c>
      <c r="AF644" s="0">
        <v>0</v>
      </c>
      <c r="AG644" s="0">
        <v>0</v>
      </c>
      <c r="AH644" s="0" t="s">
        <v>140</v>
      </c>
      <c r="AI644" s="0" t="s">
        <v>138</v>
      </c>
      <c r="AL644" s="14"/>
      <c r="AN644" s="14"/>
      <c r="AQ644" s="0" t="s">
        <v>130</v>
      </c>
      <c r="AR644" s="0" t="s">
        <v>130</v>
      </c>
      <c r="AS644" s="0" t="s">
        <v>130</v>
      </c>
      <c r="AT644" s="0" t="s">
        <v>130</v>
      </c>
      <c r="AU644" s="0" t="s">
        <v>130</v>
      </c>
      <c r="AV644" s="0" t="s">
        <v>130</v>
      </c>
      <c r="AW644" s="0" t="s">
        <v>130</v>
      </c>
      <c r="AX644" s="0" t="s">
        <v>130</v>
      </c>
      <c r="AY644" s="0" t="s">
        <v>130</v>
      </c>
      <c r="AZ644" s="0" t="s">
        <v>130</v>
      </c>
      <c r="BA644" s="0" t="s">
        <v>130</v>
      </c>
      <c r="BB644" s="0" t="s">
        <v>130</v>
      </c>
      <c r="BC644" s="0" t="s">
        <v>130</v>
      </c>
      <c r="BD644" s="0" t="s">
        <v>130</v>
      </c>
      <c r="BE644" s="0" t="s">
        <v>130</v>
      </c>
      <c r="BF644" s="0" t="s">
        <v>130</v>
      </c>
      <c r="BG644" s="0" t="s">
        <v>130</v>
      </c>
      <c r="BH644" s="0" t="s">
        <v>130</v>
      </c>
      <c r="BI644" s="0" t="s">
        <v>130</v>
      </c>
      <c r="BJ644" s="0" t="s">
        <v>130</v>
      </c>
      <c r="BK644" s="0" t="s">
        <v>130</v>
      </c>
      <c r="BL644" s="0" t="s">
        <v>130</v>
      </c>
      <c r="BM644" s="0" t="s">
        <v>130</v>
      </c>
      <c r="BN644" s="0" t="s">
        <v>130</v>
      </c>
      <c r="BO644" s="0" t="s">
        <v>130</v>
      </c>
      <c r="BP644" s="0" t="s">
        <v>130</v>
      </c>
      <c r="BQ644" s="0" t="s">
        <v>130</v>
      </c>
      <c r="BR644" s="0" t="s">
        <v>130</v>
      </c>
      <c r="BS644" s="0" t="s">
        <v>130</v>
      </c>
      <c r="BT644" s="0" t="s">
        <v>130</v>
      </c>
      <c r="BU644" s="0" t="s">
        <v>130</v>
      </c>
      <c r="BV644" s="0" t="s">
        <v>130</v>
      </c>
      <c r="BW644" s="0" t="s">
        <v>130</v>
      </c>
      <c r="BX644" s="0" t="s">
        <v>130</v>
      </c>
      <c r="BY644" s="0" t="s">
        <v>130</v>
      </c>
      <c r="BZ644" s="0" t="s">
        <v>130</v>
      </c>
      <c r="CA644" s="0" t="s">
        <v>130</v>
      </c>
      <c r="CB644" s="0" t="s">
        <v>130</v>
      </c>
      <c r="CC644" s="0" t="s">
        <v>130</v>
      </c>
      <c r="CD644" s="0" t="s">
        <v>130</v>
      </c>
      <c r="CE644" s="0" t="s">
        <v>130</v>
      </c>
      <c r="CF644" s="0" t="s">
        <v>130</v>
      </c>
      <c r="CG644" s="0" t="s">
        <v>130</v>
      </c>
      <c r="CH644" s="0" t="s">
        <v>130</v>
      </c>
      <c r="CI644" s="0" t="s">
        <v>130</v>
      </c>
      <c r="CJ644" s="0" t="s">
        <v>130</v>
      </c>
      <c r="CK644" s="0" t="s">
        <v>130</v>
      </c>
      <c r="CL644" s="0" t="s">
        <v>130</v>
      </c>
      <c r="CM644" s="0" t="s">
        <v>130</v>
      </c>
      <c r="CN644" s="0" t="s">
        <v>130</v>
      </c>
      <c r="CO644" s="0" t="s">
        <v>130</v>
      </c>
      <c r="CP644" s="0" t="s">
        <v>130</v>
      </c>
      <c r="CQ644" s="0" t="s">
        <v>130</v>
      </c>
      <c r="CR644" s="0" t="s">
        <v>130</v>
      </c>
      <c r="CS644" s="0" t="s">
        <v>130</v>
      </c>
      <c r="CT644" s="0" t="s">
        <v>2097</v>
      </c>
    </row>
    <row r="645">
      <c r="A645" s="14">
        <v>106583</v>
      </c>
      <c r="B645" s="0" t="s">
        <v>2098</v>
      </c>
      <c r="C645" s="16">
        <f>HYPERLINK("https://eosportal.federatedhermes.com/companies/Q29tcGFueQppNjc3NDY=", "Roper Technologies Inc")</f>
      </c>
      <c r="D645" s="0" t="s">
        <v>25</v>
      </c>
      <c r="E645" s="0" t="s">
        <v>143</v>
      </c>
      <c r="F645" s="16">
        <f>HYPERLINK("https://eosportal.federatedhermes.com/engagements/RW5nYWdlbWVudAppMjE1NTQ=", "Executive compensation")</f>
      </c>
      <c r="G645" s="14" t="s">
        <v>2099</v>
      </c>
      <c r="H645" s="0" t="s">
        <v>130</v>
      </c>
      <c r="I645" s="14" t="s">
        <v>319</v>
      </c>
      <c r="J645" s="0" t="s">
        <v>145</v>
      </c>
      <c r="K645" s="0" t="s">
        <v>146</v>
      </c>
      <c r="L645" s="0" t="s">
        <v>147</v>
      </c>
      <c r="M645" s="0" t="s">
        <v>135</v>
      </c>
      <c r="N645" s="0" t="s">
        <v>136</v>
      </c>
      <c r="O645" s="0" t="s">
        <v>137</v>
      </c>
      <c r="Q645" s="0" t="s">
        <v>130</v>
      </c>
      <c r="R645" s="0" t="s">
        <v>138</v>
      </c>
      <c r="S645" s="14">
        <v>0</v>
      </c>
      <c r="T645" s="0" t="s">
        <v>394</v>
      </c>
      <c r="U645" s="0" t="s">
        <v>138</v>
      </c>
      <c r="V645" s="14" t="s">
        <v>138</v>
      </c>
      <c r="W645" s="0" t="s">
        <v>138</v>
      </c>
      <c r="X645" s="14" t="s">
        <v>138</v>
      </c>
      <c r="Y645" s="0" t="s">
        <v>138</v>
      </c>
      <c r="Z645" s="14" t="s">
        <v>138</v>
      </c>
      <c r="AA645" s="0" t="s">
        <v>138</v>
      </c>
      <c r="AB645" s="14" t="s">
        <v>138</v>
      </c>
      <c r="AD645" s="0" t="s">
        <v>138</v>
      </c>
      <c r="AF645" s="0">
        <v>0</v>
      </c>
      <c r="AG645" s="0">
        <v>0</v>
      </c>
      <c r="AH645" s="0" t="s">
        <v>140</v>
      </c>
      <c r="AI645" s="0" t="s">
        <v>138</v>
      </c>
      <c r="AL645" s="14"/>
      <c r="AN645" s="14"/>
      <c r="AQ645" s="0" t="s">
        <v>130</v>
      </c>
      <c r="AR645" s="0" t="s">
        <v>130</v>
      </c>
      <c r="AS645" s="0" t="s">
        <v>130</v>
      </c>
      <c r="AT645" s="0" t="s">
        <v>130</v>
      </c>
      <c r="AU645" s="0" t="s">
        <v>130</v>
      </c>
      <c r="AV645" s="0" t="s">
        <v>130</v>
      </c>
      <c r="AW645" s="0" t="s">
        <v>130</v>
      </c>
      <c r="AX645" s="0" t="s">
        <v>130</v>
      </c>
      <c r="AY645" s="0" t="s">
        <v>130</v>
      </c>
      <c r="AZ645" s="0" t="s">
        <v>130</v>
      </c>
      <c r="BA645" s="0" t="s">
        <v>130</v>
      </c>
      <c r="BB645" s="0" t="s">
        <v>130</v>
      </c>
      <c r="BC645" s="0" t="s">
        <v>130</v>
      </c>
      <c r="BD645" s="0" t="s">
        <v>130</v>
      </c>
      <c r="BE645" s="0" t="s">
        <v>130</v>
      </c>
      <c r="BF645" s="0" t="s">
        <v>130</v>
      </c>
      <c r="BG645" s="0" t="s">
        <v>130</v>
      </c>
      <c r="BH645" s="0" t="s">
        <v>130</v>
      </c>
      <c r="BI645" s="0" t="s">
        <v>130</v>
      </c>
      <c r="BJ645" s="0" t="s">
        <v>130</v>
      </c>
      <c r="BK645" s="0" t="s">
        <v>130</v>
      </c>
      <c r="BL645" s="0" t="s">
        <v>130</v>
      </c>
      <c r="BM645" s="0" t="s">
        <v>130</v>
      </c>
      <c r="BN645" s="0" t="s">
        <v>130</v>
      </c>
      <c r="BO645" s="0" t="s">
        <v>130</v>
      </c>
      <c r="BP645" s="0" t="s">
        <v>130</v>
      </c>
      <c r="BQ645" s="0" t="s">
        <v>130</v>
      </c>
      <c r="BR645" s="0" t="s">
        <v>130</v>
      </c>
      <c r="BS645" s="0" t="s">
        <v>130</v>
      </c>
      <c r="BT645" s="0" t="s">
        <v>130</v>
      </c>
      <c r="BU645" s="0" t="s">
        <v>130</v>
      </c>
      <c r="BV645" s="0" t="s">
        <v>130</v>
      </c>
      <c r="BW645" s="0" t="s">
        <v>130</v>
      </c>
      <c r="BX645" s="0" t="s">
        <v>130</v>
      </c>
      <c r="BY645" s="0" t="s">
        <v>130</v>
      </c>
      <c r="BZ645" s="0" t="s">
        <v>130</v>
      </c>
      <c r="CA645" s="0" t="s">
        <v>130</v>
      </c>
      <c r="CB645" s="0" t="s">
        <v>130</v>
      </c>
      <c r="CC645" s="0" t="s">
        <v>130</v>
      </c>
      <c r="CD645" s="0" t="s">
        <v>130</v>
      </c>
      <c r="CE645" s="0" t="s">
        <v>130</v>
      </c>
      <c r="CF645" s="0" t="s">
        <v>130</v>
      </c>
      <c r="CG645" s="0" t="s">
        <v>130</v>
      </c>
      <c r="CH645" s="0" t="s">
        <v>130</v>
      </c>
      <c r="CI645" s="0" t="s">
        <v>130</v>
      </c>
      <c r="CJ645" s="0" t="s">
        <v>130</v>
      </c>
      <c r="CK645" s="0" t="s">
        <v>130</v>
      </c>
      <c r="CL645" s="0" t="s">
        <v>130</v>
      </c>
      <c r="CM645" s="0" t="s">
        <v>130</v>
      </c>
      <c r="CN645" s="0" t="s">
        <v>130</v>
      </c>
      <c r="CO645" s="0" t="s">
        <v>130</v>
      </c>
      <c r="CP645" s="0" t="s">
        <v>130</v>
      </c>
      <c r="CQ645" s="0" t="s">
        <v>130</v>
      </c>
      <c r="CR645" s="0" t="s">
        <v>130</v>
      </c>
      <c r="CS645" s="0" t="s">
        <v>130</v>
      </c>
      <c r="CT645" s="0" t="s">
        <v>2100</v>
      </c>
    </row>
    <row r="646">
      <c r="A646" s="14">
        <v>106583</v>
      </c>
      <c r="B646" s="0" t="s">
        <v>2098</v>
      </c>
      <c r="C646" s="16">
        <f>HYPERLINK("https://eosportal.federatedhermes.com/companies/Q29tcGFueQppNjc3NDY=", "Roper Technologies Inc")</f>
      </c>
      <c r="D646" s="0" t="s">
        <v>25</v>
      </c>
      <c r="E646" s="0" t="s">
        <v>2101</v>
      </c>
      <c r="F646" s="16">
        <f>HYPERLINK("https://eosportal.federatedhermes.com/engagements/RW5nYWdlbWVudAppMjE1NTU=", "Privacy/cyber/AI")</f>
      </c>
      <c r="G646" s="14" t="s">
        <v>2102</v>
      </c>
      <c r="H646" s="0" t="s">
        <v>130</v>
      </c>
      <c r="I646" s="14" t="s">
        <v>319</v>
      </c>
      <c r="J646" s="0" t="s">
        <v>132</v>
      </c>
      <c r="K646" s="0" t="s">
        <v>260</v>
      </c>
      <c r="L646" s="0" t="s">
        <v>743</v>
      </c>
      <c r="M646" s="0" t="s">
        <v>135</v>
      </c>
      <c r="N646" s="0" t="s">
        <v>136</v>
      </c>
      <c r="O646" s="0" t="s">
        <v>137</v>
      </c>
      <c r="Q646" s="0" t="s">
        <v>141</v>
      </c>
      <c r="R646" s="0" t="s">
        <v>138</v>
      </c>
      <c r="S646" s="14">
        <v>1</v>
      </c>
      <c r="T646" s="0" t="s">
        <v>394</v>
      </c>
      <c r="U646" s="0" t="s">
        <v>138</v>
      </c>
      <c r="V646" s="14" t="s">
        <v>138</v>
      </c>
      <c r="W646" s="0" t="s">
        <v>138</v>
      </c>
      <c r="X646" s="14" t="s">
        <v>138</v>
      </c>
      <c r="Y646" s="0" t="s">
        <v>138</v>
      </c>
      <c r="Z646" s="14" t="s">
        <v>138</v>
      </c>
      <c r="AA646" s="0" t="s">
        <v>138</v>
      </c>
      <c r="AB646" s="14" t="s">
        <v>138</v>
      </c>
      <c r="AD646" s="0" t="s">
        <v>138</v>
      </c>
      <c r="AF646" s="0">
        <v>0</v>
      </c>
      <c r="AG646" s="0">
        <v>0</v>
      </c>
      <c r="AH646" s="0" t="s">
        <v>140</v>
      </c>
      <c r="AI646" s="0" t="s">
        <v>138</v>
      </c>
      <c r="AK646" s="0" t="s">
        <v>2103</v>
      </c>
      <c r="AL646" s="14"/>
      <c r="AN646" s="14"/>
      <c r="AQ646" s="0" t="s">
        <v>130</v>
      </c>
      <c r="AR646" s="0" t="s">
        <v>130</v>
      </c>
      <c r="AS646" s="0" t="s">
        <v>130</v>
      </c>
      <c r="AT646" s="0" t="s">
        <v>130</v>
      </c>
      <c r="AU646" s="0" t="s">
        <v>130</v>
      </c>
      <c r="AV646" s="0" t="s">
        <v>130</v>
      </c>
      <c r="AW646" s="0" t="s">
        <v>130</v>
      </c>
      <c r="AX646" s="0" t="s">
        <v>130</v>
      </c>
      <c r="AY646" s="0" t="s">
        <v>130</v>
      </c>
      <c r="AZ646" s="0" t="s">
        <v>130</v>
      </c>
      <c r="BA646" s="0" t="s">
        <v>130</v>
      </c>
      <c r="BB646" s="0" t="s">
        <v>130</v>
      </c>
      <c r="BC646" s="0" t="s">
        <v>130</v>
      </c>
      <c r="BD646" s="0" t="s">
        <v>130</v>
      </c>
      <c r="BE646" s="0" t="s">
        <v>130</v>
      </c>
      <c r="BF646" s="0" t="s">
        <v>130</v>
      </c>
      <c r="BG646" s="0" t="s">
        <v>130</v>
      </c>
      <c r="BH646" s="0" t="s">
        <v>130</v>
      </c>
      <c r="BI646" s="0" t="s">
        <v>130</v>
      </c>
      <c r="BJ646" s="0" t="s">
        <v>130</v>
      </c>
      <c r="BK646" s="0" t="s">
        <v>130</v>
      </c>
      <c r="BL646" s="0" t="s">
        <v>130</v>
      </c>
      <c r="BM646" s="0" t="s">
        <v>130</v>
      </c>
      <c r="BN646" s="0" t="s">
        <v>130</v>
      </c>
      <c r="BO646" s="0" t="s">
        <v>130</v>
      </c>
      <c r="BP646" s="0" t="s">
        <v>130</v>
      </c>
      <c r="BQ646" s="0" t="s">
        <v>130</v>
      </c>
      <c r="BR646" s="0" t="s">
        <v>130</v>
      </c>
      <c r="BS646" s="0" t="s">
        <v>130</v>
      </c>
      <c r="BT646" s="0" t="s">
        <v>130</v>
      </c>
      <c r="BU646" s="0" t="s">
        <v>130</v>
      </c>
      <c r="BV646" s="0" t="s">
        <v>130</v>
      </c>
      <c r="BW646" s="0" t="s">
        <v>130</v>
      </c>
      <c r="BX646" s="0" t="s">
        <v>130</v>
      </c>
      <c r="BY646" s="0" t="s">
        <v>130</v>
      </c>
      <c r="BZ646" s="0" t="s">
        <v>130</v>
      </c>
      <c r="CA646" s="0" t="s">
        <v>130</v>
      </c>
      <c r="CB646" s="0" t="s">
        <v>130</v>
      </c>
      <c r="CC646" s="0" t="s">
        <v>130</v>
      </c>
      <c r="CD646" s="0" t="s">
        <v>130</v>
      </c>
      <c r="CE646" s="0" t="s">
        <v>130</v>
      </c>
      <c r="CF646" s="0" t="s">
        <v>130</v>
      </c>
      <c r="CG646" s="0" t="s">
        <v>130</v>
      </c>
      <c r="CH646" s="0" t="s">
        <v>130</v>
      </c>
      <c r="CI646" s="0" t="s">
        <v>130</v>
      </c>
      <c r="CJ646" s="0" t="s">
        <v>130</v>
      </c>
      <c r="CK646" s="0" t="s">
        <v>130</v>
      </c>
      <c r="CL646" s="0" t="s">
        <v>130</v>
      </c>
      <c r="CM646" s="0" t="s">
        <v>130</v>
      </c>
      <c r="CN646" s="0" t="s">
        <v>130</v>
      </c>
      <c r="CO646" s="0" t="s">
        <v>130</v>
      </c>
      <c r="CP646" s="0" t="s">
        <v>130</v>
      </c>
      <c r="CQ646" s="0" t="s">
        <v>130</v>
      </c>
      <c r="CR646" s="0" t="s">
        <v>130</v>
      </c>
      <c r="CS646" s="0" t="s">
        <v>130</v>
      </c>
      <c r="CT646" s="0" t="s">
        <v>2104</v>
      </c>
    </row>
    <row r="647">
      <c r="A647" s="14">
        <v>106583</v>
      </c>
      <c r="B647" s="0" t="s">
        <v>2098</v>
      </c>
      <c r="C647" s="16">
        <f>HYPERLINK("https://eosportal.federatedhermes.com/companies/Q29tcGFueQppNjc3NDY=", "Roper Technologies Inc")</f>
      </c>
      <c r="D647" s="0" t="s">
        <v>25</v>
      </c>
      <c r="E647" s="0" t="s">
        <v>1939</v>
      </c>
      <c r="F647" s="16">
        <f>HYPERLINK("https://eosportal.federatedhermes.com/engagements/RW5nYWdlbWVudAppMjE1NTY=", "TCFD disclosure")</f>
      </c>
      <c r="G647" s="14" t="s">
        <v>2105</v>
      </c>
      <c r="H647" s="0" t="s">
        <v>130</v>
      </c>
      <c r="I647" s="14" t="s">
        <v>319</v>
      </c>
      <c r="J647" s="0" t="s">
        <v>197</v>
      </c>
      <c r="K647" s="0" t="s">
        <v>198</v>
      </c>
      <c r="L647" s="0" t="s">
        <v>199</v>
      </c>
      <c r="M647" s="0" t="s">
        <v>135</v>
      </c>
      <c r="N647" s="0" t="s">
        <v>136</v>
      </c>
      <c r="O647" s="0" t="s">
        <v>137</v>
      </c>
      <c r="Q647" s="0" t="s">
        <v>141</v>
      </c>
      <c r="R647" s="0" t="s">
        <v>138</v>
      </c>
      <c r="S647" s="14">
        <v>1</v>
      </c>
      <c r="T647" s="0" t="s">
        <v>394</v>
      </c>
      <c r="U647" s="0" t="s">
        <v>138</v>
      </c>
      <c r="V647" s="14" t="s">
        <v>138</v>
      </c>
      <c r="W647" s="0" t="s">
        <v>138</v>
      </c>
      <c r="X647" s="14" t="s">
        <v>138</v>
      </c>
      <c r="Y647" s="0" t="s">
        <v>138</v>
      </c>
      <c r="Z647" s="14" t="s">
        <v>138</v>
      </c>
      <c r="AA647" s="0" t="s">
        <v>138</v>
      </c>
      <c r="AB647" s="14" t="s">
        <v>138</v>
      </c>
      <c r="AD647" s="0" t="s">
        <v>138</v>
      </c>
      <c r="AF647" s="0">
        <v>0</v>
      </c>
      <c r="AG647" s="0">
        <v>0</v>
      </c>
      <c r="AH647" s="0" t="s">
        <v>140</v>
      </c>
      <c r="AI647" s="0" t="s">
        <v>138</v>
      </c>
      <c r="AK647" s="0" t="s">
        <v>2103</v>
      </c>
      <c r="AL647" s="14"/>
      <c r="AN647" s="14"/>
      <c r="AQ647" s="0" t="s">
        <v>130</v>
      </c>
      <c r="AR647" s="0" t="s">
        <v>130</v>
      </c>
      <c r="AS647" s="0" t="s">
        <v>130</v>
      </c>
      <c r="AT647" s="0" t="s">
        <v>130</v>
      </c>
      <c r="AU647" s="0" t="s">
        <v>130</v>
      </c>
      <c r="AV647" s="0" t="s">
        <v>130</v>
      </c>
      <c r="AW647" s="0" t="s">
        <v>130</v>
      </c>
      <c r="AX647" s="0" t="s">
        <v>130</v>
      </c>
      <c r="AY647" s="0" t="s">
        <v>130</v>
      </c>
      <c r="AZ647" s="0" t="s">
        <v>130</v>
      </c>
      <c r="BA647" s="0" t="s">
        <v>130</v>
      </c>
      <c r="BB647" s="0" t="s">
        <v>141</v>
      </c>
      <c r="BC647" s="0" t="s">
        <v>141</v>
      </c>
      <c r="BD647" s="0" t="s">
        <v>130</v>
      </c>
      <c r="BE647" s="0" t="s">
        <v>130</v>
      </c>
      <c r="BF647" s="0" t="s">
        <v>130</v>
      </c>
      <c r="BG647" s="0" t="s">
        <v>130</v>
      </c>
      <c r="BH647" s="0" t="s">
        <v>130</v>
      </c>
      <c r="BI647" s="0" t="s">
        <v>130</v>
      </c>
      <c r="BJ647" s="0" t="s">
        <v>130</v>
      </c>
      <c r="BK647" s="0" t="s">
        <v>130</v>
      </c>
      <c r="BL647" s="0" t="s">
        <v>130</v>
      </c>
      <c r="BM647" s="0" t="s">
        <v>130</v>
      </c>
      <c r="BN647" s="0" t="s">
        <v>130</v>
      </c>
      <c r="BO647" s="0" t="s">
        <v>130</v>
      </c>
      <c r="BP647" s="0" t="s">
        <v>130</v>
      </c>
      <c r="BQ647" s="0" t="s">
        <v>130</v>
      </c>
      <c r="BR647" s="0" t="s">
        <v>130</v>
      </c>
      <c r="BS647" s="0" t="s">
        <v>130</v>
      </c>
      <c r="BT647" s="0" t="s">
        <v>130</v>
      </c>
      <c r="BU647" s="0" t="s">
        <v>130</v>
      </c>
      <c r="BV647" s="0" t="s">
        <v>130</v>
      </c>
      <c r="BW647" s="0" t="s">
        <v>130</v>
      </c>
      <c r="BX647" s="0" t="s">
        <v>130</v>
      </c>
      <c r="BY647" s="0" t="s">
        <v>130</v>
      </c>
      <c r="BZ647" s="0" t="s">
        <v>130</v>
      </c>
      <c r="CA647" s="0" t="s">
        <v>130</v>
      </c>
      <c r="CB647" s="0" t="s">
        <v>130</v>
      </c>
      <c r="CC647" s="0" t="s">
        <v>130</v>
      </c>
      <c r="CD647" s="0" t="s">
        <v>130</v>
      </c>
      <c r="CE647" s="0" t="s">
        <v>130</v>
      </c>
      <c r="CF647" s="0" t="s">
        <v>130</v>
      </c>
      <c r="CG647" s="0" t="s">
        <v>130</v>
      </c>
      <c r="CH647" s="0" t="s">
        <v>130</v>
      </c>
      <c r="CI647" s="0" t="s">
        <v>130</v>
      </c>
      <c r="CJ647" s="0" t="s">
        <v>130</v>
      </c>
      <c r="CK647" s="0" t="s">
        <v>130</v>
      </c>
      <c r="CL647" s="0" t="s">
        <v>130</v>
      </c>
      <c r="CM647" s="0" t="s">
        <v>130</v>
      </c>
      <c r="CN647" s="0" t="s">
        <v>130</v>
      </c>
      <c r="CO647" s="0" t="s">
        <v>130</v>
      </c>
      <c r="CP647" s="0" t="s">
        <v>130</v>
      </c>
      <c r="CQ647" s="0" t="s">
        <v>130</v>
      </c>
      <c r="CR647" s="0" t="s">
        <v>130</v>
      </c>
      <c r="CS647" s="0" t="s">
        <v>130</v>
      </c>
      <c r="CT647" s="0" t="s">
        <v>2106</v>
      </c>
    </row>
    <row r="648">
      <c r="A648" s="14">
        <v>106583</v>
      </c>
      <c r="B648" s="0" t="s">
        <v>2098</v>
      </c>
      <c r="C648" s="16">
        <f>HYPERLINK("https://eosportal.federatedhermes.com/companies/Q29tcGFueQppNjc3NDY=", "Roper Technologies Inc")</f>
      </c>
      <c r="D648" s="0" t="s">
        <v>25</v>
      </c>
      <c r="E648" s="0" t="s">
        <v>386</v>
      </c>
      <c r="F648" s="16">
        <f>HYPERLINK("https://eosportal.federatedhermes.com/engagements/RW5nYWdlbWVudAppMjE1NTc=", "Board independence")</f>
      </c>
      <c r="G648" s="14" t="s">
        <v>2107</v>
      </c>
      <c r="H648" s="0" t="s">
        <v>130</v>
      </c>
      <c r="I648" s="14" t="s">
        <v>319</v>
      </c>
      <c r="J648" s="0" t="s">
        <v>145</v>
      </c>
      <c r="K648" s="0" t="s">
        <v>164</v>
      </c>
      <c r="L648" s="0" t="s">
        <v>165</v>
      </c>
      <c r="M648" s="0" t="s">
        <v>135</v>
      </c>
      <c r="N648" s="0" t="s">
        <v>136</v>
      </c>
      <c r="O648" s="0" t="s">
        <v>137</v>
      </c>
      <c r="Q648" s="0" t="s">
        <v>130</v>
      </c>
      <c r="R648" s="0" t="s">
        <v>138</v>
      </c>
      <c r="S648" s="14">
        <v>0</v>
      </c>
      <c r="T648" s="0" t="s">
        <v>394</v>
      </c>
      <c r="U648" s="0" t="s">
        <v>138</v>
      </c>
      <c r="V648" s="14" t="s">
        <v>138</v>
      </c>
      <c r="W648" s="0" t="s">
        <v>138</v>
      </c>
      <c r="X648" s="14" t="s">
        <v>138</v>
      </c>
      <c r="Y648" s="0" t="s">
        <v>138</v>
      </c>
      <c r="Z648" s="14" t="s">
        <v>138</v>
      </c>
      <c r="AA648" s="0" t="s">
        <v>138</v>
      </c>
      <c r="AB648" s="14" t="s">
        <v>138</v>
      </c>
      <c r="AD648" s="0" t="s">
        <v>138</v>
      </c>
      <c r="AF648" s="0">
        <v>0</v>
      </c>
      <c r="AG648" s="0">
        <v>0</v>
      </c>
      <c r="AH648" s="0" t="s">
        <v>140</v>
      </c>
      <c r="AI648" s="0" t="s">
        <v>138</v>
      </c>
      <c r="AL648" s="14"/>
      <c r="AN648" s="14"/>
      <c r="AQ648" s="0" t="s">
        <v>130</v>
      </c>
      <c r="AR648" s="0" t="s">
        <v>130</v>
      </c>
      <c r="AS648" s="0" t="s">
        <v>130</v>
      </c>
      <c r="AT648" s="0" t="s">
        <v>130</v>
      </c>
      <c r="AU648" s="0" t="s">
        <v>130</v>
      </c>
      <c r="AV648" s="0" t="s">
        <v>130</v>
      </c>
      <c r="AW648" s="0" t="s">
        <v>130</v>
      </c>
      <c r="AX648" s="0" t="s">
        <v>130</v>
      </c>
      <c r="AY648" s="0" t="s">
        <v>130</v>
      </c>
      <c r="AZ648" s="0" t="s">
        <v>130</v>
      </c>
      <c r="BA648" s="0" t="s">
        <v>130</v>
      </c>
      <c r="BB648" s="0" t="s">
        <v>130</v>
      </c>
      <c r="BC648" s="0" t="s">
        <v>130</v>
      </c>
      <c r="BD648" s="0" t="s">
        <v>130</v>
      </c>
      <c r="BE648" s="0" t="s">
        <v>130</v>
      </c>
      <c r="BF648" s="0" t="s">
        <v>130</v>
      </c>
      <c r="BG648" s="0" t="s">
        <v>130</v>
      </c>
      <c r="BH648" s="0" t="s">
        <v>130</v>
      </c>
      <c r="BI648" s="0" t="s">
        <v>130</v>
      </c>
      <c r="BJ648" s="0" t="s">
        <v>130</v>
      </c>
      <c r="BK648" s="0" t="s">
        <v>130</v>
      </c>
      <c r="BL648" s="0" t="s">
        <v>130</v>
      </c>
      <c r="BM648" s="0" t="s">
        <v>130</v>
      </c>
      <c r="BN648" s="0" t="s">
        <v>130</v>
      </c>
      <c r="BO648" s="0" t="s">
        <v>130</v>
      </c>
      <c r="BP648" s="0" t="s">
        <v>130</v>
      </c>
      <c r="BQ648" s="0" t="s">
        <v>130</v>
      </c>
      <c r="BR648" s="0" t="s">
        <v>130</v>
      </c>
      <c r="BS648" s="0" t="s">
        <v>130</v>
      </c>
      <c r="BT648" s="0" t="s">
        <v>130</v>
      </c>
      <c r="BU648" s="0" t="s">
        <v>130</v>
      </c>
      <c r="BV648" s="0" t="s">
        <v>130</v>
      </c>
      <c r="BW648" s="0" t="s">
        <v>130</v>
      </c>
      <c r="BX648" s="0" t="s">
        <v>130</v>
      </c>
      <c r="BY648" s="0" t="s">
        <v>130</v>
      </c>
      <c r="BZ648" s="0" t="s">
        <v>130</v>
      </c>
      <c r="CA648" s="0" t="s">
        <v>130</v>
      </c>
      <c r="CB648" s="0" t="s">
        <v>130</v>
      </c>
      <c r="CC648" s="0" t="s">
        <v>130</v>
      </c>
      <c r="CD648" s="0" t="s">
        <v>130</v>
      </c>
      <c r="CE648" s="0" t="s">
        <v>130</v>
      </c>
      <c r="CF648" s="0" t="s">
        <v>130</v>
      </c>
      <c r="CG648" s="0" t="s">
        <v>130</v>
      </c>
      <c r="CH648" s="0" t="s">
        <v>130</v>
      </c>
      <c r="CI648" s="0" t="s">
        <v>130</v>
      </c>
      <c r="CJ648" s="0" t="s">
        <v>130</v>
      </c>
      <c r="CK648" s="0" t="s">
        <v>130</v>
      </c>
      <c r="CL648" s="0" t="s">
        <v>130</v>
      </c>
      <c r="CM648" s="0" t="s">
        <v>130</v>
      </c>
      <c r="CN648" s="0" t="s">
        <v>130</v>
      </c>
      <c r="CO648" s="0" t="s">
        <v>130</v>
      </c>
      <c r="CP648" s="0" t="s">
        <v>130</v>
      </c>
      <c r="CQ648" s="0" t="s">
        <v>130</v>
      </c>
      <c r="CR648" s="0" t="s">
        <v>130</v>
      </c>
      <c r="CS648" s="0" t="s">
        <v>130</v>
      </c>
      <c r="CT648" s="0" t="s">
        <v>2108</v>
      </c>
    </row>
    <row r="649">
      <c r="A649" s="14">
        <v>106583</v>
      </c>
      <c r="B649" s="0" t="s">
        <v>2098</v>
      </c>
      <c r="C649" s="16">
        <f>HYPERLINK("https://eosportal.federatedhermes.com/companies/Q29tcGFueQppNjc3NDY=", "Roper Technologies Inc")</f>
      </c>
      <c r="D649" s="0" t="s">
        <v>25</v>
      </c>
      <c r="E649" s="0" t="s">
        <v>1381</v>
      </c>
      <c r="F649" s="16">
        <f>HYPERLINK("https://eosportal.federatedhermes.com/engagements/RW5nYWdlbWVudAppMjE1NTg=", "Strategy")</f>
      </c>
      <c r="G649" s="14" t="s">
        <v>2109</v>
      </c>
      <c r="H649" s="0" t="s">
        <v>130</v>
      </c>
      <c r="I649" s="14" t="s">
        <v>319</v>
      </c>
      <c r="J649" s="0" t="s">
        <v>132</v>
      </c>
      <c r="K649" s="0" t="s">
        <v>133</v>
      </c>
      <c r="L649" s="0" t="s">
        <v>160</v>
      </c>
      <c r="M649" s="0" t="s">
        <v>135</v>
      </c>
      <c r="N649" s="0" t="s">
        <v>136</v>
      </c>
      <c r="O649" s="0" t="s">
        <v>137</v>
      </c>
      <c r="Q649" s="0" t="s">
        <v>130</v>
      </c>
      <c r="R649" s="0" t="s">
        <v>138</v>
      </c>
      <c r="S649" s="14">
        <v>0</v>
      </c>
      <c r="T649" s="0" t="s">
        <v>394</v>
      </c>
      <c r="U649" s="0" t="s">
        <v>138</v>
      </c>
      <c r="V649" s="14" t="s">
        <v>138</v>
      </c>
      <c r="W649" s="0" t="s">
        <v>138</v>
      </c>
      <c r="X649" s="14" t="s">
        <v>138</v>
      </c>
      <c r="Y649" s="0" t="s">
        <v>138</v>
      </c>
      <c r="Z649" s="14" t="s">
        <v>138</v>
      </c>
      <c r="AA649" s="0" t="s">
        <v>138</v>
      </c>
      <c r="AB649" s="14" t="s">
        <v>138</v>
      </c>
      <c r="AD649" s="0" t="s">
        <v>138</v>
      </c>
      <c r="AF649" s="0">
        <v>0</v>
      </c>
      <c r="AG649" s="0">
        <v>0</v>
      </c>
      <c r="AH649" s="0" t="s">
        <v>140</v>
      </c>
      <c r="AI649" s="0" t="s">
        <v>138</v>
      </c>
      <c r="AL649" s="14"/>
      <c r="AN649" s="14"/>
      <c r="AQ649" s="0" t="s">
        <v>130</v>
      </c>
      <c r="AR649" s="0" t="s">
        <v>130</v>
      </c>
      <c r="AS649" s="0" t="s">
        <v>130</v>
      </c>
      <c r="AT649" s="0" t="s">
        <v>130</v>
      </c>
      <c r="AU649" s="0" t="s">
        <v>130</v>
      </c>
      <c r="AV649" s="0" t="s">
        <v>130</v>
      </c>
      <c r="AW649" s="0" t="s">
        <v>130</v>
      </c>
      <c r="AX649" s="0" t="s">
        <v>130</v>
      </c>
      <c r="AY649" s="0" t="s">
        <v>130</v>
      </c>
      <c r="AZ649" s="0" t="s">
        <v>130</v>
      </c>
      <c r="BA649" s="0" t="s">
        <v>130</v>
      </c>
      <c r="BB649" s="0" t="s">
        <v>130</v>
      </c>
      <c r="BC649" s="0" t="s">
        <v>130</v>
      </c>
      <c r="BD649" s="0" t="s">
        <v>130</v>
      </c>
      <c r="BE649" s="0" t="s">
        <v>130</v>
      </c>
      <c r="BF649" s="0" t="s">
        <v>130</v>
      </c>
      <c r="BG649" s="0" t="s">
        <v>130</v>
      </c>
      <c r="BH649" s="0" t="s">
        <v>130</v>
      </c>
      <c r="BI649" s="0" t="s">
        <v>130</v>
      </c>
      <c r="BJ649" s="0" t="s">
        <v>130</v>
      </c>
      <c r="BK649" s="0" t="s">
        <v>130</v>
      </c>
      <c r="BL649" s="0" t="s">
        <v>130</v>
      </c>
      <c r="BM649" s="0" t="s">
        <v>130</v>
      </c>
      <c r="BN649" s="0" t="s">
        <v>130</v>
      </c>
      <c r="BO649" s="0" t="s">
        <v>130</v>
      </c>
      <c r="BP649" s="0" t="s">
        <v>130</v>
      </c>
      <c r="BQ649" s="0" t="s">
        <v>130</v>
      </c>
      <c r="BR649" s="0" t="s">
        <v>130</v>
      </c>
      <c r="BS649" s="0" t="s">
        <v>130</v>
      </c>
      <c r="BT649" s="0" t="s">
        <v>130</v>
      </c>
      <c r="BU649" s="0" t="s">
        <v>130</v>
      </c>
      <c r="BV649" s="0" t="s">
        <v>130</v>
      </c>
      <c r="BW649" s="0" t="s">
        <v>130</v>
      </c>
      <c r="BX649" s="0" t="s">
        <v>130</v>
      </c>
      <c r="BY649" s="0" t="s">
        <v>130</v>
      </c>
      <c r="BZ649" s="0" t="s">
        <v>130</v>
      </c>
      <c r="CA649" s="0" t="s">
        <v>130</v>
      </c>
      <c r="CB649" s="0" t="s">
        <v>130</v>
      </c>
      <c r="CC649" s="0" t="s">
        <v>130</v>
      </c>
      <c r="CD649" s="0" t="s">
        <v>130</v>
      </c>
      <c r="CE649" s="0" t="s">
        <v>130</v>
      </c>
      <c r="CF649" s="0" t="s">
        <v>130</v>
      </c>
      <c r="CG649" s="0" t="s">
        <v>130</v>
      </c>
      <c r="CH649" s="0" t="s">
        <v>130</v>
      </c>
      <c r="CI649" s="0" t="s">
        <v>130</v>
      </c>
      <c r="CJ649" s="0" t="s">
        <v>130</v>
      </c>
      <c r="CK649" s="0" t="s">
        <v>130</v>
      </c>
      <c r="CL649" s="0" t="s">
        <v>130</v>
      </c>
      <c r="CM649" s="0" t="s">
        <v>130</v>
      </c>
      <c r="CN649" s="0" t="s">
        <v>130</v>
      </c>
      <c r="CO649" s="0" t="s">
        <v>130</v>
      </c>
      <c r="CP649" s="0" t="s">
        <v>130</v>
      </c>
      <c r="CQ649" s="0" t="s">
        <v>130</v>
      </c>
      <c r="CR649" s="0" t="s">
        <v>130</v>
      </c>
      <c r="CS649" s="0" t="s">
        <v>130</v>
      </c>
      <c r="CT649" s="0" t="s">
        <v>2110</v>
      </c>
    </row>
    <row r="650">
      <c r="A650" s="14">
        <v>106583</v>
      </c>
      <c r="B650" s="0" t="s">
        <v>2098</v>
      </c>
      <c r="C650" s="16">
        <f>HYPERLINK("https://eosportal.federatedhermes.com/companies/Q29tcGFueQppNjc3NDY=", "Roper Technologies Inc")</f>
      </c>
      <c r="D650" s="0" t="s">
        <v>25</v>
      </c>
      <c r="E650" s="0" t="s">
        <v>2111</v>
      </c>
      <c r="F650" s="16">
        <f>HYPERLINK("https://eosportal.federatedhermes.com/engagements/RW5nYWdlbWVudAppMjE1NjA=", "Responsible supply chain")</f>
      </c>
      <c r="G650" s="14" t="s">
        <v>2112</v>
      </c>
      <c r="H650" s="0" t="s">
        <v>130</v>
      </c>
      <c r="I650" s="14" t="s">
        <v>319</v>
      </c>
      <c r="J650" s="0" t="s">
        <v>153</v>
      </c>
      <c r="K650" s="0" t="s">
        <v>243</v>
      </c>
      <c r="L650" s="0" t="s">
        <v>244</v>
      </c>
      <c r="M650" s="0" t="s">
        <v>135</v>
      </c>
      <c r="N650" s="0" t="s">
        <v>136</v>
      </c>
      <c r="O650" s="0" t="s">
        <v>137</v>
      </c>
      <c r="Q650" s="0" t="s">
        <v>141</v>
      </c>
      <c r="R650" s="0" t="s">
        <v>138</v>
      </c>
      <c r="S650" s="14">
        <v>1</v>
      </c>
      <c r="T650" s="0" t="s">
        <v>394</v>
      </c>
      <c r="U650" s="0" t="s">
        <v>138</v>
      </c>
      <c r="V650" s="14" t="s">
        <v>138</v>
      </c>
      <c r="W650" s="0" t="s">
        <v>138</v>
      </c>
      <c r="X650" s="14" t="s">
        <v>138</v>
      </c>
      <c r="Y650" s="0" t="s">
        <v>138</v>
      </c>
      <c r="Z650" s="14" t="s">
        <v>138</v>
      </c>
      <c r="AA650" s="0" t="s">
        <v>138</v>
      </c>
      <c r="AB650" s="14" t="s">
        <v>138</v>
      </c>
      <c r="AD650" s="0" t="s">
        <v>138</v>
      </c>
      <c r="AF650" s="0">
        <v>0</v>
      </c>
      <c r="AG650" s="0">
        <v>0</v>
      </c>
      <c r="AH650" s="0" t="s">
        <v>140</v>
      </c>
      <c r="AI650" s="0" t="s">
        <v>138</v>
      </c>
      <c r="AK650" s="0" t="s">
        <v>2103</v>
      </c>
      <c r="AL650" s="14"/>
      <c r="AN650" s="14"/>
      <c r="AQ650" s="0" t="s">
        <v>130</v>
      </c>
      <c r="AR650" s="0" t="s">
        <v>130</v>
      </c>
      <c r="AS650" s="0" t="s">
        <v>130</v>
      </c>
      <c r="AT650" s="0" t="s">
        <v>130</v>
      </c>
      <c r="AU650" s="0" t="s">
        <v>130</v>
      </c>
      <c r="AV650" s="0" t="s">
        <v>130</v>
      </c>
      <c r="AW650" s="0" t="s">
        <v>130</v>
      </c>
      <c r="AX650" s="0" t="s">
        <v>141</v>
      </c>
      <c r="AY650" s="0" t="s">
        <v>130</v>
      </c>
      <c r="AZ650" s="0" t="s">
        <v>130</v>
      </c>
      <c r="BA650" s="0" t="s">
        <v>130</v>
      </c>
      <c r="BB650" s="0" t="s">
        <v>130</v>
      </c>
      <c r="BC650" s="0" t="s">
        <v>130</v>
      </c>
      <c r="BD650" s="0" t="s">
        <v>130</v>
      </c>
      <c r="BE650" s="0" t="s">
        <v>130</v>
      </c>
      <c r="BF650" s="0" t="s">
        <v>130</v>
      </c>
      <c r="BG650" s="0" t="s">
        <v>130</v>
      </c>
      <c r="BH650" s="0" t="s">
        <v>130</v>
      </c>
      <c r="BI650" s="0" t="s">
        <v>130</v>
      </c>
      <c r="BJ650" s="0" t="s">
        <v>130</v>
      </c>
      <c r="BK650" s="0" t="s">
        <v>130</v>
      </c>
      <c r="BL650" s="0" t="s">
        <v>130</v>
      </c>
      <c r="BM650" s="0" t="s">
        <v>130</v>
      </c>
      <c r="BN650" s="0" t="s">
        <v>130</v>
      </c>
      <c r="BO650" s="0" t="s">
        <v>130</v>
      </c>
      <c r="BP650" s="0" t="s">
        <v>130</v>
      </c>
      <c r="BQ650" s="0" t="s">
        <v>130</v>
      </c>
      <c r="BR650" s="0" t="s">
        <v>130</v>
      </c>
      <c r="BS650" s="0" t="s">
        <v>130</v>
      </c>
      <c r="BT650" s="0" t="s">
        <v>130</v>
      </c>
      <c r="BU650" s="0" t="s">
        <v>130</v>
      </c>
      <c r="BV650" s="0" t="s">
        <v>130</v>
      </c>
      <c r="BW650" s="0" t="s">
        <v>130</v>
      </c>
      <c r="BX650" s="0" t="s">
        <v>130</v>
      </c>
      <c r="BY650" s="0" t="s">
        <v>130</v>
      </c>
      <c r="BZ650" s="0" t="s">
        <v>130</v>
      </c>
      <c r="CA650" s="0" t="s">
        <v>130</v>
      </c>
      <c r="CB650" s="0" t="s">
        <v>130</v>
      </c>
      <c r="CC650" s="0" t="s">
        <v>130</v>
      </c>
      <c r="CD650" s="0" t="s">
        <v>130</v>
      </c>
      <c r="CE650" s="0" t="s">
        <v>130</v>
      </c>
      <c r="CF650" s="0" t="s">
        <v>130</v>
      </c>
      <c r="CG650" s="0" t="s">
        <v>130</v>
      </c>
      <c r="CH650" s="0" t="s">
        <v>130</v>
      </c>
      <c r="CI650" s="0" t="s">
        <v>130</v>
      </c>
      <c r="CJ650" s="0" t="s">
        <v>130</v>
      </c>
      <c r="CK650" s="0" t="s">
        <v>130</v>
      </c>
      <c r="CL650" s="0" t="s">
        <v>130</v>
      </c>
      <c r="CM650" s="0" t="s">
        <v>130</v>
      </c>
      <c r="CN650" s="0" t="s">
        <v>130</v>
      </c>
      <c r="CO650" s="0" t="s">
        <v>130</v>
      </c>
      <c r="CP650" s="0" t="s">
        <v>130</v>
      </c>
      <c r="CQ650" s="0" t="s">
        <v>130</v>
      </c>
      <c r="CR650" s="0" t="s">
        <v>130</v>
      </c>
      <c r="CS650" s="0" t="s">
        <v>130</v>
      </c>
      <c r="CT650" s="0" t="s">
        <v>2113</v>
      </c>
    </row>
    <row r="651">
      <c r="A651" s="14">
        <v>106583</v>
      </c>
      <c r="B651" s="0" t="s">
        <v>2098</v>
      </c>
      <c r="C651" s="16">
        <f>HYPERLINK("https://eosportal.federatedhermes.com/companies/Q29tcGFueQppNjc3NDY=", "Roper Technologies Inc")</f>
      </c>
      <c r="D651" s="0" t="s">
        <v>25</v>
      </c>
      <c r="E651" s="0" t="s">
        <v>2114</v>
      </c>
      <c r="F651" s="16">
        <f>HYPERLINK("https://eosportal.federatedhermes.com/engagements/RW5nYWdlbWVudAppMjE1NjE=", "Diversity disclosure")</f>
      </c>
      <c r="G651" s="14" t="s">
        <v>2115</v>
      </c>
      <c r="H651" s="0" t="s">
        <v>130</v>
      </c>
      <c r="I651" s="14" t="s">
        <v>319</v>
      </c>
      <c r="J651" s="0" t="s">
        <v>153</v>
      </c>
      <c r="K651" s="0" t="s">
        <v>154</v>
      </c>
      <c r="L651" s="0" t="s">
        <v>268</v>
      </c>
      <c r="M651" s="0" t="s">
        <v>135</v>
      </c>
      <c r="N651" s="0" t="s">
        <v>136</v>
      </c>
      <c r="O651" s="0" t="s">
        <v>137</v>
      </c>
      <c r="Q651" s="0" t="s">
        <v>130</v>
      </c>
      <c r="R651" s="0" t="s">
        <v>138</v>
      </c>
      <c r="S651" s="14">
        <v>0</v>
      </c>
      <c r="T651" s="0" t="s">
        <v>394</v>
      </c>
      <c r="U651" s="0" t="s">
        <v>138</v>
      </c>
      <c r="V651" s="14" t="s">
        <v>138</v>
      </c>
      <c r="W651" s="0" t="s">
        <v>138</v>
      </c>
      <c r="X651" s="14" t="s">
        <v>138</v>
      </c>
      <c r="Y651" s="0" t="s">
        <v>138</v>
      </c>
      <c r="Z651" s="14" t="s">
        <v>138</v>
      </c>
      <c r="AA651" s="0" t="s">
        <v>138</v>
      </c>
      <c r="AB651" s="14" t="s">
        <v>138</v>
      </c>
      <c r="AD651" s="0" t="s">
        <v>138</v>
      </c>
      <c r="AF651" s="0">
        <v>0</v>
      </c>
      <c r="AG651" s="0">
        <v>0</v>
      </c>
      <c r="AH651" s="0" t="s">
        <v>140</v>
      </c>
      <c r="AI651" s="0" t="s">
        <v>138</v>
      </c>
      <c r="AL651" s="14"/>
      <c r="AN651" s="14"/>
      <c r="AQ651" s="0" t="s">
        <v>130</v>
      </c>
      <c r="AR651" s="0" t="s">
        <v>130</v>
      </c>
      <c r="AS651" s="0" t="s">
        <v>130</v>
      </c>
      <c r="AT651" s="0" t="s">
        <v>130</v>
      </c>
      <c r="AU651" s="0" t="s">
        <v>130</v>
      </c>
      <c r="AV651" s="0" t="s">
        <v>130</v>
      </c>
      <c r="AW651" s="0" t="s">
        <v>130</v>
      </c>
      <c r="AX651" s="0" t="s">
        <v>141</v>
      </c>
      <c r="AY651" s="0" t="s">
        <v>130</v>
      </c>
      <c r="AZ651" s="0" t="s">
        <v>130</v>
      </c>
      <c r="BA651" s="0" t="s">
        <v>130</v>
      </c>
      <c r="BB651" s="0" t="s">
        <v>130</v>
      </c>
      <c r="BC651" s="0" t="s">
        <v>130</v>
      </c>
      <c r="BD651" s="0" t="s">
        <v>130</v>
      </c>
      <c r="BE651" s="0" t="s">
        <v>130</v>
      </c>
      <c r="BF651" s="0" t="s">
        <v>130</v>
      </c>
      <c r="BG651" s="0" t="s">
        <v>130</v>
      </c>
      <c r="BH651" s="0" t="s">
        <v>130</v>
      </c>
      <c r="BI651" s="0" t="s">
        <v>130</v>
      </c>
      <c r="BJ651" s="0" t="s">
        <v>130</v>
      </c>
      <c r="BK651" s="0" t="s">
        <v>130</v>
      </c>
      <c r="BL651" s="0" t="s">
        <v>130</v>
      </c>
      <c r="BM651" s="0" t="s">
        <v>130</v>
      </c>
      <c r="BN651" s="0" t="s">
        <v>130</v>
      </c>
      <c r="BO651" s="0" t="s">
        <v>130</v>
      </c>
      <c r="BP651" s="0" t="s">
        <v>130</v>
      </c>
      <c r="BQ651" s="0" t="s">
        <v>130</v>
      </c>
      <c r="BR651" s="0" t="s">
        <v>130</v>
      </c>
      <c r="BS651" s="0" t="s">
        <v>130</v>
      </c>
      <c r="BT651" s="0" t="s">
        <v>130</v>
      </c>
      <c r="BU651" s="0" t="s">
        <v>130</v>
      </c>
      <c r="BV651" s="0" t="s">
        <v>130</v>
      </c>
      <c r="BW651" s="0" t="s">
        <v>130</v>
      </c>
      <c r="BX651" s="0" t="s">
        <v>130</v>
      </c>
      <c r="BY651" s="0" t="s">
        <v>130</v>
      </c>
      <c r="BZ651" s="0" t="s">
        <v>130</v>
      </c>
      <c r="CA651" s="0" t="s">
        <v>130</v>
      </c>
      <c r="CB651" s="0" t="s">
        <v>130</v>
      </c>
      <c r="CC651" s="0" t="s">
        <v>130</v>
      </c>
      <c r="CD651" s="0" t="s">
        <v>130</v>
      </c>
      <c r="CE651" s="0" t="s">
        <v>130</v>
      </c>
      <c r="CF651" s="0" t="s">
        <v>130</v>
      </c>
      <c r="CG651" s="0" t="s">
        <v>130</v>
      </c>
      <c r="CH651" s="0" t="s">
        <v>130</v>
      </c>
      <c r="CI651" s="0" t="s">
        <v>130</v>
      </c>
      <c r="CJ651" s="0" t="s">
        <v>130</v>
      </c>
      <c r="CK651" s="0" t="s">
        <v>141</v>
      </c>
      <c r="CL651" s="0" t="s">
        <v>130</v>
      </c>
      <c r="CM651" s="0" t="s">
        <v>130</v>
      </c>
      <c r="CN651" s="0" t="s">
        <v>130</v>
      </c>
      <c r="CO651" s="0" t="s">
        <v>130</v>
      </c>
      <c r="CP651" s="0" t="s">
        <v>130</v>
      </c>
      <c r="CQ651" s="0" t="s">
        <v>130</v>
      </c>
      <c r="CR651" s="0" t="s">
        <v>130</v>
      </c>
      <c r="CS651" s="0" t="s">
        <v>130</v>
      </c>
      <c r="CT651" s="0" t="s">
        <v>2116</v>
      </c>
    </row>
    <row r="652">
      <c r="A652" s="14">
        <v>107032</v>
      </c>
      <c r="B652" s="0" t="s">
        <v>2117</v>
      </c>
      <c r="C652" s="16">
        <f>HYPERLINK("https://eosportal.federatedhermes.com/companies/Q29tcGFueQppNDM5MjE=", "State Street Corp")</f>
      </c>
      <c r="D652" s="0" t="s">
        <v>25</v>
      </c>
      <c r="E652" s="0" t="s">
        <v>1194</v>
      </c>
      <c r="F652" s="16">
        <f>HYPERLINK("https://eosportal.federatedhermes.com/engagements/RW5nYWdlbWVudAppMjE2MTE=", "Diversity and inclusion")</f>
      </c>
      <c r="G652" s="14" t="s">
        <v>2118</v>
      </c>
      <c r="H652" s="0" t="s">
        <v>130</v>
      </c>
      <c r="I652" s="14" t="s">
        <v>319</v>
      </c>
      <c r="J652" s="0" t="s">
        <v>153</v>
      </c>
      <c r="K652" s="0" t="s">
        <v>154</v>
      </c>
      <c r="L652" s="0" t="s">
        <v>268</v>
      </c>
      <c r="M652" s="0" t="s">
        <v>135</v>
      </c>
      <c r="N652" s="0" t="s">
        <v>136</v>
      </c>
      <c r="O652" s="0" t="s">
        <v>238</v>
      </c>
      <c r="Q652" s="0" t="s">
        <v>130</v>
      </c>
      <c r="R652" s="0" t="s">
        <v>138</v>
      </c>
      <c r="S652" s="14">
        <v>0</v>
      </c>
      <c r="T652" s="0" t="s">
        <v>343</v>
      </c>
      <c r="U652" s="0" t="s">
        <v>138</v>
      </c>
      <c r="V652" s="14" t="s">
        <v>138</v>
      </c>
      <c r="W652" s="0" t="s">
        <v>138</v>
      </c>
      <c r="X652" s="14" t="s">
        <v>138</v>
      </c>
      <c r="Y652" s="0" t="s">
        <v>138</v>
      </c>
      <c r="Z652" s="14" t="s">
        <v>138</v>
      </c>
      <c r="AA652" s="0" t="s">
        <v>138</v>
      </c>
      <c r="AB652" s="14" t="s">
        <v>138</v>
      </c>
      <c r="AD652" s="0" t="s">
        <v>138</v>
      </c>
      <c r="AF652" s="0">
        <v>0</v>
      </c>
      <c r="AG652" s="0">
        <v>0</v>
      </c>
      <c r="AH652" s="0" t="s">
        <v>140</v>
      </c>
      <c r="AI652" s="0" t="s">
        <v>138</v>
      </c>
      <c r="AL652" s="14"/>
      <c r="AN652" s="14"/>
      <c r="AQ652" s="0" t="s">
        <v>130</v>
      </c>
      <c r="AR652" s="0" t="s">
        <v>130</v>
      </c>
      <c r="AS652" s="0" t="s">
        <v>130</v>
      </c>
      <c r="AT652" s="0" t="s">
        <v>130</v>
      </c>
      <c r="AU652" s="0" t="s">
        <v>130</v>
      </c>
      <c r="AV652" s="0" t="s">
        <v>130</v>
      </c>
      <c r="AW652" s="0" t="s">
        <v>130</v>
      </c>
      <c r="AX652" s="0" t="s">
        <v>130</v>
      </c>
      <c r="AY652" s="0" t="s">
        <v>130</v>
      </c>
      <c r="AZ652" s="0" t="s">
        <v>130</v>
      </c>
      <c r="BA652" s="0" t="s">
        <v>130</v>
      </c>
      <c r="BB652" s="0" t="s">
        <v>130</v>
      </c>
      <c r="BC652" s="0" t="s">
        <v>130</v>
      </c>
      <c r="BD652" s="0" t="s">
        <v>130</v>
      </c>
      <c r="BE652" s="0" t="s">
        <v>130</v>
      </c>
      <c r="BF652" s="0" t="s">
        <v>130</v>
      </c>
      <c r="BG652" s="0" t="s">
        <v>130</v>
      </c>
      <c r="BH652" s="0" t="s">
        <v>130</v>
      </c>
      <c r="BI652" s="0" t="s">
        <v>130</v>
      </c>
      <c r="BJ652" s="0" t="s">
        <v>130</v>
      </c>
      <c r="BK652" s="0" t="s">
        <v>130</v>
      </c>
      <c r="BL652" s="0" t="s">
        <v>130</v>
      </c>
      <c r="BM652" s="0" t="s">
        <v>130</v>
      </c>
      <c r="BN652" s="0" t="s">
        <v>130</v>
      </c>
      <c r="BO652" s="0" t="s">
        <v>130</v>
      </c>
      <c r="BP652" s="0" t="s">
        <v>130</v>
      </c>
      <c r="BQ652" s="0" t="s">
        <v>130</v>
      </c>
      <c r="BR652" s="0" t="s">
        <v>130</v>
      </c>
      <c r="BS652" s="0" t="s">
        <v>130</v>
      </c>
      <c r="BT652" s="0" t="s">
        <v>130</v>
      </c>
      <c r="BU652" s="0" t="s">
        <v>130</v>
      </c>
      <c r="BV652" s="0" t="s">
        <v>130</v>
      </c>
      <c r="BW652" s="0" t="s">
        <v>130</v>
      </c>
      <c r="BX652" s="0" t="s">
        <v>130</v>
      </c>
      <c r="BY652" s="0" t="s">
        <v>130</v>
      </c>
      <c r="BZ652" s="0" t="s">
        <v>130</v>
      </c>
      <c r="CA652" s="0" t="s">
        <v>130</v>
      </c>
      <c r="CB652" s="0" t="s">
        <v>130</v>
      </c>
      <c r="CC652" s="0" t="s">
        <v>130</v>
      </c>
      <c r="CD652" s="0" t="s">
        <v>130</v>
      </c>
      <c r="CE652" s="0" t="s">
        <v>130</v>
      </c>
      <c r="CF652" s="0" t="s">
        <v>130</v>
      </c>
      <c r="CG652" s="0" t="s">
        <v>130</v>
      </c>
      <c r="CH652" s="0" t="s">
        <v>130</v>
      </c>
      <c r="CI652" s="0" t="s">
        <v>130</v>
      </c>
      <c r="CJ652" s="0" t="s">
        <v>130</v>
      </c>
      <c r="CK652" s="0" t="s">
        <v>141</v>
      </c>
      <c r="CL652" s="0" t="s">
        <v>130</v>
      </c>
      <c r="CM652" s="0" t="s">
        <v>130</v>
      </c>
      <c r="CN652" s="0" t="s">
        <v>130</v>
      </c>
      <c r="CO652" s="0" t="s">
        <v>130</v>
      </c>
      <c r="CP652" s="0" t="s">
        <v>130</v>
      </c>
      <c r="CQ652" s="0" t="s">
        <v>130</v>
      </c>
      <c r="CR652" s="0" t="s">
        <v>130</v>
      </c>
      <c r="CS652" s="0" t="s">
        <v>130</v>
      </c>
      <c r="CT652" s="0" t="s">
        <v>2119</v>
      </c>
    </row>
    <row r="653">
      <c r="A653" s="14">
        <v>107032</v>
      </c>
      <c r="B653" s="0" t="s">
        <v>2117</v>
      </c>
      <c r="C653" s="16">
        <f>HYPERLINK("https://eosportal.federatedhermes.com/companies/Q29tcGFueQppNDM5MjE=", "State Street Corp")</f>
      </c>
      <c r="D653" s="0" t="s">
        <v>25</v>
      </c>
      <c r="E653" s="0" t="s">
        <v>2120</v>
      </c>
      <c r="F653" s="16">
        <f>HYPERLINK("https://eosportal.federatedhermes.com/engagements/RW5nYWdlbWVudAppMjE2MTI=", "Custodian bank governance")</f>
      </c>
      <c r="G653" s="14" t="s">
        <v>2121</v>
      </c>
      <c r="H653" s="0" t="s">
        <v>130</v>
      </c>
      <c r="I653" s="14" t="s">
        <v>319</v>
      </c>
      <c r="J653" s="0" t="s">
        <v>145</v>
      </c>
      <c r="K653" s="0" t="s">
        <v>164</v>
      </c>
      <c r="L653" s="0" t="s">
        <v>165</v>
      </c>
      <c r="M653" s="0" t="s">
        <v>135</v>
      </c>
      <c r="N653" s="0" t="s">
        <v>136</v>
      </c>
      <c r="O653" s="0" t="s">
        <v>238</v>
      </c>
      <c r="Q653" s="0" t="s">
        <v>130</v>
      </c>
      <c r="R653" s="0" t="s">
        <v>138</v>
      </c>
      <c r="S653" s="14">
        <v>0</v>
      </c>
      <c r="T653" s="0" t="s">
        <v>156</v>
      </c>
      <c r="U653" s="0" t="s">
        <v>138</v>
      </c>
      <c r="V653" s="14" t="s">
        <v>138</v>
      </c>
      <c r="W653" s="0" t="s">
        <v>138</v>
      </c>
      <c r="X653" s="14" t="s">
        <v>138</v>
      </c>
      <c r="Y653" s="0" t="s">
        <v>138</v>
      </c>
      <c r="Z653" s="14" t="s">
        <v>138</v>
      </c>
      <c r="AA653" s="0" t="s">
        <v>138</v>
      </c>
      <c r="AB653" s="14" t="s">
        <v>138</v>
      </c>
      <c r="AD653" s="0" t="s">
        <v>138</v>
      </c>
      <c r="AF653" s="0">
        <v>0</v>
      </c>
      <c r="AG653" s="0">
        <v>0</v>
      </c>
      <c r="AH653" s="0" t="s">
        <v>140</v>
      </c>
      <c r="AI653" s="0" t="s">
        <v>138</v>
      </c>
      <c r="AL653" s="14"/>
      <c r="AN653" s="14"/>
      <c r="AQ653" s="0" t="s">
        <v>130</v>
      </c>
      <c r="AR653" s="0" t="s">
        <v>130</v>
      </c>
      <c r="AS653" s="0" t="s">
        <v>130</v>
      </c>
      <c r="AT653" s="0" t="s">
        <v>130</v>
      </c>
      <c r="AU653" s="0" t="s">
        <v>130</v>
      </c>
      <c r="AV653" s="0" t="s">
        <v>130</v>
      </c>
      <c r="AW653" s="0" t="s">
        <v>130</v>
      </c>
      <c r="AX653" s="0" t="s">
        <v>130</v>
      </c>
      <c r="AY653" s="0" t="s">
        <v>130</v>
      </c>
      <c r="AZ653" s="0" t="s">
        <v>130</v>
      </c>
      <c r="BA653" s="0" t="s">
        <v>130</v>
      </c>
      <c r="BB653" s="0" t="s">
        <v>130</v>
      </c>
      <c r="BC653" s="0" t="s">
        <v>130</v>
      </c>
      <c r="BD653" s="0" t="s">
        <v>130</v>
      </c>
      <c r="BE653" s="0" t="s">
        <v>130</v>
      </c>
      <c r="BF653" s="0" t="s">
        <v>130</v>
      </c>
      <c r="BG653" s="0" t="s">
        <v>130</v>
      </c>
      <c r="BH653" s="0" t="s">
        <v>130</v>
      </c>
      <c r="BI653" s="0" t="s">
        <v>130</v>
      </c>
      <c r="BJ653" s="0" t="s">
        <v>130</v>
      </c>
      <c r="BK653" s="0" t="s">
        <v>130</v>
      </c>
      <c r="BL653" s="0" t="s">
        <v>130</v>
      </c>
      <c r="BM653" s="0" t="s">
        <v>130</v>
      </c>
      <c r="BN653" s="0" t="s">
        <v>130</v>
      </c>
      <c r="BO653" s="0" t="s">
        <v>130</v>
      </c>
      <c r="BP653" s="0" t="s">
        <v>130</v>
      </c>
      <c r="BQ653" s="0" t="s">
        <v>130</v>
      </c>
      <c r="BR653" s="0" t="s">
        <v>130</v>
      </c>
      <c r="BS653" s="0" t="s">
        <v>130</v>
      </c>
      <c r="BT653" s="0" t="s">
        <v>130</v>
      </c>
      <c r="BU653" s="0" t="s">
        <v>130</v>
      </c>
      <c r="BV653" s="0" t="s">
        <v>130</v>
      </c>
      <c r="BW653" s="0" t="s">
        <v>130</v>
      </c>
      <c r="BX653" s="0" t="s">
        <v>130</v>
      </c>
      <c r="BY653" s="0" t="s">
        <v>130</v>
      </c>
      <c r="BZ653" s="0" t="s">
        <v>130</v>
      </c>
      <c r="CA653" s="0" t="s">
        <v>130</v>
      </c>
      <c r="CB653" s="0" t="s">
        <v>130</v>
      </c>
      <c r="CC653" s="0" t="s">
        <v>130</v>
      </c>
      <c r="CD653" s="0" t="s">
        <v>130</v>
      </c>
      <c r="CE653" s="0" t="s">
        <v>130</v>
      </c>
      <c r="CF653" s="0" t="s">
        <v>130</v>
      </c>
      <c r="CG653" s="0" t="s">
        <v>130</v>
      </c>
      <c r="CH653" s="0" t="s">
        <v>130</v>
      </c>
      <c r="CI653" s="0" t="s">
        <v>130</v>
      </c>
      <c r="CJ653" s="0" t="s">
        <v>130</v>
      </c>
      <c r="CK653" s="0" t="s">
        <v>130</v>
      </c>
      <c r="CL653" s="0" t="s">
        <v>130</v>
      </c>
      <c r="CM653" s="0" t="s">
        <v>130</v>
      </c>
      <c r="CN653" s="0" t="s">
        <v>130</v>
      </c>
      <c r="CO653" s="0" t="s">
        <v>130</v>
      </c>
      <c r="CP653" s="0" t="s">
        <v>130</v>
      </c>
      <c r="CQ653" s="0" t="s">
        <v>130</v>
      </c>
      <c r="CR653" s="0" t="s">
        <v>130</v>
      </c>
      <c r="CS653" s="0" t="s">
        <v>130</v>
      </c>
      <c r="CT653" s="0" t="s">
        <v>2122</v>
      </c>
    </row>
    <row r="654">
      <c r="A654" s="14">
        <v>107032</v>
      </c>
      <c r="B654" s="0" t="s">
        <v>2117</v>
      </c>
      <c r="C654" s="16">
        <f>HYPERLINK("https://eosportal.federatedhermes.com/companies/Q29tcGFueQppNDM5MjE=", "State Street Corp")</f>
      </c>
      <c r="D654" s="0" t="s">
        <v>25</v>
      </c>
      <c r="E654" s="0" t="s">
        <v>128</v>
      </c>
      <c r="F654" s="16">
        <f>HYPERLINK("https://eosportal.federatedhermes.com/engagements/RW5nYWdlbWVudAppMjE2MTM=", "Purpose")</f>
      </c>
      <c r="G654" s="14" t="s">
        <v>2123</v>
      </c>
      <c r="H654" s="0" t="s">
        <v>130</v>
      </c>
      <c r="I654" s="14" t="s">
        <v>319</v>
      </c>
      <c r="J654" s="0" t="s">
        <v>132</v>
      </c>
      <c r="K654" s="0" t="s">
        <v>133</v>
      </c>
      <c r="L654" s="0" t="s">
        <v>134</v>
      </c>
      <c r="M654" s="0" t="s">
        <v>135</v>
      </c>
      <c r="N654" s="0" t="s">
        <v>136</v>
      </c>
      <c r="O654" s="0" t="s">
        <v>238</v>
      </c>
      <c r="Q654" s="0" t="s">
        <v>130</v>
      </c>
      <c r="R654" s="0" t="s">
        <v>138</v>
      </c>
      <c r="S654" s="14">
        <v>0</v>
      </c>
      <c r="T654" s="0" t="s">
        <v>156</v>
      </c>
      <c r="U654" s="0" t="s">
        <v>138</v>
      </c>
      <c r="V654" s="14" t="s">
        <v>138</v>
      </c>
      <c r="W654" s="0" t="s">
        <v>138</v>
      </c>
      <c r="X654" s="14" t="s">
        <v>138</v>
      </c>
      <c r="Y654" s="0" t="s">
        <v>138</v>
      </c>
      <c r="Z654" s="14" t="s">
        <v>138</v>
      </c>
      <c r="AA654" s="0" t="s">
        <v>138</v>
      </c>
      <c r="AB654" s="14" t="s">
        <v>138</v>
      </c>
      <c r="AD654" s="0" t="s">
        <v>138</v>
      </c>
      <c r="AF654" s="0">
        <v>0</v>
      </c>
      <c r="AG654" s="0">
        <v>0</v>
      </c>
      <c r="AH654" s="0" t="s">
        <v>140</v>
      </c>
      <c r="AI654" s="0" t="s">
        <v>138</v>
      </c>
      <c r="AL654" s="14"/>
      <c r="AN654" s="14"/>
      <c r="AQ654" s="0" t="s">
        <v>130</v>
      </c>
      <c r="AR654" s="0" t="s">
        <v>130</v>
      </c>
      <c r="AS654" s="0" t="s">
        <v>130</v>
      </c>
      <c r="AT654" s="0" t="s">
        <v>130</v>
      </c>
      <c r="AU654" s="0" t="s">
        <v>130</v>
      </c>
      <c r="AV654" s="0" t="s">
        <v>130</v>
      </c>
      <c r="AW654" s="0" t="s">
        <v>130</v>
      </c>
      <c r="AX654" s="0" t="s">
        <v>130</v>
      </c>
      <c r="AY654" s="0" t="s">
        <v>130</v>
      </c>
      <c r="AZ654" s="0" t="s">
        <v>130</v>
      </c>
      <c r="BA654" s="0" t="s">
        <v>130</v>
      </c>
      <c r="BB654" s="0" t="s">
        <v>141</v>
      </c>
      <c r="BC654" s="0" t="s">
        <v>130</v>
      </c>
      <c r="BD654" s="0" t="s">
        <v>130</v>
      </c>
      <c r="BE654" s="0" t="s">
        <v>130</v>
      </c>
      <c r="BF654" s="0" t="s">
        <v>130</v>
      </c>
      <c r="BG654" s="0" t="s">
        <v>130</v>
      </c>
      <c r="BH654" s="0" t="s">
        <v>130</v>
      </c>
      <c r="BI654" s="0" t="s">
        <v>130</v>
      </c>
      <c r="BJ654" s="0" t="s">
        <v>130</v>
      </c>
      <c r="BK654" s="0" t="s">
        <v>130</v>
      </c>
      <c r="BL654" s="0" t="s">
        <v>130</v>
      </c>
      <c r="BM654" s="0" t="s">
        <v>130</v>
      </c>
      <c r="BN654" s="0" t="s">
        <v>130</v>
      </c>
      <c r="BO654" s="0" t="s">
        <v>130</v>
      </c>
      <c r="BP654" s="0" t="s">
        <v>130</v>
      </c>
      <c r="BQ654" s="0" t="s">
        <v>130</v>
      </c>
      <c r="BR654" s="0" t="s">
        <v>130</v>
      </c>
      <c r="BS654" s="0" t="s">
        <v>130</v>
      </c>
      <c r="BT654" s="0" t="s">
        <v>130</v>
      </c>
      <c r="BU654" s="0" t="s">
        <v>130</v>
      </c>
      <c r="BV654" s="0" t="s">
        <v>130</v>
      </c>
      <c r="BW654" s="0" t="s">
        <v>130</v>
      </c>
      <c r="BX654" s="0" t="s">
        <v>130</v>
      </c>
      <c r="BY654" s="0" t="s">
        <v>130</v>
      </c>
      <c r="BZ654" s="0" t="s">
        <v>130</v>
      </c>
      <c r="CA654" s="0" t="s">
        <v>130</v>
      </c>
      <c r="CB654" s="0" t="s">
        <v>130</v>
      </c>
      <c r="CC654" s="0" t="s">
        <v>130</v>
      </c>
      <c r="CD654" s="0" t="s">
        <v>130</v>
      </c>
      <c r="CE654" s="0" t="s">
        <v>130</v>
      </c>
      <c r="CF654" s="0" t="s">
        <v>130</v>
      </c>
      <c r="CG654" s="0" t="s">
        <v>130</v>
      </c>
      <c r="CH654" s="0" t="s">
        <v>130</v>
      </c>
      <c r="CI654" s="0" t="s">
        <v>130</v>
      </c>
      <c r="CJ654" s="0" t="s">
        <v>130</v>
      </c>
      <c r="CK654" s="0" t="s">
        <v>130</v>
      </c>
      <c r="CL654" s="0" t="s">
        <v>130</v>
      </c>
      <c r="CM654" s="0" t="s">
        <v>130</v>
      </c>
      <c r="CN654" s="0" t="s">
        <v>130</v>
      </c>
      <c r="CO654" s="0" t="s">
        <v>130</v>
      </c>
      <c r="CP654" s="0" t="s">
        <v>130</v>
      </c>
      <c r="CQ654" s="0" t="s">
        <v>130</v>
      </c>
      <c r="CR654" s="0" t="s">
        <v>130</v>
      </c>
      <c r="CS654" s="0" t="s">
        <v>130</v>
      </c>
      <c r="CT654" s="0" t="s">
        <v>2124</v>
      </c>
    </row>
    <row r="655">
      <c r="A655" s="14">
        <v>107032</v>
      </c>
      <c r="B655" s="0" t="s">
        <v>2117</v>
      </c>
      <c r="C655" s="16">
        <f>HYPERLINK("https://eosportal.federatedhermes.com/companies/Q29tcGFueQppNDM5MjE=", "State Street Corp")</f>
      </c>
      <c r="D655" s="0" t="s">
        <v>25</v>
      </c>
      <c r="E655" s="0" t="s">
        <v>2125</v>
      </c>
      <c r="F655" s="16">
        <f>HYPERLINK("https://eosportal.federatedhermes.com/engagements/RW5nYWdlbWVudAppMjE2MTQ=", "Racial Equity Audit")</f>
      </c>
      <c r="G655" s="14" t="s">
        <v>2126</v>
      </c>
      <c r="H655" s="0" t="s">
        <v>130</v>
      </c>
      <c r="I655" s="14" t="s">
        <v>319</v>
      </c>
      <c r="J655" s="0" t="s">
        <v>153</v>
      </c>
      <c r="K655" s="0" t="s">
        <v>154</v>
      </c>
      <c r="L655" s="0" t="s">
        <v>268</v>
      </c>
      <c r="M655" s="0" t="s">
        <v>135</v>
      </c>
      <c r="N655" s="0" t="s">
        <v>136</v>
      </c>
      <c r="O655" s="0" t="s">
        <v>238</v>
      </c>
      <c r="Q655" s="0" t="s">
        <v>141</v>
      </c>
      <c r="R655" s="0" t="s">
        <v>138</v>
      </c>
      <c r="S655" s="14">
        <v>2</v>
      </c>
      <c r="T655" s="0" t="s">
        <v>355</v>
      </c>
      <c r="U655" s="0" t="s">
        <v>138</v>
      </c>
      <c r="V655" s="14" t="s">
        <v>138</v>
      </c>
      <c r="W655" s="0" t="s">
        <v>138</v>
      </c>
      <c r="X655" s="14" t="s">
        <v>138</v>
      </c>
      <c r="Y655" s="0" t="s">
        <v>138</v>
      </c>
      <c r="Z655" s="14" t="s">
        <v>138</v>
      </c>
      <c r="AA655" s="0" t="s">
        <v>138</v>
      </c>
      <c r="AB655" s="14" t="s">
        <v>138</v>
      </c>
      <c r="AD655" s="0" t="s">
        <v>138</v>
      </c>
      <c r="AF655" s="0">
        <v>0</v>
      </c>
      <c r="AG655" s="0">
        <v>0</v>
      </c>
      <c r="AH655" s="0" t="s">
        <v>140</v>
      </c>
      <c r="AI655" s="0" t="s">
        <v>138</v>
      </c>
      <c r="AK655" s="0" t="s">
        <v>584</v>
      </c>
      <c r="AL655" s="14"/>
      <c r="AN655" s="14"/>
      <c r="AQ655" s="0" t="s">
        <v>130</v>
      </c>
      <c r="AR655" s="0" t="s">
        <v>130</v>
      </c>
      <c r="AS655" s="0" t="s">
        <v>130</v>
      </c>
      <c r="AT655" s="0" t="s">
        <v>130</v>
      </c>
      <c r="AU655" s="0" t="s">
        <v>130</v>
      </c>
      <c r="AV655" s="0" t="s">
        <v>130</v>
      </c>
      <c r="AW655" s="0" t="s">
        <v>130</v>
      </c>
      <c r="AX655" s="0" t="s">
        <v>130</v>
      </c>
      <c r="AY655" s="0" t="s">
        <v>130</v>
      </c>
      <c r="AZ655" s="0" t="s">
        <v>130</v>
      </c>
      <c r="BA655" s="0" t="s">
        <v>130</v>
      </c>
      <c r="BB655" s="0" t="s">
        <v>130</v>
      </c>
      <c r="BC655" s="0" t="s">
        <v>130</v>
      </c>
      <c r="BD655" s="0" t="s">
        <v>130</v>
      </c>
      <c r="BE655" s="0" t="s">
        <v>130</v>
      </c>
      <c r="BF655" s="0" t="s">
        <v>130</v>
      </c>
      <c r="BG655" s="0" t="s">
        <v>130</v>
      </c>
      <c r="BH655" s="0" t="s">
        <v>130</v>
      </c>
      <c r="BI655" s="0" t="s">
        <v>130</v>
      </c>
      <c r="BJ655" s="0" t="s">
        <v>130</v>
      </c>
      <c r="BK655" s="0" t="s">
        <v>130</v>
      </c>
      <c r="BL655" s="0" t="s">
        <v>130</v>
      </c>
      <c r="BM655" s="0" t="s">
        <v>130</v>
      </c>
      <c r="BN655" s="0" t="s">
        <v>130</v>
      </c>
      <c r="BO655" s="0" t="s">
        <v>130</v>
      </c>
      <c r="BP655" s="0" t="s">
        <v>130</v>
      </c>
      <c r="BQ655" s="0" t="s">
        <v>130</v>
      </c>
      <c r="BR655" s="0" t="s">
        <v>130</v>
      </c>
      <c r="BS655" s="0" t="s">
        <v>130</v>
      </c>
      <c r="BT655" s="0" t="s">
        <v>130</v>
      </c>
      <c r="BU655" s="0" t="s">
        <v>130</v>
      </c>
      <c r="BV655" s="0" t="s">
        <v>130</v>
      </c>
      <c r="BW655" s="0" t="s">
        <v>130</v>
      </c>
      <c r="BX655" s="0" t="s">
        <v>130</v>
      </c>
      <c r="BY655" s="0" t="s">
        <v>130</v>
      </c>
      <c r="BZ655" s="0" t="s">
        <v>130</v>
      </c>
      <c r="CA655" s="0" t="s">
        <v>130</v>
      </c>
      <c r="CB655" s="0" t="s">
        <v>130</v>
      </c>
      <c r="CC655" s="0" t="s">
        <v>130</v>
      </c>
      <c r="CD655" s="0" t="s">
        <v>130</v>
      </c>
      <c r="CE655" s="0" t="s">
        <v>130</v>
      </c>
      <c r="CF655" s="0" t="s">
        <v>130</v>
      </c>
      <c r="CG655" s="0" t="s">
        <v>130</v>
      </c>
      <c r="CH655" s="0" t="s">
        <v>130</v>
      </c>
      <c r="CI655" s="0" t="s">
        <v>130</v>
      </c>
      <c r="CJ655" s="0" t="s">
        <v>130</v>
      </c>
      <c r="CK655" s="0" t="s">
        <v>141</v>
      </c>
      <c r="CL655" s="0" t="s">
        <v>130</v>
      </c>
      <c r="CM655" s="0" t="s">
        <v>130</v>
      </c>
      <c r="CN655" s="0" t="s">
        <v>130</v>
      </c>
      <c r="CO655" s="0" t="s">
        <v>130</v>
      </c>
      <c r="CP655" s="0" t="s">
        <v>130</v>
      </c>
      <c r="CQ655" s="0" t="s">
        <v>130</v>
      </c>
      <c r="CR655" s="0" t="s">
        <v>130</v>
      </c>
      <c r="CS655" s="0" t="s">
        <v>130</v>
      </c>
      <c r="CT655" s="0" t="s">
        <v>2127</v>
      </c>
    </row>
    <row r="656">
      <c r="A656" s="14">
        <v>107032</v>
      </c>
      <c r="B656" s="0" t="s">
        <v>2117</v>
      </c>
      <c r="C656" s="16">
        <f>HYPERLINK("https://eosportal.federatedhermes.com/companies/Q29tcGFueQppNDM5MjE=", "State Street Corp")</f>
      </c>
      <c r="D656" s="0" t="s">
        <v>25</v>
      </c>
      <c r="E656" s="0" t="s">
        <v>2128</v>
      </c>
      <c r="F656" s="16">
        <f>HYPERLINK("https://eosportal.federatedhermes.com/engagements/RW5nYWdlbWVudAppMjE2MjE=", "Public Policy Advocacy")</f>
      </c>
      <c r="G656" s="14" t="s">
        <v>2129</v>
      </c>
      <c r="H656" s="0" t="s">
        <v>130</v>
      </c>
      <c r="I656" s="14" t="s">
        <v>319</v>
      </c>
      <c r="J656" s="0" t="s">
        <v>145</v>
      </c>
      <c r="K656" s="0" t="s">
        <v>400</v>
      </c>
      <c r="L656" s="0" t="s">
        <v>507</v>
      </c>
      <c r="M656" s="0" t="s">
        <v>135</v>
      </c>
      <c r="N656" s="0" t="s">
        <v>136</v>
      </c>
      <c r="O656" s="0" t="s">
        <v>238</v>
      </c>
      <c r="Q656" s="0" t="s">
        <v>130</v>
      </c>
      <c r="R656" s="0" t="s">
        <v>138</v>
      </c>
      <c r="S656" s="14">
        <v>0</v>
      </c>
      <c r="T656" s="0" t="s">
        <v>1145</v>
      </c>
      <c r="U656" s="0" t="s">
        <v>138</v>
      </c>
      <c r="V656" s="14" t="s">
        <v>138</v>
      </c>
      <c r="W656" s="0" t="s">
        <v>138</v>
      </c>
      <c r="X656" s="14" t="s">
        <v>138</v>
      </c>
      <c r="Y656" s="0" t="s">
        <v>138</v>
      </c>
      <c r="Z656" s="14" t="s">
        <v>138</v>
      </c>
      <c r="AA656" s="0" t="s">
        <v>138</v>
      </c>
      <c r="AB656" s="14" t="s">
        <v>138</v>
      </c>
      <c r="AD656" s="0" t="s">
        <v>138</v>
      </c>
      <c r="AF656" s="0">
        <v>0</v>
      </c>
      <c r="AG656" s="0">
        <v>0</v>
      </c>
      <c r="AH656" s="0" t="s">
        <v>140</v>
      </c>
      <c r="AI656" s="0" t="s">
        <v>138</v>
      </c>
      <c r="AL656" s="14"/>
      <c r="AN656" s="14"/>
      <c r="AQ656" s="0" t="s">
        <v>130</v>
      </c>
      <c r="AR656" s="0" t="s">
        <v>130</v>
      </c>
      <c r="AS656" s="0" t="s">
        <v>130</v>
      </c>
      <c r="AT656" s="0" t="s">
        <v>130</v>
      </c>
      <c r="AU656" s="0" t="s">
        <v>130</v>
      </c>
      <c r="AV656" s="0" t="s">
        <v>130</v>
      </c>
      <c r="AW656" s="0" t="s">
        <v>130</v>
      </c>
      <c r="AX656" s="0" t="s">
        <v>130</v>
      </c>
      <c r="AY656" s="0" t="s">
        <v>130</v>
      </c>
      <c r="AZ656" s="0" t="s">
        <v>130</v>
      </c>
      <c r="BA656" s="0" t="s">
        <v>130</v>
      </c>
      <c r="BB656" s="0" t="s">
        <v>130</v>
      </c>
      <c r="BC656" s="0" t="s">
        <v>130</v>
      </c>
      <c r="BD656" s="0" t="s">
        <v>130</v>
      </c>
      <c r="BE656" s="0" t="s">
        <v>130</v>
      </c>
      <c r="BF656" s="0" t="s">
        <v>130</v>
      </c>
      <c r="BG656" s="0" t="s">
        <v>130</v>
      </c>
      <c r="BH656" s="0" t="s">
        <v>130</v>
      </c>
      <c r="BI656" s="0" t="s">
        <v>130</v>
      </c>
      <c r="BJ656" s="0" t="s">
        <v>130</v>
      </c>
      <c r="BK656" s="0" t="s">
        <v>130</v>
      </c>
      <c r="BL656" s="0" t="s">
        <v>130</v>
      </c>
      <c r="BM656" s="0" t="s">
        <v>130</v>
      </c>
      <c r="BN656" s="0" t="s">
        <v>130</v>
      </c>
      <c r="BO656" s="0" t="s">
        <v>130</v>
      </c>
      <c r="BP656" s="0" t="s">
        <v>130</v>
      </c>
      <c r="BQ656" s="0" t="s">
        <v>130</v>
      </c>
      <c r="BR656" s="0" t="s">
        <v>130</v>
      </c>
      <c r="BS656" s="0" t="s">
        <v>130</v>
      </c>
      <c r="BT656" s="0" t="s">
        <v>130</v>
      </c>
      <c r="BU656" s="0" t="s">
        <v>130</v>
      </c>
      <c r="BV656" s="0" t="s">
        <v>130</v>
      </c>
      <c r="BW656" s="0" t="s">
        <v>130</v>
      </c>
      <c r="BX656" s="0" t="s">
        <v>130</v>
      </c>
      <c r="BY656" s="0" t="s">
        <v>130</v>
      </c>
      <c r="BZ656" s="0" t="s">
        <v>130</v>
      </c>
      <c r="CA656" s="0" t="s">
        <v>130</v>
      </c>
      <c r="CB656" s="0" t="s">
        <v>130</v>
      </c>
      <c r="CC656" s="0" t="s">
        <v>130</v>
      </c>
      <c r="CD656" s="0" t="s">
        <v>130</v>
      </c>
      <c r="CE656" s="0" t="s">
        <v>130</v>
      </c>
      <c r="CF656" s="0" t="s">
        <v>130</v>
      </c>
      <c r="CG656" s="0" t="s">
        <v>130</v>
      </c>
      <c r="CH656" s="0" t="s">
        <v>130</v>
      </c>
      <c r="CI656" s="0" t="s">
        <v>130</v>
      </c>
      <c r="CJ656" s="0" t="s">
        <v>130</v>
      </c>
      <c r="CK656" s="0" t="s">
        <v>130</v>
      </c>
      <c r="CL656" s="0" t="s">
        <v>130</v>
      </c>
      <c r="CM656" s="0" t="s">
        <v>130</v>
      </c>
      <c r="CN656" s="0" t="s">
        <v>130</v>
      </c>
      <c r="CO656" s="0" t="s">
        <v>130</v>
      </c>
      <c r="CP656" s="0" t="s">
        <v>130</v>
      </c>
      <c r="CQ656" s="0" t="s">
        <v>130</v>
      </c>
      <c r="CR656" s="0" t="s">
        <v>130</v>
      </c>
      <c r="CS656" s="0" t="s">
        <v>130</v>
      </c>
      <c r="CT656" s="0" t="s">
        <v>2130</v>
      </c>
    </row>
    <row r="657">
      <c r="A657" s="14">
        <v>107032</v>
      </c>
      <c r="B657" s="0" t="s">
        <v>2117</v>
      </c>
      <c r="C657" s="16">
        <f>HYPERLINK("https://eosportal.federatedhermes.com/companies/Q29tcGFueQppNDM5MjE=", "State Street Corp")</f>
      </c>
      <c r="D657" s="0" t="s">
        <v>25</v>
      </c>
      <c r="E657" s="0" t="s">
        <v>2131</v>
      </c>
      <c r="F657" s="16">
        <f>HYPERLINK("https://eosportal.federatedhermes.com/engagements/RW5nYWdlbWVudAppMjE2MjI=", "Firearms policy")</f>
      </c>
      <c r="G657" s="14" t="s">
        <v>2132</v>
      </c>
      <c r="H657" s="0" t="s">
        <v>130</v>
      </c>
      <c r="I657" s="14" t="s">
        <v>319</v>
      </c>
      <c r="J657" s="0" t="s">
        <v>153</v>
      </c>
      <c r="K657" s="0" t="s">
        <v>185</v>
      </c>
      <c r="L657" s="0" t="s">
        <v>626</v>
      </c>
      <c r="M657" s="0" t="s">
        <v>135</v>
      </c>
      <c r="N657" s="0" t="s">
        <v>136</v>
      </c>
      <c r="O657" s="0" t="s">
        <v>238</v>
      </c>
      <c r="Q657" s="0" t="s">
        <v>130</v>
      </c>
      <c r="R657" s="0" t="s">
        <v>138</v>
      </c>
      <c r="S657" s="14">
        <v>0</v>
      </c>
      <c r="T657" s="0" t="s">
        <v>249</v>
      </c>
      <c r="U657" s="0" t="s">
        <v>138</v>
      </c>
      <c r="V657" s="14" t="s">
        <v>138</v>
      </c>
      <c r="W657" s="0" t="s">
        <v>138</v>
      </c>
      <c r="X657" s="14" t="s">
        <v>138</v>
      </c>
      <c r="Y657" s="0" t="s">
        <v>138</v>
      </c>
      <c r="Z657" s="14" t="s">
        <v>138</v>
      </c>
      <c r="AA657" s="0" t="s">
        <v>138</v>
      </c>
      <c r="AB657" s="14" t="s">
        <v>138</v>
      </c>
      <c r="AD657" s="0" t="s">
        <v>138</v>
      </c>
      <c r="AF657" s="0">
        <v>0</v>
      </c>
      <c r="AG657" s="0">
        <v>0</v>
      </c>
      <c r="AH657" s="0" t="s">
        <v>140</v>
      </c>
      <c r="AI657" s="0" t="s">
        <v>138</v>
      </c>
      <c r="AL657" s="14"/>
      <c r="AN657" s="14"/>
      <c r="AQ657" s="0" t="s">
        <v>130</v>
      </c>
      <c r="AR657" s="0" t="s">
        <v>130</v>
      </c>
      <c r="AS657" s="0" t="s">
        <v>130</v>
      </c>
      <c r="AT657" s="0" t="s">
        <v>130</v>
      </c>
      <c r="AU657" s="0" t="s">
        <v>130</v>
      </c>
      <c r="AV657" s="0" t="s">
        <v>130</v>
      </c>
      <c r="AW657" s="0" t="s">
        <v>130</v>
      </c>
      <c r="AX657" s="0" t="s">
        <v>130</v>
      </c>
      <c r="AY657" s="0" t="s">
        <v>130</v>
      </c>
      <c r="AZ657" s="0" t="s">
        <v>130</v>
      </c>
      <c r="BA657" s="0" t="s">
        <v>130</v>
      </c>
      <c r="BB657" s="0" t="s">
        <v>130</v>
      </c>
      <c r="BC657" s="0" t="s">
        <v>130</v>
      </c>
      <c r="BD657" s="0" t="s">
        <v>130</v>
      </c>
      <c r="BE657" s="0" t="s">
        <v>130</v>
      </c>
      <c r="BF657" s="0" t="s">
        <v>130</v>
      </c>
      <c r="BG657" s="0" t="s">
        <v>130</v>
      </c>
      <c r="BH657" s="0" t="s">
        <v>130</v>
      </c>
      <c r="BI657" s="0" t="s">
        <v>130</v>
      </c>
      <c r="BJ657" s="0" t="s">
        <v>130</v>
      </c>
      <c r="BK657" s="0" t="s">
        <v>130</v>
      </c>
      <c r="BL657" s="0" t="s">
        <v>130</v>
      </c>
      <c r="BM657" s="0" t="s">
        <v>130</v>
      </c>
      <c r="BN657" s="0" t="s">
        <v>130</v>
      </c>
      <c r="BO657" s="0" t="s">
        <v>130</v>
      </c>
      <c r="BP657" s="0" t="s">
        <v>130</v>
      </c>
      <c r="BQ657" s="0" t="s">
        <v>130</v>
      </c>
      <c r="BR657" s="0" t="s">
        <v>130</v>
      </c>
      <c r="BS657" s="0" t="s">
        <v>130</v>
      </c>
      <c r="BT657" s="0" t="s">
        <v>130</v>
      </c>
      <c r="BU657" s="0" t="s">
        <v>130</v>
      </c>
      <c r="BV657" s="0" t="s">
        <v>130</v>
      </c>
      <c r="BW657" s="0" t="s">
        <v>130</v>
      </c>
      <c r="BX657" s="0" t="s">
        <v>130</v>
      </c>
      <c r="BY657" s="0" t="s">
        <v>130</v>
      </c>
      <c r="BZ657" s="0" t="s">
        <v>130</v>
      </c>
      <c r="CA657" s="0" t="s">
        <v>130</v>
      </c>
      <c r="CB657" s="0" t="s">
        <v>130</v>
      </c>
      <c r="CC657" s="0" t="s">
        <v>130</v>
      </c>
      <c r="CD657" s="0" t="s">
        <v>130</v>
      </c>
      <c r="CE657" s="0" t="s">
        <v>130</v>
      </c>
      <c r="CF657" s="0" t="s">
        <v>130</v>
      </c>
      <c r="CG657" s="0" t="s">
        <v>130</v>
      </c>
      <c r="CH657" s="0" t="s">
        <v>130</v>
      </c>
      <c r="CI657" s="0" t="s">
        <v>130</v>
      </c>
      <c r="CJ657" s="0" t="s">
        <v>130</v>
      </c>
      <c r="CK657" s="0" t="s">
        <v>130</v>
      </c>
      <c r="CL657" s="0" t="s">
        <v>130</v>
      </c>
      <c r="CM657" s="0" t="s">
        <v>130</v>
      </c>
      <c r="CN657" s="0" t="s">
        <v>130</v>
      </c>
      <c r="CO657" s="0" t="s">
        <v>130</v>
      </c>
      <c r="CP657" s="0" t="s">
        <v>130</v>
      </c>
      <c r="CQ657" s="0" t="s">
        <v>130</v>
      </c>
      <c r="CR657" s="0" t="s">
        <v>130</v>
      </c>
      <c r="CS657" s="0" t="s">
        <v>130</v>
      </c>
      <c r="CT657" s="0" t="s">
        <v>2133</v>
      </c>
    </row>
    <row r="658">
      <c r="A658" s="14">
        <v>114805</v>
      </c>
      <c r="B658" s="0" t="s">
        <v>2134</v>
      </c>
      <c r="C658" s="16">
        <f>HYPERLINK("https://eosportal.federatedhermes.com/companies/Q29tcGFueQppNzU2OTc=", "Sumitomo Corp")</f>
      </c>
      <c r="D658" s="0" t="s">
        <v>25</v>
      </c>
      <c r="E658" s="0" t="s">
        <v>295</v>
      </c>
      <c r="F658" s="16">
        <f>HYPERLINK("https://eosportal.federatedhermes.com/engagements/RW5nYWdlbWVudAppMjE2Mjk=", "Board structure")</f>
      </c>
      <c r="G658" s="14" t="s">
        <v>2135</v>
      </c>
      <c r="H658" s="0" t="s">
        <v>141</v>
      </c>
      <c r="I658" s="14" t="s">
        <v>636</v>
      </c>
      <c r="J658" s="0" t="s">
        <v>145</v>
      </c>
      <c r="K658" s="0" t="s">
        <v>164</v>
      </c>
      <c r="L658" s="0" t="s">
        <v>165</v>
      </c>
      <c r="M658" s="0" t="s">
        <v>802</v>
      </c>
      <c r="N658" s="0" t="s">
        <v>952</v>
      </c>
      <c r="O658" s="0" t="s">
        <v>176</v>
      </c>
      <c r="Q658" s="0" t="s">
        <v>141</v>
      </c>
      <c r="R658" s="0" t="s">
        <v>138</v>
      </c>
      <c r="S658" s="14">
        <v>1</v>
      </c>
      <c r="T658" s="0" t="s">
        <v>278</v>
      </c>
      <c r="U658" s="0" t="s">
        <v>138</v>
      </c>
      <c r="V658" s="14" t="s">
        <v>138</v>
      </c>
      <c r="W658" s="0" t="s">
        <v>138</v>
      </c>
      <c r="X658" s="14" t="s">
        <v>138</v>
      </c>
      <c r="Y658" s="0" t="s">
        <v>138</v>
      </c>
      <c r="Z658" s="14" t="s">
        <v>138</v>
      </c>
      <c r="AA658" s="0" t="s">
        <v>138</v>
      </c>
      <c r="AB658" s="14" t="s">
        <v>138</v>
      </c>
      <c r="AD658" s="0" t="s">
        <v>138</v>
      </c>
      <c r="AF658" s="0">
        <v>0</v>
      </c>
      <c r="AG658" s="0">
        <v>0</v>
      </c>
      <c r="AH658" s="0" t="s">
        <v>140</v>
      </c>
      <c r="AI658" s="0" t="s">
        <v>138</v>
      </c>
      <c r="AK658" s="0" t="s">
        <v>149</v>
      </c>
      <c r="AL658" s="14"/>
      <c r="AN658" s="14"/>
      <c r="AQ658" s="0" t="s">
        <v>130</v>
      </c>
      <c r="AR658" s="0" t="s">
        <v>130</v>
      </c>
      <c r="AS658" s="0" t="s">
        <v>130</v>
      </c>
      <c r="AT658" s="0" t="s">
        <v>130</v>
      </c>
      <c r="AU658" s="0" t="s">
        <v>130</v>
      </c>
      <c r="AV658" s="0" t="s">
        <v>130</v>
      </c>
      <c r="AW658" s="0" t="s">
        <v>130</v>
      </c>
      <c r="AX658" s="0" t="s">
        <v>130</v>
      </c>
      <c r="AY658" s="0" t="s">
        <v>130</v>
      </c>
      <c r="AZ658" s="0" t="s">
        <v>130</v>
      </c>
      <c r="BA658" s="0" t="s">
        <v>130</v>
      </c>
      <c r="BB658" s="0" t="s">
        <v>130</v>
      </c>
      <c r="BC658" s="0" t="s">
        <v>130</v>
      </c>
      <c r="BD658" s="0" t="s">
        <v>130</v>
      </c>
      <c r="BE658" s="0" t="s">
        <v>130</v>
      </c>
      <c r="BF658" s="0" t="s">
        <v>130</v>
      </c>
      <c r="BG658" s="0" t="s">
        <v>130</v>
      </c>
      <c r="BH658" s="0" t="s">
        <v>130</v>
      </c>
      <c r="BI658" s="0" t="s">
        <v>130</v>
      </c>
      <c r="BJ658" s="0" t="s">
        <v>130</v>
      </c>
      <c r="BK658" s="0" t="s">
        <v>130</v>
      </c>
      <c r="BL658" s="0" t="s">
        <v>130</v>
      </c>
      <c r="BM658" s="0" t="s">
        <v>130</v>
      </c>
      <c r="BN658" s="0" t="s">
        <v>130</v>
      </c>
      <c r="BO658" s="0" t="s">
        <v>130</v>
      </c>
      <c r="BP658" s="0" t="s">
        <v>130</v>
      </c>
      <c r="BQ658" s="0" t="s">
        <v>130</v>
      </c>
      <c r="BR658" s="0" t="s">
        <v>130</v>
      </c>
      <c r="BS658" s="0" t="s">
        <v>130</v>
      </c>
      <c r="BT658" s="0" t="s">
        <v>130</v>
      </c>
      <c r="BU658" s="0" t="s">
        <v>130</v>
      </c>
      <c r="BV658" s="0" t="s">
        <v>130</v>
      </c>
      <c r="BW658" s="0" t="s">
        <v>130</v>
      </c>
      <c r="BX658" s="0" t="s">
        <v>130</v>
      </c>
      <c r="BY658" s="0" t="s">
        <v>130</v>
      </c>
      <c r="BZ658" s="0" t="s">
        <v>130</v>
      </c>
      <c r="CA658" s="0" t="s">
        <v>130</v>
      </c>
      <c r="CB658" s="0" t="s">
        <v>130</v>
      </c>
      <c r="CC658" s="0" t="s">
        <v>130</v>
      </c>
      <c r="CD658" s="0" t="s">
        <v>130</v>
      </c>
      <c r="CE658" s="0" t="s">
        <v>130</v>
      </c>
      <c r="CF658" s="0" t="s">
        <v>130</v>
      </c>
      <c r="CG658" s="0" t="s">
        <v>130</v>
      </c>
      <c r="CH658" s="0" t="s">
        <v>130</v>
      </c>
      <c r="CI658" s="0" t="s">
        <v>130</v>
      </c>
      <c r="CJ658" s="0" t="s">
        <v>130</v>
      </c>
      <c r="CK658" s="0" t="s">
        <v>130</v>
      </c>
      <c r="CL658" s="0" t="s">
        <v>130</v>
      </c>
      <c r="CM658" s="0" t="s">
        <v>130</v>
      </c>
      <c r="CN658" s="0" t="s">
        <v>130</v>
      </c>
      <c r="CO658" s="0" t="s">
        <v>130</v>
      </c>
      <c r="CP658" s="0" t="s">
        <v>130</v>
      </c>
      <c r="CQ658" s="0" t="s">
        <v>130</v>
      </c>
      <c r="CR658" s="0" t="s">
        <v>130</v>
      </c>
      <c r="CS658" s="0" t="s">
        <v>130</v>
      </c>
      <c r="CT658" s="0" t="s">
        <v>2136</v>
      </c>
    </row>
    <row r="659">
      <c r="A659" s="14">
        <v>114805</v>
      </c>
      <c r="B659" s="0" t="s">
        <v>2134</v>
      </c>
      <c r="C659" s="16">
        <f>HYPERLINK("https://eosportal.federatedhermes.com/companies/Q29tcGFueQppNzU2OTc=", "Sumitomo Corp")</f>
      </c>
      <c r="D659" s="0" t="s">
        <v>25</v>
      </c>
      <c r="E659" s="0" t="s">
        <v>2137</v>
      </c>
      <c r="F659" s="16">
        <f>HYPERLINK("https://eosportal.federatedhermes.com/engagements/RW5nYWdlbWVudAppMjE2MzA=", "Gender diversity in senior management")</f>
      </c>
      <c r="G659" s="14" t="s">
        <v>2138</v>
      </c>
      <c r="H659" s="0" t="s">
        <v>141</v>
      </c>
      <c r="I659" s="14" t="s">
        <v>636</v>
      </c>
      <c r="J659" s="0" t="s">
        <v>153</v>
      </c>
      <c r="K659" s="0" t="s">
        <v>154</v>
      </c>
      <c r="L659" s="0" t="s">
        <v>268</v>
      </c>
      <c r="M659" s="0" t="s">
        <v>802</v>
      </c>
      <c r="N659" s="0" t="s">
        <v>952</v>
      </c>
      <c r="O659" s="0" t="s">
        <v>176</v>
      </c>
      <c r="Q659" s="0" t="s">
        <v>141</v>
      </c>
      <c r="R659" s="0" t="s">
        <v>138</v>
      </c>
      <c r="S659" s="14">
        <v>1</v>
      </c>
      <c r="T659" s="0" t="s">
        <v>139</v>
      </c>
      <c r="U659" s="0" t="s">
        <v>138</v>
      </c>
      <c r="V659" s="14" t="s">
        <v>138</v>
      </c>
      <c r="W659" s="0" t="s">
        <v>138</v>
      </c>
      <c r="X659" s="14" t="s">
        <v>138</v>
      </c>
      <c r="Y659" s="0" t="s">
        <v>138</v>
      </c>
      <c r="Z659" s="14" t="s">
        <v>138</v>
      </c>
      <c r="AA659" s="0" t="s">
        <v>138</v>
      </c>
      <c r="AB659" s="14" t="s">
        <v>138</v>
      </c>
      <c r="AD659" s="0" t="s">
        <v>138</v>
      </c>
      <c r="AF659" s="0">
        <v>0</v>
      </c>
      <c r="AG659" s="0">
        <v>0</v>
      </c>
      <c r="AH659" s="0" t="s">
        <v>140</v>
      </c>
      <c r="AI659" s="0" t="s">
        <v>138</v>
      </c>
      <c r="AK659" s="0" t="s">
        <v>149</v>
      </c>
      <c r="AL659" s="14"/>
      <c r="AN659" s="14"/>
      <c r="AQ659" s="0" t="s">
        <v>130</v>
      </c>
      <c r="AR659" s="0" t="s">
        <v>130</v>
      </c>
      <c r="AS659" s="0" t="s">
        <v>130</v>
      </c>
      <c r="AT659" s="0" t="s">
        <v>130</v>
      </c>
      <c r="AU659" s="0" t="s">
        <v>141</v>
      </c>
      <c r="AV659" s="0" t="s">
        <v>130</v>
      </c>
      <c r="AW659" s="0" t="s">
        <v>130</v>
      </c>
      <c r="AX659" s="0" t="s">
        <v>130</v>
      </c>
      <c r="AY659" s="0" t="s">
        <v>130</v>
      </c>
      <c r="AZ659" s="0" t="s">
        <v>130</v>
      </c>
      <c r="BA659" s="0" t="s">
        <v>130</v>
      </c>
      <c r="BB659" s="0" t="s">
        <v>130</v>
      </c>
      <c r="BC659" s="0" t="s">
        <v>130</v>
      </c>
      <c r="BD659" s="0" t="s">
        <v>130</v>
      </c>
      <c r="BE659" s="0" t="s">
        <v>130</v>
      </c>
      <c r="BF659" s="0" t="s">
        <v>130</v>
      </c>
      <c r="BG659" s="0" t="s">
        <v>130</v>
      </c>
      <c r="BH659" s="0" t="s">
        <v>130</v>
      </c>
      <c r="BI659" s="0" t="s">
        <v>130</v>
      </c>
      <c r="BJ659" s="0" t="s">
        <v>130</v>
      </c>
      <c r="BK659" s="0" t="s">
        <v>130</v>
      </c>
      <c r="BL659" s="0" t="s">
        <v>130</v>
      </c>
      <c r="BM659" s="0" t="s">
        <v>130</v>
      </c>
      <c r="BN659" s="0" t="s">
        <v>130</v>
      </c>
      <c r="BO659" s="0" t="s">
        <v>130</v>
      </c>
      <c r="BP659" s="0" t="s">
        <v>130</v>
      </c>
      <c r="BQ659" s="0" t="s">
        <v>130</v>
      </c>
      <c r="BR659" s="0" t="s">
        <v>130</v>
      </c>
      <c r="BS659" s="0" t="s">
        <v>130</v>
      </c>
      <c r="BT659" s="0" t="s">
        <v>130</v>
      </c>
      <c r="BU659" s="0" t="s">
        <v>130</v>
      </c>
      <c r="BV659" s="0" t="s">
        <v>130</v>
      </c>
      <c r="BW659" s="0" t="s">
        <v>130</v>
      </c>
      <c r="BX659" s="0" t="s">
        <v>130</v>
      </c>
      <c r="BY659" s="0" t="s">
        <v>130</v>
      </c>
      <c r="BZ659" s="0" t="s">
        <v>130</v>
      </c>
      <c r="CA659" s="0" t="s">
        <v>130</v>
      </c>
      <c r="CB659" s="0" t="s">
        <v>130</v>
      </c>
      <c r="CC659" s="0" t="s">
        <v>130</v>
      </c>
      <c r="CD659" s="0" t="s">
        <v>130</v>
      </c>
      <c r="CE659" s="0" t="s">
        <v>130</v>
      </c>
      <c r="CF659" s="0" t="s">
        <v>130</v>
      </c>
      <c r="CG659" s="0" t="s">
        <v>130</v>
      </c>
      <c r="CH659" s="0" t="s">
        <v>130</v>
      </c>
      <c r="CI659" s="0" t="s">
        <v>130</v>
      </c>
      <c r="CJ659" s="0" t="s">
        <v>130</v>
      </c>
      <c r="CK659" s="0" t="s">
        <v>141</v>
      </c>
      <c r="CL659" s="0" t="s">
        <v>130</v>
      </c>
      <c r="CM659" s="0" t="s">
        <v>130</v>
      </c>
      <c r="CN659" s="0" t="s">
        <v>130</v>
      </c>
      <c r="CO659" s="0" t="s">
        <v>130</v>
      </c>
      <c r="CP659" s="0" t="s">
        <v>130</v>
      </c>
      <c r="CQ659" s="0" t="s">
        <v>130</v>
      </c>
      <c r="CR659" s="0" t="s">
        <v>130</v>
      </c>
      <c r="CS659" s="0" t="s">
        <v>130</v>
      </c>
      <c r="CT659" s="0" t="s">
        <v>2139</v>
      </c>
    </row>
    <row r="660">
      <c r="A660" s="14">
        <v>114805</v>
      </c>
      <c r="B660" s="0" t="s">
        <v>2134</v>
      </c>
      <c r="C660" s="16">
        <f>HYPERLINK("https://eosportal.federatedhermes.com/companies/Q29tcGFueQppNzU2OTc=", "Sumitomo Corp")</f>
      </c>
      <c r="D660" s="0" t="s">
        <v>25</v>
      </c>
      <c r="E660" s="0" t="s">
        <v>2140</v>
      </c>
      <c r="F660" s="16">
        <f>HYPERLINK("https://eosportal.federatedhermes.com/engagements/RW5nYWdlbWVudAppMjE2MzE=", "Biodiversity in Nickel Mine in Madagascar")</f>
      </c>
      <c r="G660" s="14" t="s">
        <v>2141</v>
      </c>
      <c r="H660" s="0" t="s">
        <v>141</v>
      </c>
      <c r="I660" s="14" t="s">
        <v>636</v>
      </c>
      <c r="J660" s="0" t="s">
        <v>153</v>
      </c>
      <c r="K660" s="0" t="s">
        <v>154</v>
      </c>
      <c r="L660" s="0" t="s">
        <v>306</v>
      </c>
      <c r="M660" s="0" t="s">
        <v>802</v>
      </c>
      <c r="N660" s="0" t="s">
        <v>952</v>
      </c>
      <c r="O660" s="0" t="s">
        <v>176</v>
      </c>
      <c r="Q660" s="0" t="s">
        <v>130</v>
      </c>
      <c r="R660" s="0" t="s">
        <v>138</v>
      </c>
      <c r="S660" s="14">
        <v>0</v>
      </c>
      <c r="T660" s="0" t="s">
        <v>874</v>
      </c>
      <c r="U660" s="0" t="s">
        <v>138</v>
      </c>
      <c r="V660" s="14" t="s">
        <v>138</v>
      </c>
      <c r="W660" s="0" t="s">
        <v>138</v>
      </c>
      <c r="X660" s="14" t="s">
        <v>138</v>
      </c>
      <c r="Y660" s="0" t="s">
        <v>138</v>
      </c>
      <c r="Z660" s="14" t="s">
        <v>138</v>
      </c>
      <c r="AA660" s="0" t="s">
        <v>138</v>
      </c>
      <c r="AB660" s="14" t="s">
        <v>138</v>
      </c>
      <c r="AD660" s="0" t="s">
        <v>138</v>
      </c>
      <c r="AF660" s="0">
        <v>0</v>
      </c>
      <c r="AG660" s="0">
        <v>0</v>
      </c>
      <c r="AH660" s="0" t="s">
        <v>140</v>
      </c>
      <c r="AI660" s="0" t="s">
        <v>138</v>
      </c>
      <c r="AL660" s="14"/>
      <c r="AN660" s="14"/>
      <c r="AQ660" s="0" t="s">
        <v>130</v>
      </c>
      <c r="AR660" s="0" t="s">
        <v>130</v>
      </c>
      <c r="AS660" s="0" t="s">
        <v>130</v>
      </c>
      <c r="AT660" s="0" t="s">
        <v>130</v>
      </c>
      <c r="AU660" s="0" t="s">
        <v>130</v>
      </c>
      <c r="AV660" s="0" t="s">
        <v>130</v>
      </c>
      <c r="AW660" s="0" t="s">
        <v>130</v>
      </c>
      <c r="AX660" s="0" t="s">
        <v>130</v>
      </c>
      <c r="AY660" s="0" t="s">
        <v>130</v>
      </c>
      <c r="AZ660" s="0" t="s">
        <v>130</v>
      </c>
      <c r="BA660" s="0" t="s">
        <v>130</v>
      </c>
      <c r="BB660" s="0" t="s">
        <v>130</v>
      </c>
      <c r="BC660" s="0" t="s">
        <v>130</v>
      </c>
      <c r="BD660" s="0" t="s">
        <v>130</v>
      </c>
      <c r="BE660" s="0" t="s">
        <v>130</v>
      </c>
      <c r="BF660" s="0" t="s">
        <v>130</v>
      </c>
      <c r="BG660" s="0" t="s">
        <v>130</v>
      </c>
      <c r="BH660" s="0" t="s">
        <v>130</v>
      </c>
      <c r="BI660" s="0" t="s">
        <v>130</v>
      </c>
      <c r="BJ660" s="0" t="s">
        <v>130</v>
      </c>
      <c r="BK660" s="0" t="s">
        <v>130</v>
      </c>
      <c r="BL660" s="0" t="s">
        <v>130</v>
      </c>
      <c r="BM660" s="0" t="s">
        <v>130</v>
      </c>
      <c r="BN660" s="0" t="s">
        <v>130</v>
      </c>
      <c r="BO660" s="0" t="s">
        <v>130</v>
      </c>
      <c r="BP660" s="0" t="s">
        <v>130</v>
      </c>
      <c r="BQ660" s="0" t="s">
        <v>130</v>
      </c>
      <c r="BR660" s="0" t="s">
        <v>130</v>
      </c>
      <c r="BS660" s="0" t="s">
        <v>130</v>
      </c>
      <c r="BT660" s="0" t="s">
        <v>130</v>
      </c>
      <c r="BU660" s="0" t="s">
        <v>130</v>
      </c>
      <c r="BV660" s="0" t="s">
        <v>130</v>
      </c>
      <c r="BW660" s="0" t="s">
        <v>130</v>
      </c>
      <c r="BX660" s="0" t="s">
        <v>130</v>
      </c>
      <c r="BY660" s="0" t="s">
        <v>130</v>
      </c>
      <c r="BZ660" s="0" t="s">
        <v>130</v>
      </c>
      <c r="CA660" s="0" t="s">
        <v>130</v>
      </c>
      <c r="CB660" s="0" t="s">
        <v>130</v>
      </c>
      <c r="CC660" s="0" t="s">
        <v>130</v>
      </c>
      <c r="CD660" s="0" t="s">
        <v>130</v>
      </c>
      <c r="CE660" s="0" t="s">
        <v>130</v>
      </c>
      <c r="CF660" s="0" t="s">
        <v>130</v>
      </c>
      <c r="CG660" s="0" t="s">
        <v>130</v>
      </c>
      <c r="CH660" s="0" t="s">
        <v>130</v>
      </c>
      <c r="CI660" s="0" t="s">
        <v>130</v>
      </c>
      <c r="CJ660" s="0" t="s">
        <v>130</v>
      </c>
      <c r="CK660" s="0" t="s">
        <v>130</v>
      </c>
      <c r="CL660" s="0" t="s">
        <v>130</v>
      </c>
      <c r="CM660" s="0" t="s">
        <v>130</v>
      </c>
      <c r="CN660" s="0" t="s">
        <v>130</v>
      </c>
      <c r="CO660" s="0" t="s">
        <v>130</v>
      </c>
      <c r="CP660" s="0" t="s">
        <v>130</v>
      </c>
      <c r="CQ660" s="0" t="s">
        <v>130</v>
      </c>
      <c r="CR660" s="0" t="s">
        <v>130</v>
      </c>
      <c r="CS660" s="0" t="s">
        <v>130</v>
      </c>
      <c r="CT660" s="0" t="s">
        <v>2142</v>
      </c>
    </row>
    <row r="661">
      <c r="A661" s="14">
        <v>114805</v>
      </c>
      <c r="B661" s="0" t="s">
        <v>2134</v>
      </c>
      <c r="C661" s="16">
        <f>HYPERLINK("https://eosportal.federatedhermes.com/companies/Q29tcGFueQppNzU2OTc=", "Sumitomo Corp")</f>
      </c>
      <c r="D661" s="0" t="s">
        <v>25</v>
      </c>
      <c r="E661" s="0" t="s">
        <v>2143</v>
      </c>
      <c r="F661" s="16">
        <f>HYPERLINK("https://eosportal.federatedhermes.com/engagements/RW5nYWdlbWVudAppMjE2MzI=", "Strategic shareholdings")</f>
      </c>
      <c r="G661" s="14" t="s">
        <v>2144</v>
      </c>
      <c r="H661" s="0" t="s">
        <v>141</v>
      </c>
      <c r="I661" s="14" t="s">
        <v>636</v>
      </c>
      <c r="J661" s="0" t="s">
        <v>145</v>
      </c>
      <c r="K661" s="0" t="s">
        <v>400</v>
      </c>
      <c r="L661" s="0" t="s">
        <v>507</v>
      </c>
      <c r="M661" s="0" t="s">
        <v>802</v>
      </c>
      <c r="N661" s="0" t="s">
        <v>952</v>
      </c>
      <c r="O661" s="0" t="s">
        <v>176</v>
      </c>
      <c r="Q661" s="0" t="s">
        <v>141</v>
      </c>
      <c r="R661" s="0" t="s">
        <v>138</v>
      </c>
      <c r="S661" s="14">
        <v>1</v>
      </c>
      <c r="T661" s="0" t="s">
        <v>1145</v>
      </c>
      <c r="U661" s="0" t="s">
        <v>138</v>
      </c>
      <c r="V661" s="14" t="s">
        <v>138</v>
      </c>
      <c r="W661" s="0" t="s">
        <v>138</v>
      </c>
      <c r="X661" s="14" t="s">
        <v>138</v>
      </c>
      <c r="Y661" s="0" t="s">
        <v>138</v>
      </c>
      <c r="Z661" s="14" t="s">
        <v>138</v>
      </c>
      <c r="AA661" s="0" t="s">
        <v>138</v>
      </c>
      <c r="AB661" s="14" t="s">
        <v>138</v>
      </c>
      <c r="AD661" s="0" t="s">
        <v>138</v>
      </c>
      <c r="AF661" s="0">
        <v>0</v>
      </c>
      <c r="AG661" s="0">
        <v>0</v>
      </c>
      <c r="AH661" s="0" t="s">
        <v>140</v>
      </c>
      <c r="AI661" s="0" t="s">
        <v>138</v>
      </c>
      <c r="AK661" s="0" t="s">
        <v>149</v>
      </c>
      <c r="AL661" s="14"/>
      <c r="AN661" s="14"/>
      <c r="AQ661" s="0" t="s">
        <v>130</v>
      </c>
      <c r="AR661" s="0" t="s">
        <v>130</v>
      </c>
      <c r="AS661" s="0" t="s">
        <v>130</v>
      </c>
      <c r="AT661" s="0" t="s">
        <v>130</v>
      </c>
      <c r="AU661" s="0" t="s">
        <v>130</v>
      </c>
      <c r="AV661" s="0" t="s">
        <v>130</v>
      </c>
      <c r="AW661" s="0" t="s">
        <v>130</v>
      </c>
      <c r="AX661" s="0" t="s">
        <v>130</v>
      </c>
      <c r="AY661" s="0" t="s">
        <v>130</v>
      </c>
      <c r="AZ661" s="0" t="s">
        <v>130</v>
      </c>
      <c r="BA661" s="0" t="s">
        <v>130</v>
      </c>
      <c r="BB661" s="0" t="s">
        <v>130</v>
      </c>
      <c r="BC661" s="0" t="s">
        <v>130</v>
      </c>
      <c r="BD661" s="0" t="s">
        <v>130</v>
      </c>
      <c r="BE661" s="0" t="s">
        <v>130</v>
      </c>
      <c r="BF661" s="0" t="s">
        <v>130</v>
      </c>
      <c r="BG661" s="0" t="s">
        <v>130</v>
      </c>
      <c r="BH661" s="0" t="s">
        <v>130</v>
      </c>
      <c r="BI661" s="0" t="s">
        <v>130</v>
      </c>
      <c r="BJ661" s="0" t="s">
        <v>130</v>
      </c>
      <c r="BK661" s="0" t="s">
        <v>130</v>
      </c>
      <c r="BL661" s="0" t="s">
        <v>130</v>
      </c>
      <c r="BM661" s="0" t="s">
        <v>130</v>
      </c>
      <c r="BN661" s="0" t="s">
        <v>130</v>
      </c>
      <c r="BO661" s="0" t="s">
        <v>130</v>
      </c>
      <c r="BP661" s="0" t="s">
        <v>130</v>
      </c>
      <c r="BQ661" s="0" t="s">
        <v>130</v>
      </c>
      <c r="BR661" s="0" t="s">
        <v>130</v>
      </c>
      <c r="BS661" s="0" t="s">
        <v>130</v>
      </c>
      <c r="BT661" s="0" t="s">
        <v>130</v>
      </c>
      <c r="BU661" s="0" t="s">
        <v>130</v>
      </c>
      <c r="BV661" s="0" t="s">
        <v>130</v>
      </c>
      <c r="BW661" s="0" t="s">
        <v>130</v>
      </c>
      <c r="BX661" s="0" t="s">
        <v>130</v>
      </c>
      <c r="BY661" s="0" t="s">
        <v>130</v>
      </c>
      <c r="BZ661" s="0" t="s">
        <v>130</v>
      </c>
      <c r="CA661" s="0" t="s">
        <v>130</v>
      </c>
      <c r="CB661" s="0" t="s">
        <v>130</v>
      </c>
      <c r="CC661" s="0" t="s">
        <v>130</v>
      </c>
      <c r="CD661" s="0" t="s">
        <v>130</v>
      </c>
      <c r="CE661" s="0" t="s">
        <v>130</v>
      </c>
      <c r="CF661" s="0" t="s">
        <v>130</v>
      </c>
      <c r="CG661" s="0" t="s">
        <v>130</v>
      </c>
      <c r="CH661" s="0" t="s">
        <v>130</v>
      </c>
      <c r="CI661" s="0" t="s">
        <v>130</v>
      </c>
      <c r="CJ661" s="0" t="s">
        <v>130</v>
      </c>
      <c r="CK661" s="0" t="s">
        <v>130</v>
      </c>
      <c r="CL661" s="0" t="s">
        <v>130</v>
      </c>
      <c r="CM661" s="0" t="s">
        <v>130</v>
      </c>
      <c r="CN661" s="0" t="s">
        <v>130</v>
      </c>
      <c r="CO661" s="0" t="s">
        <v>130</v>
      </c>
      <c r="CP661" s="0" t="s">
        <v>130</v>
      </c>
      <c r="CQ661" s="0" t="s">
        <v>130</v>
      </c>
      <c r="CR661" s="0" t="s">
        <v>130</v>
      </c>
      <c r="CS661" s="0" t="s">
        <v>130</v>
      </c>
      <c r="CT661" s="0" t="s">
        <v>2145</v>
      </c>
    </row>
    <row r="662">
      <c r="A662" s="14">
        <v>114805</v>
      </c>
      <c r="B662" s="0" t="s">
        <v>2134</v>
      </c>
      <c r="C662" s="16">
        <f>HYPERLINK("https://eosportal.federatedhermes.com/companies/Q29tcGFueQppNzU2OTc=", "Sumitomo Corp")</f>
      </c>
      <c r="D662" s="0" t="s">
        <v>25</v>
      </c>
      <c r="E662" s="0" t="s">
        <v>2072</v>
      </c>
      <c r="F662" s="16">
        <f>HYPERLINK("https://eosportal.federatedhermes.com/engagements/RW5nYWdlbWVudAppMjE2MzM=", "Climate change risk and opportunity management - coal expansion")</f>
      </c>
      <c r="G662" s="14" t="s">
        <v>2146</v>
      </c>
      <c r="H662" s="0" t="s">
        <v>141</v>
      </c>
      <c r="I662" s="14" t="s">
        <v>636</v>
      </c>
      <c r="J662" s="0" t="s">
        <v>197</v>
      </c>
      <c r="K662" s="0" t="s">
        <v>198</v>
      </c>
      <c r="L662" s="0" t="s">
        <v>216</v>
      </c>
      <c r="M662" s="0" t="s">
        <v>802</v>
      </c>
      <c r="N662" s="0" t="s">
        <v>952</v>
      </c>
      <c r="O662" s="0" t="s">
        <v>176</v>
      </c>
      <c r="Q662" s="0" t="s">
        <v>141</v>
      </c>
      <c r="R662" s="0" t="s">
        <v>138</v>
      </c>
      <c r="S662" s="14">
        <v>1</v>
      </c>
      <c r="T662" s="0" t="s">
        <v>355</v>
      </c>
      <c r="U662" s="0" t="s">
        <v>138</v>
      </c>
      <c r="V662" s="14" t="s">
        <v>138</v>
      </c>
      <c r="W662" s="0" t="s">
        <v>138</v>
      </c>
      <c r="X662" s="14" t="s">
        <v>138</v>
      </c>
      <c r="Y662" s="0" t="s">
        <v>138</v>
      </c>
      <c r="Z662" s="14" t="s">
        <v>138</v>
      </c>
      <c r="AA662" s="0" t="s">
        <v>138</v>
      </c>
      <c r="AB662" s="14" t="s">
        <v>138</v>
      </c>
      <c r="AD662" s="0" t="s">
        <v>138</v>
      </c>
      <c r="AF662" s="0">
        <v>0</v>
      </c>
      <c r="AG662" s="0">
        <v>0</v>
      </c>
      <c r="AH662" s="0" t="s">
        <v>140</v>
      </c>
      <c r="AI662" s="0" t="s">
        <v>138</v>
      </c>
      <c r="AK662" s="0" t="s">
        <v>149</v>
      </c>
      <c r="AL662" s="14"/>
      <c r="AN662" s="14"/>
      <c r="AQ662" s="0" t="s">
        <v>130</v>
      </c>
      <c r="AR662" s="0" t="s">
        <v>130</v>
      </c>
      <c r="AS662" s="0" t="s">
        <v>130</v>
      </c>
      <c r="AT662" s="0" t="s">
        <v>130</v>
      </c>
      <c r="AU662" s="0" t="s">
        <v>130</v>
      </c>
      <c r="AV662" s="0" t="s">
        <v>130</v>
      </c>
      <c r="AW662" s="0" t="s">
        <v>141</v>
      </c>
      <c r="AX662" s="0" t="s">
        <v>130</v>
      </c>
      <c r="AY662" s="0" t="s">
        <v>130</v>
      </c>
      <c r="AZ662" s="0" t="s">
        <v>130</v>
      </c>
      <c r="BA662" s="0" t="s">
        <v>130</v>
      </c>
      <c r="BB662" s="0" t="s">
        <v>130</v>
      </c>
      <c r="BC662" s="0" t="s">
        <v>141</v>
      </c>
      <c r="BD662" s="0" t="s">
        <v>130</v>
      </c>
      <c r="BE662" s="0" t="s">
        <v>130</v>
      </c>
      <c r="BF662" s="0" t="s">
        <v>130</v>
      </c>
      <c r="BG662" s="0" t="s">
        <v>130</v>
      </c>
      <c r="BH662" s="0" t="s">
        <v>141</v>
      </c>
      <c r="BI662" s="0" t="s">
        <v>141</v>
      </c>
      <c r="BJ662" s="0" t="s">
        <v>141</v>
      </c>
      <c r="BK662" s="0" t="s">
        <v>130</v>
      </c>
      <c r="BL662" s="0" t="s">
        <v>130</v>
      </c>
      <c r="BM662" s="0" t="s">
        <v>130</v>
      </c>
      <c r="BN662" s="0" t="s">
        <v>130</v>
      </c>
      <c r="BO662" s="0" t="s">
        <v>130</v>
      </c>
      <c r="BP662" s="0" t="s">
        <v>130</v>
      </c>
      <c r="BQ662" s="0" t="s">
        <v>130</v>
      </c>
      <c r="BR662" s="0" t="s">
        <v>130</v>
      </c>
      <c r="BS662" s="0" t="s">
        <v>130</v>
      </c>
      <c r="BT662" s="0" t="s">
        <v>130</v>
      </c>
      <c r="BU662" s="0" t="s">
        <v>130</v>
      </c>
      <c r="BV662" s="0" t="s">
        <v>141</v>
      </c>
      <c r="BW662" s="0" t="s">
        <v>141</v>
      </c>
      <c r="BX662" s="0" t="s">
        <v>130</v>
      </c>
      <c r="BY662" s="0" t="s">
        <v>130</v>
      </c>
      <c r="BZ662" s="0" t="s">
        <v>130</v>
      </c>
      <c r="CA662" s="0" t="s">
        <v>130</v>
      </c>
      <c r="CB662" s="0" t="s">
        <v>130</v>
      </c>
      <c r="CC662" s="0" t="s">
        <v>130</v>
      </c>
      <c r="CD662" s="0" t="s">
        <v>130</v>
      </c>
      <c r="CE662" s="0" t="s">
        <v>130</v>
      </c>
      <c r="CF662" s="0" t="s">
        <v>130</v>
      </c>
      <c r="CG662" s="0" t="s">
        <v>130</v>
      </c>
      <c r="CH662" s="0" t="s">
        <v>130</v>
      </c>
      <c r="CI662" s="0" t="s">
        <v>130</v>
      </c>
      <c r="CJ662" s="0" t="s">
        <v>130</v>
      </c>
      <c r="CK662" s="0" t="s">
        <v>130</v>
      </c>
      <c r="CL662" s="0" t="s">
        <v>130</v>
      </c>
      <c r="CM662" s="0" t="s">
        <v>130</v>
      </c>
      <c r="CN662" s="0" t="s">
        <v>130</v>
      </c>
      <c r="CO662" s="0" t="s">
        <v>130</v>
      </c>
      <c r="CP662" s="0" t="s">
        <v>130</v>
      </c>
      <c r="CQ662" s="0" t="s">
        <v>130</v>
      </c>
      <c r="CR662" s="0" t="s">
        <v>130</v>
      </c>
      <c r="CS662" s="0" t="s">
        <v>130</v>
      </c>
      <c r="CT662" s="0" t="s">
        <v>2147</v>
      </c>
    </row>
    <row r="663">
      <c r="A663" s="14">
        <v>114805</v>
      </c>
      <c r="B663" s="0" t="s">
        <v>2134</v>
      </c>
      <c r="C663" s="16">
        <f>HYPERLINK("https://eosportal.federatedhermes.com/companies/Q29tcGFueQppNzU2OTc=", "Sumitomo Corp")</f>
      </c>
      <c r="D663" s="0" t="s">
        <v>25</v>
      </c>
      <c r="E663" s="0" t="s">
        <v>2148</v>
      </c>
      <c r="F663" s="16">
        <f>HYPERLINK("https://eosportal.federatedhermes.com/engagements/RW5nYWdlbWVudAppMjE2MzQ=", "Decarbonisation of assets")</f>
      </c>
      <c r="G663" s="14" t="s">
        <v>2149</v>
      </c>
      <c r="H663" s="0" t="s">
        <v>141</v>
      </c>
      <c r="I663" s="14" t="s">
        <v>636</v>
      </c>
      <c r="J663" s="0" t="s">
        <v>197</v>
      </c>
      <c r="K663" s="0" t="s">
        <v>198</v>
      </c>
      <c r="L663" s="0" t="s">
        <v>216</v>
      </c>
      <c r="M663" s="0" t="s">
        <v>802</v>
      </c>
      <c r="N663" s="0" t="s">
        <v>952</v>
      </c>
      <c r="O663" s="0" t="s">
        <v>176</v>
      </c>
      <c r="Q663" s="0" t="s">
        <v>141</v>
      </c>
      <c r="R663" s="0" t="s">
        <v>138</v>
      </c>
      <c r="S663" s="14">
        <v>1</v>
      </c>
      <c r="T663" s="0" t="s">
        <v>1145</v>
      </c>
      <c r="U663" s="0" t="s">
        <v>138</v>
      </c>
      <c r="V663" s="14" t="s">
        <v>138</v>
      </c>
      <c r="W663" s="0" t="s">
        <v>138</v>
      </c>
      <c r="X663" s="14" t="s">
        <v>138</v>
      </c>
      <c r="Y663" s="0" t="s">
        <v>138</v>
      </c>
      <c r="Z663" s="14" t="s">
        <v>138</v>
      </c>
      <c r="AA663" s="0" t="s">
        <v>138</v>
      </c>
      <c r="AB663" s="14" t="s">
        <v>138</v>
      </c>
      <c r="AD663" s="0" t="s">
        <v>138</v>
      </c>
      <c r="AF663" s="0">
        <v>0</v>
      </c>
      <c r="AG663" s="0">
        <v>0</v>
      </c>
      <c r="AH663" s="0" t="s">
        <v>140</v>
      </c>
      <c r="AI663" s="0" t="s">
        <v>138</v>
      </c>
      <c r="AK663" s="0" t="s">
        <v>149</v>
      </c>
      <c r="AL663" s="14"/>
      <c r="AN663" s="14"/>
      <c r="AQ663" s="0" t="s">
        <v>130</v>
      </c>
      <c r="AR663" s="0" t="s">
        <v>130</v>
      </c>
      <c r="AS663" s="0" t="s">
        <v>130</v>
      </c>
      <c r="AT663" s="0" t="s">
        <v>130</v>
      </c>
      <c r="AU663" s="0" t="s">
        <v>130</v>
      </c>
      <c r="AV663" s="0" t="s">
        <v>130</v>
      </c>
      <c r="AW663" s="0" t="s">
        <v>141</v>
      </c>
      <c r="AX663" s="0" t="s">
        <v>130</v>
      </c>
      <c r="AY663" s="0" t="s">
        <v>130</v>
      </c>
      <c r="AZ663" s="0" t="s">
        <v>130</v>
      </c>
      <c r="BA663" s="0" t="s">
        <v>130</v>
      </c>
      <c r="BB663" s="0" t="s">
        <v>130</v>
      </c>
      <c r="BC663" s="0" t="s">
        <v>141</v>
      </c>
      <c r="BD663" s="0" t="s">
        <v>130</v>
      </c>
      <c r="BE663" s="0" t="s">
        <v>130</v>
      </c>
      <c r="BF663" s="0" t="s">
        <v>130</v>
      </c>
      <c r="BG663" s="0" t="s">
        <v>130</v>
      </c>
      <c r="BH663" s="0" t="s">
        <v>141</v>
      </c>
      <c r="BI663" s="0" t="s">
        <v>141</v>
      </c>
      <c r="BJ663" s="0" t="s">
        <v>141</v>
      </c>
      <c r="BK663" s="0" t="s">
        <v>130</v>
      </c>
      <c r="BL663" s="0" t="s">
        <v>130</v>
      </c>
      <c r="BM663" s="0" t="s">
        <v>130</v>
      </c>
      <c r="BN663" s="0" t="s">
        <v>130</v>
      </c>
      <c r="BO663" s="0" t="s">
        <v>130</v>
      </c>
      <c r="BP663" s="0" t="s">
        <v>130</v>
      </c>
      <c r="BQ663" s="0" t="s">
        <v>130</v>
      </c>
      <c r="BR663" s="0" t="s">
        <v>130</v>
      </c>
      <c r="BS663" s="0" t="s">
        <v>130</v>
      </c>
      <c r="BT663" s="0" t="s">
        <v>130</v>
      </c>
      <c r="BU663" s="0" t="s">
        <v>130</v>
      </c>
      <c r="BV663" s="0" t="s">
        <v>141</v>
      </c>
      <c r="BW663" s="0" t="s">
        <v>141</v>
      </c>
      <c r="BX663" s="0" t="s">
        <v>130</v>
      </c>
      <c r="BY663" s="0" t="s">
        <v>130</v>
      </c>
      <c r="BZ663" s="0" t="s">
        <v>130</v>
      </c>
      <c r="CA663" s="0" t="s">
        <v>130</v>
      </c>
      <c r="CB663" s="0" t="s">
        <v>130</v>
      </c>
      <c r="CC663" s="0" t="s">
        <v>130</v>
      </c>
      <c r="CD663" s="0" t="s">
        <v>130</v>
      </c>
      <c r="CE663" s="0" t="s">
        <v>130</v>
      </c>
      <c r="CF663" s="0" t="s">
        <v>130</v>
      </c>
      <c r="CG663" s="0" t="s">
        <v>130</v>
      </c>
      <c r="CH663" s="0" t="s">
        <v>130</v>
      </c>
      <c r="CI663" s="0" t="s">
        <v>130</v>
      </c>
      <c r="CJ663" s="0" t="s">
        <v>130</v>
      </c>
      <c r="CK663" s="0" t="s">
        <v>130</v>
      </c>
      <c r="CL663" s="0" t="s">
        <v>130</v>
      </c>
      <c r="CM663" s="0" t="s">
        <v>130</v>
      </c>
      <c r="CN663" s="0" t="s">
        <v>130</v>
      </c>
      <c r="CO663" s="0" t="s">
        <v>130</v>
      </c>
      <c r="CP663" s="0" t="s">
        <v>130</v>
      </c>
      <c r="CQ663" s="0" t="s">
        <v>130</v>
      </c>
      <c r="CR663" s="0" t="s">
        <v>130</v>
      </c>
      <c r="CS663" s="0" t="s">
        <v>130</v>
      </c>
      <c r="CT663" s="0" t="s">
        <v>2150</v>
      </c>
    </row>
    <row r="664">
      <c r="A664" s="14">
        <v>114805</v>
      </c>
      <c r="B664" s="0" t="s">
        <v>2134</v>
      </c>
      <c r="C664" s="16">
        <f>HYPERLINK("https://eosportal.federatedhermes.com/companies/Q29tcGFueQppNzU2OTc=", "Sumitomo Corp")</f>
      </c>
      <c r="D664" s="0" t="s">
        <v>25</v>
      </c>
      <c r="E664" s="0" t="s">
        <v>729</v>
      </c>
      <c r="F664" s="16">
        <f>HYPERLINK("https://eosportal.federatedhermes.com/engagements/RW5nYWdlbWVudAppMjE2MzU=", "Board diversity")</f>
      </c>
      <c r="G664" s="14" t="s">
        <v>2151</v>
      </c>
      <c r="H664" s="0" t="s">
        <v>141</v>
      </c>
      <c r="I664" s="14" t="s">
        <v>636</v>
      </c>
      <c r="J664" s="0" t="s">
        <v>153</v>
      </c>
      <c r="K664" s="0" t="s">
        <v>154</v>
      </c>
      <c r="L664" s="0" t="s">
        <v>268</v>
      </c>
      <c r="M664" s="0" t="s">
        <v>802</v>
      </c>
      <c r="N664" s="0" t="s">
        <v>952</v>
      </c>
      <c r="O664" s="0" t="s">
        <v>176</v>
      </c>
      <c r="Q664" s="0" t="s">
        <v>141</v>
      </c>
      <c r="R664" s="0" t="s">
        <v>138</v>
      </c>
      <c r="S664" s="14">
        <v>1</v>
      </c>
      <c r="T664" s="0" t="s">
        <v>1145</v>
      </c>
      <c r="U664" s="0" t="s">
        <v>138</v>
      </c>
      <c r="V664" s="14" t="s">
        <v>138</v>
      </c>
      <c r="W664" s="0" t="s">
        <v>138</v>
      </c>
      <c r="X664" s="14" t="s">
        <v>138</v>
      </c>
      <c r="Y664" s="0" t="s">
        <v>138</v>
      </c>
      <c r="Z664" s="14" t="s">
        <v>138</v>
      </c>
      <c r="AA664" s="0" t="s">
        <v>138</v>
      </c>
      <c r="AB664" s="14" t="s">
        <v>138</v>
      </c>
      <c r="AD664" s="0" t="s">
        <v>138</v>
      </c>
      <c r="AF664" s="0">
        <v>0</v>
      </c>
      <c r="AG664" s="0">
        <v>0</v>
      </c>
      <c r="AH664" s="0" t="s">
        <v>140</v>
      </c>
      <c r="AI664" s="0" t="s">
        <v>138</v>
      </c>
      <c r="AK664" s="0" t="s">
        <v>149</v>
      </c>
      <c r="AL664" s="14"/>
      <c r="AN664" s="14"/>
      <c r="AQ664" s="0" t="s">
        <v>130</v>
      </c>
      <c r="AR664" s="0" t="s">
        <v>130</v>
      </c>
      <c r="AS664" s="0" t="s">
        <v>130</v>
      </c>
      <c r="AT664" s="0" t="s">
        <v>130</v>
      </c>
      <c r="AU664" s="0" t="s">
        <v>141</v>
      </c>
      <c r="AV664" s="0" t="s">
        <v>130</v>
      </c>
      <c r="AW664" s="0" t="s">
        <v>130</v>
      </c>
      <c r="AX664" s="0" t="s">
        <v>130</v>
      </c>
      <c r="AY664" s="0" t="s">
        <v>130</v>
      </c>
      <c r="AZ664" s="0" t="s">
        <v>130</v>
      </c>
      <c r="BA664" s="0" t="s">
        <v>130</v>
      </c>
      <c r="BB664" s="0" t="s">
        <v>130</v>
      </c>
      <c r="BC664" s="0" t="s">
        <v>130</v>
      </c>
      <c r="BD664" s="0" t="s">
        <v>130</v>
      </c>
      <c r="BE664" s="0" t="s">
        <v>130</v>
      </c>
      <c r="BF664" s="0" t="s">
        <v>130</v>
      </c>
      <c r="BG664" s="0" t="s">
        <v>130</v>
      </c>
      <c r="BH664" s="0" t="s">
        <v>130</v>
      </c>
      <c r="BI664" s="0" t="s">
        <v>130</v>
      </c>
      <c r="BJ664" s="0" t="s">
        <v>130</v>
      </c>
      <c r="BK664" s="0" t="s">
        <v>130</v>
      </c>
      <c r="BL664" s="0" t="s">
        <v>130</v>
      </c>
      <c r="BM664" s="0" t="s">
        <v>130</v>
      </c>
      <c r="BN664" s="0" t="s">
        <v>130</v>
      </c>
      <c r="BO664" s="0" t="s">
        <v>130</v>
      </c>
      <c r="BP664" s="0" t="s">
        <v>130</v>
      </c>
      <c r="BQ664" s="0" t="s">
        <v>130</v>
      </c>
      <c r="BR664" s="0" t="s">
        <v>130</v>
      </c>
      <c r="BS664" s="0" t="s">
        <v>130</v>
      </c>
      <c r="BT664" s="0" t="s">
        <v>130</v>
      </c>
      <c r="BU664" s="0" t="s">
        <v>130</v>
      </c>
      <c r="BV664" s="0" t="s">
        <v>130</v>
      </c>
      <c r="BW664" s="0" t="s">
        <v>130</v>
      </c>
      <c r="BX664" s="0" t="s">
        <v>130</v>
      </c>
      <c r="BY664" s="0" t="s">
        <v>130</v>
      </c>
      <c r="BZ664" s="0" t="s">
        <v>130</v>
      </c>
      <c r="CA664" s="0" t="s">
        <v>130</v>
      </c>
      <c r="CB664" s="0" t="s">
        <v>130</v>
      </c>
      <c r="CC664" s="0" t="s">
        <v>130</v>
      </c>
      <c r="CD664" s="0" t="s">
        <v>130</v>
      </c>
      <c r="CE664" s="0" t="s">
        <v>130</v>
      </c>
      <c r="CF664" s="0" t="s">
        <v>130</v>
      </c>
      <c r="CG664" s="0" t="s">
        <v>130</v>
      </c>
      <c r="CH664" s="0" t="s">
        <v>130</v>
      </c>
      <c r="CI664" s="0" t="s">
        <v>130</v>
      </c>
      <c r="CJ664" s="0" t="s">
        <v>130</v>
      </c>
      <c r="CK664" s="0" t="s">
        <v>141</v>
      </c>
      <c r="CL664" s="0" t="s">
        <v>130</v>
      </c>
      <c r="CM664" s="0" t="s">
        <v>130</v>
      </c>
      <c r="CN664" s="0" t="s">
        <v>130</v>
      </c>
      <c r="CO664" s="0" t="s">
        <v>130</v>
      </c>
      <c r="CP664" s="0" t="s">
        <v>130</v>
      </c>
      <c r="CQ664" s="0" t="s">
        <v>130</v>
      </c>
      <c r="CR664" s="0" t="s">
        <v>130</v>
      </c>
      <c r="CS664" s="0" t="s">
        <v>130</v>
      </c>
      <c r="CT664" s="0" t="s">
        <v>2152</v>
      </c>
    </row>
    <row r="665">
      <c r="A665" s="14">
        <v>107570</v>
      </c>
      <c r="B665" s="0" t="s">
        <v>2153</v>
      </c>
      <c r="C665" s="16">
        <f>HYPERLINK("https://eosportal.federatedhermes.com/companies/Q29tcGFueQppNDQxMjE=", "Waste Management Inc")</f>
      </c>
      <c r="D665" s="0" t="s">
        <v>25</v>
      </c>
      <c r="E665" s="0" t="s">
        <v>2154</v>
      </c>
      <c r="F665" s="16">
        <f>HYPERLINK("https://eosportal.federatedhermes.com/engagements/RW5nYWdlbWVudAppMjE2ODk=", "Pro-rating of incentive awards in the event of change of control")</f>
      </c>
      <c r="G665" s="14" t="s">
        <v>2155</v>
      </c>
      <c r="H665" s="0" t="s">
        <v>141</v>
      </c>
      <c r="I665" s="14" t="s">
        <v>131</v>
      </c>
      <c r="J665" s="0" t="s">
        <v>145</v>
      </c>
      <c r="K665" s="0" t="s">
        <v>146</v>
      </c>
      <c r="L665" s="0" t="s">
        <v>147</v>
      </c>
      <c r="M665" s="0" t="s">
        <v>135</v>
      </c>
      <c r="N665" s="0" t="s">
        <v>136</v>
      </c>
      <c r="O665" s="0" t="s">
        <v>176</v>
      </c>
      <c r="Q665" s="0" t="s">
        <v>130</v>
      </c>
      <c r="R665" s="0" t="s">
        <v>138</v>
      </c>
      <c r="S665" s="14">
        <v>0</v>
      </c>
      <c r="T665" s="0" t="s">
        <v>435</v>
      </c>
      <c r="U665" s="0" t="s">
        <v>138</v>
      </c>
      <c r="V665" s="14" t="s">
        <v>138</v>
      </c>
      <c r="W665" s="0" t="s">
        <v>138</v>
      </c>
      <c r="X665" s="14" t="s">
        <v>138</v>
      </c>
      <c r="Y665" s="0" t="s">
        <v>138</v>
      </c>
      <c r="Z665" s="14" t="s">
        <v>138</v>
      </c>
      <c r="AA665" s="0" t="s">
        <v>138</v>
      </c>
      <c r="AB665" s="14" t="s">
        <v>138</v>
      </c>
      <c r="AD665" s="0" t="s">
        <v>138</v>
      </c>
      <c r="AF665" s="0">
        <v>0</v>
      </c>
      <c r="AG665" s="0">
        <v>0</v>
      </c>
      <c r="AH665" s="0" t="s">
        <v>140</v>
      </c>
      <c r="AI665" s="0" t="s">
        <v>138</v>
      </c>
      <c r="AL665" s="14"/>
      <c r="AN665" s="14"/>
      <c r="AQ665" s="0" t="s">
        <v>130</v>
      </c>
      <c r="AR665" s="0" t="s">
        <v>130</v>
      </c>
      <c r="AS665" s="0" t="s">
        <v>130</v>
      </c>
      <c r="AT665" s="0" t="s">
        <v>130</v>
      </c>
      <c r="AU665" s="0" t="s">
        <v>130</v>
      </c>
      <c r="AV665" s="0" t="s">
        <v>130</v>
      </c>
      <c r="AW665" s="0" t="s">
        <v>130</v>
      </c>
      <c r="AX665" s="0" t="s">
        <v>130</v>
      </c>
      <c r="AY665" s="0" t="s">
        <v>130</v>
      </c>
      <c r="AZ665" s="0" t="s">
        <v>130</v>
      </c>
      <c r="BA665" s="0" t="s">
        <v>130</v>
      </c>
      <c r="BB665" s="0" t="s">
        <v>130</v>
      </c>
      <c r="BC665" s="0" t="s">
        <v>130</v>
      </c>
      <c r="BD665" s="0" t="s">
        <v>130</v>
      </c>
      <c r="BE665" s="0" t="s">
        <v>130</v>
      </c>
      <c r="BF665" s="0" t="s">
        <v>130</v>
      </c>
      <c r="BG665" s="0" t="s">
        <v>130</v>
      </c>
      <c r="BH665" s="0" t="s">
        <v>130</v>
      </c>
      <c r="BI665" s="0" t="s">
        <v>130</v>
      </c>
      <c r="BJ665" s="0" t="s">
        <v>130</v>
      </c>
      <c r="BK665" s="0" t="s">
        <v>130</v>
      </c>
      <c r="BL665" s="0" t="s">
        <v>130</v>
      </c>
      <c r="BM665" s="0" t="s">
        <v>130</v>
      </c>
      <c r="BN665" s="0" t="s">
        <v>130</v>
      </c>
      <c r="BO665" s="0" t="s">
        <v>130</v>
      </c>
      <c r="BP665" s="0" t="s">
        <v>130</v>
      </c>
      <c r="BQ665" s="0" t="s">
        <v>130</v>
      </c>
      <c r="BR665" s="0" t="s">
        <v>130</v>
      </c>
      <c r="BS665" s="0" t="s">
        <v>130</v>
      </c>
      <c r="BT665" s="0" t="s">
        <v>130</v>
      </c>
      <c r="BU665" s="0" t="s">
        <v>130</v>
      </c>
      <c r="BV665" s="0" t="s">
        <v>130</v>
      </c>
      <c r="BW665" s="0" t="s">
        <v>130</v>
      </c>
      <c r="BX665" s="0" t="s">
        <v>130</v>
      </c>
      <c r="BY665" s="0" t="s">
        <v>130</v>
      </c>
      <c r="BZ665" s="0" t="s">
        <v>130</v>
      </c>
      <c r="CA665" s="0" t="s">
        <v>130</v>
      </c>
      <c r="CB665" s="0" t="s">
        <v>130</v>
      </c>
      <c r="CC665" s="0" t="s">
        <v>130</v>
      </c>
      <c r="CD665" s="0" t="s">
        <v>130</v>
      </c>
      <c r="CE665" s="0" t="s">
        <v>130</v>
      </c>
      <c r="CF665" s="0" t="s">
        <v>130</v>
      </c>
      <c r="CG665" s="0" t="s">
        <v>130</v>
      </c>
      <c r="CH665" s="0" t="s">
        <v>130</v>
      </c>
      <c r="CI665" s="0" t="s">
        <v>130</v>
      </c>
      <c r="CJ665" s="0" t="s">
        <v>130</v>
      </c>
      <c r="CK665" s="0" t="s">
        <v>130</v>
      </c>
      <c r="CL665" s="0" t="s">
        <v>130</v>
      </c>
      <c r="CM665" s="0" t="s">
        <v>130</v>
      </c>
      <c r="CN665" s="0" t="s">
        <v>130</v>
      </c>
      <c r="CO665" s="0" t="s">
        <v>130</v>
      </c>
      <c r="CP665" s="0" t="s">
        <v>130</v>
      </c>
      <c r="CQ665" s="0" t="s">
        <v>130</v>
      </c>
      <c r="CR665" s="0" t="s">
        <v>130</v>
      </c>
      <c r="CS665" s="0" t="s">
        <v>130</v>
      </c>
      <c r="CT665" s="0" t="s">
        <v>2156</v>
      </c>
    </row>
    <row r="666">
      <c r="A666" s="14">
        <v>107570</v>
      </c>
      <c r="B666" s="0" t="s">
        <v>2153</v>
      </c>
      <c r="C666" s="16">
        <f>HYPERLINK("https://eosportal.federatedhermes.com/companies/Q29tcGFueQppNDQxMjE=", "Waste Management Inc")</f>
      </c>
      <c r="D666" s="0" t="s">
        <v>25</v>
      </c>
      <c r="E666" s="0" t="s">
        <v>146</v>
      </c>
      <c r="F666" s="16">
        <f>HYPERLINK("https://eosportal.federatedhermes.com/engagements/RW5nYWdlbWVudAppMjE2OTA=", "Executive Remuneration")</f>
      </c>
      <c r="G666" s="14" t="s">
        <v>2157</v>
      </c>
      <c r="H666" s="0" t="s">
        <v>141</v>
      </c>
      <c r="I666" s="14" t="s">
        <v>131</v>
      </c>
      <c r="J666" s="0" t="s">
        <v>145</v>
      </c>
      <c r="K666" s="0" t="s">
        <v>146</v>
      </c>
      <c r="L666" s="0" t="s">
        <v>147</v>
      </c>
      <c r="M666" s="0" t="s">
        <v>135</v>
      </c>
      <c r="N666" s="0" t="s">
        <v>136</v>
      </c>
      <c r="O666" s="0" t="s">
        <v>176</v>
      </c>
      <c r="Q666" s="0" t="s">
        <v>141</v>
      </c>
      <c r="R666" s="0" t="s">
        <v>138</v>
      </c>
      <c r="S666" s="14">
        <v>1</v>
      </c>
      <c r="T666" s="0" t="s">
        <v>148</v>
      </c>
      <c r="U666" s="0" t="s">
        <v>138</v>
      </c>
      <c r="V666" s="14" t="s">
        <v>138</v>
      </c>
      <c r="W666" s="0" t="s">
        <v>138</v>
      </c>
      <c r="X666" s="14" t="s">
        <v>138</v>
      </c>
      <c r="Y666" s="0" t="s">
        <v>138</v>
      </c>
      <c r="Z666" s="14" t="s">
        <v>138</v>
      </c>
      <c r="AA666" s="0" t="s">
        <v>138</v>
      </c>
      <c r="AB666" s="14" t="s">
        <v>138</v>
      </c>
      <c r="AD666" s="0" t="s">
        <v>138</v>
      </c>
      <c r="AF666" s="0">
        <v>0</v>
      </c>
      <c r="AG666" s="0">
        <v>0</v>
      </c>
      <c r="AH666" s="0" t="s">
        <v>140</v>
      </c>
      <c r="AI666" s="0" t="s">
        <v>138</v>
      </c>
      <c r="AK666" s="0" t="s">
        <v>1470</v>
      </c>
      <c r="AL666" s="14"/>
      <c r="AN666" s="14"/>
      <c r="AQ666" s="0" t="s">
        <v>130</v>
      </c>
      <c r="AR666" s="0" t="s">
        <v>130</v>
      </c>
      <c r="AS666" s="0" t="s">
        <v>130</v>
      </c>
      <c r="AT666" s="0" t="s">
        <v>130</v>
      </c>
      <c r="AU666" s="0" t="s">
        <v>130</v>
      </c>
      <c r="AV666" s="0" t="s">
        <v>130</v>
      </c>
      <c r="AW666" s="0" t="s">
        <v>130</v>
      </c>
      <c r="AX666" s="0" t="s">
        <v>130</v>
      </c>
      <c r="AY666" s="0" t="s">
        <v>130</v>
      </c>
      <c r="AZ666" s="0" t="s">
        <v>130</v>
      </c>
      <c r="BA666" s="0" t="s">
        <v>130</v>
      </c>
      <c r="BB666" s="0" t="s">
        <v>130</v>
      </c>
      <c r="BC666" s="0" t="s">
        <v>130</v>
      </c>
      <c r="BD666" s="0" t="s">
        <v>130</v>
      </c>
      <c r="BE666" s="0" t="s">
        <v>130</v>
      </c>
      <c r="BF666" s="0" t="s">
        <v>130</v>
      </c>
      <c r="BG666" s="0" t="s">
        <v>130</v>
      </c>
      <c r="BH666" s="0" t="s">
        <v>130</v>
      </c>
      <c r="BI666" s="0" t="s">
        <v>130</v>
      </c>
      <c r="BJ666" s="0" t="s">
        <v>130</v>
      </c>
      <c r="BK666" s="0" t="s">
        <v>130</v>
      </c>
      <c r="BL666" s="0" t="s">
        <v>130</v>
      </c>
      <c r="BM666" s="0" t="s">
        <v>130</v>
      </c>
      <c r="BN666" s="0" t="s">
        <v>130</v>
      </c>
      <c r="BO666" s="0" t="s">
        <v>130</v>
      </c>
      <c r="BP666" s="0" t="s">
        <v>130</v>
      </c>
      <c r="BQ666" s="0" t="s">
        <v>130</v>
      </c>
      <c r="BR666" s="0" t="s">
        <v>130</v>
      </c>
      <c r="BS666" s="0" t="s">
        <v>130</v>
      </c>
      <c r="BT666" s="0" t="s">
        <v>130</v>
      </c>
      <c r="BU666" s="0" t="s">
        <v>130</v>
      </c>
      <c r="BV666" s="0" t="s">
        <v>130</v>
      </c>
      <c r="BW666" s="0" t="s">
        <v>130</v>
      </c>
      <c r="BX666" s="0" t="s">
        <v>130</v>
      </c>
      <c r="BY666" s="0" t="s">
        <v>130</v>
      </c>
      <c r="BZ666" s="0" t="s">
        <v>130</v>
      </c>
      <c r="CA666" s="0" t="s">
        <v>130</v>
      </c>
      <c r="CB666" s="0" t="s">
        <v>130</v>
      </c>
      <c r="CC666" s="0" t="s">
        <v>130</v>
      </c>
      <c r="CD666" s="0" t="s">
        <v>130</v>
      </c>
      <c r="CE666" s="0" t="s">
        <v>130</v>
      </c>
      <c r="CF666" s="0" t="s">
        <v>130</v>
      </c>
      <c r="CG666" s="0" t="s">
        <v>130</v>
      </c>
      <c r="CH666" s="0" t="s">
        <v>130</v>
      </c>
      <c r="CI666" s="0" t="s">
        <v>130</v>
      </c>
      <c r="CJ666" s="0" t="s">
        <v>130</v>
      </c>
      <c r="CK666" s="0" t="s">
        <v>130</v>
      </c>
      <c r="CL666" s="0" t="s">
        <v>130</v>
      </c>
      <c r="CM666" s="0" t="s">
        <v>130</v>
      </c>
      <c r="CN666" s="0" t="s">
        <v>130</v>
      </c>
      <c r="CO666" s="0" t="s">
        <v>130</v>
      </c>
      <c r="CP666" s="0" t="s">
        <v>130</v>
      </c>
      <c r="CQ666" s="0" t="s">
        <v>130</v>
      </c>
      <c r="CR666" s="0" t="s">
        <v>130</v>
      </c>
      <c r="CS666" s="0" t="s">
        <v>130</v>
      </c>
      <c r="CT666" s="0" t="s">
        <v>2158</v>
      </c>
    </row>
    <row r="667">
      <c r="A667" s="14">
        <v>107570</v>
      </c>
      <c r="B667" s="0" t="s">
        <v>2153</v>
      </c>
      <c r="C667" s="16">
        <f>HYPERLINK("https://eosportal.federatedhermes.com/companies/Q29tcGFueQppNDQxMjE=", "Waste Management Inc")</f>
      </c>
      <c r="D667" s="0" t="s">
        <v>25</v>
      </c>
      <c r="E667" s="0" t="s">
        <v>427</v>
      </c>
      <c r="F667" s="16">
        <f>HYPERLINK("https://eosportal.federatedhermes.com/engagements/RW5nYWdlbWVudAppMjE2OTE=", "Circular economy")</f>
      </c>
      <c r="G667" s="14" t="s">
        <v>2159</v>
      </c>
      <c r="H667" s="0" t="s">
        <v>141</v>
      </c>
      <c r="I667" s="14" t="s">
        <v>131</v>
      </c>
      <c r="J667" s="0" t="s">
        <v>132</v>
      </c>
      <c r="K667" s="0" t="s">
        <v>133</v>
      </c>
      <c r="L667" s="0" t="s">
        <v>160</v>
      </c>
      <c r="M667" s="0" t="s">
        <v>135</v>
      </c>
      <c r="N667" s="0" t="s">
        <v>136</v>
      </c>
      <c r="O667" s="0" t="s">
        <v>176</v>
      </c>
      <c r="Q667" s="0" t="s">
        <v>130</v>
      </c>
      <c r="R667" s="0" t="s">
        <v>138</v>
      </c>
      <c r="S667" s="14">
        <v>0</v>
      </c>
      <c r="T667" s="0" t="s">
        <v>193</v>
      </c>
      <c r="U667" s="0" t="s">
        <v>138</v>
      </c>
      <c r="V667" s="14" t="s">
        <v>138</v>
      </c>
      <c r="W667" s="0" t="s">
        <v>138</v>
      </c>
      <c r="X667" s="14" t="s">
        <v>138</v>
      </c>
      <c r="Y667" s="0" t="s">
        <v>138</v>
      </c>
      <c r="Z667" s="14" t="s">
        <v>138</v>
      </c>
      <c r="AA667" s="0" t="s">
        <v>138</v>
      </c>
      <c r="AB667" s="14" t="s">
        <v>138</v>
      </c>
      <c r="AD667" s="0" t="s">
        <v>138</v>
      </c>
      <c r="AF667" s="0">
        <v>0</v>
      </c>
      <c r="AG667" s="0">
        <v>0</v>
      </c>
      <c r="AH667" s="0" t="s">
        <v>140</v>
      </c>
      <c r="AI667" s="0" t="s">
        <v>138</v>
      </c>
      <c r="AL667" s="14"/>
      <c r="AN667" s="14"/>
      <c r="AQ667" s="0" t="s">
        <v>130</v>
      </c>
      <c r="AR667" s="0" t="s">
        <v>130</v>
      </c>
      <c r="AS667" s="0" t="s">
        <v>130</v>
      </c>
      <c r="AT667" s="0" t="s">
        <v>130</v>
      </c>
      <c r="AU667" s="0" t="s">
        <v>130</v>
      </c>
      <c r="AV667" s="0" t="s">
        <v>130</v>
      </c>
      <c r="AW667" s="0" t="s">
        <v>130</v>
      </c>
      <c r="AX667" s="0" t="s">
        <v>130</v>
      </c>
      <c r="AY667" s="0" t="s">
        <v>130</v>
      </c>
      <c r="AZ667" s="0" t="s">
        <v>130</v>
      </c>
      <c r="BA667" s="0" t="s">
        <v>130</v>
      </c>
      <c r="BB667" s="0" t="s">
        <v>141</v>
      </c>
      <c r="BC667" s="0" t="s">
        <v>130</v>
      </c>
      <c r="BD667" s="0" t="s">
        <v>130</v>
      </c>
      <c r="BE667" s="0" t="s">
        <v>130</v>
      </c>
      <c r="BF667" s="0" t="s">
        <v>130</v>
      </c>
      <c r="BG667" s="0" t="s">
        <v>130</v>
      </c>
      <c r="BH667" s="0" t="s">
        <v>130</v>
      </c>
      <c r="BI667" s="0" t="s">
        <v>130</v>
      </c>
      <c r="BJ667" s="0" t="s">
        <v>130</v>
      </c>
      <c r="BK667" s="0" t="s">
        <v>130</v>
      </c>
      <c r="BL667" s="0" t="s">
        <v>130</v>
      </c>
      <c r="BM667" s="0" t="s">
        <v>130</v>
      </c>
      <c r="BN667" s="0" t="s">
        <v>130</v>
      </c>
      <c r="BO667" s="0" t="s">
        <v>130</v>
      </c>
      <c r="BP667" s="0" t="s">
        <v>130</v>
      </c>
      <c r="BQ667" s="0" t="s">
        <v>130</v>
      </c>
      <c r="BR667" s="0" t="s">
        <v>130</v>
      </c>
      <c r="BS667" s="0" t="s">
        <v>130</v>
      </c>
      <c r="BT667" s="0" t="s">
        <v>130</v>
      </c>
      <c r="BU667" s="0" t="s">
        <v>130</v>
      </c>
      <c r="BV667" s="0" t="s">
        <v>130</v>
      </c>
      <c r="BW667" s="0" t="s">
        <v>130</v>
      </c>
      <c r="BX667" s="0" t="s">
        <v>130</v>
      </c>
      <c r="BY667" s="0" t="s">
        <v>130</v>
      </c>
      <c r="BZ667" s="0" t="s">
        <v>130</v>
      </c>
      <c r="CA667" s="0" t="s">
        <v>130</v>
      </c>
      <c r="CB667" s="0" t="s">
        <v>130</v>
      </c>
      <c r="CC667" s="0" t="s">
        <v>130</v>
      </c>
      <c r="CD667" s="0" t="s">
        <v>130</v>
      </c>
      <c r="CE667" s="0" t="s">
        <v>130</v>
      </c>
      <c r="CF667" s="0" t="s">
        <v>130</v>
      </c>
      <c r="CG667" s="0" t="s">
        <v>130</v>
      </c>
      <c r="CH667" s="0" t="s">
        <v>130</v>
      </c>
      <c r="CI667" s="0" t="s">
        <v>130</v>
      </c>
      <c r="CJ667" s="0" t="s">
        <v>130</v>
      </c>
      <c r="CK667" s="0" t="s">
        <v>130</v>
      </c>
      <c r="CL667" s="0" t="s">
        <v>130</v>
      </c>
      <c r="CM667" s="0" t="s">
        <v>130</v>
      </c>
      <c r="CN667" s="0" t="s">
        <v>130</v>
      </c>
      <c r="CO667" s="0" t="s">
        <v>130</v>
      </c>
      <c r="CP667" s="0" t="s">
        <v>130</v>
      </c>
      <c r="CQ667" s="0" t="s">
        <v>130</v>
      </c>
      <c r="CR667" s="0" t="s">
        <v>130</v>
      </c>
      <c r="CS667" s="0" t="s">
        <v>130</v>
      </c>
      <c r="CT667" s="0" t="s">
        <v>2160</v>
      </c>
    </row>
    <row r="668">
      <c r="A668" s="14">
        <v>107570</v>
      </c>
      <c r="B668" s="0" t="s">
        <v>2153</v>
      </c>
      <c r="C668" s="16">
        <f>HYPERLINK("https://eosportal.federatedhermes.com/companies/Q29tcGFueQppNDQxMjE=", "Waste Management Inc")</f>
      </c>
      <c r="D668" s="0" t="s">
        <v>25</v>
      </c>
      <c r="E668" s="0" t="s">
        <v>2161</v>
      </c>
      <c r="F668" s="16">
        <f>HYPERLINK("https://eosportal.federatedhermes.com/engagements/RW5nYWdlbWVudAppMjE2OTI=", "Statement of Purpose")</f>
      </c>
      <c r="G668" s="14" t="s">
        <v>2162</v>
      </c>
      <c r="H668" s="0" t="s">
        <v>141</v>
      </c>
      <c r="I668" s="14" t="s">
        <v>131</v>
      </c>
      <c r="J668" s="0" t="s">
        <v>132</v>
      </c>
      <c r="K668" s="0" t="s">
        <v>133</v>
      </c>
      <c r="L668" s="0" t="s">
        <v>134</v>
      </c>
      <c r="M668" s="0" t="s">
        <v>135</v>
      </c>
      <c r="N668" s="0" t="s">
        <v>136</v>
      </c>
      <c r="O668" s="0" t="s">
        <v>176</v>
      </c>
      <c r="Q668" s="0" t="s">
        <v>130</v>
      </c>
      <c r="R668" s="0" t="s">
        <v>138</v>
      </c>
      <c r="S668" s="14">
        <v>0</v>
      </c>
      <c r="T668" s="0" t="s">
        <v>193</v>
      </c>
      <c r="U668" s="0" t="s">
        <v>138</v>
      </c>
      <c r="V668" s="14" t="s">
        <v>138</v>
      </c>
      <c r="W668" s="0" t="s">
        <v>138</v>
      </c>
      <c r="X668" s="14" t="s">
        <v>138</v>
      </c>
      <c r="Y668" s="0" t="s">
        <v>138</v>
      </c>
      <c r="Z668" s="14" t="s">
        <v>138</v>
      </c>
      <c r="AA668" s="0" t="s">
        <v>138</v>
      </c>
      <c r="AB668" s="14" t="s">
        <v>138</v>
      </c>
      <c r="AD668" s="0" t="s">
        <v>138</v>
      </c>
      <c r="AF668" s="0">
        <v>0</v>
      </c>
      <c r="AG668" s="0">
        <v>0</v>
      </c>
      <c r="AH668" s="0" t="s">
        <v>140</v>
      </c>
      <c r="AI668" s="0" t="s">
        <v>138</v>
      </c>
      <c r="AL668" s="14"/>
      <c r="AN668" s="14"/>
      <c r="AQ668" s="0" t="s">
        <v>130</v>
      </c>
      <c r="AR668" s="0" t="s">
        <v>130</v>
      </c>
      <c r="AS668" s="0" t="s">
        <v>130</v>
      </c>
      <c r="AT668" s="0" t="s">
        <v>130</v>
      </c>
      <c r="AU668" s="0" t="s">
        <v>130</v>
      </c>
      <c r="AV668" s="0" t="s">
        <v>130</v>
      </c>
      <c r="AW668" s="0" t="s">
        <v>130</v>
      </c>
      <c r="AX668" s="0" t="s">
        <v>130</v>
      </c>
      <c r="AY668" s="0" t="s">
        <v>130</v>
      </c>
      <c r="AZ668" s="0" t="s">
        <v>130</v>
      </c>
      <c r="BA668" s="0" t="s">
        <v>130</v>
      </c>
      <c r="BB668" s="0" t="s">
        <v>141</v>
      </c>
      <c r="BC668" s="0" t="s">
        <v>130</v>
      </c>
      <c r="BD668" s="0" t="s">
        <v>130</v>
      </c>
      <c r="BE668" s="0" t="s">
        <v>130</v>
      </c>
      <c r="BF668" s="0" t="s">
        <v>130</v>
      </c>
      <c r="BG668" s="0" t="s">
        <v>130</v>
      </c>
      <c r="BH668" s="0" t="s">
        <v>130</v>
      </c>
      <c r="BI668" s="0" t="s">
        <v>130</v>
      </c>
      <c r="BJ668" s="0" t="s">
        <v>130</v>
      </c>
      <c r="BK668" s="0" t="s">
        <v>130</v>
      </c>
      <c r="BL668" s="0" t="s">
        <v>130</v>
      </c>
      <c r="BM668" s="0" t="s">
        <v>130</v>
      </c>
      <c r="BN668" s="0" t="s">
        <v>130</v>
      </c>
      <c r="BO668" s="0" t="s">
        <v>130</v>
      </c>
      <c r="BP668" s="0" t="s">
        <v>130</v>
      </c>
      <c r="BQ668" s="0" t="s">
        <v>130</v>
      </c>
      <c r="BR668" s="0" t="s">
        <v>130</v>
      </c>
      <c r="BS668" s="0" t="s">
        <v>130</v>
      </c>
      <c r="BT668" s="0" t="s">
        <v>130</v>
      </c>
      <c r="BU668" s="0" t="s">
        <v>130</v>
      </c>
      <c r="BV668" s="0" t="s">
        <v>130</v>
      </c>
      <c r="BW668" s="0" t="s">
        <v>130</v>
      </c>
      <c r="BX668" s="0" t="s">
        <v>130</v>
      </c>
      <c r="BY668" s="0" t="s">
        <v>130</v>
      </c>
      <c r="BZ668" s="0" t="s">
        <v>130</v>
      </c>
      <c r="CA668" s="0" t="s">
        <v>130</v>
      </c>
      <c r="CB668" s="0" t="s">
        <v>130</v>
      </c>
      <c r="CC668" s="0" t="s">
        <v>130</v>
      </c>
      <c r="CD668" s="0" t="s">
        <v>130</v>
      </c>
      <c r="CE668" s="0" t="s">
        <v>130</v>
      </c>
      <c r="CF668" s="0" t="s">
        <v>130</v>
      </c>
      <c r="CG668" s="0" t="s">
        <v>130</v>
      </c>
      <c r="CH668" s="0" t="s">
        <v>130</v>
      </c>
      <c r="CI668" s="0" t="s">
        <v>130</v>
      </c>
      <c r="CJ668" s="0" t="s">
        <v>130</v>
      </c>
      <c r="CK668" s="0" t="s">
        <v>130</v>
      </c>
      <c r="CL668" s="0" t="s">
        <v>130</v>
      </c>
      <c r="CM668" s="0" t="s">
        <v>130</v>
      </c>
      <c r="CN668" s="0" t="s">
        <v>130</v>
      </c>
      <c r="CO668" s="0" t="s">
        <v>130</v>
      </c>
      <c r="CP668" s="0" t="s">
        <v>130</v>
      </c>
      <c r="CQ668" s="0" t="s">
        <v>130</v>
      </c>
      <c r="CR668" s="0" t="s">
        <v>130</v>
      </c>
      <c r="CS668" s="0" t="s">
        <v>130</v>
      </c>
      <c r="CT668" s="0" t="s">
        <v>2163</v>
      </c>
    </row>
    <row r="669">
      <c r="A669" s="14">
        <v>107570</v>
      </c>
      <c r="B669" s="0" t="s">
        <v>2153</v>
      </c>
      <c r="C669" s="16">
        <f>HYPERLINK("https://eosportal.federatedhermes.com/companies/Q29tcGFueQppNDQxMjE=", "Waste Management Inc")</f>
      </c>
      <c r="D669" s="0" t="s">
        <v>25</v>
      </c>
      <c r="E669" s="0" t="s">
        <v>907</v>
      </c>
      <c r="F669" s="16">
        <f>HYPERLINK("https://eosportal.federatedhermes.com/engagements/RW5nYWdlbWVudAppMjE2OTM=", "Climate change")</f>
      </c>
      <c r="G669" s="14" t="s">
        <v>2164</v>
      </c>
      <c r="H669" s="0" t="s">
        <v>141</v>
      </c>
      <c r="I669" s="14" t="s">
        <v>131</v>
      </c>
      <c r="J669" s="0" t="s">
        <v>132</v>
      </c>
      <c r="K669" s="0" t="s">
        <v>133</v>
      </c>
      <c r="L669" s="0" t="s">
        <v>160</v>
      </c>
      <c r="M669" s="0" t="s">
        <v>135</v>
      </c>
      <c r="N669" s="0" t="s">
        <v>136</v>
      </c>
      <c r="O669" s="0" t="s">
        <v>176</v>
      </c>
      <c r="Q669" s="0" t="s">
        <v>141</v>
      </c>
      <c r="R669" s="0" t="s">
        <v>138</v>
      </c>
      <c r="S669" s="14">
        <v>1</v>
      </c>
      <c r="T669" s="0" t="s">
        <v>193</v>
      </c>
      <c r="U669" s="0" t="s">
        <v>138</v>
      </c>
      <c r="V669" s="14" t="s">
        <v>138</v>
      </c>
      <c r="W669" s="0" t="s">
        <v>138</v>
      </c>
      <c r="X669" s="14" t="s">
        <v>138</v>
      </c>
      <c r="Y669" s="0" t="s">
        <v>138</v>
      </c>
      <c r="Z669" s="14" t="s">
        <v>138</v>
      </c>
      <c r="AA669" s="0" t="s">
        <v>138</v>
      </c>
      <c r="AB669" s="14" t="s">
        <v>138</v>
      </c>
      <c r="AD669" s="0" t="s">
        <v>138</v>
      </c>
      <c r="AF669" s="0">
        <v>0</v>
      </c>
      <c r="AG669" s="0">
        <v>0</v>
      </c>
      <c r="AH669" s="0" t="s">
        <v>140</v>
      </c>
      <c r="AI669" s="0" t="s">
        <v>138</v>
      </c>
      <c r="AK669" s="0" t="s">
        <v>1668</v>
      </c>
      <c r="AL669" s="14"/>
      <c r="AN669" s="14"/>
      <c r="AQ669" s="0" t="s">
        <v>130</v>
      </c>
      <c r="AR669" s="0" t="s">
        <v>130</v>
      </c>
      <c r="AS669" s="0" t="s">
        <v>130</v>
      </c>
      <c r="AT669" s="0" t="s">
        <v>130</v>
      </c>
      <c r="AU669" s="0" t="s">
        <v>130</v>
      </c>
      <c r="AV669" s="0" t="s">
        <v>130</v>
      </c>
      <c r="AW669" s="0" t="s">
        <v>130</v>
      </c>
      <c r="AX669" s="0" t="s">
        <v>130</v>
      </c>
      <c r="AY669" s="0" t="s">
        <v>130</v>
      </c>
      <c r="AZ669" s="0" t="s">
        <v>130</v>
      </c>
      <c r="BA669" s="0" t="s">
        <v>130</v>
      </c>
      <c r="BB669" s="0" t="s">
        <v>141</v>
      </c>
      <c r="BC669" s="0" t="s">
        <v>141</v>
      </c>
      <c r="BD669" s="0" t="s">
        <v>130</v>
      </c>
      <c r="BE669" s="0" t="s">
        <v>130</v>
      </c>
      <c r="BF669" s="0" t="s">
        <v>130</v>
      </c>
      <c r="BG669" s="0" t="s">
        <v>130</v>
      </c>
      <c r="BH669" s="0" t="s">
        <v>130</v>
      </c>
      <c r="BI669" s="0" t="s">
        <v>130</v>
      </c>
      <c r="BJ669" s="0" t="s">
        <v>130</v>
      </c>
      <c r="BK669" s="0" t="s">
        <v>130</v>
      </c>
      <c r="BL669" s="0" t="s">
        <v>130</v>
      </c>
      <c r="BM669" s="0" t="s">
        <v>130</v>
      </c>
      <c r="BN669" s="0" t="s">
        <v>130</v>
      </c>
      <c r="BO669" s="0" t="s">
        <v>130</v>
      </c>
      <c r="BP669" s="0" t="s">
        <v>130</v>
      </c>
      <c r="BQ669" s="0" t="s">
        <v>130</v>
      </c>
      <c r="BR669" s="0" t="s">
        <v>130</v>
      </c>
      <c r="BS669" s="0" t="s">
        <v>130</v>
      </c>
      <c r="BT669" s="0" t="s">
        <v>130</v>
      </c>
      <c r="BU669" s="0" t="s">
        <v>130</v>
      </c>
      <c r="BV669" s="0" t="s">
        <v>130</v>
      </c>
      <c r="BW669" s="0" t="s">
        <v>130</v>
      </c>
      <c r="BX669" s="0" t="s">
        <v>130</v>
      </c>
      <c r="BY669" s="0" t="s">
        <v>130</v>
      </c>
      <c r="BZ669" s="0" t="s">
        <v>130</v>
      </c>
      <c r="CA669" s="0" t="s">
        <v>130</v>
      </c>
      <c r="CB669" s="0" t="s">
        <v>130</v>
      </c>
      <c r="CC669" s="0" t="s">
        <v>130</v>
      </c>
      <c r="CD669" s="0" t="s">
        <v>130</v>
      </c>
      <c r="CE669" s="0" t="s">
        <v>130</v>
      </c>
      <c r="CF669" s="0" t="s">
        <v>130</v>
      </c>
      <c r="CG669" s="0" t="s">
        <v>130</v>
      </c>
      <c r="CH669" s="0" t="s">
        <v>130</v>
      </c>
      <c r="CI669" s="0" t="s">
        <v>130</v>
      </c>
      <c r="CJ669" s="0" t="s">
        <v>130</v>
      </c>
      <c r="CK669" s="0" t="s">
        <v>130</v>
      </c>
      <c r="CL669" s="0" t="s">
        <v>130</v>
      </c>
      <c r="CM669" s="0" t="s">
        <v>130</v>
      </c>
      <c r="CN669" s="0" t="s">
        <v>130</v>
      </c>
      <c r="CO669" s="0" t="s">
        <v>130</v>
      </c>
      <c r="CP669" s="0" t="s">
        <v>130</v>
      </c>
      <c r="CQ669" s="0" t="s">
        <v>130</v>
      </c>
      <c r="CR669" s="0" t="s">
        <v>130</v>
      </c>
      <c r="CS669" s="0" t="s">
        <v>130</v>
      </c>
      <c r="CT669" s="0" t="s">
        <v>2165</v>
      </c>
    </row>
    <row r="670">
      <c r="A670" s="14">
        <v>107570</v>
      </c>
      <c r="B670" s="0" t="s">
        <v>2153</v>
      </c>
      <c r="C670" s="16">
        <f>HYPERLINK("https://eosportal.federatedhermes.com/companies/Q29tcGFueQppNDQxMjE=", "Waste Management Inc")</f>
      </c>
      <c r="D670" s="0" t="s">
        <v>25</v>
      </c>
      <c r="E670" s="0" t="s">
        <v>2166</v>
      </c>
      <c r="F670" s="16">
        <f>HYPERLINK("https://eosportal.federatedhermes.com/engagements/RW5nYWdlbWVudAppMjE2OTY=", "Female workforce diversity")</f>
      </c>
      <c r="G670" s="14" t="s">
        <v>2167</v>
      </c>
      <c r="H670" s="0" t="s">
        <v>141</v>
      </c>
      <c r="I670" s="14" t="s">
        <v>131</v>
      </c>
      <c r="J670" s="0" t="s">
        <v>153</v>
      </c>
      <c r="K670" s="0" t="s">
        <v>154</v>
      </c>
      <c r="L670" s="0" t="s">
        <v>268</v>
      </c>
      <c r="M670" s="0" t="s">
        <v>135</v>
      </c>
      <c r="N670" s="0" t="s">
        <v>136</v>
      </c>
      <c r="O670" s="0" t="s">
        <v>176</v>
      </c>
      <c r="Q670" s="0" t="s">
        <v>130</v>
      </c>
      <c r="R670" s="0" t="s">
        <v>138</v>
      </c>
      <c r="S670" s="14">
        <v>0</v>
      </c>
      <c r="T670" s="0" t="s">
        <v>193</v>
      </c>
      <c r="U670" s="0" t="s">
        <v>138</v>
      </c>
      <c r="V670" s="14" t="s">
        <v>138</v>
      </c>
      <c r="W670" s="0" t="s">
        <v>138</v>
      </c>
      <c r="X670" s="14" t="s">
        <v>138</v>
      </c>
      <c r="Y670" s="0" t="s">
        <v>138</v>
      </c>
      <c r="Z670" s="14" t="s">
        <v>138</v>
      </c>
      <c r="AA670" s="0" t="s">
        <v>138</v>
      </c>
      <c r="AB670" s="14" t="s">
        <v>138</v>
      </c>
      <c r="AD670" s="0" t="s">
        <v>138</v>
      </c>
      <c r="AF670" s="0">
        <v>0</v>
      </c>
      <c r="AG670" s="0">
        <v>0</v>
      </c>
      <c r="AH670" s="0" t="s">
        <v>140</v>
      </c>
      <c r="AI670" s="0" t="s">
        <v>138</v>
      </c>
      <c r="AL670" s="14"/>
      <c r="AN670" s="14"/>
      <c r="AQ670" s="0" t="s">
        <v>130</v>
      </c>
      <c r="AR670" s="0" t="s">
        <v>130</v>
      </c>
      <c r="AS670" s="0" t="s">
        <v>130</v>
      </c>
      <c r="AT670" s="0" t="s">
        <v>130</v>
      </c>
      <c r="AU670" s="0" t="s">
        <v>141</v>
      </c>
      <c r="AV670" s="0" t="s">
        <v>130</v>
      </c>
      <c r="AW670" s="0" t="s">
        <v>130</v>
      </c>
      <c r="AX670" s="0" t="s">
        <v>130</v>
      </c>
      <c r="AY670" s="0" t="s">
        <v>130</v>
      </c>
      <c r="AZ670" s="0" t="s">
        <v>130</v>
      </c>
      <c r="BA670" s="0" t="s">
        <v>130</v>
      </c>
      <c r="BB670" s="0" t="s">
        <v>130</v>
      </c>
      <c r="BC670" s="0" t="s">
        <v>130</v>
      </c>
      <c r="BD670" s="0" t="s">
        <v>130</v>
      </c>
      <c r="BE670" s="0" t="s">
        <v>130</v>
      </c>
      <c r="BF670" s="0" t="s">
        <v>130</v>
      </c>
      <c r="BG670" s="0" t="s">
        <v>130</v>
      </c>
      <c r="BH670" s="0" t="s">
        <v>130</v>
      </c>
      <c r="BI670" s="0" t="s">
        <v>130</v>
      </c>
      <c r="BJ670" s="0" t="s">
        <v>130</v>
      </c>
      <c r="BK670" s="0" t="s">
        <v>130</v>
      </c>
      <c r="BL670" s="0" t="s">
        <v>130</v>
      </c>
      <c r="BM670" s="0" t="s">
        <v>130</v>
      </c>
      <c r="BN670" s="0" t="s">
        <v>130</v>
      </c>
      <c r="BO670" s="0" t="s">
        <v>130</v>
      </c>
      <c r="BP670" s="0" t="s">
        <v>130</v>
      </c>
      <c r="BQ670" s="0" t="s">
        <v>130</v>
      </c>
      <c r="BR670" s="0" t="s">
        <v>130</v>
      </c>
      <c r="BS670" s="0" t="s">
        <v>130</v>
      </c>
      <c r="BT670" s="0" t="s">
        <v>130</v>
      </c>
      <c r="BU670" s="0" t="s">
        <v>130</v>
      </c>
      <c r="BV670" s="0" t="s">
        <v>130</v>
      </c>
      <c r="BW670" s="0" t="s">
        <v>130</v>
      </c>
      <c r="BX670" s="0" t="s">
        <v>130</v>
      </c>
      <c r="BY670" s="0" t="s">
        <v>130</v>
      </c>
      <c r="BZ670" s="0" t="s">
        <v>130</v>
      </c>
      <c r="CA670" s="0" t="s">
        <v>130</v>
      </c>
      <c r="CB670" s="0" t="s">
        <v>130</v>
      </c>
      <c r="CC670" s="0" t="s">
        <v>130</v>
      </c>
      <c r="CD670" s="0" t="s">
        <v>130</v>
      </c>
      <c r="CE670" s="0" t="s">
        <v>130</v>
      </c>
      <c r="CF670" s="0" t="s">
        <v>130</v>
      </c>
      <c r="CG670" s="0" t="s">
        <v>130</v>
      </c>
      <c r="CH670" s="0" t="s">
        <v>130</v>
      </c>
      <c r="CI670" s="0" t="s">
        <v>130</v>
      </c>
      <c r="CJ670" s="0" t="s">
        <v>130</v>
      </c>
      <c r="CK670" s="0" t="s">
        <v>141</v>
      </c>
      <c r="CL670" s="0" t="s">
        <v>130</v>
      </c>
      <c r="CM670" s="0" t="s">
        <v>130</v>
      </c>
      <c r="CN670" s="0" t="s">
        <v>130</v>
      </c>
      <c r="CO670" s="0" t="s">
        <v>130</v>
      </c>
      <c r="CP670" s="0" t="s">
        <v>130</v>
      </c>
      <c r="CQ670" s="0" t="s">
        <v>130</v>
      </c>
      <c r="CR670" s="0" t="s">
        <v>130</v>
      </c>
      <c r="CS670" s="0" t="s">
        <v>130</v>
      </c>
      <c r="CT670" s="0" t="s">
        <v>2168</v>
      </c>
    </row>
    <row r="671">
      <c r="A671" s="14">
        <v>107570</v>
      </c>
      <c r="B671" s="0" t="s">
        <v>2153</v>
      </c>
      <c r="C671" s="16">
        <f>HYPERLINK("https://eosportal.federatedhermes.com/companies/Q29tcGFueQppNDQxMjE=", "Waste Management Inc")</f>
      </c>
      <c r="D671" s="0" t="s">
        <v>25</v>
      </c>
      <c r="E671" s="0" t="s">
        <v>2169</v>
      </c>
      <c r="F671" s="16">
        <f>HYPERLINK("https://eosportal.federatedhermes.com/engagements/RW5nYWdlbWVudAppMjE2OTc=", "Encourage better oversight of political donations")</f>
      </c>
      <c r="G671" s="14" t="s">
        <v>2170</v>
      </c>
      <c r="H671" s="0" t="s">
        <v>141</v>
      </c>
      <c r="I671" s="14" t="s">
        <v>131</v>
      </c>
      <c r="J671" s="0" t="s">
        <v>153</v>
      </c>
      <c r="K671" s="0" t="s">
        <v>185</v>
      </c>
      <c r="L671" s="0" t="s">
        <v>186</v>
      </c>
      <c r="M671" s="0" t="s">
        <v>135</v>
      </c>
      <c r="N671" s="0" t="s">
        <v>136</v>
      </c>
      <c r="O671" s="0" t="s">
        <v>176</v>
      </c>
      <c r="Q671" s="0" t="s">
        <v>130</v>
      </c>
      <c r="R671" s="0" t="s">
        <v>138</v>
      </c>
      <c r="S671" s="14">
        <v>0</v>
      </c>
      <c r="T671" s="0" t="s">
        <v>181</v>
      </c>
      <c r="U671" s="0" t="s">
        <v>138</v>
      </c>
      <c r="V671" s="14" t="s">
        <v>138</v>
      </c>
      <c r="W671" s="0" t="s">
        <v>138</v>
      </c>
      <c r="X671" s="14" t="s">
        <v>138</v>
      </c>
      <c r="Y671" s="0" t="s">
        <v>138</v>
      </c>
      <c r="Z671" s="14" t="s">
        <v>138</v>
      </c>
      <c r="AA671" s="0" t="s">
        <v>138</v>
      </c>
      <c r="AB671" s="14" t="s">
        <v>138</v>
      </c>
      <c r="AD671" s="0" t="s">
        <v>138</v>
      </c>
      <c r="AF671" s="0">
        <v>0</v>
      </c>
      <c r="AG671" s="0">
        <v>0</v>
      </c>
      <c r="AH671" s="0" t="s">
        <v>140</v>
      </c>
      <c r="AI671" s="0" t="s">
        <v>138</v>
      </c>
      <c r="AL671" s="14"/>
      <c r="AN671" s="14"/>
      <c r="AQ671" s="0" t="s">
        <v>130</v>
      </c>
      <c r="AR671" s="0" t="s">
        <v>130</v>
      </c>
      <c r="AS671" s="0" t="s">
        <v>130</v>
      </c>
      <c r="AT671" s="0" t="s">
        <v>130</v>
      </c>
      <c r="AU671" s="0" t="s">
        <v>130</v>
      </c>
      <c r="AV671" s="0" t="s">
        <v>130</v>
      </c>
      <c r="AW671" s="0" t="s">
        <v>130</v>
      </c>
      <c r="AX671" s="0" t="s">
        <v>130</v>
      </c>
      <c r="AY671" s="0" t="s">
        <v>130</v>
      </c>
      <c r="AZ671" s="0" t="s">
        <v>130</v>
      </c>
      <c r="BA671" s="0" t="s">
        <v>130</v>
      </c>
      <c r="BB671" s="0" t="s">
        <v>130</v>
      </c>
      <c r="BC671" s="0" t="s">
        <v>130</v>
      </c>
      <c r="BD671" s="0" t="s">
        <v>130</v>
      </c>
      <c r="BE671" s="0" t="s">
        <v>130</v>
      </c>
      <c r="BF671" s="0" t="s">
        <v>130</v>
      </c>
      <c r="BG671" s="0" t="s">
        <v>130</v>
      </c>
      <c r="BH671" s="0" t="s">
        <v>130</v>
      </c>
      <c r="BI671" s="0" t="s">
        <v>130</v>
      </c>
      <c r="BJ671" s="0" t="s">
        <v>130</v>
      </c>
      <c r="BK671" s="0" t="s">
        <v>130</v>
      </c>
      <c r="BL671" s="0" t="s">
        <v>130</v>
      </c>
      <c r="BM671" s="0" t="s">
        <v>130</v>
      </c>
      <c r="BN671" s="0" t="s">
        <v>130</v>
      </c>
      <c r="BO671" s="0" t="s">
        <v>130</v>
      </c>
      <c r="BP671" s="0" t="s">
        <v>130</v>
      </c>
      <c r="BQ671" s="0" t="s">
        <v>130</v>
      </c>
      <c r="BR671" s="0" t="s">
        <v>130</v>
      </c>
      <c r="BS671" s="0" t="s">
        <v>130</v>
      </c>
      <c r="BT671" s="0" t="s">
        <v>130</v>
      </c>
      <c r="BU671" s="0" t="s">
        <v>130</v>
      </c>
      <c r="BV671" s="0" t="s">
        <v>130</v>
      </c>
      <c r="BW671" s="0" t="s">
        <v>130</v>
      </c>
      <c r="BX671" s="0" t="s">
        <v>130</v>
      </c>
      <c r="BY671" s="0" t="s">
        <v>130</v>
      </c>
      <c r="BZ671" s="0" t="s">
        <v>130</v>
      </c>
      <c r="CA671" s="0" t="s">
        <v>130</v>
      </c>
      <c r="CB671" s="0" t="s">
        <v>130</v>
      </c>
      <c r="CC671" s="0" t="s">
        <v>130</v>
      </c>
      <c r="CD671" s="0" t="s">
        <v>130</v>
      </c>
      <c r="CE671" s="0" t="s">
        <v>130</v>
      </c>
      <c r="CF671" s="0" t="s">
        <v>130</v>
      </c>
      <c r="CG671" s="0" t="s">
        <v>130</v>
      </c>
      <c r="CH671" s="0" t="s">
        <v>130</v>
      </c>
      <c r="CI671" s="0" t="s">
        <v>130</v>
      </c>
      <c r="CJ671" s="0" t="s">
        <v>130</v>
      </c>
      <c r="CK671" s="0" t="s">
        <v>130</v>
      </c>
      <c r="CL671" s="0" t="s">
        <v>130</v>
      </c>
      <c r="CM671" s="0" t="s">
        <v>130</v>
      </c>
      <c r="CN671" s="0" t="s">
        <v>130</v>
      </c>
      <c r="CO671" s="0" t="s">
        <v>130</v>
      </c>
      <c r="CP671" s="0" t="s">
        <v>130</v>
      </c>
      <c r="CQ671" s="0" t="s">
        <v>130</v>
      </c>
      <c r="CR671" s="0" t="s">
        <v>130</v>
      </c>
      <c r="CS671" s="0" t="s">
        <v>130</v>
      </c>
      <c r="CT671" s="0" t="s">
        <v>2171</v>
      </c>
    </row>
    <row r="672">
      <c r="A672" s="14">
        <v>114991</v>
      </c>
      <c r="B672" s="0" t="s">
        <v>2172</v>
      </c>
      <c r="C672" s="16">
        <f>HYPERLINK("https://eosportal.federatedhermes.com/companies/Q29tcGFueQppNTg5NDc=", "Tokyo Electric Power Co Holdings Inc")</f>
      </c>
      <c r="D672" s="0" t="s">
        <v>25</v>
      </c>
      <c r="E672" s="0" t="s">
        <v>2173</v>
      </c>
      <c r="F672" s="16">
        <f>HYPERLINK("https://eosportal.federatedhermes.com/engagements/RW5nYWdlbWVudAppMjE2OTg=", "Capital structure")</f>
      </c>
      <c r="G672" s="14" t="s">
        <v>2174</v>
      </c>
      <c r="H672" s="0" t="s">
        <v>141</v>
      </c>
      <c r="I672" s="14" t="s">
        <v>636</v>
      </c>
      <c r="J672" s="0" t="s">
        <v>153</v>
      </c>
      <c r="K672" s="0" t="s">
        <v>243</v>
      </c>
      <c r="L672" s="0" t="s">
        <v>244</v>
      </c>
      <c r="M672" s="0" t="s">
        <v>802</v>
      </c>
      <c r="N672" s="0" t="s">
        <v>952</v>
      </c>
      <c r="O672" s="0" t="s">
        <v>192</v>
      </c>
      <c r="Q672" s="0" t="s">
        <v>141</v>
      </c>
      <c r="R672" s="0" t="s">
        <v>138</v>
      </c>
      <c r="S672" s="14">
        <v>1</v>
      </c>
      <c r="T672" s="0" t="s">
        <v>1529</v>
      </c>
      <c r="U672" s="0" t="s">
        <v>138</v>
      </c>
      <c r="V672" s="14" t="s">
        <v>138</v>
      </c>
      <c r="W672" s="0" t="s">
        <v>138</v>
      </c>
      <c r="X672" s="14" t="s">
        <v>138</v>
      </c>
      <c r="Y672" s="0" t="s">
        <v>138</v>
      </c>
      <c r="Z672" s="14" t="s">
        <v>138</v>
      </c>
      <c r="AA672" s="0" t="s">
        <v>138</v>
      </c>
      <c r="AB672" s="14" t="s">
        <v>138</v>
      </c>
      <c r="AD672" s="0" t="s">
        <v>138</v>
      </c>
      <c r="AF672" s="0">
        <v>0</v>
      </c>
      <c r="AG672" s="0">
        <v>0</v>
      </c>
      <c r="AH672" s="0" t="s">
        <v>140</v>
      </c>
      <c r="AI672" s="0" t="s">
        <v>138</v>
      </c>
      <c r="AK672" s="0" t="s">
        <v>339</v>
      </c>
      <c r="AL672" s="14"/>
      <c r="AN672" s="14"/>
      <c r="AQ672" s="0" t="s">
        <v>130</v>
      </c>
      <c r="AR672" s="0" t="s">
        <v>130</v>
      </c>
      <c r="AS672" s="0" t="s">
        <v>130</v>
      </c>
      <c r="AT672" s="0" t="s">
        <v>130</v>
      </c>
      <c r="AU672" s="0" t="s">
        <v>130</v>
      </c>
      <c r="AV672" s="0" t="s">
        <v>130</v>
      </c>
      <c r="AW672" s="0" t="s">
        <v>130</v>
      </c>
      <c r="AX672" s="0" t="s">
        <v>130</v>
      </c>
      <c r="AY672" s="0" t="s">
        <v>130</v>
      </c>
      <c r="AZ672" s="0" t="s">
        <v>130</v>
      </c>
      <c r="BA672" s="0" t="s">
        <v>130</v>
      </c>
      <c r="BB672" s="0" t="s">
        <v>130</v>
      </c>
      <c r="BC672" s="0" t="s">
        <v>130</v>
      </c>
      <c r="BD672" s="0" t="s">
        <v>130</v>
      </c>
      <c r="BE672" s="0" t="s">
        <v>130</v>
      </c>
      <c r="BF672" s="0" t="s">
        <v>130</v>
      </c>
      <c r="BG672" s="0" t="s">
        <v>130</v>
      </c>
      <c r="BH672" s="0" t="s">
        <v>130</v>
      </c>
      <c r="BI672" s="0" t="s">
        <v>130</v>
      </c>
      <c r="BJ672" s="0" t="s">
        <v>130</v>
      </c>
      <c r="BK672" s="0" t="s">
        <v>130</v>
      </c>
      <c r="BL672" s="0" t="s">
        <v>130</v>
      </c>
      <c r="BM672" s="0" t="s">
        <v>130</v>
      </c>
      <c r="BN672" s="0" t="s">
        <v>130</v>
      </c>
      <c r="BO672" s="0" t="s">
        <v>130</v>
      </c>
      <c r="BP672" s="0" t="s">
        <v>130</v>
      </c>
      <c r="BQ672" s="0" t="s">
        <v>130</v>
      </c>
      <c r="BR672" s="0" t="s">
        <v>130</v>
      </c>
      <c r="BS672" s="0" t="s">
        <v>130</v>
      </c>
      <c r="BT672" s="0" t="s">
        <v>130</v>
      </c>
      <c r="BU672" s="0" t="s">
        <v>130</v>
      </c>
      <c r="BV672" s="0" t="s">
        <v>130</v>
      </c>
      <c r="BW672" s="0" t="s">
        <v>130</v>
      </c>
      <c r="BX672" s="0" t="s">
        <v>130</v>
      </c>
      <c r="BY672" s="0" t="s">
        <v>130</v>
      </c>
      <c r="BZ672" s="0" t="s">
        <v>130</v>
      </c>
      <c r="CA672" s="0" t="s">
        <v>130</v>
      </c>
      <c r="CB672" s="0" t="s">
        <v>130</v>
      </c>
      <c r="CC672" s="0" t="s">
        <v>130</v>
      </c>
      <c r="CD672" s="0" t="s">
        <v>130</v>
      </c>
      <c r="CE672" s="0" t="s">
        <v>130</v>
      </c>
      <c r="CF672" s="0" t="s">
        <v>130</v>
      </c>
      <c r="CG672" s="0" t="s">
        <v>130</v>
      </c>
      <c r="CH672" s="0" t="s">
        <v>130</v>
      </c>
      <c r="CI672" s="0" t="s">
        <v>130</v>
      </c>
      <c r="CJ672" s="0" t="s">
        <v>130</v>
      </c>
      <c r="CK672" s="0" t="s">
        <v>130</v>
      </c>
      <c r="CL672" s="0" t="s">
        <v>130</v>
      </c>
      <c r="CM672" s="0" t="s">
        <v>130</v>
      </c>
      <c r="CN672" s="0" t="s">
        <v>130</v>
      </c>
      <c r="CO672" s="0" t="s">
        <v>130</v>
      </c>
      <c r="CP672" s="0" t="s">
        <v>130</v>
      </c>
      <c r="CQ672" s="0" t="s">
        <v>130</v>
      </c>
      <c r="CR672" s="0" t="s">
        <v>130</v>
      </c>
      <c r="CS672" s="0" t="s">
        <v>130</v>
      </c>
      <c r="CT672" s="0" t="s">
        <v>2175</v>
      </c>
    </row>
    <row r="673">
      <c r="A673" s="14">
        <v>114991</v>
      </c>
      <c r="B673" s="0" t="s">
        <v>2172</v>
      </c>
      <c r="C673" s="16">
        <f>HYPERLINK("https://eosportal.federatedhermes.com/companies/Q29tcGFueQppNTg5NDc=", "Tokyo Electric Power Co Holdings Inc")</f>
      </c>
      <c r="D673" s="0" t="s">
        <v>23</v>
      </c>
      <c r="E673" s="0" t="s">
        <v>2176</v>
      </c>
      <c r="F673" s="16">
        <f>HYPERLINK("https://eosportal.federatedhermes.com/engagements/RW5nYWdlbWVudAppMjE3MDE=", "Carbon emissions reduction aligned to 1.5C")</f>
      </c>
      <c r="G673" s="14" t="s">
        <v>2177</v>
      </c>
      <c r="H673" s="0" t="s">
        <v>141</v>
      </c>
      <c r="I673" s="14" t="s">
        <v>636</v>
      </c>
      <c r="J673" s="0" t="s">
        <v>197</v>
      </c>
      <c r="K673" s="0" t="s">
        <v>198</v>
      </c>
      <c r="L673" s="0" t="s">
        <v>216</v>
      </c>
      <c r="M673" s="0" t="s">
        <v>802</v>
      </c>
      <c r="N673" s="0" t="s">
        <v>952</v>
      </c>
      <c r="O673" s="0" t="s">
        <v>192</v>
      </c>
      <c r="Q673" s="0" t="s">
        <v>141</v>
      </c>
      <c r="R673" s="0" t="s">
        <v>130</v>
      </c>
      <c r="S673" s="14">
        <v>1</v>
      </c>
      <c r="T673" s="0" t="s">
        <v>457</v>
      </c>
      <c r="U673" s="0" t="s">
        <v>221</v>
      </c>
      <c r="V673" s="14" t="s">
        <v>457</v>
      </c>
      <c r="W673" s="0" t="s">
        <v>221</v>
      </c>
      <c r="X673" s="14" t="s">
        <v>314</v>
      </c>
      <c r="Y673" s="0" t="s">
        <v>221</v>
      </c>
      <c r="Z673" s="14" t="s">
        <v>583</v>
      </c>
      <c r="AA673" s="0" t="s">
        <v>223</v>
      </c>
      <c r="AB673" s="14" t="s">
        <v>138</v>
      </c>
      <c r="AD673" s="0" t="s">
        <v>20</v>
      </c>
      <c r="AF673" s="0">
        <v>0</v>
      </c>
      <c r="AG673" s="0">
        <v>0</v>
      </c>
      <c r="AH673" s="0" t="s">
        <v>140</v>
      </c>
      <c r="AI673" s="0" t="s">
        <v>598</v>
      </c>
      <c r="AK673" s="0" t="s">
        <v>339</v>
      </c>
      <c r="AL673" s="14"/>
      <c r="AN673" s="14"/>
      <c r="AQ673" s="0" t="s">
        <v>130</v>
      </c>
      <c r="AR673" s="0" t="s">
        <v>130</v>
      </c>
      <c r="AS673" s="0" t="s">
        <v>130</v>
      </c>
      <c r="AT673" s="0" t="s">
        <v>130</v>
      </c>
      <c r="AU673" s="0" t="s">
        <v>130</v>
      </c>
      <c r="AV673" s="0" t="s">
        <v>130</v>
      </c>
      <c r="AW673" s="0" t="s">
        <v>141</v>
      </c>
      <c r="AX673" s="0" t="s">
        <v>130</v>
      </c>
      <c r="AY673" s="0" t="s">
        <v>130</v>
      </c>
      <c r="AZ673" s="0" t="s">
        <v>130</v>
      </c>
      <c r="BA673" s="0" t="s">
        <v>130</v>
      </c>
      <c r="BB673" s="0" t="s">
        <v>130</v>
      </c>
      <c r="BC673" s="0" t="s">
        <v>141</v>
      </c>
      <c r="BD673" s="0" t="s">
        <v>130</v>
      </c>
      <c r="BE673" s="0" t="s">
        <v>130</v>
      </c>
      <c r="BF673" s="0" t="s">
        <v>130</v>
      </c>
      <c r="BG673" s="0" t="s">
        <v>130</v>
      </c>
      <c r="BH673" s="0" t="s">
        <v>141</v>
      </c>
      <c r="BI673" s="0" t="s">
        <v>141</v>
      </c>
      <c r="BJ673" s="0" t="s">
        <v>141</v>
      </c>
      <c r="BK673" s="0" t="s">
        <v>130</v>
      </c>
      <c r="BL673" s="0" t="s">
        <v>130</v>
      </c>
      <c r="BM673" s="0" t="s">
        <v>130</v>
      </c>
      <c r="BN673" s="0" t="s">
        <v>130</v>
      </c>
      <c r="BO673" s="0" t="s">
        <v>130</v>
      </c>
      <c r="BP673" s="0" t="s">
        <v>130</v>
      </c>
      <c r="BQ673" s="0" t="s">
        <v>130</v>
      </c>
      <c r="BR673" s="0" t="s">
        <v>130</v>
      </c>
      <c r="BS673" s="0" t="s">
        <v>130</v>
      </c>
      <c r="BT673" s="0" t="s">
        <v>130</v>
      </c>
      <c r="BU673" s="0" t="s">
        <v>130</v>
      </c>
      <c r="BV673" s="0" t="s">
        <v>141</v>
      </c>
      <c r="BW673" s="0" t="s">
        <v>141</v>
      </c>
      <c r="BX673" s="0" t="s">
        <v>130</v>
      </c>
      <c r="BY673" s="0" t="s">
        <v>130</v>
      </c>
      <c r="BZ673" s="0" t="s">
        <v>130</v>
      </c>
      <c r="CA673" s="0" t="s">
        <v>130</v>
      </c>
      <c r="CB673" s="0" t="s">
        <v>130</v>
      </c>
      <c r="CC673" s="0" t="s">
        <v>130</v>
      </c>
      <c r="CD673" s="0" t="s">
        <v>130</v>
      </c>
      <c r="CE673" s="0" t="s">
        <v>130</v>
      </c>
      <c r="CF673" s="0" t="s">
        <v>130</v>
      </c>
      <c r="CG673" s="0" t="s">
        <v>130</v>
      </c>
      <c r="CH673" s="0" t="s">
        <v>130</v>
      </c>
      <c r="CI673" s="0" t="s">
        <v>130</v>
      </c>
      <c r="CJ673" s="0" t="s">
        <v>130</v>
      </c>
      <c r="CK673" s="0" t="s">
        <v>130</v>
      </c>
      <c r="CL673" s="0" t="s">
        <v>130</v>
      </c>
      <c r="CM673" s="0" t="s">
        <v>130</v>
      </c>
      <c r="CN673" s="0" t="s">
        <v>130</v>
      </c>
      <c r="CO673" s="0" t="s">
        <v>130</v>
      </c>
      <c r="CP673" s="0" t="s">
        <v>130</v>
      </c>
      <c r="CQ673" s="0" t="s">
        <v>130</v>
      </c>
      <c r="CR673" s="0" t="s">
        <v>130</v>
      </c>
      <c r="CS673" s="0" t="s">
        <v>130</v>
      </c>
      <c r="CT673" s="0" t="s">
        <v>2178</v>
      </c>
    </row>
    <row r="674">
      <c r="A674" s="14">
        <v>114991</v>
      </c>
      <c r="B674" s="0" t="s">
        <v>2172</v>
      </c>
      <c r="C674" s="16">
        <f>HYPERLINK("https://eosportal.federatedhermes.com/companies/Q29tcGFueQppNTg5NDc=", "Tokyo Electric Power Co Holdings Inc")</f>
      </c>
      <c r="D674" s="0" t="s">
        <v>25</v>
      </c>
      <c r="E674" s="0" t="s">
        <v>2179</v>
      </c>
      <c r="F674" s="16">
        <f>HYPERLINK("https://eosportal.federatedhermes.com/engagements/RW5nYWdlbWVudAppMjE3MDQ=", "Business Strategy")</f>
      </c>
      <c r="G674" s="14" t="s">
        <v>2180</v>
      </c>
      <c r="H674" s="0" t="s">
        <v>141</v>
      </c>
      <c r="I674" s="14" t="s">
        <v>636</v>
      </c>
      <c r="J674" s="0" t="s">
        <v>197</v>
      </c>
      <c r="K674" s="0" t="s">
        <v>198</v>
      </c>
      <c r="L674" s="0" t="s">
        <v>220</v>
      </c>
      <c r="M674" s="0" t="s">
        <v>802</v>
      </c>
      <c r="N674" s="0" t="s">
        <v>952</v>
      </c>
      <c r="O674" s="0" t="s">
        <v>192</v>
      </c>
      <c r="Q674" s="0" t="s">
        <v>141</v>
      </c>
      <c r="R674" s="0" t="s">
        <v>138</v>
      </c>
      <c r="S674" s="14">
        <v>1</v>
      </c>
      <c r="T674" s="0" t="s">
        <v>139</v>
      </c>
      <c r="U674" s="0" t="s">
        <v>138</v>
      </c>
      <c r="V674" s="14" t="s">
        <v>138</v>
      </c>
      <c r="W674" s="0" t="s">
        <v>138</v>
      </c>
      <c r="X674" s="14" t="s">
        <v>138</v>
      </c>
      <c r="Y674" s="0" t="s">
        <v>138</v>
      </c>
      <c r="Z674" s="14" t="s">
        <v>138</v>
      </c>
      <c r="AA674" s="0" t="s">
        <v>138</v>
      </c>
      <c r="AB674" s="14" t="s">
        <v>138</v>
      </c>
      <c r="AD674" s="0" t="s">
        <v>138</v>
      </c>
      <c r="AF674" s="0">
        <v>0</v>
      </c>
      <c r="AG674" s="0">
        <v>0</v>
      </c>
      <c r="AH674" s="0" t="s">
        <v>140</v>
      </c>
      <c r="AI674" s="0" t="s">
        <v>138</v>
      </c>
      <c r="AK674" s="0" t="s">
        <v>339</v>
      </c>
      <c r="AL674" s="14"/>
      <c r="AN674" s="14"/>
      <c r="AQ674" s="0" t="s">
        <v>130</v>
      </c>
      <c r="AR674" s="0" t="s">
        <v>130</v>
      </c>
      <c r="AS674" s="0" t="s">
        <v>130</v>
      </c>
      <c r="AT674" s="0" t="s">
        <v>130</v>
      </c>
      <c r="AU674" s="0" t="s">
        <v>130</v>
      </c>
      <c r="AV674" s="0" t="s">
        <v>130</v>
      </c>
      <c r="AW674" s="0" t="s">
        <v>141</v>
      </c>
      <c r="AX674" s="0" t="s">
        <v>130</v>
      </c>
      <c r="AY674" s="0" t="s">
        <v>141</v>
      </c>
      <c r="AZ674" s="0" t="s">
        <v>130</v>
      </c>
      <c r="BA674" s="0" t="s">
        <v>130</v>
      </c>
      <c r="BB674" s="0" t="s">
        <v>130</v>
      </c>
      <c r="BC674" s="0" t="s">
        <v>141</v>
      </c>
      <c r="BD674" s="0" t="s">
        <v>130</v>
      </c>
      <c r="BE674" s="0" t="s">
        <v>130</v>
      </c>
      <c r="BF674" s="0" t="s">
        <v>130</v>
      </c>
      <c r="BG674" s="0" t="s">
        <v>130</v>
      </c>
      <c r="BH674" s="0" t="s">
        <v>130</v>
      </c>
      <c r="BI674" s="0" t="s">
        <v>130</v>
      </c>
      <c r="BJ674" s="0" t="s">
        <v>130</v>
      </c>
      <c r="BK674" s="0" t="s">
        <v>130</v>
      </c>
      <c r="BL674" s="0" t="s">
        <v>130</v>
      </c>
      <c r="BM674" s="0" t="s">
        <v>130</v>
      </c>
      <c r="BN674" s="0" t="s">
        <v>130</v>
      </c>
      <c r="BO674" s="0" t="s">
        <v>130</v>
      </c>
      <c r="BP674" s="0" t="s">
        <v>130</v>
      </c>
      <c r="BQ674" s="0" t="s">
        <v>130</v>
      </c>
      <c r="BR674" s="0" t="s">
        <v>130</v>
      </c>
      <c r="BS674" s="0" t="s">
        <v>130</v>
      </c>
      <c r="BT674" s="0" t="s">
        <v>130</v>
      </c>
      <c r="BU674" s="0" t="s">
        <v>130</v>
      </c>
      <c r="BV674" s="0" t="s">
        <v>130</v>
      </c>
      <c r="BW674" s="0" t="s">
        <v>130</v>
      </c>
      <c r="BX674" s="0" t="s">
        <v>130</v>
      </c>
      <c r="BY674" s="0" t="s">
        <v>130</v>
      </c>
      <c r="BZ674" s="0" t="s">
        <v>130</v>
      </c>
      <c r="CA674" s="0" t="s">
        <v>130</v>
      </c>
      <c r="CB674" s="0" t="s">
        <v>130</v>
      </c>
      <c r="CC674" s="0" t="s">
        <v>130</v>
      </c>
      <c r="CD674" s="0" t="s">
        <v>130</v>
      </c>
      <c r="CE674" s="0" t="s">
        <v>130</v>
      </c>
      <c r="CF674" s="0" t="s">
        <v>130</v>
      </c>
      <c r="CG674" s="0" t="s">
        <v>130</v>
      </c>
      <c r="CH674" s="0" t="s">
        <v>130</v>
      </c>
      <c r="CI674" s="0" t="s">
        <v>130</v>
      </c>
      <c r="CJ674" s="0" t="s">
        <v>130</v>
      </c>
      <c r="CK674" s="0" t="s">
        <v>130</v>
      </c>
      <c r="CL674" s="0" t="s">
        <v>130</v>
      </c>
      <c r="CM674" s="0" t="s">
        <v>130</v>
      </c>
      <c r="CN674" s="0" t="s">
        <v>130</v>
      </c>
      <c r="CO674" s="0" t="s">
        <v>130</v>
      </c>
      <c r="CP674" s="0" t="s">
        <v>130</v>
      </c>
      <c r="CQ674" s="0" t="s">
        <v>130</v>
      </c>
      <c r="CR674" s="0" t="s">
        <v>130</v>
      </c>
      <c r="CS674" s="0" t="s">
        <v>130</v>
      </c>
      <c r="CT674" s="0" t="s">
        <v>2181</v>
      </c>
    </row>
    <row r="675">
      <c r="A675" s="14">
        <v>114991</v>
      </c>
      <c r="B675" s="0" t="s">
        <v>2172</v>
      </c>
      <c r="C675" s="16">
        <f>HYPERLINK("https://eosportal.federatedhermes.com/companies/Q29tcGFueQppNTg5NDc=", "Tokyo Electric Power Co Holdings Inc")</f>
      </c>
      <c r="D675" s="0" t="s">
        <v>25</v>
      </c>
      <c r="E675" s="0" t="s">
        <v>2182</v>
      </c>
      <c r="F675" s="16">
        <f>HYPERLINK("https://eosportal.federatedhermes.com/engagements/RW5nYWdlbWVudAppMjE3MDU=", "Board Governance")</f>
      </c>
      <c r="G675" s="14" t="s">
        <v>2183</v>
      </c>
      <c r="H675" s="0" t="s">
        <v>141</v>
      </c>
      <c r="I675" s="14" t="s">
        <v>636</v>
      </c>
      <c r="J675" s="0" t="s">
        <v>145</v>
      </c>
      <c r="K675" s="0" t="s">
        <v>164</v>
      </c>
      <c r="L675" s="0" t="s">
        <v>165</v>
      </c>
      <c r="M675" s="0" t="s">
        <v>802</v>
      </c>
      <c r="N675" s="0" t="s">
        <v>952</v>
      </c>
      <c r="O675" s="0" t="s">
        <v>192</v>
      </c>
      <c r="Q675" s="0" t="s">
        <v>141</v>
      </c>
      <c r="R675" s="0" t="s">
        <v>138</v>
      </c>
      <c r="S675" s="14">
        <v>1</v>
      </c>
      <c r="T675" s="0" t="s">
        <v>139</v>
      </c>
      <c r="U675" s="0" t="s">
        <v>138</v>
      </c>
      <c r="V675" s="14" t="s">
        <v>138</v>
      </c>
      <c r="W675" s="0" t="s">
        <v>138</v>
      </c>
      <c r="X675" s="14" t="s">
        <v>138</v>
      </c>
      <c r="Y675" s="0" t="s">
        <v>138</v>
      </c>
      <c r="Z675" s="14" t="s">
        <v>138</v>
      </c>
      <c r="AA675" s="0" t="s">
        <v>138</v>
      </c>
      <c r="AB675" s="14" t="s">
        <v>138</v>
      </c>
      <c r="AD675" s="0" t="s">
        <v>138</v>
      </c>
      <c r="AF675" s="0">
        <v>0</v>
      </c>
      <c r="AG675" s="0">
        <v>0</v>
      </c>
      <c r="AH675" s="0" t="s">
        <v>140</v>
      </c>
      <c r="AI675" s="0" t="s">
        <v>138</v>
      </c>
      <c r="AK675" s="0" t="s">
        <v>339</v>
      </c>
      <c r="AL675" s="14"/>
      <c r="AN675" s="14"/>
      <c r="AQ675" s="0" t="s">
        <v>130</v>
      </c>
      <c r="AR675" s="0" t="s">
        <v>130</v>
      </c>
      <c r="AS675" s="0" t="s">
        <v>130</v>
      </c>
      <c r="AT675" s="0" t="s">
        <v>130</v>
      </c>
      <c r="AU675" s="0" t="s">
        <v>130</v>
      </c>
      <c r="AV675" s="0" t="s">
        <v>130</v>
      </c>
      <c r="AW675" s="0" t="s">
        <v>130</v>
      </c>
      <c r="AX675" s="0" t="s">
        <v>130</v>
      </c>
      <c r="AY675" s="0" t="s">
        <v>130</v>
      </c>
      <c r="AZ675" s="0" t="s">
        <v>130</v>
      </c>
      <c r="BA675" s="0" t="s">
        <v>130</v>
      </c>
      <c r="BB675" s="0" t="s">
        <v>130</v>
      </c>
      <c r="BC675" s="0" t="s">
        <v>130</v>
      </c>
      <c r="BD675" s="0" t="s">
        <v>130</v>
      </c>
      <c r="BE675" s="0" t="s">
        <v>130</v>
      </c>
      <c r="BF675" s="0" t="s">
        <v>130</v>
      </c>
      <c r="BG675" s="0" t="s">
        <v>130</v>
      </c>
      <c r="BH675" s="0" t="s">
        <v>130</v>
      </c>
      <c r="BI675" s="0" t="s">
        <v>130</v>
      </c>
      <c r="BJ675" s="0" t="s">
        <v>130</v>
      </c>
      <c r="BK675" s="0" t="s">
        <v>130</v>
      </c>
      <c r="BL675" s="0" t="s">
        <v>130</v>
      </c>
      <c r="BM675" s="0" t="s">
        <v>130</v>
      </c>
      <c r="BN675" s="0" t="s">
        <v>130</v>
      </c>
      <c r="BO675" s="0" t="s">
        <v>130</v>
      </c>
      <c r="BP675" s="0" t="s">
        <v>130</v>
      </c>
      <c r="BQ675" s="0" t="s">
        <v>130</v>
      </c>
      <c r="BR675" s="0" t="s">
        <v>130</v>
      </c>
      <c r="BS675" s="0" t="s">
        <v>130</v>
      </c>
      <c r="BT675" s="0" t="s">
        <v>130</v>
      </c>
      <c r="BU675" s="0" t="s">
        <v>130</v>
      </c>
      <c r="BV675" s="0" t="s">
        <v>130</v>
      </c>
      <c r="BW675" s="0" t="s">
        <v>130</v>
      </c>
      <c r="BX675" s="0" t="s">
        <v>130</v>
      </c>
      <c r="BY675" s="0" t="s">
        <v>130</v>
      </c>
      <c r="BZ675" s="0" t="s">
        <v>130</v>
      </c>
      <c r="CA675" s="0" t="s">
        <v>130</v>
      </c>
      <c r="CB675" s="0" t="s">
        <v>130</v>
      </c>
      <c r="CC675" s="0" t="s">
        <v>130</v>
      </c>
      <c r="CD675" s="0" t="s">
        <v>130</v>
      </c>
      <c r="CE675" s="0" t="s">
        <v>130</v>
      </c>
      <c r="CF675" s="0" t="s">
        <v>130</v>
      </c>
      <c r="CG675" s="0" t="s">
        <v>130</v>
      </c>
      <c r="CH675" s="0" t="s">
        <v>130</v>
      </c>
      <c r="CI675" s="0" t="s">
        <v>130</v>
      </c>
      <c r="CJ675" s="0" t="s">
        <v>130</v>
      </c>
      <c r="CK675" s="0" t="s">
        <v>130</v>
      </c>
      <c r="CL675" s="0" t="s">
        <v>130</v>
      </c>
      <c r="CM675" s="0" t="s">
        <v>130</v>
      </c>
      <c r="CN675" s="0" t="s">
        <v>130</v>
      </c>
      <c r="CO675" s="0" t="s">
        <v>130</v>
      </c>
      <c r="CP675" s="0" t="s">
        <v>130</v>
      </c>
      <c r="CQ675" s="0" t="s">
        <v>130</v>
      </c>
      <c r="CR675" s="0" t="s">
        <v>130</v>
      </c>
      <c r="CS675" s="0" t="s">
        <v>130</v>
      </c>
      <c r="CT675" s="0" t="s">
        <v>2184</v>
      </c>
    </row>
    <row r="676">
      <c r="A676" s="14">
        <v>114991</v>
      </c>
      <c r="B676" s="0" t="s">
        <v>2172</v>
      </c>
      <c r="C676" s="16">
        <f>HYPERLINK("https://eosportal.federatedhermes.com/companies/Q29tcGFueQppNTg5NDc=", "Tokyo Electric Power Co Holdings Inc")</f>
      </c>
      <c r="D676" s="0" t="s">
        <v>23</v>
      </c>
      <c r="E676" s="0" t="s">
        <v>2182</v>
      </c>
      <c r="F676" s="16">
        <f>HYPERLINK("https://eosportal.federatedhermes.com/engagements/RW5nYWdlbWVudAppMjE3MDY=", "Board Governance")</f>
      </c>
      <c r="G676" s="14" t="s">
        <v>2185</v>
      </c>
      <c r="H676" s="0" t="s">
        <v>141</v>
      </c>
      <c r="I676" s="14" t="s">
        <v>636</v>
      </c>
      <c r="J676" s="0" t="s">
        <v>145</v>
      </c>
      <c r="K676" s="0" t="s">
        <v>164</v>
      </c>
      <c r="L676" s="0" t="s">
        <v>165</v>
      </c>
      <c r="M676" s="0" t="s">
        <v>802</v>
      </c>
      <c r="N676" s="0" t="s">
        <v>952</v>
      </c>
      <c r="O676" s="0" t="s">
        <v>192</v>
      </c>
      <c r="Q676" s="0" t="s">
        <v>141</v>
      </c>
      <c r="R676" s="0" t="s">
        <v>130</v>
      </c>
      <c r="S676" s="14">
        <v>1</v>
      </c>
      <c r="T676" s="0" t="s">
        <v>355</v>
      </c>
      <c r="U676" s="0" t="s">
        <v>221</v>
      </c>
      <c r="V676" s="14" t="s">
        <v>355</v>
      </c>
      <c r="W676" s="0" t="s">
        <v>221</v>
      </c>
      <c r="X676" s="14" t="s">
        <v>355</v>
      </c>
      <c r="Y676" s="0" t="s">
        <v>221</v>
      </c>
      <c r="Z676" s="14" t="s">
        <v>355</v>
      </c>
      <c r="AA676" s="0" t="s">
        <v>223</v>
      </c>
      <c r="AB676" s="14" t="s">
        <v>138</v>
      </c>
      <c r="AD676" s="0" t="s">
        <v>20</v>
      </c>
      <c r="AF676" s="0">
        <v>0</v>
      </c>
      <c r="AG676" s="0">
        <v>0</v>
      </c>
      <c r="AH676" s="0" t="s">
        <v>140</v>
      </c>
      <c r="AI676" s="0" t="s">
        <v>232</v>
      </c>
      <c r="AK676" s="0" t="s">
        <v>339</v>
      </c>
      <c r="AL676" s="14"/>
      <c r="AN676" s="14"/>
      <c r="AQ676" s="0" t="s">
        <v>130</v>
      </c>
      <c r="AR676" s="0" t="s">
        <v>130</v>
      </c>
      <c r="AS676" s="0" t="s">
        <v>130</v>
      </c>
      <c r="AT676" s="0" t="s">
        <v>130</v>
      </c>
      <c r="AU676" s="0" t="s">
        <v>130</v>
      </c>
      <c r="AV676" s="0" t="s">
        <v>130</v>
      </c>
      <c r="AW676" s="0" t="s">
        <v>130</v>
      </c>
      <c r="AX676" s="0" t="s">
        <v>130</v>
      </c>
      <c r="AY676" s="0" t="s">
        <v>130</v>
      </c>
      <c r="AZ676" s="0" t="s">
        <v>130</v>
      </c>
      <c r="BA676" s="0" t="s">
        <v>130</v>
      </c>
      <c r="BB676" s="0" t="s">
        <v>130</v>
      </c>
      <c r="BC676" s="0" t="s">
        <v>130</v>
      </c>
      <c r="BD676" s="0" t="s">
        <v>130</v>
      </c>
      <c r="BE676" s="0" t="s">
        <v>130</v>
      </c>
      <c r="BF676" s="0" t="s">
        <v>130</v>
      </c>
      <c r="BG676" s="0" t="s">
        <v>130</v>
      </c>
      <c r="BH676" s="0" t="s">
        <v>130</v>
      </c>
      <c r="BI676" s="0" t="s">
        <v>130</v>
      </c>
      <c r="BJ676" s="0" t="s">
        <v>130</v>
      </c>
      <c r="BK676" s="0" t="s">
        <v>130</v>
      </c>
      <c r="BL676" s="0" t="s">
        <v>130</v>
      </c>
      <c r="BM676" s="0" t="s">
        <v>130</v>
      </c>
      <c r="BN676" s="0" t="s">
        <v>130</v>
      </c>
      <c r="BO676" s="0" t="s">
        <v>130</v>
      </c>
      <c r="BP676" s="0" t="s">
        <v>130</v>
      </c>
      <c r="BQ676" s="0" t="s">
        <v>130</v>
      </c>
      <c r="BR676" s="0" t="s">
        <v>130</v>
      </c>
      <c r="BS676" s="0" t="s">
        <v>130</v>
      </c>
      <c r="BT676" s="0" t="s">
        <v>130</v>
      </c>
      <c r="BU676" s="0" t="s">
        <v>130</v>
      </c>
      <c r="BV676" s="0" t="s">
        <v>130</v>
      </c>
      <c r="BW676" s="0" t="s">
        <v>130</v>
      </c>
      <c r="BX676" s="0" t="s">
        <v>130</v>
      </c>
      <c r="BY676" s="0" t="s">
        <v>130</v>
      </c>
      <c r="BZ676" s="0" t="s">
        <v>130</v>
      </c>
      <c r="CA676" s="0" t="s">
        <v>130</v>
      </c>
      <c r="CB676" s="0" t="s">
        <v>130</v>
      </c>
      <c r="CC676" s="0" t="s">
        <v>130</v>
      </c>
      <c r="CD676" s="0" t="s">
        <v>130</v>
      </c>
      <c r="CE676" s="0" t="s">
        <v>130</v>
      </c>
      <c r="CF676" s="0" t="s">
        <v>130</v>
      </c>
      <c r="CG676" s="0" t="s">
        <v>130</v>
      </c>
      <c r="CH676" s="0" t="s">
        <v>130</v>
      </c>
      <c r="CI676" s="0" t="s">
        <v>130</v>
      </c>
      <c r="CJ676" s="0" t="s">
        <v>130</v>
      </c>
      <c r="CK676" s="0" t="s">
        <v>130</v>
      </c>
      <c r="CL676" s="0" t="s">
        <v>130</v>
      </c>
      <c r="CM676" s="0" t="s">
        <v>130</v>
      </c>
      <c r="CN676" s="0" t="s">
        <v>130</v>
      </c>
      <c r="CO676" s="0" t="s">
        <v>130</v>
      </c>
      <c r="CP676" s="0" t="s">
        <v>130</v>
      </c>
      <c r="CQ676" s="0" t="s">
        <v>130</v>
      </c>
      <c r="CR676" s="0" t="s">
        <v>130</v>
      </c>
      <c r="CS676" s="0" t="s">
        <v>130</v>
      </c>
      <c r="CT676" s="0" t="s">
        <v>2186</v>
      </c>
    </row>
    <row r="677">
      <c r="A677" s="14">
        <v>114991</v>
      </c>
      <c r="B677" s="0" t="s">
        <v>2172</v>
      </c>
      <c r="C677" s="16">
        <f>HYPERLINK("https://eosportal.federatedhermes.com/companies/Q29tcGFueQppNTg5NDc=", "Tokyo Electric Power Co Holdings Inc")</f>
      </c>
      <c r="D677" s="0" t="s">
        <v>23</v>
      </c>
      <c r="E677" s="0" t="s">
        <v>918</v>
      </c>
      <c r="F677" s="16">
        <f>HYPERLINK("https://eosportal.federatedhermes.com/engagements/RW5nYWdlbWVudAppMjE3MDc=", "Controversy linked to UNGC Principle 7: Approach to environmental challenges")</f>
      </c>
      <c r="G677" s="14" t="s">
        <v>2187</v>
      </c>
      <c r="H677" s="0" t="s">
        <v>141</v>
      </c>
      <c r="I677" s="14" t="s">
        <v>636</v>
      </c>
      <c r="J677" s="0" t="s">
        <v>132</v>
      </c>
      <c r="K677" s="0" t="s">
        <v>260</v>
      </c>
      <c r="L677" s="0" t="s">
        <v>261</v>
      </c>
      <c r="M677" s="0" t="s">
        <v>802</v>
      </c>
      <c r="N677" s="0" t="s">
        <v>952</v>
      </c>
      <c r="O677" s="0" t="s">
        <v>192</v>
      </c>
      <c r="Q677" s="0" t="s">
        <v>141</v>
      </c>
      <c r="R677" s="0" t="s">
        <v>130</v>
      </c>
      <c r="S677" s="14">
        <v>1</v>
      </c>
      <c r="T677" s="0" t="s">
        <v>293</v>
      </c>
      <c r="U677" s="0" t="s">
        <v>221</v>
      </c>
      <c r="V677" s="14" t="s">
        <v>293</v>
      </c>
      <c r="W677" s="0" t="s">
        <v>221</v>
      </c>
      <c r="X677" s="14" t="s">
        <v>278</v>
      </c>
      <c r="Y677" s="0" t="s">
        <v>221</v>
      </c>
      <c r="Z677" s="14" t="s">
        <v>387</v>
      </c>
      <c r="AA677" s="0" t="s">
        <v>223</v>
      </c>
      <c r="AB677" s="14" t="s">
        <v>138</v>
      </c>
      <c r="AD677" s="0" t="s">
        <v>20</v>
      </c>
      <c r="AF677" s="0">
        <v>0</v>
      </c>
      <c r="AG677" s="0">
        <v>0</v>
      </c>
      <c r="AH677" s="0" t="s">
        <v>140</v>
      </c>
      <c r="AI677" s="0" t="s">
        <v>598</v>
      </c>
      <c r="AK677" s="0" t="s">
        <v>339</v>
      </c>
      <c r="AL677" s="14"/>
      <c r="AN677" s="14"/>
      <c r="AQ677" s="0" t="s">
        <v>130</v>
      </c>
      <c r="AR677" s="0" t="s">
        <v>130</v>
      </c>
      <c r="AS677" s="0" t="s">
        <v>130</v>
      </c>
      <c r="AT677" s="0" t="s">
        <v>130</v>
      </c>
      <c r="AU677" s="0" t="s">
        <v>130</v>
      </c>
      <c r="AV677" s="0" t="s">
        <v>130</v>
      </c>
      <c r="AW677" s="0" t="s">
        <v>130</v>
      </c>
      <c r="AX677" s="0" t="s">
        <v>130</v>
      </c>
      <c r="AY677" s="0" t="s">
        <v>130</v>
      </c>
      <c r="AZ677" s="0" t="s">
        <v>130</v>
      </c>
      <c r="BA677" s="0" t="s">
        <v>130</v>
      </c>
      <c r="BB677" s="0" t="s">
        <v>130</v>
      </c>
      <c r="BC677" s="0" t="s">
        <v>130</v>
      </c>
      <c r="BD677" s="0" t="s">
        <v>130</v>
      </c>
      <c r="BE677" s="0" t="s">
        <v>130</v>
      </c>
      <c r="BF677" s="0" t="s">
        <v>130</v>
      </c>
      <c r="BG677" s="0" t="s">
        <v>130</v>
      </c>
      <c r="BH677" s="0" t="s">
        <v>130</v>
      </c>
      <c r="BI677" s="0" t="s">
        <v>130</v>
      </c>
      <c r="BJ677" s="0" t="s">
        <v>130</v>
      </c>
      <c r="BK677" s="0" t="s">
        <v>130</v>
      </c>
      <c r="BL677" s="0" t="s">
        <v>130</v>
      </c>
      <c r="BM677" s="0" t="s">
        <v>130</v>
      </c>
      <c r="BN677" s="0" t="s">
        <v>130</v>
      </c>
      <c r="BO677" s="0" t="s">
        <v>130</v>
      </c>
      <c r="BP677" s="0" t="s">
        <v>141</v>
      </c>
      <c r="BQ677" s="0" t="s">
        <v>130</v>
      </c>
      <c r="BR677" s="0" t="s">
        <v>130</v>
      </c>
      <c r="BS677" s="0" t="s">
        <v>130</v>
      </c>
      <c r="BT677" s="0" t="s">
        <v>130</v>
      </c>
      <c r="BU677" s="0" t="s">
        <v>130</v>
      </c>
      <c r="BV677" s="0" t="s">
        <v>130</v>
      </c>
      <c r="BW677" s="0" t="s">
        <v>130</v>
      </c>
      <c r="BX677" s="0" t="s">
        <v>130</v>
      </c>
      <c r="BY677" s="0" t="s">
        <v>130</v>
      </c>
      <c r="BZ677" s="0" t="s">
        <v>130</v>
      </c>
      <c r="CA677" s="0" t="s">
        <v>130</v>
      </c>
      <c r="CB677" s="0" t="s">
        <v>130</v>
      </c>
      <c r="CC677" s="0" t="s">
        <v>130</v>
      </c>
      <c r="CD677" s="0" t="s">
        <v>130</v>
      </c>
      <c r="CE677" s="0" t="s">
        <v>130</v>
      </c>
      <c r="CF677" s="0" t="s">
        <v>130</v>
      </c>
      <c r="CG677" s="0" t="s">
        <v>130</v>
      </c>
      <c r="CH677" s="0" t="s">
        <v>130</v>
      </c>
      <c r="CI677" s="0" t="s">
        <v>130</v>
      </c>
      <c r="CJ677" s="0" t="s">
        <v>130</v>
      </c>
      <c r="CK677" s="0" t="s">
        <v>130</v>
      </c>
      <c r="CL677" s="0" t="s">
        <v>130</v>
      </c>
      <c r="CM677" s="0" t="s">
        <v>130</v>
      </c>
      <c r="CN677" s="0" t="s">
        <v>130</v>
      </c>
      <c r="CO677" s="0" t="s">
        <v>130</v>
      </c>
      <c r="CP677" s="0" t="s">
        <v>130</v>
      </c>
      <c r="CQ677" s="0" t="s">
        <v>130</v>
      </c>
      <c r="CR677" s="0" t="s">
        <v>130</v>
      </c>
      <c r="CS677" s="0" t="s">
        <v>130</v>
      </c>
      <c r="CT677" s="0" t="s">
        <v>2188</v>
      </c>
    </row>
    <row r="678">
      <c r="A678" s="14">
        <v>114991</v>
      </c>
      <c r="B678" s="0" t="s">
        <v>2172</v>
      </c>
      <c r="C678" s="16">
        <f>HYPERLINK("https://eosportal.federatedhermes.com/companies/Q29tcGFueQppNTg5NDc=", "Tokyo Electric Power Co Holdings Inc")</f>
      </c>
      <c r="D678" s="0" t="s">
        <v>25</v>
      </c>
      <c r="E678" s="0" t="s">
        <v>459</v>
      </c>
      <c r="F678" s="16">
        <f>HYPERLINK("https://eosportal.federatedhermes.com/engagements/RW5nYWdlbWVudAppMjE3MDg=", "Human capital management")</f>
      </c>
      <c r="G678" s="14" t="s">
        <v>2189</v>
      </c>
      <c r="H678" s="0" t="s">
        <v>141</v>
      </c>
      <c r="I678" s="14" t="s">
        <v>636</v>
      </c>
      <c r="J678" s="0" t="s">
        <v>153</v>
      </c>
      <c r="K678" s="0" t="s">
        <v>154</v>
      </c>
      <c r="L678" s="0" t="s">
        <v>268</v>
      </c>
      <c r="M678" s="0" t="s">
        <v>802</v>
      </c>
      <c r="N678" s="0" t="s">
        <v>952</v>
      </c>
      <c r="O678" s="0" t="s">
        <v>192</v>
      </c>
      <c r="Q678" s="0" t="s">
        <v>141</v>
      </c>
      <c r="R678" s="0" t="s">
        <v>138</v>
      </c>
      <c r="S678" s="14">
        <v>1</v>
      </c>
      <c r="T678" s="0" t="s">
        <v>139</v>
      </c>
      <c r="U678" s="0" t="s">
        <v>138</v>
      </c>
      <c r="V678" s="14" t="s">
        <v>138</v>
      </c>
      <c r="W678" s="0" t="s">
        <v>138</v>
      </c>
      <c r="X678" s="14" t="s">
        <v>138</v>
      </c>
      <c r="Y678" s="0" t="s">
        <v>138</v>
      </c>
      <c r="Z678" s="14" t="s">
        <v>138</v>
      </c>
      <c r="AA678" s="0" t="s">
        <v>138</v>
      </c>
      <c r="AB678" s="14" t="s">
        <v>138</v>
      </c>
      <c r="AD678" s="0" t="s">
        <v>138</v>
      </c>
      <c r="AF678" s="0">
        <v>0</v>
      </c>
      <c r="AG678" s="0">
        <v>0</v>
      </c>
      <c r="AH678" s="0" t="s">
        <v>140</v>
      </c>
      <c r="AI678" s="0" t="s">
        <v>138</v>
      </c>
      <c r="AK678" s="0" t="s">
        <v>339</v>
      </c>
      <c r="AL678" s="14"/>
      <c r="AN678" s="14"/>
      <c r="AQ678" s="0" t="s">
        <v>130</v>
      </c>
      <c r="AR678" s="0" t="s">
        <v>130</v>
      </c>
      <c r="AS678" s="0" t="s">
        <v>130</v>
      </c>
      <c r="AT678" s="0" t="s">
        <v>130</v>
      </c>
      <c r="AU678" s="0" t="s">
        <v>141</v>
      </c>
      <c r="AV678" s="0" t="s">
        <v>130</v>
      </c>
      <c r="AW678" s="0" t="s">
        <v>130</v>
      </c>
      <c r="AX678" s="0" t="s">
        <v>130</v>
      </c>
      <c r="AY678" s="0" t="s">
        <v>130</v>
      </c>
      <c r="AZ678" s="0" t="s">
        <v>130</v>
      </c>
      <c r="BA678" s="0" t="s">
        <v>130</v>
      </c>
      <c r="BB678" s="0" t="s">
        <v>130</v>
      </c>
      <c r="BC678" s="0" t="s">
        <v>130</v>
      </c>
      <c r="BD678" s="0" t="s">
        <v>130</v>
      </c>
      <c r="BE678" s="0" t="s">
        <v>130</v>
      </c>
      <c r="BF678" s="0" t="s">
        <v>130</v>
      </c>
      <c r="BG678" s="0" t="s">
        <v>130</v>
      </c>
      <c r="BH678" s="0" t="s">
        <v>130</v>
      </c>
      <c r="BI678" s="0" t="s">
        <v>130</v>
      </c>
      <c r="BJ678" s="0" t="s">
        <v>130</v>
      </c>
      <c r="BK678" s="0" t="s">
        <v>130</v>
      </c>
      <c r="BL678" s="0" t="s">
        <v>130</v>
      </c>
      <c r="BM678" s="0" t="s">
        <v>130</v>
      </c>
      <c r="BN678" s="0" t="s">
        <v>130</v>
      </c>
      <c r="BO678" s="0" t="s">
        <v>130</v>
      </c>
      <c r="BP678" s="0" t="s">
        <v>130</v>
      </c>
      <c r="BQ678" s="0" t="s">
        <v>130</v>
      </c>
      <c r="BR678" s="0" t="s">
        <v>130</v>
      </c>
      <c r="BS678" s="0" t="s">
        <v>130</v>
      </c>
      <c r="BT678" s="0" t="s">
        <v>130</v>
      </c>
      <c r="BU678" s="0" t="s">
        <v>130</v>
      </c>
      <c r="BV678" s="0" t="s">
        <v>130</v>
      </c>
      <c r="BW678" s="0" t="s">
        <v>130</v>
      </c>
      <c r="BX678" s="0" t="s">
        <v>130</v>
      </c>
      <c r="BY678" s="0" t="s">
        <v>130</v>
      </c>
      <c r="BZ678" s="0" t="s">
        <v>130</v>
      </c>
      <c r="CA678" s="0" t="s">
        <v>130</v>
      </c>
      <c r="CB678" s="0" t="s">
        <v>130</v>
      </c>
      <c r="CC678" s="0" t="s">
        <v>130</v>
      </c>
      <c r="CD678" s="0" t="s">
        <v>130</v>
      </c>
      <c r="CE678" s="0" t="s">
        <v>130</v>
      </c>
      <c r="CF678" s="0" t="s">
        <v>130</v>
      </c>
      <c r="CG678" s="0" t="s">
        <v>130</v>
      </c>
      <c r="CH678" s="0" t="s">
        <v>130</v>
      </c>
      <c r="CI678" s="0" t="s">
        <v>130</v>
      </c>
      <c r="CJ678" s="0" t="s">
        <v>130</v>
      </c>
      <c r="CK678" s="0" t="s">
        <v>141</v>
      </c>
      <c r="CL678" s="0" t="s">
        <v>130</v>
      </c>
      <c r="CM678" s="0" t="s">
        <v>130</v>
      </c>
      <c r="CN678" s="0" t="s">
        <v>130</v>
      </c>
      <c r="CO678" s="0" t="s">
        <v>130</v>
      </c>
      <c r="CP678" s="0" t="s">
        <v>130</v>
      </c>
      <c r="CQ678" s="0" t="s">
        <v>130</v>
      </c>
      <c r="CR678" s="0" t="s">
        <v>130</v>
      </c>
      <c r="CS678" s="0" t="s">
        <v>130</v>
      </c>
      <c r="CT678" s="0" t="s">
        <v>2190</v>
      </c>
    </row>
    <row r="679">
      <c r="A679" s="14">
        <v>114991</v>
      </c>
      <c r="B679" s="0" t="s">
        <v>2172</v>
      </c>
      <c r="C679" s="16">
        <f>HYPERLINK("https://eosportal.federatedhermes.com/companies/Q29tcGFueQppNTg5NDc=", "Tokyo Electric Power Co Holdings Inc")</f>
      </c>
      <c r="D679" s="0" t="s">
        <v>25</v>
      </c>
      <c r="E679" s="0" t="s">
        <v>1729</v>
      </c>
      <c r="F679" s="16">
        <f>HYPERLINK("https://eosportal.federatedhermes.com/engagements/RW5nYWdlbWVudAppMjE3MDk=", "Business strategy")</f>
      </c>
      <c r="G679" s="14" t="s">
        <v>2191</v>
      </c>
      <c r="H679" s="0" t="s">
        <v>141</v>
      </c>
      <c r="I679" s="14" t="s">
        <v>636</v>
      </c>
      <c r="J679" s="0" t="s">
        <v>132</v>
      </c>
      <c r="K679" s="0" t="s">
        <v>133</v>
      </c>
      <c r="L679" s="0" t="s">
        <v>160</v>
      </c>
      <c r="M679" s="0" t="s">
        <v>802</v>
      </c>
      <c r="N679" s="0" t="s">
        <v>952</v>
      </c>
      <c r="O679" s="0" t="s">
        <v>192</v>
      </c>
      <c r="Q679" s="0" t="s">
        <v>141</v>
      </c>
      <c r="R679" s="0" t="s">
        <v>138</v>
      </c>
      <c r="S679" s="14">
        <v>1</v>
      </c>
      <c r="T679" s="0" t="s">
        <v>293</v>
      </c>
      <c r="U679" s="0" t="s">
        <v>138</v>
      </c>
      <c r="V679" s="14" t="s">
        <v>138</v>
      </c>
      <c r="W679" s="0" t="s">
        <v>138</v>
      </c>
      <c r="X679" s="14" t="s">
        <v>138</v>
      </c>
      <c r="Y679" s="0" t="s">
        <v>138</v>
      </c>
      <c r="Z679" s="14" t="s">
        <v>138</v>
      </c>
      <c r="AA679" s="0" t="s">
        <v>138</v>
      </c>
      <c r="AB679" s="14" t="s">
        <v>138</v>
      </c>
      <c r="AD679" s="0" t="s">
        <v>138</v>
      </c>
      <c r="AF679" s="0">
        <v>0</v>
      </c>
      <c r="AG679" s="0">
        <v>0</v>
      </c>
      <c r="AH679" s="0" t="s">
        <v>140</v>
      </c>
      <c r="AI679" s="0" t="s">
        <v>138</v>
      </c>
      <c r="AK679" s="0" t="s">
        <v>339</v>
      </c>
      <c r="AL679" s="14"/>
      <c r="AN679" s="14"/>
      <c r="AQ679" s="0" t="s">
        <v>130</v>
      </c>
      <c r="AR679" s="0" t="s">
        <v>130</v>
      </c>
      <c r="AS679" s="0" t="s">
        <v>130</v>
      </c>
      <c r="AT679" s="0" t="s">
        <v>130</v>
      </c>
      <c r="AU679" s="0" t="s">
        <v>130</v>
      </c>
      <c r="AV679" s="0" t="s">
        <v>130</v>
      </c>
      <c r="AW679" s="0" t="s">
        <v>130</v>
      </c>
      <c r="AX679" s="0" t="s">
        <v>130</v>
      </c>
      <c r="AY679" s="0" t="s">
        <v>130</v>
      </c>
      <c r="AZ679" s="0" t="s">
        <v>130</v>
      </c>
      <c r="BA679" s="0" t="s">
        <v>130</v>
      </c>
      <c r="BB679" s="0" t="s">
        <v>130</v>
      </c>
      <c r="BC679" s="0" t="s">
        <v>130</v>
      </c>
      <c r="BD679" s="0" t="s">
        <v>130</v>
      </c>
      <c r="BE679" s="0" t="s">
        <v>130</v>
      </c>
      <c r="BF679" s="0" t="s">
        <v>130</v>
      </c>
      <c r="BG679" s="0" t="s">
        <v>130</v>
      </c>
      <c r="BH679" s="0" t="s">
        <v>130</v>
      </c>
      <c r="BI679" s="0" t="s">
        <v>130</v>
      </c>
      <c r="BJ679" s="0" t="s">
        <v>130</v>
      </c>
      <c r="BK679" s="0" t="s">
        <v>130</v>
      </c>
      <c r="BL679" s="0" t="s">
        <v>130</v>
      </c>
      <c r="BM679" s="0" t="s">
        <v>130</v>
      </c>
      <c r="BN679" s="0" t="s">
        <v>130</v>
      </c>
      <c r="BO679" s="0" t="s">
        <v>130</v>
      </c>
      <c r="BP679" s="0" t="s">
        <v>130</v>
      </c>
      <c r="BQ679" s="0" t="s">
        <v>130</v>
      </c>
      <c r="BR679" s="0" t="s">
        <v>130</v>
      </c>
      <c r="BS679" s="0" t="s">
        <v>130</v>
      </c>
      <c r="BT679" s="0" t="s">
        <v>130</v>
      </c>
      <c r="BU679" s="0" t="s">
        <v>130</v>
      </c>
      <c r="BV679" s="0" t="s">
        <v>130</v>
      </c>
      <c r="BW679" s="0" t="s">
        <v>130</v>
      </c>
      <c r="BX679" s="0" t="s">
        <v>130</v>
      </c>
      <c r="BY679" s="0" t="s">
        <v>130</v>
      </c>
      <c r="BZ679" s="0" t="s">
        <v>130</v>
      </c>
      <c r="CA679" s="0" t="s">
        <v>130</v>
      </c>
      <c r="CB679" s="0" t="s">
        <v>130</v>
      </c>
      <c r="CC679" s="0" t="s">
        <v>130</v>
      </c>
      <c r="CD679" s="0" t="s">
        <v>130</v>
      </c>
      <c r="CE679" s="0" t="s">
        <v>130</v>
      </c>
      <c r="CF679" s="0" t="s">
        <v>130</v>
      </c>
      <c r="CG679" s="0" t="s">
        <v>130</v>
      </c>
      <c r="CH679" s="0" t="s">
        <v>130</v>
      </c>
      <c r="CI679" s="0" t="s">
        <v>130</v>
      </c>
      <c r="CJ679" s="0" t="s">
        <v>130</v>
      </c>
      <c r="CK679" s="0" t="s">
        <v>130</v>
      </c>
      <c r="CL679" s="0" t="s">
        <v>130</v>
      </c>
      <c r="CM679" s="0" t="s">
        <v>130</v>
      </c>
      <c r="CN679" s="0" t="s">
        <v>130</v>
      </c>
      <c r="CO679" s="0" t="s">
        <v>130</v>
      </c>
      <c r="CP679" s="0" t="s">
        <v>130</v>
      </c>
      <c r="CQ679" s="0" t="s">
        <v>130</v>
      </c>
      <c r="CR679" s="0" t="s">
        <v>130</v>
      </c>
      <c r="CS679" s="0" t="s">
        <v>130</v>
      </c>
      <c r="CT679" s="0" t="s">
        <v>2192</v>
      </c>
    </row>
    <row r="680">
      <c r="A680" s="14">
        <v>114991</v>
      </c>
      <c r="B680" s="0" t="s">
        <v>2172</v>
      </c>
      <c r="C680" s="16">
        <f>HYPERLINK("https://eosportal.federatedhermes.com/companies/Q29tcGFueQppNTg5NDc=", "Tokyo Electric Power Co Holdings Inc")</f>
      </c>
      <c r="D680" s="0" t="s">
        <v>25</v>
      </c>
      <c r="E680" s="0" t="s">
        <v>295</v>
      </c>
      <c r="F680" s="16">
        <f>HYPERLINK("https://eosportal.federatedhermes.com/engagements/RW5nYWdlbWVudAppMjE3MTA=", "Board structure")</f>
      </c>
      <c r="G680" s="14" t="s">
        <v>295</v>
      </c>
      <c r="H680" s="0" t="s">
        <v>141</v>
      </c>
      <c r="I680" s="14" t="s">
        <v>636</v>
      </c>
      <c r="J680" s="0" t="s">
        <v>145</v>
      </c>
      <c r="K680" s="0" t="s">
        <v>164</v>
      </c>
      <c r="L680" s="0" t="s">
        <v>165</v>
      </c>
      <c r="M680" s="0" t="s">
        <v>802</v>
      </c>
      <c r="N680" s="0" t="s">
        <v>952</v>
      </c>
      <c r="O680" s="0" t="s">
        <v>192</v>
      </c>
      <c r="Q680" s="0" t="s">
        <v>141</v>
      </c>
      <c r="R680" s="0" t="s">
        <v>138</v>
      </c>
      <c r="S680" s="14">
        <v>1</v>
      </c>
      <c r="T680" s="0" t="s">
        <v>278</v>
      </c>
      <c r="U680" s="0" t="s">
        <v>138</v>
      </c>
      <c r="V680" s="14" t="s">
        <v>138</v>
      </c>
      <c r="W680" s="0" t="s">
        <v>138</v>
      </c>
      <c r="X680" s="14" t="s">
        <v>138</v>
      </c>
      <c r="Y680" s="0" t="s">
        <v>138</v>
      </c>
      <c r="Z680" s="14" t="s">
        <v>138</v>
      </c>
      <c r="AA680" s="0" t="s">
        <v>138</v>
      </c>
      <c r="AB680" s="14" t="s">
        <v>138</v>
      </c>
      <c r="AD680" s="0" t="s">
        <v>138</v>
      </c>
      <c r="AF680" s="0">
        <v>0</v>
      </c>
      <c r="AG680" s="0">
        <v>0</v>
      </c>
      <c r="AH680" s="0" t="s">
        <v>140</v>
      </c>
      <c r="AI680" s="0" t="s">
        <v>138</v>
      </c>
      <c r="AK680" s="0" t="s">
        <v>339</v>
      </c>
      <c r="AL680" s="14"/>
      <c r="AN680" s="14"/>
      <c r="AQ680" s="0" t="s">
        <v>130</v>
      </c>
      <c r="AR680" s="0" t="s">
        <v>130</v>
      </c>
      <c r="AS680" s="0" t="s">
        <v>130</v>
      </c>
      <c r="AT680" s="0" t="s">
        <v>130</v>
      </c>
      <c r="AU680" s="0" t="s">
        <v>130</v>
      </c>
      <c r="AV680" s="0" t="s">
        <v>130</v>
      </c>
      <c r="AW680" s="0" t="s">
        <v>130</v>
      </c>
      <c r="AX680" s="0" t="s">
        <v>130</v>
      </c>
      <c r="AY680" s="0" t="s">
        <v>130</v>
      </c>
      <c r="AZ680" s="0" t="s">
        <v>130</v>
      </c>
      <c r="BA680" s="0" t="s">
        <v>130</v>
      </c>
      <c r="BB680" s="0" t="s">
        <v>130</v>
      </c>
      <c r="BC680" s="0" t="s">
        <v>130</v>
      </c>
      <c r="BD680" s="0" t="s">
        <v>130</v>
      </c>
      <c r="BE680" s="0" t="s">
        <v>130</v>
      </c>
      <c r="BF680" s="0" t="s">
        <v>130</v>
      </c>
      <c r="BG680" s="0" t="s">
        <v>130</v>
      </c>
      <c r="BH680" s="0" t="s">
        <v>130</v>
      </c>
      <c r="BI680" s="0" t="s">
        <v>130</v>
      </c>
      <c r="BJ680" s="0" t="s">
        <v>130</v>
      </c>
      <c r="BK680" s="0" t="s">
        <v>130</v>
      </c>
      <c r="BL680" s="0" t="s">
        <v>130</v>
      </c>
      <c r="BM680" s="0" t="s">
        <v>130</v>
      </c>
      <c r="BN680" s="0" t="s">
        <v>130</v>
      </c>
      <c r="BO680" s="0" t="s">
        <v>130</v>
      </c>
      <c r="BP680" s="0" t="s">
        <v>130</v>
      </c>
      <c r="BQ680" s="0" t="s">
        <v>130</v>
      </c>
      <c r="BR680" s="0" t="s">
        <v>130</v>
      </c>
      <c r="BS680" s="0" t="s">
        <v>130</v>
      </c>
      <c r="BT680" s="0" t="s">
        <v>130</v>
      </c>
      <c r="BU680" s="0" t="s">
        <v>130</v>
      </c>
      <c r="BV680" s="0" t="s">
        <v>130</v>
      </c>
      <c r="BW680" s="0" t="s">
        <v>130</v>
      </c>
      <c r="BX680" s="0" t="s">
        <v>130</v>
      </c>
      <c r="BY680" s="0" t="s">
        <v>130</v>
      </c>
      <c r="BZ680" s="0" t="s">
        <v>130</v>
      </c>
      <c r="CA680" s="0" t="s">
        <v>130</v>
      </c>
      <c r="CB680" s="0" t="s">
        <v>130</v>
      </c>
      <c r="CC680" s="0" t="s">
        <v>130</v>
      </c>
      <c r="CD680" s="0" t="s">
        <v>130</v>
      </c>
      <c r="CE680" s="0" t="s">
        <v>130</v>
      </c>
      <c r="CF680" s="0" t="s">
        <v>130</v>
      </c>
      <c r="CG680" s="0" t="s">
        <v>130</v>
      </c>
      <c r="CH680" s="0" t="s">
        <v>130</v>
      </c>
      <c r="CI680" s="0" t="s">
        <v>130</v>
      </c>
      <c r="CJ680" s="0" t="s">
        <v>130</v>
      </c>
      <c r="CK680" s="0" t="s">
        <v>130</v>
      </c>
      <c r="CL680" s="0" t="s">
        <v>130</v>
      </c>
      <c r="CM680" s="0" t="s">
        <v>130</v>
      </c>
      <c r="CN680" s="0" t="s">
        <v>130</v>
      </c>
      <c r="CO680" s="0" t="s">
        <v>130</v>
      </c>
      <c r="CP680" s="0" t="s">
        <v>130</v>
      </c>
      <c r="CQ680" s="0" t="s">
        <v>130</v>
      </c>
      <c r="CR680" s="0" t="s">
        <v>130</v>
      </c>
      <c r="CS680" s="0" t="s">
        <v>130</v>
      </c>
      <c r="CT680" s="0" t="s">
        <v>2193</v>
      </c>
    </row>
    <row r="681">
      <c r="A681" s="14">
        <v>108620</v>
      </c>
      <c r="B681" s="0" t="s">
        <v>2194</v>
      </c>
      <c r="C681" s="16">
        <f>HYPERLINK("https://eosportal.federatedhermes.com/companies/Q29tcGFueQppNzU3MjE=", "Canadian Imperial Bank of Commerce")</f>
      </c>
      <c r="D681" s="0" t="s">
        <v>25</v>
      </c>
      <c r="E681" s="0" t="s">
        <v>2195</v>
      </c>
      <c r="F681" s="16">
        <f>HYPERLINK("https://eosportal.federatedhermes.com/engagements/RW5nYWdlbWVudAppMjE3NTk=", "Director overboarding")</f>
      </c>
      <c r="G681" s="14" t="s">
        <v>2196</v>
      </c>
      <c r="H681" s="0" t="s">
        <v>141</v>
      </c>
      <c r="I681" s="14" t="s">
        <v>191</v>
      </c>
      <c r="J681" s="0" t="s">
        <v>145</v>
      </c>
      <c r="K681" s="0" t="s">
        <v>164</v>
      </c>
      <c r="L681" s="0" t="s">
        <v>165</v>
      </c>
      <c r="M681" s="0" t="s">
        <v>135</v>
      </c>
      <c r="N681" s="0" t="s">
        <v>1678</v>
      </c>
      <c r="O681" s="0" t="s">
        <v>238</v>
      </c>
      <c r="Q681" s="0" t="s">
        <v>130</v>
      </c>
      <c r="R681" s="0" t="s">
        <v>138</v>
      </c>
      <c r="S681" s="14">
        <v>0</v>
      </c>
      <c r="T681" s="0" t="s">
        <v>288</v>
      </c>
      <c r="U681" s="0" t="s">
        <v>138</v>
      </c>
      <c r="V681" s="14" t="s">
        <v>138</v>
      </c>
      <c r="W681" s="0" t="s">
        <v>138</v>
      </c>
      <c r="X681" s="14" t="s">
        <v>138</v>
      </c>
      <c r="Y681" s="0" t="s">
        <v>138</v>
      </c>
      <c r="Z681" s="14" t="s">
        <v>138</v>
      </c>
      <c r="AA681" s="0" t="s">
        <v>138</v>
      </c>
      <c r="AB681" s="14" t="s">
        <v>138</v>
      </c>
      <c r="AD681" s="0" t="s">
        <v>138</v>
      </c>
      <c r="AF681" s="0">
        <v>0</v>
      </c>
      <c r="AG681" s="0">
        <v>0</v>
      </c>
      <c r="AH681" s="0" t="s">
        <v>140</v>
      </c>
      <c r="AI681" s="0" t="s">
        <v>138</v>
      </c>
      <c r="AL681" s="14"/>
      <c r="AN681" s="14"/>
      <c r="AQ681" s="0" t="s">
        <v>130</v>
      </c>
      <c r="AR681" s="0" t="s">
        <v>130</v>
      </c>
      <c r="AS681" s="0" t="s">
        <v>130</v>
      </c>
      <c r="AT681" s="0" t="s">
        <v>130</v>
      </c>
      <c r="AU681" s="0" t="s">
        <v>130</v>
      </c>
      <c r="AV681" s="0" t="s">
        <v>130</v>
      </c>
      <c r="AW681" s="0" t="s">
        <v>130</v>
      </c>
      <c r="AX681" s="0" t="s">
        <v>130</v>
      </c>
      <c r="AY681" s="0" t="s">
        <v>130</v>
      </c>
      <c r="AZ681" s="0" t="s">
        <v>130</v>
      </c>
      <c r="BA681" s="0" t="s">
        <v>130</v>
      </c>
      <c r="BB681" s="0" t="s">
        <v>130</v>
      </c>
      <c r="BC681" s="0" t="s">
        <v>130</v>
      </c>
      <c r="BD681" s="0" t="s">
        <v>130</v>
      </c>
      <c r="BE681" s="0" t="s">
        <v>130</v>
      </c>
      <c r="BF681" s="0" t="s">
        <v>130</v>
      </c>
      <c r="BG681" s="0" t="s">
        <v>130</v>
      </c>
      <c r="BH681" s="0" t="s">
        <v>130</v>
      </c>
      <c r="BI681" s="0" t="s">
        <v>130</v>
      </c>
      <c r="BJ681" s="0" t="s">
        <v>130</v>
      </c>
      <c r="BK681" s="0" t="s">
        <v>130</v>
      </c>
      <c r="BL681" s="0" t="s">
        <v>130</v>
      </c>
      <c r="BM681" s="0" t="s">
        <v>130</v>
      </c>
      <c r="BN681" s="0" t="s">
        <v>130</v>
      </c>
      <c r="BO681" s="0" t="s">
        <v>130</v>
      </c>
      <c r="BP681" s="0" t="s">
        <v>130</v>
      </c>
      <c r="BQ681" s="0" t="s">
        <v>130</v>
      </c>
      <c r="BR681" s="0" t="s">
        <v>130</v>
      </c>
      <c r="BS681" s="0" t="s">
        <v>130</v>
      </c>
      <c r="BT681" s="0" t="s">
        <v>130</v>
      </c>
      <c r="BU681" s="0" t="s">
        <v>130</v>
      </c>
      <c r="BV681" s="0" t="s">
        <v>130</v>
      </c>
      <c r="BW681" s="0" t="s">
        <v>130</v>
      </c>
      <c r="BX681" s="0" t="s">
        <v>130</v>
      </c>
      <c r="BY681" s="0" t="s">
        <v>130</v>
      </c>
      <c r="BZ681" s="0" t="s">
        <v>130</v>
      </c>
      <c r="CA681" s="0" t="s">
        <v>130</v>
      </c>
      <c r="CB681" s="0" t="s">
        <v>130</v>
      </c>
      <c r="CC681" s="0" t="s">
        <v>130</v>
      </c>
      <c r="CD681" s="0" t="s">
        <v>130</v>
      </c>
      <c r="CE681" s="0" t="s">
        <v>130</v>
      </c>
      <c r="CF681" s="0" t="s">
        <v>130</v>
      </c>
      <c r="CG681" s="0" t="s">
        <v>130</v>
      </c>
      <c r="CH681" s="0" t="s">
        <v>130</v>
      </c>
      <c r="CI681" s="0" t="s">
        <v>130</v>
      </c>
      <c r="CJ681" s="0" t="s">
        <v>130</v>
      </c>
      <c r="CK681" s="0" t="s">
        <v>130</v>
      </c>
      <c r="CL681" s="0" t="s">
        <v>130</v>
      </c>
      <c r="CM681" s="0" t="s">
        <v>130</v>
      </c>
      <c r="CN681" s="0" t="s">
        <v>130</v>
      </c>
      <c r="CO681" s="0" t="s">
        <v>130</v>
      </c>
      <c r="CP681" s="0" t="s">
        <v>130</v>
      </c>
      <c r="CQ681" s="0" t="s">
        <v>130</v>
      </c>
      <c r="CR681" s="0" t="s">
        <v>130</v>
      </c>
      <c r="CS681" s="0" t="s">
        <v>130</v>
      </c>
      <c r="CT681" s="0" t="s">
        <v>2197</v>
      </c>
    </row>
    <row r="682">
      <c r="A682" s="14">
        <v>108620</v>
      </c>
      <c r="B682" s="0" t="s">
        <v>2194</v>
      </c>
      <c r="C682" s="16">
        <f>HYPERLINK("https://eosportal.federatedhermes.com/companies/Q29tcGFueQppNzU3MjE=", "Canadian Imperial Bank of Commerce")</f>
      </c>
      <c r="D682" s="0" t="s">
        <v>25</v>
      </c>
      <c r="E682" s="0" t="s">
        <v>912</v>
      </c>
      <c r="F682" s="16">
        <f>HYPERLINK("https://eosportal.federatedhermes.com/engagements/RW5nYWdlbWVudAppMjE3NjA=", "Executive remuneration")</f>
      </c>
      <c r="G682" s="14" t="s">
        <v>2198</v>
      </c>
      <c r="H682" s="0" t="s">
        <v>141</v>
      </c>
      <c r="I682" s="14" t="s">
        <v>191</v>
      </c>
      <c r="J682" s="0" t="s">
        <v>145</v>
      </c>
      <c r="K682" s="0" t="s">
        <v>146</v>
      </c>
      <c r="L682" s="0" t="s">
        <v>147</v>
      </c>
      <c r="M682" s="0" t="s">
        <v>135</v>
      </c>
      <c r="N682" s="0" t="s">
        <v>1678</v>
      </c>
      <c r="O682" s="0" t="s">
        <v>238</v>
      </c>
      <c r="Q682" s="0" t="s">
        <v>130</v>
      </c>
      <c r="R682" s="0" t="s">
        <v>138</v>
      </c>
      <c r="S682" s="14">
        <v>0</v>
      </c>
      <c r="T682" s="0" t="s">
        <v>1074</v>
      </c>
      <c r="U682" s="0" t="s">
        <v>138</v>
      </c>
      <c r="V682" s="14" t="s">
        <v>138</v>
      </c>
      <c r="W682" s="0" t="s">
        <v>138</v>
      </c>
      <c r="X682" s="14" t="s">
        <v>138</v>
      </c>
      <c r="Y682" s="0" t="s">
        <v>138</v>
      </c>
      <c r="Z682" s="14" t="s">
        <v>138</v>
      </c>
      <c r="AA682" s="0" t="s">
        <v>138</v>
      </c>
      <c r="AB682" s="14" t="s">
        <v>138</v>
      </c>
      <c r="AD682" s="0" t="s">
        <v>138</v>
      </c>
      <c r="AF682" s="0">
        <v>0</v>
      </c>
      <c r="AG682" s="0">
        <v>0</v>
      </c>
      <c r="AH682" s="0" t="s">
        <v>140</v>
      </c>
      <c r="AI682" s="0" t="s">
        <v>138</v>
      </c>
      <c r="AL682" s="14"/>
      <c r="AN682" s="14"/>
      <c r="AQ682" s="0" t="s">
        <v>130</v>
      </c>
      <c r="AR682" s="0" t="s">
        <v>130</v>
      </c>
      <c r="AS682" s="0" t="s">
        <v>130</v>
      </c>
      <c r="AT682" s="0" t="s">
        <v>130</v>
      </c>
      <c r="AU682" s="0" t="s">
        <v>130</v>
      </c>
      <c r="AV682" s="0" t="s">
        <v>130</v>
      </c>
      <c r="AW682" s="0" t="s">
        <v>130</v>
      </c>
      <c r="AX682" s="0" t="s">
        <v>130</v>
      </c>
      <c r="AY682" s="0" t="s">
        <v>130</v>
      </c>
      <c r="AZ682" s="0" t="s">
        <v>130</v>
      </c>
      <c r="BA682" s="0" t="s">
        <v>130</v>
      </c>
      <c r="BB682" s="0" t="s">
        <v>130</v>
      </c>
      <c r="BC682" s="0" t="s">
        <v>130</v>
      </c>
      <c r="BD682" s="0" t="s">
        <v>130</v>
      </c>
      <c r="BE682" s="0" t="s">
        <v>130</v>
      </c>
      <c r="BF682" s="0" t="s">
        <v>130</v>
      </c>
      <c r="BG682" s="0" t="s">
        <v>130</v>
      </c>
      <c r="BH682" s="0" t="s">
        <v>130</v>
      </c>
      <c r="BI682" s="0" t="s">
        <v>130</v>
      </c>
      <c r="BJ682" s="0" t="s">
        <v>130</v>
      </c>
      <c r="BK682" s="0" t="s">
        <v>130</v>
      </c>
      <c r="BL682" s="0" t="s">
        <v>130</v>
      </c>
      <c r="BM682" s="0" t="s">
        <v>130</v>
      </c>
      <c r="BN682" s="0" t="s">
        <v>130</v>
      </c>
      <c r="BO682" s="0" t="s">
        <v>130</v>
      </c>
      <c r="BP682" s="0" t="s">
        <v>130</v>
      </c>
      <c r="BQ682" s="0" t="s">
        <v>130</v>
      </c>
      <c r="BR682" s="0" t="s">
        <v>130</v>
      </c>
      <c r="BS682" s="0" t="s">
        <v>130</v>
      </c>
      <c r="BT682" s="0" t="s">
        <v>130</v>
      </c>
      <c r="BU682" s="0" t="s">
        <v>130</v>
      </c>
      <c r="BV682" s="0" t="s">
        <v>130</v>
      </c>
      <c r="BW682" s="0" t="s">
        <v>130</v>
      </c>
      <c r="BX682" s="0" t="s">
        <v>130</v>
      </c>
      <c r="BY682" s="0" t="s">
        <v>130</v>
      </c>
      <c r="BZ682" s="0" t="s">
        <v>130</v>
      </c>
      <c r="CA682" s="0" t="s">
        <v>130</v>
      </c>
      <c r="CB682" s="0" t="s">
        <v>130</v>
      </c>
      <c r="CC682" s="0" t="s">
        <v>130</v>
      </c>
      <c r="CD682" s="0" t="s">
        <v>130</v>
      </c>
      <c r="CE682" s="0" t="s">
        <v>130</v>
      </c>
      <c r="CF682" s="0" t="s">
        <v>130</v>
      </c>
      <c r="CG682" s="0" t="s">
        <v>130</v>
      </c>
      <c r="CH682" s="0" t="s">
        <v>130</v>
      </c>
      <c r="CI682" s="0" t="s">
        <v>130</v>
      </c>
      <c r="CJ682" s="0" t="s">
        <v>130</v>
      </c>
      <c r="CK682" s="0" t="s">
        <v>130</v>
      </c>
      <c r="CL682" s="0" t="s">
        <v>130</v>
      </c>
      <c r="CM682" s="0" t="s">
        <v>130</v>
      </c>
      <c r="CN682" s="0" t="s">
        <v>130</v>
      </c>
      <c r="CO682" s="0" t="s">
        <v>130</v>
      </c>
      <c r="CP682" s="0" t="s">
        <v>130</v>
      </c>
      <c r="CQ682" s="0" t="s">
        <v>130</v>
      </c>
      <c r="CR682" s="0" t="s">
        <v>130</v>
      </c>
      <c r="CS682" s="0" t="s">
        <v>130</v>
      </c>
      <c r="CT682" s="0" t="s">
        <v>2199</v>
      </c>
    </row>
    <row r="683">
      <c r="A683" s="14">
        <v>108620</v>
      </c>
      <c r="B683" s="0" t="s">
        <v>2194</v>
      </c>
      <c r="C683" s="16">
        <f>HYPERLINK("https://eosportal.federatedhermes.com/companies/Q29tcGFueQppNzU3MjE=", "Canadian Imperial Bank of Commerce")</f>
      </c>
      <c r="D683" s="0" t="s">
        <v>25</v>
      </c>
      <c r="E683" s="0" t="s">
        <v>2200</v>
      </c>
      <c r="F683" s="16">
        <f>HYPERLINK("https://eosportal.federatedhermes.com/engagements/RW5nYWdlbWVudAppMjE3NjE=", "Workforce Disclosure Initiative")</f>
      </c>
      <c r="G683" s="14" t="s">
        <v>2201</v>
      </c>
      <c r="H683" s="0" t="s">
        <v>141</v>
      </c>
      <c r="I683" s="14" t="s">
        <v>191</v>
      </c>
      <c r="J683" s="0" t="s">
        <v>153</v>
      </c>
      <c r="K683" s="0" t="s">
        <v>154</v>
      </c>
      <c r="L683" s="0" t="s">
        <v>306</v>
      </c>
      <c r="M683" s="0" t="s">
        <v>135</v>
      </c>
      <c r="N683" s="0" t="s">
        <v>1678</v>
      </c>
      <c r="O683" s="0" t="s">
        <v>238</v>
      </c>
      <c r="Q683" s="0" t="s">
        <v>130</v>
      </c>
      <c r="R683" s="0" t="s">
        <v>138</v>
      </c>
      <c r="S683" s="14">
        <v>0</v>
      </c>
      <c r="T683" s="0" t="s">
        <v>230</v>
      </c>
      <c r="U683" s="0" t="s">
        <v>138</v>
      </c>
      <c r="V683" s="14" t="s">
        <v>138</v>
      </c>
      <c r="W683" s="0" t="s">
        <v>138</v>
      </c>
      <c r="X683" s="14" t="s">
        <v>138</v>
      </c>
      <c r="Y683" s="0" t="s">
        <v>138</v>
      </c>
      <c r="Z683" s="14" t="s">
        <v>138</v>
      </c>
      <c r="AA683" s="0" t="s">
        <v>138</v>
      </c>
      <c r="AB683" s="14" t="s">
        <v>138</v>
      </c>
      <c r="AD683" s="0" t="s">
        <v>138</v>
      </c>
      <c r="AF683" s="0">
        <v>0</v>
      </c>
      <c r="AG683" s="0">
        <v>0</v>
      </c>
      <c r="AH683" s="0" t="s">
        <v>140</v>
      </c>
      <c r="AI683" s="0" t="s">
        <v>138</v>
      </c>
      <c r="AL683" s="14"/>
      <c r="AN683" s="14"/>
      <c r="AQ683" s="0" t="s">
        <v>130</v>
      </c>
      <c r="AR683" s="0" t="s">
        <v>130</v>
      </c>
      <c r="AS683" s="0" t="s">
        <v>130</v>
      </c>
      <c r="AT683" s="0" t="s">
        <v>130</v>
      </c>
      <c r="AU683" s="0" t="s">
        <v>130</v>
      </c>
      <c r="AV683" s="0" t="s">
        <v>130</v>
      </c>
      <c r="AW683" s="0" t="s">
        <v>130</v>
      </c>
      <c r="AX683" s="0" t="s">
        <v>141</v>
      </c>
      <c r="AY683" s="0" t="s">
        <v>130</v>
      </c>
      <c r="AZ683" s="0" t="s">
        <v>141</v>
      </c>
      <c r="BA683" s="0" t="s">
        <v>130</v>
      </c>
      <c r="BB683" s="0" t="s">
        <v>130</v>
      </c>
      <c r="BC683" s="0" t="s">
        <v>130</v>
      </c>
      <c r="BD683" s="0" t="s">
        <v>130</v>
      </c>
      <c r="BE683" s="0" t="s">
        <v>130</v>
      </c>
      <c r="BF683" s="0" t="s">
        <v>130</v>
      </c>
      <c r="BG683" s="0" t="s">
        <v>130</v>
      </c>
      <c r="BH683" s="0" t="s">
        <v>130</v>
      </c>
      <c r="BI683" s="0" t="s">
        <v>130</v>
      </c>
      <c r="BJ683" s="0" t="s">
        <v>130</v>
      </c>
      <c r="BK683" s="0" t="s">
        <v>130</v>
      </c>
      <c r="BL683" s="0" t="s">
        <v>130</v>
      </c>
      <c r="BM683" s="0" t="s">
        <v>130</v>
      </c>
      <c r="BN683" s="0" t="s">
        <v>130</v>
      </c>
      <c r="BO683" s="0" t="s">
        <v>130</v>
      </c>
      <c r="BP683" s="0" t="s">
        <v>130</v>
      </c>
      <c r="BQ683" s="0" t="s">
        <v>130</v>
      </c>
      <c r="BR683" s="0" t="s">
        <v>130</v>
      </c>
      <c r="BS683" s="0" t="s">
        <v>130</v>
      </c>
      <c r="BT683" s="0" t="s">
        <v>130</v>
      </c>
      <c r="BU683" s="0" t="s">
        <v>130</v>
      </c>
      <c r="BV683" s="0" t="s">
        <v>130</v>
      </c>
      <c r="BW683" s="0" t="s">
        <v>130</v>
      </c>
      <c r="BX683" s="0" t="s">
        <v>130</v>
      </c>
      <c r="BY683" s="0" t="s">
        <v>130</v>
      </c>
      <c r="BZ683" s="0" t="s">
        <v>130</v>
      </c>
      <c r="CA683" s="0" t="s">
        <v>130</v>
      </c>
      <c r="CB683" s="0" t="s">
        <v>130</v>
      </c>
      <c r="CC683" s="0" t="s">
        <v>130</v>
      </c>
      <c r="CD683" s="0" t="s">
        <v>130</v>
      </c>
      <c r="CE683" s="0" t="s">
        <v>130</v>
      </c>
      <c r="CF683" s="0" t="s">
        <v>130</v>
      </c>
      <c r="CG683" s="0" t="s">
        <v>130</v>
      </c>
      <c r="CH683" s="0" t="s">
        <v>130</v>
      </c>
      <c r="CI683" s="0" t="s">
        <v>130</v>
      </c>
      <c r="CJ683" s="0" t="s">
        <v>130</v>
      </c>
      <c r="CK683" s="0" t="s">
        <v>130</v>
      </c>
      <c r="CL683" s="0" t="s">
        <v>130</v>
      </c>
      <c r="CM683" s="0" t="s">
        <v>130</v>
      </c>
      <c r="CN683" s="0" t="s">
        <v>130</v>
      </c>
      <c r="CO683" s="0" t="s">
        <v>130</v>
      </c>
      <c r="CP683" s="0" t="s">
        <v>130</v>
      </c>
      <c r="CQ683" s="0" t="s">
        <v>130</v>
      </c>
      <c r="CR683" s="0" t="s">
        <v>130</v>
      </c>
      <c r="CS683" s="0" t="s">
        <v>130</v>
      </c>
      <c r="CT683" s="0" t="s">
        <v>2202</v>
      </c>
    </row>
    <row r="684">
      <c r="A684" s="14">
        <v>108620</v>
      </c>
      <c r="B684" s="0" t="s">
        <v>2194</v>
      </c>
      <c r="C684" s="16">
        <f>HYPERLINK("https://eosportal.federatedhermes.com/companies/Q29tcGFueQppNzU3MjE=", "Canadian Imperial Bank of Commerce")</f>
      </c>
      <c r="D684" s="0" t="s">
        <v>25</v>
      </c>
      <c r="E684" s="0" t="s">
        <v>1871</v>
      </c>
      <c r="F684" s="16">
        <f>HYPERLINK("https://eosportal.federatedhermes.com/engagements/RW5nYWdlbWVudAppMjE3NjI=", "Women and Covid-19")</f>
      </c>
      <c r="G684" s="14" t="s">
        <v>1872</v>
      </c>
      <c r="H684" s="0" t="s">
        <v>141</v>
      </c>
      <c r="I684" s="14" t="s">
        <v>191</v>
      </c>
      <c r="J684" s="0" t="s">
        <v>153</v>
      </c>
      <c r="K684" s="0" t="s">
        <v>154</v>
      </c>
      <c r="L684" s="0" t="s">
        <v>155</v>
      </c>
      <c r="M684" s="0" t="s">
        <v>135</v>
      </c>
      <c r="N684" s="0" t="s">
        <v>1678</v>
      </c>
      <c r="O684" s="0" t="s">
        <v>238</v>
      </c>
      <c r="Q684" s="0" t="s">
        <v>130</v>
      </c>
      <c r="R684" s="0" t="s">
        <v>138</v>
      </c>
      <c r="S684" s="14">
        <v>0</v>
      </c>
      <c r="T684" s="0" t="s">
        <v>206</v>
      </c>
      <c r="U684" s="0" t="s">
        <v>138</v>
      </c>
      <c r="V684" s="14" t="s">
        <v>138</v>
      </c>
      <c r="W684" s="0" t="s">
        <v>138</v>
      </c>
      <c r="X684" s="14" t="s">
        <v>138</v>
      </c>
      <c r="Y684" s="0" t="s">
        <v>138</v>
      </c>
      <c r="Z684" s="14" t="s">
        <v>138</v>
      </c>
      <c r="AA684" s="0" t="s">
        <v>138</v>
      </c>
      <c r="AB684" s="14" t="s">
        <v>138</v>
      </c>
      <c r="AD684" s="0" t="s">
        <v>138</v>
      </c>
      <c r="AF684" s="0">
        <v>0</v>
      </c>
      <c r="AG684" s="0">
        <v>0</v>
      </c>
      <c r="AH684" s="0" t="s">
        <v>140</v>
      </c>
      <c r="AI684" s="0" t="s">
        <v>138</v>
      </c>
      <c r="AL684" s="14"/>
      <c r="AN684" s="14"/>
      <c r="AQ684" s="0" t="s">
        <v>130</v>
      </c>
      <c r="AR684" s="0" t="s">
        <v>130</v>
      </c>
      <c r="AS684" s="0" t="s">
        <v>130</v>
      </c>
      <c r="AT684" s="0" t="s">
        <v>130</v>
      </c>
      <c r="AU684" s="0" t="s">
        <v>130</v>
      </c>
      <c r="AV684" s="0" t="s">
        <v>130</v>
      </c>
      <c r="AW684" s="0" t="s">
        <v>130</v>
      </c>
      <c r="AX684" s="0" t="s">
        <v>141</v>
      </c>
      <c r="AY684" s="0" t="s">
        <v>130</v>
      </c>
      <c r="AZ684" s="0" t="s">
        <v>130</v>
      </c>
      <c r="BA684" s="0" t="s">
        <v>130</v>
      </c>
      <c r="BB684" s="0" t="s">
        <v>130</v>
      </c>
      <c r="BC684" s="0" t="s">
        <v>130</v>
      </c>
      <c r="BD684" s="0" t="s">
        <v>130</v>
      </c>
      <c r="BE684" s="0" t="s">
        <v>130</v>
      </c>
      <c r="BF684" s="0" t="s">
        <v>130</v>
      </c>
      <c r="BG684" s="0" t="s">
        <v>130</v>
      </c>
      <c r="BH684" s="0" t="s">
        <v>130</v>
      </c>
      <c r="BI684" s="0" t="s">
        <v>130</v>
      </c>
      <c r="BJ684" s="0" t="s">
        <v>130</v>
      </c>
      <c r="BK684" s="0" t="s">
        <v>130</v>
      </c>
      <c r="BL684" s="0" t="s">
        <v>130</v>
      </c>
      <c r="BM684" s="0" t="s">
        <v>130</v>
      </c>
      <c r="BN684" s="0" t="s">
        <v>130</v>
      </c>
      <c r="BO684" s="0" t="s">
        <v>130</v>
      </c>
      <c r="BP684" s="0" t="s">
        <v>130</v>
      </c>
      <c r="BQ684" s="0" t="s">
        <v>130</v>
      </c>
      <c r="BR684" s="0" t="s">
        <v>130</v>
      </c>
      <c r="BS684" s="0" t="s">
        <v>130</v>
      </c>
      <c r="BT684" s="0" t="s">
        <v>130</v>
      </c>
      <c r="BU684" s="0" t="s">
        <v>130</v>
      </c>
      <c r="BV684" s="0" t="s">
        <v>130</v>
      </c>
      <c r="BW684" s="0" t="s">
        <v>130</v>
      </c>
      <c r="BX684" s="0" t="s">
        <v>130</v>
      </c>
      <c r="BY684" s="0" t="s">
        <v>130</v>
      </c>
      <c r="BZ684" s="0" t="s">
        <v>130</v>
      </c>
      <c r="CA684" s="0" t="s">
        <v>130</v>
      </c>
      <c r="CB684" s="0" t="s">
        <v>130</v>
      </c>
      <c r="CC684" s="0" t="s">
        <v>130</v>
      </c>
      <c r="CD684" s="0" t="s">
        <v>130</v>
      </c>
      <c r="CE684" s="0" t="s">
        <v>130</v>
      </c>
      <c r="CF684" s="0" t="s">
        <v>130</v>
      </c>
      <c r="CG684" s="0" t="s">
        <v>130</v>
      </c>
      <c r="CH684" s="0" t="s">
        <v>130</v>
      </c>
      <c r="CI684" s="0" t="s">
        <v>141</v>
      </c>
      <c r="CJ684" s="0" t="s">
        <v>130</v>
      </c>
      <c r="CK684" s="0" t="s">
        <v>130</v>
      </c>
      <c r="CL684" s="0" t="s">
        <v>130</v>
      </c>
      <c r="CM684" s="0" t="s">
        <v>130</v>
      </c>
      <c r="CN684" s="0" t="s">
        <v>130</v>
      </c>
      <c r="CO684" s="0" t="s">
        <v>130</v>
      </c>
      <c r="CP684" s="0" t="s">
        <v>130</v>
      </c>
      <c r="CQ684" s="0" t="s">
        <v>130</v>
      </c>
      <c r="CR684" s="0" t="s">
        <v>130</v>
      </c>
      <c r="CS684" s="0" t="s">
        <v>130</v>
      </c>
      <c r="CT684" s="0" t="s">
        <v>2203</v>
      </c>
    </row>
    <row r="685">
      <c r="A685" s="14">
        <v>108620</v>
      </c>
      <c r="B685" s="0" t="s">
        <v>2194</v>
      </c>
      <c r="C685" s="16">
        <f>HYPERLINK("https://eosportal.federatedhermes.com/companies/Q29tcGFueQppNzU3MjE=", "Canadian Imperial Bank of Commerce")</f>
      </c>
      <c r="D685" s="0" t="s">
        <v>25</v>
      </c>
      <c r="E685" s="0" t="s">
        <v>1034</v>
      </c>
      <c r="F685" s="16">
        <f>HYPERLINK("https://eosportal.federatedhermes.com/engagements/RW5nYWdlbWVudAppMjE3NjM=", "Board composition")</f>
      </c>
      <c r="G685" s="14" t="s">
        <v>2204</v>
      </c>
      <c r="H685" s="0" t="s">
        <v>141</v>
      </c>
      <c r="I685" s="14" t="s">
        <v>191</v>
      </c>
      <c r="J685" s="0" t="s">
        <v>145</v>
      </c>
      <c r="K685" s="0" t="s">
        <v>164</v>
      </c>
      <c r="L685" s="0" t="s">
        <v>165</v>
      </c>
      <c r="M685" s="0" t="s">
        <v>135</v>
      </c>
      <c r="N685" s="0" t="s">
        <v>1678</v>
      </c>
      <c r="O685" s="0" t="s">
        <v>238</v>
      </c>
      <c r="Q685" s="0" t="s">
        <v>130</v>
      </c>
      <c r="R685" s="0" t="s">
        <v>138</v>
      </c>
      <c r="S685" s="14">
        <v>0</v>
      </c>
      <c r="T685" s="0" t="s">
        <v>355</v>
      </c>
      <c r="U685" s="0" t="s">
        <v>138</v>
      </c>
      <c r="V685" s="14" t="s">
        <v>138</v>
      </c>
      <c r="W685" s="0" t="s">
        <v>138</v>
      </c>
      <c r="X685" s="14" t="s">
        <v>138</v>
      </c>
      <c r="Y685" s="0" t="s">
        <v>138</v>
      </c>
      <c r="Z685" s="14" t="s">
        <v>138</v>
      </c>
      <c r="AA685" s="0" t="s">
        <v>138</v>
      </c>
      <c r="AB685" s="14" t="s">
        <v>138</v>
      </c>
      <c r="AD685" s="0" t="s">
        <v>138</v>
      </c>
      <c r="AF685" s="0">
        <v>0</v>
      </c>
      <c r="AG685" s="0">
        <v>0</v>
      </c>
      <c r="AH685" s="0" t="s">
        <v>140</v>
      </c>
      <c r="AI685" s="0" t="s">
        <v>138</v>
      </c>
      <c r="AL685" s="14"/>
      <c r="AN685" s="14"/>
      <c r="AQ685" s="0" t="s">
        <v>130</v>
      </c>
      <c r="AR685" s="0" t="s">
        <v>130</v>
      </c>
      <c r="AS685" s="0" t="s">
        <v>130</v>
      </c>
      <c r="AT685" s="0" t="s">
        <v>130</v>
      </c>
      <c r="AU685" s="0" t="s">
        <v>130</v>
      </c>
      <c r="AV685" s="0" t="s">
        <v>130</v>
      </c>
      <c r="AW685" s="0" t="s">
        <v>130</v>
      </c>
      <c r="AX685" s="0" t="s">
        <v>130</v>
      </c>
      <c r="AY685" s="0" t="s">
        <v>130</v>
      </c>
      <c r="AZ685" s="0" t="s">
        <v>141</v>
      </c>
      <c r="BA685" s="0" t="s">
        <v>130</v>
      </c>
      <c r="BB685" s="0" t="s">
        <v>130</v>
      </c>
      <c r="BC685" s="0" t="s">
        <v>130</v>
      </c>
      <c r="BD685" s="0" t="s">
        <v>130</v>
      </c>
      <c r="BE685" s="0" t="s">
        <v>130</v>
      </c>
      <c r="BF685" s="0" t="s">
        <v>130</v>
      </c>
      <c r="BG685" s="0" t="s">
        <v>130</v>
      </c>
      <c r="BH685" s="0" t="s">
        <v>130</v>
      </c>
      <c r="BI685" s="0" t="s">
        <v>130</v>
      </c>
      <c r="BJ685" s="0" t="s">
        <v>130</v>
      </c>
      <c r="BK685" s="0" t="s">
        <v>130</v>
      </c>
      <c r="BL685" s="0" t="s">
        <v>130</v>
      </c>
      <c r="BM685" s="0" t="s">
        <v>130</v>
      </c>
      <c r="BN685" s="0" t="s">
        <v>130</v>
      </c>
      <c r="BO685" s="0" t="s">
        <v>130</v>
      </c>
      <c r="BP685" s="0" t="s">
        <v>130</v>
      </c>
      <c r="BQ685" s="0" t="s">
        <v>130</v>
      </c>
      <c r="BR685" s="0" t="s">
        <v>130</v>
      </c>
      <c r="BS685" s="0" t="s">
        <v>130</v>
      </c>
      <c r="BT685" s="0" t="s">
        <v>130</v>
      </c>
      <c r="BU685" s="0" t="s">
        <v>130</v>
      </c>
      <c r="BV685" s="0" t="s">
        <v>130</v>
      </c>
      <c r="BW685" s="0" t="s">
        <v>130</v>
      </c>
      <c r="BX685" s="0" t="s">
        <v>130</v>
      </c>
      <c r="BY685" s="0" t="s">
        <v>130</v>
      </c>
      <c r="BZ685" s="0" t="s">
        <v>130</v>
      </c>
      <c r="CA685" s="0" t="s">
        <v>130</v>
      </c>
      <c r="CB685" s="0" t="s">
        <v>130</v>
      </c>
      <c r="CC685" s="0" t="s">
        <v>130</v>
      </c>
      <c r="CD685" s="0" t="s">
        <v>130</v>
      </c>
      <c r="CE685" s="0" t="s">
        <v>130</v>
      </c>
      <c r="CF685" s="0" t="s">
        <v>130</v>
      </c>
      <c r="CG685" s="0" t="s">
        <v>130</v>
      </c>
      <c r="CH685" s="0" t="s">
        <v>130</v>
      </c>
      <c r="CI685" s="0" t="s">
        <v>130</v>
      </c>
      <c r="CJ685" s="0" t="s">
        <v>130</v>
      </c>
      <c r="CK685" s="0" t="s">
        <v>130</v>
      </c>
      <c r="CL685" s="0" t="s">
        <v>130</v>
      </c>
      <c r="CM685" s="0" t="s">
        <v>130</v>
      </c>
      <c r="CN685" s="0" t="s">
        <v>130</v>
      </c>
      <c r="CO685" s="0" t="s">
        <v>130</v>
      </c>
      <c r="CP685" s="0" t="s">
        <v>130</v>
      </c>
      <c r="CQ685" s="0" t="s">
        <v>130</v>
      </c>
      <c r="CR685" s="0" t="s">
        <v>130</v>
      </c>
      <c r="CS685" s="0" t="s">
        <v>130</v>
      </c>
      <c r="CT685" s="0" t="s">
        <v>2205</v>
      </c>
    </row>
    <row r="686">
      <c r="A686" s="14">
        <v>108620</v>
      </c>
      <c r="B686" s="0" t="s">
        <v>2194</v>
      </c>
      <c r="C686" s="16">
        <f>HYPERLINK("https://eosportal.federatedhermes.com/companies/Q29tcGFueQppNzU3MjE=", "Canadian Imperial Bank of Commerce")</f>
      </c>
      <c r="D686" s="0" t="s">
        <v>25</v>
      </c>
      <c r="E686" s="0" t="s">
        <v>1900</v>
      </c>
      <c r="F686" s="16">
        <f>HYPERLINK("https://eosportal.federatedhermes.com/engagements/RW5nYWdlbWVudAppMjE3NjQ=", "Business purpose")</f>
      </c>
      <c r="G686" s="14" t="s">
        <v>2206</v>
      </c>
      <c r="H686" s="0" t="s">
        <v>141</v>
      </c>
      <c r="I686" s="14" t="s">
        <v>191</v>
      </c>
      <c r="J686" s="0" t="s">
        <v>132</v>
      </c>
      <c r="K686" s="0" t="s">
        <v>133</v>
      </c>
      <c r="L686" s="0" t="s">
        <v>134</v>
      </c>
      <c r="M686" s="0" t="s">
        <v>135</v>
      </c>
      <c r="N686" s="0" t="s">
        <v>1678</v>
      </c>
      <c r="O686" s="0" t="s">
        <v>238</v>
      </c>
      <c r="Q686" s="0" t="s">
        <v>141</v>
      </c>
      <c r="R686" s="0" t="s">
        <v>138</v>
      </c>
      <c r="S686" s="14">
        <v>1</v>
      </c>
      <c r="T686" s="0" t="s">
        <v>333</v>
      </c>
      <c r="U686" s="0" t="s">
        <v>138</v>
      </c>
      <c r="V686" s="14" t="s">
        <v>138</v>
      </c>
      <c r="W686" s="0" t="s">
        <v>138</v>
      </c>
      <c r="X686" s="14" t="s">
        <v>138</v>
      </c>
      <c r="Y686" s="0" t="s">
        <v>138</v>
      </c>
      <c r="Z686" s="14" t="s">
        <v>138</v>
      </c>
      <c r="AA686" s="0" t="s">
        <v>138</v>
      </c>
      <c r="AB686" s="14" t="s">
        <v>138</v>
      </c>
      <c r="AD686" s="0" t="s">
        <v>138</v>
      </c>
      <c r="AF686" s="0">
        <v>0</v>
      </c>
      <c r="AG686" s="0">
        <v>0</v>
      </c>
      <c r="AH686" s="0" t="s">
        <v>140</v>
      </c>
      <c r="AI686" s="0" t="s">
        <v>138</v>
      </c>
      <c r="AK686" s="0" t="s">
        <v>1386</v>
      </c>
      <c r="AL686" s="14"/>
      <c r="AN686" s="14"/>
      <c r="AQ686" s="0" t="s">
        <v>130</v>
      </c>
      <c r="AR686" s="0" t="s">
        <v>130</v>
      </c>
      <c r="AS686" s="0" t="s">
        <v>130</v>
      </c>
      <c r="AT686" s="0" t="s">
        <v>130</v>
      </c>
      <c r="AU686" s="0" t="s">
        <v>130</v>
      </c>
      <c r="AV686" s="0" t="s">
        <v>130</v>
      </c>
      <c r="AW686" s="0" t="s">
        <v>130</v>
      </c>
      <c r="AX686" s="0" t="s">
        <v>130</v>
      </c>
      <c r="AY686" s="0" t="s">
        <v>130</v>
      </c>
      <c r="AZ686" s="0" t="s">
        <v>130</v>
      </c>
      <c r="BA686" s="0" t="s">
        <v>130</v>
      </c>
      <c r="BB686" s="0" t="s">
        <v>130</v>
      </c>
      <c r="BC686" s="0" t="s">
        <v>130</v>
      </c>
      <c r="BD686" s="0" t="s">
        <v>130</v>
      </c>
      <c r="BE686" s="0" t="s">
        <v>130</v>
      </c>
      <c r="BF686" s="0" t="s">
        <v>130</v>
      </c>
      <c r="BG686" s="0" t="s">
        <v>130</v>
      </c>
      <c r="BH686" s="0" t="s">
        <v>130</v>
      </c>
      <c r="BI686" s="0" t="s">
        <v>130</v>
      </c>
      <c r="BJ686" s="0" t="s">
        <v>130</v>
      </c>
      <c r="BK686" s="0" t="s">
        <v>130</v>
      </c>
      <c r="BL686" s="0" t="s">
        <v>130</v>
      </c>
      <c r="BM686" s="0" t="s">
        <v>130</v>
      </c>
      <c r="BN686" s="0" t="s">
        <v>130</v>
      </c>
      <c r="BO686" s="0" t="s">
        <v>130</v>
      </c>
      <c r="BP686" s="0" t="s">
        <v>130</v>
      </c>
      <c r="BQ686" s="0" t="s">
        <v>130</v>
      </c>
      <c r="BR686" s="0" t="s">
        <v>130</v>
      </c>
      <c r="BS686" s="0" t="s">
        <v>130</v>
      </c>
      <c r="BT686" s="0" t="s">
        <v>130</v>
      </c>
      <c r="BU686" s="0" t="s">
        <v>130</v>
      </c>
      <c r="BV686" s="0" t="s">
        <v>130</v>
      </c>
      <c r="BW686" s="0" t="s">
        <v>130</v>
      </c>
      <c r="BX686" s="0" t="s">
        <v>130</v>
      </c>
      <c r="BY686" s="0" t="s">
        <v>130</v>
      </c>
      <c r="BZ686" s="0" t="s">
        <v>130</v>
      </c>
      <c r="CA686" s="0" t="s">
        <v>130</v>
      </c>
      <c r="CB686" s="0" t="s">
        <v>130</v>
      </c>
      <c r="CC686" s="0" t="s">
        <v>130</v>
      </c>
      <c r="CD686" s="0" t="s">
        <v>130</v>
      </c>
      <c r="CE686" s="0" t="s">
        <v>130</v>
      </c>
      <c r="CF686" s="0" t="s">
        <v>130</v>
      </c>
      <c r="CG686" s="0" t="s">
        <v>130</v>
      </c>
      <c r="CH686" s="0" t="s">
        <v>130</v>
      </c>
      <c r="CI686" s="0" t="s">
        <v>130</v>
      </c>
      <c r="CJ686" s="0" t="s">
        <v>130</v>
      </c>
      <c r="CK686" s="0" t="s">
        <v>130</v>
      </c>
      <c r="CL686" s="0" t="s">
        <v>130</v>
      </c>
      <c r="CM686" s="0" t="s">
        <v>130</v>
      </c>
      <c r="CN686" s="0" t="s">
        <v>130</v>
      </c>
      <c r="CO686" s="0" t="s">
        <v>130</v>
      </c>
      <c r="CP686" s="0" t="s">
        <v>130</v>
      </c>
      <c r="CQ686" s="0" t="s">
        <v>130</v>
      </c>
      <c r="CR686" s="0" t="s">
        <v>130</v>
      </c>
      <c r="CS686" s="0" t="s">
        <v>130</v>
      </c>
      <c r="CT686" s="0" t="s">
        <v>2207</v>
      </c>
    </row>
    <row r="687">
      <c r="A687" s="14">
        <v>108620</v>
      </c>
      <c r="B687" s="0" t="s">
        <v>2194</v>
      </c>
      <c r="C687" s="16">
        <f>HYPERLINK("https://eosportal.federatedhermes.com/companies/Q29tcGFueQppNzU3MjE=", "Canadian Imperial Bank of Commerce")</f>
      </c>
      <c r="D687" s="0" t="s">
        <v>25</v>
      </c>
      <c r="E687" s="0" t="s">
        <v>2208</v>
      </c>
      <c r="F687" s="16">
        <f>HYPERLINK("https://eosportal.federatedhermes.com/engagements/RW5nYWdlbWVudAppMjE3NjU=", "Artificial intelligence")</f>
      </c>
      <c r="G687" s="14" t="s">
        <v>2209</v>
      </c>
      <c r="H687" s="0" t="s">
        <v>141</v>
      </c>
      <c r="I687" s="14" t="s">
        <v>191</v>
      </c>
      <c r="J687" s="0" t="s">
        <v>153</v>
      </c>
      <c r="K687" s="0" t="s">
        <v>243</v>
      </c>
      <c r="L687" s="0" t="s">
        <v>537</v>
      </c>
      <c r="M687" s="0" t="s">
        <v>135</v>
      </c>
      <c r="N687" s="0" t="s">
        <v>1678</v>
      </c>
      <c r="O687" s="0" t="s">
        <v>238</v>
      </c>
      <c r="Q687" s="0" t="s">
        <v>141</v>
      </c>
      <c r="R687" s="0" t="s">
        <v>138</v>
      </c>
      <c r="S687" s="14">
        <v>2</v>
      </c>
      <c r="T687" s="0" t="s">
        <v>139</v>
      </c>
      <c r="U687" s="0" t="s">
        <v>138</v>
      </c>
      <c r="V687" s="14" t="s">
        <v>138</v>
      </c>
      <c r="W687" s="0" t="s">
        <v>138</v>
      </c>
      <c r="X687" s="14" t="s">
        <v>138</v>
      </c>
      <c r="Y687" s="0" t="s">
        <v>138</v>
      </c>
      <c r="Z687" s="14" t="s">
        <v>138</v>
      </c>
      <c r="AA687" s="0" t="s">
        <v>138</v>
      </c>
      <c r="AB687" s="14" t="s">
        <v>138</v>
      </c>
      <c r="AD687" s="0" t="s">
        <v>138</v>
      </c>
      <c r="AF687" s="0">
        <v>0</v>
      </c>
      <c r="AG687" s="0">
        <v>0</v>
      </c>
      <c r="AH687" s="0" t="s">
        <v>140</v>
      </c>
      <c r="AI687" s="0" t="s">
        <v>138</v>
      </c>
      <c r="AK687" s="0" t="s">
        <v>1950</v>
      </c>
      <c r="AL687" s="14"/>
      <c r="AN687" s="14"/>
      <c r="AQ687" s="0" t="s">
        <v>130</v>
      </c>
      <c r="AR687" s="0" t="s">
        <v>130</v>
      </c>
      <c r="AS687" s="0" t="s">
        <v>130</v>
      </c>
      <c r="AT687" s="0" t="s">
        <v>130</v>
      </c>
      <c r="AU687" s="0" t="s">
        <v>130</v>
      </c>
      <c r="AV687" s="0" t="s">
        <v>130</v>
      </c>
      <c r="AW687" s="0" t="s">
        <v>130</v>
      </c>
      <c r="AX687" s="0" t="s">
        <v>130</v>
      </c>
      <c r="AY687" s="0" t="s">
        <v>130</v>
      </c>
      <c r="AZ687" s="0" t="s">
        <v>130</v>
      </c>
      <c r="BA687" s="0" t="s">
        <v>130</v>
      </c>
      <c r="BB687" s="0" t="s">
        <v>130</v>
      </c>
      <c r="BC687" s="0" t="s">
        <v>130</v>
      </c>
      <c r="BD687" s="0" t="s">
        <v>130</v>
      </c>
      <c r="BE687" s="0" t="s">
        <v>130</v>
      </c>
      <c r="BF687" s="0" t="s">
        <v>141</v>
      </c>
      <c r="BG687" s="0" t="s">
        <v>130</v>
      </c>
      <c r="BH687" s="0" t="s">
        <v>130</v>
      </c>
      <c r="BI687" s="0" t="s">
        <v>130</v>
      </c>
      <c r="BJ687" s="0" t="s">
        <v>130</v>
      </c>
      <c r="BK687" s="0" t="s">
        <v>130</v>
      </c>
      <c r="BL687" s="0" t="s">
        <v>130</v>
      </c>
      <c r="BM687" s="0" t="s">
        <v>130</v>
      </c>
      <c r="BN687" s="0" t="s">
        <v>130</v>
      </c>
      <c r="BO687" s="0" t="s">
        <v>130</v>
      </c>
      <c r="BP687" s="0" t="s">
        <v>130</v>
      </c>
      <c r="BQ687" s="0" t="s">
        <v>130</v>
      </c>
      <c r="BR687" s="0" t="s">
        <v>130</v>
      </c>
      <c r="BS687" s="0" t="s">
        <v>130</v>
      </c>
      <c r="BT687" s="0" t="s">
        <v>130</v>
      </c>
      <c r="BU687" s="0" t="s">
        <v>130</v>
      </c>
      <c r="BV687" s="0" t="s">
        <v>130</v>
      </c>
      <c r="BW687" s="0" t="s">
        <v>130</v>
      </c>
      <c r="BX687" s="0" t="s">
        <v>130</v>
      </c>
      <c r="BY687" s="0" t="s">
        <v>130</v>
      </c>
      <c r="BZ687" s="0" t="s">
        <v>130</v>
      </c>
      <c r="CA687" s="0" t="s">
        <v>130</v>
      </c>
      <c r="CB687" s="0" t="s">
        <v>130</v>
      </c>
      <c r="CC687" s="0" t="s">
        <v>130</v>
      </c>
      <c r="CD687" s="0" t="s">
        <v>130</v>
      </c>
      <c r="CE687" s="0" t="s">
        <v>130</v>
      </c>
      <c r="CF687" s="0" t="s">
        <v>130</v>
      </c>
      <c r="CG687" s="0" t="s">
        <v>130</v>
      </c>
      <c r="CH687" s="0" t="s">
        <v>130</v>
      </c>
      <c r="CI687" s="0" t="s">
        <v>130</v>
      </c>
      <c r="CJ687" s="0" t="s">
        <v>130</v>
      </c>
      <c r="CK687" s="0" t="s">
        <v>130</v>
      </c>
      <c r="CL687" s="0" t="s">
        <v>130</v>
      </c>
      <c r="CM687" s="0" t="s">
        <v>130</v>
      </c>
      <c r="CN687" s="0" t="s">
        <v>130</v>
      </c>
      <c r="CO687" s="0" t="s">
        <v>130</v>
      </c>
      <c r="CP687" s="0" t="s">
        <v>130</v>
      </c>
      <c r="CQ687" s="0" t="s">
        <v>130</v>
      </c>
      <c r="CR687" s="0" t="s">
        <v>130</v>
      </c>
      <c r="CS687" s="0" t="s">
        <v>130</v>
      </c>
      <c r="CT687" s="0" t="s">
        <v>2210</v>
      </c>
    </row>
    <row r="688">
      <c r="A688" s="14">
        <v>108620</v>
      </c>
      <c r="B688" s="0" t="s">
        <v>2194</v>
      </c>
      <c r="C688" s="16">
        <f>HYPERLINK("https://eosportal.federatedhermes.com/companies/Q29tcGFueQppNzU3MjE=", "Canadian Imperial Bank of Commerce")</f>
      </c>
      <c r="D688" s="0" t="s">
        <v>25</v>
      </c>
      <c r="E688" s="0" t="s">
        <v>2211</v>
      </c>
      <c r="F688" s="16">
        <f>HYPERLINK("https://eosportal.federatedhermes.com/engagements/RW5nYWdlbWVudAppMjE3NjY=", "Climate change - TCFD")</f>
      </c>
      <c r="G688" s="14" t="s">
        <v>2212</v>
      </c>
      <c r="H688" s="0" t="s">
        <v>141</v>
      </c>
      <c r="I688" s="14" t="s">
        <v>191</v>
      </c>
      <c r="J688" s="0" t="s">
        <v>197</v>
      </c>
      <c r="K688" s="0" t="s">
        <v>198</v>
      </c>
      <c r="L688" s="0" t="s">
        <v>199</v>
      </c>
      <c r="M688" s="0" t="s">
        <v>135</v>
      </c>
      <c r="N688" s="0" t="s">
        <v>1678</v>
      </c>
      <c r="O688" s="0" t="s">
        <v>238</v>
      </c>
      <c r="Q688" s="0" t="s">
        <v>130</v>
      </c>
      <c r="R688" s="0" t="s">
        <v>138</v>
      </c>
      <c r="S688" s="14">
        <v>0</v>
      </c>
      <c r="T688" s="0" t="s">
        <v>1145</v>
      </c>
      <c r="U688" s="0" t="s">
        <v>138</v>
      </c>
      <c r="V688" s="14" t="s">
        <v>138</v>
      </c>
      <c r="W688" s="0" t="s">
        <v>138</v>
      </c>
      <c r="X688" s="14" t="s">
        <v>138</v>
      </c>
      <c r="Y688" s="0" t="s">
        <v>138</v>
      </c>
      <c r="Z688" s="14" t="s">
        <v>138</v>
      </c>
      <c r="AA688" s="0" t="s">
        <v>138</v>
      </c>
      <c r="AB688" s="14" t="s">
        <v>138</v>
      </c>
      <c r="AD688" s="0" t="s">
        <v>138</v>
      </c>
      <c r="AF688" s="0">
        <v>0</v>
      </c>
      <c r="AG688" s="0">
        <v>0</v>
      </c>
      <c r="AH688" s="0" t="s">
        <v>140</v>
      </c>
      <c r="AI688" s="0" t="s">
        <v>138</v>
      </c>
      <c r="AL688" s="14"/>
      <c r="AN688" s="14"/>
      <c r="AQ688" s="0" t="s">
        <v>130</v>
      </c>
      <c r="AR688" s="0" t="s">
        <v>130</v>
      </c>
      <c r="AS688" s="0" t="s">
        <v>130</v>
      </c>
      <c r="AT688" s="0" t="s">
        <v>130</v>
      </c>
      <c r="AU688" s="0" t="s">
        <v>130</v>
      </c>
      <c r="AV688" s="0" t="s">
        <v>130</v>
      </c>
      <c r="AW688" s="0" t="s">
        <v>130</v>
      </c>
      <c r="AX688" s="0" t="s">
        <v>130</v>
      </c>
      <c r="AY688" s="0" t="s">
        <v>130</v>
      </c>
      <c r="AZ688" s="0" t="s">
        <v>130</v>
      </c>
      <c r="BA688" s="0" t="s">
        <v>130</v>
      </c>
      <c r="BB688" s="0" t="s">
        <v>141</v>
      </c>
      <c r="BC688" s="0" t="s">
        <v>141</v>
      </c>
      <c r="BD688" s="0" t="s">
        <v>130</v>
      </c>
      <c r="BE688" s="0" t="s">
        <v>130</v>
      </c>
      <c r="BF688" s="0" t="s">
        <v>130</v>
      </c>
      <c r="BG688" s="0" t="s">
        <v>130</v>
      </c>
      <c r="BH688" s="0" t="s">
        <v>130</v>
      </c>
      <c r="BI688" s="0" t="s">
        <v>130</v>
      </c>
      <c r="BJ688" s="0" t="s">
        <v>130</v>
      </c>
      <c r="BK688" s="0" t="s">
        <v>130</v>
      </c>
      <c r="BL688" s="0" t="s">
        <v>130</v>
      </c>
      <c r="BM688" s="0" t="s">
        <v>130</v>
      </c>
      <c r="BN688" s="0" t="s">
        <v>130</v>
      </c>
      <c r="BO688" s="0" t="s">
        <v>130</v>
      </c>
      <c r="BP688" s="0" t="s">
        <v>130</v>
      </c>
      <c r="BQ688" s="0" t="s">
        <v>130</v>
      </c>
      <c r="BR688" s="0" t="s">
        <v>130</v>
      </c>
      <c r="BS688" s="0" t="s">
        <v>130</v>
      </c>
      <c r="BT688" s="0" t="s">
        <v>130</v>
      </c>
      <c r="BU688" s="0" t="s">
        <v>130</v>
      </c>
      <c r="BV688" s="0" t="s">
        <v>130</v>
      </c>
      <c r="BW688" s="0" t="s">
        <v>130</v>
      </c>
      <c r="BX688" s="0" t="s">
        <v>130</v>
      </c>
      <c r="BY688" s="0" t="s">
        <v>130</v>
      </c>
      <c r="BZ688" s="0" t="s">
        <v>130</v>
      </c>
      <c r="CA688" s="0" t="s">
        <v>130</v>
      </c>
      <c r="CB688" s="0" t="s">
        <v>130</v>
      </c>
      <c r="CC688" s="0" t="s">
        <v>130</v>
      </c>
      <c r="CD688" s="0" t="s">
        <v>130</v>
      </c>
      <c r="CE688" s="0" t="s">
        <v>130</v>
      </c>
      <c r="CF688" s="0" t="s">
        <v>130</v>
      </c>
      <c r="CG688" s="0" t="s">
        <v>130</v>
      </c>
      <c r="CH688" s="0" t="s">
        <v>130</v>
      </c>
      <c r="CI688" s="0" t="s">
        <v>130</v>
      </c>
      <c r="CJ688" s="0" t="s">
        <v>130</v>
      </c>
      <c r="CK688" s="0" t="s">
        <v>130</v>
      </c>
      <c r="CL688" s="0" t="s">
        <v>130</v>
      </c>
      <c r="CM688" s="0" t="s">
        <v>130</v>
      </c>
      <c r="CN688" s="0" t="s">
        <v>130</v>
      </c>
      <c r="CO688" s="0" t="s">
        <v>130</v>
      </c>
      <c r="CP688" s="0" t="s">
        <v>130</v>
      </c>
      <c r="CQ688" s="0" t="s">
        <v>130</v>
      </c>
      <c r="CR688" s="0" t="s">
        <v>130</v>
      </c>
      <c r="CS688" s="0" t="s">
        <v>130</v>
      </c>
      <c r="CT688" s="0" t="s">
        <v>2213</v>
      </c>
    </row>
    <row r="689">
      <c r="A689" s="14">
        <v>108444</v>
      </c>
      <c r="B689" s="0" t="s">
        <v>2214</v>
      </c>
      <c r="C689" s="16">
        <f>HYPERLINK("https://eosportal.federatedhermes.com/companies/Q29tcGFueQppNjQzNzA=", "Bank of Montreal")</f>
      </c>
      <c r="D689" s="0" t="s">
        <v>25</v>
      </c>
      <c r="E689" s="0" t="s">
        <v>912</v>
      </c>
      <c r="F689" s="16">
        <f>HYPERLINK("https://eosportal.federatedhermes.com/engagements/RW5nYWdlbWVudAppMjE3OTk=", "Executive remuneration")</f>
      </c>
      <c r="G689" s="14" t="s">
        <v>2215</v>
      </c>
      <c r="H689" s="0" t="s">
        <v>141</v>
      </c>
      <c r="I689" s="14" t="s">
        <v>191</v>
      </c>
      <c r="J689" s="0" t="s">
        <v>145</v>
      </c>
      <c r="K689" s="0" t="s">
        <v>146</v>
      </c>
      <c r="L689" s="0" t="s">
        <v>147</v>
      </c>
      <c r="M689" s="0" t="s">
        <v>135</v>
      </c>
      <c r="N689" s="0" t="s">
        <v>1678</v>
      </c>
      <c r="O689" s="0" t="s">
        <v>238</v>
      </c>
      <c r="Q689" s="0" t="s">
        <v>130</v>
      </c>
      <c r="R689" s="0" t="s">
        <v>138</v>
      </c>
      <c r="S689" s="14">
        <v>0</v>
      </c>
      <c r="T689" s="0" t="s">
        <v>1520</v>
      </c>
      <c r="U689" s="0" t="s">
        <v>138</v>
      </c>
      <c r="V689" s="14" t="s">
        <v>138</v>
      </c>
      <c r="W689" s="0" t="s">
        <v>138</v>
      </c>
      <c r="X689" s="14" t="s">
        <v>138</v>
      </c>
      <c r="Y689" s="0" t="s">
        <v>138</v>
      </c>
      <c r="Z689" s="14" t="s">
        <v>138</v>
      </c>
      <c r="AA689" s="0" t="s">
        <v>138</v>
      </c>
      <c r="AB689" s="14" t="s">
        <v>138</v>
      </c>
      <c r="AD689" s="0" t="s">
        <v>138</v>
      </c>
      <c r="AF689" s="0">
        <v>0</v>
      </c>
      <c r="AG689" s="0">
        <v>0</v>
      </c>
      <c r="AH689" s="0" t="s">
        <v>140</v>
      </c>
      <c r="AI689" s="0" t="s">
        <v>138</v>
      </c>
      <c r="AL689" s="14"/>
      <c r="AN689" s="14"/>
      <c r="AQ689" s="0" t="s">
        <v>130</v>
      </c>
      <c r="AR689" s="0" t="s">
        <v>130</v>
      </c>
      <c r="AS689" s="0" t="s">
        <v>130</v>
      </c>
      <c r="AT689" s="0" t="s">
        <v>130</v>
      </c>
      <c r="AU689" s="0" t="s">
        <v>130</v>
      </c>
      <c r="AV689" s="0" t="s">
        <v>130</v>
      </c>
      <c r="AW689" s="0" t="s">
        <v>130</v>
      </c>
      <c r="AX689" s="0" t="s">
        <v>130</v>
      </c>
      <c r="AY689" s="0" t="s">
        <v>130</v>
      </c>
      <c r="AZ689" s="0" t="s">
        <v>130</v>
      </c>
      <c r="BA689" s="0" t="s">
        <v>130</v>
      </c>
      <c r="BB689" s="0" t="s">
        <v>130</v>
      </c>
      <c r="BC689" s="0" t="s">
        <v>130</v>
      </c>
      <c r="BD689" s="0" t="s">
        <v>130</v>
      </c>
      <c r="BE689" s="0" t="s">
        <v>130</v>
      </c>
      <c r="BF689" s="0" t="s">
        <v>130</v>
      </c>
      <c r="BG689" s="0" t="s">
        <v>130</v>
      </c>
      <c r="BH689" s="0" t="s">
        <v>130</v>
      </c>
      <c r="BI689" s="0" t="s">
        <v>130</v>
      </c>
      <c r="BJ689" s="0" t="s">
        <v>130</v>
      </c>
      <c r="BK689" s="0" t="s">
        <v>130</v>
      </c>
      <c r="BL689" s="0" t="s">
        <v>130</v>
      </c>
      <c r="BM689" s="0" t="s">
        <v>130</v>
      </c>
      <c r="BN689" s="0" t="s">
        <v>130</v>
      </c>
      <c r="BO689" s="0" t="s">
        <v>130</v>
      </c>
      <c r="BP689" s="0" t="s">
        <v>130</v>
      </c>
      <c r="BQ689" s="0" t="s">
        <v>130</v>
      </c>
      <c r="BR689" s="0" t="s">
        <v>130</v>
      </c>
      <c r="BS689" s="0" t="s">
        <v>130</v>
      </c>
      <c r="BT689" s="0" t="s">
        <v>130</v>
      </c>
      <c r="BU689" s="0" t="s">
        <v>130</v>
      </c>
      <c r="BV689" s="0" t="s">
        <v>130</v>
      </c>
      <c r="BW689" s="0" t="s">
        <v>130</v>
      </c>
      <c r="BX689" s="0" t="s">
        <v>130</v>
      </c>
      <c r="BY689" s="0" t="s">
        <v>130</v>
      </c>
      <c r="BZ689" s="0" t="s">
        <v>130</v>
      </c>
      <c r="CA689" s="0" t="s">
        <v>130</v>
      </c>
      <c r="CB689" s="0" t="s">
        <v>130</v>
      </c>
      <c r="CC689" s="0" t="s">
        <v>130</v>
      </c>
      <c r="CD689" s="0" t="s">
        <v>130</v>
      </c>
      <c r="CE689" s="0" t="s">
        <v>130</v>
      </c>
      <c r="CF689" s="0" t="s">
        <v>130</v>
      </c>
      <c r="CG689" s="0" t="s">
        <v>130</v>
      </c>
      <c r="CH689" s="0" t="s">
        <v>130</v>
      </c>
      <c r="CI689" s="0" t="s">
        <v>130</v>
      </c>
      <c r="CJ689" s="0" t="s">
        <v>130</v>
      </c>
      <c r="CK689" s="0" t="s">
        <v>130</v>
      </c>
      <c r="CL689" s="0" t="s">
        <v>130</v>
      </c>
      <c r="CM689" s="0" t="s">
        <v>130</v>
      </c>
      <c r="CN689" s="0" t="s">
        <v>130</v>
      </c>
      <c r="CO689" s="0" t="s">
        <v>130</v>
      </c>
      <c r="CP689" s="0" t="s">
        <v>130</v>
      </c>
      <c r="CQ689" s="0" t="s">
        <v>130</v>
      </c>
      <c r="CR689" s="0" t="s">
        <v>130</v>
      </c>
      <c r="CS689" s="0" t="s">
        <v>130</v>
      </c>
      <c r="CT689" s="0" t="s">
        <v>2216</v>
      </c>
    </row>
    <row r="690">
      <c r="A690" s="14">
        <v>108444</v>
      </c>
      <c r="B690" s="0" t="s">
        <v>2214</v>
      </c>
      <c r="C690" s="16">
        <f>HYPERLINK("https://eosportal.federatedhermes.com/companies/Q29tcGFueQppNjQzNzA=", "Bank of Montreal")</f>
      </c>
      <c r="D690" s="0" t="s">
        <v>25</v>
      </c>
      <c r="E690" s="0" t="s">
        <v>2217</v>
      </c>
      <c r="F690" s="16">
        <f>HYPERLINK("https://eosportal.federatedhermes.com/engagements/RW5nYWdlbWVudAppMjE4MDE=", "Director Duties")</f>
      </c>
      <c r="G690" s="14" t="s">
        <v>2218</v>
      </c>
      <c r="H690" s="0" t="s">
        <v>141</v>
      </c>
      <c r="I690" s="14" t="s">
        <v>191</v>
      </c>
      <c r="J690" s="0" t="s">
        <v>145</v>
      </c>
      <c r="K690" s="0" t="s">
        <v>164</v>
      </c>
      <c r="L690" s="0" t="s">
        <v>165</v>
      </c>
      <c r="M690" s="0" t="s">
        <v>135</v>
      </c>
      <c r="N690" s="0" t="s">
        <v>1678</v>
      </c>
      <c r="O690" s="0" t="s">
        <v>238</v>
      </c>
      <c r="Q690" s="0" t="s">
        <v>130</v>
      </c>
      <c r="R690" s="0" t="s">
        <v>138</v>
      </c>
      <c r="S690" s="14">
        <v>0</v>
      </c>
      <c r="T690" s="0" t="s">
        <v>487</v>
      </c>
      <c r="U690" s="0" t="s">
        <v>138</v>
      </c>
      <c r="V690" s="14" t="s">
        <v>138</v>
      </c>
      <c r="W690" s="0" t="s">
        <v>138</v>
      </c>
      <c r="X690" s="14" t="s">
        <v>138</v>
      </c>
      <c r="Y690" s="0" t="s">
        <v>138</v>
      </c>
      <c r="Z690" s="14" t="s">
        <v>138</v>
      </c>
      <c r="AA690" s="0" t="s">
        <v>138</v>
      </c>
      <c r="AB690" s="14" t="s">
        <v>138</v>
      </c>
      <c r="AD690" s="0" t="s">
        <v>138</v>
      </c>
      <c r="AF690" s="0">
        <v>0</v>
      </c>
      <c r="AG690" s="0">
        <v>0</v>
      </c>
      <c r="AH690" s="0" t="s">
        <v>140</v>
      </c>
      <c r="AI690" s="0" t="s">
        <v>138</v>
      </c>
      <c r="AL690" s="14"/>
      <c r="AN690" s="14"/>
      <c r="AQ690" s="0" t="s">
        <v>130</v>
      </c>
      <c r="AR690" s="0" t="s">
        <v>130</v>
      </c>
      <c r="AS690" s="0" t="s">
        <v>130</v>
      </c>
      <c r="AT690" s="0" t="s">
        <v>130</v>
      </c>
      <c r="AU690" s="0" t="s">
        <v>130</v>
      </c>
      <c r="AV690" s="0" t="s">
        <v>130</v>
      </c>
      <c r="AW690" s="0" t="s">
        <v>130</v>
      </c>
      <c r="AX690" s="0" t="s">
        <v>130</v>
      </c>
      <c r="AY690" s="0" t="s">
        <v>130</v>
      </c>
      <c r="AZ690" s="0" t="s">
        <v>130</v>
      </c>
      <c r="BA690" s="0" t="s">
        <v>130</v>
      </c>
      <c r="BB690" s="0" t="s">
        <v>130</v>
      </c>
      <c r="BC690" s="0" t="s">
        <v>130</v>
      </c>
      <c r="BD690" s="0" t="s">
        <v>130</v>
      </c>
      <c r="BE690" s="0" t="s">
        <v>130</v>
      </c>
      <c r="BF690" s="0" t="s">
        <v>130</v>
      </c>
      <c r="BG690" s="0" t="s">
        <v>130</v>
      </c>
      <c r="BH690" s="0" t="s">
        <v>130</v>
      </c>
      <c r="BI690" s="0" t="s">
        <v>130</v>
      </c>
      <c r="BJ690" s="0" t="s">
        <v>130</v>
      </c>
      <c r="BK690" s="0" t="s">
        <v>130</v>
      </c>
      <c r="BL690" s="0" t="s">
        <v>130</v>
      </c>
      <c r="BM690" s="0" t="s">
        <v>130</v>
      </c>
      <c r="BN690" s="0" t="s">
        <v>130</v>
      </c>
      <c r="BO690" s="0" t="s">
        <v>130</v>
      </c>
      <c r="BP690" s="0" t="s">
        <v>130</v>
      </c>
      <c r="BQ690" s="0" t="s">
        <v>130</v>
      </c>
      <c r="BR690" s="0" t="s">
        <v>130</v>
      </c>
      <c r="BS690" s="0" t="s">
        <v>130</v>
      </c>
      <c r="BT690" s="0" t="s">
        <v>130</v>
      </c>
      <c r="BU690" s="0" t="s">
        <v>130</v>
      </c>
      <c r="BV690" s="0" t="s">
        <v>130</v>
      </c>
      <c r="BW690" s="0" t="s">
        <v>130</v>
      </c>
      <c r="BX690" s="0" t="s">
        <v>130</v>
      </c>
      <c r="BY690" s="0" t="s">
        <v>130</v>
      </c>
      <c r="BZ690" s="0" t="s">
        <v>130</v>
      </c>
      <c r="CA690" s="0" t="s">
        <v>130</v>
      </c>
      <c r="CB690" s="0" t="s">
        <v>130</v>
      </c>
      <c r="CC690" s="0" t="s">
        <v>130</v>
      </c>
      <c r="CD690" s="0" t="s">
        <v>130</v>
      </c>
      <c r="CE690" s="0" t="s">
        <v>130</v>
      </c>
      <c r="CF690" s="0" t="s">
        <v>130</v>
      </c>
      <c r="CG690" s="0" t="s">
        <v>130</v>
      </c>
      <c r="CH690" s="0" t="s">
        <v>130</v>
      </c>
      <c r="CI690" s="0" t="s">
        <v>130</v>
      </c>
      <c r="CJ690" s="0" t="s">
        <v>130</v>
      </c>
      <c r="CK690" s="0" t="s">
        <v>130</v>
      </c>
      <c r="CL690" s="0" t="s">
        <v>130</v>
      </c>
      <c r="CM690" s="0" t="s">
        <v>130</v>
      </c>
      <c r="CN690" s="0" t="s">
        <v>130</v>
      </c>
      <c r="CO690" s="0" t="s">
        <v>130</v>
      </c>
      <c r="CP690" s="0" t="s">
        <v>130</v>
      </c>
      <c r="CQ690" s="0" t="s">
        <v>130</v>
      </c>
      <c r="CR690" s="0" t="s">
        <v>130</v>
      </c>
      <c r="CS690" s="0" t="s">
        <v>130</v>
      </c>
      <c r="CT690" s="0" t="s">
        <v>2219</v>
      </c>
    </row>
    <row r="691">
      <c r="A691" s="14">
        <v>108444</v>
      </c>
      <c r="B691" s="0" t="s">
        <v>2214</v>
      </c>
      <c r="C691" s="16">
        <f>HYPERLINK("https://eosportal.federatedhermes.com/companies/Q29tcGFueQppNjQzNzA=", "Bank of Montreal")</f>
      </c>
      <c r="D691" s="0" t="s">
        <v>25</v>
      </c>
      <c r="E691" s="0" t="s">
        <v>1143</v>
      </c>
      <c r="F691" s="16">
        <f>HYPERLINK("https://eosportal.federatedhermes.com/engagements/RW5nYWdlbWVudAppMjE4MDI=", "Corporate Culture")</f>
      </c>
      <c r="G691" s="14" t="s">
        <v>2220</v>
      </c>
      <c r="H691" s="0" t="s">
        <v>141</v>
      </c>
      <c r="I691" s="14" t="s">
        <v>191</v>
      </c>
      <c r="J691" s="0" t="s">
        <v>153</v>
      </c>
      <c r="K691" s="0" t="s">
        <v>185</v>
      </c>
      <c r="L691" s="0" t="s">
        <v>186</v>
      </c>
      <c r="M691" s="0" t="s">
        <v>135</v>
      </c>
      <c r="N691" s="0" t="s">
        <v>1678</v>
      </c>
      <c r="O691" s="0" t="s">
        <v>238</v>
      </c>
      <c r="Q691" s="0" t="s">
        <v>130</v>
      </c>
      <c r="R691" s="0" t="s">
        <v>138</v>
      </c>
      <c r="S691" s="14">
        <v>0</v>
      </c>
      <c r="T691" s="0" t="s">
        <v>457</v>
      </c>
      <c r="U691" s="0" t="s">
        <v>138</v>
      </c>
      <c r="V691" s="14" t="s">
        <v>138</v>
      </c>
      <c r="W691" s="0" t="s">
        <v>138</v>
      </c>
      <c r="X691" s="14" t="s">
        <v>138</v>
      </c>
      <c r="Y691" s="0" t="s">
        <v>138</v>
      </c>
      <c r="Z691" s="14" t="s">
        <v>138</v>
      </c>
      <c r="AA691" s="0" t="s">
        <v>138</v>
      </c>
      <c r="AB691" s="14" t="s">
        <v>138</v>
      </c>
      <c r="AD691" s="0" t="s">
        <v>138</v>
      </c>
      <c r="AF691" s="0">
        <v>0</v>
      </c>
      <c r="AG691" s="0">
        <v>0</v>
      </c>
      <c r="AH691" s="0" t="s">
        <v>140</v>
      </c>
      <c r="AI691" s="0" t="s">
        <v>138</v>
      </c>
      <c r="AL691" s="14"/>
      <c r="AN691" s="14"/>
      <c r="AQ691" s="0" t="s">
        <v>130</v>
      </c>
      <c r="AR691" s="0" t="s">
        <v>130</v>
      </c>
      <c r="AS691" s="0" t="s">
        <v>130</v>
      </c>
      <c r="AT691" s="0" t="s">
        <v>130</v>
      </c>
      <c r="AU691" s="0" t="s">
        <v>130</v>
      </c>
      <c r="AV691" s="0" t="s">
        <v>130</v>
      </c>
      <c r="AW691" s="0" t="s">
        <v>130</v>
      </c>
      <c r="AX691" s="0" t="s">
        <v>130</v>
      </c>
      <c r="AY691" s="0" t="s">
        <v>130</v>
      </c>
      <c r="AZ691" s="0" t="s">
        <v>130</v>
      </c>
      <c r="BA691" s="0" t="s">
        <v>130</v>
      </c>
      <c r="BB691" s="0" t="s">
        <v>130</v>
      </c>
      <c r="BC691" s="0" t="s">
        <v>130</v>
      </c>
      <c r="BD691" s="0" t="s">
        <v>130</v>
      </c>
      <c r="BE691" s="0" t="s">
        <v>130</v>
      </c>
      <c r="BF691" s="0" t="s">
        <v>130</v>
      </c>
      <c r="BG691" s="0" t="s">
        <v>130</v>
      </c>
      <c r="BH691" s="0" t="s">
        <v>130</v>
      </c>
      <c r="BI691" s="0" t="s">
        <v>130</v>
      </c>
      <c r="BJ691" s="0" t="s">
        <v>130</v>
      </c>
      <c r="BK691" s="0" t="s">
        <v>130</v>
      </c>
      <c r="BL691" s="0" t="s">
        <v>130</v>
      </c>
      <c r="BM691" s="0" t="s">
        <v>130</v>
      </c>
      <c r="BN691" s="0" t="s">
        <v>130</v>
      </c>
      <c r="BO691" s="0" t="s">
        <v>130</v>
      </c>
      <c r="BP691" s="0" t="s">
        <v>130</v>
      </c>
      <c r="BQ691" s="0" t="s">
        <v>130</v>
      </c>
      <c r="BR691" s="0" t="s">
        <v>130</v>
      </c>
      <c r="BS691" s="0" t="s">
        <v>130</v>
      </c>
      <c r="BT691" s="0" t="s">
        <v>130</v>
      </c>
      <c r="BU691" s="0" t="s">
        <v>130</v>
      </c>
      <c r="BV691" s="0" t="s">
        <v>130</v>
      </c>
      <c r="BW691" s="0" t="s">
        <v>130</v>
      </c>
      <c r="BX691" s="0" t="s">
        <v>130</v>
      </c>
      <c r="BY691" s="0" t="s">
        <v>130</v>
      </c>
      <c r="BZ691" s="0" t="s">
        <v>130</v>
      </c>
      <c r="CA691" s="0" t="s">
        <v>130</v>
      </c>
      <c r="CB691" s="0" t="s">
        <v>130</v>
      </c>
      <c r="CC691" s="0" t="s">
        <v>130</v>
      </c>
      <c r="CD691" s="0" t="s">
        <v>130</v>
      </c>
      <c r="CE691" s="0" t="s">
        <v>130</v>
      </c>
      <c r="CF691" s="0" t="s">
        <v>130</v>
      </c>
      <c r="CG691" s="0" t="s">
        <v>130</v>
      </c>
      <c r="CH691" s="0" t="s">
        <v>130</v>
      </c>
      <c r="CI691" s="0" t="s">
        <v>130</v>
      </c>
      <c r="CJ691" s="0" t="s">
        <v>130</v>
      </c>
      <c r="CK691" s="0" t="s">
        <v>130</v>
      </c>
      <c r="CL691" s="0" t="s">
        <v>130</v>
      </c>
      <c r="CM691" s="0" t="s">
        <v>130</v>
      </c>
      <c r="CN691" s="0" t="s">
        <v>130</v>
      </c>
      <c r="CO691" s="0" t="s">
        <v>130</v>
      </c>
      <c r="CP691" s="0" t="s">
        <v>130</v>
      </c>
      <c r="CQ691" s="0" t="s">
        <v>130</v>
      </c>
      <c r="CR691" s="0" t="s">
        <v>130</v>
      </c>
      <c r="CS691" s="0" t="s">
        <v>130</v>
      </c>
      <c r="CT691" s="0" t="s">
        <v>2221</v>
      </c>
    </row>
    <row r="692">
      <c r="A692" s="14">
        <v>108444</v>
      </c>
      <c r="B692" s="0" t="s">
        <v>2214</v>
      </c>
      <c r="C692" s="16">
        <f>HYPERLINK("https://eosportal.federatedhermes.com/companies/Q29tcGFueQppNjQzNzA=", "Bank of Montreal")</f>
      </c>
      <c r="D692" s="0" t="s">
        <v>25</v>
      </c>
      <c r="E692" s="0" t="s">
        <v>2222</v>
      </c>
      <c r="F692" s="16">
        <f>HYPERLINK("https://eosportal.federatedhermes.com/engagements/RW5nYWdlbWVudAppMjE4MDM=", "Climate change - executive compensation")</f>
      </c>
      <c r="G692" s="14" t="s">
        <v>2223</v>
      </c>
      <c r="H692" s="0" t="s">
        <v>141</v>
      </c>
      <c r="I692" s="14" t="s">
        <v>191</v>
      </c>
      <c r="J692" s="0" t="s">
        <v>197</v>
      </c>
      <c r="K692" s="0" t="s">
        <v>198</v>
      </c>
      <c r="L692" s="0" t="s">
        <v>199</v>
      </c>
      <c r="M692" s="0" t="s">
        <v>135</v>
      </c>
      <c r="N692" s="0" t="s">
        <v>1678</v>
      </c>
      <c r="O692" s="0" t="s">
        <v>238</v>
      </c>
      <c r="Q692" s="0" t="s">
        <v>130</v>
      </c>
      <c r="R692" s="0" t="s">
        <v>138</v>
      </c>
      <c r="S692" s="14">
        <v>0</v>
      </c>
      <c r="T692" s="0" t="s">
        <v>206</v>
      </c>
      <c r="U692" s="0" t="s">
        <v>138</v>
      </c>
      <c r="V692" s="14" t="s">
        <v>138</v>
      </c>
      <c r="W692" s="0" t="s">
        <v>138</v>
      </c>
      <c r="X692" s="14" t="s">
        <v>138</v>
      </c>
      <c r="Y692" s="0" t="s">
        <v>138</v>
      </c>
      <c r="Z692" s="14" t="s">
        <v>138</v>
      </c>
      <c r="AA692" s="0" t="s">
        <v>138</v>
      </c>
      <c r="AB692" s="14" t="s">
        <v>138</v>
      </c>
      <c r="AD692" s="0" t="s">
        <v>138</v>
      </c>
      <c r="AF692" s="0">
        <v>0</v>
      </c>
      <c r="AG692" s="0">
        <v>0</v>
      </c>
      <c r="AH692" s="0" t="s">
        <v>140</v>
      </c>
      <c r="AI692" s="0" t="s">
        <v>138</v>
      </c>
      <c r="AL692" s="14"/>
      <c r="AN692" s="14"/>
      <c r="AQ692" s="0" t="s">
        <v>130</v>
      </c>
      <c r="AR692" s="0" t="s">
        <v>130</v>
      </c>
      <c r="AS692" s="0" t="s">
        <v>130</v>
      </c>
      <c r="AT692" s="0" t="s">
        <v>130</v>
      </c>
      <c r="AU692" s="0" t="s">
        <v>130</v>
      </c>
      <c r="AV692" s="0" t="s">
        <v>130</v>
      </c>
      <c r="AW692" s="0" t="s">
        <v>130</v>
      </c>
      <c r="AX692" s="0" t="s">
        <v>130</v>
      </c>
      <c r="AY692" s="0" t="s">
        <v>130</v>
      </c>
      <c r="AZ692" s="0" t="s">
        <v>130</v>
      </c>
      <c r="BA692" s="0" t="s">
        <v>130</v>
      </c>
      <c r="BB692" s="0" t="s">
        <v>141</v>
      </c>
      <c r="BC692" s="0" t="s">
        <v>130</v>
      </c>
      <c r="BD692" s="0" t="s">
        <v>130</v>
      </c>
      <c r="BE692" s="0" t="s">
        <v>130</v>
      </c>
      <c r="BF692" s="0" t="s">
        <v>130</v>
      </c>
      <c r="BG692" s="0" t="s">
        <v>130</v>
      </c>
      <c r="BH692" s="0" t="s">
        <v>130</v>
      </c>
      <c r="BI692" s="0" t="s">
        <v>130</v>
      </c>
      <c r="BJ692" s="0" t="s">
        <v>130</v>
      </c>
      <c r="BK692" s="0" t="s">
        <v>130</v>
      </c>
      <c r="BL692" s="0" t="s">
        <v>130</v>
      </c>
      <c r="BM692" s="0" t="s">
        <v>130</v>
      </c>
      <c r="BN692" s="0" t="s">
        <v>130</v>
      </c>
      <c r="BO692" s="0" t="s">
        <v>130</v>
      </c>
      <c r="BP692" s="0" t="s">
        <v>130</v>
      </c>
      <c r="BQ692" s="0" t="s">
        <v>130</v>
      </c>
      <c r="BR692" s="0" t="s">
        <v>130</v>
      </c>
      <c r="BS692" s="0" t="s">
        <v>130</v>
      </c>
      <c r="BT692" s="0" t="s">
        <v>130</v>
      </c>
      <c r="BU692" s="0" t="s">
        <v>130</v>
      </c>
      <c r="BV692" s="0" t="s">
        <v>130</v>
      </c>
      <c r="BW692" s="0" t="s">
        <v>130</v>
      </c>
      <c r="BX692" s="0" t="s">
        <v>130</v>
      </c>
      <c r="BY692" s="0" t="s">
        <v>130</v>
      </c>
      <c r="BZ692" s="0" t="s">
        <v>130</v>
      </c>
      <c r="CA692" s="0" t="s">
        <v>130</v>
      </c>
      <c r="CB692" s="0" t="s">
        <v>130</v>
      </c>
      <c r="CC692" s="0" t="s">
        <v>130</v>
      </c>
      <c r="CD692" s="0" t="s">
        <v>130</v>
      </c>
      <c r="CE692" s="0" t="s">
        <v>130</v>
      </c>
      <c r="CF692" s="0" t="s">
        <v>130</v>
      </c>
      <c r="CG692" s="0" t="s">
        <v>130</v>
      </c>
      <c r="CH692" s="0" t="s">
        <v>130</v>
      </c>
      <c r="CI692" s="0" t="s">
        <v>130</v>
      </c>
      <c r="CJ692" s="0" t="s">
        <v>130</v>
      </c>
      <c r="CK692" s="0" t="s">
        <v>130</v>
      </c>
      <c r="CL692" s="0" t="s">
        <v>130</v>
      </c>
      <c r="CM692" s="0" t="s">
        <v>130</v>
      </c>
      <c r="CN692" s="0" t="s">
        <v>130</v>
      </c>
      <c r="CO692" s="0" t="s">
        <v>130</v>
      </c>
      <c r="CP692" s="0" t="s">
        <v>130</v>
      </c>
      <c r="CQ692" s="0" t="s">
        <v>130</v>
      </c>
      <c r="CR692" s="0" t="s">
        <v>130</v>
      </c>
      <c r="CS692" s="0" t="s">
        <v>130</v>
      </c>
      <c r="CT692" s="0" t="s">
        <v>2224</v>
      </c>
    </row>
    <row r="693">
      <c r="A693" s="14">
        <v>108444</v>
      </c>
      <c r="B693" s="0" t="s">
        <v>2214</v>
      </c>
      <c r="C693" s="16">
        <f>HYPERLINK("https://eosportal.federatedhermes.com/companies/Q29tcGFueQppNjQzNzA=", "Bank of Montreal")</f>
      </c>
      <c r="D693" s="0" t="s">
        <v>25</v>
      </c>
      <c r="E693" s="0" t="s">
        <v>2211</v>
      </c>
      <c r="F693" s="16">
        <f>HYPERLINK("https://eosportal.federatedhermes.com/engagements/RW5nYWdlbWVudAppMjE4MDQ=", "Climate change - TCFD")</f>
      </c>
      <c r="G693" s="14" t="s">
        <v>2225</v>
      </c>
      <c r="H693" s="0" t="s">
        <v>141</v>
      </c>
      <c r="I693" s="14" t="s">
        <v>191</v>
      </c>
      <c r="J693" s="0" t="s">
        <v>197</v>
      </c>
      <c r="K693" s="0" t="s">
        <v>198</v>
      </c>
      <c r="L693" s="0" t="s">
        <v>199</v>
      </c>
      <c r="M693" s="0" t="s">
        <v>135</v>
      </c>
      <c r="N693" s="0" t="s">
        <v>1678</v>
      </c>
      <c r="O693" s="0" t="s">
        <v>238</v>
      </c>
      <c r="Q693" s="0" t="s">
        <v>141</v>
      </c>
      <c r="R693" s="0" t="s">
        <v>138</v>
      </c>
      <c r="S693" s="14">
        <v>1</v>
      </c>
      <c r="T693" s="0" t="s">
        <v>1145</v>
      </c>
      <c r="U693" s="0" t="s">
        <v>138</v>
      </c>
      <c r="V693" s="14" t="s">
        <v>138</v>
      </c>
      <c r="W693" s="0" t="s">
        <v>138</v>
      </c>
      <c r="X693" s="14" t="s">
        <v>138</v>
      </c>
      <c r="Y693" s="0" t="s">
        <v>138</v>
      </c>
      <c r="Z693" s="14" t="s">
        <v>138</v>
      </c>
      <c r="AA693" s="0" t="s">
        <v>138</v>
      </c>
      <c r="AB693" s="14" t="s">
        <v>138</v>
      </c>
      <c r="AD693" s="0" t="s">
        <v>138</v>
      </c>
      <c r="AF693" s="0">
        <v>0</v>
      </c>
      <c r="AG693" s="0">
        <v>0</v>
      </c>
      <c r="AH693" s="0" t="s">
        <v>140</v>
      </c>
      <c r="AI693" s="0" t="s">
        <v>138</v>
      </c>
      <c r="AK693" s="0" t="s">
        <v>339</v>
      </c>
      <c r="AL693" s="14"/>
      <c r="AN693" s="14"/>
      <c r="AQ693" s="0" t="s">
        <v>130</v>
      </c>
      <c r="AR693" s="0" t="s">
        <v>130</v>
      </c>
      <c r="AS693" s="0" t="s">
        <v>130</v>
      </c>
      <c r="AT693" s="0" t="s">
        <v>130</v>
      </c>
      <c r="AU693" s="0" t="s">
        <v>130</v>
      </c>
      <c r="AV693" s="0" t="s">
        <v>130</v>
      </c>
      <c r="AW693" s="0" t="s">
        <v>130</v>
      </c>
      <c r="AX693" s="0" t="s">
        <v>130</v>
      </c>
      <c r="AY693" s="0" t="s">
        <v>130</v>
      </c>
      <c r="AZ693" s="0" t="s">
        <v>130</v>
      </c>
      <c r="BA693" s="0" t="s">
        <v>130</v>
      </c>
      <c r="BB693" s="0" t="s">
        <v>141</v>
      </c>
      <c r="BC693" s="0" t="s">
        <v>141</v>
      </c>
      <c r="BD693" s="0" t="s">
        <v>130</v>
      </c>
      <c r="BE693" s="0" t="s">
        <v>130</v>
      </c>
      <c r="BF693" s="0" t="s">
        <v>130</v>
      </c>
      <c r="BG693" s="0" t="s">
        <v>130</v>
      </c>
      <c r="BH693" s="0" t="s">
        <v>130</v>
      </c>
      <c r="BI693" s="0" t="s">
        <v>130</v>
      </c>
      <c r="BJ693" s="0" t="s">
        <v>130</v>
      </c>
      <c r="BK693" s="0" t="s">
        <v>130</v>
      </c>
      <c r="BL693" s="0" t="s">
        <v>130</v>
      </c>
      <c r="BM693" s="0" t="s">
        <v>130</v>
      </c>
      <c r="BN693" s="0" t="s">
        <v>130</v>
      </c>
      <c r="BO693" s="0" t="s">
        <v>130</v>
      </c>
      <c r="BP693" s="0" t="s">
        <v>130</v>
      </c>
      <c r="BQ693" s="0" t="s">
        <v>130</v>
      </c>
      <c r="BR693" s="0" t="s">
        <v>130</v>
      </c>
      <c r="BS693" s="0" t="s">
        <v>130</v>
      </c>
      <c r="BT693" s="0" t="s">
        <v>130</v>
      </c>
      <c r="BU693" s="0" t="s">
        <v>130</v>
      </c>
      <c r="BV693" s="0" t="s">
        <v>130</v>
      </c>
      <c r="BW693" s="0" t="s">
        <v>130</v>
      </c>
      <c r="BX693" s="0" t="s">
        <v>130</v>
      </c>
      <c r="BY693" s="0" t="s">
        <v>130</v>
      </c>
      <c r="BZ693" s="0" t="s">
        <v>130</v>
      </c>
      <c r="CA693" s="0" t="s">
        <v>130</v>
      </c>
      <c r="CB693" s="0" t="s">
        <v>130</v>
      </c>
      <c r="CC693" s="0" t="s">
        <v>130</v>
      </c>
      <c r="CD693" s="0" t="s">
        <v>130</v>
      </c>
      <c r="CE693" s="0" t="s">
        <v>130</v>
      </c>
      <c r="CF693" s="0" t="s">
        <v>130</v>
      </c>
      <c r="CG693" s="0" t="s">
        <v>130</v>
      </c>
      <c r="CH693" s="0" t="s">
        <v>130</v>
      </c>
      <c r="CI693" s="0" t="s">
        <v>130</v>
      </c>
      <c r="CJ693" s="0" t="s">
        <v>130</v>
      </c>
      <c r="CK693" s="0" t="s">
        <v>130</v>
      </c>
      <c r="CL693" s="0" t="s">
        <v>130</v>
      </c>
      <c r="CM693" s="0" t="s">
        <v>130</v>
      </c>
      <c r="CN693" s="0" t="s">
        <v>130</v>
      </c>
      <c r="CO693" s="0" t="s">
        <v>130</v>
      </c>
      <c r="CP693" s="0" t="s">
        <v>130</v>
      </c>
      <c r="CQ693" s="0" t="s">
        <v>130</v>
      </c>
      <c r="CR693" s="0" t="s">
        <v>130</v>
      </c>
      <c r="CS693" s="0" t="s">
        <v>130</v>
      </c>
      <c r="CT693" s="0" t="s">
        <v>2226</v>
      </c>
    </row>
    <row r="694">
      <c r="A694" s="14">
        <v>108444</v>
      </c>
      <c r="B694" s="0" t="s">
        <v>2214</v>
      </c>
      <c r="C694" s="16">
        <f>HYPERLINK("https://eosportal.federatedhermes.com/companies/Q29tcGFueQppNjQzNzA=", "Bank of Montreal")</f>
      </c>
      <c r="D694" s="0" t="s">
        <v>25</v>
      </c>
      <c r="E694" s="0" t="s">
        <v>1034</v>
      </c>
      <c r="F694" s="16">
        <f>HYPERLINK("https://eosportal.federatedhermes.com/engagements/RW5nYWdlbWVudAppMjE4MDU=", "Board composition")</f>
      </c>
      <c r="G694" s="14" t="s">
        <v>2204</v>
      </c>
      <c r="H694" s="0" t="s">
        <v>141</v>
      </c>
      <c r="I694" s="14" t="s">
        <v>191</v>
      </c>
      <c r="J694" s="0" t="s">
        <v>145</v>
      </c>
      <c r="K694" s="0" t="s">
        <v>164</v>
      </c>
      <c r="L694" s="0" t="s">
        <v>165</v>
      </c>
      <c r="M694" s="0" t="s">
        <v>135</v>
      </c>
      <c r="N694" s="0" t="s">
        <v>1678</v>
      </c>
      <c r="O694" s="0" t="s">
        <v>238</v>
      </c>
      <c r="Q694" s="0" t="s">
        <v>130</v>
      </c>
      <c r="R694" s="0" t="s">
        <v>138</v>
      </c>
      <c r="S694" s="14">
        <v>0</v>
      </c>
      <c r="T694" s="0" t="s">
        <v>355</v>
      </c>
      <c r="U694" s="0" t="s">
        <v>138</v>
      </c>
      <c r="V694" s="14" t="s">
        <v>138</v>
      </c>
      <c r="W694" s="0" t="s">
        <v>138</v>
      </c>
      <c r="X694" s="14" t="s">
        <v>138</v>
      </c>
      <c r="Y694" s="0" t="s">
        <v>138</v>
      </c>
      <c r="Z694" s="14" t="s">
        <v>138</v>
      </c>
      <c r="AA694" s="0" t="s">
        <v>138</v>
      </c>
      <c r="AB694" s="14" t="s">
        <v>138</v>
      </c>
      <c r="AD694" s="0" t="s">
        <v>138</v>
      </c>
      <c r="AF694" s="0">
        <v>0</v>
      </c>
      <c r="AG694" s="0">
        <v>0</v>
      </c>
      <c r="AH694" s="0" t="s">
        <v>140</v>
      </c>
      <c r="AI694" s="0" t="s">
        <v>138</v>
      </c>
      <c r="AL694" s="14"/>
      <c r="AN694" s="14"/>
      <c r="AQ694" s="0" t="s">
        <v>130</v>
      </c>
      <c r="AR694" s="0" t="s">
        <v>130</v>
      </c>
      <c r="AS694" s="0" t="s">
        <v>130</v>
      </c>
      <c r="AT694" s="0" t="s">
        <v>130</v>
      </c>
      <c r="AU694" s="0" t="s">
        <v>141</v>
      </c>
      <c r="AV694" s="0" t="s">
        <v>130</v>
      </c>
      <c r="AW694" s="0" t="s">
        <v>130</v>
      </c>
      <c r="AX694" s="0" t="s">
        <v>130</v>
      </c>
      <c r="AY694" s="0" t="s">
        <v>130</v>
      </c>
      <c r="AZ694" s="0" t="s">
        <v>141</v>
      </c>
      <c r="BA694" s="0" t="s">
        <v>130</v>
      </c>
      <c r="BB694" s="0" t="s">
        <v>130</v>
      </c>
      <c r="BC694" s="0" t="s">
        <v>130</v>
      </c>
      <c r="BD694" s="0" t="s">
        <v>130</v>
      </c>
      <c r="BE694" s="0" t="s">
        <v>130</v>
      </c>
      <c r="BF694" s="0" t="s">
        <v>130</v>
      </c>
      <c r="BG694" s="0" t="s">
        <v>130</v>
      </c>
      <c r="BH694" s="0" t="s">
        <v>130</v>
      </c>
      <c r="BI694" s="0" t="s">
        <v>130</v>
      </c>
      <c r="BJ694" s="0" t="s">
        <v>130</v>
      </c>
      <c r="BK694" s="0" t="s">
        <v>130</v>
      </c>
      <c r="BL694" s="0" t="s">
        <v>130</v>
      </c>
      <c r="BM694" s="0" t="s">
        <v>130</v>
      </c>
      <c r="BN694" s="0" t="s">
        <v>130</v>
      </c>
      <c r="BO694" s="0" t="s">
        <v>130</v>
      </c>
      <c r="BP694" s="0" t="s">
        <v>130</v>
      </c>
      <c r="BQ694" s="0" t="s">
        <v>130</v>
      </c>
      <c r="BR694" s="0" t="s">
        <v>130</v>
      </c>
      <c r="BS694" s="0" t="s">
        <v>130</v>
      </c>
      <c r="BT694" s="0" t="s">
        <v>130</v>
      </c>
      <c r="BU694" s="0" t="s">
        <v>130</v>
      </c>
      <c r="BV694" s="0" t="s">
        <v>130</v>
      </c>
      <c r="BW694" s="0" t="s">
        <v>130</v>
      </c>
      <c r="BX694" s="0" t="s">
        <v>130</v>
      </c>
      <c r="BY694" s="0" t="s">
        <v>130</v>
      </c>
      <c r="BZ694" s="0" t="s">
        <v>130</v>
      </c>
      <c r="CA694" s="0" t="s">
        <v>130</v>
      </c>
      <c r="CB694" s="0" t="s">
        <v>130</v>
      </c>
      <c r="CC694" s="0" t="s">
        <v>130</v>
      </c>
      <c r="CD694" s="0" t="s">
        <v>130</v>
      </c>
      <c r="CE694" s="0" t="s">
        <v>130</v>
      </c>
      <c r="CF694" s="0" t="s">
        <v>130</v>
      </c>
      <c r="CG694" s="0" t="s">
        <v>130</v>
      </c>
      <c r="CH694" s="0" t="s">
        <v>130</v>
      </c>
      <c r="CI694" s="0" t="s">
        <v>130</v>
      </c>
      <c r="CJ694" s="0" t="s">
        <v>130</v>
      </c>
      <c r="CK694" s="0" t="s">
        <v>130</v>
      </c>
      <c r="CL694" s="0" t="s">
        <v>130</v>
      </c>
      <c r="CM694" s="0" t="s">
        <v>130</v>
      </c>
      <c r="CN694" s="0" t="s">
        <v>130</v>
      </c>
      <c r="CO694" s="0" t="s">
        <v>130</v>
      </c>
      <c r="CP694" s="0" t="s">
        <v>130</v>
      </c>
      <c r="CQ694" s="0" t="s">
        <v>130</v>
      </c>
      <c r="CR694" s="0" t="s">
        <v>130</v>
      </c>
      <c r="CS694" s="0" t="s">
        <v>130</v>
      </c>
      <c r="CT694" s="0" t="s">
        <v>2227</v>
      </c>
    </row>
    <row r="695">
      <c r="A695" s="14">
        <v>108444</v>
      </c>
      <c r="B695" s="0" t="s">
        <v>2214</v>
      </c>
      <c r="C695" s="16">
        <f>HYPERLINK("https://eosportal.federatedhermes.com/companies/Q29tcGFueQppNjQzNzA=", "Bank of Montreal")</f>
      </c>
      <c r="D695" s="0" t="s">
        <v>25</v>
      </c>
      <c r="E695" s="0" t="s">
        <v>2228</v>
      </c>
      <c r="F695" s="16">
        <f>HYPERLINK("https://eosportal.federatedhermes.com/engagements/RW5nYWdlbWVudAppMjE4MDk=", "ESG strategy")</f>
      </c>
      <c r="G695" s="14" t="s">
        <v>2229</v>
      </c>
      <c r="H695" s="0" t="s">
        <v>141</v>
      </c>
      <c r="I695" s="14" t="s">
        <v>191</v>
      </c>
      <c r="J695" s="0" t="s">
        <v>132</v>
      </c>
      <c r="K695" s="0" t="s">
        <v>133</v>
      </c>
      <c r="L695" s="0" t="s">
        <v>160</v>
      </c>
      <c r="M695" s="0" t="s">
        <v>135</v>
      </c>
      <c r="N695" s="0" t="s">
        <v>1678</v>
      </c>
      <c r="O695" s="0" t="s">
        <v>238</v>
      </c>
      <c r="Q695" s="0" t="s">
        <v>141</v>
      </c>
      <c r="R695" s="0" t="s">
        <v>138</v>
      </c>
      <c r="S695" s="14">
        <v>2</v>
      </c>
      <c r="T695" s="0" t="s">
        <v>239</v>
      </c>
      <c r="U695" s="0" t="s">
        <v>138</v>
      </c>
      <c r="V695" s="14" t="s">
        <v>138</v>
      </c>
      <c r="W695" s="0" t="s">
        <v>138</v>
      </c>
      <c r="X695" s="14" t="s">
        <v>138</v>
      </c>
      <c r="Y695" s="0" t="s">
        <v>138</v>
      </c>
      <c r="Z695" s="14" t="s">
        <v>138</v>
      </c>
      <c r="AA695" s="0" t="s">
        <v>138</v>
      </c>
      <c r="AB695" s="14" t="s">
        <v>138</v>
      </c>
      <c r="AD695" s="0" t="s">
        <v>138</v>
      </c>
      <c r="AF695" s="0">
        <v>0</v>
      </c>
      <c r="AG695" s="0">
        <v>0</v>
      </c>
      <c r="AH695" s="0" t="s">
        <v>140</v>
      </c>
      <c r="AI695" s="0" t="s">
        <v>138</v>
      </c>
      <c r="AK695" s="0" t="s">
        <v>1950</v>
      </c>
      <c r="AL695" s="14"/>
      <c r="AN695" s="14"/>
      <c r="AQ695" s="0" t="s">
        <v>130</v>
      </c>
      <c r="AR695" s="0" t="s">
        <v>130</v>
      </c>
      <c r="AS695" s="0" t="s">
        <v>130</v>
      </c>
      <c r="AT695" s="0" t="s">
        <v>130</v>
      </c>
      <c r="AU695" s="0" t="s">
        <v>130</v>
      </c>
      <c r="AV695" s="0" t="s">
        <v>130</v>
      </c>
      <c r="AW695" s="0" t="s">
        <v>130</v>
      </c>
      <c r="AX695" s="0" t="s">
        <v>130</v>
      </c>
      <c r="AY695" s="0" t="s">
        <v>130</v>
      </c>
      <c r="AZ695" s="0" t="s">
        <v>130</v>
      </c>
      <c r="BA695" s="0" t="s">
        <v>130</v>
      </c>
      <c r="BB695" s="0" t="s">
        <v>130</v>
      </c>
      <c r="BC695" s="0" t="s">
        <v>130</v>
      </c>
      <c r="BD695" s="0" t="s">
        <v>130</v>
      </c>
      <c r="BE695" s="0" t="s">
        <v>130</v>
      </c>
      <c r="BF695" s="0" t="s">
        <v>130</v>
      </c>
      <c r="BG695" s="0" t="s">
        <v>130</v>
      </c>
      <c r="BH695" s="0" t="s">
        <v>130</v>
      </c>
      <c r="BI695" s="0" t="s">
        <v>130</v>
      </c>
      <c r="BJ695" s="0" t="s">
        <v>130</v>
      </c>
      <c r="BK695" s="0" t="s">
        <v>130</v>
      </c>
      <c r="BL695" s="0" t="s">
        <v>130</v>
      </c>
      <c r="BM695" s="0" t="s">
        <v>130</v>
      </c>
      <c r="BN695" s="0" t="s">
        <v>130</v>
      </c>
      <c r="BO695" s="0" t="s">
        <v>130</v>
      </c>
      <c r="BP695" s="0" t="s">
        <v>130</v>
      </c>
      <c r="BQ695" s="0" t="s">
        <v>130</v>
      </c>
      <c r="BR695" s="0" t="s">
        <v>130</v>
      </c>
      <c r="BS695" s="0" t="s">
        <v>130</v>
      </c>
      <c r="BT695" s="0" t="s">
        <v>130</v>
      </c>
      <c r="BU695" s="0" t="s">
        <v>130</v>
      </c>
      <c r="BV695" s="0" t="s">
        <v>130</v>
      </c>
      <c r="BW695" s="0" t="s">
        <v>130</v>
      </c>
      <c r="BX695" s="0" t="s">
        <v>130</v>
      </c>
      <c r="BY695" s="0" t="s">
        <v>130</v>
      </c>
      <c r="BZ695" s="0" t="s">
        <v>130</v>
      </c>
      <c r="CA695" s="0" t="s">
        <v>130</v>
      </c>
      <c r="CB695" s="0" t="s">
        <v>130</v>
      </c>
      <c r="CC695" s="0" t="s">
        <v>130</v>
      </c>
      <c r="CD695" s="0" t="s">
        <v>130</v>
      </c>
      <c r="CE695" s="0" t="s">
        <v>130</v>
      </c>
      <c r="CF695" s="0" t="s">
        <v>130</v>
      </c>
      <c r="CG695" s="0" t="s">
        <v>130</v>
      </c>
      <c r="CH695" s="0" t="s">
        <v>130</v>
      </c>
      <c r="CI695" s="0" t="s">
        <v>130</v>
      </c>
      <c r="CJ695" s="0" t="s">
        <v>130</v>
      </c>
      <c r="CK695" s="0" t="s">
        <v>130</v>
      </c>
      <c r="CL695" s="0" t="s">
        <v>130</v>
      </c>
      <c r="CM695" s="0" t="s">
        <v>130</v>
      </c>
      <c r="CN695" s="0" t="s">
        <v>130</v>
      </c>
      <c r="CO695" s="0" t="s">
        <v>130</v>
      </c>
      <c r="CP695" s="0" t="s">
        <v>130</v>
      </c>
      <c r="CQ695" s="0" t="s">
        <v>130</v>
      </c>
      <c r="CR695" s="0" t="s">
        <v>130</v>
      </c>
      <c r="CS695" s="0" t="s">
        <v>130</v>
      </c>
      <c r="CT695" s="0" t="s">
        <v>2230</v>
      </c>
    </row>
    <row r="696">
      <c r="A696" s="14">
        <v>108444</v>
      </c>
      <c r="B696" s="0" t="s">
        <v>2214</v>
      </c>
      <c r="C696" s="16">
        <f>HYPERLINK("https://eosportal.federatedhermes.com/companies/Q29tcGFueQppNjQzNzA=", "Bank of Montreal")</f>
      </c>
      <c r="D696" s="0" t="s">
        <v>25</v>
      </c>
      <c r="E696" s="0" t="s">
        <v>2231</v>
      </c>
      <c r="F696" s="16">
        <f>HYPERLINK("https://eosportal.federatedhermes.com/engagements/RW5nYWdlbWVudAppMjE4MTA=", "Integrated Reporting")</f>
      </c>
      <c r="G696" s="14" t="s">
        <v>2232</v>
      </c>
      <c r="H696" s="0" t="s">
        <v>141</v>
      </c>
      <c r="I696" s="14" t="s">
        <v>191</v>
      </c>
      <c r="J696" s="0" t="s">
        <v>132</v>
      </c>
      <c r="K696" s="0" t="s">
        <v>170</v>
      </c>
      <c r="L696" s="0" t="s">
        <v>171</v>
      </c>
      <c r="M696" s="0" t="s">
        <v>135</v>
      </c>
      <c r="N696" s="0" t="s">
        <v>1678</v>
      </c>
      <c r="O696" s="0" t="s">
        <v>238</v>
      </c>
      <c r="Q696" s="0" t="s">
        <v>130</v>
      </c>
      <c r="R696" s="0" t="s">
        <v>138</v>
      </c>
      <c r="S696" s="14">
        <v>0</v>
      </c>
      <c r="T696" s="0" t="s">
        <v>1145</v>
      </c>
      <c r="U696" s="0" t="s">
        <v>138</v>
      </c>
      <c r="V696" s="14" t="s">
        <v>138</v>
      </c>
      <c r="W696" s="0" t="s">
        <v>138</v>
      </c>
      <c r="X696" s="14" t="s">
        <v>138</v>
      </c>
      <c r="Y696" s="0" t="s">
        <v>138</v>
      </c>
      <c r="Z696" s="14" t="s">
        <v>138</v>
      </c>
      <c r="AA696" s="0" t="s">
        <v>138</v>
      </c>
      <c r="AB696" s="14" t="s">
        <v>138</v>
      </c>
      <c r="AD696" s="0" t="s">
        <v>138</v>
      </c>
      <c r="AF696" s="0">
        <v>0</v>
      </c>
      <c r="AG696" s="0">
        <v>0</v>
      </c>
      <c r="AH696" s="0" t="s">
        <v>140</v>
      </c>
      <c r="AI696" s="0" t="s">
        <v>138</v>
      </c>
      <c r="AL696" s="14"/>
      <c r="AN696" s="14"/>
      <c r="AQ696" s="0" t="s">
        <v>130</v>
      </c>
      <c r="AR696" s="0" t="s">
        <v>130</v>
      </c>
      <c r="AS696" s="0" t="s">
        <v>130</v>
      </c>
      <c r="AT696" s="0" t="s">
        <v>130</v>
      </c>
      <c r="AU696" s="0" t="s">
        <v>130</v>
      </c>
      <c r="AV696" s="0" t="s">
        <v>130</v>
      </c>
      <c r="AW696" s="0" t="s">
        <v>130</v>
      </c>
      <c r="AX696" s="0" t="s">
        <v>130</v>
      </c>
      <c r="AY696" s="0" t="s">
        <v>130</v>
      </c>
      <c r="AZ696" s="0" t="s">
        <v>130</v>
      </c>
      <c r="BA696" s="0" t="s">
        <v>130</v>
      </c>
      <c r="BB696" s="0" t="s">
        <v>130</v>
      </c>
      <c r="BC696" s="0" t="s">
        <v>130</v>
      </c>
      <c r="BD696" s="0" t="s">
        <v>130</v>
      </c>
      <c r="BE696" s="0" t="s">
        <v>130</v>
      </c>
      <c r="BF696" s="0" t="s">
        <v>130</v>
      </c>
      <c r="BG696" s="0" t="s">
        <v>130</v>
      </c>
      <c r="BH696" s="0" t="s">
        <v>130</v>
      </c>
      <c r="BI696" s="0" t="s">
        <v>130</v>
      </c>
      <c r="BJ696" s="0" t="s">
        <v>130</v>
      </c>
      <c r="BK696" s="0" t="s">
        <v>130</v>
      </c>
      <c r="BL696" s="0" t="s">
        <v>130</v>
      </c>
      <c r="BM696" s="0" t="s">
        <v>130</v>
      </c>
      <c r="BN696" s="0" t="s">
        <v>130</v>
      </c>
      <c r="BO696" s="0" t="s">
        <v>130</v>
      </c>
      <c r="BP696" s="0" t="s">
        <v>130</v>
      </c>
      <c r="BQ696" s="0" t="s">
        <v>130</v>
      </c>
      <c r="BR696" s="0" t="s">
        <v>130</v>
      </c>
      <c r="BS696" s="0" t="s">
        <v>130</v>
      </c>
      <c r="BT696" s="0" t="s">
        <v>130</v>
      </c>
      <c r="BU696" s="0" t="s">
        <v>130</v>
      </c>
      <c r="BV696" s="0" t="s">
        <v>130</v>
      </c>
      <c r="BW696" s="0" t="s">
        <v>130</v>
      </c>
      <c r="BX696" s="0" t="s">
        <v>130</v>
      </c>
      <c r="BY696" s="0" t="s">
        <v>130</v>
      </c>
      <c r="BZ696" s="0" t="s">
        <v>130</v>
      </c>
      <c r="CA696" s="0" t="s">
        <v>130</v>
      </c>
      <c r="CB696" s="0" t="s">
        <v>130</v>
      </c>
      <c r="CC696" s="0" t="s">
        <v>130</v>
      </c>
      <c r="CD696" s="0" t="s">
        <v>130</v>
      </c>
      <c r="CE696" s="0" t="s">
        <v>130</v>
      </c>
      <c r="CF696" s="0" t="s">
        <v>130</v>
      </c>
      <c r="CG696" s="0" t="s">
        <v>130</v>
      </c>
      <c r="CH696" s="0" t="s">
        <v>130</v>
      </c>
      <c r="CI696" s="0" t="s">
        <v>130</v>
      </c>
      <c r="CJ696" s="0" t="s">
        <v>130</v>
      </c>
      <c r="CK696" s="0" t="s">
        <v>130</v>
      </c>
      <c r="CL696" s="0" t="s">
        <v>130</v>
      </c>
      <c r="CM696" s="0" t="s">
        <v>130</v>
      </c>
      <c r="CN696" s="0" t="s">
        <v>130</v>
      </c>
      <c r="CO696" s="0" t="s">
        <v>130</v>
      </c>
      <c r="CP696" s="0" t="s">
        <v>130</v>
      </c>
      <c r="CQ696" s="0" t="s">
        <v>130</v>
      </c>
      <c r="CR696" s="0" t="s">
        <v>130</v>
      </c>
      <c r="CS696" s="0" t="s">
        <v>130</v>
      </c>
      <c r="CT696" s="0" t="s">
        <v>2233</v>
      </c>
    </row>
    <row r="697">
      <c r="A697" s="14">
        <v>108445</v>
      </c>
      <c r="B697" s="0" t="s">
        <v>2234</v>
      </c>
      <c r="C697" s="16">
        <f>HYPERLINK("https://eosportal.federatedhermes.com/companies/Q29tcGFueQppNjQzNzE=", "Bank of Nova Scotia/The")</f>
      </c>
      <c r="D697" s="0" t="s">
        <v>25</v>
      </c>
      <c r="E697" s="0" t="s">
        <v>1900</v>
      </c>
      <c r="F697" s="16">
        <f>HYPERLINK("https://eosportal.federatedhermes.com/engagements/RW5nYWdlbWVudAppMjE4MTE=", "Business purpose")</f>
      </c>
      <c r="G697" s="14" t="s">
        <v>2235</v>
      </c>
      <c r="H697" s="0" t="s">
        <v>141</v>
      </c>
      <c r="I697" s="14" t="s">
        <v>131</v>
      </c>
      <c r="J697" s="0" t="s">
        <v>132</v>
      </c>
      <c r="K697" s="0" t="s">
        <v>133</v>
      </c>
      <c r="L697" s="0" t="s">
        <v>134</v>
      </c>
      <c r="M697" s="0" t="s">
        <v>135</v>
      </c>
      <c r="N697" s="0" t="s">
        <v>1678</v>
      </c>
      <c r="O697" s="0" t="s">
        <v>238</v>
      </c>
      <c r="Q697" s="0" t="s">
        <v>130</v>
      </c>
      <c r="R697" s="0" t="s">
        <v>138</v>
      </c>
      <c r="S697" s="14">
        <v>0</v>
      </c>
      <c r="T697" s="0" t="s">
        <v>156</v>
      </c>
      <c r="U697" s="0" t="s">
        <v>138</v>
      </c>
      <c r="V697" s="14" t="s">
        <v>138</v>
      </c>
      <c r="W697" s="0" t="s">
        <v>138</v>
      </c>
      <c r="X697" s="14" t="s">
        <v>138</v>
      </c>
      <c r="Y697" s="0" t="s">
        <v>138</v>
      </c>
      <c r="Z697" s="14" t="s">
        <v>138</v>
      </c>
      <c r="AA697" s="0" t="s">
        <v>138</v>
      </c>
      <c r="AB697" s="14" t="s">
        <v>138</v>
      </c>
      <c r="AD697" s="0" t="s">
        <v>138</v>
      </c>
      <c r="AF697" s="0">
        <v>0</v>
      </c>
      <c r="AG697" s="0">
        <v>0</v>
      </c>
      <c r="AH697" s="0" t="s">
        <v>140</v>
      </c>
      <c r="AI697" s="0" t="s">
        <v>138</v>
      </c>
      <c r="AL697" s="14"/>
      <c r="AN697" s="14"/>
      <c r="AQ697" s="0" t="s">
        <v>130</v>
      </c>
      <c r="AR697" s="0" t="s">
        <v>130</v>
      </c>
      <c r="AS697" s="0" t="s">
        <v>130</v>
      </c>
      <c r="AT697" s="0" t="s">
        <v>130</v>
      </c>
      <c r="AU697" s="0" t="s">
        <v>130</v>
      </c>
      <c r="AV697" s="0" t="s">
        <v>130</v>
      </c>
      <c r="AW697" s="0" t="s">
        <v>130</v>
      </c>
      <c r="AX697" s="0" t="s">
        <v>130</v>
      </c>
      <c r="AY697" s="0" t="s">
        <v>130</v>
      </c>
      <c r="AZ697" s="0" t="s">
        <v>130</v>
      </c>
      <c r="BA697" s="0" t="s">
        <v>130</v>
      </c>
      <c r="BB697" s="0" t="s">
        <v>130</v>
      </c>
      <c r="BC697" s="0" t="s">
        <v>130</v>
      </c>
      <c r="BD697" s="0" t="s">
        <v>130</v>
      </c>
      <c r="BE697" s="0" t="s">
        <v>130</v>
      </c>
      <c r="BF697" s="0" t="s">
        <v>130</v>
      </c>
      <c r="BG697" s="0" t="s">
        <v>130</v>
      </c>
      <c r="BH697" s="0" t="s">
        <v>130</v>
      </c>
      <c r="BI697" s="0" t="s">
        <v>130</v>
      </c>
      <c r="BJ697" s="0" t="s">
        <v>130</v>
      </c>
      <c r="BK697" s="0" t="s">
        <v>130</v>
      </c>
      <c r="BL697" s="0" t="s">
        <v>130</v>
      </c>
      <c r="BM697" s="0" t="s">
        <v>130</v>
      </c>
      <c r="BN697" s="0" t="s">
        <v>130</v>
      </c>
      <c r="BO697" s="0" t="s">
        <v>130</v>
      </c>
      <c r="BP697" s="0" t="s">
        <v>130</v>
      </c>
      <c r="BQ697" s="0" t="s">
        <v>130</v>
      </c>
      <c r="BR697" s="0" t="s">
        <v>130</v>
      </c>
      <c r="BS697" s="0" t="s">
        <v>130</v>
      </c>
      <c r="BT697" s="0" t="s">
        <v>130</v>
      </c>
      <c r="BU697" s="0" t="s">
        <v>130</v>
      </c>
      <c r="BV697" s="0" t="s">
        <v>130</v>
      </c>
      <c r="BW697" s="0" t="s">
        <v>130</v>
      </c>
      <c r="BX697" s="0" t="s">
        <v>130</v>
      </c>
      <c r="BY697" s="0" t="s">
        <v>130</v>
      </c>
      <c r="BZ697" s="0" t="s">
        <v>130</v>
      </c>
      <c r="CA697" s="0" t="s">
        <v>130</v>
      </c>
      <c r="CB697" s="0" t="s">
        <v>130</v>
      </c>
      <c r="CC697" s="0" t="s">
        <v>130</v>
      </c>
      <c r="CD697" s="0" t="s">
        <v>130</v>
      </c>
      <c r="CE697" s="0" t="s">
        <v>130</v>
      </c>
      <c r="CF697" s="0" t="s">
        <v>130</v>
      </c>
      <c r="CG697" s="0" t="s">
        <v>130</v>
      </c>
      <c r="CH697" s="0" t="s">
        <v>130</v>
      </c>
      <c r="CI697" s="0" t="s">
        <v>130</v>
      </c>
      <c r="CJ697" s="0" t="s">
        <v>130</v>
      </c>
      <c r="CK697" s="0" t="s">
        <v>130</v>
      </c>
      <c r="CL697" s="0" t="s">
        <v>130</v>
      </c>
      <c r="CM697" s="0" t="s">
        <v>130</v>
      </c>
      <c r="CN697" s="0" t="s">
        <v>130</v>
      </c>
      <c r="CO697" s="0" t="s">
        <v>130</v>
      </c>
      <c r="CP697" s="0" t="s">
        <v>130</v>
      </c>
      <c r="CQ697" s="0" t="s">
        <v>130</v>
      </c>
      <c r="CR697" s="0" t="s">
        <v>130</v>
      </c>
      <c r="CS697" s="0" t="s">
        <v>130</v>
      </c>
      <c r="CT697" s="0" t="s">
        <v>2236</v>
      </c>
    </row>
    <row r="698">
      <c r="A698" s="14">
        <v>108445</v>
      </c>
      <c r="B698" s="0" t="s">
        <v>2234</v>
      </c>
      <c r="C698" s="16">
        <f>HYPERLINK("https://eosportal.federatedhermes.com/companies/Q29tcGFueQppNjQzNzE=", "Bank of Nova Scotia/The")</f>
      </c>
      <c r="D698" s="0" t="s">
        <v>25</v>
      </c>
      <c r="E698" s="0" t="s">
        <v>2237</v>
      </c>
      <c r="F698" s="16">
        <f>HYPERLINK("https://eosportal.federatedhermes.com/engagements/RW5nYWdlbWVudAppMjE4MTI=", "Artificial Intelligence")</f>
      </c>
      <c r="G698" s="14" t="s">
        <v>2238</v>
      </c>
      <c r="H698" s="0" t="s">
        <v>141</v>
      </c>
      <c r="I698" s="14" t="s">
        <v>131</v>
      </c>
      <c r="J698" s="0" t="s">
        <v>153</v>
      </c>
      <c r="K698" s="0" t="s">
        <v>243</v>
      </c>
      <c r="L698" s="0" t="s">
        <v>537</v>
      </c>
      <c r="M698" s="0" t="s">
        <v>135</v>
      </c>
      <c r="N698" s="0" t="s">
        <v>1678</v>
      </c>
      <c r="O698" s="0" t="s">
        <v>238</v>
      </c>
      <c r="Q698" s="0" t="s">
        <v>141</v>
      </c>
      <c r="R698" s="0" t="s">
        <v>138</v>
      </c>
      <c r="S698" s="14">
        <v>1</v>
      </c>
      <c r="T698" s="0" t="s">
        <v>156</v>
      </c>
      <c r="U698" s="0" t="s">
        <v>138</v>
      </c>
      <c r="V698" s="14" t="s">
        <v>138</v>
      </c>
      <c r="W698" s="0" t="s">
        <v>138</v>
      </c>
      <c r="X698" s="14" t="s">
        <v>138</v>
      </c>
      <c r="Y698" s="0" t="s">
        <v>138</v>
      </c>
      <c r="Z698" s="14" t="s">
        <v>138</v>
      </c>
      <c r="AA698" s="0" t="s">
        <v>138</v>
      </c>
      <c r="AB698" s="14" t="s">
        <v>138</v>
      </c>
      <c r="AD698" s="0" t="s">
        <v>138</v>
      </c>
      <c r="AF698" s="0">
        <v>0</v>
      </c>
      <c r="AG698" s="0">
        <v>0</v>
      </c>
      <c r="AH698" s="0" t="s">
        <v>140</v>
      </c>
      <c r="AI698" s="0" t="s">
        <v>138</v>
      </c>
      <c r="AK698" s="0" t="s">
        <v>2239</v>
      </c>
      <c r="AL698" s="14"/>
      <c r="AN698" s="14"/>
      <c r="AQ698" s="0" t="s">
        <v>130</v>
      </c>
      <c r="AR698" s="0" t="s">
        <v>130</v>
      </c>
      <c r="AS698" s="0" t="s">
        <v>130</v>
      </c>
      <c r="AT698" s="0" t="s">
        <v>130</v>
      </c>
      <c r="AU698" s="0" t="s">
        <v>130</v>
      </c>
      <c r="AV698" s="0" t="s">
        <v>130</v>
      </c>
      <c r="AW698" s="0" t="s">
        <v>130</v>
      </c>
      <c r="AX698" s="0" t="s">
        <v>130</v>
      </c>
      <c r="AY698" s="0" t="s">
        <v>130</v>
      </c>
      <c r="AZ698" s="0" t="s">
        <v>130</v>
      </c>
      <c r="BA698" s="0" t="s">
        <v>130</v>
      </c>
      <c r="BB698" s="0" t="s">
        <v>130</v>
      </c>
      <c r="BC698" s="0" t="s">
        <v>130</v>
      </c>
      <c r="BD698" s="0" t="s">
        <v>130</v>
      </c>
      <c r="BE698" s="0" t="s">
        <v>130</v>
      </c>
      <c r="BF698" s="0" t="s">
        <v>141</v>
      </c>
      <c r="BG698" s="0" t="s">
        <v>130</v>
      </c>
      <c r="BH698" s="0" t="s">
        <v>130</v>
      </c>
      <c r="BI698" s="0" t="s">
        <v>130</v>
      </c>
      <c r="BJ698" s="0" t="s">
        <v>130</v>
      </c>
      <c r="BK698" s="0" t="s">
        <v>130</v>
      </c>
      <c r="BL698" s="0" t="s">
        <v>130</v>
      </c>
      <c r="BM698" s="0" t="s">
        <v>130</v>
      </c>
      <c r="BN698" s="0" t="s">
        <v>130</v>
      </c>
      <c r="BO698" s="0" t="s">
        <v>130</v>
      </c>
      <c r="BP698" s="0" t="s">
        <v>130</v>
      </c>
      <c r="BQ698" s="0" t="s">
        <v>130</v>
      </c>
      <c r="BR698" s="0" t="s">
        <v>130</v>
      </c>
      <c r="BS698" s="0" t="s">
        <v>130</v>
      </c>
      <c r="BT698" s="0" t="s">
        <v>130</v>
      </c>
      <c r="BU698" s="0" t="s">
        <v>130</v>
      </c>
      <c r="BV698" s="0" t="s">
        <v>130</v>
      </c>
      <c r="BW698" s="0" t="s">
        <v>130</v>
      </c>
      <c r="BX698" s="0" t="s">
        <v>130</v>
      </c>
      <c r="BY698" s="0" t="s">
        <v>130</v>
      </c>
      <c r="BZ698" s="0" t="s">
        <v>130</v>
      </c>
      <c r="CA698" s="0" t="s">
        <v>130</v>
      </c>
      <c r="CB698" s="0" t="s">
        <v>130</v>
      </c>
      <c r="CC698" s="0" t="s">
        <v>130</v>
      </c>
      <c r="CD698" s="0" t="s">
        <v>130</v>
      </c>
      <c r="CE698" s="0" t="s">
        <v>130</v>
      </c>
      <c r="CF698" s="0" t="s">
        <v>130</v>
      </c>
      <c r="CG698" s="0" t="s">
        <v>130</v>
      </c>
      <c r="CH698" s="0" t="s">
        <v>130</v>
      </c>
      <c r="CI698" s="0" t="s">
        <v>130</v>
      </c>
      <c r="CJ698" s="0" t="s">
        <v>130</v>
      </c>
      <c r="CK698" s="0" t="s">
        <v>130</v>
      </c>
      <c r="CL698" s="0" t="s">
        <v>130</v>
      </c>
      <c r="CM698" s="0" t="s">
        <v>130</v>
      </c>
      <c r="CN698" s="0" t="s">
        <v>130</v>
      </c>
      <c r="CO698" s="0" t="s">
        <v>130</v>
      </c>
      <c r="CP698" s="0" t="s">
        <v>130</v>
      </c>
      <c r="CQ698" s="0" t="s">
        <v>130</v>
      </c>
      <c r="CR698" s="0" t="s">
        <v>130</v>
      </c>
      <c r="CS698" s="0" t="s">
        <v>130</v>
      </c>
      <c r="CT698" s="0" t="s">
        <v>2240</v>
      </c>
    </row>
    <row r="699">
      <c r="A699" s="14">
        <v>108445</v>
      </c>
      <c r="B699" s="0" t="s">
        <v>2234</v>
      </c>
      <c r="C699" s="16">
        <f>HYPERLINK("https://eosportal.federatedhermes.com/companies/Q29tcGFueQppNjQzNzE=", "Bank of Nova Scotia/The")</f>
      </c>
      <c r="D699" s="0" t="s">
        <v>25</v>
      </c>
      <c r="E699" s="0" t="s">
        <v>2200</v>
      </c>
      <c r="F699" s="16">
        <f>HYPERLINK("https://eosportal.federatedhermes.com/engagements/RW5nYWdlbWVudAppMjE4MTM=", "Workforce Disclosure Initiative")</f>
      </c>
      <c r="G699" s="14" t="s">
        <v>2201</v>
      </c>
      <c r="H699" s="0" t="s">
        <v>141</v>
      </c>
      <c r="I699" s="14" t="s">
        <v>131</v>
      </c>
      <c r="J699" s="0" t="s">
        <v>153</v>
      </c>
      <c r="K699" s="0" t="s">
        <v>154</v>
      </c>
      <c r="L699" s="0" t="s">
        <v>306</v>
      </c>
      <c r="M699" s="0" t="s">
        <v>135</v>
      </c>
      <c r="N699" s="0" t="s">
        <v>1678</v>
      </c>
      <c r="O699" s="0" t="s">
        <v>238</v>
      </c>
      <c r="Q699" s="0" t="s">
        <v>141</v>
      </c>
      <c r="R699" s="0" t="s">
        <v>138</v>
      </c>
      <c r="S699" s="14">
        <v>1</v>
      </c>
      <c r="T699" s="0" t="s">
        <v>230</v>
      </c>
      <c r="U699" s="0" t="s">
        <v>138</v>
      </c>
      <c r="V699" s="14" t="s">
        <v>138</v>
      </c>
      <c r="W699" s="0" t="s">
        <v>138</v>
      </c>
      <c r="X699" s="14" t="s">
        <v>138</v>
      </c>
      <c r="Y699" s="0" t="s">
        <v>138</v>
      </c>
      <c r="Z699" s="14" t="s">
        <v>138</v>
      </c>
      <c r="AA699" s="0" t="s">
        <v>138</v>
      </c>
      <c r="AB699" s="14" t="s">
        <v>138</v>
      </c>
      <c r="AD699" s="0" t="s">
        <v>138</v>
      </c>
      <c r="AF699" s="0">
        <v>0</v>
      </c>
      <c r="AG699" s="0">
        <v>0</v>
      </c>
      <c r="AH699" s="0" t="s">
        <v>140</v>
      </c>
      <c r="AI699" s="0" t="s">
        <v>138</v>
      </c>
      <c r="AK699" s="0" t="s">
        <v>2241</v>
      </c>
      <c r="AL699" s="14"/>
      <c r="AN699" s="14"/>
      <c r="AQ699" s="0" t="s">
        <v>130</v>
      </c>
      <c r="AR699" s="0" t="s">
        <v>130</v>
      </c>
      <c r="AS699" s="0" t="s">
        <v>130</v>
      </c>
      <c r="AT699" s="0" t="s">
        <v>130</v>
      </c>
      <c r="AU699" s="0" t="s">
        <v>130</v>
      </c>
      <c r="AV699" s="0" t="s">
        <v>130</v>
      </c>
      <c r="AW699" s="0" t="s">
        <v>130</v>
      </c>
      <c r="AX699" s="0" t="s">
        <v>141</v>
      </c>
      <c r="AY699" s="0" t="s">
        <v>130</v>
      </c>
      <c r="AZ699" s="0" t="s">
        <v>141</v>
      </c>
      <c r="BA699" s="0" t="s">
        <v>130</v>
      </c>
      <c r="BB699" s="0" t="s">
        <v>130</v>
      </c>
      <c r="BC699" s="0" t="s">
        <v>130</v>
      </c>
      <c r="BD699" s="0" t="s">
        <v>130</v>
      </c>
      <c r="BE699" s="0" t="s">
        <v>130</v>
      </c>
      <c r="BF699" s="0" t="s">
        <v>130</v>
      </c>
      <c r="BG699" s="0" t="s">
        <v>130</v>
      </c>
      <c r="BH699" s="0" t="s">
        <v>130</v>
      </c>
      <c r="BI699" s="0" t="s">
        <v>130</v>
      </c>
      <c r="BJ699" s="0" t="s">
        <v>130</v>
      </c>
      <c r="BK699" s="0" t="s">
        <v>130</v>
      </c>
      <c r="BL699" s="0" t="s">
        <v>130</v>
      </c>
      <c r="BM699" s="0" t="s">
        <v>130</v>
      </c>
      <c r="BN699" s="0" t="s">
        <v>130</v>
      </c>
      <c r="BO699" s="0" t="s">
        <v>130</v>
      </c>
      <c r="BP699" s="0" t="s">
        <v>130</v>
      </c>
      <c r="BQ699" s="0" t="s">
        <v>130</v>
      </c>
      <c r="BR699" s="0" t="s">
        <v>130</v>
      </c>
      <c r="BS699" s="0" t="s">
        <v>130</v>
      </c>
      <c r="BT699" s="0" t="s">
        <v>130</v>
      </c>
      <c r="BU699" s="0" t="s">
        <v>130</v>
      </c>
      <c r="BV699" s="0" t="s">
        <v>130</v>
      </c>
      <c r="BW699" s="0" t="s">
        <v>130</v>
      </c>
      <c r="BX699" s="0" t="s">
        <v>130</v>
      </c>
      <c r="BY699" s="0" t="s">
        <v>130</v>
      </c>
      <c r="BZ699" s="0" t="s">
        <v>130</v>
      </c>
      <c r="CA699" s="0" t="s">
        <v>130</v>
      </c>
      <c r="CB699" s="0" t="s">
        <v>130</v>
      </c>
      <c r="CC699" s="0" t="s">
        <v>130</v>
      </c>
      <c r="CD699" s="0" t="s">
        <v>130</v>
      </c>
      <c r="CE699" s="0" t="s">
        <v>130</v>
      </c>
      <c r="CF699" s="0" t="s">
        <v>130</v>
      </c>
      <c r="CG699" s="0" t="s">
        <v>130</v>
      </c>
      <c r="CH699" s="0" t="s">
        <v>130</v>
      </c>
      <c r="CI699" s="0" t="s">
        <v>130</v>
      </c>
      <c r="CJ699" s="0" t="s">
        <v>130</v>
      </c>
      <c r="CK699" s="0" t="s">
        <v>130</v>
      </c>
      <c r="CL699" s="0" t="s">
        <v>130</v>
      </c>
      <c r="CM699" s="0" t="s">
        <v>130</v>
      </c>
      <c r="CN699" s="0" t="s">
        <v>130</v>
      </c>
      <c r="CO699" s="0" t="s">
        <v>130</v>
      </c>
      <c r="CP699" s="0" t="s">
        <v>130</v>
      </c>
      <c r="CQ699" s="0" t="s">
        <v>130</v>
      </c>
      <c r="CR699" s="0" t="s">
        <v>130</v>
      </c>
      <c r="CS699" s="0" t="s">
        <v>130</v>
      </c>
      <c r="CT699" s="0" t="s">
        <v>2242</v>
      </c>
    </row>
    <row r="700">
      <c r="A700" s="14">
        <v>108445</v>
      </c>
      <c r="B700" s="0" t="s">
        <v>2234</v>
      </c>
      <c r="C700" s="16">
        <f>HYPERLINK("https://eosportal.federatedhermes.com/companies/Q29tcGFueQppNjQzNzE=", "Bank of Nova Scotia/The")</f>
      </c>
      <c r="D700" s="0" t="s">
        <v>25</v>
      </c>
      <c r="E700" s="0" t="s">
        <v>2243</v>
      </c>
      <c r="F700" s="16">
        <f>HYPERLINK("https://eosportal.federatedhermes.com/engagements/RW5nYWdlbWVudAppMjE4MTQ=", "Director education")</f>
      </c>
      <c r="G700" s="14" t="s">
        <v>2244</v>
      </c>
      <c r="H700" s="0" t="s">
        <v>141</v>
      </c>
      <c r="I700" s="14" t="s">
        <v>131</v>
      </c>
      <c r="J700" s="0" t="s">
        <v>145</v>
      </c>
      <c r="K700" s="0" t="s">
        <v>164</v>
      </c>
      <c r="L700" s="0" t="s">
        <v>970</v>
      </c>
      <c r="M700" s="0" t="s">
        <v>135</v>
      </c>
      <c r="N700" s="0" t="s">
        <v>1678</v>
      </c>
      <c r="O700" s="0" t="s">
        <v>238</v>
      </c>
      <c r="Q700" s="0" t="s">
        <v>130</v>
      </c>
      <c r="R700" s="0" t="s">
        <v>138</v>
      </c>
      <c r="S700" s="14">
        <v>0</v>
      </c>
      <c r="T700" s="0" t="s">
        <v>1145</v>
      </c>
      <c r="U700" s="0" t="s">
        <v>138</v>
      </c>
      <c r="V700" s="14" t="s">
        <v>138</v>
      </c>
      <c r="W700" s="0" t="s">
        <v>138</v>
      </c>
      <c r="X700" s="14" t="s">
        <v>138</v>
      </c>
      <c r="Y700" s="0" t="s">
        <v>138</v>
      </c>
      <c r="Z700" s="14" t="s">
        <v>138</v>
      </c>
      <c r="AA700" s="0" t="s">
        <v>138</v>
      </c>
      <c r="AB700" s="14" t="s">
        <v>138</v>
      </c>
      <c r="AD700" s="0" t="s">
        <v>138</v>
      </c>
      <c r="AF700" s="0">
        <v>0</v>
      </c>
      <c r="AG700" s="0">
        <v>0</v>
      </c>
      <c r="AH700" s="0" t="s">
        <v>140</v>
      </c>
      <c r="AI700" s="0" t="s">
        <v>138</v>
      </c>
      <c r="AL700" s="14"/>
      <c r="AN700" s="14"/>
      <c r="AQ700" s="0" t="s">
        <v>130</v>
      </c>
      <c r="AR700" s="0" t="s">
        <v>130</v>
      </c>
      <c r="AS700" s="0" t="s">
        <v>130</v>
      </c>
      <c r="AT700" s="0" t="s">
        <v>130</v>
      </c>
      <c r="AU700" s="0" t="s">
        <v>130</v>
      </c>
      <c r="AV700" s="0" t="s">
        <v>130</v>
      </c>
      <c r="AW700" s="0" t="s">
        <v>130</v>
      </c>
      <c r="AX700" s="0" t="s">
        <v>130</v>
      </c>
      <c r="AY700" s="0" t="s">
        <v>130</v>
      </c>
      <c r="AZ700" s="0" t="s">
        <v>130</v>
      </c>
      <c r="BA700" s="0" t="s">
        <v>130</v>
      </c>
      <c r="BB700" s="0" t="s">
        <v>130</v>
      </c>
      <c r="BC700" s="0" t="s">
        <v>130</v>
      </c>
      <c r="BD700" s="0" t="s">
        <v>130</v>
      </c>
      <c r="BE700" s="0" t="s">
        <v>130</v>
      </c>
      <c r="BF700" s="0" t="s">
        <v>130</v>
      </c>
      <c r="BG700" s="0" t="s">
        <v>130</v>
      </c>
      <c r="BH700" s="0" t="s">
        <v>130</v>
      </c>
      <c r="BI700" s="0" t="s">
        <v>130</v>
      </c>
      <c r="BJ700" s="0" t="s">
        <v>130</v>
      </c>
      <c r="BK700" s="0" t="s">
        <v>130</v>
      </c>
      <c r="BL700" s="0" t="s">
        <v>130</v>
      </c>
      <c r="BM700" s="0" t="s">
        <v>130</v>
      </c>
      <c r="BN700" s="0" t="s">
        <v>130</v>
      </c>
      <c r="BO700" s="0" t="s">
        <v>130</v>
      </c>
      <c r="BP700" s="0" t="s">
        <v>130</v>
      </c>
      <c r="BQ700" s="0" t="s">
        <v>130</v>
      </c>
      <c r="BR700" s="0" t="s">
        <v>130</v>
      </c>
      <c r="BS700" s="0" t="s">
        <v>130</v>
      </c>
      <c r="BT700" s="0" t="s">
        <v>130</v>
      </c>
      <c r="BU700" s="0" t="s">
        <v>130</v>
      </c>
      <c r="BV700" s="0" t="s">
        <v>130</v>
      </c>
      <c r="BW700" s="0" t="s">
        <v>130</v>
      </c>
      <c r="BX700" s="0" t="s">
        <v>130</v>
      </c>
      <c r="BY700" s="0" t="s">
        <v>130</v>
      </c>
      <c r="BZ700" s="0" t="s">
        <v>130</v>
      </c>
      <c r="CA700" s="0" t="s">
        <v>130</v>
      </c>
      <c r="CB700" s="0" t="s">
        <v>130</v>
      </c>
      <c r="CC700" s="0" t="s">
        <v>130</v>
      </c>
      <c r="CD700" s="0" t="s">
        <v>130</v>
      </c>
      <c r="CE700" s="0" t="s">
        <v>130</v>
      </c>
      <c r="CF700" s="0" t="s">
        <v>130</v>
      </c>
      <c r="CG700" s="0" t="s">
        <v>130</v>
      </c>
      <c r="CH700" s="0" t="s">
        <v>130</v>
      </c>
      <c r="CI700" s="0" t="s">
        <v>130</v>
      </c>
      <c r="CJ700" s="0" t="s">
        <v>130</v>
      </c>
      <c r="CK700" s="0" t="s">
        <v>130</v>
      </c>
      <c r="CL700" s="0" t="s">
        <v>130</v>
      </c>
      <c r="CM700" s="0" t="s">
        <v>130</v>
      </c>
      <c r="CN700" s="0" t="s">
        <v>130</v>
      </c>
      <c r="CO700" s="0" t="s">
        <v>130</v>
      </c>
      <c r="CP700" s="0" t="s">
        <v>130</v>
      </c>
      <c r="CQ700" s="0" t="s">
        <v>130</v>
      </c>
      <c r="CR700" s="0" t="s">
        <v>130</v>
      </c>
      <c r="CS700" s="0" t="s">
        <v>130</v>
      </c>
      <c r="CT700" s="0" t="s">
        <v>2245</v>
      </c>
    </row>
    <row r="701">
      <c r="A701" s="14">
        <v>108445</v>
      </c>
      <c r="B701" s="0" t="s">
        <v>2234</v>
      </c>
      <c r="C701" s="16">
        <f>HYPERLINK("https://eosportal.federatedhermes.com/companies/Q29tcGFueQppNjQzNzE=", "Bank of Nova Scotia/The")</f>
      </c>
      <c r="D701" s="0" t="s">
        <v>25</v>
      </c>
      <c r="E701" s="0" t="s">
        <v>912</v>
      </c>
      <c r="F701" s="16">
        <f>HYPERLINK("https://eosportal.federatedhermes.com/engagements/RW5nYWdlbWVudAppMjE4MTU=", "Executive remuneration")</f>
      </c>
      <c r="G701" s="14" t="s">
        <v>2246</v>
      </c>
      <c r="H701" s="0" t="s">
        <v>141</v>
      </c>
      <c r="I701" s="14" t="s">
        <v>131</v>
      </c>
      <c r="J701" s="0" t="s">
        <v>145</v>
      </c>
      <c r="K701" s="0" t="s">
        <v>146</v>
      </c>
      <c r="L701" s="0" t="s">
        <v>147</v>
      </c>
      <c r="M701" s="0" t="s">
        <v>135</v>
      </c>
      <c r="N701" s="0" t="s">
        <v>1678</v>
      </c>
      <c r="O701" s="0" t="s">
        <v>238</v>
      </c>
      <c r="Q701" s="0" t="s">
        <v>130</v>
      </c>
      <c r="R701" s="0" t="s">
        <v>138</v>
      </c>
      <c r="S701" s="14">
        <v>0</v>
      </c>
      <c r="T701" s="0" t="s">
        <v>166</v>
      </c>
      <c r="U701" s="0" t="s">
        <v>138</v>
      </c>
      <c r="V701" s="14" t="s">
        <v>138</v>
      </c>
      <c r="W701" s="0" t="s">
        <v>138</v>
      </c>
      <c r="X701" s="14" t="s">
        <v>138</v>
      </c>
      <c r="Y701" s="0" t="s">
        <v>138</v>
      </c>
      <c r="Z701" s="14" t="s">
        <v>138</v>
      </c>
      <c r="AA701" s="0" t="s">
        <v>138</v>
      </c>
      <c r="AB701" s="14" t="s">
        <v>138</v>
      </c>
      <c r="AD701" s="0" t="s">
        <v>138</v>
      </c>
      <c r="AF701" s="0">
        <v>0</v>
      </c>
      <c r="AG701" s="0">
        <v>0</v>
      </c>
      <c r="AH701" s="0" t="s">
        <v>140</v>
      </c>
      <c r="AI701" s="0" t="s">
        <v>138</v>
      </c>
      <c r="AL701" s="14"/>
      <c r="AN701" s="14"/>
      <c r="AQ701" s="0" t="s">
        <v>130</v>
      </c>
      <c r="AR701" s="0" t="s">
        <v>130</v>
      </c>
      <c r="AS701" s="0" t="s">
        <v>130</v>
      </c>
      <c r="AT701" s="0" t="s">
        <v>130</v>
      </c>
      <c r="AU701" s="0" t="s">
        <v>130</v>
      </c>
      <c r="AV701" s="0" t="s">
        <v>130</v>
      </c>
      <c r="AW701" s="0" t="s">
        <v>130</v>
      </c>
      <c r="AX701" s="0" t="s">
        <v>130</v>
      </c>
      <c r="AY701" s="0" t="s">
        <v>130</v>
      </c>
      <c r="AZ701" s="0" t="s">
        <v>130</v>
      </c>
      <c r="BA701" s="0" t="s">
        <v>130</v>
      </c>
      <c r="BB701" s="0" t="s">
        <v>130</v>
      </c>
      <c r="BC701" s="0" t="s">
        <v>130</v>
      </c>
      <c r="BD701" s="0" t="s">
        <v>130</v>
      </c>
      <c r="BE701" s="0" t="s">
        <v>130</v>
      </c>
      <c r="BF701" s="0" t="s">
        <v>130</v>
      </c>
      <c r="BG701" s="0" t="s">
        <v>130</v>
      </c>
      <c r="BH701" s="0" t="s">
        <v>130</v>
      </c>
      <c r="BI701" s="0" t="s">
        <v>130</v>
      </c>
      <c r="BJ701" s="0" t="s">
        <v>130</v>
      </c>
      <c r="BK701" s="0" t="s">
        <v>130</v>
      </c>
      <c r="BL701" s="0" t="s">
        <v>130</v>
      </c>
      <c r="BM701" s="0" t="s">
        <v>130</v>
      </c>
      <c r="BN701" s="0" t="s">
        <v>130</v>
      </c>
      <c r="BO701" s="0" t="s">
        <v>130</v>
      </c>
      <c r="BP701" s="0" t="s">
        <v>130</v>
      </c>
      <c r="BQ701" s="0" t="s">
        <v>130</v>
      </c>
      <c r="BR701" s="0" t="s">
        <v>130</v>
      </c>
      <c r="BS701" s="0" t="s">
        <v>130</v>
      </c>
      <c r="BT701" s="0" t="s">
        <v>130</v>
      </c>
      <c r="BU701" s="0" t="s">
        <v>130</v>
      </c>
      <c r="BV701" s="0" t="s">
        <v>130</v>
      </c>
      <c r="BW701" s="0" t="s">
        <v>130</v>
      </c>
      <c r="BX701" s="0" t="s">
        <v>130</v>
      </c>
      <c r="BY701" s="0" t="s">
        <v>130</v>
      </c>
      <c r="BZ701" s="0" t="s">
        <v>130</v>
      </c>
      <c r="CA701" s="0" t="s">
        <v>130</v>
      </c>
      <c r="CB701" s="0" t="s">
        <v>130</v>
      </c>
      <c r="CC701" s="0" t="s">
        <v>130</v>
      </c>
      <c r="CD701" s="0" t="s">
        <v>130</v>
      </c>
      <c r="CE701" s="0" t="s">
        <v>130</v>
      </c>
      <c r="CF701" s="0" t="s">
        <v>130</v>
      </c>
      <c r="CG701" s="0" t="s">
        <v>130</v>
      </c>
      <c r="CH701" s="0" t="s">
        <v>130</v>
      </c>
      <c r="CI701" s="0" t="s">
        <v>130</v>
      </c>
      <c r="CJ701" s="0" t="s">
        <v>130</v>
      </c>
      <c r="CK701" s="0" t="s">
        <v>130</v>
      </c>
      <c r="CL701" s="0" t="s">
        <v>130</v>
      </c>
      <c r="CM701" s="0" t="s">
        <v>130</v>
      </c>
      <c r="CN701" s="0" t="s">
        <v>130</v>
      </c>
      <c r="CO701" s="0" t="s">
        <v>130</v>
      </c>
      <c r="CP701" s="0" t="s">
        <v>130</v>
      </c>
      <c r="CQ701" s="0" t="s">
        <v>130</v>
      </c>
      <c r="CR701" s="0" t="s">
        <v>130</v>
      </c>
      <c r="CS701" s="0" t="s">
        <v>130</v>
      </c>
      <c r="CT701" s="0" t="s">
        <v>2247</v>
      </c>
    </row>
    <row r="702">
      <c r="A702" s="14">
        <v>108445</v>
      </c>
      <c r="B702" s="0" t="s">
        <v>2234</v>
      </c>
      <c r="C702" s="16">
        <f>HYPERLINK("https://eosportal.federatedhermes.com/companies/Q29tcGFueQppNjQzNzE=", "Bank of Nova Scotia/The")</f>
      </c>
      <c r="D702" s="0" t="s">
        <v>25</v>
      </c>
      <c r="E702" s="0" t="s">
        <v>2211</v>
      </c>
      <c r="F702" s="16">
        <f>HYPERLINK("https://eosportal.federatedhermes.com/engagements/RW5nYWdlbWVudAppMjE4MTY=", "Climate change - TCFD")</f>
      </c>
      <c r="G702" s="14" t="s">
        <v>2212</v>
      </c>
      <c r="H702" s="0" t="s">
        <v>141</v>
      </c>
      <c r="I702" s="14" t="s">
        <v>131</v>
      </c>
      <c r="J702" s="0" t="s">
        <v>197</v>
      </c>
      <c r="K702" s="0" t="s">
        <v>198</v>
      </c>
      <c r="L702" s="0" t="s">
        <v>199</v>
      </c>
      <c r="M702" s="0" t="s">
        <v>135</v>
      </c>
      <c r="N702" s="0" t="s">
        <v>1678</v>
      </c>
      <c r="O702" s="0" t="s">
        <v>238</v>
      </c>
      <c r="Q702" s="0" t="s">
        <v>130</v>
      </c>
      <c r="R702" s="0" t="s">
        <v>138</v>
      </c>
      <c r="S702" s="14">
        <v>0</v>
      </c>
      <c r="T702" s="0" t="s">
        <v>288</v>
      </c>
      <c r="U702" s="0" t="s">
        <v>138</v>
      </c>
      <c r="V702" s="14" t="s">
        <v>138</v>
      </c>
      <c r="W702" s="0" t="s">
        <v>138</v>
      </c>
      <c r="X702" s="14" t="s">
        <v>138</v>
      </c>
      <c r="Y702" s="0" t="s">
        <v>138</v>
      </c>
      <c r="Z702" s="14" t="s">
        <v>138</v>
      </c>
      <c r="AA702" s="0" t="s">
        <v>138</v>
      </c>
      <c r="AB702" s="14" t="s">
        <v>138</v>
      </c>
      <c r="AD702" s="0" t="s">
        <v>138</v>
      </c>
      <c r="AF702" s="0">
        <v>0</v>
      </c>
      <c r="AG702" s="0">
        <v>0</v>
      </c>
      <c r="AH702" s="0" t="s">
        <v>140</v>
      </c>
      <c r="AI702" s="0" t="s">
        <v>138</v>
      </c>
      <c r="AL702" s="14"/>
      <c r="AN702" s="14"/>
      <c r="AQ702" s="0" t="s">
        <v>130</v>
      </c>
      <c r="AR702" s="0" t="s">
        <v>130</v>
      </c>
      <c r="AS702" s="0" t="s">
        <v>130</v>
      </c>
      <c r="AT702" s="0" t="s">
        <v>130</v>
      </c>
      <c r="AU702" s="0" t="s">
        <v>130</v>
      </c>
      <c r="AV702" s="0" t="s">
        <v>130</v>
      </c>
      <c r="AW702" s="0" t="s">
        <v>130</v>
      </c>
      <c r="AX702" s="0" t="s">
        <v>130</v>
      </c>
      <c r="AY702" s="0" t="s">
        <v>130</v>
      </c>
      <c r="AZ702" s="0" t="s">
        <v>130</v>
      </c>
      <c r="BA702" s="0" t="s">
        <v>130</v>
      </c>
      <c r="BB702" s="0" t="s">
        <v>141</v>
      </c>
      <c r="BC702" s="0" t="s">
        <v>141</v>
      </c>
      <c r="BD702" s="0" t="s">
        <v>130</v>
      </c>
      <c r="BE702" s="0" t="s">
        <v>130</v>
      </c>
      <c r="BF702" s="0" t="s">
        <v>130</v>
      </c>
      <c r="BG702" s="0" t="s">
        <v>130</v>
      </c>
      <c r="BH702" s="0" t="s">
        <v>130</v>
      </c>
      <c r="BI702" s="0" t="s">
        <v>130</v>
      </c>
      <c r="BJ702" s="0" t="s">
        <v>130</v>
      </c>
      <c r="BK702" s="0" t="s">
        <v>130</v>
      </c>
      <c r="BL702" s="0" t="s">
        <v>130</v>
      </c>
      <c r="BM702" s="0" t="s">
        <v>130</v>
      </c>
      <c r="BN702" s="0" t="s">
        <v>130</v>
      </c>
      <c r="BO702" s="0" t="s">
        <v>130</v>
      </c>
      <c r="BP702" s="0" t="s">
        <v>130</v>
      </c>
      <c r="BQ702" s="0" t="s">
        <v>130</v>
      </c>
      <c r="BR702" s="0" t="s">
        <v>130</v>
      </c>
      <c r="BS702" s="0" t="s">
        <v>130</v>
      </c>
      <c r="BT702" s="0" t="s">
        <v>130</v>
      </c>
      <c r="BU702" s="0" t="s">
        <v>130</v>
      </c>
      <c r="BV702" s="0" t="s">
        <v>130</v>
      </c>
      <c r="BW702" s="0" t="s">
        <v>130</v>
      </c>
      <c r="BX702" s="0" t="s">
        <v>130</v>
      </c>
      <c r="BY702" s="0" t="s">
        <v>130</v>
      </c>
      <c r="BZ702" s="0" t="s">
        <v>130</v>
      </c>
      <c r="CA702" s="0" t="s">
        <v>130</v>
      </c>
      <c r="CB702" s="0" t="s">
        <v>130</v>
      </c>
      <c r="CC702" s="0" t="s">
        <v>130</v>
      </c>
      <c r="CD702" s="0" t="s">
        <v>130</v>
      </c>
      <c r="CE702" s="0" t="s">
        <v>130</v>
      </c>
      <c r="CF702" s="0" t="s">
        <v>130</v>
      </c>
      <c r="CG702" s="0" t="s">
        <v>130</v>
      </c>
      <c r="CH702" s="0" t="s">
        <v>130</v>
      </c>
      <c r="CI702" s="0" t="s">
        <v>130</v>
      </c>
      <c r="CJ702" s="0" t="s">
        <v>130</v>
      </c>
      <c r="CK702" s="0" t="s">
        <v>130</v>
      </c>
      <c r="CL702" s="0" t="s">
        <v>130</v>
      </c>
      <c r="CM702" s="0" t="s">
        <v>130</v>
      </c>
      <c r="CN702" s="0" t="s">
        <v>130</v>
      </c>
      <c r="CO702" s="0" t="s">
        <v>130</v>
      </c>
      <c r="CP702" s="0" t="s">
        <v>130</v>
      </c>
      <c r="CQ702" s="0" t="s">
        <v>130</v>
      </c>
      <c r="CR702" s="0" t="s">
        <v>130</v>
      </c>
      <c r="CS702" s="0" t="s">
        <v>130</v>
      </c>
      <c r="CT702" s="0" t="s">
        <v>2248</v>
      </c>
    </row>
    <row r="703">
      <c r="A703" s="14">
        <v>108445</v>
      </c>
      <c r="B703" s="0" t="s">
        <v>2234</v>
      </c>
      <c r="C703" s="16">
        <f>HYPERLINK("https://eosportal.federatedhermes.com/companies/Q29tcGFueQppNjQzNzE=", "Bank of Nova Scotia/The")</f>
      </c>
      <c r="D703" s="0" t="s">
        <v>25</v>
      </c>
      <c r="E703" s="0" t="s">
        <v>1034</v>
      </c>
      <c r="F703" s="16">
        <f>HYPERLINK("https://eosportal.federatedhermes.com/engagements/RW5nYWdlbWVudAppMjE4MjE=", "Board composition")</f>
      </c>
      <c r="G703" s="14" t="s">
        <v>2204</v>
      </c>
      <c r="H703" s="0" t="s">
        <v>141</v>
      </c>
      <c r="I703" s="14" t="s">
        <v>131</v>
      </c>
      <c r="J703" s="0" t="s">
        <v>153</v>
      </c>
      <c r="K703" s="0" t="s">
        <v>154</v>
      </c>
      <c r="L703" s="0" t="s">
        <v>268</v>
      </c>
      <c r="M703" s="0" t="s">
        <v>135</v>
      </c>
      <c r="N703" s="0" t="s">
        <v>1678</v>
      </c>
      <c r="O703" s="0" t="s">
        <v>238</v>
      </c>
      <c r="Q703" s="0" t="s">
        <v>130</v>
      </c>
      <c r="R703" s="0" t="s">
        <v>138</v>
      </c>
      <c r="S703" s="14">
        <v>0</v>
      </c>
      <c r="T703" s="0" t="s">
        <v>206</v>
      </c>
      <c r="U703" s="0" t="s">
        <v>138</v>
      </c>
      <c r="V703" s="14" t="s">
        <v>138</v>
      </c>
      <c r="W703" s="0" t="s">
        <v>138</v>
      </c>
      <c r="X703" s="14" t="s">
        <v>138</v>
      </c>
      <c r="Y703" s="0" t="s">
        <v>138</v>
      </c>
      <c r="Z703" s="14" t="s">
        <v>138</v>
      </c>
      <c r="AA703" s="0" t="s">
        <v>138</v>
      </c>
      <c r="AB703" s="14" t="s">
        <v>138</v>
      </c>
      <c r="AD703" s="0" t="s">
        <v>138</v>
      </c>
      <c r="AF703" s="0">
        <v>0</v>
      </c>
      <c r="AG703" s="0">
        <v>0</v>
      </c>
      <c r="AH703" s="0" t="s">
        <v>140</v>
      </c>
      <c r="AI703" s="0" t="s">
        <v>138</v>
      </c>
      <c r="AL703" s="14"/>
      <c r="AN703" s="14"/>
      <c r="AQ703" s="0" t="s">
        <v>130</v>
      </c>
      <c r="AR703" s="0" t="s">
        <v>130</v>
      </c>
      <c r="AS703" s="0" t="s">
        <v>130</v>
      </c>
      <c r="AT703" s="0" t="s">
        <v>130</v>
      </c>
      <c r="AU703" s="0" t="s">
        <v>141</v>
      </c>
      <c r="AV703" s="0" t="s">
        <v>130</v>
      </c>
      <c r="AW703" s="0" t="s">
        <v>130</v>
      </c>
      <c r="AX703" s="0" t="s">
        <v>130</v>
      </c>
      <c r="AY703" s="0" t="s">
        <v>130</v>
      </c>
      <c r="AZ703" s="0" t="s">
        <v>130</v>
      </c>
      <c r="BA703" s="0" t="s">
        <v>130</v>
      </c>
      <c r="BB703" s="0" t="s">
        <v>130</v>
      </c>
      <c r="BC703" s="0" t="s">
        <v>130</v>
      </c>
      <c r="BD703" s="0" t="s">
        <v>130</v>
      </c>
      <c r="BE703" s="0" t="s">
        <v>130</v>
      </c>
      <c r="BF703" s="0" t="s">
        <v>130</v>
      </c>
      <c r="BG703" s="0" t="s">
        <v>130</v>
      </c>
      <c r="BH703" s="0" t="s">
        <v>130</v>
      </c>
      <c r="BI703" s="0" t="s">
        <v>130</v>
      </c>
      <c r="BJ703" s="0" t="s">
        <v>130</v>
      </c>
      <c r="BK703" s="0" t="s">
        <v>130</v>
      </c>
      <c r="BL703" s="0" t="s">
        <v>130</v>
      </c>
      <c r="BM703" s="0" t="s">
        <v>130</v>
      </c>
      <c r="BN703" s="0" t="s">
        <v>130</v>
      </c>
      <c r="BO703" s="0" t="s">
        <v>130</v>
      </c>
      <c r="BP703" s="0" t="s">
        <v>130</v>
      </c>
      <c r="BQ703" s="0" t="s">
        <v>130</v>
      </c>
      <c r="BR703" s="0" t="s">
        <v>130</v>
      </c>
      <c r="BS703" s="0" t="s">
        <v>130</v>
      </c>
      <c r="BT703" s="0" t="s">
        <v>130</v>
      </c>
      <c r="BU703" s="0" t="s">
        <v>130</v>
      </c>
      <c r="BV703" s="0" t="s">
        <v>130</v>
      </c>
      <c r="BW703" s="0" t="s">
        <v>130</v>
      </c>
      <c r="BX703" s="0" t="s">
        <v>130</v>
      </c>
      <c r="BY703" s="0" t="s">
        <v>130</v>
      </c>
      <c r="BZ703" s="0" t="s">
        <v>130</v>
      </c>
      <c r="CA703" s="0" t="s">
        <v>130</v>
      </c>
      <c r="CB703" s="0" t="s">
        <v>130</v>
      </c>
      <c r="CC703" s="0" t="s">
        <v>130</v>
      </c>
      <c r="CD703" s="0" t="s">
        <v>130</v>
      </c>
      <c r="CE703" s="0" t="s">
        <v>130</v>
      </c>
      <c r="CF703" s="0" t="s">
        <v>130</v>
      </c>
      <c r="CG703" s="0" t="s">
        <v>130</v>
      </c>
      <c r="CH703" s="0" t="s">
        <v>130</v>
      </c>
      <c r="CI703" s="0" t="s">
        <v>130</v>
      </c>
      <c r="CJ703" s="0" t="s">
        <v>130</v>
      </c>
      <c r="CK703" s="0" t="s">
        <v>141</v>
      </c>
      <c r="CL703" s="0" t="s">
        <v>130</v>
      </c>
      <c r="CM703" s="0" t="s">
        <v>130</v>
      </c>
      <c r="CN703" s="0" t="s">
        <v>130</v>
      </c>
      <c r="CO703" s="0" t="s">
        <v>130</v>
      </c>
      <c r="CP703" s="0" t="s">
        <v>130</v>
      </c>
      <c r="CQ703" s="0" t="s">
        <v>130</v>
      </c>
      <c r="CR703" s="0" t="s">
        <v>130</v>
      </c>
      <c r="CS703" s="0" t="s">
        <v>130</v>
      </c>
      <c r="CT703" s="0" t="s">
        <v>2249</v>
      </c>
    </row>
    <row r="704">
      <c r="A704" s="14">
        <v>110411</v>
      </c>
      <c r="B704" s="0" t="s">
        <v>2250</v>
      </c>
      <c r="C704" s="16">
        <f>HYPERLINK("https://eosportal.federatedhermes.com/companies/Q29tcGFueQppNzc5MjQ=", "Royal Bank of Canada")</f>
      </c>
      <c r="D704" s="0" t="s">
        <v>25</v>
      </c>
      <c r="E704" s="0" t="s">
        <v>615</v>
      </c>
      <c r="F704" s="16">
        <f>HYPERLINK("https://eosportal.federatedhermes.com/engagements/RW5nYWdlbWVudAppMjE4NzQ=", "TCFD Disclosure")</f>
      </c>
      <c r="G704" s="14" t="s">
        <v>2251</v>
      </c>
      <c r="H704" s="0" t="s">
        <v>141</v>
      </c>
      <c r="I704" s="14" t="s">
        <v>191</v>
      </c>
      <c r="J704" s="0" t="s">
        <v>197</v>
      </c>
      <c r="K704" s="0" t="s">
        <v>198</v>
      </c>
      <c r="L704" s="0" t="s">
        <v>199</v>
      </c>
      <c r="M704" s="0" t="s">
        <v>135</v>
      </c>
      <c r="N704" s="0" t="s">
        <v>1678</v>
      </c>
      <c r="O704" s="0" t="s">
        <v>238</v>
      </c>
      <c r="Q704" s="0" t="s">
        <v>130</v>
      </c>
      <c r="R704" s="0" t="s">
        <v>138</v>
      </c>
      <c r="S704" s="14">
        <v>0</v>
      </c>
      <c r="T704" s="0" t="s">
        <v>1145</v>
      </c>
      <c r="U704" s="0" t="s">
        <v>138</v>
      </c>
      <c r="V704" s="14" t="s">
        <v>138</v>
      </c>
      <c r="W704" s="0" t="s">
        <v>138</v>
      </c>
      <c r="X704" s="14" t="s">
        <v>138</v>
      </c>
      <c r="Y704" s="0" t="s">
        <v>138</v>
      </c>
      <c r="Z704" s="14" t="s">
        <v>138</v>
      </c>
      <c r="AA704" s="0" t="s">
        <v>138</v>
      </c>
      <c r="AB704" s="14" t="s">
        <v>138</v>
      </c>
      <c r="AD704" s="0" t="s">
        <v>138</v>
      </c>
      <c r="AF704" s="0">
        <v>0</v>
      </c>
      <c r="AG704" s="0">
        <v>0</v>
      </c>
      <c r="AH704" s="0" t="s">
        <v>140</v>
      </c>
      <c r="AI704" s="0" t="s">
        <v>138</v>
      </c>
      <c r="AL704" s="14"/>
      <c r="AN704" s="14"/>
      <c r="AQ704" s="0" t="s">
        <v>130</v>
      </c>
      <c r="AR704" s="0" t="s">
        <v>130</v>
      </c>
      <c r="AS704" s="0" t="s">
        <v>130</v>
      </c>
      <c r="AT704" s="0" t="s">
        <v>130</v>
      </c>
      <c r="AU704" s="0" t="s">
        <v>130</v>
      </c>
      <c r="AV704" s="0" t="s">
        <v>130</v>
      </c>
      <c r="AW704" s="0" t="s">
        <v>130</v>
      </c>
      <c r="AX704" s="0" t="s">
        <v>130</v>
      </c>
      <c r="AY704" s="0" t="s">
        <v>130</v>
      </c>
      <c r="AZ704" s="0" t="s">
        <v>130</v>
      </c>
      <c r="BA704" s="0" t="s">
        <v>130</v>
      </c>
      <c r="BB704" s="0" t="s">
        <v>141</v>
      </c>
      <c r="BC704" s="0" t="s">
        <v>141</v>
      </c>
      <c r="BD704" s="0" t="s">
        <v>130</v>
      </c>
      <c r="BE704" s="0" t="s">
        <v>130</v>
      </c>
      <c r="BF704" s="0" t="s">
        <v>130</v>
      </c>
      <c r="BG704" s="0" t="s">
        <v>130</v>
      </c>
      <c r="BH704" s="0" t="s">
        <v>130</v>
      </c>
      <c r="BI704" s="0" t="s">
        <v>130</v>
      </c>
      <c r="BJ704" s="0" t="s">
        <v>130</v>
      </c>
      <c r="BK704" s="0" t="s">
        <v>130</v>
      </c>
      <c r="BL704" s="0" t="s">
        <v>130</v>
      </c>
      <c r="BM704" s="0" t="s">
        <v>130</v>
      </c>
      <c r="BN704" s="0" t="s">
        <v>130</v>
      </c>
      <c r="BO704" s="0" t="s">
        <v>130</v>
      </c>
      <c r="BP704" s="0" t="s">
        <v>130</v>
      </c>
      <c r="BQ704" s="0" t="s">
        <v>130</v>
      </c>
      <c r="BR704" s="0" t="s">
        <v>130</v>
      </c>
      <c r="BS704" s="0" t="s">
        <v>130</v>
      </c>
      <c r="BT704" s="0" t="s">
        <v>130</v>
      </c>
      <c r="BU704" s="0" t="s">
        <v>130</v>
      </c>
      <c r="BV704" s="0" t="s">
        <v>130</v>
      </c>
      <c r="BW704" s="0" t="s">
        <v>130</v>
      </c>
      <c r="BX704" s="0" t="s">
        <v>130</v>
      </c>
      <c r="BY704" s="0" t="s">
        <v>130</v>
      </c>
      <c r="BZ704" s="0" t="s">
        <v>130</v>
      </c>
      <c r="CA704" s="0" t="s">
        <v>130</v>
      </c>
      <c r="CB704" s="0" t="s">
        <v>130</v>
      </c>
      <c r="CC704" s="0" t="s">
        <v>130</v>
      </c>
      <c r="CD704" s="0" t="s">
        <v>130</v>
      </c>
      <c r="CE704" s="0" t="s">
        <v>130</v>
      </c>
      <c r="CF704" s="0" t="s">
        <v>130</v>
      </c>
      <c r="CG704" s="0" t="s">
        <v>130</v>
      </c>
      <c r="CH704" s="0" t="s">
        <v>130</v>
      </c>
      <c r="CI704" s="0" t="s">
        <v>130</v>
      </c>
      <c r="CJ704" s="0" t="s">
        <v>130</v>
      </c>
      <c r="CK704" s="0" t="s">
        <v>130</v>
      </c>
      <c r="CL704" s="0" t="s">
        <v>130</v>
      </c>
      <c r="CM704" s="0" t="s">
        <v>130</v>
      </c>
      <c r="CN704" s="0" t="s">
        <v>130</v>
      </c>
      <c r="CO704" s="0" t="s">
        <v>130</v>
      </c>
      <c r="CP704" s="0" t="s">
        <v>130</v>
      </c>
      <c r="CQ704" s="0" t="s">
        <v>130</v>
      </c>
      <c r="CR704" s="0" t="s">
        <v>130</v>
      </c>
      <c r="CS704" s="0" t="s">
        <v>130</v>
      </c>
      <c r="CT704" s="0" t="s">
        <v>2252</v>
      </c>
    </row>
    <row r="705">
      <c r="A705" s="14">
        <v>110411</v>
      </c>
      <c r="B705" s="0" t="s">
        <v>2250</v>
      </c>
      <c r="C705" s="16">
        <f>HYPERLINK("https://eosportal.federatedhermes.com/companies/Q29tcGFueQppNzc5MjQ=", "Royal Bank of Canada")</f>
      </c>
      <c r="D705" s="0" t="s">
        <v>25</v>
      </c>
      <c r="E705" s="0" t="s">
        <v>2253</v>
      </c>
      <c r="F705" s="16">
        <f>HYPERLINK("https://eosportal.federatedhermes.com/engagements/RW5nYWdlbWVudAppMjE4NzU=", "Ensure remuneration is linked to risk-adjusted performance")</f>
      </c>
      <c r="G705" s="14" t="s">
        <v>2254</v>
      </c>
      <c r="H705" s="0" t="s">
        <v>141</v>
      </c>
      <c r="I705" s="14" t="s">
        <v>191</v>
      </c>
      <c r="J705" s="0" t="s">
        <v>145</v>
      </c>
      <c r="K705" s="0" t="s">
        <v>146</v>
      </c>
      <c r="L705" s="0" t="s">
        <v>147</v>
      </c>
      <c r="M705" s="0" t="s">
        <v>135</v>
      </c>
      <c r="N705" s="0" t="s">
        <v>1678</v>
      </c>
      <c r="O705" s="0" t="s">
        <v>238</v>
      </c>
      <c r="Q705" s="0" t="s">
        <v>130</v>
      </c>
      <c r="R705" s="0" t="s">
        <v>138</v>
      </c>
      <c r="S705" s="14">
        <v>0</v>
      </c>
      <c r="T705" s="0" t="s">
        <v>245</v>
      </c>
      <c r="U705" s="0" t="s">
        <v>138</v>
      </c>
      <c r="V705" s="14" t="s">
        <v>138</v>
      </c>
      <c r="W705" s="0" t="s">
        <v>138</v>
      </c>
      <c r="X705" s="14" t="s">
        <v>138</v>
      </c>
      <c r="Y705" s="0" t="s">
        <v>138</v>
      </c>
      <c r="Z705" s="14" t="s">
        <v>138</v>
      </c>
      <c r="AA705" s="0" t="s">
        <v>138</v>
      </c>
      <c r="AB705" s="14" t="s">
        <v>138</v>
      </c>
      <c r="AD705" s="0" t="s">
        <v>138</v>
      </c>
      <c r="AF705" s="0">
        <v>0</v>
      </c>
      <c r="AG705" s="0">
        <v>0</v>
      </c>
      <c r="AH705" s="0" t="s">
        <v>140</v>
      </c>
      <c r="AI705" s="0" t="s">
        <v>138</v>
      </c>
      <c r="AL705" s="14"/>
      <c r="AN705" s="14"/>
      <c r="AQ705" s="0" t="s">
        <v>130</v>
      </c>
      <c r="AR705" s="0" t="s">
        <v>130</v>
      </c>
      <c r="AS705" s="0" t="s">
        <v>130</v>
      </c>
      <c r="AT705" s="0" t="s">
        <v>130</v>
      </c>
      <c r="AU705" s="0" t="s">
        <v>130</v>
      </c>
      <c r="AV705" s="0" t="s">
        <v>130</v>
      </c>
      <c r="AW705" s="0" t="s">
        <v>130</v>
      </c>
      <c r="AX705" s="0" t="s">
        <v>130</v>
      </c>
      <c r="AY705" s="0" t="s">
        <v>130</v>
      </c>
      <c r="AZ705" s="0" t="s">
        <v>130</v>
      </c>
      <c r="BA705" s="0" t="s">
        <v>130</v>
      </c>
      <c r="BB705" s="0" t="s">
        <v>130</v>
      </c>
      <c r="BC705" s="0" t="s">
        <v>130</v>
      </c>
      <c r="BD705" s="0" t="s">
        <v>130</v>
      </c>
      <c r="BE705" s="0" t="s">
        <v>130</v>
      </c>
      <c r="BF705" s="0" t="s">
        <v>130</v>
      </c>
      <c r="BG705" s="0" t="s">
        <v>130</v>
      </c>
      <c r="BH705" s="0" t="s">
        <v>130</v>
      </c>
      <c r="BI705" s="0" t="s">
        <v>130</v>
      </c>
      <c r="BJ705" s="0" t="s">
        <v>130</v>
      </c>
      <c r="BK705" s="0" t="s">
        <v>130</v>
      </c>
      <c r="BL705" s="0" t="s">
        <v>130</v>
      </c>
      <c r="BM705" s="0" t="s">
        <v>130</v>
      </c>
      <c r="BN705" s="0" t="s">
        <v>130</v>
      </c>
      <c r="BO705" s="0" t="s">
        <v>130</v>
      </c>
      <c r="BP705" s="0" t="s">
        <v>130</v>
      </c>
      <c r="BQ705" s="0" t="s">
        <v>130</v>
      </c>
      <c r="BR705" s="0" t="s">
        <v>130</v>
      </c>
      <c r="BS705" s="0" t="s">
        <v>130</v>
      </c>
      <c r="BT705" s="0" t="s">
        <v>130</v>
      </c>
      <c r="BU705" s="0" t="s">
        <v>130</v>
      </c>
      <c r="BV705" s="0" t="s">
        <v>130</v>
      </c>
      <c r="BW705" s="0" t="s">
        <v>130</v>
      </c>
      <c r="BX705" s="0" t="s">
        <v>130</v>
      </c>
      <c r="BY705" s="0" t="s">
        <v>130</v>
      </c>
      <c r="BZ705" s="0" t="s">
        <v>130</v>
      </c>
      <c r="CA705" s="0" t="s">
        <v>130</v>
      </c>
      <c r="CB705" s="0" t="s">
        <v>130</v>
      </c>
      <c r="CC705" s="0" t="s">
        <v>130</v>
      </c>
      <c r="CD705" s="0" t="s">
        <v>130</v>
      </c>
      <c r="CE705" s="0" t="s">
        <v>130</v>
      </c>
      <c r="CF705" s="0" t="s">
        <v>130</v>
      </c>
      <c r="CG705" s="0" t="s">
        <v>130</v>
      </c>
      <c r="CH705" s="0" t="s">
        <v>130</v>
      </c>
      <c r="CI705" s="0" t="s">
        <v>130</v>
      </c>
      <c r="CJ705" s="0" t="s">
        <v>130</v>
      </c>
      <c r="CK705" s="0" t="s">
        <v>130</v>
      </c>
      <c r="CL705" s="0" t="s">
        <v>130</v>
      </c>
      <c r="CM705" s="0" t="s">
        <v>130</v>
      </c>
      <c r="CN705" s="0" t="s">
        <v>130</v>
      </c>
      <c r="CO705" s="0" t="s">
        <v>130</v>
      </c>
      <c r="CP705" s="0" t="s">
        <v>130</v>
      </c>
      <c r="CQ705" s="0" t="s">
        <v>130</v>
      </c>
      <c r="CR705" s="0" t="s">
        <v>130</v>
      </c>
      <c r="CS705" s="0" t="s">
        <v>130</v>
      </c>
      <c r="CT705" s="0" t="s">
        <v>2255</v>
      </c>
    </row>
    <row r="706">
      <c r="A706" s="14">
        <v>110411</v>
      </c>
      <c r="B706" s="0" t="s">
        <v>2250</v>
      </c>
      <c r="C706" s="16">
        <f>HYPERLINK("https://eosportal.federatedhermes.com/companies/Q29tcGFueQppNzc5MjQ=", "Royal Bank of Canada")</f>
      </c>
      <c r="D706" s="0" t="s">
        <v>25</v>
      </c>
      <c r="E706" s="0" t="s">
        <v>2256</v>
      </c>
      <c r="F706" s="16">
        <f>HYPERLINK("https://eosportal.federatedhermes.com/engagements/RW5nYWdlbWVudAppMjE4NzY=", "Banking experience on board")</f>
      </c>
      <c r="G706" s="14" t="s">
        <v>2257</v>
      </c>
      <c r="H706" s="0" t="s">
        <v>141</v>
      </c>
      <c r="I706" s="14" t="s">
        <v>191</v>
      </c>
      <c r="J706" s="0" t="s">
        <v>145</v>
      </c>
      <c r="K706" s="0" t="s">
        <v>164</v>
      </c>
      <c r="L706" s="0" t="s">
        <v>165</v>
      </c>
      <c r="M706" s="0" t="s">
        <v>135</v>
      </c>
      <c r="N706" s="0" t="s">
        <v>1678</v>
      </c>
      <c r="O706" s="0" t="s">
        <v>238</v>
      </c>
      <c r="Q706" s="0" t="s">
        <v>130</v>
      </c>
      <c r="R706" s="0" t="s">
        <v>138</v>
      </c>
      <c r="S706" s="14">
        <v>0</v>
      </c>
      <c r="T706" s="0" t="s">
        <v>591</v>
      </c>
      <c r="U706" s="0" t="s">
        <v>138</v>
      </c>
      <c r="V706" s="14" t="s">
        <v>138</v>
      </c>
      <c r="W706" s="0" t="s">
        <v>138</v>
      </c>
      <c r="X706" s="14" t="s">
        <v>138</v>
      </c>
      <c r="Y706" s="0" t="s">
        <v>138</v>
      </c>
      <c r="Z706" s="14" t="s">
        <v>138</v>
      </c>
      <c r="AA706" s="0" t="s">
        <v>138</v>
      </c>
      <c r="AB706" s="14" t="s">
        <v>138</v>
      </c>
      <c r="AD706" s="0" t="s">
        <v>138</v>
      </c>
      <c r="AF706" s="0">
        <v>0</v>
      </c>
      <c r="AG706" s="0">
        <v>0</v>
      </c>
      <c r="AH706" s="0" t="s">
        <v>140</v>
      </c>
      <c r="AI706" s="0" t="s">
        <v>138</v>
      </c>
      <c r="AL706" s="14"/>
      <c r="AN706" s="14"/>
      <c r="AQ706" s="0" t="s">
        <v>130</v>
      </c>
      <c r="AR706" s="0" t="s">
        <v>130</v>
      </c>
      <c r="AS706" s="0" t="s">
        <v>130</v>
      </c>
      <c r="AT706" s="0" t="s">
        <v>130</v>
      </c>
      <c r="AU706" s="0" t="s">
        <v>130</v>
      </c>
      <c r="AV706" s="0" t="s">
        <v>130</v>
      </c>
      <c r="AW706" s="0" t="s">
        <v>130</v>
      </c>
      <c r="AX706" s="0" t="s">
        <v>130</v>
      </c>
      <c r="AY706" s="0" t="s">
        <v>130</v>
      </c>
      <c r="AZ706" s="0" t="s">
        <v>130</v>
      </c>
      <c r="BA706" s="0" t="s">
        <v>130</v>
      </c>
      <c r="BB706" s="0" t="s">
        <v>130</v>
      </c>
      <c r="BC706" s="0" t="s">
        <v>130</v>
      </c>
      <c r="BD706" s="0" t="s">
        <v>130</v>
      </c>
      <c r="BE706" s="0" t="s">
        <v>130</v>
      </c>
      <c r="BF706" s="0" t="s">
        <v>130</v>
      </c>
      <c r="BG706" s="0" t="s">
        <v>130</v>
      </c>
      <c r="BH706" s="0" t="s">
        <v>130</v>
      </c>
      <c r="BI706" s="0" t="s">
        <v>130</v>
      </c>
      <c r="BJ706" s="0" t="s">
        <v>130</v>
      </c>
      <c r="BK706" s="0" t="s">
        <v>130</v>
      </c>
      <c r="BL706" s="0" t="s">
        <v>130</v>
      </c>
      <c r="BM706" s="0" t="s">
        <v>130</v>
      </c>
      <c r="BN706" s="0" t="s">
        <v>130</v>
      </c>
      <c r="BO706" s="0" t="s">
        <v>130</v>
      </c>
      <c r="BP706" s="0" t="s">
        <v>130</v>
      </c>
      <c r="BQ706" s="0" t="s">
        <v>130</v>
      </c>
      <c r="BR706" s="0" t="s">
        <v>130</v>
      </c>
      <c r="BS706" s="0" t="s">
        <v>130</v>
      </c>
      <c r="BT706" s="0" t="s">
        <v>130</v>
      </c>
      <c r="BU706" s="0" t="s">
        <v>130</v>
      </c>
      <c r="BV706" s="0" t="s">
        <v>130</v>
      </c>
      <c r="BW706" s="0" t="s">
        <v>130</v>
      </c>
      <c r="BX706" s="0" t="s">
        <v>130</v>
      </c>
      <c r="BY706" s="0" t="s">
        <v>130</v>
      </c>
      <c r="BZ706" s="0" t="s">
        <v>130</v>
      </c>
      <c r="CA706" s="0" t="s">
        <v>130</v>
      </c>
      <c r="CB706" s="0" t="s">
        <v>130</v>
      </c>
      <c r="CC706" s="0" t="s">
        <v>130</v>
      </c>
      <c r="CD706" s="0" t="s">
        <v>130</v>
      </c>
      <c r="CE706" s="0" t="s">
        <v>130</v>
      </c>
      <c r="CF706" s="0" t="s">
        <v>130</v>
      </c>
      <c r="CG706" s="0" t="s">
        <v>130</v>
      </c>
      <c r="CH706" s="0" t="s">
        <v>130</v>
      </c>
      <c r="CI706" s="0" t="s">
        <v>130</v>
      </c>
      <c r="CJ706" s="0" t="s">
        <v>130</v>
      </c>
      <c r="CK706" s="0" t="s">
        <v>130</v>
      </c>
      <c r="CL706" s="0" t="s">
        <v>130</v>
      </c>
      <c r="CM706" s="0" t="s">
        <v>130</v>
      </c>
      <c r="CN706" s="0" t="s">
        <v>130</v>
      </c>
      <c r="CO706" s="0" t="s">
        <v>130</v>
      </c>
      <c r="CP706" s="0" t="s">
        <v>130</v>
      </c>
      <c r="CQ706" s="0" t="s">
        <v>130</v>
      </c>
      <c r="CR706" s="0" t="s">
        <v>130</v>
      </c>
      <c r="CS706" s="0" t="s">
        <v>130</v>
      </c>
      <c r="CT706" s="0" t="s">
        <v>2258</v>
      </c>
    </row>
    <row r="707">
      <c r="A707" s="14">
        <v>110411</v>
      </c>
      <c r="B707" s="0" t="s">
        <v>2250</v>
      </c>
      <c r="C707" s="16">
        <f>HYPERLINK("https://eosportal.federatedhermes.com/companies/Q29tcGFueQppNzc5MjQ=", "Royal Bank of Canada")</f>
      </c>
      <c r="D707" s="0" t="s">
        <v>25</v>
      </c>
      <c r="E707" s="0" t="s">
        <v>2259</v>
      </c>
      <c r="F707" s="16">
        <f>HYPERLINK("https://eosportal.federatedhermes.com/engagements/RW5nYWdlbWVudAppMjE4Nzc=", "Articulation of Business Purpose")</f>
      </c>
      <c r="G707" s="14" t="s">
        <v>2260</v>
      </c>
      <c r="H707" s="0" t="s">
        <v>141</v>
      </c>
      <c r="I707" s="14" t="s">
        <v>191</v>
      </c>
      <c r="J707" s="0" t="s">
        <v>132</v>
      </c>
      <c r="K707" s="0" t="s">
        <v>133</v>
      </c>
      <c r="L707" s="0" t="s">
        <v>134</v>
      </c>
      <c r="M707" s="0" t="s">
        <v>135</v>
      </c>
      <c r="N707" s="0" t="s">
        <v>1678</v>
      </c>
      <c r="O707" s="0" t="s">
        <v>238</v>
      </c>
      <c r="Q707" s="0" t="s">
        <v>130</v>
      </c>
      <c r="R707" s="0" t="s">
        <v>138</v>
      </c>
      <c r="S707" s="14">
        <v>0</v>
      </c>
      <c r="T707" s="0" t="s">
        <v>333</v>
      </c>
      <c r="U707" s="0" t="s">
        <v>138</v>
      </c>
      <c r="V707" s="14" t="s">
        <v>138</v>
      </c>
      <c r="W707" s="0" t="s">
        <v>138</v>
      </c>
      <c r="X707" s="14" t="s">
        <v>138</v>
      </c>
      <c r="Y707" s="0" t="s">
        <v>138</v>
      </c>
      <c r="Z707" s="14" t="s">
        <v>138</v>
      </c>
      <c r="AA707" s="0" t="s">
        <v>138</v>
      </c>
      <c r="AB707" s="14" t="s">
        <v>138</v>
      </c>
      <c r="AD707" s="0" t="s">
        <v>138</v>
      </c>
      <c r="AF707" s="0">
        <v>0</v>
      </c>
      <c r="AG707" s="0">
        <v>0</v>
      </c>
      <c r="AH707" s="0" t="s">
        <v>140</v>
      </c>
      <c r="AI707" s="0" t="s">
        <v>138</v>
      </c>
      <c r="AL707" s="14"/>
      <c r="AN707" s="14"/>
      <c r="AQ707" s="0" t="s">
        <v>130</v>
      </c>
      <c r="AR707" s="0" t="s">
        <v>130</v>
      </c>
      <c r="AS707" s="0" t="s">
        <v>130</v>
      </c>
      <c r="AT707" s="0" t="s">
        <v>130</v>
      </c>
      <c r="AU707" s="0" t="s">
        <v>130</v>
      </c>
      <c r="AV707" s="0" t="s">
        <v>130</v>
      </c>
      <c r="AW707" s="0" t="s">
        <v>130</v>
      </c>
      <c r="AX707" s="0" t="s">
        <v>130</v>
      </c>
      <c r="AY707" s="0" t="s">
        <v>130</v>
      </c>
      <c r="AZ707" s="0" t="s">
        <v>130</v>
      </c>
      <c r="BA707" s="0" t="s">
        <v>130</v>
      </c>
      <c r="BB707" s="0" t="s">
        <v>130</v>
      </c>
      <c r="BC707" s="0" t="s">
        <v>130</v>
      </c>
      <c r="BD707" s="0" t="s">
        <v>130</v>
      </c>
      <c r="BE707" s="0" t="s">
        <v>130</v>
      </c>
      <c r="BF707" s="0" t="s">
        <v>130</v>
      </c>
      <c r="BG707" s="0" t="s">
        <v>130</v>
      </c>
      <c r="BH707" s="0" t="s">
        <v>130</v>
      </c>
      <c r="BI707" s="0" t="s">
        <v>130</v>
      </c>
      <c r="BJ707" s="0" t="s">
        <v>130</v>
      </c>
      <c r="BK707" s="0" t="s">
        <v>130</v>
      </c>
      <c r="BL707" s="0" t="s">
        <v>130</v>
      </c>
      <c r="BM707" s="0" t="s">
        <v>130</v>
      </c>
      <c r="BN707" s="0" t="s">
        <v>130</v>
      </c>
      <c r="BO707" s="0" t="s">
        <v>130</v>
      </c>
      <c r="BP707" s="0" t="s">
        <v>130</v>
      </c>
      <c r="BQ707" s="0" t="s">
        <v>130</v>
      </c>
      <c r="BR707" s="0" t="s">
        <v>130</v>
      </c>
      <c r="BS707" s="0" t="s">
        <v>130</v>
      </c>
      <c r="BT707" s="0" t="s">
        <v>130</v>
      </c>
      <c r="BU707" s="0" t="s">
        <v>130</v>
      </c>
      <c r="BV707" s="0" t="s">
        <v>130</v>
      </c>
      <c r="BW707" s="0" t="s">
        <v>130</v>
      </c>
      <c r="BX707" s="0" t="s">
        <v>130</v>
      </c>
      <c r="BY707" s="0" t="s">
        <v>130</v>
      </c>
      <c r="BZ707" s="0" t="s">
        <v>130</v>
      </c>
      <c r="CA707" s="0" t="s">
        <v>130</v>
      </c>
      <c r="CB707" s="0" t="s">
        <v>130</v>
      </c>
      <c r="CC707" s="0" t="s">
        <v>130</v>
      </c>
      <c r="CD707" s="0" t="s">
        <v>130</v>
      </c>
      <c r="CE707" s="0" t="s">
        <v>130</v>
      </c>
      <c r="CF707" s="0" t="s">
        <v>130</v>
      </c>
      <c r="CG707" s="0" t="s">
        <v>130</v>
      </c>
      <c r="CH707" s="0" t="s">
        <v>130</v>
      </c>
      <c r="CI707" s="0" t="s">
        <v>130</v>
      </c>
      <c r="CJ707" s="0" t="s">
        <v>130</v>
      </c>
      <c r="CK707" s="0" t="s">
        <v>130</v>
      </c>
      <c r="CL707" s="0" t="s">
        <v>130</v>
      </c>
      <c r="CM707" s="0" t="s">
        <v>130</v>
      </c>
      <c r="CN707" s="0" t="s">
        <v>130</v>
      </c>
      <c r="CO707" s="0" t="s">
        <v>130</v>
      </c>
      <c r="CP707" s="0" t="s">
        <v>130</v>
      </c>
      <c r="CQ707" s="0" t="s">
        <v>130</v>
      </c>
      <c r="CR707" s="0" t="s">
        <v>130</v>
      </c>
      <c r="CS707" s="0" t="s">
        <v>130</v>
      </c>
      <c r="CT707" s="0" t="s">
        <v>2261</v>
      </c>
    </row>
    <row r="708">
      <c r="A708" s="14">
        <v>110411</v>
      </c>
      <c r="B708" s="0" t="s">
        <v>2250</v>
      </c>
      <c r="C708" s="16">
        <f>HYPERLINK("https://eosportal.federatedhermes.com/companies/Q29tcGFueQppNzc5MjQ=", "Royal Bank of Canada")</f>
      </c>
      <c r="D708" s="0" t="s">
        <v>23</v>
      </c>
      <c r="E708" s="0" t="s">
        <v>1542</v>
      </c>
      <c r="F708" s="16">
        <f>HYPERLINK("https://eosportal.federatedhermes.com/engagements/RW5nYWdlbWVudAppMjE4ODI=", "Just transition")</f>
      </c>
      <c r="G708" s="14" t="s">
        <v>2262</v>
      </c>
      <c r="H708" s="0" t="s">
        <v>141</v>
      </c>
      <c r="I708" s="14" t="s">
        <v>191</v>
      </c>
      <c r="J708" s="0" t="s">
        <v>197</v>
      </c>
      <c r="K708" s="0" t="s">
        <v>198</v>
      </c>
      <c r="L708" s="0" t="s">
        <v>199</v>
      </c>
      <c r="M708" s="0" t="s">
        <v>135</v>
      </c>
      <c r="N708" s="0" t="s">
        <v>1678</v>
      </c>
      <c r="O708" s="0" t="s">
        <v>238</v>
      </c>
      <c r="Q708" s="0" t="s">
        <v>141</v>
      </c>
      <c r="R708" s="0" t="s">
        <v>130</v>
      </c>
      <c r="S708" s="14">
        <v>1</v>
      </c>
      <c r="T708" s="0" t="s">
        <v>231</v>
      </c>
      <c r="U708" s="0" t="s">
        <v>221</v>
      </c>
      <c r="V708" s="14" t="s">
        <v>231</v>
      </c>
      <c r="W708" s="0" t="s">
        <v>221</v>
      </c>
      <c r="X708" s="14" t="s">
        <v>231</v>
      </c>
      <c r="Y708" s="0" t="s">
        <v>223</v>
      </c>
      <c r="Z708" s="14" t="s">
        <v>138</v>
      </c>
      <c r="AA708" s="0" t="s">
        <v>224</v>
      </c>
      <c r="AB708" s="14" t="s">
        <v>138</v>
      </c>
      <c r="AD708" s="0" t="s">
        <v>17</v>
      </c>
      <c r="AF708" s="0">
        <v>0</v>
      </c>
      <c r="AG708" s="0">
        <v>0</v>
      </c>
      <c r="AH708" s="0" t="s">
        <v>140</v>
      </c>
      <c r="AI708" s="0" t="s">
        <v>232</v>
      </c>
      <c r="AK708" s="0" t="s">
        <v>2263</v>
      </c>
      <c r="AL708" s="14"/>
      <c r="AN708" s="14"/>
      <c r="AQ708" s="0" t="s">
        <v>130</v>
      </c>
      <c r="AR708" s="0" t="s">
        <v>130</v>
      </c>
      <c r="AS708" s="0" t="s">
        <v>130</v>
      </c>
      <c r="AT708" s="0" t="s">
        <v>130</v>
      </c>
      <c r="AU708" s="0" t="s">
        <v>130</v>
      </c>
      <c r="AV708" s="0" t="s">
        <v>130</v>
      </c>
      <c r="AW708" s="0" t="s">
        <v>130</v>
      </c>
      <c r="AX708" s="0" t="s">
        <v>130</v>
      </c>
      <c r="AY708" s="0" t="s">
        <v>130</v>
      </c>
      <c r="AZ708" s="0" t="s">
        <v>130</v>
      </c>
      <c r="BA708" s="0" t="s">
        <v>130</v>
      </c>
      <c r="BB708" s="0" t="s">
        <v>141</v>
      </c>
      <c r="BC708" s="0" t="s">
        <v>130</v>
      </c>
      <c r="BD708" s="0" t="s">
        <v>130</v>
      </c>
      <c r="BE708" s="0" t="s">
        <v>130</v>
      </c>
      <c r="BF708" s="0" t="s">
        <v>130</v>
      </c>
      <c r="BG708" s="0" t="s">
        <v>130</v>
      </c>
      <c r="BH708" s="0" t="s">
        <v>130</v>
      </c>
      <c r="BI708" s="0" t="s">
        <v>130</v>
      </c>
      <c r="BJ708" s="0" t="s">
        <v>130</v>
      </c>
      <c r="BK708" s="0" t="s">
        <v>130</v>
      </c>
      <c r="BL708" s="0" t="s">
        <v>130</v>
      </c>
      <c r="BM708" s="0" t="s">
        <v>130</v>
      </c>
      <c r="BN708" s="0" t="s">
        <v>130</v>
      </c>
      <c r="BO708" s="0" t="s">
        <v>130</v>
      </c>
      <c r="BP708" s="0" t="s">
        <v>130</v>
      </c>
      <c r="BQ708" s="0" t="s">
        <v>130</v>
      </c>
      <c r="BR708" s="0" t="s">
        <v>130</v>
      </c>
      <c r="BS708" s="0" t="s">
        <v>130</v>
      </c>
      <c r="BT708" s="0" t="s">
        <v>130</v>
      </c>
      <c r="BU708" s="0" t="s">
        <v>130</v>
      </c>
      <c r="BV708" s="0" t="s">
        <v>130</v>
      </c>
      <c r="BW708" s="0" t="s">
        <v>130</v>
      </c>
      <c r="BX708" s="0" t="s">
        <v>130</v>
      </c>
      <c r="BY708" s="0" t="s">
        <v>130</v>
      </c>
      <c r="BZ708" s="0" t="s">
        <v>130</v>
      </c>
      <c r="CA708" s="0" t="s">
        <v>130</v>
      </c>
      <c r="CB708" s="0" t="s">
        <v>130</v>
      </c>
      <c r="CC708" s="0" t="s">
        <v>130</v>
      </c>
      <c r="CD708" s="0" t="s">
        <v>130</v>
      </c>
      <c r="CE708" s="0" t="s">
        <v>130</v>
      </c>
      <c r="CF708" s="0" t="s">
        <v>130</v>
      </c>
      <c r="CG708" s="0" t="s">
        <v>130</v>
      </c>
      <c r="CH708" s="0" t="s">
        <v>130</v>
      </c>
      <c r="CI708" s="0" t="s">
        <v>130</v>
      </c>
      <c r="CJ708" s="0" t="s">
        <v>130</v>
      </c>
      <c r="CK708" s="0" t="s">
        <v>130</v>
      </c>
      <c r="CL708" s="0" t="s">
        <v>130</v>
      </c>
      <c r="CM708" s="0" t="s">
        <v>130</v>
      </c>
      <c r="CN708" s="0" t="s">
        <v>130</v>
      </c>
      <c r="CO708" s="0" t="s">
        <v>130</v>
      </c>
      <c r="CP708" s="0" t="s">
        <v>130</v>
      </c>
      <c r="CQ708" s="0" t="s">
        <v>130</v>
      </c>
      <c r="CR708" s="0" t="s">
        <v>130</v>
      </c>
      <c r="CS708" s="0" t="s">
        <v>130</v>
      </c>
      <c r="CT708" s="0" t="s">
        <v>2264</v>
      </c>
    </row>
    <row r="709">
      <c r="A709" s="14">
        <v>110411</v>
      </c>
      <c r="B709" s="0" t="s">
        <v>2250</v>
      </c>
      <c r="C709" s="16">
        <f>HYPERLINK("https://eosportal.federatedhermes.com/companies/Q29tcGFueQppNzc5MjQ=", "Royal Bank of Canada")</f>
      </c>
      <c r="D709" s="0" t="s">
        <v>23</v>
      </c>
      <c r="E709" s="0" t="s">
        <v>228</v>
      </c>
      <c r="F709" s="16">
        <f>HYPERLINK("https://eosportal.federatedhermes.com/engagements/RW5nYWdlbWVudAppMjE4ODc=", "Climate strategy")</f>
      </c>
      <c r="G709" s="14" t="s">
        <v>2265</v>
      </c>
      <c r="H709" s="0" t="s">
        <v>141</v>
      </c>
      <c r="I709" s="14" t="s">
        <v>191</v>
      </c>
      <c r="J709" s="0" t="s">
        <v>197</v>
      </c>
      <c r="K709" s="0" t="s">
        <v>198</v>
      </c>
      <c r="L709" s="0" t="s">
        <v>220</v>
      </c>
      <c r="M709" s="0" t="s">
        <v>135</v>
      </c>
      <c r="N709" s="0" t="s">
        <v>1678</v>
      </c>
      <c r="O709" s="0" t="s">
        <v>238</v>
      </c>
      <c r="Q709" s="0" t="s">
        <v>141</v>
      </c>
      <c r="R709" s="0" t="s">
        <v>141</v>
      </c>
      <c r="S709" s="14">
        <v>1</v>
      </c>
      <c r="T709" s="0" t="s">
        <v>355</v>
      </c>
      <c r="U709" s="0" t="s">
        <v>221</v>
      </c>
      <c r="V709" s="14" t="s">
        <v>355</v>
      </c>
      <c r="W709" s="0" t="s">
        <v>221</v>
      </c>
      <c r="X709" s="14" t="s">
        <v>355</v>
      </c>
      <c r="Y709" s="0" t="s">
        <v>221</v>
      </c>
      <c r="Z709" s="14" t="s">
        <v>361</v>
      </c>
      <c r="AA709" s="0" t="s">
        <v>223</v>
      </c>
      <c r="AB709" s="14" t="s">
        <v>138</v>
      </c>
      <c r="AC709" s="0" t="s">
        <v>17</v>
      </c>
      <c r="AD709" s="0" t="s">
        <v>20</v>
      </c>
      <c r="AE709" s="0" t="s">
        <v>2266</v>
      </c>
      <c r="AF709" s="0">
        <v>1</v>
      </c>
      <c r="AG709" s="0">
        <v>0</v>
      </c>
      <c r="AH709" s="0" t="s">
        <v>140</v>
      </c>
      <c r="AI709" s="0" t="s">
        <v>232</v>
      </c>
      <c r="AK709" s="0" t="s">
        <v>2263</v>
      </c>
      <c r="AL709" s="14"/>
      <c r="AN709" s="14"/>
      <c r="AQ709" s="0" t="s">
        <v>130</v>
      </c>
      <c r="AR709" s="0" t="s">
        <v>130</v>
      </c>
      <c r="AS709" s="0" t="s">
        <v>130</v>
      </c>
      <c r="AT709" s="0" t="s">
        <v>130</v>
      </c>
      <c r="AU709" s="0" t="s">
        <v>130</v>
      </c>
      <c r="AV709" s="0" t="s">
        <v>130</v>
      </c>
      <c r="AW709" s="0" t="s">
        <v>141</v>
      </c>
      <c r="AX709" s="0" t="s">
        <v>130</v>
      </c>
      <c r="AY709" s="0" t="s">
        <v>141</v>
      </c>
      <c r="AZ709" s="0" t="s">
        <v>130</v>
      </c>
      <c r="BA709" s="0" t="s">
        <v>130</v>
      </c>
      <c r="BB709" s="0" t="s">
        <v>130</v>
      </c>
      <c r="BC709" s="0" t="s">
        <v>141</v>
      </c>
      <c r="BD709" s="0" t="s">
        <v>130</v>
      </c>
      <c r="BE709" s="0" t="s">
        <v>130</v>
      </c>
      <c r="BF709" s="0" t="s">
        <v>130</v>
      </c>
      <c r="BG709" s="0" t="s">
        <v>130</v>
      </c>
      <c r="BH709" s="0" t="s">
        <v>141</v>
      </c>
      <c r="BI709" s="0" t="s">
        <v>141</v>
      </c>
      <c r="BJ709" s="0" t="s">
        <v>141</v>
      </c>
      <c r="BK709" s="0" t="s">
        <v>130</v>
      </c>
      <c r="BL709" s="0" t="s">
        <v>130</v>
      </c>
      <c r="BM709" s="0" t="s">
        <v>130</v>
      </c>
      <c r="BN709" s="0" t="s">
        <v>130</v>
      </c>
      <c r="BO709" s="0" t="s">
        <v>130</v>
      </c>
      <c r="BP709" s="0" t="s">
        <v>130</v>
      </c>
      <c r="BQ709" s="0" t="s">
        <v>130</v>
      </c>
      <c r="BR709" s="0" t="s">
        <v>130</v>
      </c>
      <c r="BS709" s="0" t="s">
        <v>130</v>
      </c>
      <c r="BT709" s="0" t="s">
        <v>130</v>
      </c>
      <c r="BU709" s="0" t="s">
        <v>130</v>
      </c>
      <c r="BV709" s="0" t="s">
        <v>141</v>
      </c>
      <c r="BW709" s="0" t="s">
        <v>141</v>
      </c>
      <c r="BX709" s="0" t="s">
        <v>130</v>
      </c>
      <c r="BY709" s="0" t="s">
        <v>130</v>
      </c>
      <c r="BZ709" s="0" t="s">
        <v>130</v>
      </c>
      <c r="CA709" s="0" t="s">
        <v>130</v>
      </c>
      <c r="CB709" s="0" t="s">
        <v>130</v>
      </c>
      <c r="CC709" s="0" t="s">
        <v>130</v>
      </c>
      <c r="CD709" s="0" t="s">
        <v>130</v>
      </c>
      <c r="CE709" s="0" t="s">
        <v>130</v>
      </c>
      <c r="CF709" s="0" t="s">
        <v>130</v>
      </c>
      <c r="CG709" s="0" t="s">
        <v>130</v>
      </c>
      <c r="CH709" s="0" t="s">
        <v>130</v>
      </c>
      <c r="CI709" s="0" t="s">
        <v>130</v>
      </c>
      <c r="CJ709" s="0" t="s">
        <v>130</v>
      </c>
      <c r="CK709" s="0" t="s">
        <v>130</v>
      </c>
      <c r="CL709" s="0" t="s">
        <v>130</v>
      </c>
      <c r="CM709" s="0" t="s">
        <v>130</v>
      </c>
      <c r="CN709" s="0" t="s">
        <v>130</v>
      </c>
      <c r="CO709" s="0" t="s">
        <v>130</v>
      </c>
      <c r="CP709" s="0" t="s">
        <v>130</v>
      </c>
      <c r="CQ709" s="0" t="s">
        <v>130</v>
      </c>
      <c r="CR709" s="0" t="s">
        <v>130</v>
      </c>
      <c r="CS709" s="0" t="s">
        <v>130</v>
      </c>
      <c r="CT709" s="0" t="s">
        <v>2267</v>
      </c>
    </row>
    <row r="710">
      <c r="A710" s="14">
        <v>110411</v>
      </c>
      <c r="B710" s="0" t="s">
        <v>2250</v>
      </c>
      <c r="C710" s="16">
        <f>HYPERLINK("https://eosportal.federatedhermes.com/companies/Q29tcGFueQppNzc5MjQ=", "Royal Bank of Canada")</f>
      </c>
      <c r="D710" s="0" t="s">
        <v>23</v>
      </c>
      <c r="E710" s="0" t="s">
        <v>2268</v>
      </c>
      <c r="F710" s="16">
        <f>HYPERLINK("https://eosportal.federatedhermes.com/engagements/RW5nYWdlbWVudAppMjE4ODg=", "Climate strategy - enhance scope")</f>
      </c>
      <c r="G710" s="14" t="s">
        <v>2269</v>
      </c>
      <c r="H710" s="0" t="s">
        <v>141</v>
      </c>
      <c r="I710" s="14" t="s">
        <v>191</v>
      </c>
      <c r="J710" s="0" t="s">
        <v>197</v>
      </c>
      <c r="K710" s="0" t="s">
        <v>198</v>
      </c>
      <c r="L710" s="0" t="s">
        <v>220</v>
      </c>
      <c r="M710" s="0" t="s">
        <v>135</v>
      </c>
      <c r="N710" s="0" t="s">
        <v>1678</v>
      </c>
      <c r="O710" s="0" t="s">
        <v>238</v>
      </c>
      <c r="Q710" s="0" t="s">
        <v>141</v>
      </c>
      <c r="R710" s="0" t="s">
        <v>130</v>
      </c>
      <c r="S710" s="14">
        <v>1</v>
      </c>
      <c r="T710" s="0" t="s">
        <v>355</v>
      </c>
      <c r="U710" s="0" t="s">
        <v>221</v>
      </c>
      <c r="V710" s="14" t="s">
        <v>355</v>
      </c>
      <c r="W710" s="0" t="s">
        <v>221</v>
      </c>
      <c r="X710" s="14" t="s">
        <v>355</v>
      </c>
      <c r="Y710" s="0" t="s">
        <v>221</v>
      </c>
      <c r="Z710" s="14" t="s">
        <v>2270</v>
      </c>
      <c r="AA710" s="0" t="s">
        <v>223</v>
      </c>
      <c r="AB710" s="14" t="s">
        <v>138</v>
      </c>
      <c r="AD710" s="0" t="s">
        <v>20</v>
      </c>
      <c r="AF710" s="0">
        <v>0</v>
      </c>
      <c r="AG710" s="0">
        <v>0</v>
      </c>
      <c r="AH710" s="0" t="s">
        <v>140</v>
      </c>
      <c r="AI710" s="0" t="s">
        <v>232</v>
      </c>
      <c r="AK710" s="0" t="s">
        <v>2263</v>
      </c>
      <c r="AL710" s="14"/>
      <c r="AN710" s="14"/>
      <c r="AQ710" s="0" t="s">
        <v>130</v>
      </c>
      <c r="AR710" s="0" t="s">
        <v>130</v>
      </c>
      <c r="AS710" s="0" t="s">
        <v>130</v>
      </c>
      <c r="AT710" s="0" t="s">
        <v>130</v>
      </c>
      <c r="AU710" s="0" t="s">
        <v>130</v>
      </c>
      <c r="AV710" s="0" t="s">
        <v>130</v>
      </c>
      <c r="AW710" s="0" t="s">
        <v>141</v>
      </c>
      <c r="AX710" s="0" t="s">
        <v>130</v>
      </c>
      <c r="AY710" s="0" t="s">
        <v>141</v>
      </c>
      <c r="AZ710" s="0" t="s">
        <v>130</v>
      </c>
      <c r="BA710" s="0" t="s">
        <v>130</v>
      </c>
      <c r="BB710" s="0" t="s">
        <v>130</v>
      </c>
      <c r="BC710" s="0" t="s">
        <v>141</v>
      </c>
      <c r="BD710" s="0" t="s">
        <v>130</v>
      </c>
      <c r="BE710" s="0" t="s">
        <v>130</v>
      </c>
      <c r="BF710" s="0" t="s">
        <v>130</v>
      </c>
      <c r="BG710" s="0" t="s">
        <v>130</v>
      </c>
      <c r="BH710" s="0" t="s">
        <v>141</v>
      </c>
      <c r="BI710" s="0" t="s">
        <v>141</v>
      </c>
      <c r="BJ710" s="0" t="s">
        <v>141</v>
      </c>
      <c r="BK710" s="0" t="s">
        <v>130</v>
      </c>
      <c r="BL710" s="0" t="s">
        <v>130</v>
      </c>
      <c r="BM710" s="0" t="s">
        <v>130</v>
      </c>
      <c r="BN710" s="0" t="s">
        <v>130</v>
      </c>
      <c r="BO710" s="0" t="s">
        <v>130</v>
      </c>
      <c r="BP710" s="0" t="s">
        <v>130</v>
      </c>
      <c r="BQ710" s="0" t="s">
        <v>130</v>
      </c>
      <c r="BR710" s="0" t="s">
        <v>130</v>
      </c>
      <c r="BS710" s="0" t="s">
        <v>130</v>
      </c>
      <c r="BT710" s="0" t="s">
        <v>130</v>
      </c>
      <c r="BU710" s="0" t="s">
        <v>130</v>
      </c>
      <c r="BV710" s="0" t="s">
        <v>141</v>
      </c>
      <c r="BW710" s="0" t="s">
        <v>141</v>
      </c>
      <c r="BX710" s="0" t="s">
        <v>130</v>
      </c>
      <c r="BY710" s="0" t="s">
        <v>130</v>
      </c>
      <c r="BZ710" s="0" t="s">
        <v>130</v>
      </c>
      <c r="CA710" s="0" t="s">
        <v>130</v>
      </c>
      <c r="CB710" s="0" t="s">
        <v>130</v>
      </c>
      <c r="CC710" s="0" t="s">
        <v>130</v>
      </c>
      <c r="CD710" s="0" t="s">
        <v>130</v>
      </c>
      <c r="CE710" s="0" t="s">
        <v>130</v>
      </c>
      <c r="CF710" s="0" t="s">
        <v>130</v>
      </c>
      <c r="CG710" s="0" t="s">
        <v>130</v>
      </c>
      <c r="CH710" s="0" t="s">
        <v>130</v>
      </c>
      <c r="CI710" s="0" t="s">
        <v>130</v>
      </c>
      <c r="CJ710" s="0" t="s">
        <v>130</v>
      </c>
      <c r="CK710" s="0" t="s">
        <v>130</v>
      </c>
      <c r="CL710" s="0" t="s">
        <v>130</v>
      </c>
      <c r="CM710" s="0" t="s">
        <v>130</v>
      </c>
      <c r="CN710" s="0" t="s">
        <v>130</v>
      </c>
      <c r="CO710" s="0" t="s">
        <v>130</v>
      </c>
      <c r="CP710" s="0" t="s">
        <v>130</v>
      </c>
      <c r="CQ710" s="0" t="s">
        <v>130</v>
      </c>
      <c r="CR710" s="0" t="s">
        <v>130</v>
      </c>
      <c r="CS710" s="0" t="s">
        <v>130</v>
      </c>
      <c r="CT710" s="0" t="s">
        <v>2271</v>
      </c>
    </row>
    <row r="711">
      <c r="A711" s="14">
        <v>110411</v>
      </c>
      <c r="B711" s="0" t="s">
        <v>2250</v>
      </c>
      <c r="C711" s="16">
        <f>HYPERLINK("https://eosportal.federatedhermes.com/companies/Q29tcGFueQppNzc5MjQ=", "Royal Bank of Canada")</f>
      </c>
      <c r="D711" s="0" t="s">
        <v>25</v>
      </c>
      <c r="E711" s="0" t="s">
        <v>2272</v>
      </c>
      <c r="F711" s="16">
        <f>HYPERLINK("https://eosportal.federatedhermes.com/engagements/RW5nYWdlbWVudAppMjE4ODk=", "Artificial Intelligence in Financial Services")</f>
      </c>
      <c r="G711" s="14" t="s">
        <v>2273</v>
      </c>
      <c r="H711" s="0" t="s">
        <v>141</v>
      </c>
      <c r="I711" s="14" t="s">
        <v>191</v>
      </c>
      <c r="J711" s="0" t="s">
        <v>153</v>
      </c>
      <c r="K711" s="0" t="s">
        <v>243</v>
      </c>
      <c r="L711" s="0" t="s">
        <v>537</v>
      </c>
      <c r="M711" s="0" t="s">
        <v>135</v>
      </c>
      <c r="N711" s="0" t="s">
        <v>1678</v>
      </c>
      <c r="O711" s="0" t="s">
        <v>238</v>
      </c>
      <c r="Q711" s="0" t="s">
        <v>130</v>
      </c>
      <c r="R711" s="0" t="s">
        <v>138</v>
      </c>
      <c r="S711" s="14">
        <v>0</v>
      </c>
      <c r="T711" s="0" t="s">
        <v>156</v>
      </c>
      <c r="U711" s="0" t="s">
        <v>138</v>
      </c>
      <c r="V711" s="14" t="s">
        <v>138</v>
      </c>
      <c r="W711" s="0" t="s">
        <v>138</v>
      </c>
      <c r="X711" s="14" t="s">
        <v>138</v>
      </c>
      <c r="Y711" s="0" t="s">
        <v>138</v>
      </c>
      <c r="Z711" s="14" t="s">
        <v>138</v>
      </c>
      <c r="AA711" s="0" t="s">
        <v>138</v>
      </c>
      <c r="AB711" s="14" t="s">
        <v>138</v>
      </c>
      <c r="AD711" s="0" t="s">
        <v>138</v>
      </c>
      <c r="AF711" s="0">
        <v>0</v>
      </c>
      <c r="AG711" s="0">
        <v>0</v>
      </c>
      <c r="AH711" s="0" t="s">
        <v>140</v>
      </c>
      <c r="AI711" s="0" t="s">
        <v>138</v>
      </c>
      <c r="AL711" s="14"/>
      <c r="AN711" s="14"/>
      <c r="AQ711" s="0" t="s">
        <v>130</v>
      </c>
      <c r="AR711" s="0" t="s">
        <v>130</v>
      </c>
      <c r="AS711" s="0" t="s">
        <v>130</v>
      </c>
      <c r="AT711" s="0" t="s">
        <v>130</v>
      </c>
      <c r="AU711" s="0" t="s">
        <v>130</v>
      </c>
      <c r="AV711" s="0" t="s">
        <v>130</v>
      </c>
      <c r="AW711" s="0" t="s">
        <v>130</v>
      </c>
      <c r="AX711" s="0" t="s">
        <v>130</v>
      </c>
      <c r="AY711" s="0" t="s">
        <v>130</v>
      </c>
      <c r="AZ711" s="0" t="s">
        <v>130</v>
      </c>
      <c r="BA711" s="0" t="s">
        <v>130</v>
      </c>
      <c r="BB711" s="0" t="s">
        <v>130</v>
      </c>
      <c r="BC711" s="0" t="s">
        <v>130</v>
      </c>
      <c r="BD711" s="0" t="s">
        <v>130</v>
      </c>
      <c r="BE711" s="0" t="s">
        <v>130</v>
      </c>
      <c r="BF711" s="0" t="s">
        <v>141</v>
      </c>
      <c r="BG711" s="0" t="s">
        <v>130</v>
      </c>
      <c r="BH711" s="0" t="s">
        <v>130</v>
      </c>
      <c r="BI711" s="0" t="s">
        <v>130</v>
      </c>
      <c r="BJ711" s="0" t="s">
        <v>130</v>
      </c>
      <c r="BK711" s="0" t="s">
        <v>130</v>
      </c>
      <c r="BL711" s="0" t="s">
        <v>130</v>
      </c>
      <c r="BM711" s="0" t="s">
        <v>130</v>
      </c>
      <c r="BN711" s="0" t="s">
        <v>130</v>
      </c>
      <c r="BO711" s="0" t="s">
        <v>130</v>
      </c>
      <c r="BP711" s="0" t="s">
        <v>130</v>
      </c>
      <c r="BQ711" s="0" t="s">
        <v>130</v>
      </c>
      <c r="BR711" s="0" t="s">
        <v>130</v>
      </c>
      <c r="BS711" s="0" t="s">
        <v>130</v>
      </c>
      <c r="BT711" s="0" t="s">
        <v>130</v>
      </c>
      <c r="BU711" s="0" t="s">
        <v>130</v>
      </c>
      <c r="BV711" s="0" t="s">
        <v>130</v>
      </c>
      <c r="BW711" s="0" t="s">
        <v>130</v>
      </c>
      <c r="BX711" s="0" t="s">
        <v>130</v>
      </c>
      <c r="BY711" s="0" t="s">
        <v>130</v>
      </c>
      <c r="BZ711" s="0" t="s">
        <v>130</v>
      </c>
      <c r="CA711" s="0" t="s">
        <v>130</v>
      </c>
      <c r="CB711" s="0" t="s">
        <v>130</v>
      </c>
      <c r="CC711" s="0" t="s">
        <v>130</v>
      </c>
      <c r="CD711" s="0" t="s">
        <v>130</v>
      </c>
      <c r="CE711" s="0" t="s">
        <v>130</v>
      </c>
      <c r="CF711" s="0" t="s">
        <v>130</v>
      </c>
      <c r="CG711" s="0" t="s">
        <v>130</v>
      </c>
      <c r="CH711" s="0" t="s">
        <v>130</v>
      </c>
      <c r="CI711" s="0" t="s">
        <v>130</v>
      </c>
      <c r="CJ711" s="0" t="s">
        <v>130</v>
      </c>
      <c r="CK711" s="0" t="s">
        <v>130</v>
      </c>
      <c r="CL711" s="0" t="s">
        <v>130</v>
      </c>
      <c r="CM711" s="0" t="s">
        <v>130</v>
      </c>
      <c r="CN711" s="0" t="s">
        <v>130</v>
      </c>
      <c r="CO711" s="0" t="s">
        <v>130</v>
      </c>
      <c r="CP711" s="0" t="s">
        <v>130</v>
      </c>
      <c r="CQ711" s="0" t="s">
        <v>130</v>
      </c>
      <c r="CR711" s="0" t="s">
        <v>130</v>
      </c>
      <c r="CS711" s="0" t="s">
        <v>130</v>
      </c>
      <c r="CT711" s="0" t="s">
        <v>2274</v>
      </c>
    </row>
    <row r="712">
      <c r="A712" s="14">
        <v>110411</v>
      </c>
      <c r="B712" s="0" t="s">
        <v>2250</v>
      </c>
      <c r="C712" s="16">
        <f>HYPERLINK("https://eosportal.federatedhermes.com/companies/Q29tcGFueQppNzc5MjQ=", "Royal Bank of Canada")</f>
      </c>
      <c r="D712" s="0" t="s">
        <v>25</v>
      </c>
      <c r="E712" s="0" t="s">
        <v>2275</v>
      </c>
      <c r="F712" s="16">
        <f>HYPERLINK("https://eosportal.federatedhermes.com/engagements/RW5nYWdlbWVudAppMjE4OTA=", "Formally integrate progress on climate strategy with executive compensation")</f>
      </c>
      <c r="G712" s="14" t="s">
        <v>2223</v>
      </c>
      <c r="H712" s="0" t="s">
        <v>141</v>
      </c>
      <c r="I712" s="14" t="s">
        <v>191</v>
      </c>
      <c r="J712" s="0" t="s">
        <v>197</v>
      </c>
      <c r="K712" s="0" t="s">
        <v>198</v>
      </c>
      <c r="L712" s="0" t="s">
        <v>199</v>
      </c>
      <c r="M712" s="0" t="s">
        <v>135</v>
      </c>
      <c r="N712" s="0" t="s">
        <v>1678</v>
      </c>
      <c r="O712" s="0" t="s">
        <v>238</v>
      </c>
      <c r="Q712" s="0" t="s">
        <v>130</v>
      </c>
      <c r="R712" s="0" t="s">
        <v>138</v>
      </c>
      <c r="S712" s="14">
        <v>0</v>
      </c>
      <c r="T712" s="0" t="s">
        <v>206</v>
      </c>
      <c r="U712" s="0" t="s">
        <v>138</v>
      </c>
      <c r="V712" s="14" t="s">
        <v>138</v>
      </c>
      <c r="W712" s="0" t="s">
        <v>138</v>
      </c>
      <c r="X712" s="14" t="s">
        <v>138</v>
      </c>
      <c r="Y712" s="0" t="s">
        <v>138</v>
      </c>
      <c r="Z712" s="14" t="s">
        <v>138</v>
      </c>
      <c r="AA712" s="0" t="s">
        <v>138</v>
      </c>
      <c r="AB712" s="14" t="s">
        <v>138</v>
      </c>
      <c r="AD712" s="0" t="s">
        <v>138</v>
      </c>
      <c r="AF712" s="0">
        <v>0</v>
      </c>
      <c r="AG712" s="0">
        <v>0</v>
      </c>
      <c r="AH712" s="0" t="s">
        <v>140</v>
      </c>
      <c r="AI712" s="0" t="s">
        <v>138</v>
      </c>
      <c r="AL712" s="14"/>
      <c r="AN712" s="14"/>
      <c r="AQ712" s="0" t="s">
        <v>130</v>
      </c>
      <c r="AR712" s="0" t="s">
        <v>130</v>
      </c>
      <c r="AS712" s="0" t="s">
        <v>130</v>
      </c>
      <c r="AT712" s="0" t="s">
        <v>130</v>
      </c>
      <c r="AU712" s="0" t="s">
        <v>130</v>
      </c>
      <c r="AV712" s="0" t="s">
        <v>130</v>
      </c>
      <c r="AW712" s="0" t="s">
        <v>130</v>
      </c>
      <c r="AX712" s="0" t="s">
        <v>130</v>
      </c>
      <c r="AY712" s="0" t="s">
        <v>130</v>
      </c>
      <c r="AZ712" s="0" t="s">
        <v>130</v>
      </c>
      <c r="BA712" s="0" t="s">
        <v>130</v>
      </c>
      <c r="BB712" s="0" t="s">
        <v>141</v>
      </c>
      <c r="BC712" s="0" t="s">
        <v>130</v>
      </c>
      <c r="BD712" s="0" t="s">
        <v>130</v>
      </c>
      <c r="BE712" s="0" t="s">
        <v>130</v>
      </c>
      <c r="BF712" s="0" t="s">
        <v>130</v>
      </c>
      <c r="BG712" s="0" t="s">
        <v>130</v>
      </c>
      <c r="BH712" s="0" t="s">
        <v>130</v>
      </c>
      <c r="BI712" s="0" t="s">
        <v>130</v>
      </c>
      <c r="BJ712" s="0" t="s">
        <v>130</v>
      </c>
      <c r="BK712" s="0" t="s">
        <v>130</v>
      </c>
      <c r="BL712" s="0" t="s">
        <v>130</v>
      </c>
      <c r="BM712" s="0" t="s">
        <v>130</v>
      </c>
      <c r="BN712" s="0" t="s">
        <v>130</v>
      </c>
      <c r="BO712" s="0" t="s">
        <v>130</v>
      </c>
      <c r="BP712" s="0" t="s">
        <v>130</v>
      </c>
      <c r="BQ712" s="0" t="s">
        <v>130</v>
      </c>
      <c r="BR712" s="0" t="s">
        <v>130</v>
      </c>
      <c r="BS712" s="0" t="s">
        <v>130</v>
      </c>
      <c r="BT712" s="0" t="s">
        <v>130</v>
      </c>
      <c r="BU712" s="0" t="s">
        <v>130</v>
      </c>
      <c r="BV712" s="0" t="s">
        <v>130</v>
      </c>
      <c r="BW712" s="0" t="s">
        <v>130</v>
      </c>
      <c r="BX712" s="0" t="s">
        <v>130</v>
      </c>
      <c r="BY712" s="0" t="s">
        <v>130</v>
      </c>
      <c r="BZ712" s="0" t="s">
        <v>130</v>
      </c>
      <c r="CA712" s="0" t="s">
        <v>130</v>
      </c>
      <c r="CB712" s="0" t="s">
        <v>130</v>
      </c>
      <c r="CC712" s="0" t="s">
        <v>130</v>
      </c>
      <c r="CD712" s="0" t="s">
        <v>130</v>
      </c>
      <c r="CE712" s="0" t="s">
        <v>130</v>
      </c>
      <c r="CF712" s="0" t="s">
        <v>130</v>
      </c>
      <c r="CG712" s="0" t="s">
        <v>130</v>
      </c>
      <c r="CH712" s="0" t="s">
        <v>130</v>
      </c>
      <c r="CI712" s="0" t="s">
        <v>130</v>
      </c>
      <c r="CJ712" s="0" t="s">
        <v>130</v>
      </c>
      <c r="CK712" s="0" t="s">
        <v>130</v>
      </c>
      <c r="CL712" s="0" t="s">
        <v>130</v>
      </c>
      <c r="CM712" s="0" t="s">
        <v>130</v>
      </c>
      <c r="CN712" s="0" t="s">
        <v>130</v>
      </c>
      <c r="CO712" s="0" t="s">
        <v>130</v>
      </c>
      <c r="CP712" s="0" t="s">
        <v>130</v>
      </c>
      <c r="CQ712" s="0" t="s">
        <v>130</v>
      </c>
      <c r="CR712" s="0" t="s">
        <v>130</v>
      </c>
      <c r="CS712" s="0" t="s">
        <v>130</v>
      </c>
      <c r="CT712" s="0" t="s">
        <v>2276</v>
      </c>
    </row>
    <row r="713">
      <c r="A713" s="14">
        <v>110411</v>
      </c>
      <c r="B713" s="0" t="s">
        <v>2250</v>
      </c>
      <c r="C713" s="16">
        <f>HYPERLINK("https://eosportal.federatedhermes.com/companies/Q29tcGFueQppNzc5MjQ=", "Royal Bank of Canada")</f>
      </c>
      <c r="D713" s="0" t="s">
        <v>25</v>
      </c>
      <c r="E713" s="0" t="s">
        <v>2277</v>
      </c>
      <c r="F713" s="16">
        <f>HYPERLINK("https://eosportal.federatedhermes.com/engagements/RW5nYWdlbWVudAppMjE4OTE=", "Diversity &amp; inclusion strategy")</f>
      </c>
      <c r="G713" s="14" t="s">
        <v>2278</v>
      </c>
      <c r="H713" s="0" t="s">
        <v>141</v>
      </c>
      <c r="I713" s="14" t="s">
        <v>191</v>
      </c>
      <c r="J713" s="0" t="s">
        <v>153</v>
      </c>
      <c r="K713" s="0" t="s">
        <v>154</v>
      </c>
      <c r="L713" s="0" t="s">
        <v>268</v>
      </c>
      <c r="M713" s="0" t="s">
        <v>135</v>
      </c>
      <c r="N713" s="0" t="s">
        <v>1678</v>
      </c>
      <c r="O713" s="0" t="s">
        <v>238</v>
      </c>
      <c r="Q713" s="0" t="s">
        <v>130</v>
      </c>
      <c r="R713" s="0" t="s">
        <v>138</v>
      </c>
      <c r="S713" s="14">
        <v>0</v>
      </c>
      <c r="T713" s="0" t="s">
        <v>206</v>
      </c>
      <c r="U713" s="0" t="s">
        <v>138</v>
      </c>
      <c r="V713" s="14" t="s">
        <v>138</v>
      </c>
      <c r="W713" s="0" t="s">
        <v>138</v>
      </c>
      <c r="X713" s="14" t="s">
        <v>138</v>
      </c>
      <c r="Y713" s="0" t="s">
        <v>138</v>
      </c>
      <c r="Z713" s="14" t="s">
        <v>138</v>
      </c>
      <c r="AA713" s="0" t="s">
        <v>138</v>
      </c>
      <c r="AB713" s="14" t="s">
        <v>138</v>
      </c>
      <c r="AD713" s="0" t="s">
        <v>138</v>
      </c>
      <c r="AF713" s="0">
        <v>0</v>
      </c>
      <c r="AG713" s="0">
        <v>0</v>
      </c>
      <c r="AH713" s="0" t="s">
        <v>140</v>
      </c>
      <c r="AI713" s="0" t="s">
        <v>138</v>
      </c>
      <c r="AL713" s="14"/>
      <c r="AN713" s="14"/>
      <c r="AQ713" s="0" t="s">
        <v>130</v>
      </c>
      <c r="AR713" s="0" t="s">
        <v>130</v>
      </c>
      <c r="AS713" s="0" t="s">
        <v>130</v>
      </c>
      <c r="AT713" s="0" t="s">
        <v>130</v>
      </c>
      <c r="AU713" s="0" t="s">
        <v>130</v>
      </c>
      <c r="AV713" s="0" t="s">
        <v>130</v>
      </c>
      <c r="AW713" s="0" t="s">
        <v>130</v>
      </c>
      <c r="AX713" s="0" t="s">
        <v>130</v>
      </c>
      <c r="AY713" s="0" t="s">
        <v>130</v>
      </c>
      <c r="AZ713" s="0" t="s">
        <v>130</v>
      </c>
      <c r="BA713" s="0" t="s">
        <v>130</v>
      </c>
      <c r="BB713" s="0" t="s">
        <v>130</v>
      </c>
      <c r="BC713" s="0" t="s">
        <v>130</v>
      </c>
      <c r="BD713" s="0" t="s">
        <v>130</v>
      </c>
      <c r="BE713" s="0" t="s">
        <v>130</v>
      </c>
      <c r="BF713" s="0" t="s">
        <v>130</v>
      </c>
      <c r="BG713" s="0" t="s">
        <v>130</v>
      </c>
      <c r="BH713" s="0" t="s">
        <v>130</v>
      </c>
      <c r="BI713" s="0" t="s">
        <v>130</v>
      </c>
      <c r="BJ713" s="0" t="s">
        <v>130</v>
      </c>
      <c r="BK713" s="0" t="s">
        <v>130</v>
      </c>
      <c r="BL713" s="0" t="s">
        <v>130</v>
      </c>
      <c r="BM713" s="0" t="s">
        <v>130</v>
      </c>
      <c r="BN713" s="0" t="s">
        <v>130</v>
      </c>
      <c r="BO713" s="0" t="s">
        <v>130</v>
      </c>
      <c r="BP713" s="0" t="s">
        <v>130</v>
      </c>
      <c r="BQ713" s="0" t="s">
        <v>130</v>
      </c>
      <c r="BR713" s="0" t="s">
        <v>130</v>
      </c>
      <c r="BS713" s="0" t="s">
        <v>130</v>
      </c>
      <c r="BT713" s="0" t="s">
        <v>130</v>
      </c>
      <c r="BU713" s="0" t="s">
        <v>130</v>
      </c>
      <c r="BV713" s="0" t="s">
        <v>130</v>
      </c>
      <c r="BW713" s="0" t="s">
        <v>130</v>
      </c>
      <c r="BX713" s="0" t="s">
        <v>130</v>
      </c>
      <c r="BY713" s="0" t="s">
        <v>130</v>
      </c>
      <c r="BZ713" s="0" t="s">
        <v>130</v>
      </c>
      <c r="CA713" s="0" t="s">
        <v>130</v>
      </c>
      <c r="CB713" s="0" t="s">
        <v>130</v>
      </c>
      <c r="CC713" s="0" t="s">
        <v>130</v>
      </c>
      <c r="CD713" s="0" t="s">
        <v>130</v>
      </c>
      <c r="CE713" s="0" t="s">
        <v>130</v>
      </c>
      <c r="CF713" s="0" t="s">
        <v>130</v>
      </c>
      <c r="CG713" s="0" t="s">
        <v>130</v>
      </c>
      <c r="CH713" s="0" t="s">
        <v>130</v>
      </c>
      <c r="CI713" s="0" t="s">
        <v>130</v>
      </c>
      <c r="CJ713" s="0" t="s">
        <v>130</v>
      </c>
      <c r="CK713" s="0" t="s">
        <v>141</v>
      </c>
      <c r="CL713" s="0" t="s">
        <v>130</v>
      </c>
      <c r="CM713" s="0" t="s">
        <v>130</v>
      </c>
      <c r="CN713" s="0" t="s">
        <v>130</v>
      </c>
      <c r="CO713" s="0" t="s">
        <v>130</v>
      </c>
      <c r="CP713" s="0" t="s">
        <v>130</v>
      </c>
      <c r="CQ713" s="0" t="s">
        <v>130</v>
      </c>
      <c r="CR713" s="0" t="s">
        <v>130</v>
      </c>
      <c r="CS713" s="0" t="s">
        <v>130</v>
      </c>
      <c r="CT713" s="0" t="s">
        <v>2279</v>
      </c>
    </row>
    <row r="714">
      <c r="A714" s="14">
        <v>110411</v>
      </c>
      <c r="B714" s="0" t="s">
        <v>2250</v>
      </c>
      <c r="C714" s="16">
        <f>HYPERLINK("https://eosportal.federatedhermes.com/companies/Q29tcGFueQppNzc5MjQ=", "Royal Bank of Canada")</f>
      </c>
      <c r="D714" s="0" t="s">
        <v>25</v>
      </c>
      <c r="E714" s="0" t="s">
        <v>2280</v>
      </c>
      <c r="F714" s="16">
        <f>HYPERLINK("https://eosportal.federatedhermes.com/engagements/RW5nYWdlbWVudAppMjE4OTI=", "CEO Remuneration")</f>
      </c>
      <c r="G714" s="14" t="s">
        <v>2281</v>
      </c>
      <c r="H714" s="0" t="s">
        <v>141</v>
      </c>
      <c r="I714" s="14" t="s">
        <v>191</v>
      </c>
      <c r="J714" s="0" t="s">
        <v>145</v>
      </c>
      <c r="K714" s="0" t="s">
        <v>146</v>
      </c>
      <c r="L714" s="0" t="s">
        <v>147</v>
      </c>
      <c r="M714" s="0" t="s">
        <v>135</v>
      </c>
      <c r="N714" s="0" t="s">
        <v>1678</v>
      </c>
      <c r="O714" s="0" t="s">
        <v>238</v>
      </c>
      <c r="Q714" s="0" t="s">
        <v>130</v>
      </c>
      <c r="R714" s="0" t="s">
        <v>138</v>
      </c>
      <c r="S714" s="14">
        <v>0</v>
      </c>
      <c r="T714" s="0" t="s">
        <v>288</v>
      </c>
      <c r="U714" s="0" t="s">
        <v>138</v>
      </c>
      <c r="V714" s="14" t="s">
        <v>138</v>
      </c>
      <c r="W714" s="0" t="s">
        <v>138</v>
      </c>
      <c r="X714" s="14" t="s">
        <v>138</v>
      </c>
      <c r="Y714" s="0" t="s">
        <v>138</v>
      </c>
      <c r="Z714" s="14" t="s">
        <v>138</v>
      </c>
      <c r="AA714" s="0" t="s">
        <v>138</v>
      </c>
      <c r="AB714" s="14" t="s">
        <v>138</v>
      </c>
      <c r="AD714" s="0" t="s">
        <v>138</v>
      </c>
      <c r="AF714" s="0">
        <v>0</v>
      </c>
      <c r="AG714" s="0">
        <v>0</v>
      </c>
      <c r="AH714" s="0" t="s">
        <v>140</v>
      </c>
      <c r="AI714" s="0" t="s">
        <v>138</v>
      </c>
      <c r="AL714" s="14"/>
      <c r="AN714" s="14"/>
      <c r="AQ714" s="0" t="s">
        <v>130</v>
      </c>
      <c r="AR714" s="0" t="s">
        <v>130</v>
      </c>
      <c r="AS714" s="0" t="s">
        <v>130</v>
      </c>
      <c r="AT714" s="0" t="s">
        <v>130</v>
      </c>
      <c r="AU714" s="0" t="s">
        <v>130</v>
      </c>
      <c r="AV714" s="0" t="s">
        <v>130</v>
      </c>
      <c r="AW714" s="0" t="s">
        <v>130</v>
      </c>
      <c r="AX714" s="0" t="s">
        <v>130</v>
      </c>
      <c r="AY714" s="0" t="s">
        <v>130</v>
      </c>
      <c r="AZ714" s="0" t="s">
        <v>130</v>
      </c>
      <c r="BA714" s="0" t="s">
        <v>130</v>
      </c>
      <c r="BB714" s="0" t="s">
        <v>130</v>
      </c>
      <c r="BC714" s="0" t="s">
        <v>130</v>
      </c>
      <c r="BD714" s="0" t="s">
        <v>130</v>
      </c>
      <c r="BE714" s="0" t="s">
        <v>130</v>
      </c>
      <c r="BF714" s="0" t="s">
        <v>130</v>
      </c>
      <c r="BG714" s="0" t="s">
        <v>130</v>
      </c>
      <c r="BH714" s="0" t="s">
        <v>130</v>
      </c>
      <c r="BI714" s="0" t="s">
        <v>130</v>
      </c>
      <c r="BJ714" s="0" t="s">
        <v>130</v>
      </c>
      <c r="BK714" s="0" t="s">
        <v>130</v>
      </c>
      <c r="BL714" s="0" t="s">
        <v>130</v>
      </c>
      <c r="BM714" s="0" t="s">
        <v>130</v>
      </c>
      <c r="BN714" s="0" t="s">
        <v>130</v>
      </c>
      <c r="BO714" s="0" t="s">
        <v>130</v>
      </c>
      <c r="BP714" s="0" t="s">
        <v>130</v>
      </c>
      <c r="BQ714" s="0" t="s">
        <v>130</v>
      </c>
      <c r="BR714" s="0" t="s">
        <v>130</v>
      </c>
      <c r="BS714" s="0" t="s">
        <v>130</v>
      </c>
      <c r="BT714" s="0" t="s">
        <v>130</v>
      </c>
      <c r="BU714" s="0" t="s">
        <v>130</v>
      </c>
      <c r="BV714" s="0" t="s">
        <v>130</v>
      </c>
      <c r="BW714" s="0" t="s">
        <v>130</v>
      </c>
      <c r="BX714" s="0" t="s">
        <v>130</v>
      </c>
      <c r="BY714" s="0" t="s">
        <v>130</v>
      </c>
      <c r="BZ714" s="0" t="s">
        <v>130</v>
      </c>
      <c r="CA714" s="0" t="s">
        <v>130</v>
      </c>
      <c r="CB714" s="0" t="s">
        <v>130</v>
      </c>
      <c r="CC714" s="0" t="s">
        <v>130</v>
      </c>
      <c r="CD714" s="0" t="s">
        <v>130</v>
      </c>
      <c r="CE714" s="0" t="s">
        <v>130</v>
      </c>
      <c r="CF714" s="0" t="s">
        <v>130</v>
      </c>
      <c r="CG714" s="0" t="s">
        <v>130</v>
      </c>
      <c r="CH714" s="0" t="s">
        <v>130</v>
      </c>
      <c r="CI714" s="0" t="s">
        <v>130</v>
      </c>
      <c r="CJ714" s="0" t="s">
        <v>130</v>
      </c>
      <c r="CK714" s="0" t="s">
        <v>130</v>
      </c>
      <c r="CL714" s="0" t="s">
        <v>130</v>
      </c>
      <c r="CM714" s="0" t="s">
        <v>130</v>
      </c>
      <c r="CN714" s="0" t="s">
        <v>130</v>
      </c>
      <c r="CO714" s="0" t="s">
        <v>130</v>
      </c>
      <c r="CP714" s="0" t="s">
        <v>130</v>
      </c>
      <c r="CQ714" s="0" t="s">
        <v>130</v>
      </c>
      <c r="CR714" s="0" t="s">
        <v>130</v>
      </c>
      <c r="CS714" s="0" t="s">
        <v>130</v>
      </c>
      <c r="CT714" s="0" t="s">
        <v>2282</v>
      </c>
    </row>
    <row r="715">
      <c r="A715" s="14">
        <v>110631</v>
      </c>
      <c r="B715" s="0" t="s">
        <v>2283</v>
      </c>
      <c r="C715" s="16">
        <f>HYPERLINK("https://eosportal.federatedhermes.com/companies/Q29tcGFueQppODExMjM=", "Suncor Energy Inc")</f>
      </c>
      <c r="D715" s="0" t="s">
        <v>25</v>
      </c>
      <c r="E715" s="0" t="s">
        <v>128</v>
      </c>
      <c r="F715" s="16">
        <f>HYPERLINK("https://eosportal.federatedhermes.com/engagements/RW5nYWdlbWVudAppMjE5MDE=", "Purpose")</f>
      </c>
      <c r="G715" s="14" t="s">
        <v>2284</v>
      </c>
      <c r="H715" s="0" t="s">
        <v>141</v>
      </c>
      <c r="I715" s="14" t="s">
        <v>636</v>
      </c>
      <c r="J715" s="0" t="s">
        <v>132</v>
      </c>
      <c r="K715" s="0" t="s">
        <v>133</v>
      </c>
      <c r="L715" s="0" t="s">
        <v>134</v>
      </c>
      <c r="M715" s="0" t="s">
        <v>135</v>
      </c>
      <c r="N715" s="0" t="s">
        <v>1678</v>
      </c>
      <c r="O715" s="0" t="s">
        <v>542</v>
      </c>
      <c r="Q715" s="0" t="s">
        <v>130</v>
      </c>
      <c r="R715" s="0" t="s">
        <v>138</v>
      </c>
      <c r="S715" s="14">
        <v>0</v>
      </c>
      <c r="T715" s="0" t="s">
        <v>156</v>
      </c>
      <c r="U715" s="0" t="s">
        <v>138</v>
      </c>
      <c r="V715" s="14" t="s">
        <v>138</v>
      </c>
      <c r="W715" s="0" t="s">
        <v>138</v>
      </c>
      <c r="X715" s="14" t="s">
        <v>138</v>
      </c>
      <c r="Y715" s="0" t="s">
        <v>138</v>
      </c>
      <c r="Z715" s="14" t="s">
        <v>138</v>
      </c>
      <c r="AA715" s="0" t="s">
        <v>138</v>
      </c>
      <c r="AB715" s="14" t="s">
        <v>138</v>
      </c>
      <c r="AD715" s="0" t="s">
        <v>138</v>
      </c>
      <c r="AF715" s="0">
        <v>0</v>
      </c>
      <c r="AG715" s="0">
        <v>0</v>
      </c>
      <c r="AH715" s="0" t="s">
        <v>140</v>
      </c>
      <c r="AI715" s="0" t="s">
        <v>138</v>
      </c>
      <c r="AL715" s="14"/>
      <c r="AN715" s="14"/>
      <c r="AQ715" s="0" t="s">
        <v>130</v>
      </c>
      <c r="AR715" s="0" t="s">
        <v>130</v>
      </c>
      <c r="AS715" s="0" t="s">
        <v>130</v>
      </c>
      <c r="AT715" s="0" t="s">
        <v>130</v>
      </c>
      <c r="AU715" s="0" t="s">
        <v>130</v>
      </c>
      <c r="AV715" s="0" t="s">
        <v>130</v>
      </c>
      <c r="AW715" s="0" t="s">
        <v>130</v>
      </c>
      <c r="AX715" s="0" t="s">
        <v>130</v>
      </c>
      <c r="AY715" s="0" t="s">
        <v>130</v>
      </c>
      <c r="AZ715" s="0" t="s">
        <v>130</v>
      </c>
      <c r="BA715" s="0" t="s">
        <v>130</v>
      </c>
      <c r="BB715" s="0" t="s">
        <v>141</v>
      </c>
      <c r="BC715" s="0" t="s">
        <v>130</v>
      </c>
      <c r="BD715" s="0" t="s">
        <v>130</v>
      </c>
      <c r="BE715" s="0" t="s">
        <v>130</v>
      </c>
      <c r="BF715" s="0" t="s">
        <v>130</v>
      </c>
      <c r="BG715" s="0" t="s">
        <v>130</v>
      </c>
      <c r="BH715" s="0" t="s">
        <v>130</v>
      </c>
      <c r="BI715" s="0" t="s">
        <v>130</v>
      </c>
      <c r="BJ715" s="0" t="s">
        <v>130</v>
      </c>
      <c r="BK715" s="0" t="s">
        <v>130</v>
      </c>
      <c r="BL715" s="0" t="s">
        <v>130</v>
      </c>
      <c r="BM715" s="0" t="s">
        <v>130</v>
      </c>
      <c r="BN715" s="0" t="s">
        <v>130</v>
      </c>
      <c r="BO715" s="0" t="s">
        <v>130</v>
      </c>
      <c r="BP715" s="0" t="s">
        <v>130</v>
      </c>
      <c r="BQ715" s="0" t="s">
        <v>130</v>
      </c>
      <c r="BR715" s="0" t="s">
        <v>130</v>
      </c>
      <c r="BS715" s="0" t="s">
        <v>130</v>
      </c>
      <c r="BT715" s="0" t="s">
        <v>130</v>
      </c>
      <c r="BU715" s="0" t="s">
        <v>130</v>
      </c>
      <c r="BV715" s="0" t="s">
        <v>130</v>
      </c>
      <c r="BW715" s="0" t="s">
        <v>130</v>
      </c>
      <c r="BX715" s="0" t="s">
        <v>130</v>
      </c>
      <c r="BY715" s="0" t="s">
        <v>130</v>
      </c>
      <c r="BZ715" s="0" t="s">
        <v>130</v>
      </c>
      <c r="CA715" s="0" t="s">
        <v>130</v>
      </c>
      <c r="CB715" s="0" t="s">
        <v>130</v>
      </c>
      <c r="CC715" s="0" t="s">
        <v>130</v>
      </c>
      <c r="CD715" s="0" t="s">
        <v>130</v>
      </c>
      <c r="CE715" s="0" t="s">
        <v>130</v>
      </c>
      <c r="CF715" s="0" t="s">
        <v>130</v>
      </c>
      <c r="CG715" s="0" t="s">
        <v>130</v>
      </c>
      <c r="CH715" s="0" t="s">
        <v>130</v>
      </c>
      <c r="CI715" s="0" t="s">
        <v>130</v>
      </c>
      <c r="CJ715" s="0" t="s">
        <v>130</v>
      </c>
      <c r="CK715" s="0" t="s">
        <v>130</v>
      </c>
      <c r="CL715" s="0" t="s">
        <v>130</v>
      </c>
      <c r="CM715" s="0" t="s">
        <v>130</v>
      </c>
      <c r="CN715" s="0" t="s">
        <v>130</v>
      </c>
      <c r="CO715" s="0" t="s">
        <v>130</v>
      </c>
      <c r="CP715" s="0" t="s">
        <v>130</v>
      </c>
      <c r="CQ715" s="0" t="s">
        <v>130</v>
      </c>
      <c r="CR715" s="0" t="s">
        <v>130</v>
      </c>
      <c r="CS715" s="0" t="s">
        <v>130</v>
      </c>
      <c r="CT715" s="0" t="s">
        <v>2285</v>
      </c>
    </row>
    <row r="716">
      <c r="A716" s="14">
        <v>110631</v>
      </c>
      <c r="B716" s="0" t="s">
        <v>2283</v>
      </c>
      <c r="C716" s="16">
        <f>HYPERLINK("https://eosportal.federatedhermes.com/companies/Q29tcGFueQppODExMjM=", "Suncor Energy Inc")</f>
      </c>
      <c r="D716" s="0" t="s">
        <v>25</v>
      </c>
      <c r="E716" s="0" t="s">
        <v>2286</v>
      </c>
      <c r="F716" s="16">
        <f>HYPERLINK("https://eosportal.federatedhermes.com/engagements/RW5nYWdlbWVudAppMjE5MDI=", "Financial senstivity to 1.5 degree IEA Net Zero by 2050 scenation")</f>
      </c>
      <c r="G716" s="14" t="s">
        <v>2287</v>
      </c>
      <c r="H716" s="0" t="s">
        <v>141</v>
      </c>
      <c r="I716" s="14" t="s">
        <v>636</v>
      </c>
      <c r="J716" s="0" t="s">
        <v>197</v>
      </c>
      <c r="K716" s="0" t="s">
        <v>198</v>
      </c>
      <c r="L716" s="0" t="s">
        <v>199</v>
      </c>
      <c r="M716" s="0" t="s">
        <v>135</v>
      </c>
      <c r="N716" s="0" t="s">
        <v>1678</v>
      </c>
      <c r="O716" s="0" t="s">
        <v>542</v>
      </c>
      <c r="Q716" s="0" t="s">
        <v>130</v>
      </c>
      <c r="R716" s="0" t="s">
        <v>138</v>
      </c>
      <c r="S716" s="14">
        <v>0</v>
      </c>
      <c r="T716" s="0" t="s">
        <v>230</v>
      </c>
      <c r="U716" s="0" t="s">
        <v>138</v>
      </c>
      <c r="V716" s="14" t="s">
        <v>138</v>
      </c>
      <c r="W716" s="0" t="s">
        <v>138</v>
      </c>
      <c r="X716" s="14" t="s">
        <v>138</v>
      </c>
      <c r="Y716" s="0" t="s">
        <v>138</v>
      </c>
      <c r="Z716" s="14" t="s">
        <v>138</v>
      </c>
      <c r="AA716" s="0" t="s">
        <v>138</v>
      </c>
      <c r="AB716" s="14" t="s">
        <v>138</v>
      </c>
      <c r="AD716" s="0" t="s">
        <v>138</v>
      </c>
      <c r="AF716" s="0">
        <v>0</v>
      </c>
      <c r="AG716" s="0">
        <v>0</v>
      </c>
      <c r="AH716" s="0" t="s">
        <v>140</v>
      </c>
      <c r="AI716" s="0" t="s">
        <v>138</v>
      </c>
      <c r="AL716" s="14"/>
      <c r="AN716" s="14"/>
      <c r="AQ716" s="0" t="s">
        <v>130</v>
      </c>
      <c r="AR716" s="0" t="s">
        <v>130</v>
      </c>
      <c r="AS716" s="0" t="s">
        <v>130</v>
      </c>
      <c r="AT716" s="0" t="s">
        <v>130</v>
      </c>
      <c r="AU716" s="0" t="s">
        <v>130</v>
      </c>
      <c r="AV716" s="0" t="s">
        <v>130</v>
      </c>
      <c r="AW716" s="0" t="s">
        <v>130</v>
      </c>
      <c r="AX716" s="0" t="s">
        <v>130</v>
      </c>
      <c r="AY716" s="0" t="s">
        <v>130</v>
      </c>
      <c r="AZ716" s="0" t="s">
        <v>130</v>
      </c>
      <c r="BA716" s="0" t="s">
        <v>130</v>
      </c>
      <c r="BB716" s="0" t="s">
        <v>141</v>
      </c>
      <c r="BC716" s="0" t="s">
        <v>130</v>
      </c>
      <c r="BD716" s="0" t="s">
        <v>130</v>
      </c>
      <c r="BE716" s="0" t="s">
        <v>130</v>
      </c>
      <c r="BF716" s="0" t="s">
        <v>130</v>
      </c>
      <c r="BG716" s="0" t="s">
        <v>130</v>
      </c>
      <c r="BH716" s="0" t="s">
        <v>130</v>
      </c>
      <c r="BI716" s="0" t="s">
        <v>130</v>
      </c>
      <c r="BJ716" s="0" t="s">
        <v>130</v>
      </c>
      <c r="BK716" s="0" t="s">
        <v>130</v>
      </c>
      <c r="BL716" s="0" t="s">
        <v>130</v>
      </c>
      <c r="BM716" s="0" t="s">
        <v>130</v>
      </c>
      <c r="BN716" s="0" t="s">
        <v>130</v>
      </c>
      <c r="BO716" s="0" t="s">
        <v>130</v>
      </c>
      <c r="BP716" s="0" t="s">
        <v>130</v>
      </c>
      <c r="BQ716" s="0" t="s">
        <v>130</v>
      </c>
      <c r="BR716" s="0" t="s">
        <v>130</v>
      </c>
      <c r="BS716" s="0" t="s">
        <v>130</v>
      </c>
      <c r="BT716" s="0" t="s">
        <v>130</v>
      </c>
      <c r="BU716" s="0" t="s">
        <v>130</v>
      </c>
      <c r="BV716" s="0" t="s">
        <v>130</v>
      </c>
      <c r="BW716" s="0" t="s">
        <v>130</v>
      </c>
      <c r="BX716" s="0" t="s">
        <v>130</v>
      </c>
      <c r="BY716" s="0" t="s">
        <v>130</v>
      </c>
      <c r="BZ716" s="0" t="s">
        <v>130</v>
      </c>
      <c r="CA716" s="0" t="s">
        <v>130</v>
      </c>
      <c r="CB716" s="0" t="s">
        <v>130</v>
      </c>
      <c r="CC716" s="0" t="s">
        <v>130</v>
      </c>
      <c r="CD716" s="0" t="s">
        <v>130</v>
      </c>
      <c r="CE716" s="0" t="s">
        <v>130</v>
      </c>
      <c r="CF716" s="0" t="s">
        <v>130</v>
      </c>
      <c r="CG716" s="0" t="s">
        <v>130</v>
      </c>
      <c r="CH716" s="0" t="s">
        <v>130</v>
      </c>
      <c r="CI716" s="0" t="s">
        <v>130</v>
      </c>
      <c r="CJ716" s="0" t="s">
        <v>130</v>
      </c>
      <c r="CK716" s="0" t="s">
        <v>130</v>
      </c>
      <c r="CL716" s="0" t="s">
        <v>130</v>
      </c>
      <c r="CM716" s="0" t="s">
        <v>130</v>
      </c>
      <c r="CN716" s="0" t="s">
        <v>130</v>
      </c>
      <c r="CO716" s="0" t="s">
        <v>130</v>
      </c>
      <c r="CP716" s="0" t="s">
        <v>130</v>
      </c>
      <c r="CQ716" s="0" t="s">
        <v>130</v>
      </c>
      <c r="CR716" s="0" t="s">
        <v>130</v>
      </c>
      <c r="CS716" s="0" t="s">
        <v>130</v>
      </c>
      <c r="CT716" s="0" t="s">
        <v>2288</v>
      </c>
    </row>
    <row r="717">
      <c r="A717" s="14">
        <v>110631</v>
      </c>
      <c r="B717" s="0" t="s">
        <v>2283</v>
      </c>
      <c r="C717" s="16">
        <f>HYPERLINK("https://eosportal.federatedhermes.com/companies/Q29tcGFueQppODExMjM=", "Suncor Energy Inc")</f>
      </c>
      <c r="D717" s="0" t="s">
        <v>23</v>
      </c>
      <c r="E717" s="0" t="s">
        <v>1903</v>
      </c>
      <c r="F717" s="16">
        <f>HYPERLINK("https://eosportal.federatedhermes.com/engagements/RW5nYWdlbWVudAppMjE5MDM=", "CEO shareholding requirements")</f>
      </c>
      <c r="G717" s="14" t="s">
        <v>2289</v>
      </c>
      <c r="H717" s="0" t="s">
        <v>141</v>
      </c>
      <c r="I717" s="14" t="s">
        <v>636</v>
      </c>
      <c r="J717" s="0" t="s">
        <v>145</v>
      </c>
      <c r="K717" s="0" t="s">
        <v>146</v>
      </c>
      <c r="L717" s="0" t="s">
        <v>147</v>
      </c>
      <c r="M717" s="0" t="s">
        <v>135</v>
      </c>
      <c r="N717" s="0" t="s">
        <v>1678</v>
      </c>
      <c r="O717" s="0" t="s">
        <v>542</v>
      </c>
      <c r="Q717" s="0" t="s">
        <v>141</v>
      </c>
      <c r="R717" s="0" t="s">
        <v>130</v>
      </c>
      <c r="S717" s="14">
        <v>1</v>
      </c>
      <c r="T717" s="0" t="s">
        <v>166</v>
      </c>
      <c r="U717" s="0" t="s">
        <v>221</v>
      </c>
      <c r="V717" s="14" t="s">
        <v>166</v>
      </c>
      <c r="W717" s="0" t="s">
        <v>221</v>
      </c>
      <c r="X717" s="14" t="s">
        <v>148</v>
      </c>
      <c r="Y717" s="0" t="s">
        <v>223</v>
      </c>
      <c r="Z717" s="14" t="s">
        <v>138</v>
      </c>
      <c r="AA717" s="0" t="s">
        <v>224</v>
      </c>
      <c r="AB717" s="14" t="s">
        <v>138</v>
      </c>
      <c r="AD717" s="0" t="s">
        <v>17</v>
      </c>
      <c r="AF717" s="0">
        <v>0</v>
      </c>
      <c r="AG717" s="0">
        <v>0</v>
      </c>
      <c r="AH717" s="0" t="s">
        <v>140</v>
      </c>
      <c r="AI717" s="0" t="s">
        <v>225</v>
      </c>
      <c r="AK717" s="0" t="s">
        <v>2290</v>
      </c>
      <c r="AL717" s="14"/>
      <c r="AN717" s="14"/>
      <c r="AQ717" s="0" t="s">
        <v>130</v>
      </c>
      <c r="AR717" s="0" t="s">
        <v>130</v>
      </c>
      <c r="AS717" s="0" t="s">
        <v>130</v>
      </c>
      <c r="AT717" s="0" t="s">
        <v>130</v>
      </c>
      <c r="AU717" s="0" t="s">
        <v>130</v>
      </c>
      <c r="AV717" s="0" t="s">
        <v>130</v>
      </c>
      <c r="AW717" s="0" t="s">
        <v>130</v>
      </c>
      <c r="AX717" s="0" t="s">
        <v>130</v>
      </c>
      <c r="AY717" s="0" t="s">
        <v>130</v>
      </c>
      <c r="AZ717" s="0" t="s">
        <v>130</v>
      </c>
      <c r="BA717" s="0" t="s">
        <v>130</v>
      </c>
      <c r="BB717" s="0" t="s">
        <v>130</v>
      </c>
      <c r="BC717" s="0" t="s">
        <v>130</v>
      </c>
      <c r="BD717" s="0" t="s">
        <v>130</v>
      </c>
      <c r="BE717" s="0" t="s">
        <v>130</v>
      </c>
      <c r="BF717" s="0" t="s">
        <v>130</v>
      </c>
      <c r="BG717" s="0" t="s">
        <v>130</v>
      </c>
      <c r="BH717" s="0" t="s">
        <v>130</v>
      </c>
      <c r="BI717" s="0" t="s">
        <v>130</v>
      </c>
      <c r="BJ717" s="0" t="s">
        <v>130</v>
      </c>
      <c r="BK717" s="0" t="s">
        <v>130</v>
      </c>
      <c r="BL717" s="0" t="s">
        <v>130</v>
      </c>
      <c r="BM717" s="0" t="s">
        <v>130</v>
      </c>
      <c r="BN717" s="0" t="s">
        <v>130</v>
      </c>
      <c r="BO717" s="0" t="s">
        <v>130</v>
      </c>
      <c r="BP717" s="0" t="s">
        <v>130</v>
      </c>
      <c r="BQ717" s="0" t="s">
        <v>130</v>
      </c>
      <c r="BR717" s="0" t="s">
        <v>130</v>
      </c>
      <c r="BS717" s="0" t="s">
        <v>130</v>
      </c>
      <c r="BT717" s="0" t="s">
        <v>130</v>
      </c>
      <c r="BU717" s="0" t="s">
        <v>130</v>
      </c>
      <c r="BV717" s="0" t="s">
        <v>130</v>
      </c>
      <c r="BW717" s="0" t="s">
        <v>130</v>
      </c>
      <c r="BX717" s="0" t="s">
        <v>130</v>
      </c>
      <c r="BY717" s="0" t="s">
        <v>130</v>
      </c>
      <c r="BZ717" s="0" t="s">
        <v>130</v>
      </c>
      <c r="CA717" s="0" t="s">
        <v>130</v>
      </c>
      <c r="CB717" s="0" t="s">
        <v>130</v>
      </c>
      <c r="CC717" s="0" t="s">
        <v>130</v>
      </c>
      <c r="CD717" s="0" t="s">
        <v>130</v>
      </c>
      <c r="CE717" s="0" t="s">
        <v>130</v>
      </c>
      <c r="CF717" s="0" t="s">
        <v>130</v>
      </c>
      <c r="CG717" s="0" t="s">
        <v>130</v>
      </c>
      <c r="CH717" s="0" t="s">
        <v>130</v>
      </c>
      <c r="CI717" s="0" t="s">
        <v>130</v>
      </c>
      <c r="CJ717" s="0" t="s">
        <v>130</v>
      </c>
      <c r="CK717" s="0" t="s">
        <v>130</v>
      </c>
      <c r="CL717" s="0" t="s">
        <v>130</v>
      </c>
      <c r="CM717" s="0" t="s">
        <v>130</v>
      </c>
      <c r="CN717" s="0" t="s">
        <v>130</v>
      </c>
      <c r="CO717" s="0" t="s">
        <v>130</v>
      </c>
      <c r="CP717" s="0" t="s">
        <v>130</v>
      </c>
      <c r="CQ717" s="0" t="s">
        <v>130</v>
      </c>
      <c r="CR717" s="0" t="s">
        <v>130</v>
      </c>
      <c r="CS717" s="0" t="s">
        <v>130</v>
      </c>
      <c r="CT717" s="0" t="s">
        <v>2291</v>
      </c>
    </row>
    <row r="718">
      <c r="A718" s="14">
        <v>110631</v>
      </c>
      <c r="B718" s="0" t="s">
        <v>2283</v>
      </c>
      <c r="C718" s="16">
        <f>HYPERLINK("https://eosportal.federatedhermes.com/companies/Q29tcGFueQppODExMjM=", "Suncor Energy Inc")</f>
      </c>
      <c r="D718" s="0" t="s">
        <v>23</v>
      </c>
      <c r="E718" s="0" t="s">
        <v>228</v>
      </c>
      <c r="F718" s="16">
        <f>HYPERLINK("https://eosportal.federatedhermes.com/engagements/RW5nYWdlbWVudAppMjE5MDQ=", "Climate strategy")</f>
      </c>
      <c r="G718" s="14" t="s">
        <v>2292</v>
      </c>
      <c r="H718" s="0" t="s">
        <v>141</v>
      </c>
      <c r="I718" s="14" t="s">
        <v>636</v>
      </c>
      <c r="J718" s="0" t="s">
        <v>197</v>
      </c>
      <c r="K718" s="0" t="s">
        <v>198</v>
      </c>
      <c r="L718" s="0" t="s">
        <v>220</v>
      </c>
      <c r="M718" s="0" t="s">
        <v>135</v>
      </c>
      <c r="N718" s="0" t="s">
        <v>1678</v>
      </c>
      <c r="O718" s="0" t="s">
        <v>542</v>
      </c>
      <c r="Q718" s="0" t="s">
        <v>141</v>
      </c>
      <c r="R718" s="0" t="s">
        <v>130</v>
      </c>
      <c r="S718" s="14">
        <v>1</v>
      </c>
      <c r="T718" s="0" t="s">
        <v>583</v>
      </c>
      <c r="U718" s="0" t="s">
        <v>221</v>
      </c>
      <c r="V718" s="14" t="s">
        <v>583</v>
      </c>
      <c r="W718" s="0" t="s">
        <v>221</v>
      </c>
      <c r="X718" s="14" t="s">
        <v>231</v>
      </c>
      <c r="Y718" s="0" t="s">
        <v>223</v>
      </c>
      <c r="Z718" s="14" t="s">
        <v>138</v>
      </c>
      <c r="AA718" s="0" t="s">
        <v>224</v>
      </c>
      <c r="AB718" s="14" t="s">
        <v>138</v>
      </c>
      <c r="AD718" s="0" t="s">
        <v>17</v>
      </c>
      <c r="AF718" s="0">
        <v>0</v>
      </c>
      <c r="AG718" s="0">
        <v>0</v>
      </c>
      <c r="AH718" s="0" t="s">
        <v>140</v>
      </c>
      <c r="AI718" s="0" t="s">
        <v>232</v>
      </c>
      <c r="AK718" s="0" t="s">
        <v>2290</v>
      </c>
      <c r="AL718" s="14"/>
      <c r="AN718" s="14"/>
      <c r="AQ718" s="0" t="s">
        <v>130</v>
      </c>
      <c r="AR718" s="0" t="s">
        <v>130</v>
      </c>
      <c r="AS718" s="0" t="s">
        <v>130</v>
      </c>
      <c r="AT718" s="0" t="s">
        <v>130</v>
      </c>
      <c r="AU718" s="0" t="s">
        <v>130</v>
      </c>
      <c r="AV718" s="0" t="s">
        <v>130</v>
      </c>
      <c r="AW718" s="0" t="s">
        <v>141</v>
      </c>
      <c r="AX718" s="0" t="s">
        <v>130</v>
      </c>
      <c r="AY718" s="0" t="s">
        <v>141</v>
      </c>
      <c r="AZ718" s="0" t="s">
        <v>130</v>
      </c>
      <c r="BA718" s="0" t="s">
        <v>130</v>
      </c>
      <c r="BB718" s="0" t="s">
        <v>130</v>
      </c>
      <c r="BC718" s="0" t="s">
        <v>141</v>
      </c>
      <c r="BD718" s="0" t="s">
        <v>130</v>
      </c>
      <c r="BE718" s="0" t="s">
        <v>130</v>
      </c>
      <c r="BF718" s="0" t="s">
        <v>130</v>
      </c>
      <c r="BG718" s="0" t="s">
        <v>130</v>
      </c>
      <c r="BH718" s="0" t="s">
        <v>130</v>
      </c>
      <c r="BI718" s="0" t="s">
        <v>130</v>
      </c>
      <c r="BJ718" s="0" t="s">
        <v>130</v>
      </c>
      <c r="BK718" s="0" t="s">
        <v>130</v>
      </c>
      <c r="BL718" s="0" t="s">
        <v>130</v>
      </c>
      <c r="BM718" s="0" t="s">
        <v>130</v>
      </c>
      <c r="BN718" s="0" t="s">
        <v>130</v>
      </c>
      <c r="BO718" s="0" t="s">
        <v>130</v>
      </c>
      <c r="BP718" s="0" t="s">
        <v>130</v>
      </c>
      <c r="BQ718" s="0" t="s">
        <v>130</v>
      </c>
      <c r="BR718" s="0" t="s">
        <v>130</v>
      </c>
      <c r="BS718" s="0" t="s">
        <v>130</v>
      </c>
      <c r="BT718" s="0" t="s">
        <v>130</v>
      </c>
      <c r="BU718" s="0" t="s">
        <v>130</v>
      </c>
      <c r="BV718" s="0" t="s">
        <v>130</v>
      </c>
      <c r="BW718" s="0" t="s">
        <v>130</v>
      </c>
      <c r="BX718" s="0" t="s">
        <v>130</v>
      </c>
      <c r="BY718" s="0" t="s">
        <v>130</v>
      </c>
      <c r="BZ718" s="0" t="s">
        <v>130</v>
      </c>
      <c r="CA718" s="0" t="s">
        <v>130</v>
      </c>
      <c r="CB718" s="0" t="s">
        <v>130</v>
      </c>
      <c r="CC718" s="0" t="s">
        <v>130</v>
      </c>
      <c r="CD718" s="0" t="s">
        <v>130</v>
      </c>
      <c r="CE718" s="0" t="s">
        <v>130</v>
      </c>
      <c r="CF718" s="0" t="s">
        <v>130</v>
      </c>
      <c r="CG718" s="0" t="s">
        <v>130</v>
      </c>
      <c r="CH718" s="0" t="s">
        <v>130</v>
      </c>
      <c r="CI718" s="0" t="s">
        <v>130</v>
      </c>
      <c r="CJ718" s="0" t="s">
        <v>130</v>
      </c>
      <c r="CK718" s="0" t="s">
        <v>130</v>
      </c>
      <c r="CL718" s="0" t="s">
        <v>130</v>
      </c>
      <c r="CM718" s="0" t="s">
        <v>130</v>
      </c>
      <c r="CN718" s="0" t="s">
        <v>130</v>
      </c>
      <c r="CO718" s="0" t="s">
        <v>130</v>
      </c>
      <c r="CP718" s="0" t="s">
        <v>130</v>
      </c>
      <c r="CQ718" s="0" t="s">
        <v>130</v>
      </c>
      <c r="CR718" s="0" t="s">
        <v>130</v>
      </c>
      <c r="CS718" s="0" t="s">
        <v>130</v>
      </c>
      <c r="CT718" s="0" t="s">
        <v>2293</v>
      </c>
    </row>
    <row r="719">
      <c r="A719" s="14">
        <v>110631</v>
      </c>
      <c r="B719" s="0" t="s">
        <v>2283</v>
      </c>
      <c r="C719" s="16">
        <f>HYPERLINK("https://eosportal.federatedhermes.com/companies/Q29tcGFueQppODExMjM=", "Suncor Energy Inc")</f>
      </c>
      <c r="D719" s="0" t="s">
        <v>25</v>
      </c>
      <c r="E719" s="0" t="s">
        <v>2294</v>
      </c>
      <c r="F719" s="16">
        <f>HYPERLINK("https://eosportal.federatedhermes.com/engagements/RW5nYWdlbWVudAppMjE5MDk=", "Suncor Energy - Environmental - Oil sands")</f>
      </c>
      <c r="G719" s="14" t="s">
        <v>2295</v>
      </c>
      <c r="H719" s="0" t="s">
        <v>141</v>
      </c>
      <c r="I719" s="14" t="s">
        <v>636</v>
      </c>
      <c r="J719" s="0" t="s">
        <v>132</v>
      </c>
      <c r="K719" s="0" t="s">
        <v>133</v>
      </c>
      <c r="L719" s="0" t="s">
        <v>160</v>
      </c>
      <c r="M719" s="0" t="s">
        <v>135</v>
      </c>
      <c r="N719" s="0" t="s">
        <v>1678</v>
      </c>
      <c r="O719" s="0" t="s">
        <v>542</v>
      </c>
      <c r="Q719" s="0" t="s">
        <v>130</v>
      </c>
      <c r="R719" s="0" t="s">
        <v>138</v>
      </c>
      <c r="S719" s="14">
        <v>0</v>
      </c>
      <c r="T719" s="0" t="s">
        <v>1529</v>
      </c>
      <c r="U719" s="0" t="s">
        <v>138</v>
      </c>
      <c r="V719" s="14" t="s">
        <v>138</v>
      </c>
      <c r="W719" s="0" t="s">
        <v>138</v>
      </c>
      <c r="X719" s="14" t="s">
        <v>138</v>
      </c>
      <c r="Y719" s="0" t="s">
        <v>138</v>
      </c>
      <c r="Z719" s="14" t="s">
        <v>138</v>
      </c>
      <c r="AA719" s="0" t="s">
        <v>138</v>
      </c>
      <c r="AB719" s="14" t="s">
        <v>138</v>
      </c>
      <c r="AD719" s="0" t="s">
        <v>138</v>
      </c>
      <c r="AF719" s="0">
        <v>0</v>
      </c>
      <c r="AG719" s="0">
        <v>0</v>
      </c>
      <c r="AH719" s="0" t="s">
        <v>140</v>
      </c>
      <c r="AI719" s="0" t="s">
        <v>138</v>
      </c>
      <c r="AL719" s="14"/>
      <c r="AN719" s="14"/>
      <c r="AQ719" s="0" t="s">
        <v>130</v>
      </c>
      <c r="AR719" s="0" t="s">
        <v>130</v>
      </c>
      <c r="AS719" s="0" t="s">
        <v>130</v>
      </c>
      <c r="AT719" s="0" t="s">
        <v>130</v>
      </c>
      <c r="AU719" s="0" t="s">
        <v>130</v>
      </c>
      <c r="AV719" s="0" t="s">
        <v>130</v>
      </c>
      <c r="AW719" s="0" t="s">
        <v>130</v>
      </c>
      <c r="AX719" s="0" t="s">
        <v>130</v>
      </c>
      <c r="AY719" s="0" t="s">
        <v>130</v>
      </c>
      <c r="AZ719" s="0" t="s">
        <v>130</v>
      </c>
      <c r="BA719" s="0" t="s">
        <v>130</v>
      </c>
      <c r="BB719" s="0" t="s">
        <v>130</v>
      </c>
      <c r="BC719" s="0" t="s">
        <v>141</v>
      </c>
      <c r="BD719" s="0" t="s">
        <v>130</v>
      </c>
      <c r="BE719" s="0" t="s">
        <v>130</v>
      </c>
      <c r="BF719" s="0" t="s">
        <v>130</v>
      </c>
      <c r="BG719" s="0" t="s">
        <v>130</v>
      </c>
      <c r="BH719" s="0" t="s">
        <v>130</v>
      </c>
      <c r="BI719" s="0" t="s">
        <v>130</v>
      </c>
      <c r="BJ719" s="0" t="s">
        <v>130</v>
      </c>
      <c r="BK719" s="0" t="s">
        <v>130</v>
      </c>
      <c r="BL719" s="0" t="s">
        <v>130</v>
      </c>
      <c r="BM719" s="0" t="s">
        <v>130</v>
      </c>
      <c r="BN719" s="0" t="s">
        <v>130</v>
      </c>
      <c r="BO719" s="0" t="s">
        <v>130</v>
      </c>
      <c r="BP719" s="0" t="s">
        <v>130</v>
      </c>
      <c r="BQ719" s="0" t="s">
        <v>130</v>
      </c>
      <c r="BR719" s="0" t="s">
        <v>130</v>
      </c>
      <c r="BS719" s="0" t="s">
        <v>130</v>
      </c>
      <c r="BT719" s="0" t="s">
        <v>130</v>
      </c>
      <c r="BU719" s="0" t="s">
        <v>130</v>
      </c>
      <c r="BV719" s="0" t="s">
        <v>130</v>
      </c>
      <c r="BW719" s="0" t="s">
        <v>130</v>
      </c>
      <c r="BX719" s="0" t="s">
        <v>130</v>
      </c>
      <c r="BY719" s="0" t="s">
        <v>130</v>
      </c>
      <c r="BZ719" s="0" t="s">
        <v>130</v>
      </c>
      <c r="CA719" s="0" t="s">
        <v>130</v>
      </c>
      <c r="CB719" s="0" t="s">
        <v>130</v>
      </c>
      <c r="CC719" s="0" t="s">
        <v>130</v>
      </c>
      <c r="CD719" s="0" t="s">
        <v>130</v>
      </c>
      <c r="CE719" s="0" t="s">
        <v>130</v>
      </c>
      <c r="CF719" s="0" t="s">
        <v>130</v>
      </c>
      <c r="CG719" s="0" t="s">
        <v>130</v>
      </c>
      <c r="CH719" s="0" t="s">
        <v>130</v>
      </c>
      <c r="CI719" s="0" t="s">
        <v>130</v>
      </c>
      <c r="CJ719" s="0" t="s">
        <v>130</v>
      </c>
      <c r="CK719" s="0" t="s">
        <v>130</v>
      </c>
      <c r="CL719" s="0" t="s">
        <v>130</v>
      </c>
      <c r="CM719" s="0" t="s">
        <v>130</v>
      </c>
      <c r="CN719" s="0" t="s">
        <v>130</v>
      </c>
      <c r="CO719" s="0" t="s">
        <v>130</v>
      </c>
      <c r="CP719" s="0" t="s">
        <v>130</v>
      </c>
      <c r="CQ719" s="0" t="s">
        <v>130</v>
      </c>
      <c r="CR719" s="0" t="s">
        <v>130</v>
      </c>
      <c r="CS719" s="0" t="s">
        <v>130</v>
      </c>
      <c r="CT719" s="0" t="s">
        <v>2296</v>
      </c>
    </row>
    <row r="720">
      <c r="A720" s="14">
        <v>110631</v>
      </c>
      <c r="B720" s="0" t="s">
        <v>2283</v>
      </c>
      <c r="C720" s="16">
        <f>HYPERLINK("https://eosportal.federatedhermes.com/companies/Q29tcGFueQppODExMjM=", "Suncor Energy Inc")</f>
      </c>
      <c r="D720" s="0" t="s">
        <v>25</v>
      </c>
      <c r="E720" s="0" t="s">
        <v>2297</v>
      </c>
      <c r="F720" s="16">
        <f>HYPERLINK("https://eosportal.federatedhermes.com/engagements/RW5nYWdlbWVudAppMjE5MTA=", "Climate targets in compensation")</f>
      </c>
      <c r="G720" s="14" t="s">
        <v>2298</v>
      </c>
      <c r="H720" s="0" t="s">
        <v>141</v>
      </c>
      <c r="I720" s="14" t="s">
        <v>636</v>
      </c>
      <c r="J720" s="0" t="s">
        <v>197</v>
      </c>
      <c r="K720" s="0" t="s">
        <v>198</v>
      </c>
      <c r="L720" s="0" t="s">
        <v>199</v>
      </c>
      <c r="M720" s="0" t="s">
        <v>135</v>
      </c>
      <c r="N720" s="0" t="s">
        <v>1678</v>
      </c>
      <c r="O720" s="0" t="s">
        <v>542</v>
      </c>
      <c r="Q720" s="0" t="s">
        <v>130</v>
      </c>
      <c r="R720" s="0" t="s">
        <v>138</v>
      </c>
      <c r="S720" s="14">
        <v>0</v>
      </c>
      <c r="T720" s="0" t="s">
        <v>230</v>
      </c>
      <c r="U720" s="0" t="s">
        <v>138</v>
      </c>
      <c r="V720" s="14" t="s">
        <v>138</v>
      </c>
      <c r="W720" s="0" t="s">
        <v>138</v>
      </c>
      <c r="X720" s="14" t="s">
        <v>138</v>
      </c>
      <c r="Y720" s="0" t="s">
        <v>138</v>
      </c>
      <c r="Z720" s="14" t="s">
        <v>138</v>
      </c>
      <c r="AA720" s="0" t="s">
        <v>138</v>
      </c>
      <c r="AB720" s="14" t="s">
        <v>138</v>
      </c>
      <c r="AD720" s="0" t="s">
        <v>138</v>
      </c>
      <c r="AF720" s="0">
        <v>0</v>
      </c>
      <c r="AG720" s="0">
        <v>0</v>
      </c>
      <c r="AH720" s="0" t="s">
        <v>140</v>
      </c>
      <c r="AI720" s="0" t="s">
        <v>138</v>
      </c>
      <c r="AL720" s="14"/>
      <c r="AN720" s="14"/>
      <c r="AQ720" s="0" t="s">
        <v>130</v>
      </c>
      <c r="AR720" s="0" t="s">
        <v>130</v>
      </c>
      <c r="AS720" s="0" t="s">
        <v>130</v>
      </c>
      <c r="AT720" s="0" t="s">
        <v>130</v>
      </c>
      <c r="AU720" s="0" t="s">
        <v>130</v>
      </c>
      <c r="AV720" s="0" t="s">
        <v>130</v>
      </c>
      <c r="AW720" s="0" t="s">
        <v>130</v>
      </c>
      <c r="AX720" s="0" t="s">
        <v>130</v>
      </c>
      <c r="AY720" s="0" t="s">
        <v>130</v>
      </c>
      <c r="AZ720" s="0" t="s">
        <v>130</v>
      </c>
      <c r="BA720" s="0" t="s">
        <v>130</v>
      </c>
      <c r="BB720" s="0" t="s">
        <v>141</v>
      </c>
      <c r="BC720" s="0" t="s">
        <v>130</v>
      </c>
      <c r="BD720" s="0" t="s">
        <v>130</v>
      </c>
      <c r="BE720" s="0" t="s">
        <v>130</v>
      </c>
      <c r="BF720" s="0" t="s">
        <v>130</v>
      </c>
      <c r="BG720" s="0" t="s">
        <v>130</v>
      </c>
      <c r="BH720" s="0" t="s">
        <v>130</v>
      </c>
      <c r="BI720" s="0" t="s">
        <v>130</v>
      </c>
      <c r="BJ720" s="0" t="s">
        <v>130</v>
      </c>
      <c r="BK720" s="0" t="s">
        <v>130</v>
      </c>
      <c r="BL720" s="0" t="s">
        <v>130</v>
      </c>
      <c r="BM720" s="0" t="s">
        <v>130</v>
      </c>
      <c r="BN720" s="0" t="s">
        <v>130</v>
      </c>
      <c r="BO720" s="0" t="s">
        <v>130</v>
      </c>
      <c r="BP720" s="0" t="s">
        <v>130</v>
      </c>
      <c r="BQ720" s="0" t="s">
        <v>130</v>
      </c>
      <c r="BR720" s="0" t="s">
        <v>130</v>
      </c>
      <c r="BS720" s="0" t="s">
        <v>130</v>
      </c>
      <c r="BT720" s="0" t="s">
        <v>130</v>
      </c>
      <c r="BU720" s="0" t="s">
        <v>130</v>
      </c>
      <c r="BV720" s="0" t="s">
        <v>130</v>
      </c>
      <c r="BW720" s="0" t="s">
        <v>130</v>
      </c>
      <c r="BX720" s="0" t="s">
        <v>130</v>
      </c>
      <c r="BY720" s="0" t="s">
        <v>130</v>
      </c>
      <c r="BZ720" s="0" t="s">
        <v>130</v>
      </c>
      <c r="CA720" s="0" t="s">
        <v>130</v>
      </c>
      <c r="CB720" s="0" t="s">
        <v>130</v>
      </c>
      <c r="CC720" s="0" t="s">
        <v>130</v>
      </c>
      <c r="CD720" s="0" t="s">
        <v>130</v>
      </c>
      <c r="CE720" s="0" t="s">
        <v>130</v>
      </c>
      <c r="CF720" s="0" t="s">
        <v>130</v>
      </c>
      <c r="CG720" s="0" t="s">
        <v>130</v>
      </c>
      <c r="CH720" s="0" t="s">
        <v>130</v>
      </c>
      <c r="CI720" s="0" t="s">
        <v>130</v>
      </c>
      <c r="CJ720" s="0" t="s">
        <v>130</v>
      </c>
      <c r="CK720" s="0" t="s">
        <v>130</v>
      </c>
      <c r="CL720" s="0" t="s">
        <v>130</v>
      </c>
      <c r="CM720" s="0" t="s">
        <v>130</v>
      </c>
      <c r="CN720" s="0" t="s">
        <v>130</v>
      </c>
      <c r="CO720" s="0" t="s">
        <v>130</v>
      </c>
      <c r="CP720" s="0" t="s">
        <v>130</v>
      </c>
      <c r="CQ720" s="0" t="s">
        <v>130</v>
      </c>
      <c r="CR720" s="0" t="s">
        <v>130</v>
      </c>
      <c r="CS720" s="0" t="s">
        <v>130</v>
      </c>
      <c r="CT720" s="0" t="s">
        <v>2299</v>
      </c>
    </row>
    <row r="721">
      <c r="A721" s="14">
        <v>110631</v>
      </c>
      <c r="B721" s="0" t="s">
        <v>2283</v>
      </c>
      <c r="C721" s="16">
        <f>HYPERLINK("https://eosportal.federatedhermes.com/companies/Q29tcGFueQppODExMjM=", "Suncor Energy Inc")</f>
      </c>
      <c r="D721" s="0" t="s">
        <v>25</v>
      </c>
      <c r="E721" s="0" t="s">
        <v>2300</v>
      </c>
      <c r="F721" s="16">
        <f>HYPERLINK("https://eosportal.federatedhermes.com/engagements/RW5nYWdlbWVudAppMjE5MTE=", "Methane Emissions")</f>
      </c>
      <c r="G721" s="14" t="s">
        <v>2301</v>
      </c>
      <c r="H721" s="0" t="s">
        <v>141</v>
      </c>
      <c r="I721" s="14" t="s">
        <v>636</v>
      </c>
      <c r="J721" s="0" t="s">
        <v>132</v>
      </c>
      <c r="K721" s="0" t="s">
        <v>133</v>
      </c>
      <c r="L721" s="0" t="s">
        <v>160</v>
      </c>
      <c r="M721" s="0" t="s">
        <v>135</v>
      </c>
      <c r="N721" s="0" t="s">
        <v>1678</v>
      </c>
      <c r="O721" s="0" t="s">
        <v>542</v>
      </c>
      <c r="Q721" s="0" t="s">
        <v>130</v>
      </c>
      <c r="R721" s="0" t="s">
        <v>138</v>
      </c>
      <c r="S721" s="14">
        <v>0</v>
      </c>
      <c r="T721" s="0" t="s">
        <v>230</v>
      </c>
      <c r="U721" s="0" t="s">
        <v>138</v>
      </c>
      <c r="V721" s="14" t="s">
        <v>138</v>
      </c>
      <c r="W721" s="0" t="s">
        <v>138</v>
      </c>
      <c r="X721" s="14" t="s">
        <v>138</v>
      </c>
      <c r="Y721" s="0" t="s">
        <v>138</v>
      </c>
      <c r="Z721" s="14" t="s">
        <v>138</v>
      </c>
      <c r="AA721" s="0" t="s">
        <v>138</v>
      </c>
      <c r="AB721" s="14" t="s">
        <v>138</v>
      </c>
      <c r="AD721" s="0" t="s">
        <v>138</v>
      </c>
      <c r="AF721" s="0">
        <v>0</v>
      </c>
      <c r="AG721" s="0">
        <v>0</v>
      </c>
      <c r="AH721" s="0" t="s">
        <v>140</v>
      </c>
      <c r="AI721" s="0" t="s">
        <v>138</v>
      </c>
      <c r="AL721" s="14"/>
      <c r="AN721" s="14"/>
      <c r="AQ721" s="0" t="s">
        <v>130</v>
      </c>
      <c r="AR721" s="0" t="s">
        <v>130</v>
      </c>
      <c r="AS721" s="0" t="s">
        <v>130</v>
      </c>
      <c r="AT721" s="0" t="s">
        <v>130</v>
      </c>
      <c r="AU721" s="0" t="s">
        <v>130</v>
      </c>
      <c r="AV721" s="0" t="s">
        <v>130</v>
      </c>
      <c r="AW721" s="0" t="s">
        <v>141</v>
      </c>
      <c r="AX721" s="0" t="s">
        <v>130</v>
      </c>
      <c r="AY721" s="0" t="s">
        <v>130</v>
      </c>
      <c r="AZ721" s="0" t="s">
        <v>130</v>
      </c>
      <c r="BA721" s="0" t="s">
        <v>130</v>
      </c>
      <c r="BB721" s="0" t="s">
        <v>130</v>
      </c>
      <c r="BC721" s="0" t="s">
        <v>141</v>
      </c>
      <c r="BD721" s="0" t="s">
        <v>130</v>
      </c>
      <c r="BE721" s="0" t="s">
        <v>130</v>
      </c>
      <c r="BF721" s="0" t="s">
        <v>130</v>
      </c>
      <c r="BG721" s="0" t="s">
        <v>130</v>
      </c>
      <c r="BH721" s="0" t="s">
        <v>130</v>
      </c>
      <c r="BI721" s="0" t="s">
        <v>130</v>
      </c>
      <c r="BJ721" s="0" t="s">
        <v>130</v>
      </c>
      <c r="BK721" s="0" t="s">
        <v>130</v>
      </c>
      <c r="BL721" s="0" t="s">
        <v>130</v>
      </c>
      <c r="BM721" s="0" t="s">
        <v>130</v>
      </c>
      <c r="BN721" s="0" t="s">
        <v>130</v>
      </c>
      <c r="BO721" s="0" t="s">
        <v>130</v>
      </c>
      <c r="BP721" s="0" t="s">
        <v>130</v>
      </c>
      <c r="BQ721" s="0" t="s">
        <v>130</v>
      </c>
      <c r="BR721" s="0" t="s">
        <v>130</v>
      </c>
      <c r="BS721" s="0" t="s">
        <v>130</v>
      </c>
      <c r="BT721" s="0" t="s">
        <v>130</v>
      </c>
      <c r="BU721" s="0" t="s">
        <v>130</v>
      </c>
      <c r="BV721" s="0" t="s">
        <v>130</v>
      </c>
      <c r="BW721" s="0" t="s">
        <v>130</v>
      </c>
      <c r="BX721" s="0" t="s">
        <v>130</v>
      </c>
      <c r="BY721" s="0" t="s">
        <v>130</v>
      </c>
      <c r="BZ721" s="0" t="s">
        <v>130</v>
      </c>
      <c r="CA721" s="0" t="s">
        <v>130</v>
      </c>
      <c r="CB721" s="0" t="s">
        <v>130</v>
      </c>
      <c r="CC721" s="0" t="s">
        <v>130</v>
      </c>
      <c r="CD721" s="0" t="s">
        <v>130</v>
      </c>
      <c r="CE721" s="0" t="s">
        <v>130</v>
      </c>
      <c r="CF721" s="0" t="s">
        <v>130</v>
      </c>
      <c r="CG721" s="0" t="s">
        <v>130</v>
      </c>
      <c r="CH721" s="0" t="s">
        <v>130</v>
      </c>
      <c r="CI721" s="0" t="s">
        <v>130</v>
      </c>
      <c r="CJ721" s="0" t="s">
        <v>130</v>
      </c>
      <c r="CK721" s="0" t="s">
        <v>130</v>
      </c>
      <c r="CL721" s="0" t="s">
        <v>130</v>
      </c>
      <c r="CM721" s="0" t="s">
        <v>130</v>
      </c>
      <c r="CN721" s="0" t="s">
        <v>130</v>
      </c>
      <c r="CO721" s="0" t="s">
        <v>130</v>
      </c>
      <c r="CP721" s="0" t="s">
        <v>130</v>
      </c>
      <c r="CQ721" s="0" t="s">
        <v>130</v>
      </c>
      <c r="CR721" s="0" t="s">
        <v>130</v>
      </c>
      <c r="CS721" s="0" t="s">
        <v>130</v>
      </c>
      <c r="CT721" s="0" t="s">
        <v>2302</v>
      </c>
    </row>
    <row r="722">
      <c r="A722" s="14">
        <v>110755</v>
      </c>
      <c r="B722" s="0" t="s">
        <v>2303</v>
      </c>
      <c r="C722" s="16">
        <f>HYPERLINK("https://eosportal.federatedhermes.com/companies/Q29tcGFueQppODYxNDM=", "Toronto-Dominion Bank/The")</f>
      </c>
      <c r="D722" s="0" t="s">
        <v>25</v>
      </c>
      <c r="E722" s="0" t="s">
        <v>2200</v>
      </c>
      <c r="F722" s="16">
        <f>HYPERLINK("https://eosportal.federatedhermes.com/engagements/RW5nYWdlbWVudAppMjE5MjA=", "Workforce Disclosure Initiative")</f>
      </c>
      <c r="G722" s="14" t="s">
        <v>2201</v>
      </c>
      <c r="H722" s="0" t="s">
        <v>141</v>
      </c>
      <c r="I722" s="14" t="s">
        <v>191</v>
      </c>
      <c r="J722" s="0" t="s">
        <v>153</v>
      </c>
      <c r="K722" s="0" t="s">
        <v>154</v>
      </c>
      <c r="L722" s="0" t="s">
        <v>306</v>
      </c>
      <c r="M722" s="0" t="s">
        <v>135</v>
      </c>
      <c r="N722" s="0" t="s">
        <v>1678</v>
      </c>
      <c r="O722" s="0" t="s">
        <v>238</v>
      </c>
      <c r="Q722" s="0" t="s">
        <v>130</v>
      </c>
      <c r="R722" s="0" t="s">
        <v>138</v>
      </c>
      <c r="S722" s="14">
        <v>0</v>
      </c>
      <c r="T722" s="0" t="s">
        <v>156</v>
      </c>
      <c r="U722" s="0" t="s">
        <v>138</v>
      </c>
      <c r="V722" s="14" t="s">
        <v>138</v>
      </c>
      <c r="W722" s="0" t="s">
        <v>138</v>
      </c>
      <c r="X722" s="14" t="s">
        <v>138</v>
      </c>
      <c r="Y722" s="0" t="s">
        <v>138</v>
      </c>
      <c r="Z722" s="14" t="s">
        <v>138</v>
      </c>
      <c r="AA722" s="0" t="s">
        <v>138</v>
      </c>
      <c r="AB722" s="14" t="s">
        <v>138</v>
      </c>
      <c r="AD722" s="0" t="s">
        <v>138</v>
      </c>
      <c r="AF722" s="0">
        <v>0</v>
      </c>
      <c r="AG722" s="0">
        <v>0</v>
      </c>
      <c r="AH722" s="0" t="s">
        <v>140</v>
      </c>
      <c r="AI722" s="0" t="s">
        <v>138</v>
      </c>
      <c r="AL722" s="14"/>
      <c r="AN722" s="14"/>
      <c r="AQ722" s="0" t="s">
        <v>130</v>
      </c>
      <c r="AR722" s="0" t="s">
        <v>130</v>
      </c>
      <c r="AS722" s="0" t="s">
        <v>130</v>
      </c>
      <c r="AT722" s="0" t="s">
        <v>130</v>
      </c>
      <c r="AU722" s="0" t="s">
        <v>130</v>
      </c>
      <c r="AV722" s="0" t="s">
        <v>130</v>
      </c>
      <c r="AW722" s="0" t="s">
        <v>130</v>
      </c>
      <c r="AX722" s="0" t="s">
        <v>130</v>
      </c>
      <c r="AY722" s="0" t="s">
        <v>130</v>
      </c>
      <c r="AZ722" s="0" t="s">
        <v>130</v>
      </c>
      <c r="BA722" s="0" t="s">
        <v>130</v>
      </c>
      <c r="BB722" s="0" t="s">
        <v>130</v>
      </c>
      <c r="BC722" s="0" t="s">
        <v>130</v>
      </c>
      <c r="BD722" s="0" t="s">
        <v>130</v>
      </c>
      <c r="BE722" s="0" t="s">
        <v>130</v>
      </c>
      <c r="BF722" s="0" t="s">
        <v>130</v>
      </c>
      <c r="BG722" s="0" t="s">
        <v>130</v>
      </c>
      <c r="BH722" s="0" t="s">
        <v>130</v>
      </c>
      <c r="BI722" s="0" t="s">
        <v>130</v>
      </c>
      <c r="BJ722" s="0" t="s">
        <v>130</v>
      </c>
      <c r="BK722" s="0" t="s">
        <v>130</v>
      </c>
      <c r="BL722" s="0" t="s">
        <v>130</v>
      </c>
      <c r="BM722" s="0" t="s">
        <v>130</v>
      </c>
      <c r="BN722" s="0" t="s">
        <v>130</v>
      </c>
      <c r="BO722" s="0" t="s">
        <v>130</v>
      </c>
      <c r="BP722" s="0" t="s">
        <v>130</v>
      </c>
      <c r="BQ722" s="0" t="s">
        <v>130</v>
      </c>
      <c r="BR722" s="0" t="s">
        <v>130</v>
      </c>
      <c r="BS722" s="0" t="s">
        <v>130</v>
      </c>
      <c r="BT722" s="0" t="s">
        <v>130</v>
      </c>
      <c r="BU722" s="0" t="s">
        <v>130</v>
      </c>
      <c r="BV722" s="0" t="s">
        <v>130</v>
      </c>
      <c r="BW722" s="0" t="s">
        <v>130</v>
      </c>
      <c r="BX722" s="0" t="s">
        <v>130</v>
      </c>
      <c r="BY722" s="0" t="s">
        <v>130</v>
      </c>
      <c r="BZ722" s="0" t="s">
        <v>130</v>
      </c>
      <c r="CA722" s="0" t="s">
        <v>130</v>
      </c>
      <c r="CB722" s="0" t="s">
        <v>130</v>
      </c>
      <c r="CC722" s="0" t="s">
        <v>130</v>
      </c>
      <c r="CD722" s="0" t="s">
        <v>130</v>
      </c>
      <c r="CE722" s="0" t="s">
        <v>130</v>
      </c>
      <c r="CF722" s="0" t="s">
        <v>130</v>
      </c>
      <c r="CG722" s="0" t="s">
        <v>130</v>
      </c>
      <c r="CH722" s="0" t="s">
        <v>130</v>
      </c>
      <c r="CI722" s="0" t="s">
        <v>130</v>
      </c>
      <c r="CJ722" s="0" t="s">
        <v>130</v>
      </c>
      <c r="CK722" s="0" t="s">
        <v>130</v>
      </c>
      <c r="CL722" s="0" t="s">
        <v>130</v>
      </c>
      <c r="CM722" s="0" t="s">
        <v>130</v>
      </c>
      <c r="CN722" s="0" t="s">
        <v>130</v>
      </c>
      <c r="CO722" s="0" t="s">
        <v>130</v>
      </c>
      <c r="CP722" s="0" t="s">
        <v>130</v>
      </c>
      <c r="CQ722" s="0" t="s">
        <v>130</v>
      </c>
      <c r="CR722" s="0" t="s">
        <v>130</v>
      </c>
      <c r="CS722" s="0" t="s">
        <v>130</v>
      </c>
      <c r="CT722" s="0" t="s">
        <v>2304</v>
      </c>
    </row>
    <row r="723">
      <c r="A723" s="14">
        <v>110755</v>
      </c>
      <c r="B723" s="0" t="s">
        <v>2303</v>
      </c>
      <c r="C723" s="16">
        <f>HYPERLINK("https://eosportal.federatedhermes.com/companies/Q29tcGFueQppODYxNDM=", "Toronto-Dominion Bank/The")</f>
      </c>
      <c r="D723" s="0" t="s">
        <v>25</v>
      </c>
      <c r="E723" s="0" t="s">
        <v>1900</v>
      </c>
      <c r="F723" s="16">
        <f>HYPERLINK("https://eosportal.federatedhermes.com/engagements/RW5nYWdlbWVudAppMjE5MjE=", "Business purpose")</f>
      </c>
      <c r="G723" s="14" t="s">
        <v>2305</v>
      </c>
      <c r="H723" s="0" t="s">
        <v>141</v>
      </c>
      <c r="I723" s="14" t="s">
        <v>191</v>
      </c>
      <c r="J723" s="0" t="s">
        <v>132</v>
      </c>
      <c r="K723" s="0" t="s">
        <v>133</v>
      </c>
      <c r="L723" s="0" t="s">
        <v>160</v>
      </c>
      <c r="M723" s="0" t="s">
        <v>135</v>
      </c>
      <c r="N723" s="0" t="s">
        <v>1678</v>
      </c>
      <c r="O723" s="0" t="s">
        <v>238</v>
      </c>
      <c r="Q723" s="0" t="s">
        <v>141</v>
      </c>
      <c r="R723" s="0" t="s">
        <v>138</v>
      </c>
      <c r="S723" s="14">
        <v>1</v>
      </c>
      <c r="T723" s="0" t="s">
        <v>333</v>
      </c>
      <c r="U723" s="0" t="s">
        <v>138</v>
      </c>
      <c r="V723" s="14" t="s">
        <v>138</v>
      </c>
      <c r="W723" s="0" t="s">
        <v>138</v>
      </c>
      <c r="X723" s="14" t="s">
        <v>138</v>
      </c>
      <c r="Y723" s="0" t="s">
        <v>138</v>
      </c>
      <c r="Z723" s="14" t="s">
        <v>138</v>
      </c>
      <c r="AA723" s="0" t="s">
        <v>138</v>
      </c>
      <c r="AB723" s="14" t="s">
        <v>138</v>
      </c>
      <c r="AD723" s="0" t="s">
        <v>138</v>
      </c>
      <c r="AF723" s="0">
        <v>0</v>
      </c>
      <c r="AG723" s="0">
        <v>0</v>
      </c>
      <c r="AH723" s="0" t="s">
        <v>140</v>
      </c>
      <c r="AI723" s="0" t="s">
        <v>138</v>
      </c>
      <c r="AK723" s="0" t="s">
        <v>1386</v>
      </c>
      <c r="AL723" s="14"/>
      <c r="AN723" s="14"/>
      <c r="AQ723" s="0" t="s">
        <v>130</v>
      </c>
      <c r="AR723" s="0" t="s">
        <v>130</v>
      </c>
      <c r="AS723" s="0" t="s">
        <v>130</v>
      </c>
      <c r="AT723" s="0" t="s">
        <v>130</v>
      </c>
      <c r="AU723" s="0" t="s">
        <v>130</v>
      </c>
      <c r="AV723" s="0" t="s">
        <v>130</v>
      </c>
      <c r="AW723" s="0" t="s">
        <v>130</v>
      </c>
      <c r="AX723" s="0" t="s">
        <v>130</v>
      </c>
      <c r="AY723" s="0" t="s">
        <v>130</v>
      </c>
      <c r="AZ723" s="0" t="s">
        <v>130</v>
      </c>
      <c r="BA723" s="0" t="s">
        <v>130</v>
      </c>
      <c r="BB723" s="0" t="s">
        <v>130</v>
      </c>
      <c r="BC723" s="0" t="s">
        <v>130</v>
      </c>
      <c r="BD723" s="0" t="s">
        <v>130</v>
      </c>
      <c r="BE723" s="0" t="s">
        <v>130</v>
      </c>
      <c r="BF723" s="0" t="s">
        <v>130</v>
      </c>
      <c r="BG723" s="0" t="s">
        <v>130</v>
      </c>
      <c r="BH723" s="0" t="s">
        <v>130</v>
      </c>
      <c r="BI723" s="0" t="s">
        <v>130</v>
      </c>
      <c r="BJ723" s="0" t="s">
        <v>130</v>
      </c>
      <c r="BK723" s="0" t="s">
        <v>130</v>
      </c>
      <c r="BL723" s="0" t="s">
        <v>130</v>
      </c>
      <c r="BM723" s="0" t="s">
        <v>130</v>
      </c>
      <c r="BN723" s="0" t="s">
        <v>130</v>
      </c>
      <c r="BO723" s="0" t="s">
        <v>130</v>
      </c>
      <c r="BP723" s="0" t="s">
        <v>130</v>
      </c>
      <c r="BQ723" s="0" t="s">
        <v>130</v>
      </c>
      <c r="BR723" s="0" t="s">
        <v>130</v>
      </c>
      <c r="BS723" s="0" t="s">
        <v>130</v>
      </c>
      <c r="BT723" s="0" t="s">
        <v>130</v>
      </c>
      <c r="BU723" s="0" t="s">
        <v>130</v>
      </c>
      <c r="BV723" s="0" t="s">
        <v>130</v>
      </c>
      <c r="BW723" s="0" t="s">
        <v>130</v>
      </c>
      <c r="BX723" s="0" t="s">
        <v>130</v>
      </c>
      <c r="BY723" s="0" t="s">
        <v>130</v>
      </c>
      <c r="BZ723" s="0" t="s">
        <v>130</v>
      </c>
      <c r="CA723" s="0" t="s">
        <v>130</v>
      </c>
      <c r="CB723" s="0" t="s">
        <v>130</v>
      </c>
      <c r="CC723" s="0" t="s">
        <v>130</v>
      </c>
      <c r="CD723" s="0" t="s">
        <v>130</v>
      </c>
      <c r="CE723" s="0" t="s">
        <v>130</v>
      </c>
      <c r="CF723" s="0" t="s">
        <v>130</v>
      </c>
      <c r="CG723" s="0" t="s">
        <v>130</v>
      </c>
      <c r="CH723" s="0" t="s">
        <v>130</v>
      </c>
      <c r="CI723" s="0" t="s">
        <v>130</v>
      </c>
      <c r="CJ723" s="0" t="s">
        <v>130</v>
      </c>
      <c r="CK723" s="0" t="s">
        <v>130</v>
      </c>
      <c r="CL723" s="0" t="s">
        <v>130</v>
      </c>
      <c r="CM723" s="0" t="s">
        <v>130</v>
      </c>
      <c r="CN723" s="0" t="s">
        <v>130</v>
      </c>
      <c r="CO723" s="0" t="s">
        <v>130</v>
      </c>
      <c r="CP723" s="0" t="s">
        <v>130</v>
      </c>
      <c r="CQ723" s="0" t="s">
        <v>130</v>
      </c>
      <c r="CR723" s="0" t="s">
        <v>130</v>
      </c>
      <c r="CS723" s="0" t="s">
        <v>130</v>
      </c>
      <c r="CT723" s="0" t="s">
        <v>2306</v>
      </c>
    </row>
    <row r="724">
      <c r="A724" s="14">
        <v>110755</v>
      </c>
      <c r="B724" s="0" t="s">
        <v>2303</v>
      </c>
      <c r="C724" s="16">
        <f>HYPERLINK("https://eosportal.federatedhermes.com/companies/Q29tcGFueQppODYxNDM=", "Toronto-Dominion Bank/The")</f>
      </c>
      <c r="D724" s="0" t="s">
        <v>25</v>
      </c>
      <c r="E724" s="0" t="s">
        <v>912</v>
      </c>
      <c r="F724" s="16">
        <f>HYPERLINK("https://eosportal.federatedhermes.com/engagements/RW5nYWdlbWVudAppMjE5MjI=", "Executive remuneration")</f>
      </c>
      <c r="G724" s="14" t="s">
        <v>2307</v>
      </c>
      <c r="H724" s="0" t="s">
        <v>141</v>
      </c>
      <c r="I724" s="14" t="s">
        <v>191</v>
      </c>
      <c r="J724" s="0" t="s">
        <v>145</v>
      </c>
      <c r="K724" s="0" t="s">
        <v>146</v>
      </c>
      <c r="L724" s="0" t="s">
        <v>147</v>
      </c>
      <c r="M724" s="0" t="s">
        <v>135</v>
      </c>
      <c r="N724" s="0" t="s">
        <v>1678</v>
      </c>
      <c r="O724" s="0" t="s">
        <v>238</v>
      </c>
      <c r="Q724" s="0" t="s">
        <v>130</v>
      </c>
      <c r="R724" s="0" t="s">
        <v>138</v>
      </c>
      <c r="S724" s="14">
        <v>0</v>
      </c>
      <c r="T724" s="0" t="s">
        <v>288</v>
      </c>
      <c r="U724" s="0" t="s">
        <v>138</v>
      </c>
      <c r="V724" s="14" t="s">
        <v>138</v>
      </c>
      <c r="W724" s="0" t="s">
        <v>138</v>
      </c>
      <c r="X724" s="14" t="s">
        <v>138</v>
      </c>
      <c r="Y724" s="0" t="s">
        <v>138</v>
      </c>
      <c r="Z724" s="14" t="s">
        <v>138</v>
      </c>
      <c r="AA724" s="0" t="s">
        <v>138</v>
      </c>
      <c r="AB724" s="14" t="s">
        <v>138</v>
      </c>
      <c r="AD724" s="0" t="s">
        <v>138</v>
      </c>
      <c r="AF724" s="0">
        <v>0</v>
      </c>
      <c r="AG724" s="0">
        <v>0</v>
      </c>
      <c r="AH724" s="0" t="s">
        <v>140</v>
      </c>
      <c r="AI724" s="0" t="s">
        <v>138</v>
      </c>
      <c r="AL724" s="14"/>
      <c r="AN724" s="14"/>
      <c r="AQ724" s="0" t="s">
        <v>130</v>
      </c>
      <c r="AR724" s="0" t="s">
        <v>130</v>
      </c>
      <c r="AS724" s="0" t="s">
        <v>130</v>
      </c>
      <c r="AT724" s="0" t="s">
        <v>130</v>
      </c>
      <c r="AU724" s="0" t="s">
        <v>130</v>
      </c>
      <c r="AV724" s="0" t="s">
        <v>130</v>
      </c>
      <c r="AW724" s="0" t="s">
        <v>130</v>
      </c>
      <c r="AX724" s="0" t="s">
        <v>130</v>
      </c>
      <c r="AY724" s="0" t="s">
        <v>130</v>
      </c>
      <c r="AZ724" s="0" t="s">
        <v>130</v>
      </c>
      <c r="BA724" s="0" t="s">
        <v>130</v>
      </c>
      <c r="BB724" s="0" t="s">
        <v>130</v>
      </c>
      <c r="BC724" s="0" t="s">
        <v>130</v>
      </c>
      <c r="BD724" s="0" t="s">
        <v>130</v>
      </c>
      <c r="BE724" s="0" t="s">
        <v>130</v>
      </c>
      <c r="BF724" s="0" t="s">
        <v>130</v>
      </c>
      <c r="BG724" s="0" t="s">
        <v>130</v>
      </c>
      <c r="BH724" s="0" t="s">
        <v>130</v>
      </c>
      <c r="BI724" s="0" t="s">
        <v>130</v>
      </c>
      <c r="BJ724" s="0" t="s">
        <v>130</v>
      </c>
      <c r="BK724" s="0" t="s">
        <v>130</v>
      </c>
      <c r="BL724" s="0" t="s">
        <v>130</v>
      </c>
      <c r="BM724" s="0" t="s">
        <v>130</v>
      </c>
      <c r="BN724" s="0" t="s">
        <v>130</v>
      </c>
      <c r="BO724" s="0" t="s">
        <v>130</v>
      </c>
      <c r="BP724" s="0" t="s">
        <v>130</v>
      </c>
      <c r="BQ724" s="0" t="s">
        <v>130</v>
      </c>
      <c r="BR724" s="0" t="s">
        <v>130</v>
      </c>
      <c r="BS724" s="0" t="s">
        <v>130</v>
      </c>
      <c r="BT724" s="0" t="s">
        <v>130</v>
      </c>
      <c r="BU724" s="0" t="s">
        <v>130</v>
      </c>
      <c r="BV724" s="0" t="s">
        <v>130</v>
      </c>
      <c r="BW724" s="0" t="s">
        <v>130</v>
      </c>
      <c r="BX724" s="0" t="s">
        <v>130</v>
      </c>
      <c r="BY724" s="0" t="s">
        <v>130</v>
      </c>
      <c r="BZ724" s="0" t="s">
        <v>130</v>
      </c>
      <c r="CA724" s="0" t="s">
        <v>130</v>
      </c>
      <c r="CB724" s="0" t="s">
        <v>130</v>
      </c>
      <c r="CC724" s="0" t="s">
        <v>130</v>
      </c>
      <c r="CD724" s="0" t="s">
        <v>130</v>
      </c>
      <c r="CE724" s="0" t="s">
        <v>130</v>
      </c>
      <c r="CF724" s="0" t="s">
        <v>130</v>
      </c>
      <c r="CG724" s="0" t="s">
        <v>130</v>
      </c>
      <c r="CH724" s="0" t="s">
        <v>130</v>
      </c>
      <c r="CI724" s="0" t="s">
        <v>130</v>
      </c>
      <c r="CJ724" s="0" t="s">
        <v>130</v>
      </c>
      <c r="CK724" s="0" t="s">
        <v>130</v>
      </c>
      <c r="CL724" s="0" t="s">
        <v>130</v>
      </c>
      <c r="CM724" s="0" t="s">
        <v>130</v>
      </c>
      <c r="CN724" s="0" t="s">
        <v>130</v>
      </c>
      <c r="CO724" s="0" t="s">
        <v>130</v>
      </c>
      <c r="CP724" s="0" t="s">
        <v>130</v>
      </c>
      <c r="CQ724" s="0" t="s">
        <v>130</v>
      </c>
      <c r="CR724" s="0" t="s">
        <v>130</v>
      </c>
      <c r="CS724" s="0" t="s">
        <v>130</v>
      </c>
      <c r="CT724" s="0" t="s">
        <v>2308</v>
      </c>
    </row>
    <row r="725">
      <c r="A725" s="14">
        <v>110755</v>
      </c>
      <c r="B725" s="0" t="s">
        <v>2303</v>
      </c>
      <c r="C725" s="16">
        <f>HYPERLINK("https://eosportal.federatedhermes.com/companies/Q29tcGFueQppODYxNDM=", "Toronto-Dominion Bank/The")</f>
      </c>
      <c r="D725" s="0" t="s">
        <v>25</v>
      </c>
      <c r="E725" s="0" t="s">
        <v>1421</v>
      </c>
      <c r="F725" s="16">
        <f>HYPERLINK("https://eosportal.federatedhermes.com/engagements/RW5nYWdlbWVudAppMjE5MjM=", "Dakota Access Pipeline")</f>
      </c>
      <c r="G725" s="14" t="s">
        <v>2309</v>
      </c>
      <c r="H725" s="0" t="s">
        <v>141</v>
      </c>
      <c r="I725" s="14" t="s">
        <v>191</v>
      </c>
      <c r="J725" s="0" t="s">
        <v>153</v>
      </c>
      <c r="K725" s="0" t="s">
        <v>243</v>
      </c>
      <c r="L725" s="0" t="s">
        <v>571</v>
      </c>
      <c r="M725" s="0" t="s">
        <v>135</v>
      </c>
      <c r="N725" s="0" t="s">
        <v>1678</v>
      </c>
      <c r="O725" s="0" t="s">
        <v>238</v>
      </c>
      <c r="Q725" s="0" t="s">
        <v>130</v>
      </c>
      <c r="R725" s="0" t="s">
        <v>138</v>
      </c>
      <c r="S725" s="14">
        <v>0</v>
      </c>
      <c r="T725" s="0" t="s">
        <v>303</v>
      </c>
      <c r="U725" s="0" t="s">
        <v>138</v>
      </c>
      <c r="V725" s="14" t="s">
        <v>138</v>
      </c>
      <c r="W725" s="0" t="s">
        <v>138</v>
      </c>
      <c r="X725" s="14" t="s">
        <v>138</v>
      </c>
      <c r="Y725" s="0" t="s">
        <v>138</v>
      </c>
      <c r="Z725" s="14" t="s">
        <v>138</v>
      </c>
      <c r="AA725" s="0" t="s">
        <v>138</v>
      </c>
      <c r="AB725" s="14" t="s">
        <v>138</v>
      </c>
      <c r="AD725" s="0" t="s">
        <v>138</v>
      </c>
      <c r="AF725" s="0">
        <v>0</v>
      </c>
      <c r="AG725" s="0">
        <v>0</v>
      </c>
      <c r="AH725" s="0" t="s">
        <v>140</v>
      </c>
      <c r="AI725" s="0" t="s">
        <v>138</v>
      </c>
      <c r="AL725" s="14"/>
      <c r="AN725" s="14"/>
      <c r="AQ725" s="0" t="s">
        <v>130</v>
      </c>
      <c r="AR725" s="0" t="s">
        <v>130</v>
      </c>
      <c r="AS725" s="0" t="s">
        <v>130</v>
      </c>
      <c r="AT725" s="0" t="s">
        <v>130</v>
      </c>
      <c r="AU725" s="0" t="s">
        <v>130</v>
      </c>
      <c r="AV725" s="0" t="s">
        <v>130</v>
      </c>
      <c r="AW725" s="0" t="s">
        <v>130</v>
      </c>
      <c r="AX725" s="0" t="s">
        <v>130</v>
      </c>
      <c r="AY725" s="0" t="s">
        <v>130</v>
      </c>
      <c r="AZ725" s="0" t="s">
        <v>130</v>
      </c>
      <c r="BA725" s="0" t="s">
        <v>130</v>
      </c>
      <c r="BB725" s="0" t="s">
        <v>130</v>
      </c>
      <c r="BC725" s="0" t="s">
        <v>130</v>
      </c>
      <c r="BD725" s="0" t="s">
        <v>130</v>
      </c>
      <c r="BE725" s="0" t="s">
        <v>130</v>
      </c>
      <c r="BF725" s="0" t="s">
        <v>130</v>
      </c>
      <c r="BG725" s="0" t="s">
        <v>130</v>
      </c>
      <c r="BH725" s="0" t="s">
        <v>130</v>
      </c>
      <c r="BI725" s="0" t="s">
        <v>130</v>
      </c>
      <c r="BJ725" s="0" t="s">
        <v>130</v>
      </c>
      <c r="BK725" s="0" t="s">
        <v>130</v>
      </c>
      <c r="BL725" s="0" t="s">
        <v>130</v>
      </c>
      <c r="BM725" s="0" t="s">
        <v>130</v>
      </c>
      <c r="BN725" s="0" t="s">
        <v>130</v>
      </c>
      <c r="BO725" s="0" t="s">
        <v>130</v>
      </c>
      <c r="BP725" s="0" t="s">
        <v>130</v>
      </c>
      <c r="BQ725" s="0" t="s">
        <v>130</v>
      </c>
      <c r="BR725" s="0" t="s">
        <v>130</v>
      </c>
      <c r="BS725" s="0" t="s">
        <v>130</v>
      </c>
      <c r="BT725" s="0" t="s">
        <v>130</v>
      </c>
      <c r="BU725" s="0" t="s">
        <v>130</v>
      </c>
      <c r="BV725" s="0" t="s">
        <v>130</v>
      </c>
      <c r="BW725" s="0" t="s">
        <v>130</v>
      </c>
      <c r="BX725" s="0" t="s">
        <v>130</v>
      </c>
      <c r="BY725" s="0" t="s">
        <v>130</v>
      </c>
      <c r="BZ725" s="0" t="s">
        <v>130</v>
      </c>
      <c r="CA725" s="0" t="s">
        <v>130</v>
      </c>
      <c r="CB725" s="0" t="s">
        <v>130</v>
      </c>
      <c r="CC725" s="0" t="s">
        <v>130</v>
      </c>
      <c r="CD725" s="0" t="s">
        <v>130</v>
      </c>
      <c r="CE725" s="0" t="s">
        <v>130</v>
      </c>
      <c r="CF725" s="0" t="s">
        <v>130</v>
      </c>
      <c r="CG725" s="0" t="s">
        <v>130</v>
      </c>
      <c r="CH725" s="0" t="s">
        <v>130</v>
      </c>
      <c r="CI725" s="0" t="s">
        <v>130</v>
      </c>
      <c r="CJ725" s="0" t="s">
        <v>130</v>
      </c>
      <c r="CK725" s="0" t="s">
        <v>130</v>
      </c>
      <c r="CL725" s="0" t="s">
        <v>130</v>
      </c>
      <c r="CM725" s="0" t="s">
        <v>130</v>
      </c>
      <c r="CN725" s="0" t="s">
        <v>130</v>
      </c>
      <c r="CO725" s="0" t="s">
        <v>130</v>
      </c>
      <c r="CP725" s="0" t="s">
        <v>130</v>
      </c>
      <c r="CQ725" s="0" t="s">
        <v>130</v>
      </c>
      <c r="CR725" s="0" t="s">
        <v>130</v>
      </c>
      <c r="CS725" s="0" t="s">
        <v>130</v>
      </c>
      <c r="CT725" s="0" t="s">
        <v>2310</v>
      </c>
    </row>
    <row r="726">
      <c r="A726" s="14">
        <v>110755</v>
      </c>
      <c r="B726" s="0" t="s">
        <v>2303</v>
      </c>
      <c r="C726" s="16">
        <f>HYPERLINK("https://eosportal.federatedhermes.com/companies/Q29tcGFueQppODYxNDM=", "Toronto-Dominion Bank/The")</f>
      </c>
      <c r="D726" s="0" t="s">
        <v>25</v>
      </c>
      <c r="E726" s="0" t="s">
        <v>2211</v>
      </c>
      <c r="F726" s="16">
        <f>HYPERLINK("https://eosportal.federatedhermes.com/engagements/RW5nYWdlbWVudAppMjE5MjU=", "Climate change - TCFD")</f>
      </c>
      <c r="G726" s="14" t="s">
        <v>2212</v>
      </c>
      <c r="H726" s="0" t="s">
        <v>141</v>
      </c>
      <c r="I726" s="14" t="s">
        <v>191</v>
      </c>
      <c r="J726" s="0" t="s">
        <v>197</v>
      </c>
      <c r="K726" s="0" t="s">
        <v>198</v>
      </c>
      <c r="L726" s="0" t="s">
        <v>199</v>
      </c>
      <c r="M726" s="0" t="s">
        <v>135</v>
      </c>
      <c r="N726" s="0" t="s">
        <v>1678</v>
      </c>
      <c r="O726" s="0" t="s">
        <v>238</v>
      </c>
      <c r="Q726" s="0" t="s">
        <v>130</v>
      </c>
      <c r="R726" s="0" t="s">
        <v>138</v>
      </c>
      <c r="S726" s="14">
        <v>0</v>
      </c>
      <c r="T726" s="0" t="s">
        <v>333</v>
      </c>
      <c r="U726" s="0" t="s">
        <v>138</v>
      </c>
      <c r="V726" s="14" t="s">
        <v>138</v>
      </c>
      <c r="W726" s="0" t="s">
        <v>138</v>
      </c>
      <c r="X726" s="14" t="s">
        <v>138</v>
      </c>
      <c r="Y726" s="0" t="s">
        <v>138</v>
      </c>
      <c r="Z726" s="14" t="s">
        <v>138</v>
      </c>
      <c r="AA726" s="0" t="s">
        <v>138</v>
      </c>
      <c r="AB726" s="14" t="s">
        <v>138</v>
      </c>
      <c r="AD726" s="0" t="s">
        <v>138</v>
      </c>
      <c r="AF726" s="0">
        <v>0</v>
      </c>
      <c r="AG726" s="0">
        <v>0</v>
      </c>
      <c r="AH726" s="0" t="s">
        <v>140</v>
      </c>
      <c r="AI726" s="0" t="s">
        <v>138</v>
      </c>
      <c r="AL726" s="14"/>
      <c r="AN726" s="14"/>
      <c r="AQ726" s="0" t="s">
        <v>130</v>
      </c>
      <c r="AR726" s="0" t="s">
        <v>130</v>
      </c>
      <c r="AS726" s="0" t="s">
        <v>130</v>
      </c>
      <c r="AT726" s="0" t="s">
        <v>130</v>
      </c>
      <c r="AU726" s="0" t="s">
        <v>130</v>
      </c>
      <c r="AV726" s="0" t="s">
        <v>130</v>
      </c>
      <c r="AW726" s="0" t="s">
        <v>130</v>
      </c>
      <c r="AX726" s="0" t="s">
        <v>130</v>
      </c>
      <c r="AY726" s="0" t="s">
        <v>130</v>
      </c>
      <c r="AZ726" s="0" t="s">
        <v>130</v>
      </c>
      <c r="BA726" s="0" t="s">
        <v>130</v>
      </c>
      <c r="BB726" s="0" t="s">
        <v>141</v>
      </c>
      <c r="BC726" s="0" t="s">
        <v>130</v>
      </c>
      <c r="BD726" s="0" t="s">
        <v>130</v>
      </c>
      <c r="BE726" s="0" t="s">
        <v>130</v>
      </c>
      <c r="BF726" s="0" t="s">
        <v>130</v>
      </c>
      <c r="BG726" s="0" t="s">
        <v>130</v>
      </c>
      <c r="BH726" s="0" t="s">
        <v>130</v>
      </c>
      <c r="BI726" s="0" t="s">
        <v>130</v>
      </c>
      <c r="BJ726" s="0" t="s">
        <v>130</v>
      </c>
      <c r="BK726" s="0" t="s">
        <v>130</v>
      </c>
      <c r="BL726" s="0" t="s">
        <v>130</v>
      </c>
      <c r="BM726" s="0" t="s">
        <v>130</v>
      </c>
      <c r="BN726" s="0" t="s">
        <v>130</v>
      </c>
      <c r="BO726" s="0" t="s">
        <v>130</v>
      </c>
      <c r="BP726" s="0" t="s">
        <v>130</v>
      </c>
      <c r="BQ726" s="0" t="s">
        <v>130</v>
      </c>
      <c r="BR726" s="0" t="s">
        <v>130</v>
      </c>
      <c r="BS726" s="0" t="s">
        <v>130</v>
      </c>
      <c r="BT726" s="0" t="s">
        <v>130</v>
      </c>
      <c r="BU726" s="0" t="s">
        <v>130</v>
      </c>
      <c r="BV726" s="0" t="s">
        <v>130</v>
      </c>
      <c r="BW726" s="0" t="s">
        <v>130</v>
      </c>
      <c r="BX726" s="0" t="s">
        <v>130</v>
      </c>
      <c r="BY726" s="0" t="s">
        <v>130</v>
      </c>
      <c r="BZ726" s="0" t="s">
        <v>130</v>
      </c>
      <c r="CA726" s="0" t="s">
        <v>130</v>
      </c>
      <c r="CB726" s="0" t="s">
        <v>130</v>
      </c>
      <c r="CC726" s="0" t="s">
        <v>130</v>
      </c>
      <c r="CD726" s="0" t="s">
        <v>130</v>
      </c>
      <c r="CE726" s="0" t="s">
        <v>130</v>
      </c>
      <c r="CF726" s="0" t="s">
        <v>130</v>
      </c>
      <c r="CG726" s="0" t="s">
        <v>130</v>
      </c>
      <c r="CH726" s="0" t="s">
        <v>130</v>
      </c>
      <c r="CI726" s="0" t="s">
        <v>130</v>
      </c>
      <c r="CJ726" s="0" t="s">
        <v>130</v>
      </c>
      <c r="CK726" s="0" t="s">
        <v>130</v>
      </c>
      <c r="CL726" s="0" t="s">
        <v>130</v>
      </c>
      <c r="CM726" s="0" t="s">
        <v>130</v>
      </c>
      <c r="CN726" s="0" t="s">
        <v>130</v>
      </c>
      <c r="CO726" s="0" t="s">
        <v>130</v>
      </c>
      <c r="CP726" s="0" t="s">
        <v>130</v>
      </c>
      <c r="CQ726" s="0" t="s">
        <v>130</v>
      </c>
      <c r="CR726" s="0" t="s">
        <v>130</v>
      </c>
      <c r="CS726" s="0" t="s">
        <v>130</v>
      </c>
      <c r="CT726" s="0" t="s">
        <v>2311</v>
      </c>
    </row>
    <row r="727">
      <c r="A727" s="14">
        <v>110755</v>
      </c>
      <c r="B727" s="0" t="s">
        <v>2303</v>
      </c>
      <c r="C727" s="16">
        <f>HYPERLINK("https://eosportal.federatedhermes.com/companies/Q29tcGFueQppODYxNDM=", "Toronto-Dominion Bank/The")</f>
      </c>
      <c r="D727" s="0" t="s">
        <v>25</v>
      </c>
      <c r="E727" s="0" t="s">
        <v>709</v>
      </c>
      <c r="F727" s="16">
        <f>HYPERLINK("https://eosportal.federatedhermes.com/engagements/RW5nYWdlbWVudAppMjE5MjY=", "Proxy access")</f>
      </c>
      <c r="G727" s="14" t="s">
        <v>2312</v>
      </c>
      <c r="H727" s="0" t="s">
        <v>141</v>
      </c>
      <c r="I727" s="14" t="s">
        <v>191</v>
      </c>
      <c r="J727" s="0" t="s">
        <v>145</v>
      </c>
      <c r="K727" s="0" t="s">
        <v>400</v>
      </c>
      <c r="L727" s="0" t="s">
        <v>507</v>
      </c>
      <c r="M727" s="0" t="s">
        <v>135</v>
      </c>
      <c r="N727" s="0" t="s">
        <v>1678</v>
      </c>
      <c r="O727" s="0" t="s">
        <v>238</v>
      </c>
      <c r="Q727" s="0" t="s">
        <v>130</v>
      </c>
      <c r="R727" s="0" t="s">
        <v>138</v>
      </c>
      <c r="S727" s="14">
        <v>0</v>
      </c>
      <c r="T727" s="0" t="s">
        <v>457</v>
      </c>
      <c r="U727" s="0" t="s">
        <v>138</v>
      </c>
      <c r="V727" s="14" t="s">
        <v>138</v>
      </c>
      <c r="W727" s="0" t="s">
        <v>138</v>
      </c>
      <c r="X727" s="14" t="s">
        <v>138</v>
      </c>
      <c r="Y727" s="0" t="s">
        <v>138</v>
      </c>
      <c r="Z727" s="14" t="s">
        <v>138</v>
      </c>
      <c r="AA727" s="0" t="s">
        <v>138</v>
      </c>
      <c r="AB727" s="14" t="s">
        <v>138</v>
      </c>
      <c r="AD727" s="0" t="s">
        <v>138</v>
      </c>
      <c r="AF727" s="0">
        <v>0</v>
      </c>
      <c r="AG727" s="0">
        <v>0</v>
      </c>
      <c r="AH727" s="0" t="s">
        <v>140</v>
      </c>
      <c r="AI727" s="0" t="s">
        <v>138</v>
      </c>
      <c r="AL727" s="14"/>
      <c r="AN727" s="14"/>
      <c r="AQ727" s="0" t="s">
        <v>130</v>
      </c>
      <c r="AR727" s="0" t="s">
        <v>130</v>
      </c>
      <c r="AS727" s="0" t="s">
        <v>130</v>
      </c>
      <c r="AT727" s="0" t="s">
        <v>130</v>
      </c>
      <c r="AU727" s="0" t="s">
        <v>130</v>
      </c>
      <c r="AV727" s="0" t="s">
        <v>130</v>
      </c>
      <c r="AW727" s="0" t="s">
        <v>130</v>
      </c>
      <c r="AX727" s="0" t="s">
        <v>130</v>
      </c>
      <c r="AY727" s="0" t="s">
        <v>130</v>
      </c>
      <c r="AZ727" s="0" t="s">
        <v>130</v>
      </c>
      <c r="BA727" s="0" t="s">
        <v>130</v>
      </c>
      <c r="BB727" s="0" t="s">
        <v>130</v>
      </c>
      <c r="BC727" s="0" t="s">
        <v>130</v>
      </c>
      <c r="BD727" s="0" t="s">
        <v>130</v>
      </c>
      <c r="BE727" s="0" t="s">
        <v>130</v>
      </c>
      <c r="BF727" s="0" t="s">
        <v>130</v>
      </c>
      <c r="BG727" s="0" t="s">
        <v>130</v>
      </c>
      <c r="BH727" s="0" t="s">
        <v>130</v>
      </c>
      <c r="BI727" s="0" t="s">
        <v>130</v>
      </c>
      <c r="BJ727" s="0" t="s">
        <v>130</v>
      </c>
      <c r="BK727" s="0" t="s">
        <v>130</v>
      </c>
      <c r="BL727" s="0" t="s">
        <v>130</v>
      </c>
      <c r="BM727" s="0" t="s">
        <v>130</v>
      </c>
      <c r="BN727" s="0" t="s">
        <v>130</v>
      </c>
      <c r="BO727" s="0" t="s">
        <v>130</v>
      </c>
      <c r="BP727" s="0" t="s">
        <v>130</v>
      </c>
      <c r="BQ727" s="0" t="s">
        <v>130</v>
      </c>
      <c r="BR727" s="0" t="s">
        <v>130</v>
      </c>
      <c r="BS727" s="0" t="s">
        <v>130</v>
      </c>
      <c r="BT727" s="0" t="s">
        <v>130</v>
      </c>
      <c r="BU727" s="0" t="s">
        <v>130</v>
      </c>
      <c r="BV727" s="0" t="s">
        <v>130</v>
      </c>
      <c r="BW727" s="0" t="s">
        <v>130</v>
      </c>
      <c r="BX727" s="0" t="s">
        <v>130</v>
      </c>
      <c r="BY727" s="0" t="s">
        <v>130</v>
      </c>
      <c r="BZ727" s="0" t="s">
        <v>130</v>
      </c>
      <c r="CA727" s="0" t="s">
        <v>130</v>
      </c>
      <c r="CB727" s="0" t="s">
        <v>130</v>
      </c>
      <c r="CC727" s="0" t="s">
        <v>130</v>
      </c>
      <c r="CD727" s="0" t="s">
        <v>130</v>
      </c>
      <c r="CE727" s="0" t="s">
        <v>130</v>
      </c>
      <c r="CF727" s="0" t="s">
        <v>130</v>
      </c>
      <c r="CG727" s="0" t="s">
        <v>130</v>
      </c>
      <c r="CH727" s="0" t="s">
        <v>130</v>
      </c>
      <c r="CI727" s="0" t="s">
        <v>130</v>
      </c>
      <c r="CJ727" s="0" t="s">
        <v>130</v>
      </c>
      <c r="CK727" s="0" t="s">
        <v>130</v>
      </c>
      <c r="CL727" s="0" t="s">
        <v>130</v>
      </c>
      <c r="CM727" s="0" t="s">
        <v>130</v>
      </c>
      <c r="CN727" s="0" t="s">
        <v>130</v>
      </c>
      <c r="CO727" s="0" t="s">
        <v>130</v>
      </c>
      <c r="CP727" s="0" t="s">
        <v>130</v>
      </c>
      <c r="CQ727" s="0" t="s">
        <v>130</v>
      </c>
      <c r="CR727" s="0" t="s">
        <v>130</v>
      </c>
      <c r="CS727" s="0" t="s">
        <v>130</v>
      </c>
      <c r="CT727" s="0" t="s">
        <v>2313</v>
      </c>
    </row>
    <row r="728">
      <c r="A728" s="14">
        <v>110755</v>
      </c>
      <c r="B728" s="0" t="s">
        <v>2303</v>
      </c>
      <c r="C728" s="16">
        <f>HYPERLINK("https://eosportal.federatedhermes.com/companies/Q29tcGFueQppODYxNDM=", "Toronto-Dominion Bank/The")</f>
      </c>
      <c r="D728" s="0" t="s">
        <v>23</v>
      </c>
      <c r="E728" s="0" t="s">
        <v>228</v>
      </c>
      <c r="F728" s="16">
        <f>HYPERLINK("https://eosportal.federatedhermes.com/engagements/RW5nYWdlbWVudAppMjE5Mjk=", "Climate strategy")</f>
      </c>
      <c r="G728" s="14" t="s">
        <v>2314</v>
      </c>
      <c r="H728" s="0" t="s">
        <v>141</v>
      </c>
      <c r="I728" s="14" t="s">
        <v>191</v>
      </c>
      <c r="J728" s="0" t="s">
        <v>197</v>
      </c>
      <c r="K728" s="0" t="s">
        <v>198</v>
      </c>
      <c r="L728" s="0" t="s">
        <v>220</v>
      </c>
      <c r="M728" s="0" t="s">
        <v>135</v>
      </c>
      <c r="N728" s="0" t="s">
        <v>1678</v>
      </c>
      <c r="O728" s="0" t="s">
        <v>238</v>
      </c>
      <c r="Q728" s="0" t="s">
        <v>130</v>
      </c>
      <c r="R728" s="0" t="s">
        <v>141</v>
      </c>
      <c r="S728" s="14">
        <v>0</v>
      </c>
      <c r="T728" s="0" t="s">
        <v>139</v>
      </c>
      <c r="U728" s="0" t="s">
        <v>221</v>
      </c>
      <c r="V728" s="14" t="s">
        <v>139</v>
      </c>
      <c r="W728" s="0" t="s">
        <v>221</v>
      </c>
      <c r="X728" s="14" t="s">
        <v>355</v>
      </c>
      <c r="Y728" s="0" t="s">
        <v>221</v>
      </c>
      <c r="Z728" s="14" t="s">
        <v>361</v>
      </c>
      <c r="AA728" s="0" t="s">
        <v>223</v>
      </c>
      <c r="AB728" s="14" t="s">
        <v>138</v>
      </c>
      <c r="AC728" s="0" t="s">
        <v>17</v>
      </c>
      <c r="AD728" s="0" t="s">
        <v>20</v>
      </c>
      <c r="AE728" s="0" t="s">
        <v>2266</v>
      </c>
      <c r="AF728" s="0">
        <v>1</v>
      </c>
      <c r="AG728" s="0">
        <v>0</v>
      </c>
      <c r="AH728" s="0" t="s">
        <v>140</v>
      </c>
      <c r="AI728" s="0" t="s">
        <v>232</v>
      </c>
      <c r="AL728" s="14"/>
      <c r="AN728" s="14"/>
      <c r="AQ728" s="0" t="s">
        <v>130</v>
      </c>
      <c r="AR728" s="0" t="s">
        <v>130</v>
      </c>
      <c r="AS728" s="0" t="s">
        <v>130</v>
      </c>
      <c r="AT728" s="0" t="s">
        <v>130</v>
      </c>
      <c r="AU728" s="0" t="s">
        <v>130</v>
      </c>
      <c r="AV728" s="0" t="s">
        <v>130</v>
      </c>
      <c r="AW728" s="0" t="s">
        <v>141</v>
      </c>
      <c r="AX728" s="0" t="s">
        <v>130</v>
      </c>
      <c r="AY728" s="0" t="s">
        <v>141</v>
      </c>
      <c r="AZ728" s="0" t="s">
        <v>130</v>
      </c>
      <c r="BA728" s="0" t="s">
        <v>130</v>
      </c>
      <c r="BB728" s="0" t="s">
        <v>130</v>
      </c>
      <c r="BC728" s="0" t="s">
        <v>141</v>
      </c>
      <c r="BD728" s="0" t="s">
        <v>130</v>
      </c>
      <c r="BE728" s="0" t="s">
        <v>130</v>
      </c>
      <c r="BF728" s="0" t="s">
        <v>130</v>
      </c>
      <c r="BG728" s="0" t="s">
        <v>130</v>
      </c>
      <c r="BH728" s="0" t="s">
        <v>141</v>
      </c>
      <c r="BI728" s="0" t="s">
        <v>141</v>
      </c>
      <c r="BJ728" s="0" t="s">
        <v>141</v>
      </c>
      <c r="BK728" s="0" t="s">
        <v>130</v>
      </c>
      <c r="BL728" s="0" t="s">
        <v>130</v>
      </c>
      <c r="BM728" s="0" t="s">
        <v>130</v>
      </c>
      <c r="BN728" s="0" t="s">
        <v>130</v>
      </c>
      <c r="BO728" s="0" t="s">
        <v>130</v>
      </c>
      <c r="BP728" s="0" t="s">
        <v>130</v>
      </c>
      <c r="BQ728" s="0" t="s">
        <v>130</v>
      </c>
      <c r="BR728" s="0" t="s">
        <v>130</v>
      </c>
      <c r="BS728" s="0" t="s">
        <v>130</v>
      </c>
      <c r="BT728" s="0" t="s">
        <v>130</v>
      </c>
      <c r="BU728" s="0" t="s">
        <v>130</v>
      </c>
      <c r="BV728" s="0" t="s">
        <v>141</v>
      </c>
      <c r="BW728" s="0" t="s">
        <v>141</v>
      </c>
      <c r="BX728" s="0" t="s">
        <v>130</v>
      </c>
      <c r="BY728" s="0" t="s">
        <v>130</v>
      </c>
      <c r="BZ728" s="0" t="s">
        <v>130</v>
      </c>
      <c r="CA728" s="0" t="s">
        <v>130</v>
      </c>
      <c r="CB728" s="0" t="s">
        <v>130</v>
      </c>
      <c r="CC728" s="0" t="s">
        <v>130</v>
      </c>
      <c r="CD728" s="0" t="s">
        <v>130</v>
      </c>
      <c r="CE728" s="0" t="s">
        <v>130</v>
      </c>
      <c r="CF728" s="0" t="s">
        <v>130</v>
      </c>
      <c r="CG728" s="0" t="s">
        <v>130</v>
      </c>
      <c r="CH728" s="0" t="s">
        <v>130</v>
      </c>
      <c r="CI728" s="0" t="s">
        <v>130</v>
      </c>
      <c r="CJ728" s="0" t="s">
        <v>130</v>
      </c>
      <c r="CK728" s="0" t="s">
        <v>130</v>
      </c>
      <c r="CL728" s="0" t="s">
        <v>130</v>
      </c>
      <c r="CM728" s="0" t="s">
        <v>130</v>
      </c>
      <c r="CN728" s="0" t="s">
        <v>130</v>
      </c>
      <c r="CO728" s="0" t="s">
        <v>130</v>
      </c>
      <c r="CP728" s="0" t="s">
        <v>130</v>
      </c>
      <c r="CQ728" s="0" t="s">
        <v>130</v>
      </c>
      <c r="CR728" s="0" t="s">
        <v>130</v>
      </c>
      <c r="CS728" s="0" t="s">
        <v>130</v>
      </c>
      <c r="CT728" s="0" t="s">
        <v>2315</v>
      </c>
    </row>
    <row r="729">
      <c r="A729" s="14">
        <v>110755</v>
      </c>
      <c r="B729" s="0" t="s">
        <v>2303</v>
      </c>
      <c r="C729" s="16">
        <f>HYPERLINK("https://eosportal.federatedhermes.com/companies/Q29tcGFueQppODYxNDM=", "Toronto-Dominion Bank/The")</f>
      </c>
      <c r="D729" s="0" t="s">
        <v>23</v>
      </c>
      <c r="E729" s="0" t="s">
        <v>2316</v>
      </c>
      <c r="F729" s="16">
        <f>HYPERLINK("https://eosportal.federatedhermes.com/engagements/RW5nYWdlbWVudAppMjE5MzA=", "Progress report")</f>
      </c>
      <c r="G729" s="14" t="s">
        <v>2317</v>
      </c>
      <c r="H729" s="0" t="s">
        <v>141</v>
      </c>
      <c r="I729" s="14" t="s">
        <v>191</v>
      </c>
      <c r="J729" s="0" t="s">
        <v>197</v>
      </c>
      <c r="K729" s="0" t="s">
        <v>198</v>
      </c>
      <c r="L729" s="0" t="s">
        <v>220</v>
      </c>
      <c r="M729" s="0" t="s">
        <v>135</v>
      </c>
      <c r="N729" s="0" t="s">
        <v>1678</v>
      </c>
      <c r="O729" s="0" t="s">
        <v>238</v>
      </c>
      <c r="Q729" s="0" t="s">
        <v>130</v>
      </c>
      <c r="R729" s="0" t="s">
        <v>141</v>
      </c>
      <c r="S729" s="14">
        <v>0</v>
      </c>
      <c r="T729" s="0" t="s">
        <v>139</v>
      </c>
      <c r="U729" s="0" t="s">
        <v>221</v>
      </c>
      <c r="V729" s="14" t="s">
        <v>139</v>
      </c>
      <c r="W729" s="0" t="s">
        <v>221</v>
      </c>
      <c r="X729" s="14" t="s">
        <v>355</v>
      </c>
      <c r="Y729" s="0" t="s">
        <v>221</v>
      </c>
      <c r="Z729" s="14" t="s">
        <v>361</v>
      </c>
      <c r="AA729" s="0" t="s">
        <v>223</v>
      </c>
      <c r="AB729" s="14" t="s">
        <v>138</v>
      </c>
      <c r="AC729" s="0" t="s">
        <v>17</v>
      </c>
      <c r="AD729" s="0" t="s">
        <v>20</v>
      </c>
      <c r="AE729" s="0" t="s">
        <v>2266</v>
      </c>
      <c r="AF729" s="0">
        <v>1</v>
      </c>
      <c r="AG729" s="0">
        <v>0</v>
      </c>
      <c r="AH729" s="0" t="s">
        <v>140</v>
      </c>
      <c r="AI729" s="0" t="s">
        <v>232</v>
      </c>
      <c r="AL729" s="14"/>
      <c r="AN729" s="14"/>
      <c r="AQ729" s="0" t="s">
        <v>130</v>
      </c>
      <c r="AR729" s="0" t="s">
        <v>130</v>
      </c>
      <c r="AS729" s="0" t="s">
        <v>130</v>
      </c>
      <c r="AT729" s="0" t="s">
        <v>130</v>
      </c>
      <c r="AU729" s="0" t="s">
        <v>130</v>
      </c>
      <c r="AV729" s="0" t="s">
        <v>130</v>
      </c>
      <c r="AW729" s="0" t="s">
        <v>141</v>
      </c>
      <c r="AX729" s="0" t="s">
        <v>130</v>
      </c>
      <c r="AY729" s="0" t="s">
        <v>141</v>
      </c>
      <c r="AZ729" s="0" t="s">
        <v>130</v>
      </c>
      <c r="BA729" s="0" t="s">
        <v>130</v>
      </c>
      <c r="BB729" s="0" t="s">
        <v>130</v>
      </c>
      <c r="BC729" s="0" t="s">
        <v>141</v>
      </c>
      <c r="BD729" s="0" t="s">
        <v>130</v>
      </c>
      <c r="BE729" s="0" t="s">
        <v>130</v>
      </c>
      <c r="BF729" s="0" t="s">
        <v>130</v>
      </c>
      <c r="BG729" s="0" t="s">
        <v>130</v>
      </c>
      <c r="BH729" s="0" t="s">
        <v>141</v>
      </c>
      <c r="BI729" s="0" t="s">
        <v>141</v>
      </c>
      <c r="BJ729" s="0" t="s">
        <v>141</v>
      </c>
      <c r="BK729" s="0" t="s">
        <v>130</v>
      </c>
      <c r="BL729" s="0" t="s">
        <v>130</v>
      </c>
      <c r="BM729" s="0" t="s">
        <v>130</v>
      </c>
      <c r="BN729" s="0" t="s">
        <v>130</v>
      </c>
      <c r="BO729" s="0" t="s">
        <v>130</v>
      </c>
      <c r="BP729" s="0" t="s">
        <v>130</v>
      </c>
      <c r="BQ729" s="0" t="s">
        <v>130</v>
      </c>
      <c r="BR729" s="0" t="s">
        <v>130</v>
      </c>
      <c r="BS729" s="0" t="s">
        <v>130</v>
      </c>
      <c r="BT729" s="0" t="s">
        <v>130</v>
      </c>
      <c r="BU729" s="0" t="s">
        <v>130</v>
      </c>
      <c r="BV729" s="0" t="s">
        <v>141</v>
      </c>
      <c r="BW729" s="0" t="s">
        <v>141</v>
      </c>
      <c r="BX729" s="0" t="s">
        <v>130</v>
      </c>
      <c r="BY729" s="0" t="s">
        <v>130</v>
      </c>
      <c r="BZ729" s="0" t="s">
        <v>130</v>
      </c>
      <c r="CA729" s="0" t="s">
        <v>130</v>
      </c>
      <c r="CB729" s="0" t="s">
        <v>130</v>
      </c>
      <c r="CC729" s="0" t="s">
        <v>130</v>
      </c>
      <c r="CD729" s="0" t="s">
        <v>130</v>
      </c>
      <c r="CE729" s="0" t="s">
        <v>130</v>
      </c>
      <c r="CF729" s="0" t="s">
        <v>130</v>
      </c>
      <c r="CG729" s="0" t="s">
        <v>130</v>
      </c>
      <c r="CH729" s="0" t="s">
        <v>130</v>
      </c>
      <c r="CI729" s="0" t="s">
        <v>130</v>
      </c>
      <c r="CJ729" s="0" t="s">
        <v>130</v>
      </c>
      <c r="CK729" s="0" t="s">
        <v>130</v>
      </c>
      <c r="CL729" s="0" t="s">
        <v>130</v>
      </c>
      <c r="CM729" s="0" t="s">
        <v>130</v>
      </c>
      <c r="CN729" s="0" t="s">
        <v>130</v>
      </c>
      <c r="CO729" s="0" t="s">
        <v>130</v>
      </c>
      <c r="CP729" s="0" t="s">
        <v>130</v>
      </c>
      <c r="CQ729" s="0" t="s">
        <v>130</v>
      </c>
      <c r="CR729" s="0" t="s">
        <v>130</v>
      </c>
      <c r="CS729" s="0" t="s">
        <v>130</v>
      </c>
      <c r="CT729" s="0" t="s">
        <v>2318</v>
      </c>
    </row>
    <row r="730">
      <c r="A730" s="14">
        <v>115114</v>
      </c>
      <c r="B730" s="0" t="s">
        <v>2319</v>
      </c>
      <c r="C730" s="16">
        <f>HYPERLINK("https://eosportal.federatedhermes.com/companies/Q29tcGFueQppNTU3NDE=", "Toyota Motor Corp")</f>
      </c>
      <c r="D730" s="0" t="s">
        <v>23</v>
      </c>
      <c r="E730" s="0" t="s">
        <v>2320</v>
      </c>
      <c r="F730" s="16">
        <f>HYPERLINK("https://eosportal.federatedhermes.com/engagements/RW5nYWdlbWVudAppMjE5Mzc=", "Female manager target")</f>
      </c>
      <c r="G730" s="14" t="s">
        <v>2321</v>
      </c>
      <c r="H730" s="0" t="s">
        <v>141</v>
      </c>
      <c r="I730" s="14" t="s">
        <v>1645</v>
      </c>
      <c r="J730" s="0" t="s">
        <v>153</v>
      </c>
      <c r="K730" s="0" t="s">
        <v>154</v>
      </c>
      <c r="L730" s="0" t="s">
        <v>268</v>
      </c>
      <c r="M730" s="0" t="s">
        <v>802</v>
      </c>
      <c r="N730" s="0" t="s">
        <v>952</v>
      </c>
      <c r="O730" s="0" t="s">
        <v>425</v>
      </c>
      <c r="Q730" s="0" t="s">
        <v>130</v>
      </c>
      <c r="R730" s="0" t="s">
        <v>130</v>
      </c>
      <c r="S730" s="14">
        <v>0</v>
      </c>
      <c r="T730" s="0" t="s">
        <v>206</v>
      </c>
      <c r="U730" s="0" t="s">
        <v>221</v>
      </c>
      <c r="V730" s="14" t="s">
        <v>206</v>
      </c>
      <c r="W730" s="0" t="s">
        <v>221</v>
      </c>
      <c r="X730" s="14" t="s">
        <v>583</v>
      </c>
      <c r="Y730" s="0" t="s">
        <v>221</v>
      </c>
      <c r="Z730" s="14" t="s">
        <v>478</v>
      </c>
      <c r="AA730" s="0" t="s">
        <v>223</v>
      </c>
      <c r="AB730" s="14" t="s">
        <v>138</v>
      </c>
      <c r="AD730" s="0" t="s">
        <v>20</v>
      </c>
      <c r="AF730" s="0">
        <v>0</v>
      </c>
      <c r="AG730" s="0">
        <v>0</v>
      </c>
      <c r="AH730" s="0" t="s">
        <v>140</v>
      </c>
      <c r="AI730" s="0" t="s">
        <v>232</v>
      </c>
      <c r="AL730" s="14"/>
      <c r="AN730" s="14"/>
      <c r="AQ730" s="0" t="s">
        <v>130</v>
      </c>
      <c r="AR730" s="0" t="s">
        <v>130</v>
      </c>
      <c r="AS730" s="0" t="s">
        <v>130</v>
      </c>
      <c r="AT730" s="0" t="s">
        <v>130</v>
      </c>
      <c r="AU730" s="0" t="s">
        <v>141</v>
      </c>
      <c r="AV730" s="0" t="s">
        <v>130</v>
      </c>
      <c r="AW730" s="0" t="s">
        <v>130</v>
      </c>
      <c r="AX730" s="0" t="s">
        <v>130</v>
      </c>
      <c r="AY730" s="0" t="s">
        <v>130</v>
      </c>
      <c r="AZ730" s="0" t="s">
        <v>130</v>
      </c>
      <c r="BA730" s="0" t="s">
        <v>130</v>
      </c>
      <c r="BB730" s="0" t="s">
        <v>130</v>
      </c>
      <c r="BC730" s="0" t="s">
        <v>130</v>
      </c>
      <c r="BD730" s="0" t="s">
        <v>130</v>
      </c>
      <c r="BE730" s="0" t="s">
        <v>130</v>
      </c>
      <c r="BF730" s="0" t="s">
        <v>130</v>
      </c>
      <c r="BG730" s="0" t="s">
        <v>130</v>
      </c>
      <c r="BH730" s="0" t="s">
        <v>130</v>
      </c>
      <c r="BI730" s="0" t="s">
        <v>130</v>
      </c>
      <c r="BJ730" s="0" t="s">
        <v>130</v>
      </c>
      <c r="BK730" s="0" t="s">
        <v>130</v>
      </c>
      <c r="BL730" s="0" t="s">
        <v>130</v>
      </c>
      <c r="BM730" s="0" t="s">
        <v>130</v>
      </c>
      <c r="BN730" s="0" t="s">
        <v>130</v>
      </c>
      <c r="BO730" s="0" t="s">
        <v>130</v>
      </c>
      <c r="BP730" s="0" t="s">
        <v>130</v>
      </c>
      <c r="BQ730" s="0" t="s">
        <v>130</v>
      </c>
      <c r="BR730" s="0" t="s">
        <v>130</v>
      </c>
      <c r="BS730" s="0" t="s">
        <v>130</v>
      </c>
      <c r="BT730" s="0" t="s">
        <v>130</v>
      </c>
      <c r="BU730" s="0" t="s">
        <v>130</v>
      </c>
      <c r="BV730" s="0" t="s">
        <v>130</v>
      </c>
      <c r="BW730" s="0" t="s">
        <v>130</v>
      </c>
      <c r="BX730" s="0" t="s">
        <v>130</v>
      </c>
      <c r="BY730" s="0" t="s">
        <v>130</v>
      </c>
      <c r="BZ730" s="0" t="s">
        <v>130</v>
      </c>
      <c r="CA730" s="0" t="s">
        <v>130</v>
      </c>
      <c r="CB730" s="0" t="s">
        <v>130</v>
      </c>
      <c r="CC730" s="0" t="s">
        <v>130</v>
      </c>
      <c r="CD730" s="0" t="s">
        <v>130</v>
      </c>
      <c r="CE730" s="0" t="s">
        <v>130</v>
      </c>
      <c r="CF730" s="0" t="s">
        <v>130</v>
      </c>
      <c r="CG730" s="0" t="s">
        <v>130</v>
      </c>
      <c r="CH730" s="0" t="s">
        <v>130</v>
      </c>
      <c r="CI730" s="0" t="s">
        <v>130</v>
      </c>
      <c r="CJ730" s="0" t="s">
        <v>130</v>
      </c>
      <c r="CK730" s="0" t="s">
        <v>141</v>
      </c>
      <c r="CL730" s="0" t="s">
        <v>130</v>
      </c>
      <c r="CM730" s="0" t="s">
        <v>130</v>
      </c>
      <c r="CN730" s="0" t="s">
        <v>130</v>
      </c>
      <c r="CO730" s="0" t="s">
        <v>130</v>
      </c>
      <c r="CP730" s="0" t="s">
        <v>130</v>
      </c>
      <c r="CQ730" s="0" t="s">
        <v>130</v>
      </c>
      <c r="CR730" s="0" t="s">
        <v>130</v>
      </c>
      <c r="CS730" s="0" t="s">
        <v>130</v>
      </c>
      <c r="CT730" s="0" t="s">
        <v>2322</v>
      </c>
    </row>
    <row r="731">
      <c r="A731" s="14">
        <v>115114</v>
      </c>
      <c r="B731" s="0" t="s">
        <v>2319</v>
      </c>
      <c r="C731" s="16">
        <f>HYPERLINK("https://eosportal.federatedhermes.com/companies/Q29tcGFueQppNTU3NDE=", "Toyota Motor Corp")</f>
      </c>
      <c r="D731" s="0" t="s">
        <v>23</v>
      </c>
      <c r="E731" s="0" t="s">
        <v>2323</v>
      </c>
      <c r="F731" s="16">
        <f>HYPERLINK("https://eosportal.federatedhermes.com/engagements/RW5nYWdlbWVudAppMjE5NDM=", "Artificial intelligence (AI) governance")</f>
      </c>
      <c r="G731" s="14" t="s">
        <v>2324</v>
      </c>
      <c r="H731" s="0" t="s">
        <v>141</v>
      </c>
      <c r="I731" s="14" t="s">
        <v>1645</v>
      </c>
      <c r="J731" s="0" t="s">
        <v>153</v>
      </c>
      <c r="K731" s="0" t="s">
        <v>243</v>
      </c>
      <c r="L731" s="0" t="s">
        <v>537</v>
      </c>
      <c r="M731" s="0" t="s">
        <v>802</v>
      </c>
      <c r="N731" s="0" t="s">
        <v>952</v>
      </c>
      <c r="O731" s="0" t="s">
        <v>425</v>
      </c>
      <c r="Q731" s="0" t="s">
        <v>130</v>
      </c>
      <c r="R731" s="0" t="s">
        <v>130</v>
      </c>
      <c r="S731" s="14">
        <v>0</v>
      </c>
      <c r="T731" s="0" t="s">
        <v>394</v>
      </c>
      <c r="U731" s="0" t="s">
        <v>221</v>
      </c>
      <c r="V731" s="14" t="s">
        <v>394</v>
      </c>
      <c r="W731" s="0" t="s">
        <v>221</v>
      </c>
      <c r="X731" s="14" t="s">
        <v>156</v>
      </c>
      <c r="Y731" s="0" t="s">
        <v>221</v>
      </c>
      <c r="Z731" s="14" t="s">
        <v>355</v>
      </c>
      <c r="AA731" s="0" t="s">
        <v>223</v>
      </c>
      <c r="AB731" s="14" t="s">
        <v>138</v>
      </c>
      <c r="AD731" s="0" t="s">
        <v>20</v>
      </c>
      <c r="AF731" s="0">
        <v>0</v>
      </c>
      <c r="AG731" s="0">
        <v>0</v>
      </c>
      <c r="AH731" s="0" t="s">
        <v>140</v>
      </c>
      <c r="AI731" s="0" t="s">
        <v>232</v>
      </c>
      <c r="AL731" s="14"/>
      <c r="AN731" s="14"/>
      <c r="AQ731" s="0" t="s">
        <v>130</v>
      </c>
      <c r="AR731" s="0" t="s">
        <v>130</v>
      </c>
      <c r="AS731" s="0" t="s">
        <v>130</v>
      </c>
      <c r="AT731" s="0" t="s">
        <v>130</v>
      </c>
      <c r="AU731" s="0" t="s">
        <v>130</v>
      </c>
      <c r="AV731" s="0" t="s">
        <v>130</v>
      </c>
      <c r="AW731" s="0" t="s">
        <v>130</v>
      </c>
      <c r="AX731" s="0" t="s">
        <v>130</v>
      </c>
      <c r="AY731" s="0" t="s">
        <v>130</v>
      </c>
      <c r="AZ731" s="0" t="s">
        <v>130</v>
      </c>
      <c r="BA731" s="0" t="s">
        <v>130</v>
      </c>
      <c r="BB731" s="0" t="s">
        <v>130</v>
      </c>
      <c r="BC731" s="0" t="s">
        <v>130</v>
      </c>
      <c r="BD731" s="0" t="s">
        <v>130</v>
      </c>
      <c r="BE731" s="0" t="s">
        <v>130</v>
      </c>
      <c r="BF731" s="0" t="s">
        <v>141</v>
      </c>
      <c r="BG731" s="0" t="s">
        <v>130</v>
      </c>
      <c r="BH731" s="0" t="s">
        <v>130</v>
      </c>
      <c r="BI731" s="0" t="s">
        <v>130</v>
      </c>
      <c r="BJ731" s="0" t="s">
        <v>130</v>
      </c>
      <c r="BK731" s="0" t="s">
        <v>130</v>
      </c>
      <c r="BL731" s="0" t="s">
        <v>130</v>
      </c>
      <c r="BM731" s="0" t="s">
        <v>130</v>
      </c>
      <c r="BN731" s="0" t="s">
        <v>130</v>
      </c>
      <c r="BO731" s="0" t="s">
        <v>130</v>
      </c>
      <c r="BP731" s="0" t="s">
        <v>130</v>
      </c>
      <c r="BQ731" s="0" t="s">
        <v>130</v>
      </c>
      <c r="BR731" s="0" t="s">
        <v>130</v>
      </c>
      <c r="BS731" s="0" t="s">
        <v>130</v>
      </c>
      <c r="BT731" s="0" t="s">
        <v>130</v>
      </c>
      <c r="BU731" s="0" t="s">
        <v>130</v>
      </c>
      <c r="BV731" s="0" t="s">
        <v>130</v>
      </c>
      <c r="BW731" s="0" t="s">
        <v>130</v>
      </c>
      <c r="BX731" s="0" t="s">
        <v>130</v>
      </c>
      <c r="BY731" s="0" t="s">
        <v>130</v>
      </c>
      <c r="BZ731" s="0" t="s">
        <v>130</v>
      </c>
      <c r="CA731" s="0" t="s">
        <v>130</v>
      </c>
      <c r="CB731" s="0" t="s">
        <v>130</v>
      </c>
      <c r="CC731" s="0" t="s">
        <v>130</v>
      </c>
      <c r="CD731" s="0" t="s">
        <v>130</v>
      </c>
      <c r="CE731" s="0" t="s">
        <v>130</v>
      </c>
      <c r="CF731" s="0" t="s">
        <v>130</v>
      </c>
      <c r="CG731" s="0" t="s">
        <v>130</v>
      </c>
      <c r="CH731" s="0" t="s">
        <v>130</v>
      </c>
      <c r="CI731" s="0" t="s">
        <v>130</v>
      </c>
      <c r="CJ731" s="0" t="s">
        <v>130</v>
      </c>
      <c r="CK731" s="0" t="s">
        <v>130</v>
      </c>
      <c r="CL731" s="0" t="s">
        <v>130</v>
      </c>
      <c r="CM731" s="0" t="s">
        <v>130</v>
      </c>
      <c r="CN731" s="0" t="s">
        <v>130</v>
      </c>
      <c r="CO731" s="0" t="s">
        <v>130</v>
      </c>
      <c r="CP731" s="0" t="s">
        <v>130</v>
      </c>
      <c r="CQ731" s="0" t="s">
        <v>130</v>
      </c>
      <c r="CR731" s="0" t="s">
        <v>130</v>
      </c>
      <c r="CS731" s="0" t="s">
        <v>130</v>
      </c>
      <c r="CT731" s="0" t="s">
        <v>2325</v>
      </c>
    </row>
    <row r="732">
      <c r="A732" s="14">
        <v>115114</v>
      </c>
      <c r="B732" s="0" t="s">
        <v>2319</v>
      </c>
      <c r="C732" s="16">
        <f>HYPERLINK("https://eosportal.federatedhermes.com/companies/Q29tcGFueQppNTU3NDE=", "Toyota Motor Corp")</f>
      </c>
      <c r="D732" s="0" t="s">
        <v>23</v>
      </c>
      <c r="E732" s="0" t="s">
        <v>2326</v>
      </c>
      <c r="F732" s="16">
        <f>HYPERLINK("https://eosportal.federatedhermes.com/engagements/RW5nYWdlbWVudAppMjE5NDU=", "Risk management in cobalt supply chain")</f>
      </c>
      <c r="G732" s="14" t="s">
        <v>2327</v>
      </c>
      <c r="H732" s="0" t="s">
        <v>141</v>
      </c>
      <c r="I732" s="14" t="s">
        <v>1645</v>
      </c>
      <c r="J732" s="0" t="s">
        <v>153</v>
      </c>
      <c r="K732" s="0" t="s">
        <v>243</v>
      </c>
      <c r="L732" s="0" t="s">
        <v>244</v>
      </c>
      <c r="M732" s="0" t="s">
        <v>802</v>
      </c>
      <c r="N732" s="0" t="s">
        <v>952</v>
      </c>
      <c r="O732" s="0" t="s">
        <v>425</v>
      </c>
      <c r="Q732" s="0" t="s">
        <v>130</v>
      </c>
      <c r="R732" s="0" t="s">
        <v>130</v>
      </c>
      <c r="S732" s="14">
        <v>0</v>
      </c>
      <c r="T732" s="0" t="s">
        <v>193</v>
      </c>
      <c r="U732" s="0" t="s">
        <v>221</v>
      </c>
      <c r="V732" s="14" t="s">
        <v>193</v>
      </c>
      <c r="W732" s="0" t="s">
        <v>221</v>
      </c>
      <c r="X732" s="14" t="s">
        <v>193</v>
      </c>
      <c r="Y732" s="0" t="s">
        <v>221</v>
      </c>
      <c r="Z732" s="14" t="s">
        <v>139</v>
      </c>
      <c r="AA732" s="0" t="s">
        <v>223</v>
      </c>
      <c r="AB732" s="14" t="s">
        <v>138</v>
      </c>
      <c r="AD732" s="0" t="s">
        <v>20</v>
      </c>
      <c r="AF732" s="0">
        <v>0</v>
      </c>
      <c r="AG732" s="0">
        <v>0</v>
      </c>
      <c r="AH732" s="0" t="s">
        <v>140</v>
      </c>
      <c r="AI732" s="0" t="s">
        <v>598</v>
      </c>
      <c r="AL732" s="14"/>
      <c r="AN732" s="14"/>
      <c r="AQ732" s="0" t="s">
        <v>130</v>
      </c>
      <c r="AR732" s="0" t="s">
        <v>130</v>
      </c>
      <c r="AS732" s="0" t="s">
        <v>130</v>
      </c>
      <c r="AT732" s="0" t="s">
        <v>130</v>
      </c>
      <c r="AU732" s="0" t="s">
        <v>130</v>
      </c>
      <c r="AV732" s="0" t="s">
        <v>130</v>
      </c>
      <c r="AW732" s="0" t="s">
        <v>130</v>
      </c>
      <c r="AX732" s="0" t="s">
        <v>141</v>
      </c>
      <c r="AY732" s="0" t="s">
        <v>130</v>
      </c>
      <c r="AZ732" s="0" t="s">
        <v>130</v>
      </c>
      <c r="BA732" s="0" t="s">
        <v>130</v>
      </c>
      <c r="BB732" s="0" t="s">
        <v>130</v>
      </c>
      <c r="BC732" s="0" t="s">
        <v>130</v>
      </c>
      <c r="BD732" s="0" t="s">
        <v>130</v>
      </c>
      <c r="BE732" s="0" t="s">
        <v>130</v>
      </c>
      <c r="BF732" s="0" t="s">
        <v>130</v>
      </c>
      <c r="BG732" s="0" t="s">
        <v>130</v>
      </c>
      <c r="BH732" s="0" t="s">
        <v>130</v>
      </c>
      <c r="BI732" s="0" t="s">
        <v>130</v>
      </c>
      <c r="BJ732" s="0" t="s">
        <v>130</v>
      </c>
      <c r="BK732" s="0" t="s">
        <v>130</v>
      </c>
      <c r="BL732" s="0" t="s">
        <v>130</v>
      </c>
      <c r="BM732" s="0" t="s">
        <v>130</v>
      </c>
      <c r="BN732" s="0" t="s">
        <v>130</v>
      </c>
      <c r="BO732" s="0" t="s">
        <v>130</v>
      </c>
      <c r="BP732" s="0" t="s">
        <v>130</v>
      </c>
      <c r="BQ732" s="0" t="s">
        <v>130</v>
      </c>
      <c r="BR732" s="0" t="s">
        <v>130</v>
      </c>
      <c r="BS732" s="0" t="s">
        <v>130</v>
      </c>
      <c r="BT732" s="0" t="s">
        <v>130</v>
      </c>
      <c r="BU732" s="0" t="s">
        <v>130</v>
      </c>
      <c r="BV732" s="0" t="s">
        <v>130</v>
      </c>
      <c r="BW732" s="0" t="s">
        <v>130</v>
      </c>
      <c r="BX732" s="0" t="s">
        <v>130</v>
      </c>
      <c r="BY732" s="0" t="s">
        <v>130</v>
      </c>
      <c r="BZ732" s="0" t="s">
        <v>130</v>
      </c>
      <c r="CA732" s="0" t="s">
        <v>130</v>
      </c>
      <c r="CB732" s="0" t="s">
        <v>130</v>
      </c>
      <c r="CC732" s="0" t="s">
        <v>130</v>
      </c>
      <c r="CD732" s="0" t="s">
        <v>130</v>
      </c>
      <c r="CE732" s="0" t="s">
        <v>130</v>
      </c>
      <c r="CF732" s="0" t="s">
        <v>130</v>
      </c>
      <c r="CG732" s="0" t="s">
        <v>130</v>
      </c>
      <c r="CH732" s="0" t="s">
        <v>130</v>
      </c>
      <c r="CI732" s="0" t="s">
        <v>130</v>
      </c>
      <c r="CJ732" s="0" t="s">
        <v>130</v>
      </c>
      <c r="CK732" s="0" t="s">
        <v>130</v>
      </c>
      <c r="CL732" s="0" t="s">
        <v>130</v>
      </c>
      <c r="CM732" s="0" t="s">
        <v>130</v>
      </c>
      <c r="CN732" s="0" t="s">
        <v>130</v>
      </c>
      <c r="CO732" s="0" t="s">
        <v>130</v>
      </c>
      <c r="CP732" s="0" t="s">
        <v>130</v>
      </c>
      <c r="CQ732" s="0" t="s">
        <v>130</v>
      </c>
      <c r="CR732" s="0" t="s">
        <v>130</v>
      </c>
      <c r="CS732" s="0" t="s">
        <v>130</v>
      </c>
      <c r="CT732" s="0" t="s">
        <v>2328</v>
      </c>
    </row>
    <row r="733">
      <c r="A733" s="14">
        <v>115114</v>
      </c>
      <c r="B733" s="0" t="s">
        <v>2319</v>
      </c>
      <c r="C733" s="16">
        <f>HYPERLINK("https://eosportal.federatedhermes.com/companies/Q29tcGFueQppNTU3NDE=", "Toyota Motor Corp")</f>
      </c>
      <c r="D733" s="0" t="s">
        <v>23</v>
      </c>
      <c r="E733" s="0" t="s">
        <v>960</v>
      </c>
      <c r="F733" s="16">
        <f>HYPERLINK("https://eosportal.federatedhermes.com/engagements/RW5nYWdlbWVudAppMjE5NDY=", "Fleet emissions reduction target")</f>
      </c>
      <c r="G733" s="14" t="s">
        <v>2329</v>
      </c>
      <c r="H733" s="0" t="s">
        <v>141</v>
      </c>
      <c r="I733" s="14" t="s">
        <v>1645</v>
      </c>
      <c r="J733" s="0" t="s">
        <v>197</v>
      </c>
      <c r="K733" s="0" t="s">
        <v>198</v>
      </c>
      <c r="L733" s="0" t="s">
        <v>216</v>
      </c>
      <c r="M733" s="0" t="s">
        <v>802</v>
      </c>
      <c r="N733" s="0" t="s">
        <v>952</v>
      </c>
      <c r="O733" s="0" t="s">
        <v>425</v>
      </c>
      <c r="Q733" s="0" t="s">
        <v>141</v>
      </c>
      <c r="R733" s="0" t="s">
        <v>130</v>
      </c>
      <c r="S733" s="14">
        <v>1</v>
      </c>
      <c r="T733" s="0" t="s">
        <v>193</v>
      </c>
      <c r="U733" s="0" t="s">
        <v>221</v>
      </c>
      <c r="V733" s="14" t="s">
        <v>193</v>
      </c>
      <c r="W733" s="0" t="s">
        <v>221</v>
      </c>
      <c r="X733" s="14" t="s">
        <v>193</v>
      </c>
      <c r="Y733" s="0" t="s">
        <v>223</v>
      </c>
      <c r="Z733" s="14" t="s">
        <v>138</v>
      </c>
      <c r="AA733" s="0" t="s">
        <v>224</v>
      </c>
      <c r="AB733" s="14" t="s">
        <v>138</v>
      </c>
      <c r="AD733" s="0" t="s">
        <v>17</v>
      </c>
      <c r="AF733" s="0">
        <v>0</v>
      </c>
      <c r="AG733" s="0">
        <v>0</v>
      </c>
      <c r="AH733" s="0" t="s">
        <v>140</v>
      </c>
      <c r="AI733" s="0" t="s">
        <v>598</v>
      </c>
      <c r="AK733" s="0" t="s">
        <v>2330</v>
      </c>
      <c r="AL733" s="14"/>
      <c r="AN733" s="14"/>
      <c r="AQ733" s="0" t="s">
        <v>130</v>
      </c>
      <c r="AR733" s="0" t="s">
        <v>130</v>
      </c>
      <c r="AS733" s="0" t="s">
        <v>130</v>
      </c>
      <c r="AT733" s="0" t="s">
        <v>130</v>
      </c>
      <c r="AU733" s="0" t="s">
        <v>130</v>
      </c>
      <c r="AV733" s="0" t="s">
        <v>130</v>
      </c>
      <c r="AW733" s="0" t="s">
        <v>141</v>
      </c>
      <c r="AX733" s="0" t="s">
        <v>130</v>
      </c>
      <c r="AY733" s="0" t="s">
        <v>130</v>
      </c>
      <c r="AZ733" s="0" t="s">
        <v>130</v>
      </c>
      <c r="BA733" s="0" t="s">
        <v>130</v>
      </c>
      <c r="BB733" s="0" t="s">
        <v>130</v>
      </c>
      <c r="BC733" s="0" t="s">
        <v>141</v>
      </c>
      <c r="BD733" s="0" t="s">
        <v>130</v>
      </c>
      <c r="BE733" s="0" t="s">
        <v>130</v>
      </c>
      <c r="BF733" s="0" t="s">
        <v>130</v>
      </c>
      <c r="BG733" s="0" t="s">
        <v>130</v>
      </c>
      <c r="BH733" s="0" t="s">
        <v>141</v>
      </c>
      <c r="BI733" s="0" t="s">
        <v>141</v>
      </c>
      <c r="BJ733" s="0" t="s">
        <v>141</v>
      </c>
      <c r="BK733" s="0" t="s">
        <v>130</v>
      </c>
      <c r="BL733" s="0" t="s">
        <v>130</v>
      </c>
      <c r="BM733" s="0" t="s">
        <v>130</v>
      </c>
      <c r="BN733" s="0" t="s">
        <v>130</v>
      </c>
      <c r="BO733" s="0" t="s">
        <v>130</v>
      </c>
      <c r="BP733" s="0" t="s">
        <v>130</v>
      </c>
      <c r="BQ733" s="0" t="s">
        <v>130</v>
      </c>
      <c r="BR733" s="0" t="s">
        <v>130</v>
      </c>
      <c r="BS733" s="0" t="s">
        <v>130</v>
      </c>
      <c r="BT733" s="0" t="s">
        <v>130</v>
      </c>
      <c r="BU733" s="0" t="s">
        <v>130</v>
      </c>
      <c r="BV733" s="0" t="s">
        <v>141</v>
      </c>
      <c r="BW733" s="0" t="s">
        <v>141</v>
      </c>
      <c r="BX733" s="0" t="s">
        <v>130</v>
      </c>
      <c r="BY733" s="0" t="s">
        <v>130</v>
      </c>
      <c r="BZ733" s="0" t="s">
        <v>130</v>
      </c>
      <c r="CA733" s="0" t="s">
        <v>130</v>
      </c>
      <c r="CB733" s="0" t="s">
        <v>130</v>
      </c>
      <c r="CC733" s="0" t="s">
        <v>130</v>
      </c>
      <c r="CD733" s="0" t="s">
        <v>130</v>
      </c>
      <c r="CE733" s="0" t="s">
        <v>130</v>
      </c>
      <c r="CF733" s="0" t="s">
        <v>130</v>
      </c>
      <c r="CG733" s="0" t="s">
        <v>130</v>
      </c>
      <c r="CH733" s="0" t="s">
        <v>130</v>
      </c>
      <c r="CI733" s="0" t="s">
        <v>130</v>
      </c>
      <c r="CJ733" s="0" t="s">
        <v>130</v>
      </c>
      <c r="CK733" s="0" t="s">
        <v>130</v>
      </c>
      <c r="CL733" s="0" t="s">
        <v>130</v>
      </c>
      <c r="CM733" s="0" t="s">
        <v>130</v>
      </c>
      <c r="CN733" s="0" t="s">
        <v>130</v>
      </c>
      <c r="CO733" s="0" t="s">
        <v>130</v>
      </c>
      <c r="CP733" s="0" t="s">
        <v>130</v>
      </c>
      <c r="CQ733" s="0" t="s">
        <v>130</v>
      </c>
      <c r="CR733" s="0" t="s">
        <v>130</v>
      </c>
      <c r="CS733" s="0" t="s">
        <v>130</v>
      </c>
      <c r="CT733" s="0" t="s">
        <v>2331</v>
      </c>
    </row>
    <row r="734">
      <c r="A734" s="14">
        <v>115114</v>
      </c>
      <c r="B734" s="0" t="s">
        <v>2319</v>
      </c>
      <c r="C734" s="16">
        <f>HYPERLINK("https://eosportal.federatedhermes.com/companies/Q29tcGFueQppNTU3NDE=", "Toyota Motor Corp")</f>
      </c>
      <c r="D734" s="0" t="s">
        <v>25</v>
      </c>
      <c r="E734" s="0" t="s">
        <v>1729</v>
      </c>
      <c r="F734" s="16">
        <f>HYPERLINK("https://eosportal.federatedhermes.com/engagements/RW5nYWdlbWVudAppMjE5NDc=", "Business strategy")</f>
      </c>
      <c r="G734" s="14" t="s">
        <v>2332</v>
      </c>
      <c r="H734" s="0" t="s">
        <v>141</v>
      </c>
      <c r="I734" s="14" t="s">
        <v>1645</v>
      </c>
      <c r="J734" s="0" t="s">
        <v>153</v>
      </c>
      <c r="K734" s="0" t="s">
        <v>243</v>
      </c>
      <c r="L734" s="0" t="s">
        <v>244</v>
      </c>
      <c r="M734" s="0" t="s">
        <v>802</v>
      </c>
      <c r="N734" s="0" t="s">
        <v>952</v>
      </c>
      <c r="O734" s="0" t="s">
        <v>425</v>
      </c>
      <c r="Q734" s="0" t="s">
        <v>130</v>
      </c>
      <c r="R734" s="0" t="s">
        <v>138</v>
      </c>
      <c r="S734" s="14">
        <v>0</v>
      </c>
      <c r="T734" s="0" t="s">
        <v>245</v>
      </c>
      <c r="U734" s="0" t="s">
        <v>138</v>
      </c>
      <c r="V734" s="14" t="s">
        <v>138</v>
      </c>
      <c r="W734" s="0" t="s">
        <v>138</v>
      </c>
      <c r="X734" s="14" t="s">
        <v>138</v>
      </c>
      <c r="Y734" s="0" t="s">
        <v>138</v>
      </c>
      <c r="Z734" s="14" t="s">
        <v>138</v>
      </c>
      <c r="AA734" s="0" t="s">
        <v>138</v>
      </c>
      <c r="AB734" s="14" t="s">
        <v>138</v>
      </c>
      <c r="AD734" s="0" t="s">
        <v>138</v>
      </c>
      <c r="AF734" s="0">
        <v>0</v>
      </c>
      <c r="AG734" s="0">
        <v>0</v>
      </c>
      <c r="AH734" s="0" t="s">
        <v>140</v>
      </c>
      <c r="AI734" s="0" t="s">
        <v>138</v>
      </c>
      <c r="AL734" s="14"/>
      <c r="AN734" s="14"/>
      <c r="AQ734" s="0" t="s">
        <v>130</v>
      </c>
      <c r="AR734" s="0" t="s">
        <v>130</v>
      </c>
      <c r="AS734" s="0" t="s">
        <v>130</v>
      </c>
      <c r="AT734" s="0" t="s">
        <v>130</v>
      </c>
      <c r="AU734" s="0" t="s">
        <v>130</v>
      </c>
      <c r="AV734" s="0" t="s">
        <v>130</v>
      </c>
      <c r="AW734" s="0" t="s">
        <v>130</v>
      </c>
      <c r="AX734" s="0" t="s">
        <v>141</v>
      </c>
      <c r="AY734" s="0" t="s">
        <v>130</v>
      </c>
      <c r="AZ734" s="0" t="s">
        <v>130</v>
      </c>
      <c r="BA734" s="0" t="s">
        <v>130</v>
      </c>
      <c r="BB734" s="0" t="s">
        <v>130</v>
      </c>
      <c r="BC734" s="0" t="s">
        <v>130</v>
      </c>
      <c r="BD734" s="0" t="s">
        <v>130</v>
      </c>
      <c r="BE734" s="0" t="s">
        <v>130</v>
      </c>
      <c r="BF734" s="0" t="s">
        <v>130</v>
      </c>
      <c r="BG734" s="0" t="s">
        <v>130</v>
      </c>
      <c r="BH734" s="0" t="s">
        <v>130</v>
      </c>
      <c r="BI734" s="0" t="s">
        <v>130</v>
      </c>
      <c r="BJ734" s="0" t="s">
        <v>130</v>
      </c>
      <c r="BK734" s="0" t="s">
        <v>130</v>
      </c>
      <c r="BL734" s="0" t="s">
        <v>130</v>
      </c>
      <c r="BM734" s="0" t="s">
        <v>130</v>
      </c>
      <c r="BN734" s="0" t="s">
        <v>130</v>
      </c>
      <c r="BO734" s="0" t="s">
        <v>130</v>
      </c>
      <c r="BP734" s="0" t="s">
        <v>130</v>
      </c>
      <c r="BQ734" s="0" t="s">
        <v>130</v>
      </c>
      <c r="BR734" s="0" t="s">
        <v>130</v>
      </c>
      <c r="BS734" s="0" t="s">
        <v>130</v>
      </c>
      <c r="BT734" s="0" t="s">
        <v>130</v>
      </c>
      <c r="BU734" s="0" t="s">
        <v>130</v>
      </c>
      <c r="BV734" s="0" t="s">
        <v>130</v>
      </c>
      <c r="BW734" s="0" t="s">
        <v>130</v>
      </c>
      <c r="BX734" s="0" t="s">
        <v>130</v>
      </c>
      <c r="BY734" s="0" t="s">
        <v>130</v>
      </c>
      <c r="BZ734" s="0" t="s">
        <v>130</v>
      </c>
      <c r="CA734" s="0" t="s">
        <v>130</v>
      </c>
      <c r="CB734" s="0" t="s">
        <v>130</v>
      </c>
      <c r="CC734" s="0" t="s">
        <v>130</v>
      </c>
      <c r="CD734" s="0" t="s">
        <v>130</v>
      </c>
      <c r="CE734" s="0" t="s">
        <v>130</v>
      </c>
      <c r="CF734" s="0" t="s">
        <v>130</v>
      </c>
      <c r="CG734" s="0" t="s">
        <v>130</v>
      </c>
      <c r="CH734" s="0" t="s">
        <v>130</v>
      </c>
      <c r="CI734" s="0" t="s">
        <v>130</v>
      </c>
      <c r="CJ734" s="0" t="s">
        <v>130</v>
      </c>
      <c r="CK734" s="0" t="s">
        <v>130</v>
      </c>
      <c r="CL734" s="0" t="s">
        <v>130</v>
      </c>
      <c r="CM734" s="0" t="s">
        <v>130</v>
      </c>
      <c r="CN734" s="0" t="s">
        <v>130</v>
      </c>
      <c r="CO734" s="0" t="s">
        <v>130</v>
      </c>
      <c r="CP734" s="0" t="s">
        <v>130</v>
      </c>
      <c r="CQ734" s="0" t="s">
        <v>130</v>
      </c>
      <c r="CR734" s="0" t="s">
        <v>130</v>
      </c>
      <c r="CS734" s="0" t="s">
        <v>130</v>
      </c>
      <c r="CT734" s="0" t="s">
        <v>2333</v>
      </c>
    </row>
    <row r="735">
      <c r="A735" s="14">
        <v>115114</v>
      </c>
      <c r="B735" s="0" t="s">
        <v>2319</v>
      </c>
      <c r="C735" s="16">
        <f>HYPERLINK("https://eosportal.federatedhermes.com/companies/Q29tcGFueQppNTU3NDE=", "Toyota Motor Corp")</f>
      </c>
      <c r="D735" s="0" t="s">
        <v>25</v>
      </c>
      <c r="E735" s="0" t="s">
        <v>2334</v>
      </c>
      <c r="F735" s="16">
        <f>HYPERLINK("https://eosportal.federatedhermes.com/engagements/RW5nYWdlbWVudAppMjE5NDg=", "Disclosures on environmental issues")</f>
      </c>
      <c r="G735" s="14" t="s">
        <v>2335</v>
      </c>
      <c r="H735" s="0" t="s">
        <v>141</v>
      </c>
      <c r="I735" s="14" t="s">
        <v>1645</v>
      </c>
      <c r="J735" s="0" t="s">
        <v>197</v>
      </c>
      <c r="K735" s="0" t="s">
        <v>198</v>
      </c>
      <c r="L735" s="0" t="s">
        <v>199</v>
      </c>
      <c r="M735" s="0" t="s">
        <v>802</v>
      </c>
      <c r="N735" s="0" t="s">
        <v>952</v>
      </c>
      <c r="O735" s="0" t="s">
        <v>425</v>
      </c>
      <c r="Q735" s="0" t="s">
        <v>141</v>
      </c>
      <c r="R735" s="0" t="s">
        <v>138</v>
      </c>
      <c r="S735" s="14">
        <v>1</v>
      </c>
      <c r="T735" s="0" t="s">
        <v>166</v>
      </c>
      <c r="U735" s="0" t="s">
        <v>138</v>
      </c>
      <c r="V735" s="14" t="s">
        <v>138</v>
      </c>
      <c r="W735" s="0" t="s">
        <v>138</v>
      </c>
      <c r="X735" s="14" t="s">
        <v>138</v>
      </c>
      <c r="Y735" s="0" t="s">
        <v>138</v>
      </c>
      <c r="Z735" s="14" t="s">
        <v>138</v>
      </c>
      <c r="AA735" s="0" t="s">
        <v>138</v>
      </c>
      <c r="AB735" s="14" t="s">
        <v>138</v>
      </c>
      <c r="AD735" s="0" t="s">
        <v>138</v>
      </c>
      <c r="AF735" s="0">
        <v>0</v>
      </c>
      <c r="AG735" s="0">
        <v>0</v>
      </c>
      <c r="AH735" s="0" t="s">
        <v>140</v>
      </c>
      <c r="AI735" s="0" t="s">
        <v>138</v>
      </c>
      <c r="AK735" s="0" t="s">
        <v>2330</v>
      </c>
      <c r="AL735" s="14"/>
      <c r="AN735" s="14"/>
      <c r="AQ735" s="0" t="s">
        <v>130</v>
      </c>
      <c r="AR735" s="0" t="s">
        <v>130</v>
      </c>
      <c r="AS735" s="0" t="s">
        <v>130</v>
      </c>
      <c r="AT735" s="0" t="s">
        <v>130</v>
      </c>
      <c r="AU735" s="0" t="s">
        <v>130</v>
      </c>
      <c r="AV735" s="0" t="s">
        <v>130</v>
      </c>
      <c r="AW735" s="0" t="s">
        <v>130</v>
      </c>
      <c r="AX735" s="0" t="s">
        <v>130</v>
      </c>
      <c r="AY735" s="0" t="s">
        <v>130</v>
      </c>
      <c r="AZ735" s="0" t="s">
        <v>130</v>
      </c>
      <c r="BA735" s="0" t="s">
        <v>130</v>
      </c>
      <c r="BB735" s="0" t="s">
        <v>141</v>
      </c>
      <c r="BC735" s="0" t="s">
        <v>130</v>
      </c>
      <c r="BD735" s="0" t="s">
        <v>130</v>
      </c>
      <c r="BE735" s="0" t="s">
        <v>130</v>
      </c>
      <c r="BF735" s="0" t="s">
        <v>130</v>
      </c>
      <c r="BG735" s="0" t="s">
        <v>130</v>
      </c>
      <c r="BH735" s="0" t="s">
        <v>130</v>
      </c>
      <c r="BI735" s="0" t="s">
        <v>130</v>
      </c>
      <c r="BJ735" s="0" t="s">
        <v>130</v>
      </c>
      <c r="BK735" s="0" t="s">
        <v>130</v>
      </c>
      <c r="BL735" s="0" t="s">
        <v>130</v>
      </c>
      <c r="BM735" s="0" t="s">
        <v>130</v>
      </c>
      <c r="BN735" s="0" t="s">
        <v>130</v>
      </c>
      <c r="BO735" s="0" t="s">
        <v>130</v>
      </c>
      <c r="BP735" s="0" t="s">
        <v>130</v>
      </c>
      <c r="BQ735" s="0" t="s">
        <v>130</v>
      </c>
      <c r="BR735" s="0" t="s">
        <v>130</v>
      </c>
      <c r="BS735" s="0" t="s">
        <v>130</v>
      </c>
      <c r="BT735" s="0" t="s">
        <v>130</v>
      </c>
      <c r="BU735" s="0" t="s">
        <v>130</v>
      </c>
      <c r="BV735" s="0" t="s">
        <v>130</v>
      </c>
      <c r="BW735" s="0" t="s">
        <v>130</v>
      </c>
      <c r="BX735" s="0" t="s">
        <v>130</v>
      </c>
      <c r="BY735" s="0" t="s">
        <v>130</v>
      </c>
      <c r="BZ735" s="0" t="s">
        <v>130</v>
      </c>
      <c r="CA735" s="0" t="s">
        <v>130</v>
      </c>
      <c r="CB735" s="0" t="s">
        <v>130</v>
      </c>
      <c r="CC735" s="0" t="s">
        <v>130</v>
      </c>
      <c r="CD735" s="0" t="s">
        <v>130</v>
      </c>
      <c r="CE735" s="0" t="s">
        <v>130</v>
      </c>
      <c r="CF735" s="0" t="s">
        <v>130</v>
      </c>
      <c r="CG735" s="0" t="s">
        <v>130</v>
      </c>
      <c r="CH735" s="0" t="s">
        <v>130</v>
      </c>
      <c r="CI735" s="0" t="s">
        <v>130</v>
      </c>
      <c r="CJ735" s="0" t="s">
        <v>130</v>
      </c>
      <c r="CK735" s="0" t="s">
        <v>130</v>
      </c>
      <c r="CL735" s="0" t="s">
        <v>130</v>
      </c>
      <c r="CM735" s="0" t="s">
        <v>130</v>
      </c>
      <c r="CN735" s="0" t="s">
        <v>130</v>
      </c>
      <c r="CO735" s="0" t="s">
        <v>130</v>
      </c>
      <c r="CP735" s="0" t="s">
        <v>130</v>
      </c>
      <c r="CQ735" s="0" t="s">
        <v>130</v>
      </c>
      <c r="CR735" s="0" t="s">
        <v>130</v>
      </c>
      <c r="CS735" s="0" t="s">
        <v>130</v>
      </c>
      <c r="CT735" s="0" t="s">
        <v>2336</v>
      </c>
    </row>
    <row r="736">
      <c r="A736" s="14">
        <v>115114</v>
      </c>
      <c r="B736" s="0" t="s">
        <v>2319</v>
      </c>
      <c r="C736" s="16">
        <f>HYPERLINK("https://eosportal.federatedhermes.com/companies/Q29tcGFueQppNTU3NDE=", "Toyota Motor Corp")</f>
      </c>
      <c r="D736" s="0" t="s">
        <v>25</v>
      </c>
      <c r="E736" s="0" t="s">
        <v>2337</v>
      </c>
      <c r="F736" s="16">
        <f>HYPERLINK("https://eosportal.federatedhermes.com/engagements/RW5nYWdlbWVudAppMjE5NDk=", "Labour practice")</f>
      </c>
      <c r="G736" s="14" t="s">
        <v>2338</v>
      </c>
      <c r="H736" s="0" t="s">
        <v>141</v>
      </c>
      <c r="I736" s="14" t="s">
        <v>1645</v>
      </c>
      <c r="J736" s="0" t="s">
        <v>153</v>
      </c>
      <c r="K736" s="0" t="s">
        <v>154</v>
      </c>
      <c r="L736" s="0" t="s">
        <v>306</v>
      </c>
      <c r="M736" s="0" t="s">
        <v>802</v>
      </c>
      <c r="N736" s="0" t="s">
        <v>952</v>
      </c>
      <c r="O736" s="0" t="s">
        <v>425</v>
      </c>
      <c r="Q736" s="0" t="s">
        <v>130</v>
      </c>
      <c r="R736" s="0" t="s">
        <v>138</v>
      </c>
      <c r="S736" s="14">
        <v>0</v>
      </c>
      <c r="T736" s="0" t="s">
        <v>557</v>
      </c>
      <c r="U736" s="0" t="s">
        <v>138</v>
      </c>
      <c r="V736" s="14" t="s">
        <v>138</v>
      </c>
      <c r="W736" s="0" t="s">
        <v>138</v>
      </c>
      <c r="X736" s="14" t="s">
        <v>138</v>
      </c>
      <c r="Y736" s="0" t="s">
        <v>138</v>
      </c>
      <c r="Z736" s="14" t="s">
        <v>138</v>
      </c>
      <c r="AA736" s="0" t="s">
        <v>138</v>
      </c>
      <c r="AB736" s="14" t="s">
        <v>138</v>
      </c>
      <c r="AD736" s="0" t="s">
        <v>138</v>
      </c>
      <c r="AF736" s="0">
        <v>0</v>
      </c>
      <c r="AG736" s="0">
        <v>0</v>
      </c>
      <c r="AH736" s="0" t="s">
        <v>140</v>
      </c>
      <c r="AI736" s="0" t="s">
        <v>138</v>
      </c>
      <c r="AL736" s="14"/>
      <c r="AN736" s="14"/>
      <c r="AQ736" s="0" t="s">
        <v>130</v>
      </c>
      <c r="AR736" s="0" t="s">
        <v>130</v>
      </c>
      <c r="AS736" s="0" t="s">
        <v>130</v>
      </c>
      <c r="AT736" s="0" t="s">
        <v>130</v>
      </c>
      <c r="AU736" s="0" t="s">
        <v>130</v>
      </c>
      <c r="AV736" s="0" t="s">
        <v>130</v>
      </c>
      <c r="AW736" s="0" t="s">
        <v>130</v>
      </c>
      <c r="AX736" s="0" t="s">
        <v>141</v>
      </c>
      <c r="AY736" s="0" t="s">
        <v>130</v>
      </c>
      <c r="AZ736" s="0" t="s">
        <v>141</v>
      </c>
      <c r="BA736" s="0" t="s">
        <v>130</v>
      </c>
      <c r="BB736" s="0" t="s">
        <v>130</v>
      </c>
      <c r="BC736" s="0" t="s">
        <v>130</v>
      </c>
      <c r="BD736" s="0" t="s">
        <v>130</v>
      </c>
      <c r="BE736" s="0" t="s">
        <v>130</v>
      </c>
      <c r="BF736" s="0" t="s">
        <v>130</v>
      </c>
      <c r="BG736" s="0" t="s">
        <v>130</v>
      </c>
      <c r="BH736" s="0" t="s">
        <v>130</v>
      </c>
      <c r="BI736" s="0" t="s">
        <v>130</v>
      </c>
      <c r="BJ736" s="0" t="s">
        <v>130</v>
      </c>
      <c r="BK736" s="0" t="s">
        <v>130</v>
      </c>
      <c r="BL736" s="0" t="s">
        <v>130</v>
      </c>
      <c r="BM736" s="0" t="s">
        <v>130</v>
      </c>
      <c r="BN736" s="0" t="s">
        <v>130</v>
      </c>
      <c r="BO736" s="0" t="s">
        <v>130</v>
      </c>
      <c r="BP736" s="0" t="s">
        <v>130</v>
      </c>
      <c r="BQ736" s="0" t="s">
        <v>130</v>
      </c>
      <c r="BR736" s="0" t="s">
        <v>130</v>
      </c>
      <c r="BS736" s="0" t="s">
        <v>130</v>
      </c>
      <c r="BT736" s="0" t="s">
        <v>130</v>
      </c>
      <c r="BU736" s="0" t="s">
        <v>130</v>
      </c>
      <c r="BV736" s="0" t="s">
        <v>130</v>
      </c>
      <c r="BW736" s="0" t="s">
        <v>130</v>
      </c>
      <c r="BX736" s="0" t="s">
        <v>130</v>
      </c>
      <c r="BY736" s="0" t="s">
        <v>130</v>
      </c>
      <c r="BZ736" s="0" t="s">
        <v>130</v>
      </c>
      <c r="CA736" s="0" t="s">
        <v>130</v>
      </c>
      <c r="CB736" s="0" t="s">
        <v>130</v>
      </c>
      <c r="CC736" s="0" t="s">
        <v>130</v>
      </c>
      <c r="CD736" s="0" t="s">
        <v>130</v>
      </c>
      <c r="CE736" s="0" t="s">
        <v>130</v>
      </c>
      <c r="CF736" s="0" t="s">
        <v>130</v>
      </c>
      <c r="CG736" s="0" t="s">
        <v>130</v>
      </c>
      <c r="CH736" s="0" t="s">
        <v>130</v>
      </c>
      <c r="CI736" s="0" t="s">
        <v>130</v>
      </c>
      <c r="CJ736" s="0" t="s">
        <v>130</v>
      </c>
      <c r="CK736" s="0" t="s">
        <v>130</v>
      </c>
      <c r="CL736" s="0" t="s">
        <v>130</v>
      </c>
      <c r="CM736" s="0" t="s">
        <v>130</v>
      </c>
      <c r="CN736" s="0" t="s">
        <v>130</v>
      </c>
      <c r="CO736" s="0" t="s">
        <v>130</v>
      </c>
      <c r="CP736" s="0" t="s">
        <v>130</v>
      </c>
      <c r="CQ736" s="0" t="s">
        <v>130</v>
      </c>
      <c r="CR736" s="0" t="s">
        <v>130</v>
      </c>
      <c r="CS736" s="0" t="s">
        <v>130</v>
      </c>
      <c r="CT736" s="0" t="s">
        <v>2339</v>
      </c>
    </row>
    <row r="737">
      <c r="A737" s="14">
        <v>115114</v>
      </c>
      <c r="B737" s="0" t="s">
        <v>2319</v>
      </c>
      <c r="C737" s="16">
        <f>HYPERLINK("https://eosportal.federatedhermes.com/companies/Q29tcGFueQppNTU3NDE=", "Toyota Motor Corp")</f>
      </c>
      <c r="D737" s="0" t="s">
        <v>25</v>
      </c>
      <c r="E737" s="0" t="s">
        <v>2340</v>
      </c>
      <c r="F737" s="16">
        <f>HYPERLINK("https://eosportal.federatedhermes.com/engagements/RW5nYWdlbWVudAppMjE5NTA=", "Board independence and oversight")</f>
      </c>
      <c r="G737" s="14" t="s">
        <v>2341</v>
      </c>
      <c r="H737" s="0" t="s">
        <v>141</v>
      </c>
      <c r="I737" s="14" t="s">
        <v>1645</v>
      </c>
      <c r="J737" s="0" t="s">
        <v>145</v>
      </c>
      <c r="K737" s="0" t="s">
        <v>164</v>
      </c>
      <c r="L737" s="0" t="s">
        <v>165</v>
      </c>
      <c r="M737" s="0" t="s">
        <v>802</v>
      </c>
      <c r="N737" s="0" t="s">
        <v>952</v>
      </c>
      <c r="O737" s="0" t="s">
        <v>425</v>
      </c>
      <c r="Q737" s="0" t="s">
        <v>130</v>
      </c>
      <c r="R737" s="0" t="s">
        <v>138</v>
      </c>
      <c r="S737" s="14">
        <v>0</v>
      </c>
      <c r="T737" s="0" t="s">
        <v>299</v>
      </c>
      <c r="U737" s="0" t="s">
        <v>138</v>
      </c>
      <c r="V737" s="14" t="s">
        <v>138</v>
      </c>
      <c r="W737" s="0" t="s">
        <v>138</v>
      </c>
      <c r="X737" s="14" t="s">
        <v>138</v>
      </c>
      <c r="Y737" s="0" t="s">
        <v>138</v>
      </c>
      <c r="Z737" s="14" t="s">
        <v>138</v>
      </c>
      <c r="AA737" s="0" t="s">
        <v>138</v>
      </c>
      <c r="AB737" s="14" t="s">
        <v>138</v>
      </c>
      <c r="AD737" s="0" t="s">
        <v>138</v>
      </c>
      <c r="AF737" s="0">
        <v>0</v>
      </c>
      <c r="AG737" s="0">
        <v>0</v>
      </c>
      <c r="AH737" s="0" t="s">
        <v>140</v>
      </c>
      <c r="AI737" s="0" t="s">
        <v>138</v>
      </c>
      <c r="AL737" s="14"/>
      <c r="AN737" s="14"/>
      <c r="AQ737" s="0" t="s">
        <v>130</v>
      </c>
      <c r="AR737" s="0" t="s">
        <v>130</v>
      </c>
      <c r="AS737" s="0" t="s">
        <v>130</v>
      </c>
      <c r="AT737" s="0" t="s">
        <v>130</v>
      </c>
      <c r="AU737" s="0" t="s">
        <v>130</v>
      </c>
      <c r="AV737" s="0" t="s">
        <v>130</v>
      </c>
      <c r="AW737" s="0" t="s">
        <v>130</v>
      </c>
      <c r="AX737" s="0" t="s">
        <v>130</v>
      </c>
      <c r="AY737" s="0" t="s">
        <v>130</v>
      </c>
      <c r="AZ737" s="0" t="s">
        <v>130</v>
      </c>
      <c r="BA737" s="0" t="s">
        <v>130</v>
      </c>
      <c r="BB737" s="0" t="s">
        <v>130</v>
      </c>
      <c r="BC737" s="0" t="s">
        <v>130</v>
      </c>
      <c r="BD737" s="0" t="s">
        <v>130</v>
      </c>
      <c r="BE737" s="0" t="s">
        <v>130</v>
      </c>
      <c r="BF737" s="0" t="s">
        <v>130</v>
      </c>
      <c r="BG737" s="0" t="s">
        <v>130</v>
      </c>
      <c r="BH737" s="0" t="s">
        <v>130</v>
      </c>
      <c r="BI737" s="0" t="s">
        <v>130</v>
      </c>
      <c r="BJ737" s="0" t="s">
        <v>130</v>
      </c>
      <c r="BK737" s="0" t="s">
        <v>130</v>
      </c>
      <c r="BL737" s="0" t="s">
        <v>130</v>
      </c>
      <c r="BM737" s="0" t="s">
        <v>130</v>
      </c>
      <c r="BN737" s="0" t="s">
        <v>130</v>
      </c>
      <c r="BO737" s="0" t="s">
        <v>130</v>
      </c>
      <c r="BP737" s="0" t="s">
        <v>130</v>
      </c>
      <c r="BQ737" s="0" t="s">
        <v>130</v>
      </c>
      <c r="BR737" s="0" t="s">
        <v>130</v>
      </c>
      <c r="BS737" s="0" t="s">
        <v>130</v>
      </c>
      <c r="BT737" s="0" t="s">
        <v>130</v>
      </c>
      <c r="BU737" s="0" t="s">
        <v>130</v>
      </c>
      <c r="BV737" s="0" t="s">
        <v>130</v>
      </c>
      <c r="BW737" s="0" t="s">
        <v>130</v>
      </c>
      <c r="BX737" s="0" t="s">
        <v>130</v>
      </c>
      <c r="BY737" s="0" t="s">
        <v>130</v>
      </c>
      <c r="BZ737" s="0" t="s">
        <v>130</v>
      </c>
      <c r="CA737" s="0" t="s">
        <v>130</v>
      </c>
      <c r="CB737" s="0" t="s">
        <v>130</v>
      </c>
      <c r="CC737" s="0" t="s">
        <v>130</v>
      </c>
      <c r="CD737" s="0" t="s">
        <v>130</v>
      </c>
      <c r="CE737" s="0" t="s">
        <v>130</v>
      </c>
      <c r="CF737" s="0" t="s">
        <v>130</v>
      </c>
      <c r="CG737" s="0" t="s">
        <v>130</v>
      </c>
      <c r="CH737" s="0" t="s">
        <v>130</v>
      </c>
      <c r="CI737" s="0" t="s">
        <v>130</v>
      </c>
      <c r="CJ737" s="0" t="s">
        <v>130</v>
      </c>
      <c r="CK737" s="0" t="s">
        <v>130</v>
      </c>
      <c r="CL737" s="0" t="s">
        <v>130</v>
      </c>
      <c r="CM737" s="0" t="s">
        <v>130</v>
      </c>
      <c r="CN737" s="0" t="s">
        <v>130</v>
      </c>
      <c r="CO737" s="0" t="s">
        <v>130</v>
      </c>
      <c r="CP737" s="0" t="s">
        <v>130</v>
      </c>
      <c r="CQ737" s="0" t="s">
        <v>130</v>
      </c>
      <c r="CR737" s="0" t="s">
        <v>130</v>
      </c>
      <c r="CS737" s="0" t="s">
        <v>130</v>
      </c>
      <c r="CT737" s="0" t="s">
        <v>2342</v>
      </c>
    </row>
    <row r="738">
      <c r="A738" s="14">
        <v>115114</v>
      </c>
      <c r="B738" s="0" t="s">
        <v>2319</v>
      </c>
      <c r="C738" s="16">
        <f>HYPERLINK("https://eosportal.federatedhermes.com/companies/Q29tcGFueQppNTU3NDE=", "Toyota Motor Corp")</f>
      </c>
      <c r="D738" s="0" t="s">
        <v>25</v>
      </c>
      <c r="E738" s="0" t="s">
        <v>2343</v>
      </c>
      <c r="F738" s="16">
        <f>HYPERLINK("https://eosportal.federatedhermes.com/engagements/RW5nYWdlbWVudAppMjE5NTE=", "Crisis management")</f>
      </c>
      <c r="G738" s="14" t="s">
        <v>2344</v>
      </c>
      <c r="H738" s="0" t="s">
        <v>141</v>
      </c>
      <c r="I738" s="14" t="s">
        <v>1645</v>
      </c>
      <c r="J738" s="0" t="s">
        <v>132</v>
      </c>
      <c r="K738" s="0" t="s">
        <v>260</v>
      </c>
      <c r="L738" s="0" t="s">
        <v>261</v>
      </c>
      <c r="M738" s="0" t="s">
        <v>802</v>
      </c>
      <c r="N738" s="0" t="s">
        <v>952</v>
      </c>
      <c r="O738" s="0" t="s">
        <v>425</v>
      </c>
      <c r="Q738" s="0" t="s">
        <v>130</v>
      </c>
      <c r="R738" s="0" t="s">
        <v>138</v>
      </c>
      <c r="S738" s="14">
        <v>0</v>
      </c>
      <c r="T738" s="0" t="s">
        <v>148</v>
      </c>
      <c r="U738" s="0" t="s">
        <v>138</v>
      </c>
      <c r="V738" s="14" t="s">
        <v>138</v>
      </c>
      <c r="W738" s="0" t="s">
        <v>138</v>
      </c>
      <c r="X738" s="14" t="s">
        <v>138</v>
      </c>
      <c r="Y738" s="0" t="s">
        <v>138</v>
      </c>
      <c r="Z738" s="14" t="s">
        <v>138</v>
      </c>
      <c r="AA738" s="0" t="s">
        <v>138</v>
      </c>
      <c r="AB738" s="14" t="s">
        <v>138</v>
      </c>
      <c r="AD738" s="0" t="s">
        <v>138</v>
      </c>
      <c r="AF738" s="0">
        <v>0</v>
      </c>
      <c r="AG738" s="0">
        <v>0</v>
      </c>
      <c r="AH738" s="0" t="s">
        <v>140</v>
      </c>
      <c r="AI738" s="0" t="s">
        <v>138</v>
      </c>
      <c r="AL738" s="14"/>
      <c r="AN738" s="14"/>
      <c r="AQ738" s="0" t="s">
        <v>130</v>
      </c>
      <c r="AR738" s="0" t="s">
        <v>130</v>
      </c>
      <c r="AS738" s="0" t="s">
        <v>130</v>
      </c>
      <c r="AT738" s="0" t="s">
        <v>130</v>
      </c>
      <c r="AU738" s="0" t="s">
        <v>130</v>
      </c>
      <c r="AV738" s="0" t="s">
        <v>130</v>
      </c>
      <c r="AW738" s="0" t="s">
        <v>130</v>
      </c>
      <c r="AX738" s="0" t="s">
        <v>130</v>
      </c>
      <c r="AY738" s="0" t="s">
        <v>130</v>
      </c>
      <c r="AZ738" s="0" t="s">
        <v>130</v>
      </c>
      <c r="BA738" s="0" t="s">
        <v>130</v>
      </c>
      <c r="BB738" s="0" t="s">
        <v>130</v>
      </c>
      <c r="BC738" s="0" t="s">
        <v>130</v>
      </c>
      <c r="BD738" s="0" t="s">
        <v>130</v>
      </c>
      <c r="BE738" s="0" t="s">
        <v>130</v>
      </c>
      <c r="BF738" s="0" t="s">
        <v>130</v>
      </c>
      <c r="BG738" s="0" t="s">
        <v>130</v>
      </c>
      <c r="BH738" s="0" t="s">
        <v>130</v>
      </c>
      <c r="BI738" s="0" t="s">
        <v>130</v>
      </c>
      <c r="BJ738" s="0" t="s">
        <v>130</v>
      </c>
      <c r="BK738" s="0" t="s">
        <v>130</v>
      </c>
      <c r="BL738" s="0" t="s">
        <v>130</v>
      </c>
      <c r="BM738" s="0" t="s">
        <v>130</v>
      </c>
      <c r="BN738" s="0" t="s">
        <v>130</v>
      </c>
      <c r="BO738" s="0" t="s">
        <v>130</v>
      </c>
      <c r="BP738" s="0" t="s">
        <v>130</v>
      </c>
      <c r="BQ738" s="0" t="s">
        <v>130</v>
      </c>
      <c r="BR738" s="0" t="s">
        <v>130</v>
      </c>
      <c r="BS738" s="0" t="s">
        <v>130</v>
      </c>
      <c r="BT738" s="0" t="s">
        <v>130</v>
      </c>
      <c r="BU738" s="0" t="s">
        <v>130</v>
      </c>
      <c r="BV738" s="0" t="s">
        <v>130</v>
      </c>
      <c r="BW738" s="0" t="s">
        <v>130</v>
      </c>
      <c r="BX738" s="0" t="s">
        <v>130</v>
      </c>
      <c r="BY738" s="0" t="s">
        <v>130</v>
      </c>
      <c r="BZ738" s="0" t="s">
        <v>130</v>
      </c>
      <c r="CA738" s="0" t="s">
        <v>130</v>
      </c>
      <c r="CB738" s="0" t="s">
        <v>130</v>
      </c>
      <c r="CC738" s="0" t="s">
        <v>130</v>
      </c>
      <c r="CD738" s="0" t="s">
        <v>130</v>
      </c>
      <c r="CE738" s="0" t="s">
        <v>130</v>
      </c>
      <c r="CF738" s="0" t="s">
        <v>130</v>
      </c>
      <c r="CG738" s="0" t="s">
        <v>130</v>
      </c>
      <c r="CH738" s="0" t="s">
        <v>130</v>
      </c>
      <c r="CI738" s="0" t="s">
        <v>130</v>
      </c>
      <c r="CJ738" s="0" t="s">
        <v>130</v>
      </c>
      <c r="CK738" s="0" t="s">
        <v>130</v>
      </c>
      <c r="CL738" s="0" t="s">
        <v>130</v>
      </c>
      <c r="CM738" s="0" t="s">
        <v>130</v>
      </c>
      <c r="CN738" s="0" t="s">
        <v>130</v>
      </c>
      <c r="CO738" s="0" t="s">
        <v>130</v>
      </c>
      <c r="CP738" s="0" t="s">
        <v>130</v>
      </c>
      <c r="CQ738" s="0" t="s">
        <v>130</v>
      </c>
      <c r="CR738" s="0" t="s">
        <v>130</v>
      </c>
      <c r="CS738" s="0" t="s">
        <v>130</v>
      </c>
      <c r="CT738" s="0" t="s">
        <v>2345</v>
      </c>
    </row>
    <row r="739">
      <c r="A739" s="14">
        <v>115114</v>
      </c>
      <c r="B739" s="0" t="s">
        <v>2319</v>
      </c>
      <c r="C739" s="16">
        <f>HYPERLINK("https://eosportal.federatedhermes.com/companies/Q29tcGFueQppNTU3NDE=", "Toyota Motor Corp")</f>
      </c>
      <c r="D739" s="0" t="s">
        <v>25</v>
      </c>
      <c r="E739" s="0" t="s">
        <v>2346</v>
      </c>
      <c r="F739" s="16">
        <f>HYPERLINK("https://eosportal.federatedhermes.com/engagements/RW5nYWdlbWVudAppMjE5NTI=", "Labour rghts issues in overseas operations")</f>
      </c>
      <c r="G739" s="14" t="s">
        <v>2347</v>
      </c>
      <c r="H739" s="0" t="s">
        <v>141</v>
      </c>
      <c r="I739" s="14" t="s">
        <v>1645</v>
      </c>
      <c r="J739" s="0" t="s">
        <v>153</v>
      </c>
      <c r="K739" s="0" t="s">
        <v>154</v>
      </c>
      <c r="L739" s="0" t="s">
        <v>306</v>
      </c>
      <c r="M739" s="0" t="s">
        <v>802</v>
      </c>
      <c r="N739" s="0" t="s">
        <v>952</v>
      </c>
      <c r="O739" s="0" t="s">
        <v>425</v>
      </c>
      <c r="Q739" s="0" t="s">
        <v>130</v>
      </c>
      <c r="R739" s="0" t="s">
        <v>138</v>
      </c>
      <c r="S739" s="14">
        <v>0</v>
      </c>
      <c r="T739" s="0" t="s">
        <v>359</v>
      </c>
      <c r="U739" s="0" t="s">
        <v>138</v>
      </c>
      <c r="V739" s="14" t="s">
        <v>138</v>
      </c>
      <c r="W739" s="0" t="s">
        <v>138</v>
      </c>
      <c r="X739" s="14" t="s">
        <v>138</v>
      </c>
      <c r="Y739" s="0" t="s">
        <v>138</v>
      </c>
      <c r="Z739" s="14" t="s">
        <v>138</v>
      </c>
      <c r="AA739" s="0" t="s">
        <v>138</v>
      </c>
      <c r="AB739" s="14" t="s">
        <v>138</v>
      </c>
      <c r="AD739" s="0" t="s">
        <v>138</v>
      </c>
      <c r="AF739" s="0">
        <v>0</v>
      </c>
      <c r="AG739" s="0">
        <v>0</v>
      </c>
      <c r="AH739" s="0" t="s">
        <v>140</v>
      </c>
      <c r="AI739" s="0" t="s">
        <v>138</v>
      </c>
      <c r="AL739" s="14"/>
      <c r="AN739" s="14"/>
      <c r="AQ739" s="0" t="s">
        <v>130</v>
      </c>
      <c r="AR739" s="0" t="s">
        <v>130</v>
      </c>
      <c r="AS739" s="0" t="s">
        <v>130</v>
      </c>
      <c r="AT739" s="0" t="s">
        <v>130</v>
      </c>
      <c r="AU739" s="0" t="s">
        <v>130</v>
      </c>
      <c r="AV739" s="0" t="s">
        <v>130</v>
      </c>
      <c r="AW739" s="0" t="s">
        <v>130</v>
      </c>
      <c r="AX739" s="0" t="s">
        <v>141</v>
      </c>
      <c r="AY739" s="0" t="s">
        <v>130</v>
      </c>
      <c r="AZ739" s="0" t="s">
        <v>130</v>
      </c>
      <c r="BA739" s="0" t="s">
        <v>130</v>
      </c>
      <c r="BB739" s="0" t="s">
        <v>130</v>
      </c>
      <c r="BC739" s="0" t="s">
        <v>130</v>
      </c>
      <c r="BD739" s="0" t="s">
        <v>130</v>
      </c>
      <c r="BE739" s="0" t="s">
        <v>130</v>
      </c>
      <c r="BF739" s="0" t="s">
        <v>130</v>
      </c>
      <c r="BG739" s="0" t="s">
        <v>130</v>
      </c>
      <c r="BH739" s="0" t="s">
        <v>130</v>
      </c>
      <c r="BI739" s="0" t="s">
        <v>130</v>
      </c>
      <c r="BJ739" s="0" t="s">
        <v>130</v>
      </c>
      <c r="BK739" s="0" t="s">
        <v>130</v>
      </c>
      <c r="BL739" s="0" t="s">
        <v>130</v>
      </c>
      <c r="BM739" s="0" t="s">
        <v>130</v>
      </c>
      <c r="BN739" s="0" t="s">
        <v>130</v>
      </c>
      <c r="BO739" s="0" t="s">
        <v>130</v>
      </c>
      <c r="BP739" s="0" t="s">
        <v>130</v>
      </c>
      <c r="BQ739" s="0" t="s">
        <v>130</v>
      </c>
      <c r="BR739" s="0" t="s">
        <v>130</v>
      </c>
      <c r="BS739" s="0" t="s">
        <v>130</v>
      </c>
      <c r="BT739" s="0" t="s">
        <v>130</v>
      </c>
      <c r="BU739" s="0" t="s">
        <v>130</v>
      </c>
      <c r="BV739" s="0" t="s">
        <v>130</v>
      </c>
      <c r="BW739" s="0" t="s">
        <v>130</v>
      </c>
      <c r="BX739" s="0" t="s">
        <v>130</v>
      </c>
      <c r="BY739" s="0" t="s">
        <v>130</v>
      </c>
      <c r="BZ739" s="0" t="s">
        <v>130</v>
      </c>
      <c r="CA739" s="0" t="s">
        <v>130</v>
      </c>
      <c r="CB739" s="0" t="s">
        <v>130</v>
      </c>
      <c r="CC739" s="0" t="s">
        <v>130</v>
      </c>
      <c r="CD739" s="0" t="s">
        <v>130</v>
      </c>
      <c r="CE739" s="0" t="s">
        <v>130</v>
      </c>
      <c r="CF739" s="0" t="s">
        <v>130</v>
      </c>
      <c r="CG739" s="0" t="s">
        <v>130</v>
      </c>
      <c r="CH739" s="0" t="s">
        <v>130</v>
      </c>
      <c r="CI739" s="0" t="s">
        <v>130</v>
      </c>
      <c r="CJ739" s="0" t="s">
        <v>130</v>
      </c>
      <c r="CK739" s="0" t="s">
        <v>130</v>
      </c>
      <c r="CL739" s="0" t="s">
        <v>130</v>
      </c>
      <c r="CM739" s="0" t="s">
        <v>130</v>
      </c>
      <c r="CN739" s="0" t="s">
        <v>130</v>
      </c>
      <c r="CO739" s="0" t="s">
        <v>130</v>
      </c>
      <c r="CP739" s="0" t="s">
        <v>130</v>
      </c>
      <c r="CQ739" s="0" t="s">
        <v>130</v>
      </c>
      <c r="CR739" s="0" t="s">
        <v>130</v>
      </c>
      <c r="CS739" s="0" t="s">
        <v>130</v>
      </c>
      <c r="CT739" s="0" t="s">
        <v>2348</v>
      </c>
    </row>
    <row r="740">
      <c r="A740" s="14">
        <v>115114</v>
      </c>
      <c r="B740" s="0" t="s">
        <v>2319</v>
      </c>
      <c r="C740" s="16">
        <f>HYPERLINK("https://eosportal.federatedhermes.com/companies/Q29tcGFueQppNTU3NDE=", "Toyota Motor Corp")</f>
      </c>
      <c r="D740" s="0" t="s">
        <v>25</v>
      </c>
      <c r="E740" s="0" t="s">
        <v>2349</v>
      </c>
      <c r="F740" s="16">
        <f>HYPERLINK("https://eosportal.federatedhermes.com/engagements/RW5nYWdlbWVudAppMjE5NTM=", "Data and information security")</f>
      </c>
      <c r="G740" s="14" t="s">
        <v>2350</v>
      </c>
      <c r="H740" s="0" t="s">
        <v>141</v>
      </c>
      <c r="I740" s="14" t="s">
        <v>1645</v>
      </c>
      <c r="J740" s="0" t="s">
        <v>132</v>
      </c>
      <c r="K740" s="0" t="s">
        <v>260</v>
      </c>
      <c r="L740" s="0" t="s">
        <v>743</v>
      </c>
      <c r="M740" s="0" t="s">
        <v>802</v>
      </c>
      <c r="N740" s="0" t="s">
        <v>952</v>
      </c>
      <c r="O740" s="0" t="s">
        <v>425</v>
      </c>
      <c r="Q740" s="0" t="s">
        <v>130</v>
      </c>
      <c r="R740" s="0" t="s">
        <v>138</v>
      </c>
      <c r="S740" s="14">
        <v>0</v>
      </c>
      <c r="T740" s="0" t="s">
        <v>359</v>
      </c>
      <c r="U740" s="0" t="s">
        <v>138</v>
      </c>
      <c r="V740" s="14" t="s">
        <v>138</v>
      </c>
      <c r="W740" s="0" t="s">
        <v>138</v>
      </c>
      <c r="X740" s="14" t="s">
        <v>138</v>
      </c>
      <c r="Y740" s="0" t="s">
        <v>138</v>
      </c>
      <c r="Z740" s="14" t="s">
        <v>138</v>
      </c>
      <c r="AA740" s="0" t="s">
        <v>138</v>
      </c>
      <c r="AB740" s="14" t="s">
        <v>138</v>
      </c>
      <c r="AD740" s="0" t="s">
        <v>138</v>
      </c>
      <c r="AF740" s="0">
        <v>0</v>
      </c>
      <c r="AG740" s="0">
        <v>0</v>
      </c>
      <c r="AH740" s="0" t="s">
        <v>140</v>
      </c>
      <c r="AI740" s="0" t="s">
        <v>138</v>
      </c>
      <c r="AL740" s="14"/>
      <c r="AN740" s="14"/>
      <c r="AQ740" s="0" t="s">
        <v>130</v>
      </c>
      <c r="AR740" s="0" t="s">
        <v>130</v>
      </c>
      <c r="AS740" s="0" t="s">
        <v>130</v>
      </c>
      <c r="AT740" s="0" t="s">
        <v>130</v>
      </c>
      <c r="AU740" s="0" t="s">
        <v>130</v>
      </c>
      <c r="AV740" s="0" t="s">
        <v>130</v>
      </c>
      <c r="AW740" s="0" t="s">
        <v>130</v>
      </c>
      <c r="AX740" s="0" t="s">
        <v>130</v>
      </c>
      <c r="AY740" s="0" t="s">
        <v>130</v>
      </c>
      <c r="AZ740" s="0" t="s">
        <v>130</v>
      </c>
      <c r="BA740" s="0" t="s">
        <v>130</v>
      </c>
      <c r="BB740" s="0" t="s">
        <v>130</v>
      </c>
      <c r="BC740" s="0" t="s">
        <v>130</v>
      </c>
      <c r="BD740" s="0" t="s">
        <v>130</v>
      </c>
      <c r="BE740" s="0" t="s">
        <v>130</v>
      </c>
      <c r="BF740" s="0" t="s">
        <v>130</v>
      </c>
      <c r="BG740" s="0" t="s">
        <v>130</v>
      </c>
      <c r="BH740" s="0" t="s">
        <v>130</v>
      </c>
      <c r="BI740" s="0" t="s">
        <v>130</v>
      </c>
      <c r="BJ740" s="0" t="s">
        <v>130</v>
      </c>
      <c r="BK740" s="0" t="s">
        <v>130</v>
      </c>
      <c r="BL740" s="0" t="s">
        <v>130</v>
      </c>
      <c r="BM740" s="0" t="s">
        <v>130</v>
      </c>
      <c r="BN740" s="0" t="s">
        <v>130</v>
      </c>
      <c r="BO740" s="0" t="s">
        <v>130</v>
      </c>
      <c r="BP740" s="0" t="s">
        <v>130</v>
      </c>
      <c r="BQ740" s="0" t="s">
        <v>130</v>
      </c>
      <c r="BR740" s="0" t="s">
        <v>130</v>
      </c>
      <c r="BS740" s="0" t="s">
        <v>130</v>
      </c>
      <c r="BT740" s="0" t="s">
        <v>130</v>
      </c>
      <c r="BU740" s="0" t="s">
        <v>130</v>
      </c>
      <c r="BV740" s="0" t="s">
        <v>130</v>
      </c>
      <c r="BW740" s="0" t="s">
        <v>130</v>
      </c>
      <c r="BX740" s="0" t="s">
        <v>130</v>
      </c>
      <c r="BY740" s="0" t="s">
        <v>130</v>
      </c>
      <c r="BZ740" s="0" t="s">
        <v>130</v>
      </c>
      <c r="CA740" s="0" t="s">
        <v>130</v>
      </c>
      <c r="CB740" s="0" t="s">
        <v>130</v>
      </c>
      <c r="CC740" s="0" t="s">
        <v>130</v>
      </c>
      <c r="CD740" s="0" t="s">
        <v>130</v>
      </c>
      <c r="CE740" s="0" t="s">
        <v>130</v>
      </c>
      <c r="CF740" s="0" t="s">
        <v>130</v>
      </c>
      <c r="CG740" s="0" t="s">
        <v>130</v>
      </c>
      <c r="CH740" s="0" t="s">
        <v>130</v>
      </c>
      <c r="CI740" s="0" t="s">
        <v>130</v>
      </c>
      <c r="CJ740" s="0" t="s">
        <v>130</v>
      </c>
      <c r="CK740" s="0" t="s">
        <v>130</v>
      </c>
      <c r="CL740" s="0" t="s">
        <v>130</v>
      </c>
      <c r="CM740" s="0" t="s">
        <v>130</v>
      </c>
      <c r="CN740" s="0" t="s">
        <v>130</v>
      </c>
      <c r="CO740" s="0" t="s">
        <v>130</v>
      </c>
      <c r="CP740" s="0" t="s">
        <v>130</v>
      </c>
      <c r="CQ740" s="0" t="s">
        <v>130</v>
      </c>
      <c r="CR740" s="0" t="s">
        <v>130</v>
      </c>
      <c r="CS740" s="0" t="s">
        <v>130</v>
      </c>
      <c r="CT740" s="0" t="s">
        <v>2351</v>
      </c>
    </row>
    <row r="741">
      <c r="A741" s="14">
        <v>115230</v>
      </c>
      <c r="B741" s="0" t="s">
        <v>2352</v>
      </c>
      <c r="C741" s="16">
        <f>HYPERLINK("https://eosportal.federatedhermes.com/companies/Q29tcGFueQppNjI0OTg=", "Air Liquide SA")</f>
      </c>
      <c r="D741" s="0" t="s">
        <v>25</v>
      </c>
      <c r="E741" s="0" t="s">
        <v>1096</v>
      </c>
      <c r="F741" s="16">
        <f>HYPERLINK("https://eosportal.federatedhermes.com/engagements/RW5nYWdlbWVudAppMjE5ODI=", "Human capital reporting - Workforce Disclosure Initiative")</f>
      </c>
      <c r="G741" s="14" t="s">
        <v>2353</v>
      </c>
      <c r="H741" s="0" t="s">
        <v>141</v>
      </c>
      <c r="I741" s="14" t="s">
        <v>1645</v>
      </c>
      <c r="J741" s="0" t="s">
        <v>132</v>
      </c>
      <c r="K741" s="0" t="s">
        <v>133</v>
      </c>
      <c r="L741" s="0" t="s">
        <v>160</v>
      </c>
      <c r="M741" s="0" t="s">
        <v>378</v>
      </c>
      <c r="N741" s="0" t="s">
        <v>1646</v>
      </c>
      <c r="O741" s="0" t="s">
        <v>706</v>
      </c>
      <c r="Q741" s="0" t="s">
        <v>130</v>
      </c>
      <c r="R741" s="0" t="s">
        <v>138</v>
      </c>
      <c r="S741" s="14">
        <v>0</v>
      </c>
      <c r="T741" s="0" t="s">
        <v>487</v>
      </c>
      <c r="U741" s="0" t="s">
        <v>138</v>
      </c>
      <c r="V741" s="14" t="s">
        <v>138</v>
      </c>
      <c r="W741" s="0" t="s">
        <v>138</v>
      </c>
      <c r="X741" s="14" t="s">
        <v>138</v>
      </c>
      <c r="Y741" s="0" t="s">
        <v>138</v>
      </c>
      <c r="Z741" s="14" t="s">
        <v>138</v>
      </c>
      <c r="AA741" s="0" t="s">
        <v>138</v>
      </c>
      <c r="AB741" s="14" t="s">
        <v>138</v>
      </c>
      <c r="AD741" s="0" t="s">
        <v>138</v>
      </c>
      <c r="AF741" s="0">
        <v>0</v>
      </c>
      <c r="AG741" s="0">
        <v>0</v>
      </c>
      <c r="AH741" s="0" t="s">
        <v>140</v>
      </c>
      <c r="AI741" s="0" t="s">
        <v>138</v>
      </c>
      <c r="AL741" s="14"/>
      <c r="AN741" s="14"/>
      <c r="AQ741" s="0" t="s">
        <v>130</v>
      </c>
      <c r="AR741" s="0" t="s">
        <v>130</v>
      </c>
      <c r="AS741" s="0" t="s">
        <v>130</v>
      </c>
      <c r="AT741" s="0" t="s">
        <v>130</v>
      </c>
      <c r="AU741" s="0" t="s">
        <v>130</v>
      </c>
      <c r="AV741" s="0" t="s">
        <v>130</v>
      </c>
      <c r="AW741" s="0" t="s">
        <v>130</v>
      </c>
      <c r="AX741" s="0" t="s">
        <v>130</v>
      </c>
      <c r="AY741" s="0" t="s">
        <v>130</v>
      </c>
      <c r="AZ741" s="0" t="s">
        <v>130</v>
      </c>
      <c r="BA741" s="0" t="s">
        <v>130</v>
      </c>
      <c r="BB741" s="0" t="s">
        <v>130</v>
      </c>
      <c r="BC741" s="0" t="s">
        <v>130</v>
      </c>
      <c r="BD741" s="0" t="s">
        <v>130</v>
      </c>
      <c r="BE741" s="0" t="s">
        <v>130</v>
      </c>
      <c r="BF741" s="0" t="s">
        <v>130</v>
      </c>
      <c r="BG741" s="0" t="s">
        <v>130</v>
      </c>
      <c r="BH741" s="0" t="s">
        <v>130</v>
      </c>
      <c r="BI741" s="0" t="s">
        <v>130</v>
      </c>
      <c r="BJ741" s="0" t="s">
        <v>130</v>
      </c>
      <c r="BK741" s="0" t="s">
        <v>130</v>
      </c>
      <c r="BL741" s="0" t="s">
        <v>130</v>
      </c>
      <c r="BM741" s="0" t="s">
        <v>130</v>
      </c>
      <c r="BN741" s="0" t="s">
        <v>130</v>
      </c>
      <c r="BO741" s="0" t="s">
        <v>130</v>
      </c>
      <c r="BP741" s="0" t="s">
        <v>130</v>
      </c>
      <c r="BQ741" s="0" t="s">
        <v>130</v>
      </c>
      <c r="BR741" s="0" t="s">
        <v>130</v>
      </c>
      <c r="BS741" s="0" t="s">
        <v>130</v>
      </c>
      <c r="BT741" s="0" t="s">
        <v>130</v>
      </c>
      <c r="BU741" s="0" t="s">
        <v>130</v>
      </c>
      <c r="BV741" s="0" t="s">
        <v>130</v>
      </c>
      <c r="BW741" s="0" t="s">
        <v>130</v>
      </c>
      <c r="BX741" s="0" t="s">
        <v>130</v>
      </c>
      <c r="BY741" s="0" t="s">
        <v>130</v>
      </c>
      <c r="BZ741" s="0" t="s">
        <v>130</v>
      </c>
      <c r="CA741" s="0" t="s">
        <v>130</v>
      </c>
      <c r="CB741" s="0" t="s">
        <v>130</v>
      </c>
      <c r="CC741" s="0" t="s">
        <v>130</v>
      </c>
      <c r="CD741" s="0" t="s">
        <v>130</v>
      </c>
      <c r="CE741" s="0" t="s">
        <v>130</v>
      </c>
      <c r="CF741" s="0" t="s">
        <v>130</v>
      </c>
      <c r="CG741" s="0" t="s">
        <v>130</v>
      </c>
      <c r="CH741" s="0" t="s">
        <v>130</v>
      </c>
      <c r="CI741" s="0" t="s">
        <v>130</v>
      </c>
      <c r="CJ741" s="0" t="s">
        <v>130</v>
      </c>
      <c r="CK741" s="0" t="s">
        <v>130</v>
      </c>
      <c r="CL741" s="0" t="s">
        <v>130</v>
      </c>
      <c r="CM741" s="0" t="s">
        <v>130</v>
      </c>
      <c r="CN741" s="0" t="s">
        <v>130</v>
      </c>
      <c r="CO741" s="0" t="s">
        <v>130</v>
      </c>
      <c r="CP741" s="0" t="s">
        <v>130</v>
      </c>
      <c r="CQ741" s="0" t="s">
        <v>130</v>
      </c>
      <c r="CR741" s="0" t="s">
        <v>130</v>
      </c>
      <c r="CS741" s="0" t="s">
        <v>130</v>
      </c>
      <c r="CT741" s="0" t="s">
        <v>2354</v>
      </c>
    </row>
    <row r="742">
      <c r="A742" s="14">
        <v>115230</v>
      </c>
      <c r="B742" s="0" t="s">
        <v>2352</v>
      </c>
      <c r="C742" s="16">
        <f>HYPERLINK("https://eosportal.federatedhermes.com/companies/Q29tcGFueQppNjI0OTg=", "Air Liquide SA")</f>
      </c>
      <c r="D742" s="0" t="s">
        <v>25</v>
      </c>
      <c r="E742" s="0" t="s">
        <v>2355</v>
      </c>
      <c r="F742" s="16">
        <f>HYPERLINK("https://eosportal.federatedhermes.com/engagements/RW5nYWdlbWVudAppMjE5ODM=", "Executive remuneration - improving dislcosure")</f>
      </c>
      <c r="G742" s="14" t="s">
        <v>2356</v>
      </c>
      <c r="H742" s="0" t="s">
        <v>141</v>
      </c>
      <c r="I742" s="14" t="s">
        <v>1645</v>
      </c>
      <c r="J742" s="0" t="s">
        <v>145</v>
      </c>
      <c r="K742" s="0" t="s">
        <v>146</v>
      </c>
      <c r="L742" s="0" t="s">
        <v>147</v>
      </c>
      <c r="M742" s="0" t="s">
        <v>378</v>
      </c>
      <c r="N742" s="0" t="s">
        <v>1646</v>
      </c>
      <c r="O742" s="0" t="s">
        <v>706</v>
      </c>
      <c r="Q742" s="0" t="s">
        <v>141</v>
      </c>
      <c r="R742" s="0" t="s">
        <v>138</v>
      </c>
      <c r="S742" s="14">
        <v>2</v>
      </c>
      <c r="T742" s="0" t="s">
        <v>166</v>
      </c>
      <c r="U742" s="0" t="s">
        <v>138</v>
      </c>
      <c r="V742" s="14" t="s">
        <v>138</v>
      </c>
      <c r="W742" s="0" t="s">
        <v>138</v>
      </c>
      <c r="X742" s="14" t="s">
        <v>138</v>
      </c>
      <c r="Y742" s="0" t="s">
        <v>138</v>
      </c>
      <c r="Z742" s="14" t="s">
        <v>138</v>
      </c>
      <c r="AA742" s="0" t="s">
        <v>138</v>
      </c>
      <c r="AB742" s="14" t="s">
        <v>138</v>
      </c>
      <c r="AD742" s="0" t="s">
        <v>138</v>
      </c>
      <c r="AF742" s="0">
        <v>0</v>
      </c>
      <c r="AG742" s="0">
        <v>0</v>
      </c>
      <c r="AH742" s="0" t="s">
        <v>140</v>
      </c>
      <c r="AI742" s="0" t="s">
        <v>138</v>
      </c>
      <c r="AK742" s="0" t="s">
        <v>436</v>
      </c>
      <c r="AL742" s="14"/>
      <c r="AN742" s="14"/>
      <c r="AQ742" s="0" t="s">
        <v>130</v>
      </c>
      <c r="AR742" s="0" t="s">
        <v>130</v>
      </c>
      <c r="AS742" s="0" t="s">
        <v>130</v>
      </c>
      <c r="AT742" s="0" t="s">
        <v>130</v>
      </c>
      <c r="AU742" s="0" t="s">
        <v>130</v>
      </c>
      <c r="AV742" s="0" t="s">
        <v>130</v>
      </c>
      <c r="AW742" s="0" t="s">
        <v>130</v>
      </c>
      <c r="AX742" s="0" t="s">
        <v>130</v>
      </c>
      <c r="AY742" s="0" t="s">
        <v>130</v>
      </c>
      <c r="AZ742" s="0" t="s">
        <v>130</v>
      </c>
      <c r="BA742" s="0" t="s">
        <v>130</v>
      </c>
      <c r="BB742" s="0" t="s">
        <v>130</v>
      </c>
      <c r="BC742" s="0" t="s">
        <v>130</v>
      </c>
      <c r="BD742" s="0" t="s">
        <v>130</v>
      </c>
      <c r="BE742" s="0" t="s">
        <v>130</v>
      </c>
      <c r="BF742" s="0" t="s">
        <v>130</v>
      </c>
      <c r="BG742" s="0" t="s">
        <v>130</v>
      </c>
      <c r="BH742" s="0" t="s">
        <v>130</v>
      </c>
      <c r="BI742" s="0" t="s">
        <v>130</v>
      </c>
      <c r="BJ742" s="0" t="s">
        <v>130</v>
      </c>
      <c r="BK742" s="0" t="s">
        <v>130</v>
      </c>
      <c r="BL742" s="0" t="s">
        <v>130</v>
      </c>
      <c r="BM742" s="0" t="s">
        <v>130</v>
      </c>
      <c r="BN742" s="0" t="s">
        <v>130</v>
      </c>
      <c r="BO742" s="0" t="s">
        <v>130</v>
      </c>
      <c r="BP742" s="0" t="s">
        <v>130</v>
      </c>
      <c r="BQ742" s="0" t="s">
        <v>130</v>
      </c>
      <c r="BR742" s="0" t="s">
        <v>130</v>
      </c>
      <c r="BS742" s="0" t="s">
        <v>130</v>
      </c>
      <c r="BT742" s="0" t="s">
        <v>130</v>
      </c>
      <c r="BU742" s="0" t="s">
        <v>130</v>
      </c>
      <c r="BV742" s="0" t="s">
        <v>130</v>
      </c>
      <c r="BW742" s="0" t="s">
        <v>130</v>
      </c>
      <c r="BX742" s="0" t="s">
        <v>130</v>
      </c>
      <c r="BY742" s="0" t="s">
        <v>130</v>
      </c>
      <c r="BZ742" s="0" t="s">
        <v>130</v>
      </c>
      <c r="CA742" s="0" t="s">
        <v>130</v>
      </c>
      <c r="CB742" s="0" t="s">
        <v>130</v>
      </c>
      <c r="CC742" s="0" t="s">
        <v>130</v>
      </c>
      <c r="CD742" s="0" t="s">
        <v>130</v>
      </c>
      <c r="CE742" s="0" t="s">
        <v>130</v>
      </c>
      <c r="CF742" s="0" t="s">
        <v>130</v>
      </c>
      <c r="CG742" s="0" t="s">
        <v>130</v>
      </c>
      <c r="CH742" s="0" t="s">
        <v>130</v>
      </c>
      <c r="CI742" s="0" t="s">
        <v>130</v>
      </c>
      <c r="CJ742" s="0" t="s">
        <v>130</v>
      </c>
      <c r="CK742" s="0" t="s">
        <v>130</v>
      </c>
      <c r="CL742" s="0" t="s">
        <v>130</v>
      </c>
      <c r="CM742" s="0" t="s">
        <v>130</v>
      </c>
      <c r="CN742" s="0" t="s">
        <v>130</v>
      </c>
      <c r="CO742" s="0" t="s">
        <v>130</v>
      </c>
      <c r="CP742" s="0" t="s">
        <v>130</v>
      </c>
      <c r="CQ742" s="0" t="s">
        <v>130</v>
      </c>
      <c r="CR742" s="0" t="s">
        <v>130</v>
      </c>
      <c r="CS742" s="0" t="s">
        <v>130</v>
      </c>
      <c r="CT742" s="0" t="s">
        <v>2357</v>
      </c>
    </row>
    <row r="743">
      <c r="A743" s="14">
        <v>115230</v>
      </c>
      <c r="B743" s="0" t="s">
        <v>2352</v>
      </c>
      <c r="C743" s="16">
        <f>HYPERLINK("https://eosportal.federatedhermes.com/companies/Q29tcGFueQppNjI0OTg=", "Air Liquide SA")</f>
      </c>
      <c r="D743" s="0" t="s">
        <v>25</v>
      </c>
      <c r="E743" s="0" t="s">
        <v>2358</v>
      </c>
      <c r="F743" s="16">
        <f>HYPERLINK("https://eosportal.federatedhermes.com/engagements/RW5nYWdlbWVudAppMjE5ODQ=", "Approach to environmental challenges")</f>
      </c>
      <c r="G743" s="14" t="s">
        <v>2359</v>
      </c>
      <c r="H743" s="0" t="s">
        <v>141</v>
      </c>
      <c r="I743" s="14" t="s">
        <v>1645</v>
      </c>
      <c r="J743" s="0" t="s">
        <v>197</v>
      </c>
      <c r="K743" s="0" t="s">
        <v>348</v>
      </c>
      <c r="L743" s="0" t="s">
        <v>650</v>
      </c>
      <c r="M743" s="0" t="s">
        <v>378</v>
      </c>
      <c r="N743" s="0" t="s">
        <v>1646</v>
      </c>
      <c r="O743" s="0" t="s">
        <v>706</v>
      </c>
      <c r="Q743" s="0" t="s">
        <v>141</v>
      </c>
      <c r="R743" s="0" t="s">
        <v>138</v>
      </c>
      <c r="S743" s="14">
        <v>2</v>
      </c>
      <c r="T743" s="0" t="s">
        <v>583</v>
      </c>
      <c r="U743" s="0" t="s">
        <v>138</v>
      </c>
      <c r="V743" s="14" t="s">
        <v>138</v>
      </c>
      <c r="W743" s="0" t="s">
        <v>138</v>
      </c>
      <c r="X743" s="14" t="s">
        <v>138</v>
      </c>
      <c r="Y743" s="0" t="s">
        <v>138</v>
      </c>
      <c r="Z743" s="14" t="s">
        <v>138</v>
      </c>
      <c r="AA743" s="0" t="s">
        <v>138</v>
      </c>
      <c r="AB743" s="14" t="s">
        <v>138</v>
      </c>
      <c r="AD743" s="0" t="s">
        <v>138</v>
      </c>
      <c r="AF743" s="0">
        <v>0</v>
      </c>
      <c r="AG743" s="0">
        <v>0</v>
      </c>
      <c r="AH743" s="0" t="s">
        <v>140</v>
      </c>
      <c r="AI743" s="0" t="s">
        <v>138</v>
      </c>
      <c r="AK743" s="0" t="s">
        <v>1668</v>
      </c>
      <c r="AL743" s="14"/>
      <c r="AN743" s="14"/>
      <c r="AQ743" s="0" t="s">
        <v>130</v>
      </c>
      <c r="AR743" s="0" t="s">
        <v>130</v>
      </c>
      <c r="AS743" s="0" t="s">
        <v>141</v>
      </c>
      <c r="AT743" s="0" t="s">
        <v>130</v>
      </c>
      <c r="AU743" s="0" t="s">
        <v>130</v>
      </c>
      <c r="AV743" s="0" t="s">
        <v>130</v>
      </c>
      <c r="AW743" s="0" t="s">
        <v>130</v>
      </c>
      <c r="AX743" s="0" t="s">
        <v>130</v>
      </c>
      <c r="AY743" s="0" t="s">
        <v>130</v>
      </c>
      <c r="AZ743" s="0" t="s">
        <v>130</v>
      </c>
      <c r="BA743" s="0" t="s">
        <v>130</v>
      </c>
      <c r="BB743" s="0" t="s">
        <v>141</v>
      </c>
      <c r="BC743" s="0" t="s">
        <v>130</v>
      </c>
      <c r="BD743" s="0" t="s">
        <v>130</v>
      </c>
      <c r="BE743" s="0" t="s">
        <v>130</v>
      </c>
      <c r="BF743" s="0" t="s">
        <v>130</v>
      </c>
      <c r="BG743" s="0" t="s">
        <v>130</v>
      </c>
      <c r="BH743" s="0" t="s">
        <v>130</v>
      </c>
      <c r="BI743" s="0" t="s">
        <v>130</v>
      </c>
      <c r="BJ743" s="0" t="s">
        <v>130</v>
      </c>
      <c r="BK743" s="0" t="s">
        <v>130</v>
      </c>
      <c r="BL743" s="0" t="s">
        <v>130</v>
      </c>
      <c r="BM743" s="0" t="s">
        <v>130</v>
      </c>
      <c r="BN743" s="0" t="s">
        <v>130</v>
      </c>
      <c r="BO743" s="0" t="s">
        <v>130</v>
      </c>
      <c r="BP743" s="0" t="s">
        <v>130</v>
      </c>
      <c r="BQ743" s="0" t="s">
        <v>130</v>
      </c>
      <c r="BR743" s="0" t="s">
        <v>130</v>
      </c>
      <c r="BS743" s="0" t="s">
        <v>130</v>
      </c>
      <c r="BT743" s="0" t="s">
        <v>130</v>
      </c>
      <c r="BU743" s="0" t="s">
        <v>130</v>
      </c>
      <c r="BV743" s="0" t="s">
        <v>130</v>
      </c>
      <c r="BW743" s="0" t="s">
        <v>130</v>
      </c>
      <c r="BX743" s="0" t="s">
        <v>130</v>
      </c>
      <c r="BY743" s="0" t="s">
        <v>130</v>
      </c>
      <c r="BZ743" s="0" t="s">
        <v>130</v>
      </c>
      <c r="CA743" s="0" t="s">
        <v>130</v>
      </c>
      <c r="CB743" s="0" t="s">
        <v>130</v>
      </c>
      <c r="CC743" s="0" t="s">
        <v>130</v>
      </c>
      <c r="CD743" s="0" t="s">
        <v>130</v>
      </c>
      <c r="CE743" s="0" t="s">
        <v>130</v>
      </c>
      <c r="CF743" s="0" t="s">
        <v>130</v>
      </c>
      <c r="CG743" s="0" t="s">
        <v>130</v>
      </c>
      <c r="CH743" s="0" t="s">
        <v>130</v>
      </c>
      <c r="CI743" s="0" t="s">
        <v>130</v>
      </c>
      <c r="CJ743" s="0" t="s">
        <v>130</v>
      </c>
      <c r="CK743" s="0" t="s">
        <v>130</v>
      </c>
      <c r="CL743" s="0" t="s">
        <v>130</v>
      </c>
      <c r="CM743" s="0" t="s">
        <v>130</v>
      </c>
      <c r="CN743" s="0" t="s">
        <v>130</v>
      </c>
      <c r="CO743" s="0" t="s">
        <v>130</v>
      </c>
      <c r="CP743" s="0" t="s">
        <v>130</v>
      </c>
      <c r="CQ743" s="0" t="s">
        <v>130</v>
      </c>
      <c r="CR743" s="0" t="s">
        <v>130</v>
      </c>
      <c r="CS743" s="0" t="s">
        <v>130</v>
      </c>
      <c r="CT743" s="0" t="s">
        <v>2360</v>
      </c>
    </row>
    <row r="744">
      <c r="A744" s="14">
        <v>115230</v>
      </c>
      <c r="B744" s="0" t="s">
        <v>2352</v>
      </c>
      <c r="C744" s="16">
        <f>HYPERLINK("https://eosportal.federatedhermes.com/companies/Q29tcGFueQppNjI0OTg=", "Air Liquide SA")</f>
      </c>
      <c r="D744" s="0" t="s">
        <v>25</v>
      </c>
      <c r="E744" s="0" t="s">
        <v>907</v>
      </c>
      <c r="F744" s="16">
        <f>HYPERLINK("https://eosportal.federatedhermes.com/engagements/RW5nYWdlbWVudAppMjE5ODU=", "Climate change")</f>
      </c>
      <c r="G744" s="14" t="s">
        <v>2361</v>
      </c>
      <c r="H744" s="0" t="s">
        <v>141</v>
      </c>
      <c r="I744" s="14" t="s">
        <v>1645</v>
      </c>
      <c r="J744" s="0" t="s">
        <v>197</v>
      </c>
      <c r="K744" s="0" t="s">
        <v>198</v>
      </c>
      <c r="L744" s="0" t="s">
        <v>216</v>
      </c>
      <c r="M744" s="0" t="s">
        <v>378</v>
      </c>
      <c r="N744" s="0" t="s">
        <v>1646</v>
      </c>
      <c r="O744" s="0" t="s">
        <v>706</v>
      </c>
      <c r="Q744" s="0" t="s">
        <v>141</v>
      </c>
      <c r="R744" s="0" t="s">
        <v>138</v>
      </c>
      <c r="S744" s="14">
        <v>3</v>
      </c>
      <c r="T744" s="0" t="s">
        <v>230</v>
      </c>
      <c r="U744" s="0" t="s">
        <v>138</v>
      </c>
      <c r="V744" s="14" t="s">
        <v>138</v>
      </c>
      <c r="W744" s="0" t="s">
        <v>138</v>
      </c>
      <c r="X744" s="14" t="s">
        <v>138</v>
      </c>
      <c r="Y744" s="0" t="s">
        <v>138</v>
      </c>
      <c r="Z744" s="14" t="s">
        <v>138</v>
      </c>
      <c r="AA744" s="0" t="s">
        <v>138</v>
      </c>
      <c r="AB744" s="14" t="s">
        <v>138</v>
      </c>
      <c r="AD744" s="0" t="s">
        <v>138</v>
      </c>
      <c r="AF744" s="0">
        <v>0</v>
      </c>
      <c r="AG744" s="0">
        <v>0</v>
      </c>
      <c r="AH744" s="0" t="s">
        <v>140</v>
      </c>
      <c r="AI744" s="0" t="s">
        <v>138</v>
      </c>
      <c r="AK744" s="0" t="s">
        <v>1668</v>
      </c>
      <c r="AL744" s="14"/>
      <c r="AN744" s="14"/>
      <c r="AQ744" s="0" t="s">
        <v>130</v>
      </c>
      <c r="AR744" s="0" t="s">
        <v>130</v>
      </c>
      <c r="AS744" s="0" t="s">
        <v>130</v>
      </c>
      <c r="AT744" s="0" t="s">
        <v>130</v>
      </c>
      <c r="AU744" s="0" t="s">
        <v>130</v>
      </c>
      <c r="AV744" s="0" t="s">
        <v>130</v>
      </c>
      <c r="AW744" s="0" t="s">
        <v>141</v>
      </c>
      <c r="AX744" s="0" t="s">
        <v>130</v>
      </c>
      <c r="AY744" s="0" t="s">
        <v>130</v>
      </c>
      <c r="AZ744" s="0" t="s">
        <v>130</v>
      </c>
      <c r="BA744" s="0" t="s">
        <v>130</v>
      </c>
      <c r="BB744" s="0" t="s">
        <v>130</v>
      </c>
      <c r="BC744" s="0" t="s">
        <v>141</v>
      </c>
      <c r="BD744" s="0" t="s">
        <v>130</v>
      </c>
      <c r="BE744" s="0" t="s">
        <v>130</v>
      </c>
      <c r="BF744" s="0" t="s">
        <v>130</v>
      </c>
      <c r="BG744" s="0" t="s">
        <v>130</v>
      </c>
      <c r="BH744" s="0" t="s">
        <v>141</v>
      </c>
      <c r="BI744" s="0" t="s">
        <v>141</v>
      </c>
      <c r="BJ744" s="0" t="s">
        <v>141</v>
      </c>
      <c r="BK744" s="0" t="s">
        <v>130</v>
      </c>
      <c r="BL744" s="0" t="s">
        <v>130</v>
      </c>
      <c r="BM744" s="0" t="s">
        <v>130</v>
      </c>
      <c r="BN744" s="0" t="s">
        <v>130</v>
      </c>
      <c r="BO744" s="0" t="s">
        <v>130</v>
      </c>
      <c r="BP744" s="0" t="s">
        <v>130</v>
      </c>
      <c r="BQ744" s="0" t="s">
        <v>130</v>
      </c>
      <c r="BR744" s="0" t="s">
        <v>130</v>
      </c>
      <c r="BS744" s="0" t="s">
        <v>130</v>
      </c>
      <c r="BT744" s="0" t="s">
        <v>130</v>
      </c>
      <c r="BU744" s="0" t="s">
        <v>130</v>
      </c>
      <c r="BV744" s="0" t="s">
        <v>141</v>
      </c>
      <c r="BW744" s="0" t="s">
        <v>141</v>
      </c>
      <c r="BX744" s="0" t="s">
        <v>130</v>
      </c>
      <c r="BY744" s="0" t="s">
        <v>130</v>
      </c>
      <c r="BZ744" s="0" t="s">
        <v>130</v>
      </c>
      <c r="CA744" s="0" t="s">
        <v>130</v>
      </c>
      <c r="CB744" s="0" t="s">
        <v>130</v>
      </c>
      <c r="CC744" s="0" t="s">
        <v>130</v>
      </c>
      <c r="CD744" s="0" t="s">
        <v>130</v>
      </c>
      <c r="CE744" s="0" t="s">
        <v>130</v>
      </c>
      <c r="CF744" s="0" t="s">
        <v>130</v>
      </c>
      <c r="CG744" s="0" t="s">
        <v>130</v>
      </c>
      <c r="CH744" s="0" t="s">
        <v>130</v>
      </c>
      <c r="CI744" s="0" t="s">
        <v>130</v>
      </c>
      <c r="CJ744" s="0" t="s">
        <v>130</v>
      </c>
      <c r="CK744" s="0" t="s">
        <v>130</v>
      </c>
      <c r="CL744" s="0" t="s">
        <v>130</v>
      </c>
      <c r="CM744" s="0" t="s">
        <v>130</v>
      </c>
      <c r="CN744" s="0" t="s">
        <v>130</v>
      </c>
      <c r="CO744" s="0" t="s">
        <v>130</v>
      </c>
      <c r="CP744" s="0" t="s">
        <v>130</v>
      </c>
      <c r="CQ744" s="0" t="s">
        <v>130</v>
      </c>
      <c r="CR744" s="0" t="s">
        <v>130</v>
      </c>
      <c r="CS744" s="0" t="s">
        <v>130</v>
      </c>
      <c r="CT744" s="0" t="s">
        <v>2362</v>
      </c>
    </row>
    <row r="745">
      <c r="A745" s="14">
        <v>115230</v>
      </c>
      <c r="B745" s="0" t="s">
        <v>2352</v>
      </c>
      <c r="C745" s="16">
        <f>HYPERLINK("https://eosportal.federatedhermes.com/companies/Q29tcGFueQppNjI0OTg=", "Air Liquide SA")</f>
      </c>
      <c r="D745" s="0" t="s">
        <v>25</v>
      </c>
      <c r="E745" s="0" t="s">
        <v>2363</v>
      </c>
      <c r="F745" s="16">
        <f>HYPERLINK("https://eosportal.federatedhermes.com/engagements/RW5nYWdlbWVudAppMjE5ODY=", "Airgas integration")</f>
      </c>
      <c r="G745" s="14" t="s">
        <v>2364</v>
      </c>
      <c r="H745" s="0" t="s">
        <v>141</v>
      </c>
      <c r="I745" s="14" t="s">
        <v>1645</v>
      </c>
      <c r="J745" s="0" t="s">
        <v>132</v>
      </c>
      <c r="K745" s="0" t="s">
        <v>133</v>
      </c>
      <c r="L745" s="0" t="s">
        <v>160</v>
      </c>
      <c r="M745" s="0" t="s">
        <v>378</v>
      </c>
      <c r="N745" s="0" t="s">
        <v>1646</v>
      </c>
      <c r="O745" s="0" t="s">
        <v>706</v>
      </c>
      <c r="Q745" s="0" t="s">
        <v>130</v>
      </c>
      <c r="R745" s="0" t="s">
        <v>138</v>
      </c>
      <c r="S745" s="14">
        <v>0</v>
      </c>
      <c r="T745" s="0" t="s">
        <v>239</v>
      </c>
      <c r="U745" s="0" t="s">
        <v>138</v>
      </c>
      <c r="V745" s="14" t="s">
        <v>138</v>
      </c>
      <c r="W745" s="0" t="s">
        <v>138</v>
      </c>
      <c r="X745" s="14" t="s">
        <v>138</v>
      </c>
      <c r="Y745" s="0" t="s">
        <v>138</v>
      </c>
      <c r="Z745" s="14" t="s">
        <v>138</v>
      </c>
      <c r="AA745" s="0" t="s">
        <v>138</v>
      </c>
      <c r="AB745" s="14" t="s">
        <v>138</v>
      </c>
      <c r="AD745" s="0" t="s">
        <v>138</v>
      </c>
      <c r="AF745" s="0">
        <v>0</v>
      </c>
      <c r="AG745" s="0">
        <v>0</v>
      </c>
      <c r="AH745" s="0" t="s">
        <v>140</v>
      </c>
      <c r="AI745" s="0" t="s">
        <v>138</v>
      </c>
      <c r="AL745" s="14"/>
      <c r="AN745" s="14"/>
      <c r="AQ745" s="0" t="s">
        <v>130</v>
      </c>
      <c r="AR745" s="0" t="s">
        <v>130</v>
      </c>
      <c r="AS745" s="0" t="s">
        <v>130</v>
      </c>
      <c r="AT745" s="0" t="s">
        <v>130</v>
      </c>
      <c r="AU745" s="0" t="s">
        <v>130</v>
      </c>
      <c r="AV745" s="0" t="s">
        <v>130</v>
      </c>
      <c r="AW745" s="0" t="s">
        <v>130</v>
      </c>
      <c r="AX745" s="0" t="s">
        <v>130</v>
      </c>
      <c r="AY745" s="0" t="s">
        <v>130</v>
      </c>
      <c r="AZ745" s="0" t="s">
        <v>130</v>
      </c>
      <c r="BA745" s="0" t="s">
        <v>130</v>
      </c>
      <c r="BB745" s="0" t="s">
        <v>130</v>
      </c>
      <c r="BC745" s="0" t="s">
        <v>130</v>
      </c>
      <c r="BD745" s="0" t="s">
        <v>130</v>
      </c>
      <c r="BE745" s="0" t="s">
        <v>130</v>
      </c>
      <c r="BF745" s="0" t="s">
        <v>130</v>
      </c>
      <c r="BG745" s="0" t="s">
        <v>130</v>
      </c>
      <c r="BH745" s="0" t="s">
        <v>130</v>
      </c>
      <c r="BI745" s="0" t="s">
        <v>130</v>
      </c>
      <c r="BJ745" s="0" t="s">
        <v>130</v>
      </c>
      <c r="BK745" s="0" t="s">
        <v>130</v>
      </c>
      <c r="BL745" s="0" t="s">
        <v>130</v>
      </c>
      <c r="BM745" s="0" t="s">
        <v>130</v>
      </c>
      <c r="BN745" s="0" t="s">
        <v>130</v>
      </c>
      <c r="BO745" s="0" t="s">
        <v>130</v>
      </c>
      <c r="BP745" s="0" t="s">
        <v>130</v>
      </c>
      <c r="BQ745" s="0" t="s">
        <v>130</v>
      </c>
      <c r="BR745" s="0" t="s">
        <v>130</v>
      </c>
      <c r="BS745" s="0" t="s">
        <v>130</v>
      </c>
      <c r="BT745" s="0" t="s">
        <v>130</v>
      </c>
      <c r="BU745" s="0" t="s">
        <v>130</v>
      </c>
      <c r="BV745" s="0" t="s">
        <v>130</v>
      </c>
      <c r="BW745" s="0" t="s">
        <v>130</v>
      </c>
      <c r="BX745" s="0" t="s">
        <v>130</v>
      </c>
      <c r="BY745" s="0" t="s">
        <v>130</v>
      </c>
      <c r="BZ745" s="0" t="s">
        <v>130</v>
      </c>
      <c r="CA745" s="0" t="s">
        <v>130</v>
      </c>
      <c r="CB745" s="0" t="s">
        <v>130</v>
      </c>
      <c r="CC745" s="0" t="s">
        <v>130</v>
      </c>
      <c r="CD745" s="0" t="s">
        <v>130</v>
      </c>
      <c r="CE745" s="0" t="s">
        <v>130</v>
      </c>
      <c r="CF745" s="0" t="s">
        <v>130</v>
      </c>
      <c r="CG745" s="0" t="s">
        <v>130</v>
      </c>
      <c r="CH745" s="0" t="s">
        <v>130</v>
      </c>
      <c r="CI745" s="0" t="s">
        <v>130</v>
      </c>
      <c r="CJ745" s="0" t="s">
        <v>130</v>
      </c>
      <c r="CK745" s="0" t="s">
        <v>130</v>
      </c>
      <c r="CL745" s="0" t="s">
        <v>130</v>
      </c>
      <c r="CM745" s="0" t="s">
        <v>130</v>
      </c>
      <c r="CN745" s="0" t="s">
        <v>130</v>
      </c>
      <c r="CO745" s="0" t="s">
        <v>130</v>
      </c>
      <c r="CP745" s="0" t="s">
        <v>130</v>
      </c>
      <c r="CQ745" s="0" t="s">
        <v>130</v>
      </c>
      <c r="CR745" s="0" t="s">
        <v>130</v>
      </c>
      <c r="CS745" s="0" t="s">
        <v>130</v>
      </c>
      <c r="CT745" s="0" t="s">
        <v>2365</v>
      </c>
    </row>
    <row r="746">
      <c r="A746" s="14">
        <v>115245</v>
      </c>
      <c r="B746" s="0" t="s">
        <v>2366</v>
      </c>
      <c r="C746" s="16">
        <f>HYPERLINK("https://eosportal.federatedhermes.com/companies/Q29tcGFueQppODU4ODA=", "BNP Paribas SA")</f>
      </c>
      <c r="D746" s="0" t="s">
        <v>25</v>
      </c>
      <c r="E746" s="0" t="s">
        <v>2367</v>
      </c>
      <c r="F746" s="16">
        <f>HYPERLINK("https://eosportal.federatedhermes.com/engagements/RW5nYWdlbWVudAppMjIwMDM=", "External review of board performance")</f>
      </c>
      <c r="G746" s="14" t="s">
        <v>2368</v>
      </c>
      <c r="H746" s="0" t="s">
        <v>141</v>
      </c>
      <c r="I746" s="14" t="s">
        <v>131</v>
      </c>
      <c r="J746" s="0" t="s">
        <v>145</v>
      </c>
      <c r="K746" s="0" t="s">
        <v>164</v>
      </c>
      <c r="L746" s="0" t="s">
        <v>165</v>
      </c>
      <c r="M746" s="0" t="s">
        <v>378</v>
      </c>
      <c r="N746" s="0" t="s">
        <v>1646</v>
      </c>
      <c r="O746" s="0" t="s">
        <v>238</v>
      </c>
      <c r="Q746" s="0" t="s">
        <v>130</v>
      </c>
      <c r="R746" s="0" t="s">
        <v>138</v>
      </c>
      <c r="S746" s="14">
        <v>0</v>
      </c>
      <c r="T746" s="0" t="s">
        <v>591</v>
      </c>
      <c r="U746" s="0" t="s">
        <v>138</v>
      </c>
      <c r="V746" s="14" t="s">
        <v>138</v>
      </c>
      <c r="W746" s="0" t="s">
        <v>138</v>
      </c>
      <c r="X746" s="14" t="s">
        <v>138</v>
      </c>
      <c r="Y746" s="0" t="s">
        <v>138</v>
      </c>
      <c r="Z746" s="14" t="s">
        <v>138</v>
      </c>
      <c r="AA746" s="0" t="s">
        <v>138</v>
      </c>
      <c r="AB746" s="14" t="s">
        <v>138</v>
      </c>
      <c r="AD746" s="0" t="s">
        <v>138</v>
      </c>
      <c r="AF746" s="0">
        <v>0</v>
      </c>
      <c r="AG746" s="0">
        <v>0</v>
      </c>
      <c r="AH746" s="0" t="s">
        <v>140</v>
      </c>
      <c r="AI746" s="0" t="s">
        <v>138</v>
      </c>
      <c r="AL746" s="14"/>
      <c r="AN746" s="14"/>
      <c r="AQ746" s="0" t="s">
        <v>130</v>
      </c>
      <c r="AR746" s="0" t="s">
        <v>130</v>
      </c>
      <c r="AS746" s="0" t="s">
        <v>130</v>
      </c>
      <c r="AT746" s="0" t="s">
        <v>130</v>
      </c>
      <c r="AU746" s="0" t="s">
        <v>130</v>
      </c>
      <c r="AV746" s="0" t="s">
        <v>130</v>
      </c>
      <c r="AW746" s="0" t="s">
        <v>130</v>
      </c>
      <c r="AX746" s="0" t="s">
        <v>130</v>
      </c>
      <c r="AY746" s="0" t="s">
        <v>130</v>
      </c>
      <c r="AZ746" s="0" t="s">
        <v>130</v>
      </c>
      <c r="BA746" s="0" t="s">
        <v>130</v>
      </c>
      <c r="BB746" s="0" t="s">
        <v>130</v>
      </c>
      <c r="BC746" s="0" t="s">
        <v>130</v>
      </c>
      <c r="BD746" s="0" t="s">
        <v>130</v>
      </c>
      <c r="BE746" s="0" t="s">
        <v>130</v>
      </c>
      <c r="BF746" s="0" t="s">
        <v>130</v>
      </c>
      <c r="BG746" s="0" t="s">
        <v>130</v>
      </c>
      <c r="BH746" s="0" t="s">
        <v>130</v>
      </c>
      <c r="BI746" s="0" t="s">
        <v>130</v>
      </c>
      <c r="BJ746" s="0" t="s">
        <v>130</v>
      </c>
      <c r="BK746" s="0" t="s">
        <v>130</v>
      </c>
      <c r="BL746" s="0" t="s">
        <v>130</v>
      </c>
      <c r="BM746" s="0" t="s">
        <v>130</v>
      </c>
      <c r="BN746" s="0" t="s">
        <v>130</v>
      </c>
      <c r="BO746" s="0" t="s">
        <v>130</v>
      </c>
      <c r="BP746" s="0" t="s">
        <v>130</v>
      </c>
      <c r="BQ746" s="0" t="s">
        <v>130</v>
      </c>
      <c r="BR746" s="0" t="s">
        <v>130</v>
      </c>
      <c r="BS746" s="0" t="s">
        <v>130</v>
      </c>
      <c r="BT746" s="0" t="s">
        <v>130</v>
      </c>
      <c r="BU746" s="0" t="s">
        <v>130</v>
      </c>
      <c r="BV746" s="0" t="s">
        <v>130</v>
      </c>
      <c r="BW746" s="0" t="s">
        <v>130</v>
      </c>
      <c r="BX746" s="0" t="s">
        <v>130</v>
      </c>
      <c r="BY746" s="0" t="s">
        <v>130</v>
      </c>
      <c r="BZ746" s="0" t="s">
        <v>130</v>
      </c>
      <c r="CA746" s="0" t="s">
        <v>130</v>
      </c>
      <c r="CB746" s="0" t="s">
        <v>130</v>
      </c>
      <c r="CC746" s="0" t="s">
        <v>130</v>
      </c>
      <c r="CD746" s="0" t="s">
        <v>130</v>
      </c>
      <c r="CE746" s="0" t="s">
        <v>130</v>
      </c>
      <c r="CF746" s="0" t="s">
        <v>130</v>
      </c>
      <c r="CG746" s="0" t="s">
        <v>130</v>
      </c>
      <c r="CH746" s="0" t="s">
        <v>130</v>
      </c>
      <c r="CI746" s="0" t="s">
        <v>130</v>
      </c>
      <c r="CJ746" s="0" t="s">
        <v>130</v>
      </c>
      <c r="CK746" s="0" t="s">
        <v>130</v>
      </c>
      <c r="CL746" s="0" t="s">
        <v>130</v>
      </c>
      <c r="CM746" s="0" t="s">
        <v>130</v>
      </c>
      <c r="CN746" s="0" t="s">
        <v>130</v>
      </c>
      <c r="CO746" s="0" t="s">
        <v>130</v>
      </c>
      <c r="CP746" s="0" t="s">
        <v>130</v>
      </c>
      <c r="CQ746" s="0" t="s">
        <v>130</v>
      </c>
      <c r="CR746" s="0" t="s">
        <v>130</v>
      </c>
      <c r="CS746" s="0" t="s">
        <v>130</v>
      </c>
      <c r="CT746" s="0" t="s">
        <v>2369</v>
      </c>
    </row>
    <row r="747">
      <c r="A747" s="14">
        <v>115245</v>
      </c>
      <c r="B747" s="0" t="s">
        <v>2366</v>
      </c>
      <c r="C747" s="16">
        <f>HYPERLINK("https://eosportal.federatedhermes.com/companies/Q29tcGFueQppODU4ODA=", "BNP Paribas SA")</f>
      </c>
      <c r="D747" s="0" t="s">
        <v>25</v>
      </c>
      <c r="E747" s="0" t="s">
        <v>2370</v>
      </c>
      <c r="F747" s="16">
        <f>HYPERLINK("https://eosportal.federatedhermes.com/engagements/RW5nYWdlbWVudAppMjIwMDQ=", "Ethics and compliance")</f>
      </c>
      <c r="G747" s="14" t="s">
        <v>2371</v>
      </c>
      <c r="H747" s="0" t="s">
        <v>141</v>
      </c>
      <c r="I747" s="14" t="s">
        <v>131</v>
      </c>
      <c r="J747" s="0" t="s">
        <v>153</v>
      </c>
      <c r="K747" s="0" t="s">
        <v>185</v>
      </c>
      <c r="L747" s="0" t="s">
        <v>186</v>
      </c>
      <c r="M747" s="0" t="s">
        <v>378</v>
      </c>
      <c r="N747" s="0" t="s">
        <v>1646</v>
      </c>
      <c r="O747" s="0" t="s">
        <v>238</v>
      </c>
      <c r="Q747" s="0" t="s">
        <v>141</v>
      </c>
      <c r="R747" s="0" t="s">
        <v>138</v>
      </c>
      <c r="S747" s="14">
        <v>1</v>
      </c>
      <c r="T747" s="0" t="s">
        <v>710</v>
      </c>
      <c r="U747" s="0" t="s">
        <v>138</v>
      </c>
      <c r="V747" s="14" t="s">
        <v>138</v>
      </c>
      <c r="W747" s="0" t="s">
        <v>138</v>
      </c>
      <c r="X747" s="14" t="s">
        <v>138</v>
      </c>
      <c r="Y747" s="0" t="s">
        <v>138</v>
      </c>
      <c r="Z747" s="14" t="s">
        <v>138</v>
      </c>
      <c r="AA747" s="0" t="s">
        <v>138</v>
      </c>
      <c r="AB747" s="14" t="s">
        <v>138</v>
      </c>
      <c r="AD747" s="0" t="s">
        <v>138</v>
      </c>
      <c r="AF747" s="0">
        <v>0</v>
      </c>
      <c r="AG747" s="0">
        <v>0</v>
      </c>
      <c r="AH747" s="0" t="s">
        <v>140</v>
      </c>
      <c r="AI747" s="0" t="s">
        <v>138</v>
      </c>
      <c r="AK747" s="0" t="s">
        <v>2330</v>
      </c>
      <c r="AL747" s="14"/>
      <c r="AN747" s="14"/>
      <c r="AQ747" s="0" t="s">
        <v>130</v>
      </c>
      <c r="AR747" s="0" t="s">
        <v>130</v>
      </c>
      <c r="AS747" s="0" t="s">
        <v>130</v>
      </c>
      <c r="AT747" s="0" t="s">
        <v>130</v>
      </c>
      <c r="AU747" s="0" t="s">
        <v>130</v>
      </c>
      <c r="AV747" s="0" t="s">
        <v>130</v>
      </c>
      <c r="AW747" s="0" t="s">
        <v>130</v>
      </c>
      <c r="AX747" s="0" t="s">
        <v>130</v>
      </c>
      <c r="AY747" s="0" t="s">
        <v>130</v>
      </c>
      <c r="AZ747" s="0" t="s">
        <v>130</v>
      </c>
      <c r="BA747" s="0" t="s">
        <v>130</v>
      </c>
      <c r="BB747" s="0" t="s">
        <v>130</v>
      </c>
      <c r="BC747" s="0" t="s">
        <v>130</v>
      </c>
      <c r="BD747" s="0" t="s">
        <v>130</v>
      </c>
      <c r="BE747" s="0" t="s">
        <v>130</v>
      </c>
      <c r="BF747" s="0" t="s">
        <v>141</v>
      </c>
      <c r="BG747" s="0" t="s">
        <v>130</v>
      </c>
      <c r="BH747" s="0" t="s">
        <v>130</v>
      </c>
      <c r="BI747" s="0" t="s">
        <v>130</v>
      </c>
      <c r="BJ747" s="0" t="s">
        <v>130</v>
      </c>
      <c r="BK747" s="0" t="s">
        <v>130</v>
      </c>
      <c r="BL747" s="0" t="s">
        <v>130</v>
      </c>
      <c r="BM747" s="0" t="s">
        <v>130</v>
      </c>
      <c r="BN747" s="0" t="s">
        <v>130</v>
      </c>
      <c r="BO747" s="0" t="s">
        <v>130</v>
      </c>
      <c r="BP747" s="0" t="s">
        <v>130</v>
      </c>
      <c r="BQ747" s="0" t="s">
        <v>130</v>
      </c>
      <c r="BR747" s="0" t="s">
        <v>130</v>
      </c>
      <c r="BS747" s="0" t="s">
        <v>130</v>
      </c>
      <c r="BT747" s="0" t="s">
        <v>130</v>
      </c>
      <c r="BU747" s="0" t="s">
        <v>130</v>
      </c>
      <c r="BV747" s="0" t="s">
        <v>130</v>
      </c>
      <c r="BW747" s="0" t="s">
        <v>130</v>
      </c>
      <c r="BX747" s="0" t="s">
        <v>130</v>
      </c>
      <c r="BY747" s="0" t="s">
        <v>130</v>
      </c>
      <c r="BZ747" s="0" t="s">
        <v>130</v>
      </c>
      <c r="CA747" s="0" t="s">
        <v>130</v>
      </c>
      <c r="CB747" s="0" t="s">
        <v>130</v>
      </c>
      <c r="CC747" s="0" t="s">
        <v>130</v>
      </c>
      <c r="CD747" s="0" t="s">
        <v>130</v>
      </c>
      <c r="CE747" s="0" t="s">
        <v>130</v>
      </c>
      <c r="CF747" s="0" t="s">
        <v>130</v>
      </c>
      <c r="CG747" s="0" t="s">
        <v>130</v>
      </c>
      <c r="CH747" s="0" t="s">
        <v>130</v>
      </c>
      <c r="CI747" s="0" t="s">
        <v>130</v>
      </c>
      <c r="CJ747" s="0" t="s">
        <v>130</v>
      </c>
      <c r="CK747" s="0" t="s">
        <v>130</v>
      </c>
      <c r="CL747" s="0" t="s">
        <v>130</v>
      </c>
      <c r="CM747" s="0" t="s">
        <v>130</v>
      </c>
      <c r="CN747" s="0" t="s">
        <v>130</v>
      </c>
      <c r="CO747" s="0" t="s">
        <v>130</v>
      </c>
      <c r="CP747" s="0" t="s">
        <v>130</v>
      </c>
      <c r="CQ747" s="0" t="s">
        <v>130</v>
      </c>
      <c r="CR747" s="0" t="s">
        <v>130</v>
      </c>
      <c r="CS747" s="0" t="s">
        <v>130</v>
      </c>
      <c r="CT747" s="0" t="s">
        <v>2372</v>
      </c>
    </row>
    <row r="748">
      <c r="A748" s="14">
        <v>115245</v>
      </c>
      <c r="B748" s="0" t="s">
        <v>2366</v>
      </c>
      <c r="C748" s="16">
        <f>HYPERLINK("https://eosportal.federatedhermes.com/companies/Q29tcGFueQppODU4ODA=", "BNP Paribas SA")</f>
      </c>
      <c r="D748" s="0" t="s">
        <v>25</v>
      </c>
      <c r="E748" s="0" t="s">
        <v>548</v>
      </c>
      <c r="F748" s="16">
        <f>HYPERLINK("https://eosportal.federatedhermes.com/engagements/RW5nYWdlbWVudAppMjIwMDU=", "Responsible Tax Practices")</f>
      </c>
      <c r="G748" s="14" t="s">
        <v>2373</v>
      </c>
      <c r="H748" s="0" t="s">
        <v>141</v>
      </c>
      <c r="I748" s="14" t="s">
        <v>131</v>
      </c>
      <c r="J748" s="0" t="s">
        <v>153</v>
      </c>
      <c r="K748" s="0" t="s">
        <v>185</v>
      </c>
      <c r="L748" s="0" t="s">
        <v>548</v>
      </c>
      <c r="M748" s="0" t="s">
        <v>378</v>
      </c>
      <c r="N748" s="0" t="s">
        <v>1646</v>
      </c>
      <c r="O748" s="0" t="s">
        <v>238</v>
      </c>
      <c r="Q748" s="0" t="s">
        <v>130</v>
      </c>
      <c r="R748" s="0" t="s">
        <v>138</v>
      </c>
      <c r="S748" s="14">
        <v>0</v>
      </c>
      <c r="T748" s="0" t="s">
        <v>288</v>
      </c>
      <c r="U748" s="0" t="s">
        <v>138</v>
      </c>
      <c r="V748" s="14" t="s">
        <v>138</v>
      </c>
      <c r="W748" s="0" t="s">
        <v>138</v>
      </c>
      <c r="X748" s="14" t="s">
        <v>138</v>
      </c>
      <c r="Y748" s="0" t="s">
        <v>138</v>
      </c>
      <c r="Z748" s="14" t="s">
        <v>138</v>
      </c>
      <c r="AA748" s="0" t="s">
        <v>138</v>
      </c>
      <c r="AB748" s="14" t="s">
        <v>138</v>
      </c>
      <c r="AD748" s="0" t="s">
        <v>138</v>
      </c>
      <c r="AF748" s="0">
        <v>0</v>
      </c>
      <c r="AG748" s="0">
        <v>0</v>
      </c>
      <c r="AH748" s="0" t="s">
        <v>140</v>
      </c>
      <c r="AI748" s="0" t="s">
        <v>138</v>
      </c>
      <c r="AL748" s="14"/>
      <c r="AN748" s="14"/>
      <c r="AQ748" s="0" t="s">
        <v>130</v>
      </c>
      <c r="AR748" s="0" t="s">
        <v>130</v>
      </c>
      <c r="AS748" s="0" t="s">
        <v>130</v>
      </c>
      <c r="AT748" s="0" t="s">
        <v>130</v>
      </c>
      <c r="AU748" s="0" t="s">
        <v>130</v>
      </c>
      <c r="AV748" s="0" t="s">
        <v>130</v>
      </c>
      <c r="AW748" s="0" t="s">
        <v>130</v>
      </c>
      <c r="AX748" s="0" t="s">
        <v>130</v>
      </c>
      <c r="AY748" s="0" t="s">
        <v>130</v>
      </c>
      <c r="AZ748" s="0" t="s">
        <v>130</v>
      </c>
      <c r="BA748" s="0" t="s">
        <v>130</v>
      </c>
      <c r="BB748" s="0" t="s">
        <v>130</v>
      </c>
      <c r="BC748" s="0" t="s">
        <v>130</v>
      </c>
      <c r="BD748" s="0" t="s">
        <v>130</v>
      </c>
      <c r="BE748" s="0" t="s">
        <v>130</v>
      </c>
      <c r="BF748" s="0" t="s">
        <v>130</v>
      </c>
      <c r="BG748" s="0" t="s">
        <v>130</v>
      </c>
      <c r="BH748" s="0" t="s">
        <v>130</v>
      </c>
      <c r="BI748" s="0" t="s">
        <v>130</v>
      </c>
      <c r="BJ748" s="0" t="s">
        <v>130</v>
      </c>
      <c r="BK748" s="0" t="s">
        <v>130</v>
      </c>
      <c r="BL748" s="0" t="s">
        <v>130</v>
      </c>
      <c r="BM748" s="0" t="s">
        <v>130</v>
      </c>
      <c r="BN748" s="0" t="s">
        <v>130</v>
      </c>
      <c r="BO748" s="0" t="s">
        <v>130</v>
      </c>
      <c r="BP748" s="0" t="s">
        <v>130</v>
      </c>
      <c r="BQ748" s="0" t="s">
        <v>130</v>
      </c>
      <c r="BR748" s="0" t="s">
        <v>130</v>
      </c>
      <c r="BS748" s="0" t="s">
        <v>130</v>
      </c>
      <c r="BT748" s="0" t="s">
        <v>130</v>
      </c>
      <c r="BU748" s="0" t="s">
        <v>130</v>
      </c>
      <c r="BV748" s="0" t="s">
        <v>130</v>
      </c>
      <c r="BW748" s="0" t="s">
        <v>130</v>
      </c>
      <c r="BX748" s="0" t="s">
        <v>130</v>
      </c>
      <c r="BY748" s="0" t="s">
        <v>130</v>
      </c>
      <c r="BZ748" s="0" t="s">
        <v>130</v>
      </c>
      <c r="CA748" s="0" t="s">
        <v>130</v>
      </c>
      <c r="CB748" s="0" t="s">
        <v>130</v>
      </c>
      <c r="CC748" s="0" t="s">
        <v>130</v>
      </c>
      <c r="CD748" s="0" t="s">
        <v>130</v>
      </c>
      <c r="CE748" s="0" t="s">
        <v>130</v>
      </c>
      <c r="CF748" s="0" t="s">
        <v>130</v>
      </c>
      <c r="CG748" s="0" t="s">
        <v>130</v>
      </c>
      <c r="CH748" s="0" t="s">
        <v>130</v>
      </c>
      <c r="CI748" s="0" t="s">
        <v>130</v>
      </c>
      <c r="CJ748" s="0" t="s">
        <v>130</v>
      </c>
      <c r="CK748" s="0" t="s">
        <v>130</v>
      </c>
      <c r="CL748" s="0" t="s">
        <v>130</v>
      </c>
      <c r="CM748" s="0" t="s">
        <v>130</v>
      </c>
      <c r="CN748" s="0" t="s">
        <v>130</v>
      </c>
      <c r="CO748" s="0" t="s">
        <v>130</v>
      </c>
      <c r="CP748" s="0" t="s">
        <v>130</v>
      </c>
      <c r="CQ748" s="0" t="s">
        <v>130</v>
      </c>
      <c r="CR748" s="0" t="s">
        <v>130</v>
      </c>
      <c r="CS748" s="0" t="s">
        <v>130</v>
      </c>
      <c r="CT748" s="0" t="s">
        <v>2374</v>
      </c>
    </row>
    <row r="749">
      <c r="A749" s="14">
        <v>115245</v>
      </c>
      <c r="B749" s="0" t="s">
        <v>2366</v>
      </c>
      <c r="C749" s="16">
        <f>HYPERLINK("https://eosportal.federatedhermes.com/companies/Q29tcGFueQppODU4ODA=", "BNP Paribas SA")</f>
      </c>
      <c r="D749" s="0" t="s">
        <v>25</v>
      </c>
      <c r="E749" s="0" t="s">
        <v>907</v>
      </c>
      <c r="F749" s="16">
        <f>HYPERLINK("https://eosportal.federatedhermes.com/engagements/RW5nYWdlbWVudAppMjIwMTM=", "Climate change")</f>
      </c>
      <c r="G749" s="14" t="s">
        <v>2375</v>
      </c>
      <c r="H749" s="0" t="s">
        <v>141</v>
      </c>
      <c r="I749" s="14" t="s">
        <v>131</v>
      </c>
      <c r="J749" s="0" t="s">
        <v>197</v>
      </c>
      <c r="K749" s="0" t="s">
        <v>198</v>
      </c>
      <c r="L749" s="0" t="s">
        <v>216</v>
      </c>
      <c r="M749" s="0" t="s">
        <v>378</v>
      </c>
      <c r="N749" s="0" t="s">
        <v>1646</v>
      </c>
      <c r="O749" s="0" t="s">
        <v>238</v>
      </c>
      <c r="Q749" s="0" t="s">
        <v>141</v>
      </c>
      <c r="R749" s="0" t="s">
        <v>138</v>
      </c>
      <c r="S749" s="14">
        <v>1</v>
      </c>
      <c r="T749" s="0" t="s">
        <v>591</v>
      </c>
      <c r="U749" s="0" t="s">
        <v>138</v>
      </c>
      <c r="V749" s="14" t="s">
        <v>138</v>
      </c>
      <c r="W749" s="0" t="s">
        <v>138</v>
      </c>
      <c r="X749" s="14" t="s">
        <v>138</v>
      </c>
      <c r="Y749" s="0" t="s">
        <v>138</v>
      </c>
      <c r="Z749" s="14" t="s">
        <v>138</v>
      </c>
      <c r="AA749" s="0" t="s">
        <v>138</v>
      </c>
      <c r="AB749" s="14" t="s">
        <v>138</v>
      </c>
      <c r="AD749" s="0" t="s">
        <v>138</v>
      </c>
      <c r="AF749" s="0">
        <v>0</v>
      </c>
      <c r="AG749" s="0">
        <v>0</v>
      </c>
      <c r="AH749" s="0" t="s">
        <v>140</v>
      </c>
      <c r="AI749" s="0" t="s">
        <v>138</v>
      </c>
      <c r="AK749" s="0" t="s">
        <v>2376</v>
      </c>
      <c r="AL749" s="14"/>
      <c r="AN749" s="14"/>
      <c r="AQ749" s="0" t="s">
        <v>130</v>
      </c>
      <c r="AR749" s="0" t="s">
        <v>130</v>
      </c>
      <c r="AS749" s="0" t="s">
        <v>130</v>
      </c>
      <c r="AT749" s="0" t="s">
        <v>130</v>
      </c>
      <c r="AU749" s="0" t="s">
        <v>130</v>
      </c>
      <c r="AV749" s="0" t="s">
        <v>130</v>
      </c>
      <c r="AW749" s="0" t="s">
        <v>141</v>
      </c>
      <c r="AX749" s="0" t="s">
        <v>130</v>
      </c>
      <c r="AY749" s="0" t="s">
        <v>130</v>
      </c>
      <c r="AZ749" s="0" t="s">
        <v>130</v>
      </c>
      <c r="BA749" s="0" t="s">
        <v>130</v>
      </c>
      <c r="BB749" s="0" t="s">
        <v>130</v>
      </c>
      <c r="BC749" s="0" t="s">
        <v>141</v>
      </c>
      <c r="BD749" s="0" t="s">
        <v>130</v>
      </c>
      <c r="BE749" s="0" t="s">
        <v>130</v>
      </c>
      <c r="BF749" s="0" t="s">
        <v>130</v>
      </c>
      <c r="BG749" s="0" t="s">
        <v>130</v>
      </c>
      <c r="BH749" s="0" t="s">
        <v>141</v>
      </c>
      <c r="BI749" s="0" t="s">
        <v>141</v>
      </c>
      <c r="BJ749" s="0" t="s">
        <v>141</v>
      </c>
      <c r="BK749" s="0" t="s">
        <v>130</v>
      </c>
      <c r="BL749" s="0" t="s">
        <v>130</v>
      </c>
      <c r="BM749" s="0" t="s">
        <v>130</v>
      </c>
      <c r="BN749" s="0" t="s">
        <v>130</v>
      </c>
      <c r="BO749" s="0" t="s">
        <v>130</v>
      </c>
      <c r="BP749" s="0" t="s">
        <v>130</v>
      </c>
      <c r="BQ749" s="0" t="s">
        <v>130</v>
      </c>
      <c r="BR749" s="0" t="s">
        <v>130</v>
      </c>
      <c r="BS749" s="0" t="s">
        <v>130</v>
      </c>
      <c r="BT749" s="0" t="s">
        <v>130</v>
      </c>
      <c r="BU749" s="0" t="s">
        <v>130</v>
      </c>
      <c r="BV749" s="0" t="s">
        <v>141</v>
      </c>
      <c r="BW749" s="0" t="s">
        <v>141</v>
      </c>
      <c r="BX749" s="0" t="s">
        <v>130</v>
      </c>
      <c r="BY749" s="0" t="s">
        <v>130</v>
      </c>
      <c r="BZ749" s="0" t="s">
        <v>130</v>
      </c>
      <c r="CA749" s="0" t="s">
        <v>130</v>
      </c>
      <c r="CB749" s="0" t="s">
        <v>130</v>
      </c>
      <c r="CC749" s="0" t="s">
        <v>130</v>
      </c>
      <c r="CD749" s="0" t="s">
        <v>130</v>
      </c>
      <c r="CE749" s="0" t="s">
        <v>130</v>
      </c>
      <c r="CF749" s="0" t="s">
        <v>130</v>
      </c>
      <c r="CG749" s="0" t="s">
        <v>130</v>
      </c>
      <c r="CH749" s="0" t="s">
        <v>130</v>
      </c>
      <c r="CI749" s="0" t="s">
        <v>130</v>
      </c>
      <c r="CJ749" s="0" t="s">
        <v>130</v>
      </c>
      <c r="CK749" s="0" t="s">
        <v>130</v>
      </c>
      <c r="CL749" s="0" t="s">
        <v>130</v>
      </c>
      <c r="CM749" s="0" t="s">
        <v>130</v>
      </c>
      <c r="CN749" s="0" t="s">
        <v>130</v>
      </c>
      <c r="CO749" s="0" t="s">
        <v>130</v>
      </c>
      <c r="CP749" s="0" t="s">
        <v>130</v>
      </c>
      <c r="CQ749" s="0" t="s">
        <v>130</v>
      </c>
      <c r="CR749" s="0" t="s">
        <v>130</v>
      </c>
      <c r="CS749" s="0" t="s">
        <v>130</v>
      </c>
      <c r="CT749" s="0" t="s">
        <v>2377</v>
      </c>
    </row>
    <row r="750">
      <c r="A750" s="14">
        <v>115245</v>
      </c>
      <c r="B750" s="0" t="s">
        <v>2366</v>
      </c>
      <c r="C750" s="16">
        <f>HYPERLINK("https://eosportal.federatedhermes.com/companies/Q29tcGFueQppODU4ODA=", "BNP Paribas SA")</f>
      </c>
      <c r="D750" s="0" t="s">
        <v>25</v>
      </c>
      <c r="E750" s="0" t="s">
        <v>341</v>
      </c>
      <c r="F750" s="16">
        <f>HYPERLINK("https://eosportal.federatedhermes.com/engagements/RW5nYWdlbWVudAppMjIwMTQ=", "Remuneration")</f>
      </c>
      <c r="G750" s="14" t="s">
        <v>642</v>
      </c>
      <c r="H750" s="0" t="s">
        <v>141</v>
      </c>
      <c r="I750" s="14" t="s">
        <v>131</v>
      </c>
      <c r="J750" s="0" t="s">
        <v>145</v>
      </c>
      <c r="K750" s="0" t="s">
        <v>146</v>
      </c>
      <c r="L750" s="0" t="s">
        <v>147</v>
      </c>
      <c r="M750" s="0" t="s">
        <v>378</v>
      </c>
      <c r="N750" s="0" t="s">
        <v>1646</v>
      </c>
      <c r="O750" s="0" t="s">
        <v>238</v>
      </c>
      <c r="Q750" s="0" t="s">
        <v>130</v>
      </c>
      <c r="R750" s="0" t="s">
        <v>138</v>
      </c>
      <c r="S750" s="14">
        <v>0</v>
      </c>
      <c r="T750" s="0" t="s">
        <v>359</v>
      </c>
      <c r="U750" s="0" t="s">
        <v>138</v>
      </c>
      <c r="V750" s="14" t="s">
        <v>138</v>
      </c>
      <c r="W750" s="0" t="s">
        <v>138</v>
      </c>
      <c r="X750" s="14" t="s">
        <v>138</v>
      </c>
      <c r="Y750" s="0" t="s">
        <v>138</v>
      </c>
      <c r="Z750" s="14" t="s">
        <v>138</v>
      </c>
      <c r="AA750" s="0" t="s">
        <v>138</v>
      </c>
      <c r="AB750" s="14" t="s">
        <v>138</v>
      </c>
      <c r="AD750" s="0" t="s">
        <v>138</v>
      </c>
      <c r="AF750" s="0">
        <v>0</v>
      </c>
      <c r="AG750" s="0">
        <v>0</v>
      </c>
      <c r="AH750" s="0" t="s">
        <v>140</v>
      </c>
      <c r="AI750" s="0" t="s">
        <v>138</v>
      </c>
      <c r="AL750" s="14"/>
      <c r="AN750" s="14"/>
      <c r="AQ750" s="0" t="s">
        <v>130</v>
      </c>
      <c r="AR750" s="0" t="s">
        <v>130</v>
      </c>
      <c r="AS750" s="0" t="s">
        <v>130</v>
      </c>
      <c r="AT750" s="0" t="s">
        <v>130</v>
      </c>
      <c r="AU750" s="0" t="s">
        <v>130</v>
      </c>
      <c r="AV750" s="0" t="s">
        <v>130</v>
      </c>
      <c r="AW750" s="0" t="s">
        <v>130</v>
      </c>
      <c r="AX750" s="0" t="s">
        <v>130</v>
      </c>
      <c r="AY750" s="0" t="s">
        <v>130</v>
      </c>
      <c r="AZ750" s="0" t="s">
        <v>130</v>
      </c>
      <c r="BA750" s="0" t="s">
        <v>130</v>
      </c>
      <c r="BB750" s="0" t="s">
        <v>130</v>
      </c>
      <c r="BC750" s="0" t="s">
        <v>130</v>
      </c>
      <c r="BD750" s="0" t="s">
        <v>130</v>
      </c>
      <c r="BE750" s="0" t="s">
        <v>130</v>
      </c>
      <c r="BF750" s="0" t="s">
        <v>130</v>
      </c>
      <c r="BG750" s="0" t="s">
        <v>130</v>
      </c>
      <c r="BH750" s="0" t="s">
        <v>130</v>
      </c>
      <c r="BI750" s="0" t="s">
        <v>130</v>
      </c>
      <c r="BJ750" s="0" t="s">
        <v>130</v>
      </c>
      <c r="BK750" s="0" t="s">
        <v>130</v>
      </c>
      <c r="BL750" s="0" t="s">
        <v>130</v>
      </c>
      <c r="BM750" s="0" t="s">
        <v>130</v>
      </c>
      <c r="BN750" s="0" t="s">
        <v>130</v>
      </c>
      <c r="BO750" s="0" t="s">
        <v>130</v>
      </c>
      <c r="BP750" s="0" t="s">
        <v>130</v>
      </c>
      <c r="BQ750" s="0" t="s">
        <v>130</v>
      </c>
      <c r="BR750" s="0" t="s">
        <v>130</v>
      </c>
      <c r="BS750" s="0" t="s">
        <v>130</v>
      </c>
      <c r="BT750" s="0" t="s">
        <v>130</v>
      </c>
      <c r="BU750" s="0" t="s">
        <v>130</v>
      </c>
      <c r="BV750" s="0" t="s">
        <v>130</v>
      </c>
      <c r="BW750" s="0" t="s">
        <v>130</v>
      </c>
      <c r="BX750" s="0" t="s">
        <v>130</v>
      </c>
      <c r="BY750" s="0" t="s">
        <v>130</v>
      </c>
      <c r="BZ750" s="0" t="s">
        <v>130</v>
      </c>
      <c r="CA750" s="0" t="s">
        <v>130</v>
      </c>
      <c r="CB750" s="0" t="s">
        <v>130</v>
      </c>
      <c r="CC750" s="0" t="s">
        <v>130</v>
      </c>
      <c r="CD750" s="0" t="s">
        <v>130</v>
      </c>
      <c r="CE750" s="0" t="s">
        <v>130</v>
      </c>
      <c r="CF750" s="0" t="s">
        <v>130</v>
      </c>
      <c r="CG750" s="0" t="s">
        <v>130</v>
      </c>
      <c r="CH750" s="0" t="s">
        <v>130</v>
      </c>
      <c r="CI750" s="0" t="s">
        <v>130</v>
      </c>
      <c r="CJ750" s="0" t="s">
        <v>130</v>
      </c>
      <c r="CK750" s="0" t="s">
        <v>130</v>
      </c>
      <c r="CL750" s="0" t="s">
        <v>130</v>
      </c>
      <c r="CM750" s="0" t="s">
        <v>130</v>
      </c>
      <c r="CN750" s="0" t="s">
        <v>130</v>
      </c>
      <c r="CO750" s="0" t="s">
        <v>130</v>
      </c>
      <c r="CP750" s="0" t="s">
        <v>130</v>
      </c>
      <c r="CQ750" s="0" t="s">
        <v>130</v>
      </c>
      <c r="CR750" s="0" t="s">
        <v>130</v>
      </c>
      <c r="CS750" s="0" t="s">
        <v>130</v>
      </c>
      <c r="CT750" s="0" t="s">
        <v>2378</v>
      </c>
    </row>
    <row r="751">
      <c r="A751" s="14">
        <v>115245</v>
      </c>
      <c r="B751" s="0" t="s">
        <v>2366</v>
      </c>
      <c r="C751" s="16">
        <f>HYPERLINK("https://eosportal.federatedhermes.com/companies/Q29tcGFueQppODU4ODA=", "BNP Paribas SA")</f>
      </c>
      <c r="D751" s="0" t="s">
        <v>25</v>
      </c>
      <c r="E751" s="0" t="s">
        <v>2379</v>
      </c>
      <c r="F751" s="16">
        <f>HYPERLINK("https://eosportal.federatedhermes.com/engagements/RW5nYWdlbWVudAppMjIwMTU=", "Human capital reporting")</f>
      </c>
      <c r="G751" s="14" t="s">
        <v>2380</v>
      </c>
      <c r="H751" s="0" t="s">
        <v>141</v>
      </c>
      <c r="I751" s="14" t="s">
        <v>131</v>
      </c>
      <c r="J751" s="0" t="s">
        <v>132</v>
      </c>
      <c r="K751" s="0" t="s">
        <v>133</v>
      </c>
      <c r="L751" s="0" t="s">
        <v>160</v>
      </c>
      <c r="M751" s="0" t="s">
        <v>378</v>
      </c>
      <c r="N751" s="0" t="s">
        <v>1646</v>
      </c>
      <c r="O751" s="0" t="s">
        <v>238</v>
      </c>
      <c r="Q751" s="0" t="s">
        <v>130</v>
      </c>
      <c r="R751" s="0" t="s">
        <v>138</v>
      </c>
      <c r="S751" s="14">
        <v>0</v>
      </c>
      <c r="T751" s="0" t="s">
        <v>359</v>
      </c>
      <c r="U751" s="0" t="s">
        <v>138</v>
      </c>
      <c r="V751" s="14" t="s">
        <v>138</v>
      </c>
      <c r="W751" s="0" t="s">
        <v>138</v>
      </c>
      <c r="X751" s="14" t="s">
        <v>138</v>
      </c>
      <c r="Y751" s="0" t="s">
        <v>138</v>
      </c>
      <c r="Z751" s="14" t="s">
        <v>138</v>
      </c>
      <c r="AA751" s="0" t="s">
        <v>138</v>
      </c>
      <c r="AB751" s="14" t="s">
        <v>138</v>
      </c>
      <c r="AD751" s="0" t="s">
        <v>138</v>
      </c>
      <c r="AF751" s="0">
        <v>0</v>
      </c>
      <c r="AG751" s="0">
        <v>0</v>
      </c>
      <c r="AH751" s="0" t="s">
        <v>140</v>
      </c>
      <c r="AI751" s="0" t="s">
        <v>138</v>
      </c>
      <c r="AL751" s="14"/>
      <c r="AN751" s="14"/>
      <c r="AQ751" s="0" t="s">
        <v>130</v>
      </c>
      <c r="AR751" s="0" t="s">
        <v>130</v>
      </c>
      <c r="AS751" s="0" t="s">
        <v>130</v>
      </c>
      <c r="AT751" s="0" t="s">
        <v>130</v>
      </c>
      <c r="AU751" s="0" t="s">
        <v>130</v>
      </c>
      <c r="AV751" s="0" t="s">
        <v>130</v>
      </c>
      <c r="AW751" s="0" t="s">
        <v>130</v>
      </c>
      <c r="AX751" s="0" t="s">
        <v>130</v>
      </c>
      <c r="AY751" s="0" t="s">
        <v>130</v>
      </c>
      <c r="AZ751" s="0" t="s">
        <v>130</v>
      </c>
      <c r="BA751" s="0" t="s">
        <v>130</v>
      </c>
      <c r="BB751" s="0" t="s">
        <v>130</v>
      </c>
      <c r="BC751" s="0" t="s">
        <v>130</v>
      </c>
      <c r="BD751" s="0" t="s">
        <v>130</v>
      </c>
      <c r="BE751" s="0" t="s">
        <v>130</v>
      </c>
      <c r="BF751" s="0" t="s">
        <v>130</v>
      </c>
      <c r="BG751" s="0" t="s">
        <v>130</v>
      </c>
      <c r="BH751" s="0" t="s">
        <v>130</v>
      </c>
      <c r="BI751" s="0" t="s">
        <v>130</v>
      </c>
      <c r="BJ751" s="0" t="s">
        <v>130</v>
      </c>
      <c r="BK751" s="0" t="s">
        <v>130</v>
      </c>
      <c r="BL751" s="0" t="s">
        <v>130</v>
      </c>
      <c r="BM751" s="0" t="s">
        <v>130</v>
      </c>
      <c r="BN751" s="0" t="s">
        <v>130</v>
      </c>
      <c r="BO751" s="0" t="s">
        <v>130</v>
      </c>
      <c r="BP751" s="0" t="s">
        <v>130</v>
      </c>
      <c r="BQ751" s="0" t="s">
        <v>130</v>
      </c>
      <c r="BR751" s="0" t="s">
        <v>130</v>
      </c>
      <c r="BS751" s="0" t="s">
        <v>130</v>
      </c>
      <c r="BT751" s="0" t="s">
        <v>130</v>
      </c>
      <c r="BU751" s="0" t="s">
        <v>130</v>
      </c>
      <c r="BV751" s="0" t="s">
        <v>130</v>
      </c>
      <c r="BW751" s="0" t="s">
        <v>130</v>
      </c>
      <c r="BX751" s="0" t="s">
        <v>130</v>
      </c>
      <c r="BY751" s="0" t="s">
        <v>130</v>
      </c>
      <c r="BZ751" s="0" t="s">
        <v>130</v>
      </c>
      <c r="CA751" s="0" t="s">
        <v>130</v>
      </c>
      <c r="CB751" s="0" t="s">
        <v>130</v>
      </c>
      <c r="CC751" s="0" t="s">
        <v>130</v>
      </c>
      <c r="CD751" s="0" t="s">
        <v>130</v>
      </c>
      <c r="CE751" s="0" t="s">
        <v>130</v>
      </c>
      <c r="CF751" s="0" t="s">
        <v>130</v>
      </c>
      <c r="CG751" s="0" t="s">
        <v>130</v>
      </c>
      <c r="CH751" s="0" t="s">
        <v>130</v>
      </c>
      <c r="CI751" s="0" t="s">
        <v>130</v>
      </c>
      <c r="CJ751" s="0" t="s">
        <v>130</v>
      </c>
      <c r="CK751" s="0" t="s">
        <v>130</v>
      </c>
      <c r="CL751" s="0" t="s">
        <v>130</v>
      </c>
      <c r="CM751" s="0" t="s">
        <v>130</v>
      </c>
      <c r="CN751" s="0" t="s">
        <v>130</v>
      </c>
      <c r="CO751" s="0" t="s">
        <v>130</v>
      </c>
      <c r="CP751" s="0" t="s">
        <v>130</v>
      </c>
      <c r="CQ751" s="0" t="s">
        <v>130</v>
      </c>
      <c r="CR751" s="0" t="s">
        <v>130</v>
      </c>
      <c r="CS751" s="0" t="s">
        <v>130</v>
      </c>
      <c r="CT751" s="0" t="s">
        <v>2381</v>
      </c>
    </row>
    <row r="752">
      <c r="A752" s="14">
        <v>115245</v>
      </c>
      <c r="B752" s="0" t="s">
        <v>2366</v>
      </c>
      <c r="C752" s="16">
        <f>HYPERLINK("https://eosportal.federatedhermes.com/companies/Q29tcGFueQppODU4ODA=", "BNP Paribas SA")</f>
      </c>
      <c r="D752" s="0" t="s">
        <v>25</v>
      </c>
      <c r="E752" s="0" t="s">
        <v>2237</v>
      </c>
      <c r="F752" s="16">
        <f>HYPERLINK("https://eosportal.federatedhermes.com/engagements/RW5nYWdlbWVudAppMjIwMTY=", "Artificial Intelligence")</f>
      </c>
      <c r="G752" s="14" t="s">
        <v>2382</v>
      </c>
      <c r="H752" s="0" t="s">
        <v>141</v>
      </c>
      <c r="I752" s="14" t="s">
        <v>131</v>
      </c>
      <c r="J752" s="0" t="s">
        <v>153</v>
      </c>
      <c r="K752" s="0" t="s">
        <v>243</v>
      </c>
      <c r="L752" s="0" t="s">
        <v>537</v>
      </c>
      <c r="M752" s="0" t="s">
        <v>378</v>
      </c>
      <c r="N752" s="0" t="s">
        <v>1646</v>
      </c>
      <c r="O752" s="0" t="s">
        <v>238</v>
      </c>
      <c r="Q752" s="0" t="s">
        <v>130</v>
      </c>
      <c r="R752" s="0" t="s">
        <v>138</v>
      </c>
      <c r="S752" s="14">
        <v>0</v>
      </c>
      <c r="T752" s="0" t="s">
        <v>394</v>
      </c>
      <c r="U752" s="0" t="s">
        <v>138</v>
      </c>
      <c r="V752" s="14" t="s">
        <v>138</v>
      </c>
      <c r="W752" s="0" t="s">
        <v>138</v>
      </c>
      <c r="X752" s="14" t="s">
        <v>138</v>
      </c>
      <c r="Y752" s="0" t="s">
        <v>138</v>
      </c>
      <c r="Z752" s="14" t="s">
        <v>138</v>
      </c>
      <c r="AA752" s="0" t="s">
        <v>138</v>
      </c>
      <c r="AB752" s="14" t="s">
        <v>138</v>
      </c>
      <c r="AD752" s="0" t="s">
        <v>138</v>
      </c>
      <c r="AF752" s="0">
        <v>0</v>
      </c>
      <c r="AG752" s="0">
        <v>0</v>
      </c>
      <c r="AH752" s="0" t="s">
        <v>140</v>
      </c>
      <c r="AI752" s="0" t="s">
        <v>138</v>
      </c>
      <c r="AL752" s="14"/>
      <c r="AN752" s="14"/>
      <c r="AQ752" s="0" t="s">
        <v>130</v>
      </c>
      <c r="AR752" s="0" t="s">
        <v>130</v>
      </c>
      <c r="AS752" s="0" t="s">
        <v>130</v>
      </c>
      <c r="AT752" s="0" t="s">
        <v>130</v>
      </c>
      <c r="AU752" s="0" t="s">
        <v>130</v>
      </c>
      <c r="AV752" s="0" t="s">
        <v>130</v>
      </c>
      <c r="AW752" s="0" t="s">
        <v>130</v>
      </c>
      <c r="AX752" s="0" t="s">
        <v>130</v>
      </c>
      <c r="AY752" s="0" t="s">
        <v>130</v>
      </c>
      <c r="AZ752" s="0" t="s">
        <v>130</v>
      </c>
      <c r="BA752" s="0" t="s">
        <v>130</v>
      </c>
      <c r="BB752" s="0" t="s">
        <v>130</v>
      </c>
      <c r="BC752" s="0" t="s">
        <v>130</v>
      </c>
      <c r="BD752" s="0" t="s">
        <v>130</v>
      </c>
      <c r="BE752" s="0" t="s">
        <v>130</v>
      </c>
      <c r="BF752" s="0" t="s">
        <v>130</v>
      </c>
      <c r="BG752" s="0" t="s">
        <v>130</v>
      </c>
      <c r="BH752" s="0" t="s">
        <v>130</v>
      </c>
      <c r="BI752" s="0" t="s">
        <v>130</v>
      </c>
      <c r="BJ752" s="0" t="s">
        <v>130</v>
      </c>
      <c r="BK752" s="0" t="s">
        <v>130</v>
      </c>
      <c r="BL752" s="0" t="s">
        <v>130</v>
      </c>
      <c r="BM752" s="0" t="s">
        <v>130</v>
      </c>
      <c r="BN752" s="0" t="s">
        <v>130</v>
      </c>
      <c r="BO752" s="0" t="s">
        <v>130</v>
      </c>
      <c r="BP752" s="0" t="s">
        <v>130</v>
      </c>
      <c r="BQ752" s="0" t="s">
        <v>130</v>
      </c>
      <c r="BR752" s="0" t="s">
        <v>130</v>
      </c>
      <c r="BS752" s="0" t="s">
        <v>130</v>
      </c>
      <c r="BT752" s="0" t="s">
        <v>130</v>
      </c>
      <c r="BU752" s="0" t="s">
        <v>130</v>
      </c>
      <c r="BV752" s="0" t="s">
        <v>130</v>
      </c>
      <c r="BW752" s="0" t="s">
        <v>130</v>
      </c>
      <c r="BX752" s="0" t="s">
        <v>130</v>
      </c>
      <c r="BY752" s="0" t="s">
        <v>130</v>
      </c>
      <c r="BZ752" s="0" t="s">
        <v>130</v>
      </c>
      <c r="CA752" s="0" t="s">
        <v>130</v>
      </c>
      <c r="CB752" s="0" t="s">
        <v>130</v>
      </c>
      <c r="CC752" s="0" t="s">
        <v>130</v>
      </c>
      <c r="CD752" s="0" t="s">
        <v>130</v>
      </c>
      <c r="CE752" s="0" t="s">
        <v>130</v>
      </c>
      <c r="CF752" s="0" t="s">
        <v>130</v>
      </c>
      <c r="CG752" s="0" t="s">
        <v>130</v>
      </c>
      <c r="CH752" s="0" t="s">
        <v>130</v>
      </c>
      <c r="CI752" s="0" t="s">
        <v>130</v>
      </c>
      <c r="CJ752" s="0" t="s">
        <v>130</v>
      </c>
      <c r="CK752" s="0" t="s">
        <v>130</v>
      </c>
      <c r="CL752" s="0" t="s">
        <v>130</v>
      </c>
      <c r="CM752" s="0" t="s">
        <v>130</v>
      </c>
      <c r="CN752" s="0" t="s">
        <v>130</v>
      </c>
      <c r="CO752" s="0" t="s">
        <v>130</v>
      </c>
      <c r="CP752" s="0" t="s">
        <v>130</v>
      </c>
      <c r="CQ752" s="0" t="s">
        <v>130</v>
      </c>
      <c r="CR752" s="0" t="s">
        <v>130</v>
      </c>
      <c r="CS752" s="0" t="s">
        <v>130</v>
      </c>
      <c r="CT752" s="0" t="s">
        <v>2383</v>
      </c>
    </row>
    <row r="753">
      <c r="A753" s="14">
        <v>115259</v>
      </c>
      <c r="B753" s="0" t="s">
        <v>2384</v>
      </c>
      <c r="C753" s="16">
        <f>HYPERLINK("https://eosportal.federatedhermes.com/companies/Q29tcGFueQppNjc3NTU=", "Danone SA")</f>
      </c>
      <c r="D753" s="0" t="s">
        <v>25</v>
      </c>
      <c r="E753" s="0" t="s">
        <v>2385</v>
      </c>
      <c r="F753" s="16">
        <f>HYPERLINK("https://eosportal.federatedhermes.com/engagements/RW5nYWdlbWVudAppMjIwMjc=", "Food Safety")</f>
      </c>
      <c r="G753" s="14" t="s">
        <v>2386</v>
      </c>
      <c r="H753" s="0" t="s">
        <v>141</v>
      </c>
      <c r="I753" s="14" t="s">
        <v>191</v>
      </c>
      <c r="J753" s="0" t="s">
        <v>153</v>
      </c>
      <c r="K753" s="0" t="s">
        <v>185</v>
      </c>
      <c r="L753" s="0" t="s">
        <v>186</v>
      </c>
      <c r="M753" s="0" t="s">
        <v>378</v>
      </c>
      <c r="N753" s="0" t="s">
        <v>1646</v>
      </c>
      <c r="O753" s="0" t="s">
        <v>332</v>
      </c>
      <c r="Q753" s="0" t="s">
        <v>130</v>
      </c>
      <c r="R753" s="0" t="s">
        <v>138</v>
      </c>
      <c r="S753" s="14">
        <v>0</v>
      </c>
      <c r="T753" s="0" t="s">
        <v>390</v>
      </c>
      <c r="U753" s="0" t="s">
        <v>138</v>
      </c>
      <c r="V753" s="14" t="s">
        <v>138</v>
      </c>
      <c r="W753" s="0" t="s">
        <v>138</v>
      </c>
      <c r="X753" s="14" t="s">
        <v>138</v>
      </c>
      <c r="Y753" s="0" t="s">
        <v>138</v>
      </c>
      <c r="Z753" s="14" t="s">
        <v>138</v>
      </c>
      <c r="AA753" s="0" t="s">
        <v>138</v>
      </c>
      <c r="AB753" s="14" t="s">
        <v>138</v>
      </c>
      <c r="AD753" s="0" t="s">
        <v>138</v>
      </c>
      <c r="AF753" s="0">
        <v>0</v>
      </c>
      <c r="AG753" s="0">
        <v>0</v>
      </c>
      <c r="AH753" s="0" t="s">
        <v>140</v>
      </c>
      <c r="AI753" s="0" t="s">
        <v>138</v>
      </c>
      <c r="AL753" s="14"/>
      <c r="AN753" s="14"/>
      <c r="AQ753" s="0" t="s">
        <v>130</v>
      </c>
      <c r="AR753" s="0" t="s">
        <v>130</v>
      </c>
      <c r="AS753" s="0" t="s">
        <v>130</v>
      </c>
      <c r="AT753" s="0" t="s">
        <v>130</v>
      </c>
      <c r="AU753" s="0" t="s">
        <v>130</v>
      </c>
      <c r="AV753" s="0" t="s">
        <v>130</v>
      </c>
      <c r="AW753" s="0" t="s">
        <v>130</v>
      </c>
      <c r="AX753" s="0" t="s">
        <v>130</v>
      </c>
      <c r="AY753" s="0" t="s">
        <v>130</v>
      </c>
      <c r="AZ753" s="0" t="s">
        <v>130</v>
      </c>
      <c r="BA753" s="0" t="s">
        <v>130</v>
      </c>
      <c r="BB753" s="0" t="s">
        <v>130</v>
      </c>
      <c r="BC753" s="0" t="s">
        <v>130</v>
      </c>
      <c r="BD753" s="0" t="s">
        <v>130</v>
      </c>
      <c r="BE753" s="0" t="s">
        <v>130</v>
      </c>
      <c r="BF753" s="0" t="s">
        <v>130</v>
      </c>
      <c r="BG753" s="0" t="s">
        <v>130</v>
      </c>
      <c r="BH753" s="0" t="s">
        <v>130</v>
      </c>
      <c r="BI753" s="0" t="s">
        <v>130</v>
      </c>
      <c r="BJ753" s="0" t="s">
        <v>130</v>
      </c>
      <c r="BK753" s="0" t="s">
        <v>130</v>
      </c>
      <c r="BL753" s="0" t="s">
        <v>130</v>
      </c>
      <c r="BM753" s="0" t="s">
        <v>130</v>
      </c>
      <c r="BN753" s="0" t="s">
        <v>130</v>
      </c>
      <c r="BO753" s="0" t="s">
        <v>130</v>
      </c>
      <c r="BP753" s="0" t="s">
        <v>130</v>
      </c>
      <c r="BQ753" s="0" t="s">
        <v>130</v>
      </c>
      <c r="BR753" s="0" t="s">
        <v>130</v>
      </c>
      <c r="BS753" s="0" t="s">
        <v>130</v>
      </c>
      <c r="BT753" s="0" t="s">
        <v>130</v>
      </c>
      <c r="BU753" s="0" t="s">
        <v>130</v>
      </c>
      <c r="BV753" s="0" t="s">
        <v>130</v>
      </c>
      <c r="BW753" s="0" t="s">
        <v>130</v>
      </c>
      <c r="BX753" s="0" t="s">
        <v>130</v>
      </c>
      <c r="BY753" s="0" t="s">
        <v>130</v>
      </c>
      <c r="BZ753" s="0" t="s">
        <v>130</v>
      </c>
      <c r="CA753" s="0" t="s">
        <v>130</v>
      </c>
      <c r="CB753" s="0" t="s">
        <v>130</v>
      </c>
      <c r="CC753" s="0" t="s">
        <v>130</v>
      </c>
      <c r="CD753" s="0" t="s">
        <v>130</v>
      </c>
      <c r="CE753" s="0" t="s">
        <v>130</v>
      </c>
      <c r="CF753" s="0" t="s">
        <v>130</v>
      </c>
      <c r="CG753" s="0" t="s">
        <v>130</v>
      </c>
      <c r="CH753" s="0" t="s">
        <v>130</v>
      </c>
      <c r="CI753" s="0" t="s">
        <v>130</v>
      </c>
      <c r="CJ753" s="0" t="s">
        <v>130</v>
      </c>
      <c r="CK753" s="0" t="s">
        <v>130</v>
      </c>
      <c r="CL753" s="0" t="s">
        <v>130</v>
      </c>
      <c r="CM753" s="0" t="s">
        <v>130</v>
      </c>
      <c r="CN753" s="0" t="s">
        <v>130</v>
      </c>
      <c r="CO753" s="0" t="s">
        <v>130</v>
      </c>
      <c r="CP753" s="0" t="s">
        <v>130</v>
      </c>
      <c r="CQ753" s="0" t="s">
        <v>130</v>
      </c>
      <c r="CR753" s="0" t="s">
        <v>130</v>
      </c>
      <c r="CS753" s="0" t="s">
        <v>130</v>
      </c>
      <c r="CT753" s="0" t="s">
        <v>2387</v>
      </c>
    </row>
    <row r="754">
      <c r="A754" s="14">
        <v>115259</v>
      </c>
      <c r="B754" s="0" t="s">
        <v>2384</v>
      </c>
      <c r="C754" s="16">
        <f>HYPERLINK("https://eosportal.federatedhermes.com/companies/Q29tcGFueQppNjc3NTU=", "Danone SA")</f>
      </c>
      <c r="D754" s="0" t="s">
        <v>25</v>
      </c>
      <c r="E754" s="0" t="s">
        <v>1388</v>
      </c>
      <c r="F754" s="16">
        <f>HYPERLINK("https://eosportal.federatedhermes.com/engagements/RW5nYWdlbWVudAppMjIwMjg=", "Integrated reporting")</f>
      </c>
      <c r="G754" s="14" t="s">
        <v>2388</v>
      </c>
      <c r="H754" s="0" t="s">
        <v>141</v>
      </c>
      <c r="I754" s="14" t="s">
        <v>191</v>
      </c>
      <c r="J754" s="0" t="s">
        <v>132</v>
      </c>
      <c r="K754" s="0" t="s">
        <v>170</v>
      </c>
      <c r="L754" s="0" t="s">
        <v>171</v>
      </c>
      <c r="M754" s="0" t="s">
        <v>378</v>
      </c>
      <c r="N754" s="0" t="s">
        <v>1646</v>
      </c>
      <c r="O754" s="0" t="s">
        <v>332</v>
      </c>
      <c r="Q754" s="0" t="s">
        <v>130</v>
      </c>
      <c r="R754" s="0" t="s">
        <v>138</v>
      </c>
      <c r="S754" s="14">
        <v>0</v>
      </c>
      <c r="T754" s="0" t="s">
        <v>384</v>
      </c>
      <c r="U754" s="0" t="s">
        <v>138</v>
      </c>
      <c r="V754" s="14" t="s">
        <v>138</v>
      </c>
      <c r="W754" s="0" t="s">
        <v>138</v>
      </c>
      <c r="X754" s="14" t="s">
        <v>138</v>
      </c>
      <c r="Y754" s="0" t="s">
        <v>138</v>
      </c>
      <c r="Z754" s="14" t="s">
        <v>138</v>
      </c>
      <c r="AA754" s="0" t="s">
        <v>138</v>
      </c>
      <c r="AB754" s="14" t="s">
        <v>138</v>
      </c>
      <c r="AD754" s="0" t="s">
        <v>138</v>
      </c>
      <c r="AF754" s="0">
        <v>0</v>
      </c>
      <c r="AG754" s="0">
        <v>0</v>
      </c>
      <c r="AH754" s="0" t="s">
        <v>140</v>
      </c>
      <c r="AI754" s="0" t="s">
        <v>138</v>
      </c>
      <c r="AL754" s="14"/>
      <c r="AN754" s="14"/>
      <c r="AQ754" s="0" t="s">
        <v>130</v>
      </c>
      <c r="AR754" s="0" t="s">
        <v>130</v>
      </c>
      <c r="AS754" s="0" t="s">
        <v>130</v>
      </c>
      <c r="AT754" s="0" t="s">
        <v>130</v>
      </c>
      <c r="AU754" s="0" t="s">
        <v>130</v>
      </c>
      <c r="AV754" s="0" t="s">
        <v>130</v>
      </c>
      <c r="AW754" s="0" t="s">
        <v>130</v>
      </c>
      <c r="AX754" s="0" t="s">
        <v>130</v>
      </c>
      <c r="AY754" s="0" t="s">
        <v>130</v>
      </c>
      <c r="AZ754" s="0" t="s">
        <v>130</v>
      </c>
      <c r="BA754" s="0" t="s">
        <v>130</v>
      </c>
      <c r="BB754" s="0" t="s">
        <v>130</v>
      </c>
      <c r="BC754" s="0" t="s">
        <v>130</v>
      </c>
      <c r="BD754" s="0" t="s">
        <v>130</v>
      </c>
      <c r="BE754" s="0" t="s">
        <v>130</v>
      </c>
      <c r="BF754" s="0" t="s">
        <v>130</v>
      </c>
      <c r="BG754" s="0" t="s">
        <v>130</v>
      </c>
      <c r="BH754" s="0" t="s">
        <v>130</v>
      </c>
      <c r="BI754" s="0" t="s">
        <v>130</v>
      </c>
      <c r="BJ754" s="0" t="s">
        <v>130</v>
      </c>
      <c r="BK754" s="0" t="s">
        <v>130</v>
      </c>
      <c r="BL754" s="0" t="s">
        <v>130</v>
      </c>
      <c r="BM754" s="0" t="s">
        <v>130</v>
      </c>
      <c r="BN754" s="0" t="s">
        <v>130</v>
      </c>
      <c r="BO754" s="0" t="s">
        <v>130</v>
      </c>
      <c r="BP754" s="0" t="s">
        <v>130</v>
      </c>
      <c r="BQ754" s="0" t="s">
        <v>130</v>
      </c>
      <c r="BR754" s="0" t="s">
        <v>130</v>
      </c>
      <c r="BS754" s="0" t="s">
        <v>130</v>
      </c>
      <c r="BT754" s="0" t="s">
        <v>130</v>
      </c>
      <c r="BU754" s="0" t="s">
        <v>130</v>
      </c>
      <c r="BV754" s="0" t="s">
        <v>130</v>
      </c>
      <c r="BW754" s="0" t="s">
        <v>130</v>
      </c>
      <c r="BX754" s="0" t="s">
        <v>130</v>
      </c>
      <c r="BY754" s="0" t="s">
        <v>130</v>
      </c>
      <c r="BZ754" s="0" t="s">
        <v>130</v>
      </c>
      <c r="CA754" s="0" t="s">
        <v>130</v>
      </c>
      <c r="CB754" s="0" t="s">
        <v>130</v>
      </c>
      <c r="CC754" s="0" t="s">
        <v>130</v>
      </c>
      <c r="CD754" s="0" t="s">
        <v>130</v>
      </c>
      <c r="CE754" s="0" t="s">
        <v>130</v>
      </c>
      <c r="CF754" s="0" t="s">
        <v>130</v>
      </c>
      <c r="CG754" s="0" t="s">
        <v>130</v>
      </c>
      <c r="CH754" s="0" t="s">
        <v>130</v>
      </c>
      <c r="CI754" s="0" t="s">
        <v>130</v>
      </c>
      <c r="CJ754" s="0" t="s">
        <v>130</v>
      </c>
      <c r="CK754" s="0" t="s">
        <v>130</v>
      </c>
      <c r="CL754" s="0" t="s">
        <v>130</v>
      </c>
      <c r="CM754" s="0" t="s">
        <v>130</v>
      </c>
      <c r="CN754" s="0" t="s">
        <v>130</v>
      </c>
      <c r="CO754" s="0" t="s">
        <v>130</v>
      </c>
      <c r="CP754" s="0" t="s">
        <v>130</v>
      </c>
      <c r="CQ754" s="0" t="s">
        <v>130</v>
      </c>
      <c r="CR754" s="0" t="s">
        <v>130</v>
      </c>
      <c r="CS754" s="0" t="s">
        <v>130</v>
      </c>
      <c r="CT754" s="0" t="s">
        <v>2389</v>
      </c>
    </row>
    <row r="755">
      <c r="A755" s="14">
        <v>115259</v>
      </c>
      <c r="B755" s="0" t="s">
        <v>2384</v>
      </c>
      <c r="C755" s="16">
        <f>HYPERLINK("https://eosportal.federatedhermes.com/companies/Q29tcGFueQppNjc3NTU=", "Danone SA")</f>
      </c>
      <c r="D755" s="0" t="s">
        <v>25</v>
      </c>
      <c r="E755" s="0" t="s">
        <v>2390</v>
      </c>
      <c r="F755" s="16">
        <f>HYPERLINK("https://eosportal.federatedhermes.com/engagements/RW5nYWdlbWVudAppMjIwMjk=", "Base of the Pyramid BOP")</f>
      </c>
      <c r="G755" s="14" t="s">
        <v>2391</v>
      </c>
      <c r="H755" s="0" t="s">
        <v>141</v>
      </c>
      <c r="I755" s="14" t="s">
        <v>191</v>
      </c>
      <c r="J755" s="0" t="s">
        <v>153</v>
      </c>
      <c r="K755" s="0" t="s">
        <v>243</v>
      </c>
      <c r="L755" s="0" t="s">
        <v>292</v>
      </c>
      <c r="M755" s="0" t="s">
        <v>378</v>
      </c>
      <c r="N755" s="0" t="s">
        <v>1646</v>
      </c>
      <c r="O755" s="0" t="s">
        <v>332</v>
      </c>
      <c r="Q755" s="0" t="s">
        <v>130</v>
      </c>
      <c r="R755" s="0" t="s">
        <v>138</v>
      </c>
      <c r="S755" s="14">
        <v>0</v>
      </c>
      <c r="T755" s="0" t="s">
        <v>1529</v>
      </c>
      <c r="U755" s="0" t="s">
        <v>138</v>
      </c>
      <c r="V755" s="14" t="s">
        <v>138</v>
      </c>
      <c r="W755" s="0" t="s">
        <v>138</v>
      </c>
      <c r="X755" s="14" t="s">
        <v>138</v>
      </c>
      <c r="Y755" s="0" t="s">
        <v>138</v>
      </c>
      <c r="Z755" s="14" t="s">
        <v>138</v>
      </c>
      <c r="AA755" s="0" t="s">
        <v>138</v>
      </c>
      <c r="AB755" s="14" t="s">
        <v>138</v>
      </c>
      <c r="AD755" s="0" t="s">
        <v>138</v>
      </c>
      <c r="AF755" s="0">
        <v>0</v>
      </c>
      <c r="AG755" s="0">
        <v>0</v>
      </c>
      <c r="AH755" s="0" t="s">
        <v>140</v>
      </c>
      <c r="AI755" s="0" t="s">
        <v>138</v>
      </c>
      <c r="AL755" s="14"/>
      <c r="AN755" s="14"/>
      <c r="AQ755" s="0" t="s">
        <v>130</v>
      </c>
      <c r="AR755" s="0" t="s">
        <v>130</v>
      </c>
      <c r="AS755" s="0" t="s">
        <v>130</v>
      </c>
      <c r="AT755" s="0" t="s">
        <v>130</v>
      </c>
      <c r="AU755" s="0" t="s">
        <v>130</v>
      </c>
      <c r="AV755" s="0" t="s">
        <v>130</v>
      </c>
      <c r="AW755" s="0" t="s">
        <v>130</v>
      </c>
      <c r="AX755" s="0" t="s">
        <v>130</v>
      </c>
      <c r="AY755" s="0" t="s">
        <v>130</v>
      </c>
      <c r="AZ755" s="0" t="s">
        <v>130</v>
      </c>
      <c r="BA755" s="0" t="s">
        <v>130</v>
      </c>
      <c r="BB755" s="0" t="s">
        <v>130</v>
      </c>
      <c r="BC755" s="0" t="s">
        <v>130</v>
      </c>
      <c r="BD755" s="0" t="s">
        <v>130</v>
      </c>
      <c r="BE755" s="0" t="s">
        <v>130</v>
      </c>
      <c r="BF755" s="0" t="s">
        <v>130</v>
      </c>
      <c r="BG755" s="0" t="s">
        <v>130</v>
      </c>
      <c r="BH755" s="0" t="s">
        <v>130</v>
      </c>
      <c r="BI755" s="0" t="s">
        <v>130</v>
      </c>
      <c r="BJ755" s="0" t="s">
        <v>130</v>
      </c>
      <c r="BK755" s="0" t="s">
        <v>130</v>
      </c>
      <c r="BL755" s="0" t="s">
        <v>130</v>
      </c>
      <c r="BM755" s="0" t="s">
        <v>130</v>
      </c>
      <c r="BN755" s="0" t="s">
        <v>130</v>
      </c>
      <c r="BO755" s="0" t="s">
        <v>130</v>
      </c>
      <c r="BP755" s="0" t="s">
        <v>130</v>
      </c>
      <c r="BQ755" s="0" t="s">
        <v>130</v>
      </c>
      <c r="BR755" s="0" t="s">
        <v>130</v>
      </c>
      <c r="BS755" s="0" t="s">
        <v>130</v>
      </c>
      <c r="BT755" s="0" t="s">
        <v>130</v>
      </c>
      <c r="BU755" s="0" t="s">
        <v>130</v>
      </c>
      <c r="BV755" s="0" t="s">
        <v>130</v>
      </c>
      <c r="BW755" s="0" t="s">
        <v>130</v>
      </c>
      <c r="BX755" s="0" t="s">
        <v>130</v>
      </c>
      <c r="BY755" s="0" t="s">
        <v>130</v>
      </c>
      <c r="BZ755" s="0" t="s">
        <v>130</v>
      </c>
      <c r="CA755" s="0" t="s">
        <v>130</v>
      </c>
      <c r="CB755" s="0" t="s">
        <v>130</v>
      </c>
      <c r="CC755" s="0" t="s">
        <v>130</v>
      </c>
      <c r="CD755" s="0" t="s">
        <v>130</v>
      </c>
      <c r="CE755" s="0" t="s">
        <v>130</v>
      </c>
      <c r="CF755" s="0" t="s">
        <v>130</v>
      </c>
      <c r="CG755" s="0" t="s">
        <v>130</v>
      </c>
      <c r="CH755" s="0" t="s">
        <v>130</v>
      </c>
      <c r="CI755" s="0" t="s">
        <v>130</v>
      </c>
      <c r="CJ755" s="0" t="s">
        <v>130</v>
      </c>
      <c r="CK755" s="0" t="s">
        <v>130</v>
      </c>
      <c r="CL755" s="0" t="s">
        <v>130</v>
      </c>
      <c r="CM755" s="0" t="s">
        <v>130</v>
      </c>
      <c r="CN755" s="0" t="s">
        <v>130</v>
      </c>
      <c r="CO755" s="0" t="s">
        <v>130</v>
      </c>
      <c r="CP755" s="0" t="s">
        <v>130</v>
      </c>
      <c r="CQ755" s="0" t="s">
        <v>130</v>
      </c>
      <c r="CR755" s="0" t="s">
        <v>130</v>
      </c>
      <c r="CS755" s="0" t="s">
        <v>130</v>
      </c>
      <c r="CT755" s="0" t="s">
        <v>2392</v>
      </c>
    </row>
    <row r="756">
      <c r="A756" s="14">
        <v>115259</v>
      </c>
      <c r="B756" s="0" t="s">
        <v>2384</v>
      </c>
      <c r="C756" s="16">
        <f>HYPERLINK("https://eosportal.federatedhermes.com/companies/Q29tcGFueQppNjc3NTU=", "Danone SA")</f>
      </c>
      <c r="D756" s="0" t="s">
        <v>25</v>
      </c>
      <c r="E756" s="0" t="s">
        <v>2393</v>
      </c>
      <c r="F756" s="16">
        <f>HYPERLINK("https://eosportal.federatedhermes.com/engagements/RW5nYWdlbWVudAppMjIwMzM=", "Climate Action 100+ dialogue")</f>
      </c>
      <c r="G756" s="14" t="s">
        <v>2394</v>
      </c>
      <c r="H756" s="0" t="s">
        <v>141</v>
      </c>
      <c r="I756" s="14" t="s">
        <v>191</v>
      </c>
      <c r="J756" s="0" t="s">
        <v>197</v>
      </c>
      <c r="K756" s="0" t="s">
        <v>198</v>
      </c>
      <c r="L756" s="0" t="s">
        <v>199</v>
      </c>
      <c r="M756" s="0" t="s">
        <v>378</v>
      </c>
      <c r="N756" s="0" t="s">
        <v>1646</v>
      </c>
      <c r="O756" s="0" t="s">
        <v>332</v>
      </c>
      <c r="Q756" s="0" t="s">
        <v>130</v>
      </c>
      <c r="R756" s="0" t="s">
        <v>138</v>
      </c>
      <c r="S756" s="14">
        <v>0</v>
      </c>
      <c r="T756" s="0" t="s">
        <v>1145</v>
      </c>
      <c r="U756" s="0" t="s">
        <v>138</v>
      </c>
      <c r="V756" s="14" t="s">
        <v>138</v>
      </c>
      <c r="W756" s="0" t="s">
        <v>138</v>
      </c>
      <c r="X756" s="14" t="s">
        <v>138</v>
      </c>
      <c r="Y756" s="0" t="s">
        <v>138</v>
      </c>
      <c r="Z756" s="14" t="s">
        <v>138</v>
      </c>
      <c r="AA756" s="0" t="s">
        <v>138</v>
      </c>
      <c r="AB756" s="14" t="s">
        <v>138</v>
      </c>
      <c r="AD756" s="0" t="s">
        <v>138</v>
      </c>
      <c r="AF756" s="0">
        <v>0</v>
      </c>
      <c r="AG756" s="0">
        <v>0</v>
      </c>
      <c r="AH756" s="0" t="s">
        <v>140</v>
      </c>
      <c r="AI756" s="0" t="s">
        <v>138</v>
      </c>
      <c r="AL756" s="14"/>
      <c r="AN756" s="14"/>
      <c r="AQ756" s="0" t="s">
        <v>130</v>
      </c>
      <c r="AR756" s="0" t="s">
        <v>130</v>
      </c>
      <c r="AS756" s="0" t="s">
        <v>130</v>
      </c>
      <c r="AT756" s="0" t="s">
        <v>130</v>
      </c>
      <c r="AU756" s="0" t="s">
        <v>130</v>
      </c>
      <c r="AV756" s="0" t="s">
        <v>130</v>
      </c>
      <c r="AW756" s="0" t="s">
        <v>130</v>
      </c>
      <c r="AX756" s="0" t="s">
        <v>130</v>
      </c>
      <c r="AY756" s="0" t="s">
        <v>130</v>
      </c>
      <c r="AZ756" s="0" t="s">
        <v>130</v>
      </c>
      <c r="BA756" s="0" t="s">
        <v>130</v>
      </c>
      <c r="BB756" s="0" t="s">
        <v>141</v>
      </c>
      <c r="BC756" s="0" t="s">
        <v>130</v>
      </c>
      <c r="BD756" s="0" t="s">
        <v>130</v>
      </c>
      <c r="BE756" s="0" t="s">
        <v>130</v>
      </c>
      <c r="BF756" s="0" t="s">
        <v>130</v>
      </c>
      <c r="BG756" s="0" t="s">
        <v>130</v>
      </c>
      <c r="BH756" s="0" t="s">
        <v>130</v>
      </c>
      <c r="BI756" s="0" t="s">
        <v>130</v>
      </c>
      <c r="BJ756" s="0" t="s">
        <v>130</v>
      </c>
      <c r="BK756" s="0" t="s">
        <v>130</v>
      </c>
      <c r="BL756" s="0" t="s">
        <v>130</v>
      </c>
      <c r="BM756" s="0" t="s">
        <v>130</v>
      </c>
      <c r="BN756" s="0" t="s">
        <v>130</v>
      </c>
      <c r="BO756" s="0" t="s">
        <v>130</v>
      </c>
      <c r="BP756" s="0" t="s">
        <v>130</v>
      </c>
      <c r="BQ756" s="0" t="s">
        <v>130</v>
      </c>
      <c r="BR756" s="0" t="s">
        <v>130</v>
      </c>
      <c r="BS756" s="0" t="s">
        <v>130</v>
      </c>
      <c r="BT756" s="0" t="s">
        <v>130</v>
      </c>
      <c r="BU756" s="0" t="s">
        <v>130</v>
      </c>
      <c r="BV756" s="0" t="s">
        <v>130</v>
      </c>
      <c r="BW756" s="0" t="s">
        <v>130</v>
      </c>
      <c r="BX756" s="0" t="s">
        <v>130</v>
      </c>
      <c r="BY756" s="0" t="s">
        <v>130</v>
      </c>
      <c r="BZ756" s="0" t="s">
        <v>130</v>
      </c>
      <c r="CA756" s="0" t="s">
        <v>130</v>
      </c>
      <c r="CB756" s="0" t="s">
        <v>130</v>
      </c>
      <c r="CC756" s="0" t="s">
        <v>130</v>
      </c>
      <c r="CD756" s="0" t="s">
        <v>130</v>
      </c>
      <c r="CE756" s="0" t="s">
        <v>130</v>
      </c>
      <c r="CF756" s="0" t="s">
        <v>130</v>
      </c>
      <c r="CG756" s="0" t="s">
        <v>130</v>
      </c>
      <c r="CH756" s="0" t="s">
        <v>130</v>
      </c>
      <c r="CI756" s="0" t="s">
        <v>130</v>
      </c>
      <c r="CJ756" s="0" t="s">
        <v>130</v>
      </c>
      <c r="CK756" s="0" t="s">
        <v>130</v>
      </c>
      <c r="CL756" s="0" t="s">
        <v>130</v>
      </c>
      <c r="CM756" s="0" t="s">
        <v>130</v>
      </c>
      <c r="CN756" s="0" t="s">
        <v>130</v>
      </c>
      <c r="CO756" s="0" t="s">
        <v>130</v>
      </c>
      <c r="CP756" s="0" t="s">
        <v>130</v>
      </c>
      <c r="CQ756" s="0" t="s">
        <v>130</v>
      </c>
      <c r="CR756" s="0" t="s">
        <v>130</v>
      </c>
      <c r="CS756" s="0" t="s">
        <v>130</v>
      </c>
      <c r="CT756" s="0" t="s">
        <v>2395</v>
      </c>
    </row>
    <row r="757">
      <c r="A757" s="14">
        <v>115259</v>
      </c>
      <c r="B757" s="0" t="s">
        <v>2384</v>
      </c>
      <c r="C757" s="16">
        <f>HYPERLINK("https://eosportal.federatedhermes.com/companies/Q29tcGFueQppNjc3NTU=", "Danone SA")</f>
      </c>
      <c r="D757" s="0" t="s">
        <v>25</v>
      </c>
      <c r="E757" s="0" t="s">
        <v>2396</v>
      </c>
      <c r="F757" s="16">
        <f>HYPERLINK("https://eosportal.federatedhermes.com/engagements/RW5nYWdlbWVudAppMjIwMzQ=", "Corporate purpose")</f>
      </c>
      <c r="G757" s="14" t="s">
        <v>2396</v>
      </c>
      <c r="H757" s="0" t="s">
        <v>141</v>
      </c>
      <c r="I757" s="14" t="s">
        <v>191</v>
      </c>
      <c r="J757" s="0" t="s">
        <v>132</v>
      </c>
      <c r="K757" s="0" t="s">
        <v>133</v>
      </c>
      <c r="L757" s="0" t="s">
        <v>134</v>
      </c>
      <c r="M757" s="0" t="s">
        <v>378</v>
      </c>
      <c r="N757" s="0" t="s">
        <v>1646</v>
      </c>
      <c r="O757" s="0" t="s">
        <v>332</v>
      </c>
      <c r="Q757" s="0" t="s">
        <v>141</v>
      </c>
      <c r="R757" s="0" t="s">
        <v>138</v>
      </c>
      <c r="S757" s="14">
        <v>1</v>
      </c>
      <c r="T757" s="0" t="s">
        <v>148</v>
      </c>
      <c r="U757" s="0" t="s">
        <v>138</v>
      </c>
      <c r="V757" s="14" t="s">
        <v>138</v>
      </c>
      <c r="W757" s="0" t="s">
        <v>138</v>
      </c>
      <c r="X757" s="14" t="s">
        <v>138</v>
      </c>
      <c r="Y757" s="0" t="s">
        <v>138</v>
      </c>
      <c r="Z757" s="14" t="s">
        <v>138</v>
      </c>
      <c r="AA757" s="0" t="s">
        <v>138</v>
      </c>
      <c r="AB757" s="14" t="s">
        <v>138</v>
      </c>
      <c r="AD757" s="0" t="s">
        <v>138</v>
      </c>
      <c r="AF757" s="0">
        <v>0</v>
      </c>
      <c r="AG757" s="0">
        <v>0</v>
      </c>
      <c r="AH757" s="0" t="s">
        <v>140</v>
      </c>
      <c r="AI757" s="0" t="s">
        <v>138</v>
      </c>
      <c r="AK757" s="0" t="s">
        <v>436</v>
      </c>
      <c r="AL757" s="14"/>
      <c r="AN757" s="14"/>
      <c r="AQ757" s="0" t="s">
        <v>130</v>
      </c>
      <c r="AR757" s="0" t="s">
        <v>130</v>
      </c>
      <c r="AS757" s="0" t="s">
        <v>130</v>
      </c>
      <c r="AT757" s="0" t="s">
        <v>130</v>
      </c>
      <c r="AU757" s="0" t="s">
        <v>130</v>
      </c>
      <c r="AV757" s="0" t="s">
        <v>130</v>
      </c>
      <c r="AW757" s="0" t="s">
        <v>130</v>
      </c>
      <c r="AX757" s="0" t="s">
        <v>130</v>
      </c>
      <c r="AY757" s="0" t="s">
        <v>130</v>
      </c>
      <c r="AZ757" s="0" t="s">
        <v>130</v>
      </c>
      <c r="BA757" s="0" t="s">
        <v>130</v>
      </c>
      <c r="BB757" s="0" t="s">
        <v>130</v>
      </c>
      <c r="BC757" s="0" t="s">
        <v>130</v>
      </c>
      <c r="BD757" s="0" t="s">
        <v>130</v>
      </c>
      <c r="BE757" s="0" t="s">
        <v>130</v>
      </c>
      <c r="BF757" s="0" t="s">
        <v>130</v>
      </c>
      <c r="BG757" s="0" t="s">
        <v>130</v>
      </c>
      <c r="BH757" s="0" t="s">
        <v>130</v>
      </c>
      <c r="BI757" s="0" t="s">
        <v>130</v>
      </c>
      <c r="BJ757" s="0" t="s">
        <v>130</v>
      </c>
      <c r="BK757" s="0" t="s">
        <v>130</v>
      </c>
      <c r="BL757" s="0" t="s">
        <v>130</v>
      </c>
      <c r="BM757" s="0" t="s">
        <v>130</v>
      </c>
      <c r="BN757" s="0" t="s">
        <v>130</v>
      </c>
      <c r="BO757" s="0" t="s">
        <v>130</v>
      </c>
      <c r="BP757" s="0" t="s">
        <v>130</v>
      </c>
      <c r="BQ757" s="0" t="s">
        <v>130</v>
      </c>
      <c r="BR757" s="0" t="s">
        <v>130</v>
      </c>
      <c r="BS757" s="0" t="s">
        <v>130</v>
      </c>
      <c r="BT757" s="0" t="s">
        <v>130</v>
      </c>
      <c r="BU757" s="0" t="s">
        <v>130</v>
      </c>
      <c r="BV757" s="0" t="s">
        <v>130</v>
      </c>
      <c r="BW757" s="0" t="s">
        <v>130</v>
      </c>
      <c r="BX757" s="0" t="s">
        <v>130</v>
      </c>
      <c r="BY757" s="0" t="s">
        <v>130</v>
      </c>
      <c r="BZ757" s="0" t="s">
        <v>130</v>
      </c>
      <c r="CA757" s="0" t="s">
        <v>130</v>
      </c>
      <c r="CB757" s="0" t="s">
        <v>130</v>
      </c>
      <c r="CC757" s="0" t="s">
        <v>130</v>
      </c>
      <c r="CD757" s="0" t="s">
        <v>130</v>
      </c>
      <c r="CE757" s="0" t="s">
        <v>130</v>
      </c>
      <c r="CF757" s="0" t="s">
        <v>130</v>
      </c>
      <c r="CG757" s="0" t="s">
        <v>130</v>
      </c>
      <c r="CH757" s="0" t="s">
        <v>130</v>
      </c>
      <c r="CI757" s="0" t="s">
        <v>130</v>
      </c>
      <c r="CJ757" s="0" t="s">
        <v>130</v>
      </c>
      <c r="CK757" s="0" t="s">
        <v>130</v>
      </c>
      <c r="CL757" s="0" t="s">
        <v>130</v>
      </c>
      <c r="CM757" s="0" t="s">
        <v>130</v>
      </c>
      <c r="CN757" s="0" t="s">
        <v>130</v>
      </c>
      <c r="CO757" s="0" t="s">
        <v>130</v>
      </c>
      <c r="CP757" s="0" t="s">
        <v>130</v>
      </c>
      <c r="CQ757" s="0" t="s">
        <v>130</v>
      </c>
      <c r="CR757" s="0" t="s">
        <v>130</v>
      </c>
      <c r="CS757" s="0" t="s">
        <v>130</v>
      </c>
      <c r="CT757" s="0" t="s">
        <v>2397</v>
      </c>
    </row>
    <row r="758">
      <c r="A758" s="14">
        <v>115259</v>
      </c>
      <c r="B758" s="0" t="s">
        <v>2384</v>
      </c>
      <c r="C758" s="16">
        <f>HYPERLINK("https://eosportal.federatedhermes.com/companies/Q29tcGFueQppNjc3NTU=", "Danone SA")</f>
      </c>
      <c r="D758" s="0" t="s">
        <v>25</v>
      </c>
      <c r="E758" s="0" t="s">
        <v>1066</v>
      </c>
      <c r="F758" s="16">
        <f>HYPERLINK("https://eosportal.federatedhermes.com/engagements/RW5nYWdlbWVudAppMjIwMzU=", "Access To Nutrition")</f>
      </c>
      <c r="G758" s="14" t="s">
        <v>2398</v>
      </c>
      <c r="H758" s="0" t="s">
        <v>141</v>
      </c>
      <c r="I758" s="14" t="s">
        <v>191</v>
      </c>
      <c r="J758" s="0" t="s">
        <v>153</v>
      </c>
      <c r="K758" s="0" t="s">
        <v>243</v>
      </c>
      <c r="L758" s="0" t="s">
        <v>292</v>
      </c>
      <c r="M758" s="0" t="s">
        <v>378</v>
      </c>
      <c r="N758" s="0" t="s">
        <v>1646</v>
      </c>
      <c r="O758" s="0" t="s">
        <v>332</v>
      </c>
      <c r="Q758" s="0" t="s">
        <v>141</v>
      </c>
      <c r="R758" s="0" t="s">
        <v>138</v>
      </c>
      <c r="S758" s="14">
        <v>1</v>
      </c>
      <c r="T758" s="0" t="s">
        <v>333</v>
      </c>
      <c r="U758" s="0" t="s">
        <v>138</v>
      </c>
      <c r="V758" s="14" t="s">
        <v>138</v>
      </c>
      <c r="W758" s="0" t="s">
        <v>138</v>
      </c>
      <c r="X758" s="14" t="s">
        <v>138</v>
      </c>
      <c r="Y758" s="0" t="s">
        <v>138</v>
      </c>
      <c r="Z758" s="14" t="s">
        <v>138</v>
      </c>
      <c r="AA758" s="0" t="s">
        <v>138</v>
      </c>
      <c r="AB758" s="14" t="s">
        <v>138</v>
      </c>
      <c r="AD758" s="0" t="s">
        <v>138</v>
      </c>
      <c r="AF758" s="0">
        <v>0</v>
      </c>
      <c r="AG758" s="0">
        <v>0</v>
      </c>
      <c r="AH758" s="0" t="s">
        <v>140</v>
      </c>
      <c r="AI758" s="0" t="s">
        <v>138</v>
      </c>
      <c r="AK758" s="0" t="s">
        <v>436</v>
      </c>
      <c r="AL758" s="14"/>
      <c r="AN758" s="14"/>
      <c r="AQ758" s="0" t="s">
        <v>130</v>
      </c>
      <c r="AR758" s="0" t="s">
        <v>141</v>
      </c>
      <c r="AS758" s="0" t="s">
        <v>130</v>
      </c>
      <c r="AT758" s="0" t="s">
        <v>130</v>
      </c>
      <c r="AU758" s="0" t="s">
        <v>130</v>
      </c>
      <c r="AV758" s="0" t="s">
        <v>130</v>
      </c>
      <c r="AW758" s="0" t="s">
        <v>130</v>
      </c>
      <c r="AX758" s="0" t="s">
        <v>130</v>
      </c>
      <c r="AY758" s="0" t="s">
        <v>130</v>
      </c>
      <c r="AZ758" s="0" t="s">
        <v>130</v>
      </c>
      <c r="BA758" s="0" t="s">
        <v>130</v>
      </c>
      <c r="BB758" s="0" t="s">
        <v>130</v>
      </c>
      <c r="BC758" s="0" t="s">
        <v>130</v>
      </c>
      <c r="BD758" s="0" t="s">
        <v>130</v>
      </c>
      <c r="BE758" s="0" t="s">
        <v>130</v>
      </c>
      <c r="BF758" s="0" t="s">
        <v>130</v>
      </c>
      <c r="BG758" s="0" t="s">
        <v>130</v>
      </c>
      <c r="BH758" s="0" t="s">
        <v>130</v>
      </c>
      <c r="BI758" s="0" t="s">
        <v>130</v>
      </c>
      <c r="BJ758" s="0" t="s">
        <v>130</v>
      </c>
      <c r="BK758" s="0" t="s">
        <v>130</v>
      </c>
      <c r="BL758" s="0" t="s">
        <v>130</v>
      </c>
      <c r="BM758" s="0" t="s">
        <v>130</v>
      </c>
      <c r="BN758" s="0" t="s">
        <v>130</v>
      </c>
      <c r="BO758" s="0" t="s">
        <v>130</v>
      </c>
      <c r="BP758" s="0" t="s">
        <v>130</v>
      </c>
      <c r="BQ758" s="0" t="s">
        <v>130</v>
      </c>
      <c r="BR758" s="0" t="s">
        <v>130</v>
      </c>
      <c r="BS758" s="0" t="s">
        <v>130</v>
      </c>
      <c r="BT758" s="0" t="s">
        <v>130</v>
      </c>
      <c r="BU758" s="0" t="s">
        <v>130</v>
      </c>
      <c r="BV758" s="0" t="s">
        <v>130</v>
      </c>
      <c r="BW758" s="0" t="s">
        <v>130</v>
      </c>
      <c r="BX758" s="0" t="s">
        <v>130</v>
      </c>
      <c r="BY758" s="0" t="s">
        <v>130</v>
      </c>
      <c r="BZ758" s="0" t="s">
        <v>130</v>
      </c>
      <c r="CA758" s="0" t="s">
        <v>130</v>
      </c>
      <c r="CB758" s="0" t="s">
        <v>130</v>
      </c>
      <c r="CC758" s="0" t="s">
        <v>130</v>
      </c>
      <c r="CD758" s="0" t="s">
        <v>130</v>
      </c>
      <c r="CE758" s="0" t="s">
        <v>130</v>
      </c>
      <c r="CF758" s="0" t="s">
        <v>130</v>
      </c>
      <c r="CG758" s="0" t="s">
        <v>130</v>
      </c>
      <c r="CH758" s="0" t="s">
        <v>130</v>
      </c>
      <c r="CI758" s="0" t="s">
        <v>130</v>
      </c>
      <c r="CJ758" s="0" t="s">
        <v>130</v>
      </c>
      <c r="CK758" s="0" t="s">
        <v>130</v>
      </c>
      <c r="CL758" s="0" t="s">
        <v>130</v>
      </c>
      <c r="CM758" s="0" t="s">
        <v>130</v>
      </c>
      <c r="CN758" s="0" t="s">
        <v>130</v>
      </c>
      <c r="CO758" s="0" t="s">
        <v>130</v>
      </c>
      <c r="CP758" s="0" t="s">
        <v>130</v>
      </c>
      <c r="CQ758" s="0" t="s">
        <v>130</v>
      </c>
      <c r="CR758" s="0" t="s">
        <v>130</v>
      </c>
      <c r="CS758" s="0" t="s">
        <v>130</v>
      </c>
      <c r="CT758" s="0" t="s">
        <v>2399</v>
      </c>
    </row>
    <row r="759">
      <c r="A759" s="14">
        <v>115259</v>
      </c>
      <c r="B759" s="0" t="s">
        <v>2384</v>
      </c>
      <c r="C759" s="16">
        <f>HYPERLINK("https://eosportal.federatedhermes.com/companies/Q29tcGFueQppNjc3NTU=", "Danone SA")</f>
      </c>
      <c r="D759" s="0" t="s">
        <v>25</v>
      </c>
      <c r="E759" s="0" t="s">
        <v>1079</v>
      </c>
      <c r="F759" s="16">
        <f>HYPERLINK("https://eosportal.federatedhermes.com/engagements/RW5nYWdlbWVudAppMjIwMzk=", "Plastic packaging")</f>
      </c>
      <c r="G759" s="14" t="s">
        <v>1079</v>
      </c>
      <c r="H759" s="0" t="s">
        <v>141</v>
      </c>
      <c r="I759" s="14" t="s">
        <v>191</v>
      </c>
      <c r="J759" s="0" t="s">
        <v>197</v>
      </c>
      <c r="K759" s="0" t="s">
        <v>348</v>
      </c>
      <c r="L759" s="0" t="s">
        <v>349</v>
      </c>
      <c r="M759" s="0" t="s">
        <v>378</v>
      </c>
      <c r="N759" s="0" t="s">
        <v>1646</v>
      </c>
      <c r="O759" s="0" t="s">
        <v>332</v>
      </c>
      <c r="Q759" s="0" t="s">
        <v>141</v>
      </c>
      <c r="R759" s="0" t="s">
        <v>138</v>
      </c>
      <c r="S759" s="14">
        <v>1</v>
      </c>
      <c r="T759" s="0" t="s">
        <v>193</v>
      </c>
      <c r="U759" s="0" t="s">
        <v>138</v>
      </c>
      <c r="V759" s="14" t="s">
        <v>138</v>
      </c>
      <c r="W759" s="0" t="s">
        <v>138</v>
      </c>
      <c r="X759" s="14" t="s">
        <v>138</v>
      </c>
      <c r="Y759" s="0" t="s">
        <v>138</v>
      </c>
      <c r="Z759" s="14" t="s">
        <v>138</v>
      </c>
      <c r="AA759" s="0" t="s">
        <v>138</v>
      </c>
      <c r="AB759" s="14" t="s">
        <v>138</v>
      </c>
      <c r="AD759" s="0" t="s">
        <v>138</v>
      </c>
      <c r="AF759" s="0">
        <v>0</v>
      </c>
      <c r="AG759" s="0">
        <v>0</v>
      </c>
      <c r="AH759" s="0" t="s">
        <v>140</v>
      </c>
      <c r="AI759" s="0" t="s">
        <v>138</v>
      </c>
      <c r="AK759" s="0" t="s">
        <v>436</v>
      </c>
      <c r="AL759" s="14"/>
      <c r="AN759" s="14"/>
      <c r="AQ759" s="0" t="s">
        <v>130</v>
      </c>
      <c r="AR759" s="0" t="s">
        <v>130</v>
      </c>
      <c r="AS759" s="0" t="s">
        <v>130</v>
      </c>
      <c r="AT759" s="0" t="s">
        <v>130</v>
      </c>
      <c r="AU759" s="0" t="s">
        <v>130</v>
      </c>
      <c r="AV759" s="0" t="s">
        <v>130</v>
      </c>
      <c r="AW759" s="0" t="s">
        <v>130</v>
      </c>
      <c r="AX759" s="0" t="s">
        <v>130</v>
      </c>
      <c r="AY759" s="0" t="s">
        <v>130</v>
      </c>
      <c r="AZ759" s="0" t="s">
        <v>130</v>
      </c>
      <c r="BA759" s="0" t="s">
        <v>130</v>
      </c>
      <c r="BB759" s="0" t="s">
        <v>141</v>
      </c>
      <c r="BC759" s="0" t="s">
        <v>130</v>
      </c>
      <c r="BD759" s="0" t="s">
        <v>130</v>
      </c>
      <c r="BE759" s="0" t="s">
        <v>130</v>
      </c>
      <c r="BF759" s="0" t="s">
        <v>130</v>
      </c>
      <c r="BG759" s="0" t="s">
        <v>130</v>
      </c>
      <c r="BH759" s="0" t="s">
        <v>130</v>
      </c>
      <c r="BI759" s="0" t="s">
        <v>130</v>
      </c>
      <c r="BJ759" s="0" t="s">
        <v>130</v>
      </c>
      <c r="BK759" s="0" t="s">
        <v>130</v>
      </c>
      <c r="BL759" s="0" t="s">
        <v>130</v>
      </c>
      <c r="BM759" s="0" t="s">
        <v>130</v>
      </c>
      <c r="BN759" s="0" t="s">
        <v>130</v>
      </c>
      <c r="BO759" s="0" t="s">
        <v>130</v>
      </c>
      <c r="BP759" s="0" t="s">
        <v>130</v>
      </c>
      <c r="BQ759" s="0" t="s">
        <v>130</v>
      </c>
      <c r="BR759" s="0" t="s">
        <v>130</v>
      </c>
      <c r="BS759" s="0" t="s">
        <v>130</v>
      </c>
      <c r="BT759" s="0" t="s">
        <v>130</v>
      </c>
      <c r="BU759" s="0" t="s">
        <v>130</v>
      </c>
      <c r="BV759" s="0" t="s">
        <v>130</v>
      </c>
      <c r="BW759" s="0" t="s">
        <v>130</v>
      </c>
      <c r="BX759" s="0" t="s">
        <v>130</v>
      </c>
      <c r="BY759" s="0" t="s">
        <v>130</v>
      </c>
      <c r="BZ759" s="0" t="s">
        <v>130</v>
      </c>
      <c r="CA759" s="0" t="s">
        <v>130</v>
      </c>
      <c r="CB759" s="0" t="s">
        <v>130</v>
      </c>
      <c r="CC759" s="0" t="s">
        <v>130</v>
      </c>
      <c r="CD759" s="0" t="s">
        <v>141</v>
      </c>
      <c r="CE759" s="0" t="s">
        <v>130</v>
      </c>
      <c r="CF759" s="0" t="s">
        <v>130</v>
      </c>
      <c r="CG759" s="0" t="s">
        <v>130</v>
      </c>
      <c r="CH759" s="0" t="s">
        <v>130</v>
      </c>
      <c r="CI759" s="0" t="s">
        <v>130</v>
      </c>
      <c r="CJ759" s="0" t="s">
        <v>130</v>
      </c>
      <c r="CK759" s="0" t="s">
        <v>130</v>
      </c>
      <c r="CL759" s="0" t="s">
        <v>130</v>
      </c>
      <c r="CM759" s="0" t="s">
        <v>130</v>
      </c>
      <c r="CN759" s="0" t="s">
        <v>130</v>
      </c>
      <c r="CO759" s="0" t="s">
        <v>130</v>
      </c>
      <c r="CP759" s="0" t="s">
        <v>130</v>
      </c>
      <c r="CQ759" s="0" t="s">
        <v>130</v>
      </c>
      <c r="CR759" s="0" t="s">
        <v>130</v>
      </c>
      <c r="CS759" s="0" t="s">
        <v>130</v>
      </c>
      <c r="CT759" s="0" t="s">
        <v>2400</v>
      </c>
    </row>
    <row r="760">
      <c r="A760" s="14">
        <v>115259</v>
      </c>
      <c r="B760" s="0" t="s">
        <v>2384</v>
      </c>
      <c r="C760" s="16">
        <f>HYPERLINK("https://eosportal.federatedhermes.com/companies/Q29tcGFueQppNjc3NTU=", "Danone SA")</f>
      </c>
      <c r="D760" s="0" t="s">
        <v>25</v>
      </c>
      <c r="E760" s="0" t="s">
        <v>2200</v>
      </c>
      <c r="F760" s="16">
        <f>HYPERLINK("https://eosportal.federatedhermes.com/engagements/RW5nYWdlbWVudAppMjIwNDA=", "Workforce Disclosure Initiative")</f>
      </c>
      <c r="G760" s="14" t="s">
        <v>2401</v>
      </c>
      <c r="H760" s="0" t="s">
        <v>141</v>
      </c>
      <c r="I760" s="14" t="s">
        <v>191</v>
      </c>
      <c r="J760" s="0" t="s">
        <v>132</v>
      </c>
      <c r="K760" s="0" t="s">
        <v>133</v>
      </c>
      <c r="L760" s="0" t="s">
        <v>160</v>
      </c>
      <c r="M760" s="0" t="s">
        <v>378</v>
      </c>
      <c r="N760" s="0" t="s">
        <v>1646</v>
      </c>
      <c r="O760" s="0" t="s">
        <v>332</v>
      </c>
      <c r="Q760" s="0" t="s">
        <v>130</v>
      </c>
      <c r="R760" s="0" t="s">
        <v>138</v>
      </c>
      <c r="S760" s="14">
        <v>0</v>
      </c>
      <c r="T760" s="0" t="s">
        <v>1145</v>
      </c>
      <c r="U760" s="0" t="s">
        <v>138</v>
      </c>
      <c r="V760" s="14" t="s">
        <v>138</v>
      </c>
      <c r="W760" s="0" t="s">
        <v>138</v>
      </c>
      <c r="X760" s="14" t="s">
        <v>138</v>
      </c>
      <c r="Y760" s="0" t="s">
        <v>138</v>
      </c>
      <c r="Z760" s="14" t="s">
        <v>138</v>
      </c>
      <c r="AA760" s="0" t="s">
        <v>138</v>
      </c>
      <c r="AB760" s="14" t="s">
        <v>138</v>
      </c>
      <c r="AD760" s="0" t="s">
        <v>138</v>
      </c>
      <c r="AF760" s="0">
        <v>0</v>
      </c>
      <c r="AG760" s="0">
        <v>0</v>
      </c>
      <c r="AH760" s="0" t="s">
        <v>140</v>
      </c>
      <c r="AI760" s="0" t="s">
        <v>138</v>
      </c>
      <c r="AL760" s="14"/>
      <c r="AN760" s="14"/>
      <c r="AQ760" s="0" t="s">
        <v>130</v>
      </c>
      <c r="AR760" s="0" t="s">
        <v>130</v>
      </c>
      <c r="AS760" s="0" t="s">
        <v>130</v>
      </c>
      <c r="AT760" s="0" t="s">
        <v>130</v>
      </c>
      <c r="AU760" s="0" t="s">
        <v>130</v>
      </c>
      <c r="AV760" s="0" t="s">
        <v>130</v>
      </c>
      <c r="AW760" s="0" t="s">
        <v>130</v>
      </c>
      <c r="AX760" s="0" t="s">
        <v>141</v>
      </c>
      <c r="AY760" s="0" t="s">
        <v>130</v>
      </c>
      <c r="AZ760" s="0" t="s">
        <v>141</v>
      </c>
      <c r="BA760" s="0" t="s">
        <v>130</v>
      </c>
      <c r="BB760" s="0" t="s">
        <v>130</v>
      </c>
      <c r="BC760" s="0" t="s">
        <v>130</v>
      </c>
      <c r="BD760" s="0" t="s">
        <v>130</v>
      </c>
      <c r="BE760" s="0" t="s">
        <v>130</v>
      </c>
      <c r="BF760" s="0" t="s">
        <v>130</v>
      </c>
      <c r="BG760" s="0" t="s">
        <v>130</v>
      </c>
      <c r="BH760" s="0" t="s">
        <v>130</v>
      </c>
      <c r="BI760" s="0" t="s">
        <v>130</v>
      </c>
      <c r="BJ760" s="0" t="s">
        <v>130</v>
      </c>
      <c r="BK760" s="0" t="s">
        <v>130</v>
      </c>
      <c r="BL760" s="0" t="s">
        <v>130</v>
      </c>
      <c r="BM760" s="0" t="s">
        <v>130</v>
      </c>
      <c r="BN760" s="0" t="s">
        <v>130</v>
      </c>
      <c r="BO760" s="0" t="s">
        <v>130</v>
      </c>
      <c r="BP760" s="0" t="s">
        <v>130</v>
      </c>
      <c r="BQ760" s="0" t="s">
        <v>130</v>
      </c>
      <c r="BR760" s="0" t="s">
        <v>130</v>
      </c>
      <c r="BS760" s="0" t="s">
        <v>130</v>
      </c>
      <c r="BT760" s="0" t="s">
        <v>130</v>
      </c>
      <c r="BU760" s="0" t="s">
        <v>130</v>
      </c>
      <c r="BV760" s="0" t="s">
        <v>130</v>
      </c>
      <c r="BW760" s="0" t="s">
        <v>130</v>
      </c>
      <c r="BX760" s="0" t="s">
        <v>130</v>
      </c>
      <c r="BY760" s="0" t="s">
        <v>130</v>
      </c>
      <c r="BZ760" s="0" t="s">
        <v>130</v>
      </c>
      <c r="CA760" s="0" t="s">
        <v>130</v>
      </c>
      <c r="CB760" s="0" t="s">
        <v>130</v>
      </c>
      <c r="CC760" s="0" t="s">
        <v>130</v>
      </c>
      <c r="CD760" s="0" t="s">
        <v>130</v>
      </c>
      <c r="CE760" s="0" t="s">
        <v>130</v>
      </c>
      <c r="CF760" s="0" t="s">
        <v>130</v>
      </c>
      <c r="CG760" s="0" t="s">
        <v>130</v>
      </c>
      <c r="CH760" s="0" t="s">
        <v>130</v>
      </c>
      <c r="CI760" s="0" t="s">
        <v>130</v>
      </c>
      <c r="CJ760" s="0" t="s">
        <v>130</v>
      </c>
      <c r="CK760" s="0" t="s">
        <v>130</v>
      </c>
      <c r="CL760" s="0" t="s">
        <v>130</v>
      </c>
      <c r="CM760" s="0" t="s">
        <v>130</v>
      </c>
      <c r="CN760" s="0" t="s">
        <v>130</v>
      </c>
      <c r="CO760" s="0" t="s">
        <v>130</v>
      </c>
      <c r="CP760" s="0" t="s">
        <v>130</v>
      </c>
      <c r="CQ760" s="0" t="s">
        <v>130</v>
      </c>
      <c r="CR760" s="0" t="s">
        <v>130</v>
      </c>
      <c r="CS760" s="0" t="s">
        <v>130</v>
      </c>
      <c r="CT760" s="0" t="s">
        <v>2402</v>
      </c>
    </row>
    <row r="761">
      <c r="A761" s="14">
        <v>115259</v>
      </c>
      <c r="B761" s="0" t="s">
        <v>2384</v>
      </c>
      <c r="C761" s="16">
        <f>HYPERLINK("https://eosportal.federatedhermes.com/companies/Q29tcGFueQppNjc3NTU=", "Danone SA")</f>
      </c>
      <c r="D761" s="0" t="s">
        <v>25</v>
      </c>
      <c r="E761" s="0" t="s">
        <v>1567</v>
      </c>
      <c r="F761" s="16">
        <f>HYPERLINK("https://eosportal.federatedhermes.com/engagements/RW5nYWdlbWVudAppMjIwNDE=", "CEO/Chair separation")</f>
      </c>
      <c r="G761" s="14" t="s">
        <v>2403</v>
      </c>
      <c r="H761" s="0" t="s">
        <v>141</v>
      </c>
      <c r="I761" s="14" t="s">
        <v>191</v>
      </c>
      <c r="J761" s="0" t="s">
        <v>145</v>
      </c>
      <c r="K761" s="0" t="s">
        <v>164</v>
      </c>
      <c r="L761" s="0" t="s">
        <v>165</v>
      </c>
      <c r="M761" s="0" t="s">
        <v>378</v>
      </c>
      <c r="N761" s="0" t="s">
        <v>1646</v>
      </c>
      <c r="O761" s="0" t="s">
        <v>332</v>
      </c>
      <c r="Q761" s="0" t="s">
        <v>130</v>
      </c>
      <c r="R761" s="0" t="s">
        <v>138</v>
      </c>
      <c r="S761" s="14">
        <v>0</v>
      </c>
      <c r="T761" s="0" t="s">
        <v>394</v>
      </c>
      <c r="U761" s="0" t="s">
        <v>138</v>
      </c>
      <c r="V761" s="14" t="s">
        <v>138</v>
      </c>
      <c r="W761" s="0" t="s">
        <v>138</v>
      </c>
      <c r="X761" s="14" t="s">
        <v>138</v>
      </c>
      <c r="Y761" s="0" t="s">
        <v>138</v>
      </c>
      <c r="Z761" s="14" t="s">
        <v>138</v>
      </c>
      <c r="AA761" s="0" t="s">
        <v>138</v>
      </c>
      <c r="AB761" s="14" t="s">
        <v>138</v>
      </c>
      <c r="AD761" s="0" t="s">
        <v>138</v>
      </c>
      <c r="AF761" s="0">
        <v>0</v>
      </c>
      <c r="AG761" s="0">
        <v>0</v>
      </c>
      <c r="AH761" s="0" t="s">
        <v>140</v>
      </c>
      <c r="AI761" s="0" t="s">
        <v>138</v>
      </c>
      <c r="AL761" s="14"/>
      <c r="AN761" s="14"/>
      <c r="AQ761" s="0" t="s">
        <v>130</v>
      </c>
      <c r="AR761" s="0" t="s">
        <v>130</v>
      </c>
      <c r="AS761" s="0" t="s">
        <v>130</v>
      </c>
      <c r="AT761" s="0" t="s">
        <v>130</v>
      </c>
      <c r="AU761" s="0" t="s">
        <v>130</v>
      </c>
      <c r="AV761" s="0" t="s">
        <v>130</v>
      </c>
      <c r="AW761" s="0" t="s">
        <v>130</v>
      </c>
      <c r="AX761" s="0" t="s">
        <v>130</v>
      </c>
      <c r="AY761" s="0" t="s">
        <v>130</v>
      </c>
      <c r="AZ761" s="0" t="s">
        <v>130</v>
      </c>
      <c r="BA761" s="0" t="s">
        <v>130</v>
      </c>
      <c r="BB761" s="0" t="s">
        <v>130</v>
      </c>
      <c r="BC761" s="0" t="s">
        <v>130</v>
      </c>
      <c r="BD761" s="0" t="s">
        <v>130</v>
      </c>
      <c r="BE761" s="0" t="s">
        <v>130</v>
      </c>
      <c r="BF761" s="0" t="s">
        <v>130</v>
      </c>
      <c r="BG761" s="0" t="s">
        <v>130</v>
      </c>
      <c r="BH761" s="0" t="s">
        <v>130</v>
      </c>
      <c r="BI761" s="0" t="s">
        <v>130</v>
      </c>
      <c r="BJ761" s="0" t="s">
        <v>130</v>
      </c>
      <c r="BK761" s="0" t="s">
        <v>130</v>
      </c>
      <c r="BL761" s="0" t="s">
        <v>130</v>
      </c>
      <c r="BM761" s="0" t="s">
        <v>130</v>
      </c>
      <c r="BN761" s="0" t="s">
        <v>130</v>
      </c>
      <c r="BO761" s="0" t="s">
        <v>130</v>
      </c>
      <c r="BP761" s="0" t="s">
        <v>130</v>
      </c>
      <c r="BQ761" s="0" t="s">
        <v>130</v>
      </c>
      <c r="BR761" s="0" t="s">
        <v>130</v>
      </c>
      <c r="BS761" s="0" t="s">
        <v>130</v>
      </c>
      <c r="BT761" s="0" t="s">
        <v>130</v>
      </c>
      <c r="BU761" s="0" t="s">
        <v>130</v>
      </c>
      <c r="BV761" s="0" t="s">
        <v>130</v>
      </c>
      <c r="BW761" s="0" t="s">
        <v>130</v>
      </c>
      <c r="BX761" s="0" t="s">
        <v>130</v>
      </c>
      <c r="BY761" s="0" t="s">
        <v>130</v>
      </c>
      <c r="BZ761" s="0" t="s">
        <v>130</v>
      </c>
      <c r="CA761" s="0" t="s">
        <v>130</v>
      </c>
      <c r="CB761" s="0" t="s">
        <v>130</v>
      </c>
      <c r="CC761" s="0" t="s">
        <v>130</v>
      </c>
      <c r="CD761" s="0" t="s">
        <v>130</v>
      </c>
      <c r="CE761" s="0" t="s">
        <v>130</v>
      </c>
      <c r="CF761" s="0" t="s">
        <v>130</v>
      </c>
      <c r="CG761" s="0" t="s">
        <v>130</v>
      </c>
      <c r="CH761" s="0" t="s">
        <v>130</v>
      </c>
      <c r="CI761" s="0" t="s">
        <v>130</v>
      </c>
      <c r="CJ761" s="0" t="s">
        <v>130</v>
      </c>
      <c r="CK761" s="0" t="s">
        <v>130</v>
      </c>
      <c r="CL761" s="0" t="s">
        <v>130</v>
      </c>
      <c r="CM761" s="0" t="s">
        <v>130</v>
      </c>
      <c r="CN761" s="0" t="s">
        <v>130</v>
      </c>
      <c r="CO761" s="0" t="s">
        <v>130</v>
      </c>
      <c r="CP761" s="0" t="s">
        <v>130</v>
      </c>
      <c r="CQ761" s="0" t="s">
        <v>130</v>
      </c>
      <c r="CR761" s="0" t="s">
        <v>130</v>
      </c>
      <c r="CS761" s="0" t="s">
        <v>130</v>
      </c>
      <c r="CT761" s="0" t="s">
        <v>2404</v>
      </c>
    </row>
    <row r="762">
      <c r="A762" s="14">
        <v>115259</v>
      </c>
      <c r="B762" s="0" t="s">
        <v>2384</v>
      </c>
      <c r="C762" s="16">
        <f>HYPERLINK("https://eosportal.federatedhermes.com/companies/Q29tcGFueQppNjc3NTU=", "Danone SA")</f>
      </c>
      <c r="D762" s="0" t="s">
        <v>25</v>
      </c>
      <c r="E762" s="0" t="s">
        <v>907</v>
      </c>
      <c r="F762" s="16">
        <f>HYPERLINK("https://eosportal.federatedhermes.com/engagements/RW5nYWdlbWVudAppMjIwNDI=", "Climate change")</f>
      </c>
      <c r="G762" s="14" t="s">
        <v>2405</v>
      </c>
      <c r="H762" s="0" t="s">
        <v>141</v>
      </c>
      <c r="I762" s="14" t="s">
        <v>191</v>
      </c>
      <c r="J762" s="0" t="s">
        <v>197</v>
      </c>
      <c r="K762" s="0" t="s">
        <v>198</v>
      </c>
      <c r="L762" s="0" t="s">
        <v>216</v>
      </c>
      <c r="M762" s="0" t="s">
        <v>378</v>
      </c>
      <c r="N762" s="0" t="s">
        <v>1646</v>
      </c>
      <c r="O762" s="0" t="s">
        <v>332</v>
      </c>
      <c r="Q762" s="0" t="s">
        <v>130</v>
      </c>
      <c r="R762" s="0" t="s">
        <v>138</v>
      </c>
      <c r="S762" s="14">
        <v>0</v>
      </c>
      <c r="T762" s="0" t="s">
        <v>139</v>
      </c>
      <c r="U762" s="0" t="s">
        <v>138</v>
      </c>
      <c r="V762" s="14" t="s">
        <v>138</v>
      </c>
      <c r="W762" s="0" t="s">
        <v>138</v>
      </c>
      <c r="X762" s="14" t="s">
        <v>138</v>
      </c>
      <c r="Y762" s="0" t="s">
        <v>138</v>
      </c>
      <c r="Z762" s="14" t="s">
        <v>138</v>
      </c>
      <c r="AA762" s="0" t="s">
        <v>138</v>
      </c>
      <c r="AB762" s="14" t="s">
        <v>138</v>
      </c>
      <c r="AD762" s="0" t="s">
        <v>138</v>
      </c>
      <c r="AF762" s="0">
        <v>0</v>
      </c>
      <c r="AG762" s="0">
        <v>0</v>
      </c>
      <c r="AH762" s="0" t="s">
        <v>140</v>
      </c>
      <c r="AI762" s="0" t="s">
        <v>138</v>
      </c>
      <c r="AL762" s="14"/>
      <c r="AN762" s="14"/>
      <c r="AQ762" s="0" t="s">
        <v>130</v>
      </c>
      <c r="AR762" s="0" t="s">
        <v>130</v>
      </c>
      <c r="AS762" s="0" t="s">
        <v>130</v>
      </c>
      <c r="AT762" s="0" t="s">
        <v>130</v>
      </c>
      <c r="AU762" s="0" t="s">
        <v>130</v>
      </c>
      <c r="AV762" s="0" t="s">
        <v>130</v>
      </c>
      <c r="AW762" s="0" t="s">
        <v>141</v>
      </c>
      <c r="AX762" s="0" t="s">
        <v>130</v>
      </c>
      <c r="AY762" s="0" t="s">
        <v>130</v>
      </c>
      <c r="AZ762" s="0" t="s">
        <v>130</v>
      </c>
      <c r="BA762" s="0" t="s">
        <v>130</v>
      </c>
      <c r="BB762" s="0" t="s">
        <v>130</v>
      </c>
      <c r="BC762" s="0" t="s">
        <v>141</v>
      </c>
      <c r="BD762" s="0" t="s">
        <v>130</v>
      </c>
      <c r="BE762" s="0" t="s">
        <v>130</v>
      </c>
      <c r="BF762" s="0" t="s">
        <v>130</v>
      </c>
      <c r="BG762" s="0" t="s">
        <v>130</v>
      </c>
      <c r="BH762" s="0" t="s">
        <v>141</v>
      </c>
      <c r="BI762" s="0" t="s">
        <v>141</v>
      </c>
      <c r="BJ762" s="0" t="s">
        <v>141</v>
      </c>
      <c r="BK762" s="0" t="s">
        <v>130</v>
      </c>
      <c r="BL762" s="0" t="s">
        <v>130</v>
      </c>
      <c r="BM762" s="0" t="s">
        <v>130</v>
      </c>
      <c r="BN762" s="0" t="s">
        <v>130</v>
      </c>
      <c r="BO762" s="0" t="s">
        <v>130</v>
      </c>
      <c r="BP762" s="0" t="s">
        <v>130</v>
      </c>
      <c r="BQ762" s="0" t="s">
        <v>130</v>
      </c>
      <c r="BR762" s="0" t="s">
        <v>130</v>
      </c>
      <c r="BS762" s="0" t="s">
        <v>130</v>
      </c>
      <c r="BT762" s="0" t="s">
        <v>130</v>
      </c>
      <c r="BU762" s="0" t="s">
        <v>130</v>
      </c>
      <c r="BV762" s="0" t="s">
        <v>141</v>
      </c>
      <c r="BW762" s="0" t="s">
        <v>141</v>
      </c>
      <c r="BX762" s="0" t="s">
        <v>130</v>
      </c>
      <c r="BY762" s="0" t="s">
        <v>130</v>
      </c>
      <c r="BZ762" s="0" t="s">
        <v>130</v>
      </c>
      <c r="CA762" s="0" t="s">
        <v>130</v>
      </c>
      <c r="CB762" s="0" t="s">
        <v>130</v>
      </c>
      <c r="CC762" s="0" t="s">
        <v>130</v>
      </c>
      <c r="CD762" s="0" t="s">
        <v>130</v>
      </c>
      <c r="CE762" s="0" t="s">
        <v>130</v>
      </c>
      <c r="CF762" s="0" t="s">
        <v>130</v>
      </c>
      <c r="CG762" s="0" t="s">
        <v>130</v>
      </c>
      <c r="CH762" s="0" t="s">
        <v>130</v>
      </c>
      <c r="CI762" s="0" t="s">
        <v>130</v>
      </c>
      <c r="CJ762" s="0" t="s">
        <v>130</v>
      </c>
      <c r="CK762" s="0" t="s">
        <v>130</v>
      </c>
      <c r="CL762" s="0" t="s">
        <v>130</v>
      </c>
      <c r="CM762" s="0" t="s">
        <v>130</v>
      </c>
      <c r="CN762" s="0" t="s">
        <v>130</v>
      </c>
      <c r="CO762" s="0" t="s">
        <v>130</v>
      </c>
      <c r="CP762" s="0" t="s">
        <v>130</v>
      </c>
      <c r="CQ762" s="0" t="s">
        <v>130</v>
      </c>
      <c r="CR762" s="0" t="s">
        <v>130</v>
      </c>
      <c r="CS762" s="0" t="s">
        <v>130</v>
      </c>
      <c r="CT762" s="0" t="s">
        <v>2406</v>
      </c>
    </row>
    <row r="763">
      <c r="A763" s="14">
        <v>115259</v>
      </c>
      <c r="B763" s="0" t="s">
        <v>2384</v>
      </c>
      <c r="C763" s="16">
        <f>HYPERLINK("https://eosportal.federatedhermes.com/companies/Q29tcGFueQppNjc3NTU=", "Danone SA")</f>
      </c>
      <c r="D763" s="0" t="s">
        <v>25</v>
      </c>
      <c r="E763" s="0" t="s">
        <v>2407</v>
      </c>
      <c r="F763" s="16">
        <f>HYPERLINK("https://eosportal.federatedhermes.com/engagements/RW5nYWdlbWVudAppMjIwNDM=", "Diversity &amp; Inclusion")</f>
      </c>
      <c r="G763" s="14" t="s">
        <v>2408</v>
      </c>
      <c r="H763" s="0" t="s">
        <v>141</v>
      </c>
      <c r="I763" s="14" t="s">
        <v>191</v>
      </c>
      <c r="J763" s="0" t="s">
        <v>153</v>
      </c>
      <c r="K763" s="0" t="s">
        <v>154</v>
      </c>
      <c r="L763" s="0" t="s">
        <v>268</v>
      </c>
      <c r="M763" s="0" t="s">
        <v>378</v>
      </c>
      <c r="N763" s="0" t="s">
        <v>1646</v>
      </c>
      <c r="O763" s="0" t="s">
        <v>332</v>
      </c>
      <c r="Q763" s="0" t="s">
        <v>130</v>
      </c>
      <c r="R763" s="0" t="s">
        <v>138</v>
      </c>
      <c r="S763" s="14">
        <v>0</v>
      </c>
      <c r="T763" s="0" t="s">
        <v>139</v>
      </c>
      <c r="U763" s="0" t="s">
        <v>138</v>
      </c>
      <c r="V763" s="14" t="s">
        <v>138</v>
      </c>
      <c r="W763" s="0" t="s">
        <v>138</v>
      </c>
      <c r="X763" s="14" t="s">
        <v>138</v>
      </c>
      <c r="Y763" s="0" t="s">
        <v>138</v>
      </c>
      <c r="Z763" s="14" t="s">
        <v>138</v>
      </c>
      <c r="AA763" s="0" t="s">
        <v>138</v>
      </c>
      <c r="AB763" s="14" t="s">
        <v>138</v>
      </c>
      <c r="AD763" s="0" t="s">
        <v>138</v>
      </c>
      <c r="AF763" s="0">
        <v>0</v>
      </c>
      <c r="AG763" s="0">
        <v>0</v>
      </c>
      <c r="AH763" s="0" t="s">
        <v>140</v>
      </c>
      <c r="AI763" s="0" t="s">
        <v>138</v>
      </c>
      <c r="AL763" s="14"/>
      <c r="AN763" s="14"/>
      <c r="AQ763" s="0" t="s">
        <v>130</v>
      </c>
      <c r="AR763" s="0" t="s">
        <v>130</v>
      </c>
      <c r="AS763" s="0" t="s">
        <v>130</v>
      </c>
      <c r="AT763" s="0" t="s">
        <v>130</v>
      </c>
      <c r="AU763" s="0" t="s">
        <v>130</v>
      </c>
      <c r="AV763" s="0" t="s">
        <v>130</v>
      </c>
      <c r="AW763" s="0" t="s">
        <v>130</v>
      </c>
      <c r="AX763" s="0" t="s">
        <v>130</v>
      </c>
      <c r="AY763" s="0" t="s">
        <v>130</v>
      </c>
      <c r="AZ763" s="0" t="s">
        <v>130</v>
      </c>
      <c r="BA763" s="0" t="s">
        <v>130</v>
      </c>
      <c r="BB763" s="0" t="s">
        <v>130</v>
      </c>
      <c r="BC763" s="0" t="s">
        <v>130</v>
      </c>
      <c r="BD763" s="0" t="s">
        <v>130</v>
      </c>
      <c r="BE763" s="0" t="s">
        <v>130</v>
      </c>
      <c r="BF763" s="0" t="s">
        <v>130</v>
      </c>
      <c r="BG763" s="0" t="s">
        <v>130</v>
      </c>
      <c r="BH763" s="0" t="s">
        <v>130</v>
      </c>
      <c r="BI763" s="0" t="s">
        <v>130</v>
      </c>
      <c r="BJ763" s="0" t="s">
        <v>130</v>
      </c>
      <c r="BK763" s="0" t="s">
        <v>130</v>
      </c>
      <c r="BL763" s="0" t="s">
        <v>130</v>
      </c>
      <c r="BM763" s="0" t="s">
        <v>130</v>
      </c>
      <c r="BN763" s="0" t="s">
        <v>130</v>
      </c>
      <c r="BO763" s="0" t="s">
        <v>130</v>
      </c>
      <c r="BP763" s="0" t="s">
        <v>130</v>
      </c>
      <c r="BQ763" s="0" t="s">
        <v>130</v>
      </c>
      <c r="BR763" s="0" t="s">
        <v>130</v>
      </c>
      <c r="BS763" s="0" t="s">
        <v>130</v>
      </c>
      <c r="BT763" s="0" t="s">
        <v>130</v>
      </c>
      <c r="BU763" s="0" t="s">
        <v>130</v>
      </c>
      <c r="BV763" s="0" t="s">
        <v>130</v>
      </c>
      <c r="BW763" s="0" t="s">
        <v>130</v>
      </c>
      <c r="BX763" s="0" t="s">
        <v>130</v>
      </c>
      <c r="BY763" s="0" t="s">
        <v>130</v>
      </c>
      <c r="BZ763" s="0" t="s">
        <v>130</v>
      </c>
      <c r="CA763" s="0" t="s">
        <v>130</v>
      </c>
      <c r="CB763" s="0" t="s">
        <v>130</v>
      </c>
      <c r="CC763" s="0" t="s">
        <v>130</v>
      </c>
      <c r="CD763" s="0" t="s">
        <v>130</v>
      </c>
      <c r="CE763" s="0" t="s">
        <v>130</v>
      </c>
      <c r="CF763" s="0" t="s">
        <v>130</v>
      </c>
      <c r="CG763" s="0" t="s">
        <v>130</v>
      </c>
      <c r="CH763" s="0" t="s">
        <v>130</v>
      </c>
      <c r="CI763" s="0" t="s">
        <v>130</v>
      </c>
      <c r="CJ763" s="0" t="s">
        <v>130</v>
      </c>
      <c r="CK763" s="0" t="s">
        <v>141</v>
      </c>
      <c r="CL763" s="0" t="s">
        <v>130</v>
      </c>
      <c r="CM763" s="0" t="s">
        <v>130</v>
      </c>
      <c r="CN763" s="0" t="s">
        <v>130</v>
      </c>
      <c r="CO763" s="0" t="s">
        <v>130</v>
      </c>
      <c r="CP763" s="0" t="s">
        <v>130</v>
      </c>
      <c r="CQ763" s="0" t="s">
        <v>130</v>
      </c>
      <c r="CR763" s="0" t="s">
        <v>130</v>
      </c>
      <c r="CS763" s="0" t="s">
        <v>130</v>
      </c>
      <c r="CT763" s="0" t="s">
        <v>2409</v>
      </c>
    </row>
    <row r="764">
      <c r="A764" s="14">
        <v>115259</v>
      </c>
      <c r="B764" s="0" t="s">
        <v>2384</v>
      </c>
      <c r="C764" s="16">
        <f>HYPERLINK("https://eosportal.federatedhermes.com/companies/Q29tcGFueQppNjc3NTU=", "Danone SA")</f>
      </c>
      <c r="D764" s="0" t="s">
        <v>25</v>
      </c>
      <c r="E764" s="0" t="s">
        <v>2410</v>
      </c>
      <c r="F764" s="16">
        <f>HYPERLINK("https://eosportal.federatedhermes.com/engagements/RW5nYWdlbWVudAppMjIwNDQ=", "Related-party transaction")</f>
      </c>
      <c r="G764" s="14" t="s">
        <v>2411</v>
      </c>
      <c r="H764" s="0" t="s">
        <v>141</v>
      </c>
      <c r="I764" s="14" t="s">
        <v>191</v>
      </c>
      <c r="J764" s="0" t="s">
        <v>145</v>
      </c>
      <c r="K764" s="0" t="s">
        <v>400</v>
      </c>
      <c r="L764" s="0" t="s">
        <v>507</v>
      </c>
      <c r="M764" s="0" t="s">
        <v>378</v>
      </c>
      <c r="N764" s="0" t="s">
        <v>1646</v>
      </c>
      <c r="O764" s="0" t="s">
        <v>332</v>
      </c>
      <c r="Q764" s="0" t="s">
        <v>130</v>
      </c>
      <c r="R764" s="0" t="s">
        <v>138</v>
      </c>
      <c r="S764" s="14">
        <v>0</v>
      </c>
      <c r="T764" s="0" t="s">
        <v>166</v>
      </c>
      <c r="U764" s="0" t="s">
        <v>138</v>
      </c>
      <c r="V764" s="14" t="s">
        <v>138</v>
      </c>
      <c r="W764" s="0" t="s">
        <v>138</v>
      </c>
      <c r="X764" s="14" t="s">
        <v>138</v>
      </c>
      <c r="Y764" s="0" t="s">
        <v>138</v>
      </c>
      <c r="Z764" s="14" t="s">
        <v>138</v>
      </c>
      <c r="AA764" s="0" t="s">
        <v>138</v>
      </c>
      <c r="AB764" s="14" t="s">
        <v>138</v>
      </c>
      <c r="AD764" s="0" t="s">
        <v>138</v>
      </c>
      <c r="AF764" s="0">
        <v>0</v>
      </c>
      <c r="AG764" s="0">
        <v>0</v>
      </c>
      <c r="AH764" s="0" t="s">
        <v>140</v>
      </c>
      <c r="AI764" s="0" t="s">
        <v>138</v>
      </c>
      <c r="AL764" s="14"/>
      <c r="AN764" s="14"/>
      <c r="AQ764" s="0" t="s">
        <v>130</v>
      </c>
      <c r="AR764" s="0" t="s">
        <v>130</v>
      </c>
      <c r="AS764" s="0" t="s">
        <v>130</v>
      </c>
      <c r="AT764" s="0" t="s">
        <v>130</v>
      </c>
      <c r="AU764" s="0" t="s">
        <v>130</v>
      </c>
      <c r="AV764" s="0" t="s">
        <v>130</v>
      </c>
      <c r="AW764" s="0" t="s">
        <v>130</v>
      </c>
      <c r="AX764" s="0" t="s">
        <v>130</v>
      </c>
      <c r="AY764" s="0" t="s">
        <v>130</v>
      </c>
      <c r="AZ764" s="0" t="s">
        <v>130</v>
      </c>
      <c r="BA764" s="0" t="s">
        <v>130</v>
      </c>
      <c r="BB764" s="0" t="s">
        <v>130</v>
      </c>
      <c r="BC764" s="0" t="s">
        <v>130</v>
      </c>
      <c r="BD764" s="0" t="s">
        <v>130</v>
      </c>
      <c r="BE764" s="0" t="s">
        <v>130</v>
      </c>
      <c r="BF764" s="0" t="s">
        <v>130</v>
      </c>
      <c r="BG764" s="0" t="s">
        <v>130</v>
      </c>
      <c r="BH764" s="0" t="s">
        <v>130</v>
      </c>
      <c r="BI764" s="0" t="s">
        <v>130</v>
      </c>
      <c r="BJ764" s="0" t="s">
        <v>130</v>
      </c>
      <c r="BK764" s="0" t="s">
        <v>130</v>
      </c>
      <c r="BL764" s="0" t="s">
        <v>130</v>
      </c>
      <c r="BM764" s="0" t="s">
        <v>130</v>
      </c>
      <c r="BN764" s="0" t="s">
        <v>130</v>
      </c>
      <c r="BO764" s="0" t="s">
        <v>130</v>
      </c>
      <c r="BP764" s="0" t="s">
        <v>130</v>
      </c>
      <c r="BQ764" s="0" t="s">
        <v>130</v>
      </c>
      <c r="BR764" s="0" t="s">
        <v>130</v>
      </c>
      <c r="BS764" s="0" t="s">
        <v>130</v>
      </c>
      <c r="BT764" s="0" t="s">
        <v>130</v>
      </c>
      <c r="BU764" s="0" t="s">
        <v>130</v>
      </c>
      <c r="BV764" s="0" t="s">
        <v>130</v>
      </c>
      <c r="BW764" s="0" t="s">
        <v>130</v>
      </c>
      <c r="BX764" s="0" t="s">
        <v>130</v>
      </c>
      <c r="BY764" s="0" t="s">
        <v>130</v>
      </c>
      <c r="BZ764" s="0" t="s">
        <v>130</v>
      </c>
      <c r="CA764" s="0" t="s">
        <v>130</v>
      </c>
      <c r="CB764" s="0" t="s">
        <v>130</v>
      </c>
      <c r="CC764" s="0" t="s">
        <v>130</v>
      </c>
      <c r="CD764" s="0" t="s">
        <v>130</v>
      </c>
      <c r="CE764" s="0" t="s">
        <v>130</v>
      </c>
      <c r="CF764" s="0" t="s">
        <v>130</v>
      </c>
      <c r="CG764" s="0" t="s">
        <v>130</v>
      </c>
      <c r="CH764" s="0" t="s">
        <v>130</v>
      </c>
      <c r="CI764" s="0" t="s">
        <v>130</v>
      </c>
      <c r="CJ764" s="0" t="s">
        <v>130</v>
      </c>
      <c r="CK764" s="0" t="s">
        <v>130</v>
      </c>
      <c r="CL764" s="0" t="s">
        <v>130</v>
      </c>
      <c r="CM764" s="0" t="s">
        <v>130</v>
      </c>
      <c r="CN764" s="0" t="s">
        <v>130</v>
      </c>
      <c r="CO764" s="0" t="s">
        <v>130</v>
      </c>
      <c r="CP764" s="0" t="s">
        <v>130</v>
      </c>
      <c r="CQ764" s="0" t="s">
        <v>130</v>
      </c>
      <c r="CR764" s="0" t="s">
        <v>130</v>
      </c>
      <c r="CS764" s="0" t="s">
        <v>130</v>
      </c>
      <c r="CT764" s="0" t="s">
        <v>2412</v>
      </c>
    </row>
    <row r="765">
      <c r="A765" s="14">
        <v>115259</v>
      </c>
      <c r="B765" s="0" t="s">
        <v>2384</v>
      </c>
      <c r="C765" s="16">
        <f>HYPERLINK("https://eosportal.federatedhermes.com/companies/Q29tcGFueQppNjc3NTU=", "Danone SA")</f>
      </c>
      <c r="D765" s="0" t="s">
        <v>25</v>
      </c>
      <c r="E765" s="0" t="s">
        <v>317</v>
      </c>
      <c r="F765" s="16">
        <f>HYPERLINK("https://eosportal.federatedhermes.com/engagements/RW5nYWdlbWVudAppMjIwNDU=", "Remuneration policy")</f>
      </c>
      <c r="G765" s="14" t="s">
        <v>2413</v>
      </c>
      <c r="H765" s="0" t="s">
        <v>141</v>
      </c>
      <c r="I765" s="14" t="s">
        <v>191</v>
      </c>
      <c r="J765" s="0" t="s">
        <v>145</v>
      </c>
      <c r="K765" s="0" t="s">
        <v>146</v>
      </c>
      <c r="L765" s="0" t="s">
        <v>500</v>
      </c>
      <c r="M765" s="0" t="s">
        <v>378</v>
      </c>
      <c r="N765" s="0" t="s">
        <v>1646</v>
      </c>
      <c r="O765" s="0" t="s">
        <v>332</v>
      </c>
      <c r="Q765" s="0" t="s">
        <v>130</v>
      </c>
      <c r="R765" s="0" t="s">
        <v>138</v>
      </c>
      <c r="S765" s="14">
        <v>0</v>
      </c>
      <c r="T765" s="0" t="s">
        <v>416</v>
      </c>
      <c r="U765" s="0" t="s">
        <v>138</v>
      </c>
      <c r="V765" s="14" t="s">
        <v>138</v>
      </c>
      <c r="W765" s="0" t="s">
        <v>138</v>
      </c>
      <c r="X765" s="14" t="s">
        <v>138</v>
      </c>
      <c r="Y765" s="0" t="s">
        <v>138</v>
      </c>
      <c r="Z765" s="14" t="s">
        <v>138</v>
      </c>
      <c r="AA765" s="0" t="s">
        <v>138</v>
      </c>
      <c r="AB765" s="14" t="s">
        <v>138</v>
      </c>
      <c r="AD765" s="0" t="s">
        <v>138</v>
      </c>
      <c r="AF765" s="0">
        <v>0</v>
      </c>
      <c r="AG765" s="0">
        <v>0</v>
      </c>
      <c r="AH765" s="0" t="s">
        <v>140</v>
      </c>
      <c r="AI765" s="0" t="s">
        <v>138</v>
      </c>
      <c r="AL765" s="14"/>
      <c r="AN765" s="14"/>
      <c r="AQ765" s="0" t="s">
        <v>130</v>
      </c>
      <c r="AR765" s="0" t="s">
        <v>130</v>
      </c>
      <c r="AS765" s="0" t="s">
        <v>130</v>
      </c>
      <c r="AT765" s="0" t="s">
        <v>130</v>
      </c>
      <c r="AU765" s="0" t="s">
        <v>130</v>
      </c>
      <c r="AV765" s="0" t="s">
        <v>130</v>
      </c>
      <c r="AW765" s="0" t="s">
        <v>130</v>
      </c>
      <c r="AX765" s="0" t="s">
        <v>130</v>
      </c>
      <c r="AY765" s="0" t="s">
        <v>130</v>
      </c>
      <c r="AZ765" s="0" t="s">
        <v>130</v>
      </c>
      <c r="BA765" s="0" t="s">
        <v>130</v>
      </c>
      <c r="BB765" s="0" t="s">
        <v>130</v>
      </c>
      <c r="BC765" s="0" t="s">
        <v>130</v>
      </c>
      <c r="BD765" s="0" t="s">
        <v>130</v>
      </c>
      <c r="BE765" s="0" t="s">
        <v>130</v>
      </c>
      <c r="BF765" s="0" t="s">
        <v>130</v>
      </c>
      <c r="BG765" s="0" t="s">
        <v>130</v>
      </c>
      <c r="BH765" s="0" t="s">
        <v>130</v>
      </c>
      <c r="BI765" s="0" t="s">
        <v>130</v>
      </c>
      <c r="BJ765" s="0" t="s">
        <v>130</v>
      </c>
      <c r="BK765" s="0" t="s">
        <v>130</v>
      </c>
      <c r="BL765" s="0" t="s">
        <v>130</v>
      </c>
      <c r="BM765" s="0" t="s">
        <v>130</v>
      </c>
      <c r="BN765" s="0" t="s">
        <v>130</v>
      </c>
      <c r="BO765" s="0" t="s">
        <v>130</v>
      </c>
      <c r="BP765" s="0" t="s">
        <v>130</v>
      </c>
      <c r="BQ765" s="0" t="s">
        <v>130</v>
      </c>
      <c r="BR765" s="0" t="s">
        <v>130</v>
      </c>
      <c r="BS765" s="0" t="s">
        <v>130</v>
      </c>
      <c r="BT765" s="0" t="s">
        <v>130</v>
      </c>
      <c r="BU765" s="0" t="s">
        <v>130</v>
      </c>
      <c r="BV765" s="0" t="s">
        <v>130</v>
      </c>
      <c r="BW765" s="0" t="s">
        <v>130</v>
      </c>
      <c r="BX765" s="0" t="s">
        <v>130</v>
      </c>
      <c r="BY765" s="0" t="s">
        <v>130</v>
      </c>
      <c r="BZ765" s="0" t="s">
        <v>130</v>
      </c>
      <c r="CA765" s="0" t="s">
        <v>130</v>
      </c>
      <c r="CB765" s="0" t="s">
        <v>130</v>
      </c>
      <c r="CC765" s="0" t="s">
        <v>130</v>
      </c>
      <c r="CD765" s="0" t="s">
        <v>130</v>
      </c>
      <c r="CE765" s="0" t="s">
        <v>130</v>
      </c>
      <c r="CF765" s="0" t="s">
        <v>130</v>
      </c>
      <c r="CG765" s="0" t="s">
        <v>130</v>
      </c>
      <c r="CH765" s="0" t="s">
        <v>130</v>
      </c>
      <c r="CI765" s="0" t="s">
        <v>130</v>
      </c>
      <c r="CJ765" s="0" t="s">
        <v>130</v>
      </c>
      <c r="CK765" s="0" t="s">
        <v>130</v>
      </c>
      <c r="CL765" s="0" t="s">
        <v>130</v>
      </c>
      <c r="CM765" s="0" t="s">
        <v>130</v>
      </c>
      <c r="CN765" s="0" t="s">
        <v>130</v>
      </c>
      <c r="CO765" s="0" t="s">
        <v>130</v>
      </c>
      <c r="CP765" s="0" t="s">
        <v>130</v>
      </c>
      <c r="CQ765" s="0" t="s">
        <v>130</v>
      </c>
      <c r="CR765" s="0" t="s">
        <v>130</v>
      </c>
      <c r="CS765" s="0" t="s">
        <v>130</v>
      </c>
      <c r="CT765" s="0" t="s">
        <v>2414</v>
      </c>
    </row>
    <row r="766">
      <c r="A766" s="14">
        <v>115268</v>
      </c>
      <c r="B766" s="0" t="s">
        <v>2415</v>
      </c>
      <c r="C766" s="16">
        <f>HYPERLINK("https://eosportal.federatedhermes.com/companies/Q29tcGFueQppODU4NzM=", "Carrefour SA")</f>
      </c>
      <c r="D766" s="0" t="s">
        <v>25</v>
      </c>
      <c r="E766" s="0" t="s">
        <v>912</v>
      </c>
      <c r="F766" s="16">
        <f>HYPERLINK("https://eosportal.federatedhermes.com/engagements/RW5nYWdlbWVudAppMjIwNDY=", "Executive remuneration")</f>
      </c>
      <c r="G766" s="14" t="s">
        <v>2416</v>
      </c>
      <c r="H766" s="0" t="s">
        <v>141</v>
      </c>
      <c r="I766" s="14" t="s">
        <v>131</v>
      </c>
      <c r="J766" s="0" t="s">
        <v>145</v>
      </c>
      <c r="K766" s="0" t="s">
        <v>146</v>
      </c>
      <c r="L766" s="0" t="s">
        <v>147</v>
      </c>
      <c r="M766" s="0" t="s">
        <v>378</v>
      </c>
      <c r="N766" s="0" t="s">
        <v>1646</v>
      </c>
      <c r="O766" s="0" t="s">
        <v>643</v>
      </c>
      <c r="Q766" s="0" t="s">
        <v>130</v>
      </c>
      <c r="R766" s="0" t="s">
        <v>138</v>
      </c>
      <c r="S766" s="14">
        <v>0</v>
      </c>
      <c r="T766" s="0" t="s">
        <v>148</v>
      </c>
      <c r="U766" s="0" t="s">
        <v>138</v>
      </c>
      <c r="V766" s="14" t="s">
        <v>138</v>
      </c>
      <c r="W766" s="0" t="s">
        <v>138</v>
      </c>
      <c r="X766" s="14" t="s">
        <v>138</v>
      </c>
      <c r="Y766" s="0" t="s">
        <v>138</v>
      </c>
      <c r="Z766" s="14" t="s">
        <v>138</v>
      </c>
      <c r="AA766" s="0" t="s">
        <v>138</v>
      </c>
      <c r="AB766" s="14" t="s">
        <v>138</v>
      </c>
      <c r="AD766" s="0" t="s">
        <v>138</v>
      </c>
      <c r="AF766" s="0">
        <v>0</v>
      </c>
      <c r="AG766" s="0">
        <v>0</v>
      </c>
      <c r="AH766" s="0" t="s">
        <v>140</v>
      </c>
      <c r="AI766" s="0" t="s">
        <v>138</v>
      </c>
      <c r="AL766" s="14"/>
      <c r="AN766" s="14"/>
      <c r="AQ766" s="0" t="s">
        <v>130</v>
      </c>
      <c r="AR766" s="0" t="s">
        <v>130</v>
      </c>
      <c r="AS766" s="0" t="s">
        <v>130</v>
      </c>
      <c r="AT766" s="0" t="s">
        <v>130</v>
      </c>
      <c r="AU766" s="0" t="s">
        <v>130</v>
      </c>
      <c r="AV766" s="0" t="s">
        <v>130</v>
      </c>
      <c r="AW766" s="0" t="s">
        <v>130</v>
      </c>
      <c r="AX766" s="0" t="s">
        <v>130</v>
      </c>
      <c r="AY766" s="0" t="s">
        <v>130</v>
      </c>
      <c r="AZ766" s="0" t="s">
        <v>130</v>
      </c>
      <c r="BA766" s="0" t="s">
        <v>130</v>
      </c>
      <c r="BB766" s="0" t="s">
        <v>130</v>
      </c>
      <c r="BC766" s="0" t="s">
        <v>130</v>
      </c>
      <c r="BD766" s="0" t="s">
        <v>130</v>
      </c>
      <c r="BE766" s="0" t="s">
        <v>130</v>
      </c>
      <c r="BF766" s="0" t="s">
        <v>130</v>
      </c>
      <c r="BG766" s="0" t="s">
        <v>130</v>
      </c>
      <c r="BH766" s="0" t="s">
        <v>130</v>
      </c>
      <c r="BI766" s="0" t="s">
        <v>130</v>
      </c>
      <c r="BJ766" s="0" t="s">
        <v>130</v>
      </c>
      <c r="BK766" s="0" t="s">
        <v>130</v>
      </c>
      <c r="BL766" s="0" t="s">
        <v>130</v>
      </c>
      <c r="BM766" s="0" t="s">
        <v>130</v>
      </c>
      <c r="BN766" s="0" t="s">
        <v>130</v>
      </c>
      <c r="BO766" s="0" t="s">
        <v>130</v>
      </c>
      <c r="BP766" s="0" t="s">
        <v>130</v>
      </c>
      <c r="BQ766" s="0" t="s">
        <v>130</v>
      </c>
      <c r="BR766" s="0" t="s">
        <v>130</v>
      </c>
      <c r="BS766" s="0" t="s">
        <v>130</v>
      </c>
      <c r="BT766" s="0" t="s">
        <v>130</v>
      </c>
      <c r="BU766" s="0" t="s">
        <v>130</v>
      </c>
      <c r="BV766" s="0" t="s">
        <v>130</v>
      </c>
      <c r="BW766" s="0" t="s">
        <v>130</v>
      </c>
      <c r="BX766" s="0" t="s">
        <v>130</v>
      </c>
      <c r="BY766" s="0" t="s">
        <v>130</v>
      </c>
      <c r="BZ766" s="0" t="s">
        <v>130</v>
      </c>
      <c r="CA766" s="0" t="s">
        <v>130</v>
      </c>
      <c r="CB766" s="0" t="s">
        <v>130</v>
      </c>
      <c r="CC766" s="0" t="s">
        <v>130</v>
      </c>
      <c r="CD766" s="0" t="s">
        <v>130</v>
      </c>
      <c r="CE766" s="0" t="s">
        <v>130</v>
      </c>
      <c r="CF766" s="0" t="s">
        <v>130</v>
      </c>
      <c r="CG766" s="0" t="s">
        <v>130</v>
      </c>
      <c r="CH766" s="0" t="s">
        <v>130</v>
      </c>
      <c r="CI766" s="0" t="s">
        <v>130</v>
      </c>
      <c r="CJ766" s="0" t="s">
        <v>130</v>
      </c>
      <c r="CK766" s="0" t="s">
        <v>130</v>
      </c>
      <c r="CL766" s="0" t="s">
        <v>130</v>
      </c>
      <c r="CM766" s="0" t="s">
        <v>130</v>
      </c>
      <c r="CN766" s="0" t="s">
        <v>130</v>
      </c>
      <c r="CO766" s="0" t="s">
        <v>130</v>
      </c>
      <c r="CP766" s="0" t="s">
        <v>130</v>
      </c>
      <c r="CQ766" s="0" t="s">
        <v>130</v>
      </c>
      <c r="CR766" s="0" t="s">
        <v>130</v>
      </c>
      <c r="CS766" s="0" t="s">
        <v>130</v>
      </c>
      <c r="CT766" s="0" t="s">
        <v>2417</v>
      </c>
    </row>
    <row r="767">
      <c r="A767" s="14">
        <v>115268</v>
      </c>
      <c r="B767" s="0" t="s">
        <v>2415</v>
      </c>
      <c r="C767" s="16">
        <f>HYPERLINK("https://eosportal.federatedhermes.com/companies/Q29tcGFueQppODU4NzM=", "Carrefour SA")</f>
      </c>
      <c r="D767" s="0" t="s">
        <v>25</v>
      </c>
      <c r="E767" s="0" t="s">
        <v>1995</v>
      </c>
      <c r="F767" s="16">
        <f>HYPERLINK("https://eosportal.federatedhermes.com/engagements/RW5nYWdlbWVudAppMjIwNTE=", "Overfishing")</f>
      </c>
      <c r="G767" s="14" t="s">
        <v>2418</v>
      </c>
      <c r="H767" s="0" t="s">
        <v>141</v>
      </c>
      <c r="I767" s="14" t="s">
        <v>131</v>
      </c>
      <c r="J767" s="0" t="s">
        <v>153</v>
      </c>
      <c r="K767" s="0" t="s">
        <v>154</v>
      </c>
      <c r="L767" s="0" t="s">
        <v>306</v>
      </c>
      <c r="M767" s="0" t="s">
        <v>378</v>
      </c>
      <c r="N767" s="0" t="s">
        <v>1646</v>
      </c>
      <c r="O767" s="0" t="s">
        <v>643</v>
      </c>
      <c r="Q767" s="0" t="s">
        <v>130</v>
      </c>
      <c r="R767" s="0" t="s">
        <v>138</v>
      </c>
      <c r="S767" s="14">
        <v>0</v>
      </c>
      <c r="T767" s="0" t="s">
        <v>483</v>
      </c>
      <c r="U767" s="0" t="s">
        <v>138</v>
      </c>
      <c r="V767" s="14" t="s">
        <v>138</v>
      </c>
      <c r="W767" s="0" t="s">
        <v>138</v>
      </c>
      <c r="X767" s="14" t="s">
        <v>138</v>
      </c>
      <c r="Y767" s="0" t="s">
        <v>138</v>
      </c>
      <c r="Z767" s="14" t="s">
        <v>138</v>
      </c>
      <c r="AA767" s="0" t="s">
        <v>138</v>
      </c>
      <c r="AB767" s="14" t="s">
        <v>138</v>
      </c>
      <c r="AD767" s="0" t="s">
        <v>138</v>
      </c>
      <c r="AF767" s="0">
        <v>0</v>
      </c>
      <c r="AG767" s="0">
        <v>0</v>
      </c>
      <c r="AH767" s="0" t="s">
        <v>140</v>
      </c>
      <c r="AI767" s="0" t="s">
        <v>138</v>
      </c>
      <c r="AL767" s="14"/>
      <c r="AN767" s="14"/>
      <c r="AQ767" s="0" t="s">
        <v>130</v>
      </c>
      <c r="AR767" s="0" t="s">
        <v>130</v>
      </c>
      <c r="AS767" s="0" t="s">
        <v>130</v>
      </c>
      <c r="AT767" s="0" t="s">
        <v>130</v>
      </c>
      <c r="AU767" s="0" t="s">
        <v>130</v>
      </c>
      <c r="AV767" s="0" t="s">
        <v>130</v>
      </c>
      <c r="AW767" s="0" t="s">
        <v>130</v>
      </c>
      <c r="AX767" s="0" t="s">
        <v>130</v>
      </c>
      <c r="AY767" s="0" t="s">
        <v>130</v>
      </c>
      <c r="AZ767" s="0" t="s">
        <v>130</v>
      </c>
      <c r="BA767" s="0" t="s">
        <v>130</v>
      </c>
      <c r="BB767" s="0" t="s">
        <v>130</v>
      </c>
      <c r="BC767" s="0" t="s">
        <v>130</v>
      </c>
      <c r="BD767" s="0" t="s">
        <v>130</v>
      </c>
      <c r="BE767" s="0" t="s">
        <v>130</v>
      </c>
      <c r="BF767" s="0" t="s">
        <v>130</v>
      </c>
      <c r="BG767" s="0" t="s">
        <v>130</v>
      </c>
      <c r="BH767" s="0" t="s">
        <v>130</v>
      </c>
      <c r="BI767" s="0" t="s">
        <v>130</v>
      </c>
      <c r="BJ767" s="0" t="s">
        <v>130</v>
      </c>
      <c r="BK767" s="0" t="s">
        <v>130</v>
      </c>
      <c r="BL767" s="0" t="s">
        <v>130</v>
      </c>
      <c r="BM767" s="0" t="s">
        <v>130</v>
      </c>
      <c r="BN767" s="0" t="s">
        <v>130</v>
      </c>
      <c r="BO767" s="0" t="s">
        <v>130</v>
      </c>
      <c r="BP767" s="0" t="s">
        <v>130</v>
      </c>
      <c r="BQ767" s="0" t="s">
        <v>130</v>
      </c>
      <c r="BR767" s="0" t="s">
        <v>130</v>
      </c>
      <c r="BS767" s="0" t="s">
        <v>130</v>
      </c>
      <c r="BT767" s="0" t="s">
        <v>130</v>
      </c>
      <c r="BU767" s="0" t="s">
        <v>130</v>
      </c>
      <c r="BV767" s="0" t="s">
        <v>130</v>
      </c>
      <c r="BW767" s="0" t="s">
        <v>130</v>
      </c>
      <c r="BX767" s="0" t="s">
        <v>130</v>
      </c>
      <c r="BY767" s="0" t="s">
        <v>130</v>
      </c>
      <c r="BZ767" s="0" t="s">
        <v>130</v>
      </c>
      <c r="CA767" s="0" t="s">
        <v>130</v>
      </c>
      <c r="CB767" s="0" t="s">
        <v>130</v>
      </c>
      <c r="CC767" s="0" t="s">
        <v>130</v>
      </c>
      <c r="CD767" s="0" t="s">
        <v>130</v>
      </c>
      <c r="CE767" s="0" t="s">
        <v>130</v>
      </c>
      <c r="CF767" s="0" t="s">
        <v>130</v>
      </c>
      <c r="CG767" s="0" t="s">
        <v>130</v>
      </c>
      <c r="CH767" s="0" t="s">
        <v>130</v>
      </c>
      <c r="CI767" s="0" t="s">
        <v>130</v>
      </c>
      <c r="CJ767" s="0" t="s">
        <v>130</v>
      </c>
      <c r="CK767" s="0" t="s">
        <v>130</v>
      </c>
      <c r="CL767" s="0" t="s">
        <v>130</v>
      </c>
      <c r="CM767" s="0" t="s">
        <v>130</v>
      </c>
      <c r="CN767" s="0" t="s">
        <v>130</v>
      </c>
      <c r="CO767" s="0" t="s">
        <v>130</v>
      </c>
      <c r="CP767" s="0" t="s">
        <v>130</v>
      </c>
      <c r="CQ767" s="0" t="s">
        <v>130</v>
      </c>
      <c r="CR767" s="0" t="s">
        <v>130</v>
      </c>
      <c r="CS767" s="0" t="s">
        <v>130</v>
      </c>
      <c r="CT767" s="0" t="s">
        <v>2419</v>
      </c>
    </row>
    <row r="768">
      <c r="A768" s="14">
        <v>115268</v>
      </c>
      <c r="B768" s="0" t="s">
        <v>2415</v>
      </c>
      <c r="C768" s="16">
        <f>HYPERLINK("https://eosportal.federatedhermes.com/companies/Q29tcGFueQppODU4NzM=", "Carrefour SA")</f>
      </c>
      <c r="D768" s="0" t="s">
        <v>25</v>
      </c>
      <c r="E768" s="0" t="s">
        <v>652</v>
      </c>
      <c r="F768" s="16">
        <f>HYPERLINK("https://eosportal.federatedhermes.com/engagements/RW5nYWdlbWVudAppMjIwNTI=", "Protein diversification")</f>
      </c>
      <c r="G768" s="14" t="s">
        <v>653</v>
      </c>
      <c r="H768" s="0" t="s">
        <v>141</v>
      </c>
      <c r="I768" s="14" t="s">
        <v>131</v>
      </c>
      <c r="J768" s="0" t="s">
        <v>197</v>
      </c>
      <c r="K768" s="0" t="s">
        <v>337</v>
      </c>
      <c r="L768" s="0" t="s">
        <v>576</v>
      </c>
      <c r="M768" s="0" t="s">
        <v>378</v>
      </c>
      <c r="N768" s="0" t="s">
        <v>1646</v>
      </c>
      <c r="O768" s="0" t="s">
        <v>643</v>
      </c>
      <c r="Q768" s="0" t="s">
        <v>141</v>
      </c>
      <c r="R768" s="0" t="s">
        <v>138</v>
      </c>
      <c r="S768" s="14">
        <v>1</v>
      </c>
      <c r="T768" s="0" t="s">
        <v>333</v>
      </c>
      <c r="U768" s="0" t="s">
        <v>138</v>
      </c>
      <c r="V768" s="14" t="s">
        <v>138</v>
      </c>
      <c r="W768" s="0" t="s">
        <v>138</v>
      </c>
      <c r="X768" s="14" t="s">
        <v>138</v>
      </c>
      <c r="Y768" s="0" t="s">
        <v>138</v>
      </c>
      <c r="Z768" s="14" t="s">
        <v>138</v>
      </c>
      <c r="AA768" s="0" t="s">
        <v>138</v>
      </c>
      <c r="AB768" s="14" t="s">
        <v>138</v>
      </c>
      <c r="AD768" s="0" t="s">
        <v>138</v>
      </c>
      <c r="AF768" s="0">
        <v>0</v>
      </c>
      <c r="AG768" s="0">
        <v>0</v>
      </c>
      <c r="AH768" s="0" t="s">
        <v>140</v>
      </c>
      <c r="AI768" s="0" t="s">
        <v>138</v>
      </c>
      <c r="AK768" s="0" t="s">
        <v>177</v>
      </c>
      <c r="AL768" s="14"/>
      <c r="AN768" s="14"/>
      <c r="AQ768" s="0" t="s">
        <v>130</v>
      </c>
      <c r="AR768" s="0" t="s">
        <v>141</v>
      </c>
      <c r="AS768" s="0" t="s">
        <v>130</v>
      </c>
      <c r="AT768" s="0" t="s">
        <v>130</v>
      </c>
      <c r="AU768" s="0" t="s">
        <v>130</v>
      </c>
      <c r="AV768" s="0" t="s">
        <v>130</v>
      </c>
      <c r="AW768" s="0" t="s">
        <v>130</v>
      </c>
      <c r="AX768" s="0" t="s">
        <v>130</v>
      </c>
      <c r="AY768" s="0" t="s">
        <v>130</v>
      </c>
      <c r="AZ768" s="0" t="s">
        <v>130</v>
      </c>
      <c r="BA768" s="0" t="s">
        <v>130</v>
      </c>
      <c r="BB768" s="0" t="s">
        <v>141</v>
      </c>
      <c r="BC768" s="0" t="s">
        <v>130</v>
      </c>
      <c r="BD768" s="0" t="s">
        <v>130</v>
      </c>
      <c r="BE768" s="0" t="s">
        <v>141</v>
      </c>
      <c r="BF768" s="0" t="s">
        <v>130</v>
      </c>
      <c r="BG768" s="0" t="s">
        <v>130</v>
      </c>
      <c r="BH768" s="0" t="s">
        <v>130</v>
      </c>
      <c r="BI768" s="0" t="s">
        <v>130</v>
      </c>
      <c r="BJ768" s="0" t="s">
        <v>130</v>
      </c>
      <c r="BK768" s="0" t="s">
        <v>130</v>
      </c>
      <c r="BL768" s="0" t="s">
        <v>130</v>
      </c>
      <c r="BM768" s="0" t="s">
        <v>130</v>
      </c>
      <c r="BN768" s="0" t="s">
        <v>130</v>
      </c>
      <c r="BO768" s="0" t="s">
        <v>130</v>
      </c>
      <c r="BP768" s="0" t="s">
        <v>130</v>
      </c>
      <c r="BQ768" s="0" t="s">
        <v>130</v>
      </c>
      <c r="BR768" s="0" t="s">
        <v>130</v>
      </c>
      <c r="BS768" s="0" t="s">
        <v>130</v>
      </c>
      <c r="BT768" s="0" t="s">
        <v>130</v>
      </c>
      <c r="BU768" s="0" t="s">
        <v>130</v>
      </c>
      <c r="BV768" s="0" t="s">
        <v>130</v>
      </c>
      <c r="BW768" s="0" t="s">
        <v>130</v>
      </c>
      <c r="BX768" s="0" t="s">
        <v>130</v>
      </c>
      <c r="BY768" s="0" t="s">
        <v>130</v>
      </c>
      <c r="BZ768" s="0" t="s">
        <v>130</v>
      </c>
      <c r="CA768" s="0" t="s">
        <v>130</v>
      </c>
      <c r="CB768" s="0" t="s">
        <v>130</v>
      </c>
      <c r="CC768" s="0" t="s">
        <v>130</v>
      </c>
      <c r="CD768" s="0" t="s">
        <v>130</v>
      </c>
      <c r="CE768" s="0" t="s">
        <v>130</v>
      </c>
      <c r="CF768" s="0" t="s">
        <v>130</v>
      </c>
      <c r="CG768" s="0" t="s">
        <v>130</v>
      </c>
      <c r="CH768" s="0" t="s">
        <v>130</v>
      </c>
      <c r="CI768" s="0" t="s">
        <v>130</v>
      </c>
      <c r="CJ768" s="0" t="s">
        <v>130</v>
      </c>
      <c r="CK768" s="0" t="s">
        <v>130</v>
      </c>
      <c r="CL768" s="0" t="s">
        <v>130</v>
      </c>
      <c r="CM768" s="0" t="s">
        <v>130</v>
      </c>
      <c r="CN768" s="0" t="s">
        <v>130</v>
      </c>
      <c r="CO768" s="0" t="s">
        <v>130</v>
      </c>
      <c r="CP768" s="0" t="s">
        <v>130</v>
      </c>
      <c r="CQ768" s="0" t="s">
        <v>130</v>
      </c>
      <c r="CR768" s="0" t="s">
        <v>130</v>
      </c>
      <c r="CS768" s="0" t="s">
        <v>130</v>
      </c>
      <c r="CT768" s="0" t="s">
        <v>2420</v>
      </c>
    </row>
    <row r="769">
      <c r="A769" s="14">
        <v>115467</v>
      </c>
      <c r="B769" s="0" t="s">
        <v>2421</v>
      </c>
      <c r="C769" s="16">
        <f>HYPERLINK("https://eosportal.federatedhermes.com/companies/Q29tcGFueQppNTg0Nzc=", "Kering SA")</f>
      </c>
      <c r="D769" s="0" t="s">
        <v>25</v>
      </c>
      <c r="E769" s="0" t="s">
        <v>2422</v>
      </c>
      <c r="F769" s="16">
        <f>HYPERLINK("https://eosportal.federatedhermes.com/engagements/RW5nYWdlbWVudAppMjIxMTU=", "remuneration")</f>
      </c>
      <c r="G769" s="14" t="s">
        <v>2423</v>
      </c>
      <c r="H769" s="0" t="s">
        <v>141</v>
      </c>
      <c r="I769" s="14" t="s">
        <v>131</v>
      </c>
      <c r="J769" s="0" t="s">
        <v>145</v>
      </c>
      <c r="K769" s="0" t="s">
        <v>146</v>
      </c>
      <c r="L769" s="0" t="s">
        <v>147</v>
      </c>
      <c r="M769" s="0" t="s">
        <v>378</v>
      </c>
      <c r="N769" s="0" t="s">
        <v>1646</v>
      </c>
      <c r="O769" s="0" t="s">
        <v>332</v>
      </c>
      <c r="Q769" s="0" t="s">
        <v>130</v>
      </c>
      <c r="R769" s="0" t="s">
        <v>138</v>
      </c>
      <c r="S769" s="14">
        <v>0</v>
      </c>
      <c r="T769" s="0" t="s">
        <v>299</v>
      </c>
      <c r="U769" s="0" t="s">
        <v>138</v>
      </c>
      <c r="V769" s="14" t="s">
        <v>138</v>
      </c>
      <c r="W769" s="0" t="s">
        <v>138</v>
      </c>
      <c r="X769" s="14" t="s">
        <v>138</v>
      </c>
      <c r="Y769" s="0" t="s">
        <v>138</v>
      </c>
      <c r="Z769" s="14" t="s">
        <v>138</v>
      </c>
      <c r="AA769" s="0" t="s">
        <v>138</v>
      </c>
      <c r="AB769" s="14" t="s">
        <v>138</v>
      </c>
      <c r="AD769" s="0" t="s">
        <v>138</v>
      </c>
      <c r="AF769" s="0">
        <v>0</v>
      </c>
      <c r="AG769" s="0">
        <v>0</v>
      </c>
      <c r="AH769" s="0" t="s">
        <v>140</v>
      </c>
      <c r="AI769" s="0" t="s">
        <v>138</v>
      </c>
      <c r="AL769" s="14"/>
      <c r="AN769" s="14"/>
      <c r="AQ769" s="0" t="s">
        <v>130</v>
      </c>
      <c r="AR769" s="0" t="s">
        <v>130</v>
      </c>
      <c r="AS769" s="0" t="s">
        <v>130</v>
      </c>
      <c r="AT769" s="0" t="s">
        <v>130</v>
      </c>
      <c r="AU769" s="0" t="s">
        <v>130</v>
      </c>
      <c r="AV769" s="0" t="s">
        <v>130</v>
      </c>
      <c r="AW769" s="0" t="s">
        <v>130</v>
      </c>
      <c r="AX769" s="0" t="s">
        <v>130</v>
      </c>
      <c r="AY769" s="0" t="s">
        <v>130</v>
      </c>
      <c r="AZ769" s="0" t="s">
        <v>130</v>
      </c>
      <c r="BA769" s="0" t="s">
        <v>130</v>
      </c>
      <c r="BB769" s="0" t="s">
        <v>130</v>
      </c>
      <c r="BC769" s="0" t="s">
        <v>130</v>
      </c>
      <c r="BD769" s="0" t="s">
        <v>130</v>
      </c>
      <c r="BE769" s="0" t="s">
        <v>130</v>
      </c>
      <c r="BF769" s="0" t="s">
        <v>130</v>
      </c>
      <c r="BG769" s="0" t="s">
        <v>130</v>
      </c>
      <c r="BH769" s="0" t="s">
        <v>130</v>
      </c>
      <c r="BI769" s="0" t="s">
        <v>130</v>
      </c>
      <c r="BJ769" s="0" t="s">
        <v>130</v>
      </c>
      <c r="BK769" s="0" t="s">
        <v>130</v>
      </c>
      <c r="BL769" s="0" t="s">
        <v>130</v>
      </c>
      <c r="BM769" s="0" t="s">
        <v>130</v>
      </c>
      <c r="BN769" s="0" t="s">
        <v>130</v>
      </c>
      <c r="BO769" s="0" t="s">
        <v>130</v>
      </c>
      <c r="BP769" s="0" t="s">
        <v>130</v>
      </c>
      <c r="BQ769" s="0" t="s">
        <v>130</v>
      </c>
      <c r="BR769" s="0" t="s">
        <v>130</v>
      </c>
      <c r="BS769" s="0" t="s">
        <v>130</v>
      </c>
      <c r="BT769" s="0" t="s">
        <v>130</v>
      </c>
      <c r="BU769" s="0" t="s">
        <v>130</v>
      </c>
      <c r="BV769" s="0" t="s">
        <v>130</v>
      </c>
      <c r="BW769" s="0" t="s">
        <v>130</v>
      </c>
      <c r="BX769" s="0" t="s">
        <v>130</v>
      </c>
      <c r="BY769" s="0" t="s">
        <v>130</v>
      </c>
      <c r="BZ769" s="0" t="s">
        <v>130</v>
      </c>
      <c r="CA769" s="0" t="s">
        <v>130</v>
      </c>
      <c r="CB769" s="0" t="s">
        <v>130</v>
      </c>
      <c r="CC769" s="0" t="s">
        <v>130</v>
      </c>
      <c r="CD769" s="0" t="s">
        <v>130</v>
      </c>
      <c r="CE769" s="0" t="s">
        <v>130</v>
      </c>
      <c r="CF769" s="0" t="s">
        <v>130</v>
      </c>
      <c r="CG769" s="0" t="s">
        <v>130</v>
      </c>
      <c r="CH769" s="0" t="s">
        <v>130</v>
      </c>
      <c r="CI769" s="0" t="s">
        <v>130</v>
      </c>
      <c r="CJ769" s="0" t="s">
        <v>130</v>
      </c>
      <c r="CK769" s="0" t="s">
        <v>130</v>
      </c>
      <c r="CL769" s="0" t="s">
        <v>130</v>
      </c>
      <c r="CM769" s="0" t="s">
        <v>130</v>
      </c>
      <c r="CN769" s="0" t="s">
        <v>130</v>
      </c>
      <c r="CO769" s="0" t="s">
        <v>130</v>
      </c>
      <c r="CP769" s="0" t="s">
        <v>130</v>
      </c>
      <c r="CQ769" s="0" t="s">
        <v>130</v>
      </c>
      <c r="CR769" s="0" t="s">
        <v>130</v>
      </c>
      <c r="CS769" s="0" t="s">
        <v>130</v>
      </c>
      <c r="CT769" s="0" t="s">
        <v>2424</v>
      </c>
    </row>
    <row r="770">
      <c r="A770" s="14">
        <v>115505</v>
      </c>
      <c r="B770" s="0" t="s">
        <v>2425</v>
      </c>
      <c r="C770" s="16">
        <f>HYPERLINK("https://eosportal.federatedhermes.com/companies/Q29tcGFueQppNTg5NTA=", "Vinci SA")</f>
      </c>
      <c r="D770" s="0" t="s">
        <v>23</v>
      </c>
      <c r="E770" s="0" t="s">
        <v>2426</v>
      </c>
      <c r="F770" s="16">
        <f>HYPERLINK("https://eosportal.federatedhermes.com/engagements/RW5nYWdlbWVudAppMjIxNTA=", "Executive remuneration - minimum shareholding requirement")</f>
      </c>
      <c r="G770" s="14" t="s">
        <v>2427</v>
      </c>
      <c r="H770" s="0" t="s">
        <v>141</v>
      </c>
      <c r="I770" s="14" t="s">
        <v>191</v>
      </c>
      <c r="J770" s="0" t="s">
        <v>145</v>
      </c>
      <c r="K770" s="0" t="s">
        <v>146</v>
      </c>
      <c r="L770" s="0" t="s">
        <v>147</v>
      </c>
      <c r="M770" s="0" t="s">
        <v>378</v>
      </c>
      <c r="N770" s="0" t="s">
        <v>1646</v>
      </c>
      <c r="O770" s="0" t="s">
        <v>176</v>
      </c>
      <c r="Q770" s="0" t="s">
        <v>130</v>
      </c>
      <c r="R770" s="0" t="s">
        <v>130</v>
      </c>
      <c r="S770" s="14">
        <v>0</v>
      </c>
      <c r="T770" s="0" t="s">
        <v>394</v>
      </c>
      <c r="U770" s="0" t="s">
        <v>221</v>
      </c>
      <c r="V770" s="14" t="s">
        <v>394</v>
      </c>
      <c r="W770" s="0" t="s">
        <v>221</v>
      </c>
      <c r="X770" s="14" t="s">
        <v>394</v>
      </c>
      <c r="Y770" s="0" t="s">
        <v>221</v>
      </c>
      <c r="Z770" s="14" t="s">
        <v>2428</v>
      </c>
      <c r="AA770" s="0" t="s">
        <v>223</v>
      </c>
      <c r="AB770" s="14" t="s">
        <v>138</v>
      </c>
      <c r="AD770" s="0" t="s">
        <v>20</v>
      </c>
      <c r="AF770" s="0">
        <v>0</v>
      </c>
      <c r="AG770" s="0">
        <v>0</v>
      </c>
      <c r="AH770" s="0" t="s">
        <v>140</v>
      </c>
      <c r="AI770" s="0" t="s">
        <v>598</v>
      </c>
      <c r="AL770" s="14"/>
      <c r="AN770" s="14"/>
      <c r="AQ770" s="0" t="s">
        <v>130</v>
      </c>
      <c r="AR770" s="0" t="s">
        <v>130</v>
      </c>
      <c r="AS770" s="0" t="s">
        <v>130</v>
      </c>
      <c r="AT770" s="0" t="s">
        <v>130</v>
      </c>
      <c r="AU770" s="0" t="s">
        <v>130</v>
      </c>
      <c r="AV770" s="0" t="s">
        <v>130</v>
      </c>
      <c r="AW770" s="0" t="s">
        <v>130</v>
      </c>
      <c r="AX770" s="0" t="s">
        <v>130</v>
      </c>
      <c r="AY770" s="0" t="s">
        <v>130</v>
      </c>
      <c r="AZ770" s="0" t="s">
        <v>130</v>
      </c>
      <c r="BA770" s="0" t="s">
        <v>130</v>
      </c>
      <c r="BB770" s="0" t="s">
        <v>130</v>
      </c>
      <c r="BC770" s="0" t="s">
        <v>130</v>
      </c>
      <c r="BD770" s="0" t="s">
        <v>130</v>
      </c>
      <c r="BE770" s="0" t="s">
        <v>130</v>
      </c>
      <c r="BF770" s="0" t="s">
        <v>130</v>
      </c>
      <c r="BG770" s="0" t="s">
        <v>130</v>
      </c>
      <c r="BH770" s="0" t="s">
        <v>130</v>
      </c>
      <c r="BI770" s="0" t="s">
        <v>130</v>
      </c>
      <c r="BJ770" s="0" t="s">
        <v>130</v>
      </c>
      <c r="BK770" s="0" t="s">
        <v>130</v>
      </c>
      <c r="BL770" s="0" t="s">
        <v>130</v>
      </c>
      <c r="BM770" s="0" t="s">
        <v>130</v>
      </c>
      <c r="BN770" s="0" t="s">
        <v>130</v>
      </c>
      <c r="BO770" s="0" t="s">
        <v>130</v>
      </c>
      <c r="BP770" s="0" t="s">
        <v>130</v>
      </c>
      <c r="BQ770" s="0" t="s">
        <v>130</v>
      </c>
      <c r="BR770" s="0" t="s">
        <v>130</v>
      </c>
      <c r="BS770" s="0" t="s">
        <v>130</v>
      </c>
      <c r="BT770" s="0" t="s">
        <v>130</v>
      </c>
      <c r="BU770" s="0" t="s">
        <v>130</v>
      </c>
      <c r="BV770" s="0" t="s">
        <v>130</v>
      </c>
      <c r="BW770" s="0" t="s">
        <v>130</v>
      </c>
      <c r="BX770" s="0" t="s">
        <v>130</v>
      </c>
      <c r="BY770" s="0" t="s">
        <v>130</v>
      </c>
      <c r="BZ770" s="0" t="s">
        <v>130</v>
      </c>
      <c r="CA770" s="0" t="s">
        <v>130</v>
      </c>
      <c r="CB770" s="0" t="s">
        <v>130</v>
      </c>
      <c r="CC770" s="0" t="s">
        <v>130</v>
      </c>
      <c r="CD770" s="0" t="s">
        <v>130</v>
      </c>
      <c r="CE770" s="0" t="s">
        <v>130</v>
      </c>
      <c r="CF770" s="0" t="s">
        <v>130</v>
      </c>
      <c r="CG770" s="0" t="s">
        <v>130</v>
      </c>
      <c r="CH770" s="0" t="s">
        <v>130</v>
      </c>
      <c r="CI770" s="0" t="s">
        <v>130</v>
      </c>
      <c r="CJ770" s="0" t="s">
        <v>130</v>
      </c>
      <c r="CK770" s="0" t="s">
        <v>130</v>
      </c>
      <c r="CL770" s="0" t="s">
        <v>130</v>
      </c>
      <c r="CM770" s="0" t="s">
        <v>130</v>
      </c>
      <c r="CN770" s="0" t="s">
        <v>130</v>
      </c>
      <c r="CO770" s="0" t="s">
        <v>130</v>
      </c>
      <c r="CP770" s="0" t="s">
        <v>130</v>
      </c>
      <c r="CQ770" s="0" t="s">
        <v>130</v>
      </c>
      <c r="CR770" s="0" t="s">
        <v>130</v>
      </c>
      <c r="CS770" s="0" t="s">
        <v>130</v>
      </c>
      <c r="CT770" s="0" t="s">
        <v>2429</v>
      </c>
    </row>
    <row r="771">
      <c r="A771" s="14">
        <v>115505</v>
      </c>
      <c r="B771" s="0" t="s">
        <v>2425</v>
      </c>
      <c r="C771" s="16">
        <f>HYPERLINK("https://eosportal.federatedhermes.com/companies/Q29tcGFueQppNTg5NTA=", "Vinci SA")</f>
      </c>
      <c r="D771" s="0" t="s">
        <v>25</v>
      </c>
      <c r="E771" s="0" t="s">
        <v>934</v>
      </c>
      <c r="F771" s="16">
        <f>HYPERLINK("https://eosportal.federatedhermes.com/engagements/RW5nYWdlbWVudAppMjIxNTE=", "Adoption of Science-based targets")</f>
      </c>
      <c r="G771" s="14" t="s">
        <v>2430</v>
      </c>
      <c r="H771" s="0" t="s">
        <v>141</v>
      </c>
      <c r="I771" s="14" t="s">
        <v>191</v>
      </c>
      <c r="J771" s="0" t="s">
        <v>197</v>
      </c>
      <c r="K771" s="0" t="s">
        <v>198</v>
      </c>
      <c r="L771" s="0" t="s">
        <v>216</v>
      </c>
      <c r="M771" s="0" t="s">
        <v>378</v>
      </c>
      <c r="N771" s="0" t="s">
        <v>1646</v>
      </c>
      <c r="O771" s="0" t="s">
        <v>176</v>
      </c>
      <c r="Q771" s="0" t="s">
        <v>130</v>
      </c>
      <c r="R771" s="0" t="s">
        <v>138</v>
      </c>
      <c r="S771" s="14">
        <v>0</v>
      </c>
      <c r="T771" s="0" t="s">
        <v>487</v>
      </c>
      <c r="U771" s="0" t="s">
        <v>138</v>
      </c>
      <c r="V771" s="14" t="s">
        <v>138</v>
      </c>
      <c r="W771" s="0" t="s">
        <v>138</v>
      </c>
      <c r="X771" s="14" t="s">
        <v>138</v>
      </c>
      <c r="Y771" s="0" t="s">
        <v>138</v>
      </c>
      <c r="Z771" s="14" t="s">
        <v>138</v>
      </c>
      <c r="AA771" s="0" t="s">
        <v>138</v>
      </c>
      <c r="AB771" s="14" t="s">
        <v>138</v>
      </c>
      <c r="AD771" s="0" t="s">
        <v>138</v>
      </c>
      <c r="AF771" s="0">
        <v>0</v>
      </c>
      <c r="AG771" s="0">
        <v>0</v>
      </c>
      <c r="AH771" s="0" t="s">
        <v>140</v>
      </c>
      <c r="AI771" s="0" t="s">
        <v>138</v>
      </c>
      <c r="AL771" s="14"/>
      <c r="AN771" s="14"/>
      <c r="AQ771" s="0" t="s">
        <v>130</v>
      </c>
      <c r="AR771" s="0" t="s">
        <v>130</v>
      </c>
      <c r="AS771" s="0" t="s">
        <v>130</v>
      </c>
      <c r="AT771" s="0" t="s">
        <v>130</v>
      </c>
      <c r="AU771" s="0" t="s">
        <v>130</v>
      </c>
      <c r="AV771" s="0" t="s">
        <v>130</v>
      </c>
      <c r="AW771" s="0" t="s">
        <v>141</v>
      </c>
      <c r="AX771" s="0" t="s">
        <v>130</v>
      </c>
      <c r="AY771" s="0" t="s">
        <v>130</v>
      </c>
      <c r="AZ771" s="0" t="s">
        <v>130</v>
      </c>
      <c r="BA771" s="0" t="s">
        <v>130</v>
      </c>
      <c r="BB771" s="0" t="s">
        <v>130</v>
      </c>
      <c r="BC771" s="0" t="s">
        <v>141</v>
      </c>
      <c r="BD771" s="0" t="s">
        <v>130</v>
      </c>
      <c r="BE771" s="0" t="s">
        <v>130</v>
      </c>
      <c r="BF771" s="0" t="s">
        <v>130</v>
      </c>
      <c r="BG771" s="0" t="s">
        <v>130</v>
      </c>
      <c r="BH771" s="0" t="s">
        <v>141</v>
      </c>
      <c r="BI771" s="0" t="s">
        <v>141</v>
      </c>
      <c r="BJ771" s="0" t="s">
        <v>141</v>
      </c>
      <c r="BK771" s="0" t="s">
        <v>130</v>
      </c>
      <c r="BL771" s="0" t="s">
        <v>130</v>
      </c>
      <c r="BM771" s="0" t="s">
        <v>130</v>
      </c>
      <c r="BN771" s="0" t="s">
        <v>130</v>
      </c>
      <c r="BO771" s="0" t="s">
        <v>130</v>
      </c>
      <c r="BP771" s="0" t="s">
        <v>130</v>
      </c>
      <c r="BQ771" s="0" t="s">
        <v>130</v>
      </c>
      <c r="BR771" s="0" t="s">
        <v>130</v>
      </c>
      <c r="BS771" s="0" t="s">
        <v>130</v>
      </c>
      <c r="BT771" s="0" t="s">
        <v>130</v>
      </c>
      <c r="BU771" s="0" t="s">
        <v>130</v>
      </c>
      <c r="BV771" s="0" t="s">
        <v>141</v>
      </c>
      <c r="BW771" s="0" t="s">
        <v>141</v>
      </c>
      <c r="BX771" s="0" t="s">
        <v>130</v>
      </c>
      <c r="BY771" s="0" t="s">
        <v>130</v>
      </c>
      <c r="BZ771" s="0" t="s">
        <v>130</v>
      </c>
      <c r="CA771" s="0" t="s">
        <v>130</v>
      </c>
      <c r="CB771" s="0" t="s">
        <v>130</v>
      </c>
      <c r="CC771" s="0" t="s">
        <v>130</v>
      </c>
      <c r="CD771" s="0" t="s">
        <v>130</v>
      </c>
      <c r="CE771" s="0" t="s">
        <v>130</v>
      </c>
      <c r="CF771" s="0" t="s">
        <v>130</v>
      </c>
      <c r="CG771" s="0" t="s">
        <v>130</v>
      </c>
      <c r="CH771" s="0" t="s">
        <v>130</v>
      </c>
      <c r="CI771" s="0" t="s">
        <v>130</v>
      </c>
      <c r="CJ771" s="0" t="s">
        <v>130</v>
      </c>
      <c r="CK771" s="0" t="s">
        <v>130</v>
      </c>
      <c r="CL771" s="0" t="s">
        <v>130</v>
      </c>
      <c r="CM771" s="0" t="s">
        <v>130</v>
      </c>
      <c r="CN771" s="0" t="s">
        <v>130</v>
      </c>
      <c r="CO771" s="0" t="s">
        <v>130</v>
      </c>
      <c r="CP771" s="0" t="s">
        <v>130</v>
      </c>
      <c r="CQ771" s="0" t="s">
        <v>130</v>
      </c>
      <c r="CR771" s="0" t="s">
        <v>130</v>
      </c>
      <c r="CS771" s="0" t="s">
        <v>130</v>
      </c>
      <c r="CT771" s="0" t="s">
        <v>2431</v>
      </c>
    </row>
    <row r="772">
      <c r="A772" s="14">
        <v>115505</v>
      </c>
      <c r="B772" s="0" t="s">
        <v>2425</v>
      </c>
      <c r="C772" s="16">
        <f>HYPERLINK("https://eosportal.federatedhermes.com/companies/Q29tcGFueQppNTg5NTA=", "Vinci SA")</f>
      </c>
      <c r="D772" s="0" t="s">
        <v>25</v>
      </c>
      <c r="E772" s="0" t="s">
        <v>2432</v>
      </c>
      <c r="F772" s="16">
        <f>HYPERLINK("https://eosportal.federatedhermes.com/engagements/RW5nYWdlbWVudAppMjIxNTI=", "Ensure company's appropriate environmental policy")</f>
      </c>
      <c r="G772" s="14" t="s">
        <v>2433</v>
      </c>
      <c r="H772" s="0" t="s">
        <v>141</v>
      </c>
      <c r="I772" s="14" t="s">
        <v>191</v>
      </c>
      <c r="J772" s="0" t="s">
        <v>153</v>
      </c>
      <c r="K772" s="0" t="s">
        <v>243</v>
      </c>
      <c r="L772" s="0" t="s">
        <v>244</v>
      </c>
      <c r="M772" s="0" t="s">
        <v>378</v>
      </c>
      <c r="N772" s="0" t="s">
        <v>1646</v>
      </c>
      <c r="O772" s="0" t="s">
        <v>176</v>
      </c>
      <c r="Q772" s="0" t="s">
        <v>130</v>
      </c>
      <c r="R772" s="0" t="s">
        <v>138</v>
      </c>
      <c r="S772" s="14">
        <v>0</v>
      </c>
      <c r="T772" s="0" t="s">
        <v>825</v>
      </c>
      <c r="U772" s="0" t="s">
        <v>138</v>
      </c>
      <c r="V772" s="14" t="s">
        <v>138</v>
      </c>
      <c r="W772" s="0" t="s">
        <v>138</v>
      </c>
      <c r="X772" s="14" t="s">
        <v>138</v>
      </c>
      <c r="Y772" s="0" t="s">
        <v>138</v>
      </c>
      <c r="Z772" s="14" t="s">
        <v>138</v>
      </c>
      <c r="AA772" s="0" t="s">
        <v>138</v>
      </c>
      <c r="AB772" s="14" t="s">
        <v>138</v>
      </c>
      <c r="AD772" s="0" t="s">
        <v>138</v>
      </c>
      <c r="AF772" s="0">
        <v>0</v>
      </c>
      <c r="AG772" s="0">
        <v>0</v>
      </c>
      <c r="AH772" s="0" t="s">
        <v>140</v>
      </c>
      <c r="AI772" s="0" t="s">
        <v>138</v>
      </c>
      <c r="AL772" s="14"/>
      <c r="AN772" s="14"/>
      <c r="AQ772" s="0" t="s">
        <v>130</v>
      </c>
      <c r="AR772" s="0" t="s">
        <v>130</v>
      </c>
      <c r="AS772" s="0" t="s">
        <v>130</v>
      </c>
      <c r="AT772" s="0" t="s">
        <v>130</v>
      </c>
      <c r="AU772" s="0" t="s">
        <v>130</v>
      </c>
      <c r="AV772" s="0" t="s">
        <v>130</v>
      </c>
      <c r="AW772" s="0" t="s">
        <v>130</v>
      </c>
      <c r="AX772" s="0" t="s">
        <v>130</v>
      </c>
      <c r="AY772" s="0" t="s">
        <v>130</v>
      </c>
      <c r="AZ772" s="0" t="s">
        <v>130</v>
      </c>
      <c r="BA772" s="0" t="s">
        <v>130</v>
      </c>
      <c r="BB772" s="0" t="s">
        <v>130</v>
      </c>
      <c r="BC772" s="0" t="s">
        <v>130</v>
      </c>
      <c r="BD772" s="0" t="s">
        <v>130</v>
      </c>
      <c r="BE772" s="0" t="s">
        <v>130</v>
      </c>
      <c r="BF772" s="0" t="s">
        <v>130</v>
      </c>
      <c r="BG772" s="0" t="s">
        <v>130</v>
      </c>
      <c r="BH772" s="0" t="s">
        <v>130</v>
      </c>
      <c r="BI772" s="0" t="s">
        <v>130</v>
      </c>
      <c r="BJ772" s="0" t="s">
        <v>130</v>
      </c>
      <c r="BK772" s="0" t="s">
        <v>130</v>
      </c>
      <c r="BL772" s="0" t="s">
        <v>130</v>
      </c>
      <c r="BM772" s="0" t="s">
        <v>130</v>
      </c>
      <c r="BN772" s="0" t="s">
        <v>130</v>
      </c>
      <c r="BO772" s="0" t="s">
        <v>130</v>
      </c>
      <c r="BP772" s="0" t="s">
        <v>130</v>
      </c>
      <c r="BQ772" s="0" t="s">
        <v>130</v>
      </c>
      <c r="BR772" s="0" t="s">
        <v>130</v>
      </c>
      <c r="BS772" s="0" t="s">
        <v>130</v>
      </c>
      <c r="BT772" s="0" t="s">
        <v>130</v>
      </c>
      <c r="BU772" s="0" t="s">
        <v>130</v>
      </c>
      <c r="BV772" s="0" t="s">
        <v>130</v>
      </c>
      <c r="BW772" s="0" t="s">
        <v>130</v>
      </c>
      <c r="BX772" s="0" t="s">
        <v>130</v>
      </c>
      <c r="BY772" s="0" t="s">
        <v>130</v>
      </c>
      <c r="BZ772" s="0" t="s">
        <v>130</v>
      </c>
      <c r="CA772" s="0" t="s">
        <v>130</v>
      </c>
      <c r="CB772" s="0" t="s">
        <v>130</v>
      </c>
      <c r="CC772" s="0" t="s">
        <v>130</v>
      </c>
      <c r="CD772" s="0" t="s">
        <v>130</v>
      </c>
      <c r="CE772" s="0" t="s">
        <v>130</v>
      </c>
      <c r="CF772" s="0" t="s">
        <v>130</v>
      </c>
      <c r="CG772" s="0" t="s">
        <v>130</v>
      </c>
      <c r="CH772" s="0" t="s">
        <v>130</v>
      </c>
      <c r="CI772" s="0" t="s">
        <v>130</v>
      </c>
      <c r="CJ772" s="0" t="s">
        <v>130</v>
      </c>
      <c r="CK772" s="0" t="s">
        <v>130</v>
      </c>
      <c r="CL772" s="0" t="s">
        <v>130</v>
      </c>
      <c r="CM772" s="0" t="s">
        <v>130</v>
      </c>
      <c r="CN772" s="0" t="s">
        <v>130</v>
      </c>
      <c r="CO772" s="0" t="s">
        <v>130</v>
      </c>
      <c r="CP772" s="0" t="s">
        <v>130</v>
      </c>
      <c r="CQ772" s="0" t="s">
        <v>130</v>
      </c>
      <c r="CR772" s="0" t="s">
        <v>130</v>
      </c>
      <c r="CS772" s="0" t="s">
        <v>130</v>
      </c>
      <c r="CT772" s="0" t="s">
        <v>2434</v>
      </c>
    </row>
    <row r="773">
      <c r="A773" s="14">
        <v>115505</v>
      </c>
      <c r="B773" s="0" t="s">
        <v>2425</v>
      </c>
      <c r="C773" s="16">
        <f>HYPERLINK("https://eosportal.federatedhermes.com/companies/Q29tcGFueQppNTg5NTA=", "Vinci SA")</f>
      </c>
      <c r="D773" s="0" t="s">
        <v>25</v>
      </c>
      <c r="E773" s="0" t="s">
        <v>2435</v>
      </c>
      <c r="F773" s="16">
        <f>HYPERLINK("https://eosportal.federatedhermes.com/engagements/RW5nYWdlbWVudAppMjIxNTM=", "Human and labour rights abuses")</f>
      </c>
      <c r="G773" s="14" t="s">
        <v>2436</v>
      </c>
      <c r="H773" s="0" t="s">
        <v>141</v>
      </c>
      <c r="I773" s="14" t="s">
        <v>191</v>
      </c>
      <c r="J773" s="0" t="s">
        <v>153</v>
      </c>
      <c r="K773" s="0" t="s">
        <v>154</v>
      </c>
      <c r="L773" s="0" t="s">
        <v>155</v>
      </c>
      <c r="M773" s="0" t="s">
        <v>378</v>
      </c>
      <c r="N773" s="0" t="s">
        <v>1646</v>
      </c>
      <c r="O773" s="0" t="s">
        <v>176</v>
      </c>
      <c r="Q773" s="0" t="s">
        <v>141</v>
      </c>
      <c r="R773" s="0" t="s">
        <v>138</v>
      </c>
      <c r="S773" s="14">
        <v>1</v>
      </c>
      <c r="T773" s="0" t="s">
        <v>181</v>
      </c>
      <c r="U773" s="0" t="s">
        <v>138</v>
      </c>
      <c r="V773" s="14" t="s">
        <v>138</v>
      </c>
      <c r="W773" s="0" t="s">
        <v>138</v>
      </c>
      <c r="X773" s="14" t="s">
        <v>138</v>
      </c>
      <c r="Y773" s="0" t="s">
        <v>138</v>
      </c>
      <c r="Z773" s="14" t="s">
        <v>138</v>
      </c>
      <c r="AA773" s="0" t="s">
        <v>138</v>
      </c>
      <c r="AB773" s="14" t="s">
        <v>138</v>
      </c>
      <c r="AD773" s="0" t="s">
        <v>138</v>
      </c>
      <c r="AF773" s="0">
        <v>0</v>
      </c>
      <c r="AG773" s="0">
        <v>0</v>
      </c>
      <c r="AH773" s="0" t="s">
        <v>140</v>
      </c>
      <c r="AI773" s="0" t="s">
        <v>138</v>
      </c>
      <c r="AK773" s="0" t="s">
        <v>1470</v>
      </c>
      <c r="AL773" s="14"/>
      <c r="AN773" s="14"/>
      <c r="AQ773" s="0" t="s">
        <v>130</v>
      </c>
      <c r="AR773" s="0" t="s">
        <v>130</v>
      </c>
      <c r="AS773" s="0" t="s">
        <v>130</v>
      </c>
      <c r="AT773" s="0" t="s">
        <v>130</v>
      </c>
      <c r="AU773" s="0" t="s">
        <v>130</v>
      </c>
      <c r="AV773" s="0" t="s">
        <v>130</v>
      </c>
      <c r="AW773" s="0" t="s">
        <v>130</v>
      </c>
      <c r="AX773" s="0" t="s">
        <v>141</v>
      </c>
      <c r="AY773" s="0" t="s">
        <v>130</v>
      </c>
      <c r="AZ773" s="0" t="s">
        <v>130</v>
      </c>
      <c r="BA773" s="0" t="s">
        <v>130</v>
      </c>
      <c r="BB773" s="0" t="s">
        <v>130</v>
      </c>
      <c r="BC773" s="0" t="s">
        <v>130</v>
      </c>
      <c r="BD773" s="0" t="s">
        <v>130</v>
      </c>
      <c r="BE773" s="0" t="s">
        <v>130</v>
      </c>
      <c r="BF773" s="0" t="s">
        <v>130</v>
      </c>
      <c r="BG773" s="0" t="s">
        <v>130</v>
      </c>
      <c r="BH773" s="0" t="s">
        <v>130</v>
      </c>
      <c r="BI773" s="0" t="s">
        <v>130</v>
      </c>
      <c r="BJ773" s="0" t="s">
        <v>130</v>
      </c>
      <c r="BK773" s="0" t="s">
        <v>130</v>
      </c>
      <c r="BL773" s="0" t="s">
        <v>130</v>
      </c>
      <c r="BM773" s="0" t="s">
        <v>130</v>
      </c>
      <c r="BN773" s="0" t="s">
        <v>130</v>
      </c>
      <c r="BO773" s="0" t="s">
        <v>130</v>
      </c>
      <c r="BP773" s="0" t="s">
        <v>130</v>
      </c>
      <c r="BQ773" s="0" t="s">
        <v>130</v>
      </c>
      <c r="BR773" s="0" t="s">
        <v>130</v>
      </c>
      <c r="BS773" s="0" t="s">
        <v>130</v>
      </c>
      <c r="BT773" s="0" t="s">
        <v>130</v>
      </c>
      <c r="BU773" s="0" t="s">
        <v>130</v>
      </c>
      <c r="BV773" s="0" t="s">
        <v>130</v>
      </c>
      <c r="BW773" s="0" t="s">
        <v>130</v>
      </c>
      <c r="BX773" s="0" t="s">
        <v>130</v>
      </c>
      <c r="BY773" s="0" t="s">
        <v>130</v>
      </c>
      <c r="BZ773" s="0" t="s">
        <v>130</v>
      </c>
      <c r="CA773" s="0" t="s">
        <v>130</v>
      </c>
      <c r="CB773" s="0" t="s">
        <v>130</v>
      </c>
      <c r="CC773" s="0" t="s">
        <v>130</v>
      </c>
      <c r="CD773" s="0" t="s">
        <v>130</v>
      </c>
      <c r="CE773" s="0" t="s">
        <v>130</v>
      </c>
      <c r="CF773" s="0" t="s">
        <v>130</v>
      </c>
      <c r="CG773" s="0" t="s">
        <v>130</v>
      </c>
      <c r="CH773" s="0" t="s">
        <v>130</v>
      </c>
      <c r="CI773" s="0" t="s">
        <v>141</v>
      </c>
      <c r="CJ773" s="0" t="s">
        <v>130</v>
      </c>
      <c r="CK773" s="0" t="s">
        <v>130</v>
      </c>
      <c r="CL773" s="0" t="s">
        <v>130</v>
      </c>
      <c r="CM773" s="0" t="s">
        <v>130</v>
      </c>
      <c r="CN773" s="0" t="s">
        <v>130</v>
      </c>
      <c r="CO773" s="0" t="s">
        <v>130</v>
      </c>
      <c r="CP773" s="0" t="s">
        <v>130</v>
      </c>
      <c r="CQ773" s="0" t="s">
        <v>130</v>
      </c>
      <c r="CR773" s="0" t="s">
        <v>130</v>
      </c>
      <c r="CS773" s="0" t="s">
        <v>130</v>
      </c>
      <c r="CT773" s="0" t="s">
        <v>2437</v>
      </c>
    </row>
    <row r="774">
      <c r="A774" s="14">
        <v>115505</v>
      </c>
      <c r="B774" s="0" t="s">
        <v>2425</v>
      </c>
      <c r="C774" s="16">
        <f>HYPERLINK("https://eosportal.federatedhermes.com/companies/Q29tcGFueQppNTg5NTA=", "Vinci SA")</f>
      </c>
      <c r="D774" s="0" t="s">
        <v>23</v>
      </c>
      <c r="E774" s="0" t="s">
        <v>2438</v>
      </c>
      <c r="F774" s="16">
        <f>HYPERLINK("https://eosportal.federatedhermes.com/engagements/RW5nYWdlbWVudAppMjIxNTY=", "Separation of roles of chair and CEO")</f>
      </c>
      <c r="G774" s="14" t="s">
        <v>2439</v>
      </c>
      <c r="H774" s="0" t="s">
        <v>141</v>
      </c>
      <c r="I774" s="14" t="s">
        <v>191</v>
      </c>
      <c r="J774" s="0" t="s">
        <v>145</v>
      </c>
      <c r="K774" s="0" t="s">
        <v>164</v>
      </c>
      <c r="L774" s="0" t="s">
        <v>165</v>
      </c>
      <c r="M774" s="0" t="s">
        <v>378</v>
      </c>
      <c r="N774" s="0" t="s">
        <v>1646</v>
      </c>
      <c r="O774" s="0" t="s">
        <v>176</v>
      </c>
      <c r="Q774" s="0" t="s">
        <v>130</v>
      </c>
      <c r="R774" s="0" t="s">
        <v>130</v>
      </c>
      <c r="S774" s="14">
        <v>0</v>
      </c>
      <c r="T774" s="0" t="s">
        <v>394</v>
      </c>
      <c r="U774" s="0" t="s">
        <v>221</v>
      </c>
      <c r="V774" s="14" t="s">
        <v>394</v>
      </c>
      <c r="W774" s="0" t="s">
        <v>221</v>
      </c>
      <c r="X774" s="14" t="s">
        <v>394</v>
      </c>
      <c r="Y774" s="0" t="s">
        <v>221</v>
      </c>
      <c r="Z774" s="14" t="s">
        <v>231</v>
      </c>
      <c r="AA774" s="0" t="s">
        <v>223</v>
      </c>
      <c r="AB774" s="14" t="s">
        <v>138</v>
      </c>
      <c r="AD774" s="0" t="s">
        <v>20</v>
      </c>
      <c r="AF774" s="0">
        <v>0</v>
      </c>
      <c r="AG774" s="0">
        <v>0</v>
      </c>
      <c r="AH774" s="0" t="s">
        <v>140</v>
      </c>
      <c r="AI774" s="0" t="s">
        <v>598</v>
      </c>
      <c r="AL774" s="14" t="s">
        <v>291</v>
      </c>
      <c r="AN774" s="14"/>
      <c r="AQ774" s="0" t="s">
        <v>130</v>
      </c>
      <c r="AR774" s="0" t="s">
        <v>130</v>
      </c>
      <c r="AS774" s="0" t="s">
        <v>130</v>
      </c>
      <c r="AT774" s="0" t="s">
        <v>130</v>
      </c>
      <c r="AU774" s="0" t="s">
        <v>130</v>
      </c>
      <c r="AV774" s="0" t="s">
        <v>130</v>
      </c>
      <c r="AW774" s="0" t="s">
        <v>130</v>
      </c>
      <c r="AX774" s="0" t="s">
        <v>130</v>
      </c>
      <c r="AY774" s="0" t="s">
        <v>130</v>
      </c>
      <c r="AZ774" s="0" t="s">
        <v>130</v>
      </c>
      <c r="BA774" s="0" t="s">
        <v>130</v>
      </c>
      <c r="BB774" s="0" t="s">
        <v>130</v>
      </c>
      <c r="BC774" s="0" t="s">
        <v>130</v>
      </c>
      <c r="BD774" s="0" t="s">
        <v>130</v>
      </c>
      <c r="BE774" s="0" t="s">
        <v>130</v>
      </c>
      <c r="BF774" s="0" t="s">
        <v>130</v>
      </c>
      <c r="BG774" s="0" t="s">
        <v>130</v>
      </c>
      <c r="BH774" s="0" t="s">
        <v>130</v>
      </c>
      <c r="BI774" s="0" t="s">
        <v>130</v>
      </c>
      <c r="BJ774" s="0" t="s">
        <v>130</v>
      </c>
      <c r="BK774" s="0" t="s">
        <v>130</v>
      </c>
      <c r="BL774" s="0" t="s">
        <v>130</v>
      </c>
      <c r="BM774" s="0" t="s">
        <v>130</v>
      </c>
      <c r="BN774" s="0" t="s">
        <v>130</v>
      </c>
      <c r="BO774" s="0" t="s">
        <v>130</v>
      </c>
      <c r="BP774" s="0" t="s">
        <v>130</v>
      </c>
      <c r="BQ774" s="0" t="s">
        <v>130</v>
      </c>
      <c r="BR774" s="0" t="s">
        <v>130</v>
      </c>
      <c r="BS774" s="0" t="s">
        <v>130</v>
      </c>
      <c r="BT774" s="0" t="s">
        <v>130</v>
      </c>
      <c r="BU774" s="0" t="s">
        <v>130</v>
      </c>
      <c r="BV774" s="0" t="s">
        <v>130</v>
      </c>
      <c r="BW774" s="0" t="s">
        <v>130</v>
      </c>
      <c r="BX774" s="0" t="s">
        <v>130</v>
      </c>
      <c r="BY774" s="0" t="s">
        <v>130</v>
      </c>
      <c r="BZ774" s="0" t="s">
        <v>130</v>
      </c>
      <c r="CA774" s="0" t="s">
        <v>130</v>
      </c>
      <c r="CB774" s="0" t="s">
        <v>130</v>
      </c>
      <c r="CC774" s="0" t="s">
        <v>130</v>
      </c>
      <c r="CD774" s="0" t="s">
        <v>130</v>
      </c>
      <c r="CE774" s="0" t="s">
        <v>130</v>
      </c>
      <c r="CF774" s="0" t="s">
        <v>130</v>
      </c>
      <c r="CG774" s="0" t="s">
        <v>130</v>
      </c>
      <c r="CH774" s="0" t="s">
        <v>130</v>
      </c>
      <c r="CI774" s="0" t="s">
        <v>130</v>
      </c>
      <c r="CJ774" s="0" t="s">
        <v>130</v>
      </c>
      <c r="CK774" s="0" t="s">
        <v>130</v>
      </c>
      <c r="CL774" s="0" t="s">
        <v>130</v>
      </c>
      <c r="CM774" s="0" t="s">
        <v>130</v>
      </c>
      <c r="CN774" s="0" t="s">
        <v>130</v>
      </c>
      <c r="CO774" s="0" t="s">
        <v>130</v>
      </c>
      <c r="CP774" s="0" t="s">
        <v>130</v>
      </c>
      <c r="CQ774" s="0" t="s">
        <v>130</v>
      </c>
      <c r="CR774" s="0" t="s">
        <v>130</v>
      </c>
      <c r="CS774" s="0" t="s">
        <v>130</v>
      </c>
      <c r="CT774" s="0" t="s">
        <v>2440</v>
      </c>
    </row>
    <row r="775">
      <c r="A775" s="14">
        <v>115505</v>
      </c>
      <c r="B775" s="0" t="s">
        <v>2425</v>
      </c>
      <c r="C775" s="16">
        <f>HYPERLINK("https://eosportal.federatedhermes.com/companies/Q29tcGFueQppNTg5NTA=", "Vinci SA")</f>
      </c>
      <c r="D775" s="0" t="s">
        <v>25</v>
      </c>
      <c r="E775" s="0" t="s">
        <v>341</v>
      </c>
      <c r="F775" s="16">
        <f>HYPERLINK("https://eosportal.federatedhermes.com/engagements/RW5nYWdlbWVudAppMjIxNTc=", "Remuneration")</f>
      </c>
      <c r="G775" s="14" t="s">
        <v>342</v>
      </c>
      <c r="H775" s="0" t="s">
        <v>141</v>
      </c>
      <c r="I775" s="14" t="s">
        <v>191</v>
      </c>
      <c r="J775" s="0" t="s">
        <v>145</v>
      </c>
      <c r="K775" s="0" t="s">
        <v>146</v>
      </c>
      <c r="L775" s="0" t="s">
        <v>147</v>
      </c>
      <c r="M775" s="0" t="s">
        <v>378</v>
      </c>
      <c r="N775" s="0" t="s">
        <v>1646</v>
      </c>
      <c r="O775" s="0" t="s">
        <v>176</v>
      </c>
      <c r="Q775" s="0" t="s">
        <v>130</v>
      </c>
      <c r="R775" s="0" t="s">
        <v>138</v>
      </c>
      <c r="S775" s="14">
        <v>0</v>
      </c>
      <c r="T775" s="0" t="s">
        <v>249</v>
      </c>
      <c r="U775" s="0" t="s">
        <v>138</v>
      </c>
      <c r="V775" s="14" t="s">
        <v>138</v>
      </c>
      <c r="W775" s="0" t="s">
        <v>138</v>
      </c>
      <c r="X775" s="14" t="s">
        <v>138</v>
      </c>
      <c r="Y775" s="0" t="s">
        <v>138</v>
      </c>
      <c r="Z775" s="14" t="s">
        <v>138</v>
      </c>
      <c r="AA775" s="0" t="s">
        <v>138</v>
      </c>
      <c r="AB775" s="14" t="s">
        <v>138</v>
      </c>
      <c r="AD775" s="0" t="s">
        <v>138</v>
      </c>
      <c r="AF775" s="0">
        <v>0</v>
      </c>
      <c r="AG775" s="0">
        <v>0</v>
      </c>
      <c r="AH775" s="0" t="s">
        <v>140</v>
      </c>
      <c r="AI775" s="0" t="s">
        <v>138</v>
      </c>
      <c r="AL775" s="14"/>
      <c r="AN775" s="14"/>
      <c r="AQ775" s="0" t="s">
        <v>130</v>
      </c>
      <c r="AR775" s="0" t="s">
        <v>130</v>
      </c>
      <c r="AS775" s="0" t="s">
        <v>130</v>
      </c>
      <c r="AT775" s="0" t="s">
        <v>130</v>
      </c>
      <c r="AU775" s="0" t="s">
        <v>130</v>
      </c>
      <c r="AV775" s="0" t="s">
        <v>130</v>
      </c>
      <c r="AW775" s="0" t="s">
        <v>130</v>
      </c>
      <c r="AX775" s="0" t="s">
        <v>130</v>
      </c>
      <c r="AY775" s="0" t="s">
        <v>130</v>
      </c>
      <c r="AZ775" s="0" t="s">
        <v>130</v>
      </c>
      <c r="BA775" s="0" t="s">
        <v>130</v>
      </c>
      <c r="BB775" s="0" t="s">
        <v>130</v>
      </c>
      <c r="BC775" s="0" t="s">
        <v>130</v>
      </c>
      <c r="BD775" s="0" t="s">
        <v>130</v>
      </c>
      <c r="BE775" s="0" t="s">
        <v>130</v>
      </c>
      <c r="BF775" s="0" t="s">
        <v>130</v>
      </c>
      <c r="BG775" s="0" t="s">
        <v>130</v>
      </c>
      <c r="BH775" s="0" t="s">
        <v>130</v>
      </c>
      <c r="BI775" s="0" t="s">
        <v>130</v>
      </c>
      <c r="BJ775" s="0" t="s">
        <v>130</v>
      </c>
      <c r="BK775" s="0" t="s">
        <v>130</v>
      </c>
      <c r="BL775" s="0" t="s">
        <v>130</v>
      </c>
      <c r="BM775" s="0" t="s">
        <v>130</v>
      </c>
      <c r="BN775" s="0" t="s">
        <v>130</v>
      </c>
      <c r="BO775" s="0" t="s">
        <v>130</v>
      </c>
      <c r="BP775" s="0" t="s">
        <v>130</v>
      </c>
      <c r="BQ775" s="0" t="s">
        <v>130</v>
      </c>
      <c r="BR775" s="0" t="s">
        <v>130</v>
      </c>
      <c r="BS775" s="0" t="s">
        <v>130</v>
      </c>
      <c r="BT775" s="0" t="s">
        <v>130</v>
      </c>
      <c r="BU775" s="0" t="s">
        <v>130</v>
      </c>
      <c r="BV775" s="0" t="s">
        <v>130</v>
      </c>
      <c r="BW775" s="0" t="s">
        <v>130</v>
      </c>
      <c r="BX775" s="0" t="s">
        <v>130</v>
      </c>
      <c r="BY775" s="0" t="s">
        <v>130</v>
      </c>
      <c r="BZ775" s="0" t="s">
        <v>130</v>
      </c>
      <c r="CA775" s="0" t="s">
        <v>130</v>
      </c>
      <c r="CB775" s="0" t="s">
        <v>130</v>
      </c>
      <c r="CC775" s="0" t="s">
        <v>130</v>
      </c>
      <c r="CD775" s="0" t="s">
        <v>130</v>
      </c>
      <c r="CE775" s="0" t="s">
        <v>130</v>
      </c>
      <c r="CF775" s="0" t="s">
        <v>130</v>
      </c>
      <c r="CG775" s="0" t="s">
        <v>130</v>
      </c>
      <c r="CH775" s="0" t="s">
        <v>130</v>
      </c>
      <c r="CI775" s="0" t="s">
        <v>130</v>
      </c>
      <c r="CJ775" s="0" t="s">
        <v>130</v>
      </c>
      <c r="CK775" s="0" t="s">
        <v>130</v>
      </c>
      <c r="CL775" s="0" t="s">
        <v>130</v>
      </c>
      <c r="CM775" s="0" t="s">
        <v>130</v>
      </c>
      <c r="CN775" s="0" t="s">
        <v>130</v>
      </c>
      <c r="CO775" s="0" t="s">
        <v>130</v>
      </c>
      <c r="CP775" s="0" t="s">
        <v>130</v>
      </c>
      <c r="CQ775" s="0" t="s">
        <v>130</v>
      </c>
      <c r="CR775" s="0" t="s">
        <v>130</v>
      </c>
      <c r="CS775" s="0" t="s">
        <v>130</v>
      </c>
      <c r="CT775" s="0" t="s">
        <v>2441</v>
      </c>
    </row>
    <row r="776">
      <c r="A776" s="14">
        <v>115505</v>
      </c>
      <c r="B776" s="0" t="s">
        <v>2425</v>
      </c>
      <c r="C776" s="16">
        <f>HYPERLINK("https://eosportal.federatedhermes.com/companies/Q29tcGFueQppNTg5NTA=", "Vinci SA")</f>
      </c>
      <c r="D776" s="0" t="s">
        <v>25</v>
      </c>
      <c r="E776" s="0" t="s">
        <v>2442</v>
      </c>
      <c r="F776" s="16">
        <f>HYPERLINK("https://eosportal.federatedhermes.com/engagements/RW5nYWdlbWVudAppMjIxNTg=", "Roles LID/vice-chair")</f>
      </c>
      <c r="G776" s="14" t="s">
        <v>2443</v>
      </c>
      <c r="H776" s="0" t="s">
        <v>141</v>
      </c>
      <c r="I776" s="14" t="s">
        <v>191</v>
      </c>
      <c r="J776" s="0" t="s">
        <v>145</v>
      </c>
      <c r="K776" s="0" t="s">
        <v>164</v>
      </c>
      <c r="L776" s="0" t="s">
        <v>165</v>
      </c>
      <c r="M776" s="0" t="s">
        <v>378</v>
      </c>
      <c r="N776" s="0" t="s">
        <v>1646</v>
      </c>
      <c r="O776" s="0" t="s">
        <v>176</v>
      </c>
      <c r="Q776" s="0" t="s">
        <v>130</v>
      </c>
      <c r="R776" s="0" t="s">
        <v>138</v>
      </c>
      <c r="S776" s="14">
        <v>0</v>
      </c>
      <c r="T776" s="0" t="s">
        <v>288</v>
      </c>
      <c r="U776" s="0" t="s">
        <v>138</v>
      </c>
      <c r="V776" s="14" t="s">
        <v>138</v>
      </c>
      <c r="W776" s="0" t="s">
        <v>138</v>
      </c>
      <c r="X776" s="14" t="s">
        <v>138</v>
      </c>
      <c r="Y776" s="0" t="s">
        <v>138</v>
      </c>
      <c r="Z776" s="14" t="s">
        <v>138</v>
      </c>
      <c r="AA776" s="0" t="s">
        <v>138</v>
      </c>
      <c r="AB776" s="14" t="s">
        <v>138</v>
      </c>
      <c r="AD776" s="0" t="s">
        <v>138</v>
      </c>
      <c r="AF776" s="0">
        <v>0</v>
      </c>
      <c r="AG776" s="0">
        <v>0</v>
      </c>
      <c r="AH776" s="0" t="s">
        <v>140</v>
      </c>
      <c r="AI776" s="0" t="s">
        <v>138</v>
      </c>
      <c r="AL776" s="14"/>
      <c r="AN776" s="14"/>
      <c r="AQ776" s="0" t="s">
        <v>130</v>
      </c>
      <c r="AR776" s="0" t="s">
        <v>130</v>
      </c>
      <c r="AS776" s="0" t="s">
        <v>130</v>
      </c>
      <c r="AT776" s="0" t="s">
        <v>130</v>
      </c>
      <c r="AU776" s="0" t="s">
        <v>130</v>
      </c>
      <c r="AV776" s="0" t="s">
        <v>130</v>
      </c>
      <c r="AW776" s="0" t="s">
        <v>130</v>
      </c>
      <c r="AX776" s="0" t="s">
        <v>130</v>
      </c>
      <c r="AY776" s="0" t="s">
        <v>130</v>
      </c>
      <c r="AZ776" s="0" t="s">
        <v>130</v>
      </c>
      <c r="BA776" s="0" t="s">
        <v>130</v>
      </c>
      <c r="BB776" s="0" t="s">
        <v>130</v>
      </c>
      <c r="BC776" s="0" t="s">
        <v>130</v>
      </c>
      <c r="BD776" s="0" t="s">
        <v>130</v>
      </c>
      <c r="BE776" s="0" t="s">
        <v>130</v>
      </c>
      <c r="BF776" s="0" t="s">
        <v>130</v>
      </c>
      <c r="BG776" s="0" t="s">
        <v>130</v>
      </c>
      <c r="BH776" s="0" t="s">
        <v>130</v>
      </c>
      <c r="BI776" s="0" t="s">
        <v>130</v>
      </c>
      <c r="BJ776" s="0" t="s">
        <v>130</v>
      </c>
      <c r="BK776" s="0" t="s">
        <v>130</v>
      </c>
      <c r="BL776" s="0" t="s">
        <v>130</v>
      </c>
      <c r="BM776" s="0" t="s">
        <v>130</v>
      </c>
      <c r="BN776" s="0" t="s">
        <v>130</v>
      </c>
      <c r="BO776" s="0" t="s">
        <v>130</v>
      </c>
      <c r="BP776" s="0" t="s">
        <v>130</v>
      </c>
      <c r="BQ776" s="0" t="s">
        <v>130</v>
      </c>
      <c r="BR776" s="0" t="s">
        <v>130</v>
      </c>
      <c r="BS776" s="0" t="s">
        <v>130</v>
      </c>
      <c r="BT776" s="0" t="s">
        <v>130</v>
      </c>
      <c r="BU776" s="0" t="s">
        <v>130</v>
      </c>
      <c r="BV776" s="0" t="s">
        <v>130</v>
      </c>
      <c r="BW776" s="0" t="s">
        <v>130</v>
      </c>
      <c r="BX776" s="0" t="s">
        <v>130</v>
      </c>
      <c r="BY776" s="0" t="s">
        <v>130</v>
      </c>
      <c r="BZ776" s="0" t="s">
        <v>130</v>
      </c>
      <c r="CA776" s="0" t="s">
        <v>130</v>
      </c>
      <c r="CB776" s="0" t="s">
        <v>130</v>
      </c>
      <c r="CC776" s="0" t="s">
        <v>130</v>
      </c>
      <c r="CD776" s="0" t="s">
        <v>130</v>
      </c>
      <c r="CE776" s="0" t="s">
        <v>130</v>
      </c>
      <c r="CF776" s="0" t="s">
        <v>130</v>
      </c>
      <c r="CG776" s="0" t="s">
        <v>130</v>
      </c>
      <c r="CH776" s="0" t="s">
        <v>130</v>
      </c>
      <c r="CI776" s="0" t="s">
        <v>130</v>
      </c>
      <c r="CJ776" s="0" t="s">
        <v>130</v>
      </c>
      <c r="CK776" s="0" t="s">
        <v>130</v>
      </c>
      <c r="CL776" s="0" t="s">
        <v>130</v>
      </c>
      <c r="CM776" s="0" t="s">
        <v>130</v>
      </c>
      <c r="CN776" s="0" t="s">
        <v>130</v>
      </c>
      <c r="CO776" s="0" t="s">
        <v>130</v>
      </c>
      <c r="CP776" s="0" t="s">
        <v>130</v>
      </c>
      <c r="CQ776" s="0" t="s">
        <v>130</v>
      </c>
      <c r="CR776" s="0" t="s">
        <v>130</v>
      </c>
      <c r="CS776" s="0" t="s">
        <v>130</v>
      </c>
      <c r="CT776" s="0" t="s">
        <v>2444</v>
      </c>
    </row>
    <row r="777">
      <c r="A777" s="14">
        <v>115505</v>
      </c>
      <c r="B777" s="0" t="s">
        <v>2425</v>
      </c>
      <c r="C777" s="16">
        <f>HYPERLINK("https://eosportal.federatedhermes.com/companies/Q29tcGFueQppNTg5NTA=", "Vinci SA")</f>
      </c>
      <c r="D777" s="0" t="s">
        <v>25</v>
      </c>
      <c r="E777" s="0" t="s">
        <v>2032</v>
      </c>
      <c r="F777" s="16">
        <f>HYPERLINK("https://eosportal.federatedhermes.com/engagements/RW5nYWdlbWVudAppMjIxNTk=", "Coronavirus")</f>
      </c>
      <c r="G777" s="14" t="s">
        <v>1671</v>
      </c>
      <c r="H777" s="0" t="s">
        <v>141</v>
      </c>
      <c r="I777" s="14" t="s">
        <v>191</v>
      </c>
      <c r="J777" s="0" t="s">
        <v>132</v>
      </c>
      <c r="K777" s="0" t="s">
        <v>260</v>
      </c>
      <c r="L777" s="0" t="s">
        <v>261</v>
      </c>
      <c r="M777" s="0" t="s">
        <v>378</v>
      </c>
      <c r="N777" s="0" t="s">
        <v>1646</v>
      </c>
      <c r="O777" s="0" t="s">
        <v>176</v>
      </c>
      <c r="Q777" s="0" t="s">
        <v>130</v>
      </c>
      <c r="R777" s="0" t="s">
        <v>138</v>
      </c>
      <c r="S777" s="14">
        <v>0</v>
      </c>
      <c r="T777" s="0" t="s">
        <v>148</v>
      </c>
      <c r="U777" s="0" t="s">
        <v>138</v>
      </c>
      <c r="V777" s="14" t="s">
        <v>138</v>
      </c>
      <c r="W777" s="0" t="s">
        <v>138</v>
      </c>
      <c r="X777" s="14" t="s">
        <v>138</v>
      </c>
      <c r="Y777" s="0" t="s">
        <v>138</v>
      </c>
      <c r="Z777" s="14" t="s">
        <v>138</v>
      </c>
      <c r="AA777" s="0" t="s">
        <v>138</v>
      </c>
      <c r="AB777" s="14" t="s">
        <v>138</v>
      </c>
      <c r="AD777" s="0" t="s">
        <v>138</v>
      </c>
      <c r="AF777" s="0">
        <v>0</v>
      </c>
      <c r="AG777" s="0">
        <v>0</v>
      </c>
      <c r="AH777" s="0" t="s">
        <v>140</v>
      </c>
      <c r="AI777" s="0" t="s">
        <v>138</v>
      </c>
      <c r="AL777" s="14"/>
      <c r="AN777" s="14"/>
      <c r="AQ777" s="0" t="s">
        <v>130</v>
      </c>
      <c r="AR777" s="0" t="s">
        <v>130</v>
      </c>
      <c r="AS777" s="0" t="s">
        <v>130</v>
      </c>
      <c r="AT777" s="0" t="s">
        <v>130</v>
      </c>
      <c r="AU777" s="0" t="s">
        <v>130</v>
      </c>
      <c r="AV777" s="0" t="s">
        <v>130</v>
      </c>
      <c r="AW777" s="0" t="s">
        <v>130</v>
      </c>
      <c r="AX777" s="0" t="s">
        <v>130</v>
      </c>
      <c r="AY777" s="0" t="s">
        <v>130</v>
      </c>
      <c r="AZ777" s="0" t="s">
        <v>130</v>
      </c>
      <c r="BA777" s="0" t="s">
        <v>130</v>
      </c>
      <c r="BB777" s="0" t="s">
        <v>130</v>
      </c>
      <c r="BC777" s="0" t="s">
        <v>130</v>
      </c>
      <c r="BD777" s="0" t="s">
        <v>130</v>
      </c>
      <c r="BE777" s="0" t="s">
        <v>130</v>
      </c>
      <c r="BF777" s="0" t="s">
        <v>130</v>
      </c>
      <c r="BG777" s="0" t="s">
        <v>130</v>
      </c>
      <c r="BH777" s="0" t="s">
        <v>130</v>
      </c>
      <c r="BI777" s="0" t="s">
        <v>130</v>
      </c>
      <c r="BJ777" s="0" t="s">
        <v>130</v>
      </c>
      <c r="BK777" s="0" t="s">
        <v>130</v>
      </c>
      <c r="BL777" s="0" t="s">
        <v>130</v>
      </c>
      <c r="BM777" s="0" t="s">
        <v>130</v>
      </c>
      <c r="BN777" s="0" t="s">
        <v>130</v>
      </c>
      <c r="BO777" s="0" t="s">
        <v>130</v>
      </c>
      <c r="BP777" s="0" t="s">
        <v>130</v>
      </c>
      <c r="BQ777" s="0" t="s">
        <v>130</v>
      </c>
      <c r="BR777" s="0" t="s">
        <v>130</v>
      </c>
      <c r="BS777" s="0" t="s">
        <v>130</v>
      </c>
      <c r="BT777" s="0" t="s">
        <v>130</v>
      </c>
      <c r="BU777" s="0" t="s">
        <v>130</v>
      </c>
      <c r="BV777" s="0" t="s">
        <v>130</v>
      </c>
      <c r="BW777" s="0" t="s">
        <v>130</v>
      </c>
      <c r="BX777" s="0" t="s">
        <v>130</v>
      </c>
      <c r="BY777" s="0" t="s">
        <v>130</v>
      </c>
      <c r="BZ777" s="0" t="s">
        <v>130</v>
      </c>
      <c r="CA777" s="0" t="s">
        <v>130</v>
      </c>
      <c r="CB777" s="0" t="s">
        <v>130</v>
      </c>
      <c r="CC777" s="0" t="s">
        <v>130</v>
      </c>
      <c r="CD777" s="0" t="s">
        <v>130</v>
      </c>
      <c r="CE777" s="0" t="s">
        <v>130</v>
      </c>
      <c r="CF777" s="0" t="s">
        <v>130</v>
      </c>
      <c r="CG777" s="0" t="s">
        <v>130</v>
      </c>
      <c r="CH777" s="0" t="s">
        <v>130</v>
      </c>
      <c r="CI777" s="0" t="s">
        <v>130</v>
      </c>
      <c r="CJ777" s="0" t="s">
        <v>130</v>
      </c>
      <c r="CK777" s="0" t="s">
        <v>130</v>
      </c>
      <c r="CL777" s="0" t="s">
        <v>130</v>
      </c>
      <c r="CM777" s="0" t="s">
        <v>130</v>
      </c>
      <c r="CN777" s="0" t="s">
        <v>130</v>
      </c>
      <c r="CO777" s="0" t="s">
        <v>130</v>
      </c>
      <c r="CP777" s="0" t="s">
        <v>130</v>
      </c>
      <c r="CQ777" s="0" t="s">
        <v>130</v>
      </c>
      <c r="CR777" s="0" t="s">
        <v>130</v>
      </c>
      <c r="CS777" s="0" t="s">
        <v>130</v>
      </c>
      <c r="CT777" s="0" t="s">
        <v>2445</v>
      </c>
    </row>
    <row r="778">
      <c r="A778" s="14">
        <v>115505</v>
      </c>
      <c r="B778" s="0" t="s">
        <v>2425</v>
      </c>
      <c r="C778" s="16">
        <f>HYPERLINK("https://eosportal.federatedhermes.com/companies/Q29tcGFueQppNTg5NTA=", "Vinci SA")</f>
      </c>
      <c r="D778" s="0" t="s">
        <v>25</v>
      </c>
      <c r="E778" s="0" t="s">
        <v>2446</v>
      </c>
      <c r="F778" s="16">
        <f>HYPERLINK("https://eosportal.federatedhermes.com/engagements/RW5nYWdlbWVudAppMjIxNjA=", "Bribery and corruption")</f>
      </c>
      <c r="G778" s="14" t="s">
        <v>2447</v>
      </c>
      <c r="H778" s="0" t="s">
        <v>141</v>
      </c>
      <c r="I778" s="14" t="s">
        <v>191</v>
      </c>
      <c r="J778" s="0" t="s">
        <v>153</v>
      </c>
      <c r="K778" s="0" t="s">
        <v>185</v>
      </c>
      <c r="L778" s="0" t="s">
        <v>871</v>
      </c>
      <c r="M778" s="0" t="s">
        <v>378</v>
      </c>
      <c r="N778" s="0" t="s">
        <v>1646</v>
      </c>
      <c r="O778" s="0" t="s">
        <v>176</v>
      </c>
      <c r="Q778" s="0" t="s">
        <v>130</v>
      </c>
      <c r="R778" s="0" t="s">
        <v>138</v>
      </c>
      <c r="S778" s="14">
        <v>0</v>
      </c>
      <c r="T778" s="0" t="s">
        <v>416</v>
      </c>
      <c r="U778" s="0" t="s">
        <v>138</v>
      </c>
      <c r="V778" s="14" t="s">
        <v>138</v>
      </c>
      <c r="W778" s="0" t="s">
        <v>138</v>
      </c>
      <c r="X778" s="14" t="s">
        <v>138</v>
      </c>
      <c r="Y778" s="0" t="s">
        <v>138</v>
      </c>
      <c r="Z778" s="14" t="s">
        <v>138</v>
      </c>
      <c r="AA778" s="0" t="s">
        <v>138</v>
      </c>
      <c r="AB778" s="14" t="s">
        <v>138</v>
      </c>
      <c r="AD778" s="0" t="s">
        <v>138</v>
      </c>
      <c r="AF778" s="0">
        <v>0</v>
      </c>
      <c r="AG778" s="0">
        <v>0</v>
      </c>
      <c r="AH778" s="0" t="s">
        <v>140</v>
      </c>
      <c r="AI778" s="0" t="s">
        <v>138</v>
      </c>
      <c r="AL778" s="14"/>
      <c r="AN778" s="14"/>
      <c r="AQ778" s="0" t="s">
        <v>130</v>
      </c>
      <c r="AR778" s="0" t="s">
        <v>130</v>
      </c>
      <c r="AS778" s="0" t="s">
        <v>130</v>
      </c>
      <c r="AT778" s="0" t="s">
        <v>130</v>
      </c>
      <c r="AU778" s="0" t="s">
        <v>130</v>
      </c>
      <c r="AV778" s="0" t="s">
        <v>130</v>
      </c>
      <c r="AW778" s="0" t="s">
        <v>130</v>
      </c>
      <c r="AX778" s="0" t="s">
        <v>130</v>
      </c>
      <c r="AY778" s="0" t="s">
        <v>130</v>
      </c>
      <c r="AZ778" s="0" t="s">
        <v>130</v>
      </c>
      <c r="BA778" s="0" t="s">
        <v>130</v>
      </c>
      <c r="BB778" s="0" t="s">
        <v>130</v>
      </c>
      <c r="BC778" s="0" t="s">
        <v>130</v>
      </c>
      <c r="BD778" s="0" t="s">
        <v>130</v>
      </c>
      <c r="BE778" s="0" t="s">
        <v>130</v>
      </c>
      <c r="BF778" s="0" t="s">
        <v>141</v>
      </c>
      <c r="BG778" s="0" t="s">
        <v>130</v>
      </c>
      <c r="BH778" s="0" t="s">
        <v>130</v>
      </c>
      <c r="BI778" s="0" t="s">
        <v>130</v>
      </c>
      <c r="BJ778" s="0" t="s">
        <v>130</v>
      </c>
      <c r="BK778" s="0" t="s">
        <v>130</v>
      </c>
      <c r="BL778" s="0" t="s">
        <v>130</v>
      </c>
      <c r="BM778" s="0" t="s">
        <v>130</v>
      </c>
      <c r="BN778" s="0" t="s">
        <v>130</v>
      </c>
      <c r="BO778" s="0" t="s">
        <v>130</v>
      </c>
      <c r="BP778" s="0" t="s">
        <v>130</v>
      </c>
      <c r="BQ778" s="0" t="s">
        <v>130</v>
      </c>
      <c r="BR778" s="0" t="s">
        <v>130</v>
      </c>
      <c r="BS778" s="0" t="s">
        <v>130</v>
      </c>
      <c r="BT778" s="0" t="s">
        <v>130</v>
      </c>
      <c r="BU778" s="0" t="s">
        <v>130</v>
      </c>
      <c r="BV778" s="0" t="s">
        <v>130</v>
      </c>
      <c r="BW778" s="0" t="s">
        <v>130</v>
      </c>
      <c r="BX778" s="0" t="s">
        <v>130</v>
      </c>
      <c r="BY778" s="0" t="s">
        <v>130</v>
      </c>
      <c r="BZ778" s="0" t="s">
        <v>130</v>
      </c>
      <c r="CA778" s="0" t="s">
        <v>130</v>
      </c>
      <c r="CB778" s="0" t="s">
        <v>130</v>
      </c>
      <c r="CC778" s="0" t="s">
        <v>130</v>
      </c>
      <c r="CD778" s="0" t="s">
        <v>130</v>
      </c>
      <c r="CE778" s="0" t="s">
        <v>130</v>
      </c>
      <c r="CF778" s="0" t="s">
        <v>130</v>
      </c>
      <c r="CG778" s="0" t="s">
        <v>130</v>
      </c>
      <c r="CH778" s="0" t="s">
        <v>130</v>
      </c>
      <c r="CI778" s="0" t="s">
        <v>130</v>
      </c>
      <c r="CJ778" s="0" t="s">
        <v>130</v>
      </c>
      <c r="CK778" s="0" t="s">
        <v>130</v>
      </c>
      <c r="CL778" s="0" t="s">
        <v>130</v>
      </c>
      <c r="CM778" s="0" t="s">
        <v>130</v>
      </c>
      <c r="CN778" s="0" t="s">
        <v>130</v>
      </c>
      <c r="CO778" s="0" t="s">
        <v>130</v>
      </c>
      <c r="CP778" s="0" t="s">
        <v>130</v>
      </c>
      <c r="CQ778" s="0" t="s">
        <v>141</v>
      </c>
      <c r="CR778" s="0" t="s">
        <v>141</v>
      </c>
      <c r="CS778" s="0" t="s">
        <v>141</v>
      </c>
      <c r="CT778" s="0" t="s">
        <v>2448</v>
      </c>
    </row>
    <row r="779">
      <c r="A779" s="14">
        <v>115505</v>
      </c>
      <c r="B779" s="0" t="s">
        <v>2425</v>
      </c>
      <c r="C779" s="16">
        <f>HYPERLINK("https://eosportal.federatedhermes.com/companies/Q29tcGFueQppNTg5NTA=", "Vinci SA")</f>
      </c>
      <c r="D779" s="0" t="s">
        <v>25</v>
      </c>
      <c r="E779" s="0" t="s">
        <v>1096</v>
      </c>
      <c r="F779" s="16">
        <f>HYPERLINK("https://eosportal.federatedhermes.com/engagements/RW5nYWdlbWVudAppMjIxNjE=", "Human capital reporting - Workforce Disclosure Initiative")</f>
      </c>
      <c r="G779" s="14" t="s">
        <v>2449</v>
      </c>
      <c r="H779" s="0" t="s">
        <v>141</v>
      </c>
      <c r="I779" s="14" t="s">
        <v>191</v>
      </c>
      <c r="J779" s="0" t="s">
        <v>153</v>
      </c>
      <c r="K779" s="0" t="s">
        <v>154</v>
      </c>
      <c r="L779" s="0" t="s">
        <v>268</v>
      </c>
      <c r="M779" s="0" t="s">
        <v>378</v>
      </c>
      <c r="N779" s="0" t="s">
        <v>1646</v>
      </c>
      <c r="O779" s="0" t="s">
        <v>176</v>
      </c>
      <c r="Q779" s="0" t="s">
        <v>130</v>
      </c>
      <c r="R779" s="0" t="s">
        <v>138</v>
      </c>
      <c r="S779" s="14">
        <v>0</v>
      </c>
      <c r="T779" s="0" t="s">
        <v>359</v>
      </c>
      <c r="U779" s="0" t="s">
        <v>138</v>
      </c>
      <c r="V779" s="14" t="s">
        <v>138</v>
      </c>
      <c r="W779" s="0" t="s">
        <v>138</v>
      </c>
      <c r="X779" s="14" t="s">
        <v>138</v>
      </c>
      <c r="Y779" s="0" t="s">
        <v>138</v>
      </c>
      <c r="Z779" s="14" t="s">
        <v>138</v>
      </c>
      <c r="AA779" s="0" t="s">
        <v>138</v>
      </c>
      <c r="AB779" s="14" t="s">
        <v>138</v>
      </c>
      <c r="AD779" s="0" t="s">
        <v>138</v>
      </c>
      <c r="AF779" s="0">
        <v>0</v>
      </c>
      <c r="AG779" s="0">
        <v>0</v>
      </c>
      <c r="AH779" s="0" t="s">
        <v>140</v>
      </c>
      <c r="AI779" s="0" t="s">
        <v>138</v>
      </c>
      <c r="AL779" s="14"/>
      <c r="AN779" s="14"/>
      <c r="AQ779" s="0" t="s">
        <v>130</v>
      </c>
      <c r="AR779" s="0" t="s">
        <v>130</v>
      </c>
      <c r="AS779" s="0" t="s">
        <v>130</v>
      </c>
      <c r="AT779" s="0" t="s">
        <v>130</v>
      </c>
      <c r="AU779" s="0" t="s">
        <v>141</v>
      </c>
      <c r="AV779" s="0" t="s">
        <v>130</v>
      </c>
      <c r="AW779" s="0" t="s">
        <v>130</v>
      </c>
      <c r="AX779" s="0" t="s">
        <v>130</v>
      </c>
      <c r="AY779" s="0" t="s">
        <v>130</v>
      </c>
      <c r="AZ779" s="0" t="s">
        <v>130</v>
      </c>
      <c r="BA779" s="0" t="s">
        <v>130</v>
      </c>
      <c r="BB779" s="0" t="s">
        <v>130</v>
      </c>
      <c r="BC779" s="0" t="s">
        <v>130</v>
      </c>
      <c r="BD779" s="0" t="s">
        <v>130</v>
      </c>
      <c r="BE779" s="0" t="s">
        <v>130</v>
      </c>
      <c r="BF779" s="0" t="s">
        <v>130</v>
      </c>
      <c r="BG779" s="0" t="s">
        <v>130</v>
      </c>
      <c r="BH779" s="0" t="s">
        <v>130</v>
      </c>
      <c r="BI779" s="0" t="s">
        <v>130</v>
      </c>
      <c r="BJ779" s="0" t="s">
        <v>130</v>
      </c>
      <c r="BK779" s="0" t="s">
        <v>130</v>
      </c>
      <c r="BL779" s="0" t="s">
        <v>130</v>
      </c>
      <c r="BM779" s="0" t="s">
        <v>130</v>
      </c>
      <c r="BN779" s="0" t="s">
        <v>130</v>
      </c>
      <c r="BO779" s="0" t="s">
        <v>130</v>
      </c>
      <c r="BP779" s="0" t="s">
        <v>130</v>
      </c>
      <c r="BQ779" s="0" t="s">
        <v>130</v>
      </c>
      <c r="BR779" s="0" t="s">
        <v>130</v>
      </c>
      <c r="BS779" s="0" t="s">
        <v>130</v>
      </c>
      <c r="BT779" s="0" t="s">
        <v>130</v>
      </c>
      <c r="BU779" s="0" t="s">
        <v>130</v>
      </c>
      <c r="BV779" s="0" t="s">
        <v>130</v>
      </c>
      <c r="BW779" s="0" t="s">
        <v>130</v>
      </c>
      <c r="BX779" s="0" t="s">
        <v>130</v>
      </c>
      <c r="BY779" s="0" t="s">
        <v>130</v>
      </c>
      <c r="BZ779" s="0" t="s">
        <v>130</v>
      </c>
      <c r="CA779" s="0" t="s">
        <v>130</v>
      </c>
      <c r="CB779" s="0" t="s">
        <v>130</v>
      </c>
      <c r="CC779" s="0" t="s">
        <v>130</v>
      </c>
      <c r="CD779" s="0" t="s">
        <v>130</v>
      </c>
      <c r="CE779" s="0" t="s">
        <v>130</v>
      </c>
      <c r="CF779" s="0" t="s">
        <v>130</v>
      </c>
      <c r="CG779" s="0" t="s">
        <v>130</v>
      </c>
      <c r="CH779" s="0" t="s">
        <v>130</v>
      </c>
      <c r="CI779" s="0" t="s">
        <v>130</v>
      </c>
      <c r="CJ779" s="0" t="s">
        <v>130</v>
      </c>
      <c r="CK779" s="0" t="s">
        <v>141</v>
      </c>
      <c r="CL779" s="0" t="s">
        <v>130</v>
      </c>
      <c r="CM779" s="0" t="s">
        <v>130</v>
      </c>
      <c r="CN779" s="0" t="s">
        <v>130</v>
      </c>
      <c r="CO779" s="0" t="s">
        <v>130</v>
      </c>
      <c r="CP779" s="0" t="s">
        <v>130</v>
      </c>
      <c r="CQ779" s="0" t="s">
        <v>130</v>
      </c>
      <c r="CR779" s="0" t="s">
        <v>130</v>
      </c>
      <c r="CS779" s="0" t="s">
        <v>130</v>
      </c>
      <c r="CT779" s="0" t="s">
        <v>2450</v>
      </c>
    </row>
    <row r="780">
      <c r="A780" s="14">
        <v>115518</v>
      </c>
      <c r="B780" s="0" t="s">
        <v>2451</v>
      </c>
      <c r="C780" s="16">
        <f>HYPERLINK("https://eosportal.federatedhermes.com/companies/Q29tcGFueQppNjMxNjU=", "Schneider Electric SE")</f>
      </c>
      <c r="D780" s="0" t="s">
        <v>25</v>
      </c>
      <c r="E780" s="0" t="s">
        <v>2452</v>
      </c>
      <c r="F780" s="16">
        <f>HYPERLINK("https://eosportal.federatedhermes.com/engagements/RW5nYWdlbWVudAppMjIxNzg=", "Succession planning for the chair")</f>
      </c>
      <c r="G780" s="14" t="s">
        <v>2453</v>
      </c>
      <c r="H780" s="0" t="s">
        <v>141</v>
      </c>
      <c r="I780" s="14" t="s">
        <v>131</v>
      </c>
      <c r="J780" s="0" t="s">
        <v>145</v>
      </c>
      <c r="K780" s="0" t="s">
        <v>164</v>
      </c>
      <c r="L780" s="0" t="s">
        <v>277</v>
      </c>
      <c r="M780" s="0" t="s">
        <v>378</v>
      </c>
      <c r="N780" s="0" t="s">
        <v>1646</v>
      </c>
      <c r="O780" s="0" t="s">
        <v>176</v>
      </c>
      <c r="Q780" s="0" t="s">
        <v>130</v>
      </c>
      <c r="R780" s="0" t="s">
        <v>138</v>
      </c>
      <c r="S780" s="14">
        <v>0</v>
      </c>
      <c r="T780" s="0" t="s">
        <v>293</v>
      </c>
      <c r="U780" s="0" t="s">
        <v>138</v>
      </c>
      <c r="V780" s="14" t="s">
        <v>138</v>
      </c>
      <c r="W780" s="0" t="s">
        <v>138</v>
      </c>
      <c r="X780" s="14" t="s">
        <v>138</v>
      </c>
      <c r="Y780" s="0" t="s">
        <v>138</v>
      </c>
      <c r="Z780" s="14" t="s">
        <v>138</v>
      </c>
      <c r="AA780" s="0" t="s">
        <v>138</v>
      </c>
      <c r="AB780" s="14" t="s">
        <v>138</v>
      </c>
      <c r="AD780" s="0" t="s">
        <v>138</v>
      </c>
      <c r="AF780" s="0">
        <v>0</v>
      </c>
      <c r="AG780" s="0">
        <v>0</v>
      </c>
      <c r="AH780" s="0" t="s">
        <v>140</v>
      </c>
      <c r="AI780" s="0" t="s">
        <v>138</v>
      </c>
      <c r="AL780" s="14"/>
      <c r="AN780" s="14"/>
      <c r="AQ780" s="0" t="s">
        <v>130</v>
      </c>
      <c r="AR780" s="0" t="s">
        <v>130</v>
      </c>
      <c r="AS780" s="0" t="s">
        <v>130</v>
      </c>
      <c r="AT780" s="0" t="s">
        <v>130</v>
      </c>
      <c r="AU780" s="0" t="s">
        <v>130</v>
      </c>
      <c r="AV780" s="0" t="s">
        <v>130</v>
      </c>
      <c r="AW780" s="0" t="s">
        <v>130</v>
      </c>
      <c r="AX780" s="0" t="s">
        <v>130</v>
      </c>
      <c r="AY780" s="0" t="s">
        <v>130</v>
      </c>
      <c r="AZ780" s="0" t="s">
        <v>130</v>
      </c>
      <c r="BA780" s="0" t="s">
        <v>130</v>
      </c>
      <c r="BB780" s="0" t="s">
        <v>130</v>
      </c>
      <c r="BC780" s="0" t="s">
        <v>130</v>
      </c>
      <c r="BD780" s="0" t="s">
        <v>130</v>
      </c>
      <c r="BE780" s="0" t="s">
        <v>130</v>
      </c>
      <c r="BF780" s="0" t="s">
        <v>130</v>
      </c>
      <c r="BG780" s="0" t="s">
        <v>130</v>
      </c>
      <c r="BH780" s="0" t="s">
        <v>130</v>
      </c>
      <c r="BI780" s="0" t="s">
        <v>130</v>
      </c>
      <c r="BJ780" s="0" t="s">
        <v>130</v>
      </c>
      <c r="BK780" s="0" t="s">
        <v>130</v>
      </c>
      <c r="BL780" s="0" t="s">
        <v>130</v>
      </c>
      <c r="BM780" s="0" t="s">
        <v>130</v>
      </c>
      <c r="BN780" s="0" t="s">
        <v>130</v>
      </c>
      <c r="BO780" s="0" t="s">
        <v>130</v>
      </c>
      <c r="BP780" s="0" t="s">
        <v>130</v>
      </c>
      <c r="BQ780" s="0" t="s">
        <v>130</v>
      </c>
      <c r="BR780" s="0" t="s">
        <v>130</v>
      </c>
      <c r="BS780" s="0" t="s">
        <v>130</v>
      </c>
      <c r="BT780" s="0" t="s">
        <v>130</v>
      </c>
      <c r="BU780" s="0" t="s">
        <v>130</v>
      </c>
      <c r="BV780" s="0" t="s">
        <v>130</v>
      </c>
      <c r="BW780" s="0" t="s">
        <v>130</v>
      </c>
      <c r="BX780" s="0" t="s">
        <v>130</v>
      </c>
      <c r="BY780" s="0" t="s">
        <v>130</v>
      </c>
      <c r="BZ780" s="0" t="s">
        <v>130</v>
      </c>
      <c r="CA780" s="0" t="s">
        <v>130</v>
      </c>
      <c r="CB780" s="0" t="s">
        <v>130</v>
      </c>
      <c r="CC780" s="0" t="s">
        <v>130</v>
      </c>
      <c r="CD780" s="0" t="s">
        <v>130</v>
      </c>
      <c r="CE780" s="0" t="s">
        <v>130</v>
      </c>
      <c r="CF780" s="0" t="s">
        <v>130</v>
      </c>
      <c r="CG780" s="0" t="s">
        <v>130</v>
      </c>
      <c r="CH780" s="0" t="s">
        <v>130</v>
      </c>
      <c r="CI780" s="0" t="s">
        <v>130</v>
      </c>
      <c r="CJ780" s="0" t="s">
        <v>130</v>
      </c>
      <c r="CK780" s="0" t="s">
        <v>130</v>
      </c>
      <c r="CL780" s="0" t="s">
        <v>130</v>
      </c>
      <c r="CM780" s="0" t="s">
        <v>130</v>
      </c>
      <c r="CN780" s="0" t="s">
        <v>130</v>
      </c>
      <c r="CO780" s="0" t="s">
        <v>130</v>
      </c>
      <c r="CP780" s="0" t="s">
        <v>130</v>
      </c>
      <c r="CQ780" s="0" t="s">
        <v>130</v>
      </c>
      <c r="CR780" s="0" t="s">
        <v>130</v>
      </c>
      <c r="CS780" s="0" t="s">
        <v>130</v>
      </c>
      <c r="CT780" s="0" t="s">
        <v>2454</v>
      </c>
    </row>
    <row r="781">
      <c r="A781" s="14">
        <v>115518</v>
      </c>
      <c r="B781" s="0" t="s">
        <v>2451</v>
      </c>
      <c r="C781" s="16">
        <f>HYPERLINK("https://eosportal.federatedhermes.com/companies/Q29tcGFueQppNjMxNjU=", "Schneider Electric SE")</f>
      </c>
      <c r="D781" s="0" t="s">
        <v>25</v>
      </c>
      <c r="E781" s="0" t="s">
        <v>907</v>
      </c>
      <c r="F781" s="16">
        <f>HYPERLINK("https://eosportal.federatedhermes.com/engagements/RW5nYWdlbWVudAppMjIxNzk=", "Climate change")</f>
      </c>
      <c r="G781" s="14" t="s">
        <v>2455</v>
      </c>
      <c r="H781" s="0" t="s">
        <v>141</v>
      </c>
      <c r="I781" s="14" t="s">
        <v>131</v>
      </c>
      <c r="J781" s="0" t="s">
        <v>197</v>
      </c>
      <c r="K781" s="0" t="s">
        <v>198</v>
      </c>
      <c r="L781" s="0" t="s">
        <v>199</v>
      </c>
      <c r="M781" s="0" t="s">
        <v>378</v>
      </c>
      <c r="N781" s="0" t="s">
        <v>1646</v>
      </c>
      <c r="O781" s="0" t="s">
        <v>176</v>
      </c>
      <c r="Q781" s="0" t="s">
        <v>141</v>
      </c>
      <c r="R781" s="0" t="s">
        <v>138</v>
      </c>
      <c r="S781" s="14">
        <v>1</v>
      </c>
      <c r="T781" s="0" t="s">
        <v>487</v>
      </c>
      <c r="U781" s="0" t="s">
        <v>138</v>
      </c>
      <c r="V781" s="14" t="s">
        <v>138</v>
      </c>
      <c r="W781" s="0" t="s">
        <v>138</v>
      </c>
      <c r="X781" s="14" t="s">
        <v>138</v>
      </c>
      <c r="Y781" s="0" t="s">
        <v>138</v>
      </c>
      <c r="Z781" s="14" t="s">
        <v>138</v>
      </c>
      <c r="AA781" s="0" t="s">
        <v>138</v>
      </c>
      <c r="AB781" s="14" t="s">
        <v>138</v>
      </c>
      <c r="AD781" s="0" t="s">
        <v>138</v>
      </c>
      <c r="AF781" s="0">
        <v>0</v>
      </c>
      <c r="AG781" s="0">
        <v>0</v>
      </c>
      <c r="AH781" s="0" t="s">
        <v>140</v>
      </c>
      <c r="AI781" s="0" t="s">
        <v>138</v>
      </c>
      <c r="AK781" s="0" t="s">
        <v>2456</v>
      </c>
      <c r="AL781" s="14"/>
      <c r="AN781" s="14"/>
      <c r="AQ781" s="0" t="s">
        <v>130</v>
      </c>
      <c r="AR781" s="0" t="s">
        <v>130</v>
      </c>
      <c r="AS781" s="0" t="s">
        <v>130</v>
      </c>
      <c r="AT781" s="0" t="s">
        <v>130</v>
      </c>
      <c r="AU781" s="0" t="s">
        <v>130</v>
      </c>
      <c r="AV781" s="0" t="s">
        <v>130</v>
      </c>
      <c r="AW781" s="0" t="s">
        <v>130</v>
      </c>
      <c r="AX781" s="0" t="s">
        <v>130</v>
      </c>
      <c r="AY781" s="0" t="s">
        <v>130</v>
      </c>
      <c r="AZ781" s="0" t="s">
        <v>130</v>
      </c>
      <c r="BA781" s="0" t="s">
        <v>130</v>
      </c>
      <c r="BB781" s="0" t="s">
        <v>141</v>
      </c>
      <c r="BC781" s="0" t="s">
        <v>130</v>
      </c>
      <c r="BD781" s="0" t="s">
        <v>130</v>
      </c>
      <c r="BE781" s="0" t="s">
        <v>130</v>
      </c>
      <c r="BF781" s="0" t="s">
        <v>130</v>
      </c>
      <c r="BG781" s="0" t="s">
        <v>130</v>
      </c>
      <c r="BH781" s="0" t="s">
        <v>130</v>
      </c>
      <c r="BI781" s="0" t="s">
        <v>130</v>
      </c>
      <c r="BJ781" s="0" t="s">
        <v>130</v>
      </c>
      <c r="BK781" s="0" t="s">
        <v>130</v>
      </c>
      <c r="BL781" s="0" t="s">
        <v>130</v>
      </c>
      <c r="BM781" s="0" t="s">
        <v>130</v>
      </c>
      <c r="BN781" s="0" t="s">
        <v>130</v>
      </c>
      <c r="BO781" s="0" t="s">
        <v>130</v>
      </c>
      <c r="BP781" s="0" t="s">
        <v>130</v>
      </c>
      <c r="BQ781" s="0" t="s">
        <v>130</v>
      </c>
      <c r="BR781" s="0" t="s">
        <v>130</v>
      </c>
      <c r="BS781" s="0" t="s">
        <v>130</v>
      </c>
      <c r="BT781" s="0" t="s">
        <v>130</v>
      </c>
      <c r="BU781" s="0" t="s">
        <v>130</v>
      </c>
      <c r="BV781" s="0" t="s">
        <v>130</v>
      </c>
      <c r="BW781" s="0" t="s">
        <v>130</v>
      </c>
      <c r="BX781" s="0" t="s">
        <v>130</v>
      </c>
      <c r="BY781" s="0" t="s">
        <v>130</v>
      </c>
      <c r="BZ781" s="0" t="s">
        <v>130</v>
      </c>
      <c r="CA781" s="0" t="s">
        <v>130</v>
      </c>
      <c r="CB781" s="0" t="s">
        <v>130</v>
      </c>
      <c r="CC781" s="0" t="s">
        <v>130</v>
      </c>
      <c r="CD781" s="0" t="s">
        <v>130</v>
      </c>
      <c r="CE781" s="0" t="s">
        <v>130</v>
      </c>
      <c r="CF781" s="0" t="s">
        <v>130</v>
      </c>
      <c r="CG781" s="0" t="s">
        <v>130</v>
      </c>
      <c r="CH781" s="0" t="s">
        <v>130</v>
      </c>
      <c r="CI781" s="0" t="s">
        <v>130</v>
      </c>
      <c r="CJ781" s="0" t="s">
        <v>130</v>
      </c>
      <c r="CK781" s="0" t="s">
        <v>130</v>
      </c>
      <c r="CL781" s="0" t="s">
        <v>130</v>
      </c>
      <c r="CM781" s="0" t="s">
        <v>130</v>
      </c>
      <c r="CN781" s="0" t="s">
        <v>130</v>
      </c>
      <c r="CO781" s="0" t="s">
        <v>130</v>
      </c>
      <c r="CP781" s="0" t="s">
        <v>130</v>
      </c>
      <c r="CQ781" s="0" t="s">
        <v>130</v>
      </c>
      <c r="CR781" s="0" t="s">
        <v>130</v>
      </c>
      <c r="CS781" s="0" t="s">
        <v>130</v>
      </c>
      <c r="CT781" s="0" t="s">
        <v>2457</v>
      </c>
    </row>
    <row r="782">
      <c r="A782" s="14">
        <v>115518</v>
      </c>
      <c r="B782" s="0" t="s">
        <v>2451</v>
      </c>
      <c r="C782" s="16">
        <f>HYPERLINK("https://eosportal.federatedhermes.com/companies/Q29tcGFueQppNjMxNjU=", "Schneider Electric SE")</f>
      </c>
      <c r="D782" s="0" t="s">
        <v>25</v>
      </c>
      <c r="E782" s="0" t="s">
        <v>2422</v>
      </c>
      <c r="F782" s="16">
        <f>HYPERLINK("https://eosportal.federatedhermes.com/engagements/RW5nYWdlbWVudAppMjIxODA=", "remuneration")</f>
      </c>
      <c r="G782" s="14" t="s">
        <v>2458</v>
      </c>
      <c r="H782" s="0" t="s">
        <v>141</v>
      </c>
      <c r="I782" s="14" t="s">
        <v>131</v>
      </c>
      <c r="J782" s="0" t="s">
        <v>145</v>
      </c>
      <c r="K782" s="0" t="s">
        <v>146</v>
      </c>
      <c r="L782" s="0" t="s">
        <v>147</v>
      </c>
      <c r="M782" s="0" t="s">
        <v>378</v>
      </c>
      <c r="N782" s="0" t="s">
        <v>1646</v>
      </c>
      <c r="O782" s="0" t="s">
        <v>176</v>
      </c>
      <c r="Q782" s="0" t="s">
        <v>130</v>
      </c>
      <c r="R782" s="0" t="s">
        <v>138</v>
      </c>
      <c r="S782" s="14">
        <v>0</v>
      </c>
      <c r="T782" s="0" t="s">
        <v>1145</v>
      </c>
      <c r="U782" s="0" t="s">
        <v>138</v>
      </c>
      <c r="V782" s="14" t="s">
        <v>138</v>
      </c>
      <c r="W782" s="0" t="s">
        <v>138</v>
      </c>
      <c r="X782" s="14" t="s">
        <v>138</v>
      </c>
      <c r="Y782" s="0" t="s">
        <v>138</v>
      </c>
      <c r="Z782" s="14" t="s">
        <v>138</v>
      </c>
      <c r="AA782" s="0" t="s">
        <v>138</v>
      </c>
      <c r="AB782" s="14" t="s">
        <v>138</v>
      </c>
      <c r="AD782" s="0" t="s">
        <v>138</v>
      </c>
      <c r="AF782" s="0">
        <v>0</v>
      </c>
      <c r="AG782" s="0">
        <v>0</v>
      </c>
      <c r="AH782" s="0" t="s">
        <v>140</v>
      </c>
      <c r="AI782" s="0" t="s">
        <v>138</v>
      </c>
      <c r="AL782" s="14"/>
      <c r="AN782" s="14"/>
      <c r="AQ782" s="0" t="s">
        <v>130</v>
      </c>
      <c r="AR782" s="0" t="s">
        <v>130</v>
      </c>
      <c r="AS782" s="0" t="s">
        <v>130</v>
      </c>
      <c r="AT782" s="0" t="s">
        <v>130</v>
      </c>
      <c r="AU782" s="0" t="s">
        <v>130</v>
      </c>
      <c r="AV782" s="0" t="s">
        <v>130</v>
      </c>
      <c r="AW782" s="0" t="s">
        <v>130</v>
      </c>
      <c r="AX782" s="0" t="s">
        <v>130</v>
      </c>
      <c r="AY782" s="0" t="s">
        <v>130</v>
      </c>
      <c r="AZ782" s="0" t="s">
        <v>130</v>
      </c>
      <c r="BA782" s="0" t="s">
        <v>130</v>
      </c>
      <c r="BB782" s="0" t="s">
        <v>130</v>
      </c>
      <c r="BC782" s="0" t="s">
        <v>130</v>
      </c>
      <c r="BD782" s="0" t="s">
        <v>130</v>
      </c>
      <c r="BE782" s="0" t="s">
        <v>130</v>
      </c>
      <c r="BF782" s="0" t="s">
        <v>130</v>
      </c>
      <c r="BG782" s="0" t="s">
        <v>130</v>
      </c>
      <c r="BH782" s="0" t="s">
        <v>130</v>
      </c>
      <c r="BI782" s="0" t="s">
        <v>130</v>
      </c>
      <c r="BJ782" s="0" t="s">
        <v>130</v>
      </c>
      <c r="BK782" s="0" t="s">
        <v>130</v>
      </c>
      <c r="BL782" s="0" t="s">
        <v>130</v>
      </c>
      <c r="BM782" s="0" t="s">
        <v>130</v>
      </c>
      <c r="BN782" s="0" t="s">
        <v>130</v>
      </c>
      <c r="BO782" s="0" t="s">
        <v>130</v>
      </c>
      <c r="BP782" s="0" t="s">
        <v>130</v>
      </c>
      <c r="BQ782" s="0" t="s">
        <v>130</v>
      </c>
      <c r="BR782" s="0" t="s">
        <v>130</v>
      </c>
      <c r="BS782" s="0" t="s">
        <v>130</v>
      </c>
      <c r="BT782" s="0" t="s">
        <v>130</v>
      </c>
      <c r="BU782" s="0" t="s">
        <v>130</v>
      </c>
      <c r="BV782" s="0" t="s">
        <v>130</v>
      </c>
      <c r="BW782" s="0" t="s">
        <v>130</v>
      </c>
      <c r="BX782" s="0" t="s">
        <v>130</v>
      </c>
      <c r="BY782" s="0" t="s">
        <v>130</v>
      </c>
      <c r="BZ782" s="0" t="s">
        <v>130</v>
      </c>
      <c r="CA782" s="0" t="s">
        <v>130</v>
      </c>
      <c r="CB782" s="0" t="s">
        <v>130</v>
      </c>
      <c r="CC782" s="0" t="s">
        <v>130</v>
      </c>
      <c r="CD782" s="0" t="s">
        <v>130</v>
      </c>
      <c r="CE782" s="0" t="s">
        <v>130</v>
      </c>
      <c r="CF782" s="0" t="s">
        <v>130</v>
      </c>
      <c r="CG782" s="0" t="s">
        <v>130</v>
      </c>
      <c r="CH782" s="0" t="s">
        <v>130</v>
      </c>
      <c r="CI782" s="0" t="s">
        <v>130</v>
      </c>
      <c r="CJ782" s="0" t="s">
        <v>130</v>
      </c>
      <c r="CK782" s="0" t="s">
        <v>130</v>
      </c>
      <c r="CL782" s="0" t="s">
        <v>130</v>
      </c>
      <c r="CM782" s="0" t="s">
        <v>130</v>
      </c>
      <c r="CN782" s="0" t="s">
        <v>130</v>
      </c>
      <c r="CO782" s="0" t="s">
        <v>130</v>
      </c>
      <c r="CP782" s="0" t="s">
        <v>130</v>
      </c>
      <c r="CQ782" s="0" t="s">
        <v>130</v>
      </c>
      <c r="CR782" s="0" t="s">
        <v>130</v>
      </c>
      <c r="CS782" s="0" t="s">
        <v>130</v>
      </c>
      <c r="CT782" s="0" t="s">
        <v>2459</v>
      </c>
    </row>
    <row r="783">
      <c r="A783" s="14">
        <v>115518</v>
      </c>
      <c r="B783" s="0" t="s">
        <v>2451</v>
      </c>
      <c r="C783" s="16">
        <f>HYPERLINK("https://eosportal.federatedhermes.com/companies/Q29tcGFueQppNjMxNjU=", "Schneider Electric SE")</f>
      </c>
      <c r="D783" s="0" t="s">
        <v>25</v>
      </c>
      <c r="E783" s="0" t="s">
        <v>1096</v>
      </c>
      <c r="F783" s="16">
        <f>HYPERLINK("https://eosportal.federatedhermes.com/engagements/RW5nYWdlbWVudAppMjIxODE=", "Human capital reporting - Workforce Disclosure Initiative")</f>
      </c>
      <c r="G783" s="14" t="s">
        <v>2460</v>
      </c>
      <c r="H783" s="0" t="s">
        <v>141</v>
      </c>
      <c r="I783" s="14" t="s">
        <v>131</v>
      </c>
      <c r="J783" s="0" t="s">
        <v>132</v>
      </c>
      <c r="K783" s="0" t="s">
        <v>133</v>
      </c>
      <c r="L783" s="0" t="s">
        <v>160</v>
      </c>
      <c r="M783" s="0" t="s">
        <v>378</v>
      </c>
      <c r="N783" s="0" t="s">
        <v>1646</v>
      </c>
      <c r="O783" s="0" t="s">
        <v>176</v>
      </c>
      <c r="Q783" s="0" t="s">
        <v>130</v>
      </c>
      <c r="R783" s="0" t="s">
        <v>138</v>
      </c>
      <c r="S783" s="14">
        <v>0</v>
      </c>
      <c r="T783" s="0" t="s">
        <v>487</v>
      </c>
      <c r="U783" s="0" t="s">
        <v>138</v>
      </c>
      <c r="V783" s="14" t="s">
        <v>138</v>
      </c>
      <c r="W783" s="0" t="s">
        <v>138</v>
      </c>
      <c r="X783" s="14" t="s">
        <v>138</v>
      </c>
      <c r="Y783" s="0" t="s">
        <v>138</v>
      </c>
      <c r="Z783" s="14" t="s">
        <v>138</v>
      </c>
      <c r="AA783" s="0" t="s">
        <v>138</v>
      </c>
      <c r="AB783" s="14" t="s">
        <v>138</v>
      </c>
      <c r="AD783" s="0" t="s">
        <v>138</v>
      </c>
      <c r="AF783" s="0">
        <v>0</v>
      </c>
      <c r="AG783" s="0">
        <v>0</v>
      </c>
      <c r="AH783" s="0" t="s">
        <v>140</v>
      </c>
      <c r="AI783" s="0" t="s">
        <v>138</v>
      </c>
      <c r="AL783" s="14"/>
      <c r="AN783" s="14"/>
      <c r="AQ783" s="0" t="s">
        <v>130</v>
      </c>
      <c r="AR783" s="0" t="s">
        <v>130</v>
      </c>
      <c r="AS783" s="0" t="s">
        <v>130</v>
      </c>
      <c r="AT783" s="0" t="s">
        <v>130</v>
      </c>
      <c r="AU783" s="0" t="s">
        <v>130</v>
      </c>
      <c r="AV783" s="0" t="s">
        <v>130</v>
      </c>
      <c r="AW783" s="0" t="s">
        <v>130</v>
      </c>
      <c r="AX783" s="0" t="s">
        <v>130</v>
      </c>
      <c r="AY783" s="0" t="s">
        <v>130</v>
      </c>
      <c r="AZ783" s="0" t="s">
        <v>130</v>
      </c>
      <c r="BA783" s="0" t="s">
        <v>130</v>
      </c>
      <c r="BB783" s="0" t="s">
        <v>130</v>
      </c>
      <c r="BC783" s="0" t="s">
        <v>130</v>
      </c>
      <c r="BD783" s="0" t="s">
        <v>130</v>
      </c>
      <c r="BE783" s="0" t="s">
        <v>130</v>
      </c>
      <c r="BF783" s="0" t="s">
        <v>130</v>
      </c>
      <c r="BG783" s="0" t="s">
        <v>130</v>
      </c>
      <c r="BH783" s="0" t="s">
        <v>130</v>
      </c>
      <c r="BI783" s="0" t="s">
        <v>130</v>
      </c>
      <c r="BJ783" s="0" t="s">
        <v>130</v>
      </c>
      <c r="BK783" s="0" t="s">
        <v>130</v>
      </c>
      <c r="BL783" s="0" t="s">
        <v>130</v>
      </c>
      <c r="BM783" s="0" t="s">
        <v>130</v>
      </c>
      <c r="BN783" s="0" t="s">
        <v>130</v>
      </c>
      <c r="BO783" s="0" t="s">
        <v>130</v>
      </c>
      <c r="BP783" s="0" t="s">
        <v>130</v>
      </c>
      <c r="BQ783" s="0" t="s">
        <v>130</v>
      </c>
      <c r="BR783" s="0" t="s">
        <v>130</v>
      </c>
      <c r="BS783" s="0" t="s">
        <v>130</v>
      </c>
      <c r="BT783" s="0" t="s">
        <v>130</v>
      </c>
      <c r="BU783" s="0" t="s">
        <v>130</v>
      </c>
      <c r="BV783" s="0" t="s">
        <v>130</v>
      </c>
      <c r="BW783" s="0" t="s">
        <v>130</v>
      </c>
      <c r="BX783" s="0" t="s">
        <v>130</v>
      </c>
      <c r="BY783" s="0" t="s">
        <v>130</v>
      </c>
      <c r="BZ783" s="0" t="s">
        <v>130</v>
      </c>
      <c r="CA783" s="0" t="s">
        <v>130</v>
      </c>
      <c r="CB783" s="0" t="s">
        <v>130</v>
      </c>
      <c r="CC783" s="0" t="s">
        <v>130</v>
      </c>
      <c r="CD783" s="0" t="s">
        <v>130</v>
      </c>
      <c r="CE783" s="0" t="s">
        <v>130</v>
      </c>
      <c r="CF783" s="0" t="s">
        <v>130</v>
      </c>
      <c r="CG783" s="0" t="s">
        <v>130</v>
      </c>
      <c r="CH783" s="0" t="s">
        <v>130</v>
      </c>
      <c r="CI783" s="0" t="s">
        <v>130</v>
      </c>
      <c r="CJ783" s="0" t="s">
        <v>130</v>
      </c>
      <c r="CK783" s="0" t="s">
        <v>130</v>
      </c>
      <c r="CL783" s="0" t="s">
        <v>130</v>
      </c>
      <c r="CM783" s="0" t="s">
        <v>130</v>
      </c>
      <c r="CN783" s="0" t="s">
        <v>130</v>
      </c>
      <c r="CO783" s="0" t="s">
        <v>130</v>
      </c>
      <c r="CP783" s="0" t="s">
        <v>130</v>
      </c>
      <c r="CQ783" s="0" t="s">
        <v>130</v>
      </c>
      <c r="CR783" s="0" t="s">
        <v>130</v>
      </c>
      <c r="CS783" s="0" t="s">
        <v>130</v>
      </c>
      <c r="CT783" s="0" t="s">
        <v>2461</v>
      </c>
    </row>
    <row r="784">
      <c r="A784" s="14">
        <v>115518</v>
      </c>
      <c r="B784" s="0" t="s">
        <v>2451</v>
      </c>
      <c r="C784" s="16">
        <f>HYPERLINK("https://eosportal.federatedhermes.com/companies/Q29tcGFueQppNjMxNjU=", "Schneider Electric SE")</f>
      </c>
      <c r="D784" s="0" t="s">
        <v>25</v>
      </c>
      <c r="E784" s="0" t="s">
        <v>729</v>
      </c>
      <c r="F784" s="16">
        <f>HYPERLINK("https://eosportal.federatedhermes.com/engagements/RW5nYWdlbWVudAppMjIxODI=", "Board diversity")</f>
      </c>
      <c r="G784" s="14" t="s">
        <v>2462</v>
      </c>
      <c r="H784" s="0" t="s">
        <v>141</v>
      </c>
      <c r="I784" s="14" t="s">
        <v>131</v>
      </c>
      <c r="J784" s="0" t="s">
        <v>145</v>
      </c>
      <c r="K784" s="0" t="s">
        <v>164</v>
      </c>
      <c r="L784" s="0" t="s">
        <v>165</v>
      </c>
      <c r="M784" s="0" t="s">
        <v>378</v>
      </c>
      <c r="N784" s="0" t="s">
        <v>1646</v>
      </c>
      <c r="O784" s="0" t="s">
        <v>176</v>
      </c>
      <c r="Q784" s="0" t="s">
        <v>130</v>
      </c>
      <c r="R784" s="0" t="s">
        <v>138</v>
      </c>
      <c r="S784" s="14">
        <v>0</v>
      </c>
      <c r="T784" s="0" t="s">
        <v>457</v>
      </c>
      <c r="U784" s="0" t="s">
        <v>138</v>
      </c>
      <c r="V784" s="14" t="s">
        <v>138</v>
      </c>
      <c r="W784" s="0" t="s">
        <v>138</v>
      </c>
      <c r="X784" s="14" t="s">
        <v>138</v>
      </c>
      <c r="Y784" s="0" t="s">
        <v>138</v>
      </c>
      <c r="Z784" s="14" t="s">
        <v>138</v>
      </c>
      <c r="AA784" s="0" t="s">
        <v>138</v>
      </c>
      <c r="AB784" s="14" t="s">
        <v>138</v>
      </c>
      <c r="AD784" s="0" t="s">
        <v>138</v>
      </c>
      <c r="AF784" s="0">
        <v>0</v>
      </c>
      <c r="AG784" s="0">
        <v>0</v>
      </c>
      <c r="AH784" s="0" t="s">
        <v>140</v>
      </c>
      <c r="AI784" s="0" t="s">
        <v>138</v>
      </c>
      <c r="AL784" s="14"/>
      <c r="AN784" s="14"/>
      <c r="AQ784" s="0" t="s">
        <v>130</v>
      </c>
      <c r="AR784" s="0" t="s">
        <v>130</v>
      </c>
      <c r="AS784" s="0" t="s">
        <v>130</v>
      </c>
      <c r="AT784" s="0" t="s">
        <v>130</v>
      </c>
      <c r="AU784" s="0" t="s">
        <v>141</v>
      </c>
      <c r="AV784" s="0" t="s">
        <v>130</v>
      </c>
      <c r="AW784" s="0" t="s">
        <v>130</v>
      </c>
      <c r="AX784" s="0" t="s">
        <v>130</v>
      </c>
      <c r="AY784" s="0" t="s">
        <v>130</v>
      </c>
      <c r="AZ784" s="0" t="s">
        <v>130</v>
      </c>
      <c r="BA784" s="0" t="s">
        <v>130</v>
      </c>
      <c r="BB784" s="0" t="s">
        <v>130</v>
      </c>
      <c r="BC784" s="0" t="s">
        <v>130</v>
      </c>
      <c r="BD784" s="0" t="s">
        <v>130</v>
      </c>
      <c r="BE784" s="0" t="s">
        <v>130</v>
      </c>
      <c r="BF784" s="0" t="s">
        <v>130</v>
      </c>
      <c r="BG784" s="0" t="s">
        <v>130</v>
      </c>
      <c r="BH784" s="0" t="s">
        <v>130</v>
      </c>
      <c r="BI784" s="0" t="s">
        <v>130</v>
      </c>
      <c r="BJ784" s="0" t="s">
        <v>130</v>
      </c>
      <c r="BK784" s="0" t="s">
        <v>130</v>
      </c>
      <c r="BL784" s="0" t="s">
        <v>130</v>
      </c>
      <c r="BM784" s="0" t="s">
        <v>130</v>
      </c>
      <c r="BN784" s="0" t="s">
        <v>130</v>
      </c>
      <c r="BO784" s="0" t="s">
        <v>130</v>
      </c>
      <c r="BP784" s="0" t="s">
        <v>130</v>
      </c>
      <c r="BQ784" s="0" t="s">
        <v>130</v>
      </c>
      <c r="BR784" s="0" t="s">
        <v>130</v>
      </c>
      <c r="BS784" s="0" t="s">
        <v>130</v>
      </c>
      <c r="BT784" s="0" t="s">
        <v>130</v>
      </c>
      <c r="BU784" s="0" t="s">
        <v>130</v>
      </c>
      <c r="BV784" s="0" t="s">
        <v>130</v>
      </c>
      <c r="BW784" s="0" t="s">
        <v>130</v>
      </c>
      <c r="BX784" s="0" t="s">
        <v>130</v>
      </c>
      <c r="BY784" s="0" t="s">
        <v>130</v>
      </c>
      <c r="BZ784" s="0" t="s">
        <v>130</v>
      </c>
      <c r="CA784" s="0" t="s">
        <v>130</v>
      </c>
      <c r="CB784" s="0" t="s">
        <v>130</v>
      </c>
      <c r="CC784" s="0" t="s">
        <v>130</v>
      </c>
      <c r="CD784" s="0" t="s">
        <v>130</v>
      </c>
      <c r="CE784" s="0" t="s">
        <v>130</v>
      </c>
      <c r="CF784" s="0" t="s">
        <v>130</v>
      </c>
      <c r="CG784" s="0" t="s">
        <v>130</v>
      </c>
      <c r="CH784" s="0" t="s">
        <v>130</v>
      </c>
      <c r="CI784" s="0" t="s">
        <v>130</v>
      </c>
      <c r="CJ784" s="0" t="s">
        <v>130</v>
      </c>
      <c r="CK784" s="0" t="s">
        <v>130</v>
      </c>
      <c r="CL784" s="0" t="s">
        <v>130</v>
      </c>
      <c r="CM784" s="0" t="s">
        <v>130</v>
      </c>
      <c r="CN784" s="0" t="s">
        <v>130</v>
      </c>
      <c r="CO784" s="0" t="s">
        <v>130</v>
      </c>
      <c r="CP784" s="0" t="s">
        <v>130</v>
      </c>
      <c r="CQ784" s="0" t="s">
        <v>130</v>
      </c>
      <c r="CR784" s="0" t="s">
        <v>130</v>
      </c>
      <c r="CS784" s="0" t="s">
        <v>130</v>
      </c>
      <c r="CT784" s="0" t="s">
        <v>2463</v>
      </c>
    </row>
    <row r="785">
      <c r="A785" s="14">
        <v>115518</v>
      </c>
      <c r="B785" s="0" t="s">
        <v>2451</v>
      </c>
      <c r="C785" s="16">
        <f>HYPERLINK("https://eosportal.federatedhermes.com/companies/Q29tcGFueQppNjMxNjU=", "Schneider Electric SE")</f>
      </c>
      <c r="D785" s="0" t="s">
        <v>25</v>
      </c>
      <c r="E785" s="0" t="s">
        <v>2237</v>
      </c>
      <c r="F785" s="16">
        <f>HYPERLINK("https://eosportal.federatedhermes.com/engagements/RW5nYWdlbWVudAppMjIxODM=", "Artificial Intelligence")</f>
      </c>
      <c r="G785" s="14" t="s">
        <v>2464</v>
      </c>
      <c r="H785" s="0" t="s">
        <v>141</v>
      </c>
      <c r="I785" s="14" t="s">
        <v>131</v>
      </c>
      <c r="J785" s="0" t="s">
        <v>132</v>
      </c>
      <c r="K785" s="0" t="s">
        <v>260</v>
      </c>
      <c r="L785" s="0" t="s">
        <v>261</v>
      </c>
      <c r="M785" s="0" t="s">
        <v>378</v>
      </c>
      <c r="N785" s="0" t="s">
        <v>1646</v>
      </c>
      <c r="O785" s="0" t="s">
        <v>176</v>
      </c>
      <c r="Q785" s="0" t="s">
        <v>130</v>
      </c>
      <c r="R785" s="0" t="s">
        <v>138</v>
      </c>
      <c r="S785" s="14">
        <v>0</v>
      </c>
      <c r="T785" s="0" t="s">
        <v>193</v>
      </c>
      <c r="U785" s="0" t="s">
        <v>138</v>
      </c>
      <c r="V785" s="14" t="s">
        <v>138</v>
      </c>
      <c r="W785" s="0" t="s">
        <v>138</v>
      </c>
      <c r="X785" s="14" t="s">
        <v>138</v>
      </c>
      <c r="Y785" s="0" t="s">
        <v>138</v>
      </c>
      <c r="Z785" s="14" t="s">
        <v>138</v>
      </c>
      <c r="AA785" s="0" t="s">
        <v>138</v>
      </c>
      <c r="AB785" s="14" t="s">
        <v>138</v>
      </c>
      <c r="AD785" s="0" t="s">
        <v>138</v>
      </c>
      <c r="AF785" s="0">
        <v>0</v>
      </c>
      <c r="AG785" s="0">
        <v>0</v>
      </c>
      <c r="AH785" s="0" t="s">
        <v>140</v>
      </c>
      <c r="AI785" s="0" t="s">
        <v>138</v>
      </c>
      <c r="AL785" s="14"/>
      <c r="AN785" s="14"/>
      <c r="AQ785" s="0" t="s">
        <v>130</v>
      </c>
      <c r="AR785" s="0" t="s">
        <v>130</v>
      </c>
      <c r="AS785" s="0" t="s">
        <v>130</v>
      </c>
      <c r="AT785" s="0" t="s">
        <v>130</v>
      </c>
      <c r="AU785" s="0" t="s">
        <v>130</v>
      </c>
      <c r="AV785" s="0" t="s">
        <v>130</v>
      </c>
      <c r="AW785" s="0" t="s">
        <v>130</v>
      </c>
      <c r="AX785" s="0" t="s">
        <v>130</v>
      </c>
      <c r="AY785" s="0" t="s">
        <v>130</v>
      </c>
      <c r="AZ785" s="0" t="s">
        <v>130</v>
      </c>
      <c r="BA785" s="0" t="s">
        <v>130</v>
      </c>
      <c r="BB785" s="0" t="s">
        <v>130</v>
      </c>
      <c r="BC785" s="0" t="s">
        <v>130</v>
      </c>
      <c r="BD785" s="0" t="s">
        <v>130</v>
      </c>
      <c r="BE785" s="0" t="s">
        <v>130</v>
      </c>
      <c r="BF785" s="0" t="s">
        <v>130</v>
      </c>
      <c r="BG785" s="0" t="s">
        <v>130</v>
      </c>
      <c r="BH785" s="0" t="s">
        <v>130</v>
      </c>
      <c r="BI785" s="0" t="s">
        <v>130</v>
      </c>
      <c r="BJ785" s="0" t="s">
        <v>130</v>
      </c>
      <c r="BK785" s="0" t="s">
        <v>130</v>
      </c>
      <c r="BL785" s="0" t="s">
        <v>130</v>
      </c>
      <c r="BM785" s="0" t="s">
        <v>130</v>
      </c>
      <c r="BN785" s="0" t="s">
        <v>130</v>
      </c>
      <c r="BO785" s="0" t="s">
        <v>130</v>
      </c>
      <c r="BP785" s="0" t="s">
        <v>130</v>
      </c>
      <c r="BQ785" s="0" t="s">
        <v>130</v>
      </c>
      <c r="BR785" s="0" t="s">
        <v>130</v>
      </c>
      <c r="BS785" s="0" t="s">
        <v>130</v>
      </c>
      <c r="BT785" s="0" t="s">
        <v>130</v>
      </c>
      <c r="BU785" s="0" t="s">
        <v>130</v>
      </c>
      <c r="BV785" s="0" t="s">
        <v>130</v>
      </c>
      <c r="BW785" s="0" t="s">
        <v>130</v>
      </c>
      <c r="BX785" s="0" t="s">
        <v>130</v>
      </c>
      <c r="BY785" s="0" t="s">
        <v>130</v>
      </c>
      <c r="BZ785" s="0" t="s">
        <v>130</v>
      </c>
      <c r="CA785" s="0" t="s">
        <v>130</v>
      </c>
      <c r="CB785" s="0" t="s">
        <v>130</v>
      </c>
      <c r="CC785" s="0" t="s">
        <v>130</v>
      </c>
      <c r="CD785" s="0" t="s">
        <v>130</v>
      </c>
      <c r="CE785" s="0" t="s">
        <v>130</v>
      </c>
      <c r="CF785" s="0" t="s">
        <v>130</v>
      </c>
      <c r="CG785" s="0" t="s">
        <v>130</v>
      </c>
      <c r="CH785" s="0" t="s">
        <v>130</v>
      </c>
      <c r="CI785" s="0" t="s">
        <v>130</v>
      </c>
      <c r="CJ785" s="0" t="s">
        <v>130</v>
      </c>
      <c r="CK785" s="0" t="s">
        <v>130</v>
      </c>
      <c r="CL785" s="0" t="s">
        <v>130</v>
      </c>
      <c r="CM785" s="0" t="s">
        <v>130</v>
      </c>
      <c r="CN785" s="0" t="s">
        <v>130</v>
      </c>
      <c r="CO785" s="0" t="s">
        <v>130</v>
      </c>
      <c r="CP785" s="0" t="s">
        <v>130</v>
      </c>
      <c r="CQ785" s="0" t="s">
        <v>130</v>
      </c>
      <c r="CR785" s="0" t="s">
        <v>130</v>
      </c>
      <c r="CS785" s="0" t="s">
        <v>130</v>
      </c>
      <c r="CT785" s="0" t="s">
        <v>2465</v>
      </c>
    </row>
    <row r="786">
      <c r="A786" s="14">
        <v>115518</v>
      </c>
      <c r="B786" s="0" t="s">
        <v>2451</v>
      </c>
      <c r="C786" s="16">
        <f>HYPERLINK("https://eosportal.federatedhermes.com/companies/Q29tcGFueQppNjMxNjU=", "Schneider Electric SE")</f>
      </c>
      <c r="D786" s="0" t="s">
        <v>25</v>
      </c>
      <c r="E786" s="0" t="s">
        <v>2466</v>
      </c>
      <c r="F786" s="16">
        <f>HYPERLINK("https://eosportal.federatedhermes.com/engagements/RW5nYWdlbWVudAppMjIxODY=", "Voting rights")</f>
      </c>
      <c r="G786" s="14" t="s">
        <v>2467</v>
      </c>
      <c r="H786" s="0" t="s">
        <v>141</v>
      </c>
      <c r="I786" s="14" t="s">
        <v>131</v>
      </c>
      <c r="J786" s="0" t="s">
        <v>145</v>
      </c>
      <c r="K786" s="0" t="s">
        <v>400</v>
      </c>
      <c r="L786" s="0" t="s">
        <v>507</v>
      </c>
      <c r="M786" s="0" t="s">
        <v>378</v>
      </c>
      <c r="N786" s="0" t="s">
        <v>1646</v>
      </c>
      <c r="O786" s="0" t="s">
        <v>176</v>
      </c>
      <c r="Q786" s="0" t="s">
        <v>130</v>
      </c>
      <c r="R786" s="0" t="s">
        <v>138</v>
      </c>
      <c r="S786" s="14">
        <v>0</v>
      </c>
      <c r="T786" s="0" t="s">
        <v>1305</v>
      </c>
      <c r="U786" s="0" t="s">
        <v>138</v>
      </c>
      <c r="V786" s="14" t="s">
        <v>138</v>
      </c>
      <c r="W786" s="0" t="s">
        <v>138</v>
      </c>
      <c r="X786" s="14" t="s">
        <v>138</v>
      </c>
      <c r="Y786" s="0" t="s">
        <v>138</v>
      </c>
      <c r="Z786" s="14" t="s">
        <v>138</v>
      </c>
      <c r="AA786" s="0" t="s">
        <v>138</v>
      </c>
      <c r="AB786" s="14" t="s">
        <v>138</v>
      </c>
      <c r="AD786" s="0" t="s">
        <v>138</v>
      </c>
      <c r="AF786" s="0">
        <v>0</v>
      </c>
      <c r="AG786" s="0">
        <v>0</v>
      </c>
      <c r="AH786" s="0" t="s">
        <v>140</v>
      </c>
      <c r="AI786" s="0" t="s">
        <v>138</v>
      </c>
      <c r="AL786" s="14"/>
      <c r="AN786" s="14"/>
      <c r="AQ786" s="0" t="s">
        <v>130</v>
      </c>
      <c r="AR786" s="0" t="s">
        <v>130</v>
      </c>
      <c r="AS786" s="0" t="s">
        <v>130</v>
      </c>
      <c r="AT786" s="0" t="s">
        <v>130</v>
      </c>
      <c r="AU786" s="0" t="s">
        <v>130</v>
      </c>
      <c r="AV786" s="0" t="s">
        <v>130</v>
      </c>
      <c r="AW786" s="0" t="s">
        <v>130</v>
      </c>
      <c r="AX786" s="0" t="s">
        <v>130</v>
      </c>
      <c r="AY786" s="0" t="s">
        <v>130</v>
      </c>
      <c r="AZ786" s="0" t="s">
        <v>130</v>
      </c>
      <c r="BA786" s="0" t="s">
        <v>130</v>
      </c>
      <c r="BB786" s="0" t="s">
        <v>130</v>
      </c>
      <c r="BC786" s="0" t="s">
        <v>130</v>
      </c>
      <c r="BD786" s="0" t="s">
        <v>130</v>
      </c>
      <c r="BE786" s="0" t="s">
        <v>130</v>
      </c>
      <c r="BF786" s="0" t="s">
        <v>130</v>
      </c>
      <c r="BG786" s="0" t="s">
        <v>130</v>
      </c>
      <c r="BH786" s="0" t="s">
        <v>130</v>
      </c>
      <c r="BI786" s="0" t="s">
        <v>130</v>
      </c>
      <c r="BJ786" s="0" t="s">
        <v>130</v>
      </c>
      <c r="BK786" s="0" t="s">
        <v>130</v>
      </c>
      <c r="BL786" s="0" t="s">
        <v>130</v>
      </c>
      <c r="BM786" s="0" t="s">
        <v>130</v>
      </c>
      <c r="BN786" s="0" t="s">
        <v>130</v>
      </c>
      <c r="BO786" s="0" t="s">
        <v>130</v>
      </c>
      <c r="BP786" s="0" t="s">
        <v>130</v>
      </c>
      <c r="BQ786" s="0" t="s">
        <v>130</v>
      </c>
      <c r="BR786" s="0" t="s">
        <v>130</v>
      </c>
      <c r="BS786" s="0" t="s">
        <v>130</v>
      </c>
      <c r="BT786" s="0" t="s">
        <v>130</v>
      </c>
      <c r="BU786" s="0" t="s">
        <v>130</v>
      </c>
      <c r="BV786" s="0" t="s">
        <v>130</v>
      </c>
      <c r="BW786" s="0" t="s">
        <v>130</v>
      </c>
      <c r="BX786" s="0" t="s">
        <v>130</v>
      </c>
      <c r="BY786" s="0" t="s">
        <v>130</v>
      </c>
      <c r="BZ786" s="0" t="s">
        <v>130</v>
      </c>
      <c r="CA786" s="0" t="s">
        <v>130</v>
      </c>
      <c r="CB786" s="0" t="s">
        <v>130</v>
      </c>
      <c r="CC786" s="0" t="s">
        <v>130</v>
      </c>
      <c r="CD786" s="0" t="s">
        <v>130</v>
      </c>
      <c r="CE786" s="0" t="s">
        <v>130</v>
      </c>
      <c r="CF786" s="0" t="s">
        <v>130</v>
      </c>
      <c r="CG786" s="0" t="s">
        <v>130</v>
      </c>
      <c r="CH786" s="0" t="s">
        <v>130</v>
      </c>
      <c r="CI786" s="0" t="s">
        <v>130</v>
      </c>
      <c r="CJ786" s="0" t="s">
        <v>130</v>
      </c>
      <c r="CK786" s="0" t="s">
        <v>130</v>
      </c>
      <c r="CL786" s="0" t="s">
        <v>130</v>
      </c>
      <c r="CM786" s="0" t="s">
        <v>130</v>
      </c>
      <c r="CN786" s="0" t="s">
        <v>130</v>
      </c>
      <c r="CO786" s="0" t="s">
        <v>130</v>
      </c>
      <c r="CP786" s="0" t="s">
        <v>130</v>
      </c>
      <c r="CQ786" s="0" t="s">
        <v>130</v>
      </c>
      <c r="CR786" s="0" t="s">
        <v>130</v>
      </c>
      <c r="CS786" s="0" t="s">
        <v>130</v>
      </c>
      <c r="CT786" s="0" t="s">
        <v>2468</v>
      </c>
    </row>
    <row r="787">
      <c r="A787" s="14">
        <v>115518</v>
      </c>
      <c r="B787" s="0" t="s">
        <v>2451</v>
      </c>
      <c r="C787" s="16">
        <f>HYPERLINK("https://eosportal.federatedhermes.com/companies/Q29tcGFueQppNjMxNjU=", "Schneider Electric SE")</f>
      </c>
      <c r="D787" s="0" t="s">
        <v>25</v>
      </c>
      <c r="E787" s="0" t="s">
        <v>2469</v>
      </c>
      <c r="F787" s="16">
        <f>HYPERLINK("https://eosportal.federatedhermes.com/engagements/RW5nYWdlbWVudAppMjIxOTA=", "Integration of base of the pyramid considerations in business strategy")</f>
      </c>
      <c r="G787" s="14" t="s">
        <v>2470</v>
      </c>
      <c r="H787" s="0" t="s">
        <v>141</v>
      </c>
      <c r="I787" s="14" t="s">
        <v>131</v>
      </c>
      <c r="J787" s="0" t="s">
        <v>153</v>
      </c>
      <c r="K787" s="0" t="s">
        <v>243</v>
      </c>
      <c r="L787" s="0" t="s">
        <v>244</v>
      </c>
      <c r="M787" s="0" t="s">
        <v>378</v>
      </c>
      <c r="N787" s="0" t="s">
        <v>1646</v>
      </c>
      <c r="O787" s="0" t="s">
        <v>176</v>
      </c>
      <c r="Q787" s="0" t="s">
        <v>130</v>
      </c>
      <c r="R787" s="0" t="s">
        <v>138</v>
      </c>
      <c r="S787" s="14">
        <v>0</v>
      </c>
      <c r="T787" s="0" t="s">
        <v>557</v>
      </c>
      <c r="U787" s="0" t="s">
        <v>138</v>
      </c>
      <c r="V787" s="14" t="s">
        <v>138</v>
      </c>
      <c r="W787" s="0" t="s">
        <v>138</v>
      </c>
      <c r="X787" s="14" t="s">
        <v>138</v>
      </c>
      <c r="Y787" s="0" t="s">
        <v>138</v>
      </c>
      <c r="Z787" s="14" t="s">
        <v>138</v>
      </c>
      <c r="AA787" s="0" t="s">
        <v>138</v>
      </c>
      <c r="AB787" s="14" t="s">
        <v>138</v>
      </c>
      <c r="AD787" s="0" t="s">
        <v>138</v>
      </c>
      <c r="AF787" s="0">
        <v>0</v>
      </c>
      <c r="AG787" s="0">
        <v>0</v>
      </c>
      <c r="AH787" s="0" t="s">
        <v>140</v>
      </c>
      <c r="AI787" s="0" t="s">
        <v>138</v>
      </c>
      <c r="AL787" s="14"/>
      <c r="AN787" s="14"/>
      <c r="AQ787" s="0" t="s">
        <v>130</v>
      </c>
      <c r="AR787" s="0" t="s">
        <v>130</v>
      </c>
      <c r="AS787" s="0" t="s">
        <v>130</v>
      </c>
      <c r="AT787" s="0" t="s">
        <v>130</v>
      </c>
      <c r="AU787" s="0" t="s">
        <v>130</v>
      </c>
      <c r="AV787" s="0" t="s">
        <v>130</v>
      </c>
      <c r="AW787" s="0" t="s">
        <v>130</v>
      </c>
      <c r="AX787" s="0" t="s">
        <v>130</v>
      </c>
      <c r="AY787" s="0" t="s">
        <v>130</v>
      </c>
      <c r="AZ787" s="0" t="s">
        <v>130</v>
      </c>
      <c r="BA787" s="0" t="s">
        <v>130</v>
      </c>
      <c r="BB787" s="0" t="s">
        <v>130</v>
      </c>
      <c r="BC787" s="0" t="s">
        <v>130</v>
      </c>
      <c r="BD787" s="0" t="s">
        <v>130</v>
      </c>
      <c r="BE787" s="0" t="s">
        <v>130</v>
      </c>
      <c r="BF787" s="0" t="s">
        <v>130</v>
      </c>
      <c r="BG787" s="0" t="s">
        <v>130</v>
      </c>
      <c r="BH787" s="0" t="s">
        <v>130</v>
      </c>
      <c r="BI787" s="0" t="s">
        <v>130</v>
      </c>
      <c r="BJ787" s="0" t="s">
        <v>130</v>
      </c>
      <c r="BK787" s="0" t="s">
        <v>130</v>
      </c>
      <c r="BL787" s="0" t="s">
        <v>130</v>
      </c>
      <c r="BM787" s="0" t="s">
        <v>130</v>
      </c>
      <c r="BN787" s="0" t="s">
        <v>130</v>
      </c>
      <c r="BO787" s="0" t="s">
        <v>130</v>
      </c>
      <c r="BP787" s="0" t="s">
        <v>130</v>
      </c>
      <c r="BQ787" s="0" t="s">
        <v>130</v>
      </c>
      <c r="BR787" s="0" t="s">
        <v>130</v>
      </c>
      <c r="BS787" s="0" t="s">
        <v>130</v>
      </c>
      <c r="BT787" s="0" t="s">
        <v>130</v>
      </c>
      <c r="BU787" s="0" t="s">
        <v>130</v>
      </c>
      <c r="BV787" s="0" t="s">
        <v>130</v>
      </c>
      <c r="BW787" s="0" t="s">
        <v>130</v>
      </c>
      <c r="BX787" s="0" t="s">
        <v>130</v>
      </c>
      <c r="BY787" s="0" t="s">
        <v>130</v>
      </c>
      <c r="BZ787" s="0" t="s">
        <v>130</v>
      </c>
      <c r="CA787" s="0" t="s">
        <v>130</v>
      </c>
      <c r="CB787" s="0" t="s">
        <v>130</v>
      </c>
      <c r="CC787" s="0" t="s">
        <v>130</v>
      </c>
      <c r="CD787" s="0" t="s">
        <v>130</v>
      </c>
      <c r="CE787" s="0" t="s">
        <v>130</v>
      </c>
      <c r="CF787" s="0" t="s">
        <v>130</v>
      </c>
      <c r="CG787" s="0" t="s">
        <v>130</v>
      </c>
      <c r="CH787" s="0" t="s">
        <v>130</v>
      </c>
      <c r="CI787" s="0" t="s">
        <v>130</v>
      </c>
      <c r="CJ787" s="0" t="s">
        <v>130</v>
      </c>
      <c r="CK787" s="0" t="s">
        <v>130</v>
      </c>
      <c r="CL787" s="0" t="s">
        <v>130</v>
      </c>
      <c r="CM787" s="0" t="s">
        <v>130</v>
      </c>
      <c r="CN787" s="0" t="s">
        <v>130</v>
      </c>
      <c r="CO787" s="0" t="s">
        <v>130</v>
      </c>
      <c r="CP787" s="0" t="s">
        <v>130</v>
      </c>
      <c r="CQ787" s="0" t="s">
        <v>130</v>
      </c>
      <c r="CR787" s="0" t="s">
        <v>130</v>
      </c>
      <c r="CS787" s="0" t="s">
        <v>130</v>
      </c>
      <c r="CT787" s="0" t="s">
        <v>2471</v>
      </c>
    </row>
    <row r="788">
      <c r="A788" s="14">
        <v>115518</v>
      </c>
      <c r="B788" s="0" t="s">
        <v>2451</v>
      </c>
      <c r="C788" s="16">
        <f>HYPERLINK("https://eosportal.federatedhermes.com/companies/Q29tcGFueQppNjMxNjU=", "Schneider Electric SE")</f>
      </c>
      <c r="D788" s="0" t="s">
        <v>25</v>
      </c>
      <c r="E788" s="0" t="s">
        <v>2472</v>
      </c>
      <c r="F788" s="16">
        <f>HYPERLINK("https://eosportal.federatedhermes.com/engagements/RW5nYWdlbWVudAppMjIxOTI=", "Moving material ESG factors into mainstream financial disclosures")</f>
      </c>
      <c r="G788" s="14" t="s">
        <v>2473</v>
      </c>
      <c r="H788" s="0" t="s">
        <v>141</v>
      </c>
      <c r="I788" s="14" t="s">
        <v>131</v>
      </c>
      <c r="J788" s="0" t="s">
        <v>132</v>
      </c>
      <c r="K788" s="0" t="s">
        <v>170</v>
      </c>
      <c r="L788" s="0" t="s">
        <v>310</v>
      </c>
      <c r="M788" s="0" t="s">
        <v>378</v>
      </c>
      <c r="N788" s="0" t="s">
        <v>1646</v>
      </c>
      <c r="O788" s="0" t="s">
        <v>176</v>
      </c>
      <c r="Q788" s="0" t="s">
        <v>130</v>
      </c>
      <c r="R788" s="0" t="s">
        <v>138</v>
      </c>
      <c r="S788" s="14">
        <v>0</v>
      </c>
      <c r="T788" s="0" t="s">
        <v>1145</v>
      </c>
      <c r="U788" s="0" t="s">
        <v>138</v>
      </c>
      <c r="V788" s="14" t="s">
        <v>138</v>
      </c>
      <c r="W788" s="0" t="s">
        <v>138</v>
      </c>
      <c r="X788" s="14" t="s">
        <v>138</v>
      </c>
      <c r="Y788" s="0" t="s">
        <v>138</v>
      </c>
      <c r="Z788" s="14" t="s">
        <v>138</v>
      </c>
      <c r="AA788" s="0" t="s">
        <v>138</v>
      </c>
      <c r="AB788" s="14" t="s">
        <v>138</v>
      </c>
      <c r="AD788" s="0" t="s">
        <v>138</v>
      </c>
      <c r="AF788" s="0">
        <v>0</v>
      </c>
      <c r="AG788" s="0">
        <v>0</v>
      </c>
      <c r="AH788" s="0" t="s">
        <v>140</v>
      </c>
      <c r="AI788" s="0" t="s">
        <v>138</v>
      </c>
      <c r="AL788" s="14"/>
      <c r="AN788" s="14"/>
      <c r="AQ788" s="0" t="s">
        <v>130</v>
      </c>
      <c r="AR788" s="0" t="s">
        <v>130</v>
      </c>
      <c r="AS788" s="0" t="s">
        <v>130</v>
      </c>
      <c r="AT788" s="0" t="s">
        <v>130</v>
      </c>
      <c r="AU788" s="0" t="s">
        <v>130</v>
      </c>
      <c r="AV788" s="0" t="s">
        <v>130</v>
      </c>
      <c r="AW788" s="0" t="s">
        <v>130</v>
      </c>
      <c r="AX788" s="0" t="s">
        <v>130</v>
      </c>
      <c r="AY788" s="0" t="s">
        <v>130</v>
      </c>
      <c r="AZ788" s="0" t="s">
        <v>130</v>
      </c>
      <c r="BA788" s="0" t="s">
        <v>130</v>
      </c>
      <c r="BB788" s="0" t="s">
        <v>130</v>
      </c>
      <c r="BC788" s="0" t="s">
        <v>130</v>
      </c>
      <c r="BD788" s="0" t="s">
        <v>130</v>
      </c>
      <c r="BE788" s="0" t="s">
        <v>130</v>
      </c>
      <c r="BF788" s="0" t="s">
        <v>130</v>
      </c>
      <c r="BG788" s="0" t="s">
        <v>130</v>
      </c>
      <c r="BH788" s="0" t="s">
        <v>130</v>
      </c>
      <c r="BI788" s="0" t="s">
        <v>130</v>
      </c>
      <c r="BJ788" s="0" t="s">
        <v>130</v>
      </c>
      <c r="BK788" s="0" t="s">
        <v>130</v>
      </c>
      <c r="BL788" s="0" t="s">
        <v>130</v>
      </c>
      <c r="BM788" s="0" t="s">
        <v>130</v>
      </c>
      <c r="BN788" s="0" t="s">
        <v>130</v>
      </c>
      <c r="BO788" s="0" t="s">
        <v>130</v>
      </c>
      <c r="BP788" s="0" t="s">
        <v>130</v>
      </c>
      <c r="BQ788" s="0" t="s">
        <v>130</v>
      </c>
      <c r="BR788" s="0" t="s">
        <v>130</v>
      </c>
      <c r="BS788" s="0" t="s">
        <v>130</v>
      </c>
      <c r="BT788" s="0" t="s">
        <v>130</v>
      </c>
      <c r="BU788" s="0" t="s">
        <v>130</v>
      </c>
      <c r="BV788" s="0" t="s">
        <v>130</v>
      </c>
      <c r="BW788" s="0" t="s">
        <v>130</v>
      </c>
      <c r="BX788" s="0" t="s">
        <v>130</v>
      </c>
      <c r="BY788" s="0" t="s">
        <v>130</v>
      </c>
      <c r="BZ788" s="0" t="s">
        <v>130</v>
      </c>
      <c r="CA788" s="0" t="s">
        <v>130</v>
      </c>
      <c r="CB788" s="0" t="s">
        <v>130</v>
      </c>
      <c r="CC788" s="0" t="s">
        <v>130</v>
      </c>
      <c r="CD788" s="0" t="s">
        <v>130</v>
      </c>
      <c r="CE788" s="0" t="s">
        <v>130</v>
      </c>
      <c r="CF788" s="0" t="s">
        <v>130</v>
      </c>
      <c r="CG788" s="0" t="s">
        <v>130</v>
      </c>
      <c r="CH788" s="0" t="s">
        <v>130</v>
      </c>
      <c r="CI788" s="0" t="s">
        <v>130</v>
      </c>
      <c r="CJ788" s="0" t="s">
        <v>130</v>
      </c>
      <c r="CK788" s="0" t="s">
        <v>130</v>
      </c>
      <c r="CL788" s="0" t="s">
        <v>130</v>
      </c>
      <c r="CM788" s="0" t="s">
        <v>130</v>
      </c>
      <c r="CN788" s="0" t="s">
        <v>130</v>
      </c>
      <c r="CO788" s="0" t="s">
        <v>130</v>
      </c>
      <c r="CP788" s="0" t="s">
        <v>130</v>
      </c>
      <c r="CQ788" s="0" t="s">
        <v>130</v>
      </c>
      <c r="CR788" s="0" t="s">
        <v>130</v>
      </c>
      <c r="CS788" s="0" t="s">
        <v>130</v>
      </c>
      <c r="CT788" s="0" t="s">
        <v>2474</v>
      </c>
    </row>
    <row r="789">
      <c r="A789" s="14">
        <v>115518</v>
      </c>
      <c r="B789" s="0" t="s">
        <v>2451</v>
      </c>
      <c r="C789" s="16">
        <f>HYPERLINK("https://eosportal.federatedhermes.com/companies/Q29tcGFueQppNjMxNjU=", "Schneider Electric SE")</f>
      </c>
      <c r="D789" s="0" t="s">
        <v>25</v>
      </c>
      <c r="E789" s="0" t="s">
        <v>2475</v>
      </c>
      <c r="F789" s="16">
        <f>HYPERLINK("https://eosportal.federatedhermes.com/engagements/RW5nYWdlbWVudAppMjIxOTM=", "Risky Supply Chain Model")</f>
      </c>
      <c r="G789" s="14" t="s">
        <v>2476</v>
      </c>
      <c r="H789" s="0" t="s">
        <v>141</v>
      </c>
      <c r="I789" s="14" t="s">
        <v>131</v>
      </c>
      <c r="J789" s="0" t="s">
        <v>153</v>
      </c>
      <c r="K789" s="0" t="s">
        <v>185</v>
      </c>
      <c r="L789" s="0" t="s">
        <v>186</v>
      </c>
      <c r="M789" s="0" t="s">
        <v>378</v>
      </c>
      <c r="N789" s="0" t="s">
        <v>1646</v>
      </c>
      <c r="O789" s="0" t="s">
        <v>176</v>
      </c>
      <c r="Q789" s="0" t="s">
        <v>130</v>
      </c>
      <c r="R789" s="0" t="s">
        <v>138</v>
      </c>
      <c r="S789" s="14">
        <v>0</v>
      </c>
      <c r="T789" s="0" t="s">
        <v>387</v>
      </c>
      <c r="U789" s="0" t="s">
        <v>138</v>
      </c>
      <c r="V789" s="14" t="s">
        <v>138</v>
      </c>
      <c r="W789" s="0" t="s">
        <v>138</v>
      </c>
      <c r="X789" s="14" t="s">
        <v>138</v>
      </c>
      <c r="Y789" s="0" t="s">
        <v>138</v>
      </c>
      <c r="Z789" s="14" t="s">
        <v>138</v>
      </c>
      <c r="AA789" s="0" t="s">
        <v>138</v>
      </c>
      <c r="AB789" s="14" t="s">
        <v>138</v>
      </c>
      <c r="AD789" s="0" t="s">
        <v>138</v>
      </c>
      <c r="AF789" s="0">
        <v>0</v>
      </c>
      <c r="AG789" s="0">
        <v>0</v>
      </c>
      <c r="AH789" s="0" t="s">
        <v>140</v>
      </c>
      <c r="AI789" s="0" t="s">
        <v>138</v>
      </c>
      <c r="AL789" s="14"/>
      <c r="AN789" s="14"/>
      <c r="AQ789" s="0" t="s">
        <v>130</v>
      </c>
      <c r="AR789" s="0" t="s">
        <v>130</v>
      </c>
      <c r="AS789" s="0" t="s">
        <v>130</v>
      </c>
      <c r="AT789" s="0" t="s">
        <v>130</v>
      </c>
      <c r="AU789" s="0" t="s">
        <v>130</v>
      </c>
      <c r="AV789" s="0" t="s">
        <v>130</v>
      </c>
      <c r="AW789" s="0" t="s">
        <v>130</v>
      </c>
      <c r="AX789" s="0" t="s">
        <v>130</v>
      </c>
      <c r="AY789" s="0" t="s">
        <v>130</v>
      </c>
      <c r="AZ789" s="0" t="s">
        <v>130</v>
      </c>
      <c r="BA789" s="0" t="s">
        <v>130</v>
      </c>
      <c r="BB789" s="0" t="s">
        <v>130</v>
      </c>
      <c r="BC789" s="0" t="s">
        <v>130</v>
      </c>
      <c r="BD789" s="0" t="s">
        <v>130</v>
      </c>
      <c r="BE789" s="0" t="s">
        <v>130</v>
      </c>
      <c r="BF789" s="0" t="s">
        <v>130</v>
      </c>
      <c r="BG789" s="0" t="s">
        <v>130</v>
      </c>
      <c r="BH789" s="0" t="s">
        <v>130</v>
      </c>
      <c r="BI789" s="0" t="s">
        <v>130</v>
      </c>
      <c r="BJ789" s="0" t="s">
        <v>130</v>
      </c>
      <c r="BK789" s="0" t="s">
        <v>130</v>
      </c>
      <c r="BL789" s="0" t="s">
        <v>130</v>
      </c>
      <c r="BM789" s="0" t="s">
        <v>130</v>
      </c>
      <c r="BN789" s="0" t="s">
        <v>130</v>
      </c>
      <c r="BO789" s="0" t="s">
        <v>130</v>
      </c>
      <c r="BP789" s="0" t="s">
        <v>130</v>
      </c>
      <c r="BQ789" s="0" t="s">
        <v>130</v>
      </c>
      <c r="BR789" s="0" t="s">
        <v>130</v>
      </c>
      <c r="BS789" s="0" t="s">
        <v>130</v>
      </c>
      <c r="BT789" s="0" t="s">
        <v>130</v>
      </c>
      <c r="BU789" s="0" t="s">
        <v>130</v>
      </c>
      <c r="BV789" s="0" t="s">
        <v>130</v>
      </c>
      <c r="BW789" s="0" t="s">
        <v>130</v>
      </c>
      <c r="BX789" s="0" t="s">
        <v>130</v>
      </c>
      <c r="BY789" s="0" t="s">
        <v>130</v>
      </c>
      <c r="BZ789" s="0" t="s">
        <v>130</v>
      </c>
      <c r="CA789" s="0" t="s">
        <v>130</v>
      </c>
      <c r="CB789" s="0" t="s">
        <v>130</v>
      </c>
      <c r="CC789" s="0" t="s">
        <v>130</v>
      </c>
      <c r="CD789" s="0" t="s">
        <v>130</v>
      </c>
      <c r="CE789" s="0" t="s">
        <v>130</v>
      </c>
      <c r="CF789" s="0" t="s">
        <v>130</v>
      </c>
      <c r="CG789" s="0" t="s">
        <v>130</v>
      </c>
      <c r="CH789" s="0" t="s">
        <v>130</v>
      </c>
      <c r="CI789" s="0" t="s">
        <v>130</v>
      </c>
      <c r="CJ789" s="0" t="s">
        <v>130</v>
      </c>
      <c r="CK789" s="0" t="s">
        <v>130</v>
      </c>
      <c r="CL789" s="0" t="s">
        <v>130</v>
      </c>
      <c r="CM789" s="0" t="s">
        <v>130</v>
      </c>
      <c r="CN789" s="0" t="s">
        <v>130</v>
      </c>
      <c r="CO789" s="0" t="s">
        <v>130</v>
      </c>
      <c r="CP789" s="0" t="s">
        <v>130</v>
      </c>
      <c r="CQ789" s="0" t="s">
        <v>130</v>
      </c>
      <c r="CR789" s="0" t="s">
        <v>130</v>
      </c>
      <c r="CS789" s="0" t="s">
        <v>130</v>
      </c>
      <c r="CT789" s="0" t="s">
        <v>2477</v>
      </c>
    </row>
    <row r="790">
      <c r="A790" s="14">
        <v>115518</v>
      </c>
      <c r="B790" s="0" t="s">
        <v>2451</v>
      </c>
      <c r="C790" s="16">
        <f>HYPERLINK("https://eosportal.federatedhermes.com/companies/Q29tcGFueQppNjMxNjU=", "Schneider Electric SE")</f>
      </c>
      <c r="D790" s="0" t="s">
        <v>25</v>
      </c>
      <c r="E790" s="0" t="s">
        <v>2478</v>
      </c>
      <c r="F790" s="16">
        <f>HYPERLINK("https://eosportal.federatedhermes.com/engagements/RW5nYWdlbWVudAppMjIxOTQ=", "Anti-takeover defenses")</f>
      </c>
      <c r="G790" s="14" t="s">
        <v>2479</v>
      </c>
      <c r="H790" s="0" t="s">
        <v>141</v>
      </c>
      <c r="I790" s="14" t="s">
        <v>131</v>
      </c>
      <c r="J790" s="0" t="s">
        <v>145</v>
      </c>
      <c r="K790" s="0" t="s">
        <v>400</v>
      </c>
      <c r="L790" s="0" t="s">
        <v>507</v>
      </c>
      <c r="M790" s="0" t="s">
        <v>378</v>
      </c>
      <c r="N790" s="0" t="s">
        <v>1646</v>
      </c>
      <c r="O790" s="0" t="s">
        <v>176</v>
      </c>
      <c r="Q790" s="0" t="s">
        <v>130</v>
      </c>
      <c r="R790" s="0" t="s">
        <v>138</v>
      </c>
      <c r="S790" s="14">
        <v>0</v>
      </c>
      <c r="T790" s="0" t="s">
        <v>2480</v>
      </c>
      <c r="U790" s="0" t="s">
        <v>138</v>
      </c>
      <c r="V790" s="14" t="s">
        <v>138</v>
      </c>
      <c r="W790" s="0" t="s">
        <v>138</v>
      </c>
      <c r="X790" s="14" t="s">
        <v>138</v>
      </c>
      <c r="Y790" s="0" t="s">
        <v>138</v>
      </c>
      <c r="Z790" s="14" t="s">
        <v>138</v>
      </c>
      <c r="AA790" s="0" t="s">
        <v>138</v>
      </c>
      <c r="AB790" s="14" t="s">
        <v>138</v>
      </c>
      <c r="AD790" s="0" t="s">
        <v>138</v>
      </c>
      <c r="AF790" s="0">
        <v>0</v>
      </c>
      <c r="AG790" s="0">
        <v>0</v>
      </c>
      <c r="AH790" s="0" t="s">
        <v>140</v>
      </c>
      <c r="AI790" s="0" t="s">
        <v>138</v>
      </c>
      <c r="AL790" s="14"/>
      <c r="AN790" s="14"/>
      <c r="AQ790" s="0" t="s">
        <v>130</v>
      </c>
      <c r="AR790" s="0" t="s">
        <v>130</v>
      </c>
      <c r="AS790" s="0" t="s">
        <v>130</v>
      </c>
      <c r="AT790" s="0" t="s">
        <v>130</v>
      </c>
      <c r="AU790" s="0" t="s">
        <v>130</v>
      </c>
      <c r="AV790" s="0" t="s">
        <v>130</v>
      </c>
      <c r="AW790" s="0" t="s">
        <v>130</v>
      </c>
      <c r="AX790" s="0" t="s">
        <v>130</v>
      </c>
      <c r="AY790" s="0" t="s">
        <v>130</v>
      </c>
      <c r="AZ790" s="0" t="s">
        <v>130</v>
      </c>
      <c r="BA790" s="0" t="s">
        <v>130</v>
      </c>
      <c r="BB790" s="0" t="s">
        <v>130</v>
      </c>
      <c r="BC790" s="0" t="s">
        <v>130</v>
      </c>
      <c r="BD790" s="0" t="s">
        <v>130</v>
      </c>
      <c r="BE790" s="0" t="s">
        <v>130</v>
      </c>
      <c r="BF790" s="0" t="s">
        <v>130</v>
      </c>
      <c r="BG790" s="0" t="s">
        <v>130</v>
      </c>
      <c r="BH790" s="0" t="s">
        <v>130</v>
      </c>
      <c r="BI790" s="0" t="s">
        <v>130</v>
      </c>
      <c r="BJ790" s="0" t="s">
        <v>130</v>
      </c>
      <c r="BK790" s="0" t="s">
        <v>130</v>
      </c>
      <c r="BL790" s="0" t="s">
        <v>130</v>
      </c>
      <c r="BM790" s="0" t="s">
        <v>130</v>
      </c>
      <c r="BN790" s="0" t="s">
        <v>130</v>
      </c>
      <c r="BO790" s="0" t="s">
        <v>130</v>
      </c>
      <c r="BP790" s="0" t="s">
        <v>130</v>
      </c>
      <c r="BQ790" s="0" t="s">
        <v>130</v>
      </c>
      <c r="BR790" s="0" t="s">
        <v>130</v>
      </c>
      <c r="BS790" s="0" t="s">
        <v>130</v>
      </c>
      <c r="BT790" s="0" t="s">
        <v>130</v>
      </c>
      <c r="BU790" s="0" t="s">
        <v>130</v>
      </c>
      <c r="BV790" s="0" t="s">
        <v>130</v>
      </c>
      <c r="BW790" s="0" t="s">
        <v>130</v>
      </c>
      <c r="BX790" s="0" t="s">
        <v>130</v>
      </c>
      <c r="BY790" s="0" t="s">
        <v>130</v>
      </c>
      <c r="BZ790" s="0" t="s">
        <v>130</v>
      </c>
      <c r="CA790" s="0" t="s">
        <v>130</v>
      </c>
      <c r="CB790" s="0" t="s">
        <v>130</v>
      </c>
      <c r="CC790" s="0" t="s">
        <v>130</v>
      </c>
      <c r="CD790" s="0" t="s">
        <v>130</v>
      </c>
      <c r="CE790" s="0" t="s">
        <v>130</v>
      </c>
      <c r="CF790" s="0" t="s">
        <v>130</v>
      </c>
      <c r="CG790" s="0" t="s">
        <v>130</v>
      </c>
      <c r="CH790" s="0" t="s">
        <v>130</v>
      </c>
      <c r="CI790" s="0" t="s">
        <v>130</v>
      </c>
      <c r="CJ790" s="0" t="s">
        <v>130</v>
      </c>
      <c r="CK790" s="0" t="s">
        <v>130</v>
      </c>
      <c r="CL790" s="0" t="s">
        <v>130</v>
      </c>
      <c r="CM790" s="0" t="s">
        <v>130</v>
      </c>
      <c r="CN790" s="0" t="s">
        <v>130</v>
      </c>
      <c r="CO790" s="0" t="s">
        <v>130</v>
      </c>
      <c r="CP790" s="0" t="s">
        <v>130</v>
      </c>
      <c r="CQ790" s="0" t="s">
        <v>130</v>
      </c>
      <c r="CR790" s="0" t="s">
        <v>130</v>
      </c>
      <c r="CS790" s="0" t="s">
        <v>130</v>
      </c>
      <c r="CT790" s="0" t="s">
        <v>2481</v>
      </c>
    </row>
    <row r="791">
      <c r="A791" s="14">
        <v>115691</v>
      </c>
      <c r="B791" s="0" t="s">
        <v>2482</v>
      </c>
      <c r="C791" s="16">
        <f>HYPERLINK("https://eosportal.federatedhermes.com/companies/Q29tcGFueQppNjc3MzA=", "Deutsche Bank AG")</f>
      </c>
      <c r="D791" s="0" t="s">
        <v>25</v>
      </c>
      <c r="E791" s="0" t="s">
        <v>2483</v>
      </c>
      <c r="F791" s="16">
        <f>HYPERLINK("https://eosportal.federatedhermes.com/engagements/RW5nYWdlbWVudAppMjIxOTU=", "Management compensation")</f>
      </c>
      <c r="G791" s="14" t="s">
        <v>2484</v>
      </c>
      <c r="H791" s="0" t="s">
        <v>141</v>
      </c>
      <c r="I791" s="14" t="s">
        <v>191</v>
      </c>
      <c r="J791" s="0" t="s">
        <v>145</v>
      </c>
      <c r="K791" s="0" t="s">
        <v>146</v>
      </c>
      <c r="L791" s="0" t="s">
        <v>147</v>
      </c>
      <c r="M791" s="0" t="s">
        <v>378</v>
      </c>
      <c r="N791" s="0" t="s">
        <v>2485</v>
      </c>
      <c r="O791" s="0" t="s">
        <v>238</v>
      </c>
      <c r="Q791" s="0" t="s">
        <v>130</v>
      </c>
      <c r="R791" s="0" t="s">
        <v>138</v>
      </c>
      <c r="S791" s="14">
        <v>0</v>
      </c>
      <c r="T791" s="0" t="s">
        <v>387</v>
      </c>
      <c r="U791" s="0" t="s">
        <v>138</v>
      </c>
      <c r="V791" s="14" t="s">
        <v>138</v>
      </c>
      <c r="W791" s="0" t="s">
        <v>138</v>
      </c>
      <c r="X791" s="14" t="s">
        <v>138</v>
      </c>
      <c r="Y791" s="0" t="s">
        <v>138</v>
      </c>
      <c r="Z791" s="14" t="s">
        <v>138</v>
      </c>
      <c r="AA791" s="0" t="s">
        <v>138</v>
      </c>
      <c r="AB791" s="14" t="s">
        <v>138</v>
      </c>
      <c r="AD791" s="0" t="s">
        <v>138</v>
      </c>
      <c r="AF791" s="0">
        <v>0</v>
      </c>
      <c r="AG791" s="0">
        <v>0</v>
      </c>
      <c r="AH791" s="0" t="s">
        <v>140</v>
      </c>
      <c r="AI791" s="0" t="s">
        <v>138</v>
      </c>
      <c r="AL791" s="14"/>
      <c r="AN791" s="14"/>
      <c r="AQ791" s="0" t="s">
        <v>130</v>
      </c>
      <c r="AR791" s="0" t="s">
        <v>130</v>
      </c>
      <c r="AS791" s="0" t="s">
        <v>130</v>
      </c>
      <c r="AT791" s="0" t="s">
        <v>130</v>
      </c>
      <c r="AU791" s="0" t="s">
        <v>130</v>
      </c>
      <c r="AV791" s="0" t="s">
        <v>130</v>
      </c>
      <c r="AW791" s="0" t="s">
        <v>130</v>
      </c>
      <c r="AX791" s="0" t="s">
        <v>130</v>
      </c>
      <c r="AY791" s="0" t="s">
        <v>130</v>
      </c>
      <c r="AZ791" s="0" t="s">
        <v>130</v>
      </c>
      <c r="BA791" s="0" t="s">
        <v>130</v>
      </c>
      <c r="BB791" s="0" t="s">
        <v>130</v>
      </c>
      <c r="BC791" s="0" t="s">
        <v>130</v>
      </c>
      <c r="BD791" s="0" t="s">
        <v>130</v>
      </c>
      <c r="BE791" s="0" t="s">
        <v>130</v>
      </c>
      <c r="BF791" s="0" t="s">
        <v>130</v>
      </c>
      <c r="BG791" s="0" t="s">
        <v>130</v>
      </c>
      <c r="BH791" s="0" t="s">
        <v>130</v>
      </c>
      <c r="BI791" s="0" t="s">
        <v>130</v>
      </c>
      <c r="BJ791" s="0" t="s">
        <v>130</v>
      </c>
      <c r="BK791" s="0" t="s">
        <v>130</v>
      </c>
      <c r="BL791" s="0" t="s">
        <v>130</v>
      </c>
      <c r="BM791" s="0" t="s">
        <v>130</v>
      </c>
      <c r="BN791" s="0" t="s">
        <v>130</v>
      </c>
      <c r="BO791" s="0" t="s">
        <v>130</v>
      </c>
      <c r="BP791" s="0" t="s">
        <v>130</v>
      </c>
      <c r="BQ791" s="0" t="s">
        <v>130</v>
      </c>
      <c r="BR791" s="0" t="s">
        <v>130</v>
      </c>
      <c r="BS791" s="0" t="s">
        <v>130</v>
      </c>
      <c r="BT791" s="0" t="s">
        <v>130</v>
      </c>
      <c r="BU791" s="0" t="s">
        <v>130</v>
      </c>
      <c r="BV791" s="0" t="s">
        <v>130</v>
      </c>
      <c r="BW791" s="0" t="s">
        <v>130</v>
      </c>
      <c r="BX791" s="0" t="s">
        <v>130</v>
      </c>
      <c r="BY791" s="0" t="s">
        <v>130</v>
      </c>
      <c r="BZ791" s="0" t="s">
        <v>130</v>
      </c>
      <c r="CA791" s="0" t="s">
        <v>130</v>
      </c>
      <c r="CB791" s="0" t="s">
        <v>130</v>
      </c>
      <c r="CC791" s="0" t="s">
        <v>130</v>
      </c>
      <c r="CD791" s="0" t="s">
        <v>130</v>
      </c>
      <c r="CE791" s="0" t="s">
        <v>130</v>
      </c>
      <c r="CF791" s="0" t="s">
        <v>130</v>
      </c>
      <c r="CG791" s="0" t="s">
        <v>130</v>
      </c>
      <c r="CH791" s="0" t="s">
        <v>130</v>
      </c>
      <c r="CI791" s="0" t="s">
        <v>130</v>
      </c>
      <c r="CJ791" s="0" t="s">
        <v>130</v>
      </c>
      <c r="CK791" s="0" t="s">
        <v>130</v>
      </c>
      <c r="CL791" s="0" t="s">
        <v>130</v>
      </c>
      <c r="CM791" s="0" t="s">
        <v>130</v>
      </c>
      <c r="CN791" s="0" t="s">
        <v>130</v>
      </c>
      <c r="CO791" s="0" t="s">
        <v>130</v>
      </c>
      <c r="CP791" s="0" t="s">
        <v>130</v>
      </c>
      <c r="CQ791" s="0" t="s">
        <v>130</v>
      </c>
      <c r="CR791" s="0" t="s">
        <v>130</v>
      </c>
      <c r="CS791" s="0" t="s">
        <v>130</v>
      </c>
      <c r="CT791" s="0" t="s">
        <v>2486</v>
      </c>
    </row>
    <row r="792">
      <c r="A792" s="14">
        <v>115691</v>
      </c>
      <c r="B792" s="0" t="s">
        <v>2482</v>
      </c>
      <c r="C792" s="16">
        <f>HYPERLINK("https://eosportal.federatedhermes.com/companies/Q29tcGFueQppNjc3MzA=", "Deutsche Bank AG")</f>
      </c>
      <c r="D792" s="0" t="s">
        <v>25</v>
      </c>
      <c r="E792" s="0" t="s">
        <v>2487</v>
      </c>
      <c r="F792" s="16">
        <f>HYPERLINK("https://eosportal.federatedhermes.com/engagements/RW5nYWdlbWVudAppMjIxOTY=", "Strengthening of the supervisory board")</f>
      </c>
      <c r="G792" s="14" t="s">
        <v>2488</v>
      </c>
      <c r="H792" s="0" t="s">
        <v>141</v>
      </c>
      <c r="I792" s="14" t="s">
        <v>191</v>
      </c>
      <c r="J792" s="0" t="s">
        <v>145</v>
      </c>
      <c r="K792" s="0" t="s">
        <v>164</v>
      </c>
      <c r="L792" s="0" t="s">
        <v>165</v>
      </c>
      <c r="M792" s="0" t="s">
        <v>378</v>
      </c>
      <c r="N792" s="0" t="s">
        <v>2485</v>
      </c>
      <c r="O792" s="0" t="s">
        <v>238</v>
      </c>
      <c r="Q792" s="0" t="s">
        <v>130</v>
      </c>
      <c r="R792" s="0" t="s">
        <v>138</v>
      </c>
      <c r="S792" s="14">
        <v>0</v>
      </c>
      <c r="T792" s="0" t="s">
        <v>299</v>
      </c>
      <c r="U792" s="0" t="s">
        <v>138</v>
      </c>
      <c r="V792" s="14" t="s">
        <v>138</v>
      </c>
      <c r="W792" s="0" t="s">
        <v>138</v>
      </c>
      <c r="X792" s="14" t="s">
        <v>138</v>
      </c>
      <c r="Y792" s="0" t="s">
        <v>138</v>
      </c>
      <c r="Z792" s="14" t="s">
        <v>138</v>
      </c>
      <c r="AA792" s="0" t="s">
        <v>138</v>
      </c>
      <c r="AB792" s="14" t="s">
        <v>138</v>
      </c>
      <c r="AD792" s="0" t="s">
        <v>138</v>
      </c>
      <c r="AF792" s="0">
        <v>0</v>
      </c>
      <c r="AG792" s="0">
        <v>0</v>
      </c>
      <c r="AH792" s="0" t="s">
        <v>140</v>
      </c>
      <c r="AI792" s="0" t="s">
        <v>138</v>
      </c>
      <c r="AL792" s="14"/>
      <c r="AN792" s="14"/>
      <c r="AQ792" s="0" t="s">
        <v>130</v>
      </c>
      <c r="AR792" s="0" t="s">
        <v>130</v>
      </c>
      <c r="AS792" s="0" t="s">
        <v>130</v>
      </c>
      <c r="AT792" s="0" t="s">
        <v>130</v>
      </c>
      <c r="AU792" s="0" t="s">
        <v>130</v>
      </c>
      <c r="AV792" s="0" t="s">
        <v>130</v>
      </c>
      <c r="AW792" s="0" t="s">
        <v>130</v>
      </c>
      <c r="AX792" s="0" t="s">
        <v>130</v>
      </c>
      <c r="AY792" s="0" t="s">
        <v>130</v>
      </c>
      <c r="AZ792" s="0" t="s">
        <v>130</v>
      </c>
      <c r="BA792" s="0" t="s">
        <v>130</v>
      </c>
      <c r="BB792" s="0" t="s">
        <v>130</v>
      </c>
      <c r="BC792" s="0" t="s">
        <v>130</v>
      </c>
      <c r="BD792" s="0" t="s">
        <v>130</v>
      </c>
      <c r="BE792" s="0" t="s">
        <v>130</v>
      </c>
      <c r="BF792" s="0" t="s">
        <v>130</v>
      </c>
      <c r="BG792" s="0" t="s">
        <v>130</v>
      </c>
      <c r="BH792" s="0" t="s">
        <v>130</v>
      </c>
      <c r="BI792" s="0" t="s">
        <v>130</v>
      </c>
      <c r="BJ792" s="0" t="s">
        <v>130</v>
      </c>
      <c r="BK792" s="0" t="s">
        <v>130</v>
      </c>
      <c r="BL792" s="0" t="s">
        <v>130</v>
      </c>
      <c r="BM792" s="0" t="s">
        <v>130</v>
      </c>
      <c r="BN792" s="0" t="s">
        <v>130</v>
      </c>
      <c r="BO792" s="0" t="s">
        <v>130</v>
      </c>
      <c r="BP792" s="0" t="s">
        <v>130</v>
      </c>
      <c r="BQ792" s="0" t="s">
        <v>130</v>
      </c>
      <c r="BR792" s="0" t="s">
        <v>130</v>
      </c>
      <c r="BS792" s="0" t="s">
        <v>130</v>
      </c>
      <c r="BT792" s="0" t="s">
        <v>130</v>
      </c>
      <c r="BU792" s="0" t="s">
        <v>130</v>
      </c>
      <c r="BV792" s="0" t="s">
        <v>130</v>
      </c>
      <c r="BW792" s="0" t="s">
        <v>130</v>
      </c>
      <c r="BX792" s="0" t="s">
        <v>130</v>
      </c>
      <c r="BY792" s="0" t="s">
        <v>130</v>
      </c>
      <c r="BZ792" s="0" t="s">
        <v>130</v>
      </c>
      <c r="CA792" s="0" t="s">
        <v>130</v>
      </c>
      <c r="CB792" s="0" t="s">
        <v>130</v>
      </c>
      <c r="CC792" s="0" t="s">
        <v>130</v>
      </c>
      <c r="CD792" s="0" t="s">
        <v>130</v>
      </c>
      <c r="CE792" s="0" t="s">
        <v>130</v>
      </c>
      <c r="CF792" s="0" t="s">
        <v>130</v>
      </c>
      <c r="CG792" s="0" t="s">
        <v>130</v>
      </c>
      <c r="CH792" s="0" t="s">
        <v>130</v>
      </c>
      <c r="CI792" s="0" t="s">
        <v>130</v>
      </c>
      <c r="CJ792" s="0" t="s">
        <v>130</v>
      </c>
      <c r="CK792" s="0" t="s">
        <v>130</v>
      </c>
      <c r="CL792" s="0" t="s">
        <v>130</v>
      </c>
      <c r="CM792" s="0" t="s">
        <v>130</v>
      </c>
      <c r="CN792" s="0" t="s">
        <v>130</v>
      </c>
      <c r="CO792" s="0" t="s">
        <v>130</v>
      </c>
      <c r="CP792" s="0" t="s">
        <v>130</v>
      </c>
      <c r="CQ792" s="0" t="s">
        <v>130</v>
      </c>
      <c r="CR792" s="0" t="s">
        <v>130</v>
      </c>
      <c r="CS792" s="0" t="s">
        <v>130</v>
      </c>
      <c r="CT792" s="0" t="s">
        <v>2489</v>
      </c>
    </row>
    <row r="793">
      <c r="A793" s="14">
        <v>115691</v>
      </c>
      <c r="B793" s="0" t="s">
        <v>2482</v>
      </c>
      <c r="C793" s="16">
        <f>HYPERLINK("https://eosportal.federatedhermes.com/companies/Q29tcGFueQppNjc3MzA=", "Deutsche Bank AG")</f>
      </c>
      <c r="D793" s="0" t="s">
        <v>25</v>
      </c>
      <c r="E793" s="0" t="s">
        <v>2490</v>
      </c>
      <c r="F793" s="16">
        <f>HYPERLINK("https://eosportal.federatedhermes.com/engagements/RW5nYWdlbWVudAppMjIxOTc=", "Ensure a sound succession planning.")</f>
      </c>
      <c r="G793" s="14" t="s">
        <v>2490</v>
      </c>
      <c r="H793" s="0" t="s">
        <v>141</v>
      </c>
      <c r="I793" s="14" t="s">
        <v>191</v>
      </c>
      <c r="J793" s="0" t="s">
        <v>145</v>
      </c>
      <c r="K793" s="0" t="s">
        <v>164</v>
      </c>
      <c r="L793" s="0" t="s">
        <v>277</v>
      </c>
      <c r="M793" s="0" t="s">
        <v>378</v>
      </c>
      <c r="N793" s="0" t="s">
        <v>2485</v>
      </c>
      <c r="O793" s="0" t="s">
        <v>238</v>
      </c>
      <c r="Q793" s="0" t="s">
        <v>130</v>
      </c>
      <c r="R793" s="0" t="s">
        <v>138</v>
      </c>
      <c r="S793" s="14">
        <v>0</v>
      </c>
      <c r="T793" s="0" t="s">
        <v>303</v>
      </c>
      <c r="U793" s="0" t="s">
        <v>138</v>
      </c>
      <c r="V793" s="14" t="s">
        <v>138</v>
      </c>
      <c r="W793" s="0" t="s">
        <v>138</v>
      </c>
      <c r="X793" s="14" t="s">
        <v>138</v>
      </c>
      <c r="Y793" s="0" t="s">
        <v>138</v>
      </c>
      <c r="Z793" s="14" t="s">
        <v>138</v>
      </c>
      <c r="AA793" s="0" t="s">
        <v>138</v>
      </c>
      <c r="AB793" s="14" t="s">
        <v>138</v>
      </c>
      <c r="AD793" s="0" t="s">
        <v>138</v>
      </c>
      <c r="AF793" s="0">
        <v>0</v>
      </c>
      <c r="AG793" s="0">
        <v>0</v>
      </c>
      <c r="AH793" s="0" t="s">
        <v>140</v>
      </c>
      <c r="AI793" s="0" t="s">
        <v>138</v>
      </c>
      <c r="AL793" s="14"/>
      <c r="AN793" s="14"/>
      <c r="AQ793" s="0" t="s">
        <v>130</v>
      </c>
      <c r="AR793" s="0" t="s">
        <v>130</v>
      </c>
      <c r="AS793" s="0" t="s">
        <v>130</v>
      </c>
      <c r="AT793" s="0" t="s">
        <v>130</v>
      </c>
      <c r="AU793" s="0" t="s">
        <v>130</v>
      </c>
      <c r="AV793" s="0" t="s">
        <v>130</v>
      </c>
      <c r="AW793" s="0" t="s">
        <v>130</v>
      </c>
      <c r="AX793" s="0" t="s">
        <v>130</v>
      </c>
      <c r="AY793" s="0" t="s">
        <v>130</v>
      </c>
      <c r="AZ793" s="0" t="s">
        <v>130</v>
      </c>
      <c r="BA793" s="0" t="s">
        <v>130</v>
      </c>
      <c r="BB793" s="0" t="s">
        <v>130</v>
      </c>
      <c r="BC793" s="0" t="s">
        <v>130</v>
      </c>
      <c r="BD793" s="0" t="s">
        <v>130</v>
      </c>
      <c r="BE793" s="0" t="s">
        <v>130</v>
      </c>
      <c r="BF793" s="0" t="s">
        <v>130</v>
      </c>
      <c r="BG793" s="0" t="s">
        <v>130</v>
      </c>
      <c r="BH793" s="0" t="s">
        <v>130</v>
      </c>
      <c r="BI793" s="0" t="s">
        <v>130</v>
      </c>
      <c r="BJ793" s="0" t="s">
        <v>130</v>
      </c>
      <c r="BK793" s="0" t="s">
        <v>130</v>
      </c>
      <c r="BL793" s="0" t="s">
        <v>130</v>
      </c>
      <c r="BM793" s="0" t="s">
        <v>130</v>
      </c>
      <c r="BN793" s="0" t="s">
        <v>130</v>
      </c>
      <c r="BO793" s="0" t="s">
        <v>130</v>
      </c>
      <c r="BP793" s="0" t="s">
        <v>130</v>
      </c>
      <c r="BQ793" s="0" t="s">
        <v>130</v>
      </c>
      <c r="BR793" s="0" t="s">
        <v>130</v>
      </c>
      <c r="BS793" s="0" t="s">
        <v>130</v>
      </c>
      <c r="BT793" s="0" t="s">
        <v>130</v>
      </c>
      <c r="BU793" s="0" t="s">
        <v>130</v>
      </c>
      <c r="BV793" s="0" t="s">
        <v>130</v>
      </c>
      <c r="BW793" s="0" t="s">
        <v>130</v>
      </c>
      <c r="BX793" s="0" t="s">
        <v>130</v>
      </c>
      <c r="BY793" s="0" t="s">
        <v>130</v>
      </c>
      <c r="BZ793" s="0" t="s">
        <v>130</v>
      </c>
      <c r="CA793" s="0" t="s">
        <v>130</v>
      </c>
      <c r="CB793" s="0" t="s">
        <v>130</v>
      </c>
      <c r="CC793" s="0" t="s">
        <v>130</v>
      </c>
      <c r="CD793" s="0" t="s">
        <v>130</v>
      </c>
      <c r="CE793" s="0" t="s">
        <v>130</v>
      </c>
      <c r="CF793" s="0" t="s">
        <v>130</v>
      </c>
      <c r="CG793" s="0" t="s">
        <v>130</v>
      </c>
      <c r="CH793" s="0" t="s">
        <v>130</v>
      </c>
      <c r="CI793" s="0" t="s">
        <v>130</v>
      </c>
      <c r="CJ793" s="0" t="s">
        <v>130</v>
      </c>
      <c r="CK793" s="0" t="s">
        <v>130</v>
      </c>
      <c r="CL793" s="0" t="s">
        <v>130</v>
      </c>
      <c r="CM793" s="0" t="s">
        <v>130</v>
      </c>
      <c r="CN793" s="0" t="s">
        <v>130</v>
      </c>
      <c r="CO793" s="0" t="s">
        <v>130</v>
      </c>
      <c r="CP793" s="0" t="s">
        <v>130</v>
      </c>
      <c r="CQ793" s="0" t="s">
        <v>130</v>
      </c>
      <c r="CR793" s="0" t="s">
        <v>130</v>
      </c>
      <c r="CS793" s="0" t="s">
        <v>130</v>
      </c>
      <c r="CT793" s="0" t="s">
        <v>2491</v>
      </c>
    </row>
    <row r="794">
      <c r="A794" s="14">
        <v>115691</v>
      </c>
      <c r="B794" s="0" t="s">
        <v>2482</v>
      </c>
      <c r="C794" s="16">
        <f>HYPERLINK("https://eosportal.federatedhermes.com/companies/Q29tcGFueQppNjc3MzA=", "Deutsche Bank AG")</f>
      </c>
      <c r="D794" s="0" t="s">
        <v>25</v>
      </c>
      <c r="E794" s="0" t="s">
        <v>2492</v>
      </c>
      <c r="F794" s="16">
        <f>HYPERLINK("https://eosportal.federatedhermes.com/engagements/RW5nYWdlbWVudAppMjIxOTg=", "Employee compensation")</f>
      </c>
      <c r="G794" s="14" t="s">
        <v>2493</v>
      </c>
      <c r="H794" s="0" t="s">
        <v>141</v>
      </c>
      <c r="I794" s="14" t="s">
        <v>191</v>
      </c>
      <c r="J794" s="0" t="s">
        <v>145</v>
      </c>
      <c r="K794" s="0" t="s">
        <v>146</v>
      </c>
      <c r="L794" s="0" t="s">
        <v>147</v>
      </c>
      <c r="M794" s="0" t="s">
        <v>378</v>
      </c>
      <c r="N794" s="0" t="s">
        <v>2485</v>
      </c>
      <c r="O794" s="0" t="s">
        <v>238</v>
      </c>
      <c r="Q794" s="0" t="s">
        <v>130</v>
      </c>
      <c r="R794" s="0" t="s">
        <v>138</v>
      </c>
      <c r="S794" s="14">
        <v>0</v>
      </c>
      <c r="T794" s="0" t="s">
        <v>200</v>
      </c>
      <c r="U794" s="0" t="s">
        <v>138</v>
      </c>
      <c r="V794" s="14" t="s">
        <v>138</v>
      </c>
      <c r="W794" s="0" t="s">
        <v>138</v>
      </c>
      <c r="X794" s="14" t="s">
        <v>138</v>
      </c>
      <c r="Y794" s="0" t="s">
        <v>138</v>
      </c>
      <c r="Z794" s="14" t="s">
        <v>138</v>
      </c>
      <c r="AA794" s="0" t="s">
        <v>138</v>
      </c>
      <c r="AB794" s="14" t="s">
        <v>138</v>
      </c>
      <c r="AD794" s="0" t="s">
        <v>138</v>
      </c>
      <c r="AF794" s="0">
        <v>0</v>
      </c>
      <c r="AG794" s="0">
        <v>0</v>
      </c>
      <c r="AH794" s="0" t="s">
        <v>140</v>
      </c>
      <c r="AI794" s="0" t="s">
        <v>138</v>
      </c>
      <c r="AL794" s="14"/>
      <c r="AN794" s="14"/>
      <c r="AQ794" s="0" t="s">
        <v>130</v>
      </c>
      <c r="AR794" s="0" t="s">
        <v>130</v>
      </c>
      <c r="AS794" s="0" t="s">
        <v>130</v>
      </c>
      <c r="AT794" s="0" t="s">
        <v>130</v>
      </c>
      <c r="AU794" s="0" t="s">
        <v>130</v>
      </c>
      <c r="AV794" s="0" t="s">
        <v>130</v>
      </c>
      <c r="AW794" s="0" t="s">
        <v>130</v>
      </c>
      <c r="AX794" s="0" t="s">
        <v>130</v>
      </c>
      <c r="AY794" s="0" t="s">
        <v>130</v>
      </c>
      <c r="AZ794" s="0" t="s">
        <v>130</v>
      </c>
      <c r="BA794" s="0" t="s">
        <v>130</v>
      </c>
      <c r="BB794" s="0" t="s">
        <v>130</v>
      </c>
      <c r="BC794" s="0" t="s">
        <v>130</v>
      </c>
      <c r="BD794" s="0" t="s">
        <v>130</v>
      </c>
      <c r="BE794" s="0" t="s">
        <v>130</v>
      </c>
      <c r="BF794" s="0" t="s">
        <v>130</v>
      </c>
      <c r="BG794" s="0" t="s">
        <v>130</v>
      </c>
      <c r="BH794" s="0" t="s">
        <v>130</v>
      </c>
      <c r="BI794" s="0" t="s">
        <v>130</v>
      </c>
      <c r="BJ794" s="0" t="s">
        <v>130</v>
      </c>
      <c r="BK794" s="0" t="s">
        <v>130</v>
      </c>
      <c r="BL794" s="0" t="s">
        <v>130</v>
      </c>
      <c r="BM794" s="0" t="s">
        <v>130</v>
      </c>
      <c r="BN794" s="0" t="s">
        <v>130</v>
      </c>
      <c r="BO794" s="0" t="s">
        <v>130</v>
      </c>
      <c r="BP794" s="0" t="s">
        <v>130</v>
      </c>
      <c r="BQ794" s="0" t="s">
        <v>130</v>
      </c>
      <c r="BR794" s="0" t="s">
        <v>130</v>
      </c>
      <c r="BS794" s="0" t="s">
        <v>130</v>
      </c>
      <c r="BT794" s="0" t="s">
        <v>130</v>
      </c>
      <c r="BU794" s="0" t="s">
        <v>130</v>
      </c>
      <c r="BV794" s="0" t="s">
        <v>130</v>
      </c>
      <c r="BW794" s="0" t="s">
        <v>130</v>
      </c>
      <c r="BX794" s="0" t="s">
        <v>130</v>
      </c>
      <c r="BY794" s="0" t="s">
        <v>130</v>
      </c>
      <c r="BZ794" s="0" t="s">
        <v>130</v>
      </c>
      <c r="CA794" s="0" t="s">
        <v>130</v>
      </c>
      <c r="CB794" s="0" t="s">
        <v>130</v>
      </c>
      <c r="CC794" s="0" t="s">
        <v>130</v>
      </c>
      <c r="CD794" s="0" t="s">
        <v>130</v>
      </c>
      <c r="CE794" s="0" t="s">
        <v>130</v>
      </c>
      <c r="CF794" s="0" t="s">
        <v>130</v>
      </c>
      <c r="CG794" s="0" t="s">
        <v>130</v>
      </c>
      <c r="CH794" s="0" t="s">
        <v>130</v>
      </c>
      <c r="CI794" s="0" t="s">
        <v>130</v>
      </c>
      <c r="CJ794" s="0" t="s">
        <v>130</v>
      </c>
      <c r="CK794" s="0" t="s">
        <v>130</v>
      </c>
      <c r="CL794" s="0" t="s">
        <v>130</v>
      </c>
      <c r="CM794" s="0" t="s">
        <v>130</v>
      </c>
      <c r="CN794" s="0" t="s">
        <v>130</v>
      </c>
      <c r="CO794" s="0" t="s">
        <v>130</v>
      </c>
      <c r="CP794" s="0" t="s">
        <v>130</v>
      </c>
      <c r="CQ794" s="0" t="s">
        <v>130</v>
      </c>
      <c r="CR794" s="0" t="s">
        <v>130</v>
      </c>
      <c r="CS794" s="0" t="s">
        <v>130</v>
      </c>
      <c r="CT794" s="0" t="s">
        <v>2494</v>
      </c>
    </row>
    <row r="795">
      <c r="A795" s="14">
        <v>115691</v>
      </c>
      <c r="B795" s="0" t="s">
        <v>2482</v>
      </c>
      <c r="C795" s="16">
        <f>HYPERLINK("https://eosportal.federatedhermes.com/companies/Q29tcGFueQppNjc3MzA=", "Deutsche Bank AG")</f>
      </c>
      <c r="D795" s="0" t="s">
        <v>25</v>
      </c>
      <c r="E795" s="0" t="s">
        <v>912</v>
      </c>
      <c r="F795" s="16">
        <f>HYPERLINK("https://eosportal.federatedhermes.com/engagements/RW5nYWdlbWVudAppMjIyMDE=", "Executive remuneration")</f>
      </c>
      <c r="G795" s="14" t="s">
        <v>912</v>
      </c>
      <c r="H795" s="0" t="s">
        <v>141</v>
      </c>
      <c r="I795" s="14" t="s">
        <v>191</v>
      </c>
      <c r="J795" s="0" t="s">
        <v>145</v>
      </c>
      <c r="K795" s="0" t="s">
        <v>146</v>
      </c>
      <c r="L795" s="0" t="s">
        <v>147</v>
      </c>
      <c r="M795" s="0" t="s">
        <v>378</v>
      </c>
      <c r="N795" s="0" t="s">
        <v>2485</v>
      </c>
      <c r="O795" s="0" t="s">
        <v>238</v>
      </c>
      <c r="Q795" s="0" t="s">
        <v>130</v>
      </c>
      <c r="R795" s="0" t="s">
        <v>138</v>
      </c>
      <c r="S795" s="14">
        <v>0</v>
      </c>
      <c r="T795" s="0" t="s">
        <v>299</v>
      </c>
      <c r="U795" s="0" t="s">
        <v>138</v>
      </c>
      <c r="V795" s="14" t="s">
        <v>138</v>
      </c>
      <c r="W795" s="0" t="s">
        <v>138</v>
      </c>
      <c r="X795" s="14" t="s">
        <v>138</v>
      </c>
      <c r="Y795" s="0" t="s">
        <v>138</v>
      </c>
      <c r="Z795" s="14" t="s">
        <v>138</v>
      </c>
      <c r="AA795" s="0" t="s">
        <v>138</v>
      </c>
      <c r="AB795" s="14" t="s">
        <v>138</v>
      </c>
      <c r="AD795" s="0" t="s">
        <v>138</v>
      </c>
      <c r="AF795" s="0">
        <v>0</v>
      </c>
      <c r="AG795" s="0">
        <v>0</v>
      </c>
      <c r="AH795" s="0" t="s">
        <v>140</v>
      </c>
      <c r="AI795" s="0" t="s">
        <v>138</v>
      </c>
      <c r="AL795" s="14"/>
      <c r="AN795" s="14"/>
      <c r="AQ795" s="0" t="s">
        <v>130</v>
      </c>
      <c r="AR795" s="0" t="s">
        <v>130</v>
      </c>
      <c r="AS795" s="0" t="s">
        <v>130</v>
      </c>
      <c r="AT795" s="0" t="s">
        <v>130</v>
      </c>
      <c r="AU795" s="0" t="s">
        <v>130</v>
      </c>
      <c r="AV795" s="0" t="s">
        <v>130</v>
      </c>
      <c r="AW795" s="0" t="s">
        <v>130</v>
      </c>
      <c r="AX795" s="0" t="s">
        <v>130</v>
      </c>
      <c r="AY795" s="0" t="s">
        <v>130</v>
      </c>
      <c r="AZ795" s="0" t="s">
        <v>130</v>
      </c>
      <c r="BA795" s="0" t="s">
        <v>130</v>
      </c>
      <c r="BB795" s="0" t="s">
        <v>130</v>
      </c>
      <c r="BC795" s="0" t="s">
        <v>130</v>
      </c>
      <c r="BD795" s="0" t="s">
        <v>130</v>
      </c>
      <c r="BE795" s="0" t="s">
        <v>130</v>
      </c>
      <c r="BF795" s="0" t="s">
        <v>130</v>
      </c>
      <c r="BG795" s="0" t="s">
        <v>130</v>
      </c>
      <c r="BH795" s="0" t="s">
        <v>130</v>
      </c>
      <c r="BI795" s="0" t="s">
        <v>130</v>
      </c>
      <c r="BJ795" s="0" t="s">
        <v>130</v>
      </c>
      <c r="BK795" s="0" t="s">
        <v>130</v>
      </c>
      <c r="BL795" s="0" t="s">
        <v>130</v>
      </c>
      <c r="BM795" s="0" t="s">
        <v>130</v>
      </c>
      <c r="BN795" s="0" t="s">
        <v>130</v>
      </c>
      <c r="BO795" s="0" t="s">
        <v>130</v>
      </c>
      <c r="BP795" s="0" t="s">
        <v>130</v>
      </c>
      <c r="BQ795" s="0" t="s">
        <v>130</v>
      </c>
      <c r="BR795" s="0" t="s">
        <v>130</v>
      </c>
      <c r="BS795" s="0" t="s">
        <v>130</v>
      </c>
      <c r="BT795" s="0" t="s">
        <v>130</v>
      </c>
      <c r="BU795" s="0" t="s">
        <v>130</v>
      </c>
      <c r="BV795" s="0" t="s">
        <v>130</v>
      </c>
      <c r="BW795" s="0" t="s">
        <v>130</v>
      </c>
      <c r="BX795" s="0" t="s">
        <v>130</v>
      </c>
      <c r="BY795" s="0" t="s">
        <v>130</v>
      </c>
      <c r="BZ795" s="0" t="s">
        <v>130</v>
      </c>
      <c r="CA795" s="0" t="s">
        <v>130</v>
      </c>
      <c r="CB795" s="0" t="s">
        <v>130</v>
      </c>
      <c r="CC795" s="0" t="s">
        <v>130</v>
      </c>
      <c r="CD795" s="0" t="s">
        <v>130</v>
      </c>
      <c r="CE795" s="0" t="s">
        <v>130</v>
      </c>
      <c r="CF795" s="0" t="s">
        <v>130</v>
      </c>
      <c r="CG795" s="0" t="s">
        <v>130</v>
      </c>
      <c r="CH795" s="0" t="s">
        <v>130</v>
      </c>
      <c r="CI795" s="0" t="s">
        <v>130</v>
      </c>
      <c r="CJ795" s="0" t="s">
        <v>130</v>
      </c>
      <c r="CK795" s="0" t="s">
        <v>130</v>
      </c>
      <c r="CL795" s="0" t="s">
        <v>130</v>
      </c>
      <c r="CM795" s="0" t="s">
        <v>130</v>
      </c>
      <c r="CN795" s="0" t="s">
        <v>130</v>
      </c>
      <c r="CO795" s="0" t="s">
        <v>130</v>
      </c>
      <c r="CP795" s="0" t="s">
        <v>130</v>
      </c>
      <c r="CQ795" s="0" t="s">
        <v>130</v>
      </c>
      <c r="CR795" s="0" t="s">
        <v>130</v>
      </c>
      <c r="CS795" s="0" t="s">
        <v>130</v>
      </c>
      <c r="CT795" s="0" t="s">
        <v>2495</v>
      </c>
    </row>
    <row r="796">
      <c r="A796" s="14">
        <v>115691</v>
      </c>
      <c r="B796" s="0" t="s">
        <v>2482</v>
      </c>
      <c r="C796" s="16">
        <f>HYPERLINK("https://eosportal.federatedhermes.com/companies/Q29tcGFueQppNjc3MzA=", "Deutsche Bank AG")</f>
      </c>
      <c r="D796" s="0" t="s">
        <v>25</v>
      </c>
      <c r="E796" s="0" t="s">
        <v>1449</v>
      </c>
      <c r="F796" s="16">
        <f>HYPERLINK("https://eosportal.federatedhermes.com/engagements/RW5nYWdlbWVudAppMjIyMDc=", "Controversy linked to UNGC Principle 10: Corruption and bribery")</f>
      </c>
      <c r="G796" s="14" t="s">
        <v>2496</v>
      </c>
      <c r="H796" s="0" t="s">
        <v>141</v>
      </c>
      <c r="I796" s="14" t="s">
        <v>191</v>
      </c>
      <c r="J796" s="0" t="s">
        <v>153</v>
      </c>
      <c r="K796" s="0" t="s">
        <v>185</v>
      </c>
      <c r="L796" s="0" t="s">
        <v>186</v>
      </c>
      <c r="M796" s="0" t="s">
        <v>378</v>
      </c>
      <c r="N796" s="0" t="s">
        <v>2485</v>
      </c>
      <c r="O796" s="0" t="s">
        <v>238</v>
      </c>
      <c r="Q796" s="0" t="s">
        <v>130</v>
      </c>
      <c r="R796" s="0" t="s">
        <v>138</v>
      </c>
      <c r="S796" s="14">
        <v>0</v>
      </c>
      <c r="T796" s="0" t="s">
        <v>296</v>
      </c>
      <c r="U796" s="0" t="s">
        <v>138</v>
      </c>
      <c r="V796" s="14" t="s">
        <v>138</v>
      </c>
      <c r="W796" s="0" t="s">
        <v>138</v>
      </c>
      <c r="X796" s="14" t="s">
        <v>138</v>
      </c>
      <c r="Y796" s="0" t="s">
        <v>138</v>
      </c>
      <c r="Z796" s="14" t="s">
        <v>138</v>
      </c>
      <c r="AA796" s="0" t="s">
        <v>138</v>
      </c>
      <c r="AB796" s="14" t="s">
        <v>138</v>
      </c>
      <c r="AD796" s="0" t="s">
        <v>138</v>
      </c>
      <c r="AF796" s="0">
        <v>0</v>
      </c>
      <c r="AG796" s="0">
        <v>0</v>
      </c>
      <c r="AH796" s="0" t="s">
        <v>140</v>
      </c>
      <c r="AI796" s="0" t="s">
        <v>138</v>
      </c>
      <c r="AL796" s="14"/>
      <c r="AN796" s="14"/>
      <c r="AQ796" s="0" t="s">
        <v>130</v>
      </c>
      <c r="AR796" s="0" t="s">
        <v>130</v>
      </c>
      <c r="AS796" s="0" t="s">
        <v>130</v>
      </c>
      <c r="AT796" s="0" t="s">
        <v>130</v>
      </c>
      <c r="AU796" s="0" t="s">
        <v>130</v>
      </c>
      <c r="AV796" s="0" t="s">
        <v>130</v>
      </c>
      <c r="AW796" s="0" t="s">
        <v>130</v>
      </c>
      <c r="AX796" s="0" t="s">
        <v>130</v>
      </c>
      <c r="AY796" s="0" t="s">
        <v>130</v>
      </c>
      <c r="AZ796" s="0" t="s">
        <v>130</v>
      </c>
      <c r="BA796" s="0" t="s">
        <v>130</v>
      </c>
      <c r="BB796" s="0" t="s">
        <v>130</v>
      </c>
      <c r="BC796" s="0" t="s">
        <v>130</v>
      </c>
      <c r="BD796" s="0" t="s">
        <v>130</v>
      </c>
      <c r="BE796" s="0" t="s">
        <v>130</v>
      </c>
      <c r="BF796" s="0" t="s">
        <v>130</v>
      </c>
      <c r="BG796" s="0" t="s">
        <v>130</v>
      </c>
      <c r="BH796" s="0" t="s">
        <v>130</v>
      </c>
      <c r="BI796" s="0" t="s">
        <v>130</v>
      </c>
      <c r="BJ796" s="0" t="s">
        <v>130</v>
      </c>
      <c r="BK796" s="0" t="s">
        <v>130</v>
      </c>
      <c r="BL796" s="0" t="s">
        <v>130</v>
      </c>
      <c r="BM796" s="0" t="s">
        <v>130</v>
      </c>
      <c r="BN796" s="0" t="s">
        <v>130</v>
      </c>
      <c r="BO796" s="0" t="s">
        <v>130</v>
      </c>
      <c r="BP796" s="0" t="s">
        <v>141</v>
      </c>
      <c r="BQ796" s="0" t="s">
        <v>130</v>
      </c>
      <c r="BR796" s="0" t="s">
        <v>130</v>
      </c>
      <c r="BS796" s="0" t="s">
        <v>130</v>
      </c>
      <c r="BT796" s="0" t="s">
        <v>130</v>
      </c>
      <c r="BU796" s="0" t="s">
        <v>130</v>
      </c>
      <c r="BV796" s="0" t="s">
        <v>130</v>
      </c>
      <c r="BW796" s="0" t="s">
        <v>130</v>
      </c>
      <c r="BX796" s="0" t="s">
        <v>130</v>
      </c>
      <c r="BY796" s="0" t="s">
        <v>130</v>
      </c>
      <c r="BZ796" s="0" t="s">
        <v>130</v>
      </c>
      <c r="CA796" s="0" t="s">
        <v>130</v>
      </c>
      <c r="CB796" s="0" t="s">
        <v>130</v>
      </c>
      <c r="CC796" s="0" t="s">
        <v>130</v>
      </c>
      <c r="CD796" s="0" t="s">
        <v>130</v>
      </c>
      <c r="CE796" s="0" t="s">
        <v>130</v>
      </c>
      <c r="CF796" s="0" t="s">
        <v>130</v>
      </c>
      <c r="CG796" s="0" t="s">
        <v>130</v>
      </c>
      <c r="CH796" s="0" t="s">
        <v>130</v>
      </c>
      <c r="CI796" s="0" t="s">
        <v>130</v>
      </c>
      <c r="CJ796" s="0" t="s">
        <v>130</v>
      </c>
      <c r="CK796" s="0" t="s">
        <v>130</v>
      </c>
      <c r="CL796" s="0" t="s">
        <v>130</v>
      </c>
      <c r="CM796" s="0" t="s">
        <v>130</v>
      </c>
      <c r="CN796" s="0" t="s">
        <v>130</v>
      </c>
      <c r="CO796" s="0" t="s">
        <v>130</v>
      </c>
      <c r="CP796" s="0" t="s">
        <v>130</v>
      </c>
      <c r="CQ796" s="0" t="s">
        <v>130</v>
      </c>
      <c r="CR796" s="0" t="s">
        <v>130</v>
      </c>
      <c r="CS796" s="0" t="s">
        <v>130</v>
      </c>
      <c r="CT796" s="0" t="s">
        <v>2497</v>
      </c>
    </row>
    <row r="797">
      <c r="A797" s="14">
        <v>115691</v>
      </c>
      <c r="B797" s="0" t="s">
        <v>2482</v>
      </c>
      <c r="C797" s="16">
        <f>HYPERLINK("https://eosportal.federatedhermes.com/companies/Q29tcGFueQppNjc3MzA=", "Deutsche Bank AG")</f>
      </c>
      <c r="D797" s="0" t="s">
        <v>25</v>
      </c>
      <c r="E797" s="0" t="s">
        <v>2498</v>
      </c>
      <c r="F797" s="16">
        <f>HYPERLINK("https://eosportal.federatedhermes.com/engagements/RW5nYWdlbWVudAppMjIyMDk=", "Chair succession")</f>
      </c>
      <c r="G797" s="14" t="s">
        <v>2499</v>
      </c>
      <c r="H797" s="0" t="s">
        <v>141</v>
      </c>
      <c r="I797" s="14" t="s">
        <v>191</v>
      </c>
      <c r="J797" s="0" t="s">
        <v>145</v>
      </c>
      <c r="K797" s="0" t="s">
        <v>164</v>
      </c>
      <c r="L797" s="0" t="s">
        <v>277</v>
      </c>
      <c r="M797" s="0" t="s">
        <v>378</v>
      </c>
      <c r="N797" s="0" t="s">
        <v>2485</v>
      </c>
      <c r="O797" s="0" t="s">
        <v>238</v>
      </c>
      <c r="Q797" s="0" t="s">
        <v>130</v>
      </c>
      <c r="R797" s="0" t="s">
        <v>138</v>
      </c>
      <c r="S797" s="14">
        <v>0</v>
      </c>
      <c r="T797" s="0" t="s">
        <v>394</v>
      </c>
      <c r="U797" s="0" t="s">
        <v>138</v>
      </c>
      <c r="V797" s="14" t="s">
        <v>138</v>
      </c>
      <c r="W797" s="0" t="s">
        <v>138</v>
      </c>
      <c r="X797" s="14" t="s">
        <v>138</v>
      </c>
      <c r="Y797" s="0" t="s">
        <v>138</v>
      </c>
      <c r="Z797" s="14" t="s">
        <v>138</v>
      </c>
      <c r="AA797" s="0" t="s">
        <v>138</v>
      </c>
      <c r="AB797" s="14" t="s">
        <v>138</v>
      </c>
      <c r="AD797" s="0" t="s">
        <v>138</v>
      </c>
      <c r="AF797" s="0">
        <v>0</v>
      </c>
      <c r="AG797" s="0">
        <v>0</v>
      </c>
      <c r="AH797" s="0" t="s">
        <v>140</v>
      </c>
      <c r="AI797" s="0" t="s">
        <v>138</v>
      </c>
      <c r="AL797" s="14"/>
      <c r="AN797" s="14"/>
      <c r="AQ797" s="0" t="s">
        <v>130</v>
      </c>
      <c r="AR797" s="0" t="s">
        <v>130</v>
      </c>
      <c r="AS797" s="0" t="s">
        <v>130</v>
      </c>
      <c r="AT797" s="0" t="s">
        <v>130</v>
      </c>
      <c r="AU797" s="0" t="s">
        <v>130</v>
      </c>
      <c r="AV797" s="0" t="s">
        <v>130</v>
      </c>
      <c r="AW797" s="0" t="s">
        <v>130</v>
      </c>
      <c r="AX797" s="0" t="s">
        <v>130</v>
      </c>
      <c r="AY797" s="0" t="s">
        <v>130</v>
      </c>
      <c r="AZ797" s="0" t="s">
        <v>130</v>
      </c>
      <c r="BA797" s="0" t="s">
        <v>130</v>
      </c>
      <c r="BB797" s="0" t="s">
        <v>130</v>
      </c>
      <c r="BC797" s="0" t="s">
        <v>130</v>
      </c>
      <c r="BD797" s="0" t="s">
        <v>130</v>
      </c>
      <c r="BE797" s="0" t="s">
        <v>130</v>
      </c>
      <c r="BF797" s="0" t="s">
        <v>130</v>
      </c>
      <c r="BG797" s="0" t="s">
        <v>130</v>
      </c>
      <c r="BH797" s="0" t="s">
        <v>130</v>
      </c>
      <c r="BI797" s="0" t="s">
        <v>130</v>
      </c>
      <c r="BJ797" s="0" t="s">
        <v>130</v>
      </c>
      <c r="BK797" s="0" t="s">
        <v>130</v>
      </c>
      <c r="BL797" s="0" t="s">
        <v>130</v>
      </c>
      <c r="BM797" s="0" t="s">
        <v>130</v>
      </c>
      <c r="BN797" s="0" t="s">
        <v>130</v>
      </c>
      <c r="BO797" s="0" t="s">
        <v>130</v>
      </c>
      <c r="BP797" s="0" t="s">
        <v>130</v>
      </c>
      <c r="BQ797" s="0" t="s">
        <v>130</v>
      </c>
      <c r="BR797" s="0" t="s">
        <v>130</v>
      </c>
      <c r="BS797" s="0" t="s">
        <v>130</v>
      </c>
      <c r="BT797" s="0" t="s">
        <v>130</v>
      </c>
      <c r="BU797" s="0" t="s">
        <v>130</v>
      </c>
      <c r="BV797" s="0" t="s">
        <v>130</v>
      </c>
      <c r="BW797" s="0" t="s">
        <v>130</v>
      </c>
      <c r="BX797" s="0" t="s">
        <v>130</v>
      </c>
      <c r="BY797" s="0" t="s">
        <v>130</v>
      </c>
      <c r="BZ797" s="0" t="s">
        <v>130</v>
      </c>
      <c r="CA797" s="0" t="s">
        <v>130</v>
      </c>
      <c r="CB797" s="0" t="s">
        <v>130</v>
      </c>
      <c r="CC797" s="0" t="s">
        <v>130</v>
      </c>
      <c r="CD797" s="0" t="s">
        <v>130</v>
      </c>
      <c r="CE797" s="0" t="s">
        <v>130</v>
      </c>
      <c r="CF797" s="0" t="s">
        <v>130</v>
      </c>
      <c r="CG797" s="0" t="s">
        <v>130</v>
      </c>
      <c r="CH797" s="0" t="s">
        <v>130</v>
      </c>
      <c r="CI797" s="0" t="s">
        <v>130</v>
      </c>
      <c r="CJ797" s="0" t="s">
        <v>130</v>
      </c>
      <c r="CK797" s="0" t="s">
        <v>130</v>
      </c>
      <c r="CL797" s="0" t="s">
        <v>130</v>
      </c>
      <c r="CM797" s="0" t="s">
        <v>130</v>
      </c>
      <c r="CN797" s="0" t="s">
        <v>130</v>
      </c>
      <c r="CO797" s="0" t="s">
        <v>130</v>
      </c>
      <c r="CP797" s="0" t="s">
        <v>130</v>
      </c>
      <c r="CQ797" s="0" t="s">
        <v>130</v>
      </c>
      <c r="CR797" s="0" t="s">
        <v>130</v>
      </c>
      <c r="CS797" s="0" t="s">
        <v>130</v>
      </c>
      <c r="CT797" s="0" t="s">
        <v>2500</v>
      </c>
    </row>
    <row r="798">
      <c r="A798" s="14">
        <v>115691</v>
      </c>
      <c r="B798" s="0" t="s">
        <v>2482</v>
      </c>
      <c r="C798" s="16">
        <f>HYPERLINK("https://eosportal.federatedhermes.com/companies/Q29tcGFueQppNjc3MzA=", "Deutsche Bank AG")</f>
      </c>
      <c r="D798" s="0" t="s">
        <v>25</v>
      </c>
      <c r="E798" s="0" t="s">
        <v>2501</v>
      </c>
      <c r="F798" s="16">
        <f>HYPERLINK("https://eosportal.federatedhermes.com/engagements/RW5nYWdlbWVudAppMjIyMTA=", "Climate - low carbon transition")</f>
      </c>
      <c r="G798" s="14" t="s">
        <v>2502</v>
      </c>
      <c r="H798" s="0" t="s">
        <v>141</v>
      </c>
      <c r="I798" s="14" t="s">
        <v>191</v>
      </c>
      <c r="J798" s="0" t="s">
        <v>197</v>
      </c>
      <c r="K798" s="0" t="s">
        <v>198</v>
      </c>
      <c r="L798" s="0" t="s">
        <v>216</v>
      </c>
      <c r="M798" s="0" t="s">
        <v>378</v>
      </c>
      <c r="N798" s="0" t="s">
        <v>2485</v>
      </c>
      <c r="O798" s="0" t="s">
        <v>238</v>
      </c>
      <c r="Q798" s="0" t="s">
        <v>130</v>
      </c>
      <c r="R798" s="0" t="s">
        <v>138</v>
      </c>
      <c r="S798" s="14">
        <v>0</v>
      </c>
      <c r="T798" s="0" t="s">
        <v>583</v>
      </c>
      <c r="U798" s="0" t="s">
        <v>138</v>
      </c>
      <c r="V798" s="14" t="s">
        <v>138</v>
      </c>
      <c r="W798" s="0" t="s">
        <v>138</v>
      </c>
      <c r="X798" s="14" t="s">
        <v>138</v>
      </c>
      <c r="Y798" s="0" t="s">
        <v>138</v>
      </c>
      <c r="Z798" s="14" t="s">
        <v>138</v>
      </c>
      <c r="AA798" s="0" t="s">
        <v>138</v>
      </c>
      <c r="AB798" s="14" t="s">
        <v>138</v>
      </c>
      <c r="AD798" s="0" t="s">
        <v>138</v>
      </c>
      <c r="AF798" s="0">
        <v>0</v>
      </c>
      <c r="AG798" s="0">
        <v>0</v>
      </c>
      <c r="AH798" s="0" t="s">
        <v>140</v>
      </c>
      <c r="AI798" s="0" t="s">
        <v>138</v>
      </c>
      <c r="AL798" s="14"/>
      <c r="AN798" s="14"/>
      <c r="AQ798" s="0" t="s">
        <v>130</v>
      </c>
      <c r="AR798" s="0" t="s">
        <v>130</v>
      </c>
      <c r="AS798" s="0" t="s">
        <v>130</v>
      </c>
      <c r="AT798" s="0" t="s">
        <v>130</v>
      </c>
      <c r="AU798" s="0" t="s">
        <v>130</v>
      </c>
      <c r="AV798" s="0" t="s">
        <v>130</v>
      </c>
      <c r="AW798" s="0" t="s">
        <v>141</v>
      </c>
      <c r="AX798" s="0" t="s">
        <v>130</v>
      </c>
      <c r="AY798" s="0" t="s">
        <v>130</v>
      </c>
      <c r="AZ798" s="0" t="s">
        <v>130</v>
      </c>
      <c r="BA798" s="0" t="s">
        <v>130</v>
      </c>
      <c r="BB798" s="0" t="s">
        <v>130</v>
      </c>
      <c r="BC798" s="0" t="s">
        <v>141</v>
      </c>
      <c r="BD798" s="0" t="s">
        <v>130</v>
      </c>
      <c r="BE798" s="0" t="s">
        <v>130</v>
      </c>
      <c r="BF798" s="0" t="s">
        <v>130</v>
      </c>
      <c r="BG798" s="0" t="s">
        <v>130</v>
      </c>
      <c r="BH798" s="0" t="s">
        <v>141</v>
      </c>
      <c r="BI798" s="0" t="s">
        <v>141</v>
      </c>
      <c r="BJ798" s="0" t="s">
        <v>141</v>
      </c>
      <c r="BK798" s="0" t="s">
        <v>130</v>
      </c>
      <c r="BL798" s="0" t="s">
        <v>130</v>
      </c>
      <c r="BM798" s="0" t="s">
        <v>130</v>
      </c>
      <c r="BN798" s="0" t="s">
        <v>130</v>
      </c>
      <c r="BO798" s="0" t="s">
        <v>130</v>
      </c>
      <c r="BP798" s="0" t="s">
        <v>130</v>
      </c>
      <c r="BQ798" s="0" t="s">
        <v>130</v>
      </c>
      <c r="BR798" s="0" t="s">
        <v>130</v>
      </c>
      <c r="BS798" s="0" t="s">
        <v>130</v>
      </c>
      <c r="BT798" s="0" t="s">
        <v>130</v>
      </c>
      <c r="BU798" s="0" t="s">
        <v>130</v>
      </c>
      <c r="BV798" s="0" t="s">
        <v>141</v>
      </c>
      <c r="BW798" s="0" t="s">
        <v>141</v>
      </c>
      <c r="BX798" s="0" t="s">
        <v>130</v>
      </c>
      <c r="BY798" s="0" t="s">
        <v>130</v>
      </c>
      <c r="BZ798" s="0" t="s">
        <v>130</v>
      </c>
      <c r="CA798" s="0" t="s">
        <v>130</v>
      </c>
      <c r="CB798" s="0" t="s">
        <v>130</v>
      </c>
      <c r="CC798" s="0" t="s">
        <v>130</v>
      </c>
      <c r="CD798" s="0" t="s">
        <v>130</v>
      </c>
      <c r="CE798" s="0" t="s">
        <v>130</v>
      </c>
      <c r="CF798" s="0" t="s">
        <v>130</v>
      </c>
      <c r="CG798" s="0" t="s">
        <v>130</v>
      </c>
      <c r="CH798" s="0" t="s">
        <v>130</v>
      </c>
      <c r="CI798" s="0" t="s">
        <v>130</v>
      </c>
      <c r="CJ798" s="0" t="s">
        <v>130</v>
      </c>
      <c r="CK798" s="0" t="s">
        <v>130</v>
      </c>
      <c r="CL798" s="0" t="s">
        <v>130</v>
      </c>
      <c r="CM798" s="0" t="s">
        <v>130</v>
      </c>
      <c r="CN798" s="0" t="s">
        <v>130</v>
      </c>
      <c r="CO798" s="0" t="s">
        <v>130</v>
      </c>
      <c r="CP798" s="0" t="s">
        <v>130</v>
      </c>
      <c r="CQ798" s="0" t="s">
        <v>130</v>
      </c>
      <c r="CR798" s="0" t="s">
        <v>130</v>
      </c>
      <c r="CS798" s="0" t="s">
        <v>130</v>
      </c>
      <c r="CT798" s="0" t="s">
        <v>2503</v>
      </c>
    </row>
    <row r="799">
      <c r="A799" s="14">
        <v>115691</v>
      </c>
      <c r="B799" s="0" t="s">
        <v>2482</v>
      </c>
      <c r="C799" s="16">
        <f>HYPERLINK("https://eosportal.federatedhermes.com/companies/Q29tcGFueQppNjc3MzA=", "Deutsche Bank AG")</f>
      </c>
      <c r="D799" s="0" t="s">
        <v>25</v>
      </c>
      <c r="E799" s="0" t="s">
        <v>260</v>
      </c>
      <c r="F799" s="16">
        <f>HYPERLINK("https://eosportal.federatedhermes.com/engagements/RW5nYWdlbWVudAppMjIyMTE=", "Risk Management")</f>
      </c>
      <c r="G799" s="14" t="s">
        <v>260</v>
      </c>
      <c r="H799" s="0" t="s">
        <v>141</v>
      </c>
      <c r="I799" s="14" t="s">
        <v>191</v>
      </c>
      <c r="J799" s="0" t="s">
        <v>132</v>
      </c>
      <c r="K799" s="0" t="s">
        <v>260</v>
      </c>
      <c r="L799" s="0" t="s">
        <v>261</v>
      </c>
      <c r="M799" s="0" t="s">
        <v>378</v>
      </c>
      <c r="N799" s="0" t="s">
        <v>2485</v>
      </c>
      <c r="O799" s="0" t="s">
        <v>238</v>
      </c>
      <c r="Q799" s="0" t="s">
        <v>141</v>
      </c>
      <c r="R799" s="0" t="s">
        <v>138</v>
      </c>
      <c r="S799" s="14">
        <v>1</v>
      </c>
      <c r="T799" s="0" t="s">
        <v>299</v>
      </c>
      <c r="U799" s="0" t="s">
        <v>138</v>
      </c>
      <c r="V799" s="14" t="s">
        <v>138</v>
      </c>
      <c r="W799" s="0" t="s">
        <v>138</v>
      </c>
      <c r="X799" s="14" t="s">
        <v>138</v>
      </c>
      <c r="Y799" s="0" t="s">
        <v>138</v>
      </c>
      <c r="Z799" s="14" t="s">
        <v>138</v>
      </c>
      <c r="AA799" s="0" t="s">
        <v>138</v>
      </c>
      <c r="AB799" s="14" t="s">
        <v>138</v>
      </c>
      <c r="AD799" s="0" t="s">
        <v>138</v>
      </c>
      <c r="AF799" s="0">
        <v>0</v>
      </c>
      <c r="AG799" s="0">
        <v>0</v>
      </c>
      <c r="AH799" s="0" t="s">
        <v>140</v>
      </c>
      <c r="AI799" s="0" t="s">
        <v>138</v>
      </c>
      <c r="AK799" s="0" t="s">
        <v>714</v>
      </c>
      <c r="AL799" s="14"/>
      <c r="AN799" s="14"/>
      <c r="AQ799" s="0" t="s">
        <v>130</v>
      </c>
      <c r="AR799" s="0" t="s">
        <v>130</v>
      </c>
      <c r="AS799" s="0" t="s">
        <v>130</v>
      </c>
      <c r="AT799" s="0" t="s">
        <v>130</v>
      </c>
      <c r="AU799" s="0" t="s">
        <v>130</v>
      </c>
      <c r="AV799" s="0" t="s">
        <v>130</v>
      </c>
      <c r="AW799" s="0" t="s">
        <v>130</v>
      </c>
      <c r="AX799" s="0" t="s">
        <v>130</v>
      </c>
      <c r="AY799" s="0" t="s">
        <v>130</v>
      </c>
      <c r="AZ799" s="0" t="s">
        <v>130</v>
      </c>
      <c r="BA799" s="0" t="s">
        <v>130</v>
      </c>
      <c r="BB799" s="0" t="s">
        <v>130</v>
      </c>
      <c r="BC799" s="0" t="s">
        <v>130</v>
      </c>
      <c r="BD799" s="0" t="s">
        <v>130</v>
      </c>
      <c r="BE799" s="0" t="s">
        <v>130</v>
      </c>
      <c r="BF799" s="0" t="s">
        <v>130</v>
      </c>
      <c r="BG799" s="0" t="s">
        <v>130</v>
      </c>
      <c r="BH799" s="0" t="s">
        <v>130</v>
      </c>
      <c r="BI799" s="0" t="s">
        <v>130</v>
      </c>
      <c r="BJ799" s="0" t="s">
        <v>130</v>
      </c>
      <c r="BK799" s="0" t="s">
        <v>130</v>
      </c>
      <c r="BL799" s="0" t="s">
        <v>130</v>
      </c>
      <c r="BM799" s="0" t="s">
        <v>130</v>
      </c>
      <c r="BN799" s="0" t="s">
        <v>130</v>
      </c>
      <c r="BO799" s="0" t="s">
        <v>130</v>
      </c>
      <c r="BP799" s="0" t="s">
        <v>130</v>
      </c>
      <c r="BQ799" s="0" t="s">
        <v>130</v>
      </c>
      <c r="BR799" s="0" t="s">
        <v>130</v>
      </c>
      <c r="BS799" s="0" t="s">
        <v>130</v>
      </c>
      <c r="BT799" s="0" t="s">
        <v>130</v>
      </c>
      <c r="BU799" s="0" t="s">
        <v>130</v>
      </c>
      <c r="BV799" s="0" t="s">
        <v>130</v>
      </c>
      <c r="BW799" s="0" t="s">
        <v>130</v>
      </c>
      <c r="BX799" s="0" t="s">
        <v>130</v>
      </c>
      <c r="BY799" s="0" t="s">
        <v>130</v>
      </c>
      <c r="BZ799" s="0" t="s">
        <v>130</v>
      </c>
      <c r="CA799" s="0" t="s">
        <v>130</v>
      </c>
      <c r="CB799" s="0" t="s">
        <v>130</v>
      </c>
      <c r="CC799" s="0" t="s">
        <v>130</v>
      </c>
      <c r="CD799" s="0" t="s">
        <v>130</v>
      </c>
      <c r="CE799" s="0" t="s">
        <v>130</v>
      </c>
      <c r="CF799" s="0" t="s">
        <v>130</v>
      </c>
      <c r="CG799" s="0" t="s">
        <v>130</v>
      </c>
      <c r="CH799" s="0" t="s">
        <v>130</v>
      </c>
      <c r="CI799" s="0" t="s">
        <v>130</v>
      </c>
      <c r="CJ799" s="0" t="s">
        <v>130</v>
      </c>
      <c r="CK799" s="0" t="s">
        <v>130</v>
      </c>
      <c r="CL799" s="0" t="s">
        <v>130</v>
      </c>
      <c r="CM799" s="0" t="s">
        <v>130</v>
      </c>
      <c r="CN799" s="0" t="s">
        <v>130</v>
      </c>
      <c r="CO799" s="0" t="s">
        <v>130</v>
      </c>
      <c r="CP799" s="0" t="s">
        <v>130</v>
      </c>
      <c r="CQ799" s="0" t="s">
        <v>130</v>
      </c>
      <c r="CR799" s="0" t="s">
        <v>130</v>
      </c>
      <c r="CS799" s="0" t="s">
        <v>130</v>
      </c>
      <c r="CT799" s="0" t="s">
        <v>2504</v>
      </c>
    </row>
    <row r="800">
      <c r="A800" s="14">
        <v>115691</v>
      </c>
      <c r="B800" s="0" t="s">
        <v>2482</v>
      </c>
      <c r="C800" s="16">
        <f>HYPERLINK("https://eosportal.federatedhermes.com/companies/Q29tcGFueQppNjc3MzA=", "Deutsche Bank AG")</f>
      </c>
      <c r="D800" s="0" t="s">
        <v>25</v>
      </c>
      <c r="E800" s="0" t="s">
        <v>548</v>
      </c>
      <c r="F800" s="16">
        <f>HYPERLINK("https://eosportal.federatedhermes.com/engagements/RW5nYWdlbWVudAppMjIyMTI=", "Responsible Tax Practices")</f>
      </c>
      <c r="G800" s="14" t="s">
        <v>2505</v>
      </c>
      <c r="H800" s="0" t="s">
        <v>141</v>
      </c>
      <c r="I800" s="14" t="s">
        <v>191</v>
      </c>
      <c r="J800" s="0" t="s">
        <v>153</v>
      </c>
      <c r="K800" s="0" t="s">
        <v>185</v>
      </c>
      <c r="L800" s="0" t="s">
        <v>548</v>
      </c>
      <c r="M800" s="0" t="s">
        <v>378</v>
      </c>
      <c r="N800" s="0" t="s">
        <v>2485</v>
      </c>
      <c r="O800" s="0" t="s">
        <v>238</v>
      </c>
      <c r="Q800" s="0" t="s">
        <v>130</v>
      </c>
      <c r="R800" s="0" t="s">
        <v>138</v>
      </c>
      <c r="S800" s="14">
        <v>0</v>
      </c>
      <c r="T800" s="0" t="s">
        <v>166</v>
      </c>
      <c r="U800" s="0" t="s">
        <v>138</v>
      </c>
      <c r="V800" s="14" t="s">
        <v>138</v>
      </c>
      <c r="W800" s="0" t="s">
        <v>138</v>
      </c>
      <c r="X800" s="14" t="s">
        <v>138</v>
      </c>
      <c r="Y800" s="0" t="s">
        <v>138</v>
      </c>
      <c r="Z800" s="14" t="s">
        <v>138</v>
      </c>
      <c r="AA800" s="0" t="s">
        <v>138</v>
      </c>
      <c r="AB800" s="14" t="s">
        <v>138</v>
      </c>
      <c r="AD800" s="0" t="s">
        <v>138</v>
      </c>
      <c r="AF800" s="0">
        <v>0</v>
      </c>
      <c r="AG800" s="0">
        <v>0</v>
      </c>
      <c r="AH800" s="0" t="s">
        <v>140</v>
      </c>
      <c r="AI800" s="0" t="s">
        <v>138</v>
      </c>
      <c r="AL800" s="14"/>
      <c r="AN800" s="14"/>
      <c r="AQ800" s="0" t="s">
        <v>130</v>
      </c>
      <c r="AR800" s="0" t="s">
        <v>130</v>
      </c>
      <c r="AS800" s="0" t="s">
        <v>130</v>
      </c>
      <c r="AT800" s="0" t="s">
        <v>130</v>
      </c>
      <c r="AU800" s="0" t="s">
        <v>130</v>
      </c>
      <c r="AV800" s="0" t="s">
        <v>130</v>
      </c>
      <c r="AW800" s="0" t="s">
        <v>130</v>
      </c>
      <c r="AX800" s="0" t="s">
        <v>130</v>
      </c>
      <c r="AY800" s="0" t="s">
        <v>130</v>
      </c>
      <c r="AZ800" s="0" t="s">
        <v>130</v>
      </c>
      <c r="BA800" s="0" t="s">
        <v>130</v>
      </c>
      <c r="BB800" s="0" t="s">
        <v>130</v>
      </c>
      <c r="BC800" s="0" t="s">
        <v>130</v>
      </c>
      <c r="BD800" s="0" t="s">
        <v>130</v>
      </c>
      <c r="BE800" s="0" t="s">
        <v>130</v>
      </c>
      <c r="BF800" s="0" t="s">
        <v>130</v>
      </c>
      <c r="BG800" s="0" t="s">
        <v>130</v>
      </c>
      <c r="BH800" s="0" t="s">
        <v>130</v>
      </c>
      <c r="BI800" s="0" t="s">
        <v>130</v>
      </c>
      <c r="BJ800" s="0" t="s">
        <v>130</v>
      </c>
      <c r="BK800" s="0" t="s">
        <v>130</v>
      </c>
      <c r="BL800" s="0" t="s">
        <v>130</v>
      </c>
      <c r="BM800" s="0" t="s">
        <v>130</v>
      </c>
      <c r="BN800" s="0" t="s">
        <v>130</v>
      </c>
      <c r="BO800" s="0" t="s">
        <v>130</v>
      </c>
      <c r="BP800" s="0" t="s">
        <v>130</v>
      </c>
      <c r="BQ800" s="0" t="s">
        <v>130</v>
      </c>
      <c r="BR800" s="0" t="s">
        <v>130</v>
      </c>
      <c r="BS800" s="0" t="s">
        <v>130</v>
      </c>
      <c r="BT800" s="0" t="s">
        <v>130</v>
      </c>
      <c r="BU800" s="0" t="s">
        <v>130</v>
      </c>
      <c r="BV800" s="0" t="s">
        <v>130</v>
      </c>
      <c r="BW800" s="0" t="s">
        <v>130</v>
      </c>
      <c r="BX800" s="0" t="s">
        <v>130</v>
      </c>
      <c r="BY800" s="0" t="s">
        <v>130</v>
      </c>
      <c r="BZ800" s="0" t="s">
        <v>130</v>
      </c>
      <c r="CA800" s="0" t="s">
        <v>130</v>
      </c>
      <c r="CB800" s="0" t="s">
        <v>130</v>
      </c>
      <c r="CC800" s="0" t="s">
        <v>130</v>
      </c>
      <c r="CD800" s="0" t="s">
        <v>130</v>
      </c>
      <c r="CE800" s="0" t="s">
        <v>130</v>
      </c>
      <c r="CF800" s="0" t="s">
        <v>130</v>
      </c>
      <c r="CG800" s="0" t="s">
        <v>130</v>
      </c>
      <c r="CH800" s="0" t="s">
        <v>130</v>
      </c>
      <c r="CI800" s="0" t="s">
        <v>130</v>
      </c>
      <c r="CJ800" s="0" t="s">
        <v>130</v>
      </c>
      <c r="CK800" s="0" t="s">
        <v>130</v>
      </c>
      <c r="CL800" s="0" t="s">
        <v>130</v>
      </c>
      <c r="CM800" s="0" t="s">
        <v>130</v>
      </c>
      <c r="CN800" s="0" t="s">
        <v>130</v>
      </c>
      <c r="CO800" s="0" t="s">
        <v>130</v>
      </c>
      <c r="CP800" s="0" t="s">
        <v>130</v>
      </c>
      <c r="CQ800" s="0" t="s">
        <v>130</v>
      </c>
      <c r="CR800" s="0" t="s">
        <v>130</v>
      </c>
      <c r="CS800" s="0" t="s">
        <v>130</v>
      </c>
      <c r="CT800" s="0" t="s">
        <v>2506</v>
      </c>
    </row>
    <row r="801">
      <c r="A801" s="14">
        <v>115694</v>
      </c>
      <c r="B801" s="0" t="s">
        <v>2507</v>
      </c>
      <c r="C801" s="16">
        <f>HYPERLINK("https://eosportal.federatedhermes.com/companies/Q29tcGFueQppNTQ5NDQ=", "BASF SE")</f>
      </c>
      <c r="D801" s="0" t="s">
        <v>25</v>
      </c>
      <c r="E801" s="0" t="s">
        <v>2508</v>
      </c>
      <c r="F801" s="16">
        <f>HYPERLINK("https://eosportal.federatedhermes.com/engagements/RW5nYWdlbWVudAppMjIyMTc=", "Capital allocation")</f>
      </c>
      <c r="G801" s="14" t="s">
        <v>2509</v>
      </c>
      <c r="H801" s="0" t="s">
        <v>141</v>
      </c>
      <c r="I801" s="14" t="s">
        <v>1645</v>
      </c>
      <c r="J801" s="0" t="s">
        <v>132</v>
      </c>
      <c r="K801" s="0" t="s">
        <v>133</v>
      </c>
      <c r="L801" s="0" t="s">
        <v>753</v>
      </c>
      <c r="M801" s="0" t="s">
        <v>378</v>
      </c>
      <c r="N801" s="0" t="s">
        <v>2485</v>
      </c>
      <c r="O801" s="0" t="s">
        <v>706</v>
      </c>
      <c r="Q801" s="0" t="s">
        <v>130</v>
      </c>
      <c r="R801" s="0" t="s">
        <v>138</v>
      </c>
      <c r="S801" s="14">
        <v>0</v>
      </c>
      <c r="T801" s="0" t="s">
        <v>710</v>
      </c>
      <c r="U801" s="0" t="s">
        <v>138</v>
      </c>
      <c r="V801" s="14" t="s">
        <v>138</v>
      </c>
      <c r="W801" s="0" t="s">
        <v>138</v>
      </c>
      <c r="X801" s="14" t="s">
        <v>138</v>
      </c>
      <c r="Y801" s="0" t="s">
        <v>138</v>
      </c>
      <c r="Z801" s="14" t="s">
        <v>138</v>
      </c>
      <c r="AA801" s="0" t="s">
        <v>138</v>
      </c>
      <c r="AB801" s="14" t="s">
        <v>138</v>
      </c>
      <c r="AD801" s="0" t="s">
        <v>138</v>
      </c>
      <c r="AF801" s="0">
        <v>0</v>
      </c>
      <c r="AG801" s="0">
        <v>0</v>
      </c>
      <c r="AH801" s="0" t="s">
        <v>140</v>
      </c>
      <c r="AI801" s="0" t="s">
        <v>138</v>
      </c>
      <c r="AL801" s="14"/>
      <c r="AN801" s="14"/>
      <c r="AQ801" s="0" t="s">
        <v>130</v>
      </c>
      <c r="AR801" s="0" t="s">
        <v>130</v>
      </c>
      <c r="AS801" s="0" t="s">
        <v>130</v>
      </c>
      <c r="AT801" s="0" t="s">
        <v>130</v>
      </c>
      <c r="AU801" s="0" t="s">
        <v>130</v>
      </c>
      <c r="AV801" s="0" t="s">
        <v>130</v>
      </c>
      <c r="AW801" s="0" t="s">
        <v>130</v>
      </c>
      <c r="AX801" s="0" t="s">
        <v>130</v>
      </c>
      <c r="AY801" s="0" t="s">
        <v>130</v>
      </c>
      <c r="AZ801" s="0" t="s">
        <v>130</v>
      </c>
      <c r="BA801" s="0" t="s">
        <v>130</v>
      </c>
      <c r="BB801" s="0" t="s">
        <v>130</v>
      </c>
      <c r="BC801" s="0" t="s">
        <v>130</v>
      </c>
      <c r="BD801" s="0" t="s">
        <v>130</v>
      </c>
      <c r="BE801" s="0" t="s">
        <v>130</v>
      </c>
      <c r="BF801" s="0" t="s">
        <v>130</v>
      </c>
      <c r="BG801" s="0" t="s">
        <v>130</v>
      </c>
      <c r="BH801" s="0" t="s">
        <v>130</v>
      </c>
      <c r="BI801" s="0" t="s">
        <v>130</v>
      </c>
      <c r="BJ801" s="0" t="s">
        <v>130</v>
      </c>
      <c r="BK801" s="0" t="s">
        <v>130</v>
      </c>
      <c r="BL801" s="0" t="s">
        <v>130</v>
      </c>
      <c r="BM801" s="0" t="s">
        <v>130</v>
      </c>
      <c r="BN801" s="0" t="s">
        <v>130</v>
      </c>
      <c r="BO801" s="0" t="s">
        <v>130</v>
      </c>
      <c r="BP801" s="0" t="s">
        <v>130</v>
      </c>
      <c r="BQ801" s="0" t="s">
        <v>130</v>
      </c>
      <c r="BR801" s="0" t="s">
        <v>130</v>
      </c>
      <c r="BS801" s="0" t="s">
        <v>130</v>
      </c>
      <c r="BT801" s="0" t="s">
        <v>130</v>
      </c>
      <c r="BU801" s="0" t="s">
        <v>130</v>
      </c>
      <c r="BV801" s="0" t="s">
        <v>130</v>
      </c>
      <c r="BW801" s="0" t="s">
        <v>130</v>
      </c>
      <c r="BX801" s="0" t="s">
        <v>130</v>
      </c>
      <c r="BY801" s="0" t="s">
        <v>130</v>
      </c>
      <c r="BZ801" s="0" t="s">
        <v>130</v>
      </c>
      <c r="CA801" s="0" t="s">
        <v>130</v>
      </c>
      <c r="CB801" s="0" t="s">
        <v>130</v>
      </c>
      <c r="CC801" s="0" t="s">
        <v>130</v>
      </c>
      <c r="CD801" s="0" t="s">
        <v>130</v>
      </c>
      <c r="CE801" s="0" t="s">
        <v>130</v>
      </c>
      <c r="CF801" s="0" t="s">
        <v>130</v>
      </c>
      <c r="CG801" s="0" t="s">
        <v>130</v>
      </c>
      <c r="CH801" s="0" t="s">
        <v>130</v>
      </c>
      <c r="CI801" s="0" t="s">
        <v>130</v>
      </c>
      <c r="CJ801" s="0" t="s">
        <v>130</v>
      </c>
      <c r="CK801" s="0" t="s">
        <v>130</v>
      </c>
      <c r="CL801" s="0" t="s">
        <v>130</v>
      </c>
      <c r="CM801" s="0" t="s">
        <v>130</v>
      </c>
      <c r="CN801" s="0" t="s">
        <v>130</v>
      </c>
      <c r="CO801" s="0" t="s">
        <v>130</v>
      </c>
      <c r="CP801" s="0" t="s">
        <v>130</v>
      </c>
      <c r="CQ801" s="0" t="s">
        <v>130</v>
      </c>
      <c r="CR801" s="0" t="s">
        <v>130</v>
      </c>
      <c r="CS801" s="0" t="s">
        <v>130</v>
      </c>
      <c r="CT801" s="0" t="s">
        <v>2510</v>
      </c>
    </row>
    <row r="802">
      <c r="A802" s="14">
        <v>115694</v>
      </c>
      <c r="B802" s="0" t="s">
        <v>2507</v>
      </c>
      <c r="C802" s="16">
        <f>HYPERLINK("https://eosportal.federatedhermes.com/companies/Q29tcGFueQppNTQ5NDQ=", "BASF SE")</f>
      </c>
      <c r="D802" s="0" t="s">
        <v>25</v>
      </c>
      <c r="E802" s="0" t="s">
        <v>2511</v>
      </c>
      <c r="F802" s="16">
        <f>HYPERLINK("https://eosportal.federatedhermes.com/engagements/RW5nYWdlbWVudAppMjIyMTg=", "Gender diversity on supervisory board")</f>
      </c>
      <c r="G802" s="14" t="s">
        <v>2512</v>
      </c>
      <c r="H802" s="0" t="s">
        <v>141</v>
      </c>
      <c r="I802" s="14" t="s">
        <v>1645</v>
      </c>
      <c r="J802" s="0" t="s">
        <v>145</v>
      </c>
      <c r="K802" s="0" t="s">
        <v>164</v>
      </c>
      <c r="L802" s="0" t="s">
        <v>165</v>
      </c>
      <c r="M802" s="0" t="s">
        <v>378</v>
      </c>
      <c r="N802" s="0" t="s">
        <v>2485</v>
      </c>
      <c r="O802" s="0" t="s">
        <v>706</v>
      </c>
      <c r="Q802" s="0" t="s">
        <v>130</v>
      </c>
      <c r="R802" s="0" t="s">
        <v>138</v>
      </c>
      <c r="S802" s="14">
        <v>0</v>
      </c>
      <c r="T802" s="0" t="s">
        <v>457</v>
      </c>
      <c r="U802" s="0" t="s">
        <v>138</v>
      </c>
      <c r="V802" s="14" t="s">
        <v>138</v>
      </c>
      <c r="W802" s="0" t="s">
        <v>138</v>
      </c>
      <c r="X802" s="14" t="s">
        <v>138</v>
      </c>
      <c r="Y802" s="0" t="s">
        <v>138</v>
      </c>
      <c r="Z802" s="14" t="s">
        <v>138</v>
      </c>
      <c r="AA802" s="0" t="s">
        <v>138</v>
      </c>
      <c r="AB802" s="14" t="s">
        <v>138</v>
      </c>
      <c r="AD802" s="0" t="s">
        <v>138</v>
      </c>
      <c r="AF802" s="0">
        <v>0</v>
      </c>
      <c r="AG802" s="0">
        <v>0</v>
      </c>
      <c r="AH802" s="0" t="s">
        <v>140</v>
      </c>
      <c r="AI802" s="0" t="s">
        <v>138</v>
      </c>
      <c r="AL802" s="14"/>
      <c r="AN802" s="14"/>
      <c r="AQ802" s="0" t="s">
        <v>130</v>
      </c>
      <c r="AR802" s="0" t="s">
        <v>130</v>
      </c>
      <c r="AS802" s="0" t="s">
        <v>130</v>
      </c>
      <c r="AT802" s="0" t="s">
        <v>130</v>
      </c>
      <c r="AU802" s="0" t="s">
        <v>141</v>
      </c>
      <c r="AV802" s="0" t="s">
        <v>130</v>
      </c>
      <c r="AW802" s="0" t="s">
        <v>130</v>
      </c>
      <c r="AX802" s="0" t="s">
        <v>130</v>
      </c>
      <c r="AY802" s="0" t="s">
        <v>130</v>
      </c>
      <c r="AZ802" s="0" t="s">
        <v>130</v>
      </c>
      <c r="BA802" s="0" t="s">
        <v>130</v>
      </c>
      <c r="BB802" s="0" t="s">
        <v>130</v>
      </c>
      <c r="BC802" s="0" t="s">
        <v>130</v>
      </c>
      <c r="BD802" s="0" t="s">
        <v>130</v>
      </c>
      <c r="BE802" s="0" t="s">
        <v>130</v>
      </c>
      <c r="BF802" s="0" t="s">
        <v>130</v>
      </c>
      <c r="BG802" s="0" t="s">
        <v>130</v>
      </c>
      <c r="BH802" s="0" t="s">
        <v>130</v>
      </c>
      <c r="BI802" s="0" t="s">
        <v>130</v>
      </c>
      <c r="BJ802" s="0" t="s">
        <v>130</v>
      </c>
      <c r="BK802" s="0" t="s">
        <v>130</v>
      </c>
      <c r="BL802" s="0" t="s">
        <v>130</v>
      </c>
      <c r="BM802" s="0" t="s">
        <v>130</v>
      </c>
      <c r="BN802" s="0" t="s">
        <v>130</v>
      </c>
      <c r="BO802" s="0" t="s">
        <v>130</v>
      </c>
      <c r="BP802" s="0" t="s">
        <v>130</v>
      </c>
      <c r="BQ802" s="0" t="s">
        <v>130</v>
      </c>
      <c r="BR802" s="0" t="s">
        <v>130</v>
      </c>
      <c r="BS802" s="0" t="s">
        <v>130</v>
      </c>
      <c r="BT802" s="0" t="s">
        <v>130</v>
      </c>
      <c r="BU802" s="0" t="s">
        <v>130</v>
      </c>
      <c r="BV802" s="0" t="s">
        <v>130</v>
      </c>
      <c r="BW802" s="0" t="s">
        <v>130</v>
      </c>
      <c r="BX802" s="0" t="s">
        <v>130</v>
      </c>
      <c r="BY802" s="0" t="s">
        <v>130</v>
      </c>
      <c r="BZ802" s="0" t="s">
        <v>130</v>
      </c>
      <c r="CA802" s="0" t="s">
        <v>130</v>
      </c>
      <c r="CB802" s="0" t="s">
        <v>130</v>
      </c>
      <c r="CC802" s="0" t="s">
        <v>130</v>
      </c>
      <c r="CD802" s="0" t="s">
        <v>130</v>
      </c>
      <c r="CE802" s="0" t="s">
        <v>130</v>
      </c>
      <c r="CF802" s="0" t="s">
        <v>130</v>
      </c>
      <c r="CG802" s="0" t="s">
        <v>130</v>
      </c>
      <c r="CH802" s="0" t="s">
        <v>130</v>
      </c>
      <c r="CI802" s="0" t="s">
        <v>130</v>
      </c>
      <c r="CJ802" s="0" t="s">
        <v>130</v>
      </c>
      <c r="CK802" s="0" t="s">
        <v>130</v>
      </c>
      <c r="CL802" s="0" t="s">
        <v>130</v>
      </c>
      <c r="CM802" s="0" t="s">
        <v>130</v>
      </c>
      <c r="CN802" s="0" t="s">
        <v>130</v>
      </c>
      <c r="CO802" s="0" t="s">
        <v>130</v>
      </c>
      <c r="CP802" s="0" t="s">
        <v>130</v>
      </c>
      <c r="CQ802" s="0" t="s">
        <v>130</v>
      </c>
      <c r="CR802" s="0" t="s">
        <v>130</v>
      </c>
      <c r="CS802" s="0" t="s">
        <v>130</v>
      </c>
      <c r="CT802" s="0" t="s">
        <v>2513</v>
      </c>
    </row>
    <row r="803">
      <c r="A803" s="14">
        <v>115694</v>
      </c>
      <c r="B803" s="0" t="s">
        <v>2507</v>
      </c>
      <c r="C803" s="16">
        <f>HYPERLINK("https://eosportal.federatedhermes.com/companies/Q29tcGFueQppNTQ5NDQ=", "BASF SE")</f>
      </c>
      <c r="D803" s="0" t="s">
        <v>25</v>
      </c>
      <c r="E803" s="0" t="s">
        <v>729</v>
      </c>
      <c r="F803" s="16">
        <f>HYPERLINK("https://eosportal.federatedhermes.com/engagements/RW5nYWdlbWVudAppMjIyMTk=", "Board diversity")</f>
      </c>
      <c r="G803" s="14" t="s">
        <v>729</v>
      </c>
      <c r="H803" s="0" t="s">
        <v>141</v>
      </c>
      <c r="I803" s="14" t="s">
        <v>1645</v>
      </c>
      <c r="J803" s="0" t="s">
        <v>145</v>
      </c>
      <c r="K803" s="0" t="s">
        <v>164</v>
      </c>
      <c r="L803" s="0" t="s">
        <v>165</v>
      </c>
      <c r="M803" s="0" t="s">
        <v>378</v>
      </c>
      <c r="N803" s="0" t="s">
        <v>2485</v>
      </c>
      <c r="O803" s="0" t="s">
        <v>706</v>
      </c>
      <c r="Q803" s="0" t="s">
        <v>130</v>
      </c>
      <c r="R803" s="0" t="s">
        <v>138</v>
      </c>
      <c r="S803" s="14">
        <v>0</v>
      </c>
      <c r="T803" s="0" t="s">
        <v>707</v>
      </c>
      <c r="U803" s="0" t="s">
        <v>138</v>
      </c>
      <c r="V803" s="14" t="s">
        <v>138</v>
      </c>
      <c r="W803" s="0" t="s">
        <v>138</v>
      </c>
      <c r="X803" s="14" t="s">
        <v>138</v>
      </c>
      <c r="Y803" s="0" t="s">
        <v>138</v>
      </c>
      <c r="Z803" s="14" t="s">
        <v>138</v>
      </c>
      <c r="AA803" s="0" t="s">
        <v>138</v>
      </c>
      <c r="AB803" s="14" t="s">
        <v>138</v>
      </c>
      <c r="AD803" s="0" t="s">
        <v>138</v>
      </c>
      <c r="AF803" s="0">
        <v>0</v>
      </c>
      <c r="AG803" s="0">
        <v>0</v>
      </c>
      <c r="AH803" s="0" t="s">
        <v>140</v>
      </c>
      <c r="AI803" s="0" t="s">
        <v>138</v>
      </c>
      <c r="AL803" s="14"/>
      <c r="AN803" s="14"/>
      <c r="AQ803" s="0" t="s">
        <v>130</v>
      </c>
      <c r="AR803" s="0" t="s">
        <v>130</v>
      </c>
      <c r="AS803" s="0" t="s">
        <v>130</v>
      </c>
      <c r="AT803" s="0" t="s">
        <v>130</v>
      </c>
      <c r="AU803" s="0" t="s">
        <v>141</v>
      </c>
      <c r="AV803" s="0" t="s">
        <v>130</v>
      </c>
      <c r="AW803" s="0" t="s">
        <v>130</v>
      </c>
      <c r="AX803" s="0" t="s">
        <v>130</v>
      </c>
      <c r="AY803" s="0" t="s">
        <v>130</v>
      </c>
      <c r="AZ803" s="0" t="s">
        <v>141</v>
      </c>
      <c r="BA803" s="0" t="s">
        <v>130</v>
      </c>
      <c r="BB803" s="0" t="s">
        <v>130</v>
      </c>
      <c r="BC803" s="0" t="s">
        <v>130</v>
      </c>
      <c r="BD803" s="0" t="s">
        <v>130</v>
      </c>
      <c r="BE803" s="0" t="s">
        <v>130</v>
      </c>
      <c r="BF803" s="0" t="s">
        <v>130</v>
      </c>
      <c r="BG803" s="0" t="s">
        <v>130</v>
      </c>
      <c r="BH803" s="0" t="s">
        <v>130</v>
      </c>
      <c r="BI803" s="0" t="s">
        <v>130</v>
      </c>
      <c r="BJ803" s="0" t="s">
        <v>130</v>
      </c>
      <c r="BK803" s="0" t="s">
        <v>130</v>
      </c>
      <c r="BL803" s="0" t="s">
        <v>130</v>
      </c>
      <c r="BM803" s="0" t="s">
        <v>130</v>
      </c>
      <c r="BN803" s="0" t="s">
        <v>130</v>
      </c>
      <c r="BO803" s="0" t="s">
        <v>130</v>
      </c>
      <c r="BP803" s="0" t="s">
        <v>130</v>
      </c>
      <c r="BQ803" s="0" t="s">
        <v>130</v>
      </c>
      <c r="BR803" s="0" t="s">
        <v>130</v>
      </c>
      <c r="BS803" s="0" t="s">
        <v>130</v>
      </c>
      <c r="BT803" s="0" t="s">
        <v>130</v>
      </c>
      <c r="BU803" s="0" t="s">
        <v>130</v>
      </c>
      <c r="BV803" s="0" t="s">
        <v>130</v>
      </c>
      <c r="BW803" s="0" t="s">
        <v>130</v>
      </c>
      <c r="BX803" s="0" t="s">
        <v>130</v>
      </c>
      <c r="BY803" s="0" t="s">
        <v>130</v>
      </c>
      <c r="BZ803" s="0" t="s">
        <v>130</v>
      </c>
      <c r="CA803" s="0" t="s">
        <v>130</v>
      </c>
      <c r="CB803" s="0" t="s">
        <v>130</v>
      </c>
      <c r="CC803" s="0" t="s">
        <v>130</v>
      </c>
      <c r="CD803" s="0" t="s">
        <v>130</v>
      </c>
      <c r="CE803" s="0" t="s">
        <v>130</v>
      </c>
      <c r="CF803" s="0" t="s">
        <v>130</v>
      </c>
      <c r="CG803" s="0" t="s">
        <v>130</v>
      </c>
      <c r="CH803" s="0" t="s">
        <v>130</v>
      </c>
      <c r="CI803" s="0" t="s">
        <v>130</v>
      </c>
      <c r="CJ803" s="0" t="s">
        <v>130</v>
      </c>
      <c r="CK803" s="0" t="s">
        <v>130</v>
      </c>
      <c r="CL803" s="0" t="s">
        <v>130</v>
      </c>
      <c r="CM803" s="0" t="s">
        <v>130</v>
      </c>
      <c r="CN803" s="0" t="s">
        <v>130</v>
      </c>
      <c r="CO803" s="0" t="s">
        <v>130</v>
      </c>
      <c r="CP803" s="0" t="s">
        <v>130</v>
      </c>
      <c r="CQ803" s="0" t="s">
        <v>130</v>
      </c>
      <c r="CR803" s="0" t="s">
        <v>130</v>
      </c>
      <c r="CS803" s="0" t="s">
        <v>130</v>
      </c>
      <c r="CT803" s="0" t="s">
        <v>2514</v>
      </c>
    </row>
    <row r="804">
      <c r="A804" s="14">
        <v>115694</v>
      </c>
      <c r="B804" s="0" t="s">
        <v>2507</v>
      </c>
      <c r="C804" s="16">
        <f>HYPERLINK("https://eosportal.federatedhermes.com/companies/Q29tcGFueQppNTQ5NDQ=", "BASF SE")</f>
      </c>
      <c r="D804" s="0" t="s">
        <v>25</v>
      </c>
      <c r="E804" s="0" t="s">
        <v>1723</v>
      </c>
      <c r="F804" s="16">
        <f>HYPERLINK("https://eosportal.federatedhermes.com/engagements/RW5nYWdlbWVudAppMjIyMjA=", "Participate in the Statement of Significant Audiences and Materiality campaign")</f>
      </c>
      <c r="G804" s="14" t="s">
        <v>2515</v>
      </c>
      <c r="H804" s="0" t="s">
        <v>141</v>
      </c>
      <c r="I804" s="14" t="s">
        <v>1645</v>
      </c>
      <c r="J804" s="0" t="s">
        <v>132</v>
      </c>
      <c r="K804" s="0" t="s">
        <v>170</v>
      </c>
      <c r="L804" s="0" t="s">
        <v>171</v>
      </c>
      <c r="M804" s="0" t="s">
        <v>378</v>
      </c>
      <c r="N804" s="0" t="s">
        <v>2485</v>
      </c>
      <c r="O804" s="0" t="s">
        <v>706</v>
      </c>
      <c r="Q804" s="0" t="s">
        <v>130</v>
      </c>
      <c r="R804" s="0" t="s">
        <v>138</v>
      </c>
      <c r="S804" s="14">
        <v>0</v>
      </c>
      <c r="T804" s="0" t="s">
        <v>239</v>
      </c>
      <c r="U804" s="0" t="s">
        <v>138</v>
      </c>
      <c r="V804" s="14" t="s">
        <v>138</v>
      </c>
      <c r="W804" s="0" t="s">
        <v>138</v>
      </c>
      <c r="X804" s="14" t="s">
        <v>138</v>
      </c>
      <c r="Y804" s="0" t="s">
        <v>138</v>
      </c>
      <c r="Z804" s="14" t="s">
        <v>138</v>
      </c>
      <c r="AA804" s="0" t="s">
        <v>138</v>
      </c>
      <c r="AB804" s="14" t="s">
        <v>138</v>
      </c>
      <c r="AD804" s="0" t="s">
        <v>138</v>
      </c>
      <c r="AF804" s="0">
        <v>0</v>
      </c>
      <c r="AG804" s="0">
        <v>0</v>
      </c>
      <c r="AH804" s="0" t="s">
        <v>140</v>
      </c>
      <c r="AI804" s="0" t="s">
        <v>138</v>
      </c>
      <c r="AL804" s="14"/>
      <c r="AN804" s="14"/>
      <c r="AQ804" s="0" t="s">
        <v>130</v>
      </c>
      <c r="AR804" s="0" t="s">
        <v>130</v>
      </c>
      <c r="AS804" s="0" t="s">
        <v>130</v>
      </c>
      <c r="AT804" s="0" t="s">
        <v>130</v>
      </c>
      <c r="AU804" s="0" t="s">
        <v>130</v>
      </c>
      <c r="AV804" s="0" t="s">
        <v>130</v>
      </c>
      <c r="AW804" s="0" t="s">
        <v>130</v>
      </c>
      <c r="AX804" s="0" t="s">
        <v>130</v>
      </c>
      <c r="AY804" s="0" t="s">
        <v>130</v>
      </c>
      <c r="AZ804" s="0" t="s">
        <v>130</v>
      </c>
      <c r="BA804" s="0" t="s">
        <v>130</v>
      </c>
      <c r="BB804" s="0" t="s">
        <v>130</v>
      </c>
      <c r="BC804" s="0" t="s">
        <v>130</v>
      </c>
      <c r="BD804" s="0" t="s">
        <v>130</v>
      </c>
      <c r="BE804" s="0" t="s">
        <v>130</v>
      </c>
      <c r="BF804" s="0" t="s">
        <v>130</v>
      </c>
      <c r="BG804" s="0" t="s">
        <v>130</v>
      </c>
      <c r="BH804" s="0" t="s">
        <v>130</v>
      </c>
      <c r="BI804" s="0" t="s">
        <v>130</v>
      </c>
      <c r="BJ804" s="0" t="s">
        <v>130</v>
      </c>
      <c r="BK804" s="0" t="s">
        <v>130</v>
      </c>
      <c r="BL804" s="0" t="s">
        <v>130</v>
      </c>
      <c r="BM804" s="0" t="s">
        <v>130</v>
      </c>
      <c r="BN804" s="0" t="s">
        <v>130</v>
      </c>
      <c r="BO804" s="0" t="s">
        <v>130</v>
      </c>
      <c r="BP804" s="0" t="s">
        <v>130</v>
      </c>
      <c r="BQ804" s="0" t="s">
        <v>130</v>
      </c>
      <c r="BR804" s="0" t="s">
        <v>130</v>
      </c>
      <c r="BS804" s="0" t="s">
        <v>130</v>
      </c>
      <c r="BT804" s="0" t="s">
        <v>130</v>
      </c>
      <c r="BU804" s="0" t="s">
        <v>130</v>
      </c>
      <c r="BV804" s="0" t="s">
        <v>130</v>
      </c>
      <c r="BW804" s="0" t="s">
        <v>130</v>
      </c>
      <c r="BX804" s="0" t="s">
        <v>130</v>
      </c>
      <c r="BY804" s="0" t="s">
        <v>130</v>
      </c>
      <c r="BZ804" s="0" t="s">
        <v>130</v>
      </c>
      <c r="CA804" s="0" t="s">
        <v>130</v>
      </c>
      <c r="CB804" s="0" t="s">
        <v>130</v>
      </c>
      <c r="CC804" s="0" t="s">
        <v>130</v>
      </c>
      <c r="CD804" s="0" t="s">
        <v>130</v>
      </c>
      <c r="CE804" s="0" t="s">
        <v>130</v>
      </c>
      <c r="CF804" s="0" t="s">
        <v>130</v>
      </c>
      <c r="CG804" s="0" t="s">
        <v>130</v>
      </c>
      <c r="CH804" s="0" t="s">
        <v>130</v>
      </c>
      <c r="CI804" s="0" t="s">
        <v>130</v>
      </c>
      <c r="CJ804" s="0" t="s">
        <v>130</v>
      </c>
      <c r="CK804" s="0" t="s">
        <v>130</v>
      </c>
      <c r="CL804" s="0" t="s">
        <v>130</v>
      </c>
      <c r="CM804" s="0" t="s">
        <v>130</v>
      </c>
      <c r="CN804" s="0" t="s">
        <v>130</v>
      </c>
      <c r="CO804" s="0" t="s">
        <v>130</v>
      </c>
      <c r="CP804" s="0" t="s">
        <v>130</v>
      </c>
      <c r="CQ804" s="0" t="s">
        <v>130</v>
      </c>
      <c r="CR804" s="0" t="s">
        <v>130</v>
      </c>
      <c r="CS804" s="0" t="s">
        <v>130</v>
      </c>
      <c r="CT804" s="0" t="s">
        <v>2516</v>
      </c>
    </row>
    <row r="805">
      <c r="A805" s="14">
        <v>115694</v>
      </c>
      <c r="B805" s="0" t="s">
        <v>2507</v>
      </c>
      <c r="C805" s="16">
        <f>HYPERLINK("https://eosportal.federatedhermes.com/companies/Q29tcGFueQppNTQ5NDQ=", "BASF SE")</f>
      </c>
      <c r="D805" s="0" t="s">
        <v>25</v>
      </c>
      <c r="E805" s="0" t="s">
        <v>2517</v>
      </c>
      <c r="F805" s="16">
        <f>HYPERLINK("https://eosportal.federatedhermes.com/engagements/RW5nYWdlbWVudAppMjIyMjE=", "Management of tax risks")</f>
      </c>
      <c r="G805" s="14" t="s">
        <v>2518</v>
      </c>
      <c r="H805" s="0" t="s">
        <v>141</v>
      </c>
      <c r="I805" s="14" t="s">
        <v>1645</v>
      </c>
      <c r="J805" s="0" t="s">
        <v>153</v>
      </c>
      <c r="K805" s="0" t="s">
        <v>185</v>
      </c>
      <c r="L805" s="0" t="s">
        <v>548</v>
      </c>
      <c r="M805" s="0" t="s">
        <v>378</v>
      </c>
      <c r="N805" s="0" t="s">
        <v>2485</v>
      </c>
      <c r="O805" s="0" t="s">
        <v>706</v>
      </c>
      <c r="Q805" s="0" t="s">
        <v>130</v>
      </c>
      <c r="R805" s="0" t="s">
        <v>138</v>
      </c>
      <c r="S805" s="14">
        <v>0</v>
      </c>
      <c r="T805" s="0" t="s">
        <v>384</v>
      </c>
      <c r="U805" s="0" t="s">
        <v>138</v>
      </c>
      <c r="V805" s="14" t="s">
        <v>138</v>
      </c>
      <c r="W805" s="0" t="s">
        <v>138</v>
      </c>
      <c r="X805" s="14" t="s">
        <v>138</v>
      </c>
      <c r="Y805" s="0" t="s">
        <v>138</v>
      </c>
      <c r="Z805" s="14" t="s">
        <v>138</v>
      </c>
      <c r="AA805" s="0" t="s">
        <v>138</v>
      </c>
      <c r="AB805" s="14" t="s">
        <v>138</v>
      </c>
      <c r="AD805" s="0" t="s">
        <v>138</v>
      </c>
      <c r="AF805" s="0">
        <v>0</v>
      </c>
      <c r="AG805" s="0">
        <v>0</v>
      </c>
      <c r="AH805" s="0" t="s">
        <v>140</v>
      </c>
      <c r="AI805" s="0" t="s">
        <v>138</v>
      </c>
      <c r="AL805" s="14"/>
      <c r="AN805" s="14"/>
      <c r="AQ805" s="0" t="s">
        <v>130</v>
      </c>
      <c r="AR805" s="0" t="s">
        <v>130</v>
      </c>
      <c r="AS805" s="0" t="s">
        <v>130</v>
      </c>
      <c r="AT805" s="0" t="s">
        <v>130</v>
      </c>
      <c r="AU805" s="0" t="s">
        <v>130</v>
      </c>
      <c r="AV805" s="0" t="s">
        <v>130</v>
      </c>
      <c r="AW805" s="0" t="s">
        <v>130</v>
      </c>
      <c r="AX805" s="0" t="s">
        <v>130</v>
      </c>
      <c r="AY805" s="0" t="s">
        <v>130</v>
      </c>
      <c r="AZ805" s="0" t="s">
        <v>130</v>
      </c>
      <c r="BA805" s="0" t="s">
        <v>130</v>
      </c>
      <c r="BB805" s="0" t="s">
        <v>130</v>
      </c>
      <c r="BC805" s="0" t="s">
        <v>130</v>
      </c>
      <c r="BD805" s="0" t="s">
        <v>130</v>
      </c>
      <c r="BE805" s="0" t="s">
        <v>130</v>
      </c>
      <c r="BF805" s="0" t="s">
        <v>130</v>
      </c>
      <c r="BG805" s="0" t="s">
        <v>130</v>
      </c>
      <c r="BH805" s="0" t="s">
        <v>130</v>
      </c>
      <c r="BI805" s="0" t="s">
        <v>130</v>
      </c>
      <c r="BJ805" s="0" t="s">
        <v>130</v>
      </c>
      <c r="BK805" s="0" t="s">
        <v>130</v>
      </c>
      <c r="BL805" s="0" t="s">
        <v>130</v>
      </c>
      <c r="BM805" s="0" t="s">
        <v>130</v>
      </c>
      <c r="BN805" s="0" t="s">
        <v>130</v>
      </c>
      <c r="BO805" s="0" t="s">
        <v>130</v>
      </c>
      <c r="BP805" s="0" t="s">
        <v>130</v>
      </c>
      <c r="BQ805" s="0" t="s">
        <v>130</v>
      </c>
      <c r="BR805" s="0" t="s">
        <v>130</v>
      </c>
      <c r="BS805" s="0" t="s">
        <v>130</v>
      </c>
      <c r="BT805" s="0" t="s">
        <v>130</v>
      </c>
      <c r="BU805" s="0" t="s">
        <v>130</v>
      </c>
      <c r="BV805" s="0" t="s">
        <v>130</v>
      </c>
      <c r="BW805" s="0" t="s">
        <v>130</v>
      </c>
      <c r="BX805" s="0" t="s">
        <v>130</v>
      </c>
      <c r="BY805" s="0" t="s">
        <v>130</v>
      </c>
      <c r="BZ805" s="0" t="s">
        <v>130</v>
      </c>
      <c r="CA805" s="0" t="s">
        <v>130</v>
      </c>
      <c r="CB805" s="0" t="s">
        <v>130</v>
      </c>
      <c r="CC805" s="0" t="s">
        <v>130</v>
      </c>
      <c r="CD805" s="0" t="s">
        <v>130</v>
      </c>
      <c r="CE805" s="0" t="s">
        <v>130</v>
      </c>
      <c r="CF805" s="0" t="s">
        <v>130</v>
      </c>
      <c r="CG805" s="0" t="s">
        <v>130</v>
      </c>
      <c r="CH805" s="0" t="s">
        <v>130</v>
      </c>
      <c r="CI805" s="0" t="s">
        <v>130</v>
      </c>
      <c r="CJ805" s="0" t="s">
        <v>130</v>
      </c>
      <c r="CK805" s="0" t="s">
        <v>130</v>
      </c>
      <c r="CL805" s="0" t="s">
        <v>130</v>
      </c>
      <c r="CM805" s="0" t="s">
        <v>130</v>
      </c>
      <c r="CN805" s="0" t="s">
        <v>130</v>
      </c>
      <c r="CO805" s="0" t="s">
        <v>130</v>
      </c>
      <c r="CP805" s="0" t="s">
        <v>130</v>
      </c>
      <c r="CQ805" s="0" t="s">
        <v>130</v>
      </c>
      <c r="CR805" s="0" t="s">
        <v>130</v>
      </c>
      <c r="CS805" s="0" t="s">
        <v>130</v>
      </c>
      <c r="CT805" s="0" t="s">
        <v>2519</v>
      </c>
    </row>
    <row r="806">
      <c r="A806" s="14">
        <v>115694</v>
      </c>
      <c r="B806" s="0" t="s">
        <v>2507</v>
      </c>
      <c r="C806" s="16">
        <f>HYPERLINK("https://eosportal.federatedhermes.com/companies/Q29tcGFueQppNTQ5NDQ=", "BASF SE")</f>
      </c>
      <c r="D806" s="0" t="s">
        <v>25</v>
      </c>
      <c r="E806" s="0" t="s">
        <v>1670</v>
      </c>
      <c r="F806" s="16">
        <f>HYPERLINK("https://eosportal.federatedhermes.com/engagements/RW5nYWdlbWVudAppMjIyMjc=", "Coronavirus crisis")</f>
      </c>
      <c r="G806" s="14" t="s">
        <v>2520</v>
      </c>
      <c r="H806" s="0" t="s">
        <v>141</v>
      </c>
      <c r="I806" s="14" t="s">
        <v>1645</v>
      </c>
      <c r="J806" s="0" t="s">
        <v>132</v>
      </c>
      <c r="K806" s="0" t="s">
        <v>260</v>
      </c>
      <c r="L806" s="0" t="s">
        <v>261</v>
      </c>
      <c r="M806" s="0" t="s">
        <v>378</v>
      </c>
      <c r="N806" s="0" t="s">
        <v>2485</v>
      </c>
      <c r="O806" s="0" t="s">
        <v>706</v>
      </c>
      <c r="Q806" s="0" t="s">
        <v>130</v>
      </c>
      <c r="R806" s="0" t="s">
        <v>138</v>
      </c>
      <c r="S806" s="14">
        <v>0</v>
      </c>
      <c r="T806" s="0" t="s">
        <v>148</v>
      </c>
      <c r="U806" s="0" t="s">
        <v>138</v>
      </c>
      <c r="V806" s="14" t="s">
        <v>138</v>
      </c>
      <c r="W806" s="0" t="s">
        <v>138</v>
      </c>
      <c r="X806" s="14" t="s">
        <v>138</v>
      </c>
      <c r="Y806" s="0" t="s">
        <v>138</v>
      </c>
      <c r="Z806" s="14" t="s">
        <v>138</v>
      </c>
      <c r="AA806" s="0" t="s">
        <v>138</v>
      </c>
      <c r="AB806" s="14" t="s">
        <v>138</v>
      </c>
      <c r="AD806" s="0" t="s">
        <v>138</v>
      </c>
      <c r="AF806" s="0">
        <v>0</v>
      </c>
      <c r="AG806" s="0">
        <v>0</v>
      </c>
      <c r="AH806" s="0" t="s">
        <v>140</v>
      </c>
      <c r="AI806" s="0" t="s">
        <v>138</v>
      </c>
      <c r="AL806" s="14"/>
      <c r="AN806" s="14"/>
      <c r="AQ806" s="0" t="s">
        <v>130</v>
      </c>
      <c r="AR806" s="0" t="s">
        <v>130</v>
      </c>
      <c r="AS806" s="0" t="s">
        <v>130</v>
      </c>
      <c r="AT806" s="0" t="s">
        <v>130</v>
      </c>
      <c r="AU806" s="0" t="s">
        <v>130</v>
      </c>
      <c r="AV806" s="0" t="s">
        <v>130</v>
      </c>
      <c r="AW806" s="0" t="s">
        <v>130</v>
      </c>
      <c r="AX806" s="0" t="s">
        <v>130</v>
      </c>
      <c r="AY806" s="0" t="s">
        <v>130</v>
      </c>
      <c r="AZ806" s="0" t="s">
        <v>130</v>
      </c>
      <c r="BA806" s="0" t="s">
        <v>130</v>
      </c>
      <c r="BB806" s="0" t="s">
        <v>130</v>
      </c>
      <c r="BC806" s="0" t="s">
        <v>130</v>
      </c>
      <c r="BD806" s="0" t="s">
        <v>130</v>
      </c>
      <c r="BE806" s="0" t="s">
        <v>130</v>
      </c>
      <c r="BF806" s="0" t="s">
        <v>130</v>
      </c>
      <c r="BG806" s="0" t="s">
        <v>130</v>
      </c>
      <c r="BH806" s="0" t="s">
        <v>130</v>
      </c>
      <c r="BI806" s="0" t="s">
        <v>130</v>
      </c>
      <c r="BJ806" s="0" t="s">
        <v>130</v>
      </c>
      <c r="BK806" s="0" t="s">
        <v>130</v>
      </c>
      <c r="BL806" s="0" t="s">
        <v>130</v>
      </c>
      <c r="BM806" s="0" t="s">
        <v>130</v>
      </c>
      <c r="BN806" s="0" t="s">
        <v>130</v>
      </c>
      <c r="BO806" s="0" t="s">
        <v>130</v>
      </c>
      <c r="BP806" s="0" t="s">
        <v>130</v>
      </c>
      <c r="BQ806" s="0" t="s">
        <v>130</v>
      </c>
      <c r="BR806" s="0" t="s">
        <v>130</v>
      </c>
      <c r="BS806" s="0" t="s">
        <v>130</v>
      </c>
      <c r="BT806" s="0" t="s">
        <v>130</v>
      </c>
      <c r="BU806" s="0" t="s">
        <v>130</v>
      </c>
      <c r="BV806" s="0" t="s">
        <v>130</v>
      </c>
      <c r="BW806" s="0" t="s">
        <v>130</v>
      </c>
      <c r="BX806" s="0" t="s">
        <v>130</v>
      </c>
      <c r="BY806" s="0" t="s">
        <v>130</v>
      </c>
      <c r="BZ806" s="0" t="s">
        <v>130</v>
      </c>
      <c r="CA806" s="0" t="s">
        <v>130</v>
      </c>
      <c r="CB806" s="0" t="s">
        <v>130</v>
      </c>
      <c r="CC806" s="0" t="s">
        <v>130</v>
      </c>
      <c r="CD806" s="0" t="s">
        <v>130</v>
      </c>
      <c r="CE806" s="0" t="s">
        <v>130</v>
      </c>
      <c r="CF806" s="0" t="s">
        <v>130</v>
      </c>
      <c r="CG806" s="0" t="s">
        <v>130</v>
      </c>
      <c r="CH806" s="0" t="s">
        <v>130</v>
      </c>
      <c r="CI806" s="0" t="s">
        <v>130</v>
      </c>
      <c r="CJ806" s="0" t="s">
        <v>130</v>
      </c>
      <c r="CK806" s="0" t="s">
        <v>130</v>
      </c>
      <c r="CL806" s="0" t="s">
        <v>130</v>
      </c>
      <c r="CM806" s="0" t="s">
        <v>130</v>
      </c>
      <c r="CN806" s="0" t="s">
        <v>130</v>
      </c>
      <c r="CO806" s="0" t="s">
        <v>130</v>
      </c>
      <c r="CP806" s="0" t="s">
        <v>130</v>
      </c>
      <c r="CQ806" s="0" t="s">
        <v>130</v>
      </c>
      <c r="CR806" s="0" t="s">
        <v>130</v>
      </c>
      <c r="CS806" s="0" t="s">
        <v>130</v>
      </c>
      <c r="CT806" s="0" t="s">
        <v>2521</v>
      </c>
    </row>
    <row r="807">
      <c r="A807" s="14">
        <v>115694</v>
      </c>
      <c r="B807" s="0" t="s">
        <v>2507</v>
      </c>
      <c r="C807" s="16">
        <f>HYPERLINK("https://eosportal.federatedhermes.com/companies/Q29tcGFueQppNTQ5NDQ=", "BASF SE")</f>
      </c>
      <c r="D807" s="0" t="s">
        <v>25</v>
      </c>
      <c r="E807" s="0" t="s">
        <v>712</v>
      </c>
      <c r="F807" s="16">
        <f>HYPERLINK("https://eosportal.federatedhermes.com/engagements/RW5nYWdlbWVudAppMjIyMjg=", "Hazardous chemicals management")</f>
      </c>
      <c r="G807" s="14" t="s">
        <v>2522</v>
      </c>
      <c r="H807" s="0" t="s">
        <v>141</v>
      </c>
      <c r="I807" s="14" t="s">
        <v>1645</v>
      </c>
      <c r="J807" s="0" t="s">
        <v>197</v>
      </c>
      <c r="K807" s="0" t="s">
        <v>348</v>
      </c>
      <c r="L807" s="0" t="s">
        <v>650</v>
      </c>
      <c r="M807" s="0" t="s">
        <v>378</v>
      </c>
      <c r="N807" s="0" t="s">
        <v>2485</v>
      </c>
      <c r="O807" s="0" t="s">
        <v>706</v>
      </c>
      <c r="Q807" s="0" t="s">
        <v>141</v>
      </c>
      <c r="R807" s="0" t="s">
        <v>138</v>
      </c>
      <c r="S807" s="14">
        <v>1</v>
      </c>
      <c r="T807" s="0" t="s">
        <v>583</v>
      </c>
      <c r="U807" s="0" t="s">
        <v>138</v>
      </c>
      <c r="V807" s="14" t="s">
        <v>138</v>
      </c>
      <c r="W807" s="0" t="s">
        <v>138</v>
      </c>
      <c r="X807" s="14" t="s">
        <v>138</v>
      </c>
      <c r="Y807" s="0" t="s">
        <v>138</v>
      </c>
      <c r="Z807" s="14" t="s">
        <v>138</v>
      </c>
      <c r="AA807" s="0" t="s">
        <v>138</v>
      </c>
      <c r="AB807" s="14" t="s">
        <v>138</v>
      </c>
      <c r="AD807" s="0" t="s">
        <v>138</v>
      </c>
      <c r="AF807" s="0">
        <v>0</v>
      </c>
      <c r="AG807" s="0">
        <v>0</v>
      </c>
      <c r="AH807" s="0" t="s">
        <v>140</v>
      </c>
      <c r="AI807" s="0" t="s">
        <v>138</v>
      </c>
      <c r="AK807" s="0" t="s">
        <v>2523</v>
      </c>
      <c r="AL807" s="14"/>
      <c r="AN807" s="14"/>
      <c r="AQ807" s="0" t="s">
        <v>130</v>
      </c>
      <c r="AR807" s="0" t="s">
        <v>130</v>
      </c>
      <c r="AS807" s="0" t="s">
        <v>141</v>
      </c>
      <c r="AT807" s="0" t="s">
        <v>130</v>
      </c>
      <c r="AU807" s="0" t="s">
        <v>130</v>
      </c>
      <c r="AV807" s="0" t="s">
        <v>130</v>
      </c>
      <c r="AW807" s="0" t="s">
        <v>130</v>
      </c>
      <c r="AX807" s="0" t="s">
        <v>130</v>
      </c>
      <c r="AY807" s="0" t="s">
        <v>130</v>
      </c>
      <c r="AZ807" s="0" t="s">
        <v>130</v>
      </c>
      <c r="BA807" s="0" t="s">
        <v>130</v>
      </c>
      <c r="BB807" s="0" t="s">
        <v>141</v>
      </c>
      <c r="BC807" s="0" t="s">
        <v>130</v>
      </c>
      <c r="BD807" s="0" t="s">
        <v>130</v>
      </c>
      <c r="BE807" s="0" t="s">
        <v>130</v>
      </c>
      <c r="BF807" s="0" t="s">
        <v>130</v>
      </c>
      <c r="BG807" s="0" t="s">
        <v>130</v>
      </c>
      <c r="BH807" s="0" t="s">
        <v>130</v>
      </c>
      <c r="BI807" s="0" t="s">
        <v>130</v>
      </c>
      <c r="BJ807" s="0" t="s">
        <v>130</v>
      </c>
      <c r="BK807" s="0" t="s">
        <v>130</v>
      </c>
      <c r="BL807" s="0" t="s">
        <v>130</v>
      </c>
      <c r="BM807" s="0" t="s">
        <v>130</v>
      </c>
      <c r="BN807" s="0" t="s">
        <v>130</v>
      </c>
      <c r="BO807" s="0" t="s">
        <v>130</v>
      </c>
      <c r="BP807" s="0" t="s">
        <v>130</v>
      </c>
      <c r="BQ807" s="0" t="s">
        <v>130</v>
      </c>
      <c r="BR807" s="0" t="s">
        <v>130</v>
      </c>
      <c r="BS807" s="0" t="s">
        <v>130</v>
      </c>
      <c r="BT807" s="0" t="s">
        <v>130</v>
      </c>
      <c r="BU807" s="0" t="s">
        <v>130</v>
      </c>
      <c r="BV807" s="0" t="s">
        <v>130</v>
      </c>
      <c r="BW807" s="0" t="s">
        <v>130</v>
      </c>
      <c r="BX807" s="0" t="s">
        <v>130</v>
      </c>
      <c r="BY807" s="0" t="s">
        <v>130</v>
      </c>
      <c r="BZ807" s="0" t="s">
        <v>130</v>
      </c>
      <c r="CA807" s="0" t="s">
        <v>130</v>
      </c>
      <c r="CB807" s="0" t="s">
        <v>130</v>
      </c>
      <c r="CC807" s="0" t="s">
        <v>130</v>
      </c>
      <c r="CD807" s="0" t="s">
        <v>130</v>
      </c>
      <c r="CE807" s="0" t="s">
        <v>130</v>
      </c>
      <c r="CF807" s="0" t="s">
        <v>130</v>
      </c>
      <c r="CG807" s="0" t="s">
        <v>130</v>
      </c>
      <c r="CH807" s="0" t="s">
        <v>130</v>
      </c>
      <c r="CI807" s="0" t="s">
        <v>130</v>
      </c>
      <c r="CJ807" s="0" t="s">
        <v>130</v>
      </c>
      <c r="CK807" s="0" t="s">
        <v>130</v>
      </c>
      <c r="CL807" s="0" t="s">
        <v>130</v>
      </c>
      <c r="CM807" s="0" t="s">
        <v>130</v>
      </c>
      <c r="CN807" s="0" t="s">
        <v>130</v>
      </c>
      <c r="CO807" s="0" t="s">
        <v>130</v>
      </c>
      <c r="CP807" s="0" t="s">
        <v>130</v>
      </c>
      <c r="CQ807" s="0" t="s">
        <v>130</v>
      </c>
      <c r="CR807" s="0" t="s">
        <v>130</v>
      </c>
      <c r="CS807" s="0" t="s">
        <v>130</v>
      </c>
      <c r="CT807" s="0" t="s">
        <v>2524</v>
      </c>
    </row>
    <row r="808">
      <c r="A808" s="14">
        <v>115694</v>
      </c>
      <c r="B808" s="0" t="s">
        <v>2507</v>
      </c>
      <c r="C808" s="16">
        <f>HYPERLINK("https://eosportal.federatedhermes.com/companies/Q29tcGFueQppNTQ5NDQ=", "BASF SE")</f>
      </c>
      <c r="D808" s="0" t="s">
        <v>25</v>
      </c>
      <c r="E808" s="0" t="s">
        <v>2525</v>
      </c>
      <c r="F808" s="16">
        <f>HYPERLINK("https://eosportal.federatedhermes.com/engagements/RW5nYWdlbWVudAppMjIyMjk=", "Health and safety management")</f>
      </c>
      <c r="G808" s="14" t="s">
        <v>2526</v>
      </c>
      <c r="H808" s="0" t="s">
        <v>141</v>
      </c>
      <c r="I808" s="14" t="s">
        <v>1645</v>
      </c>
      <c r="J808" s="0" t="s">
        <v>153</v>
      </c>
      <c r="K808" s="0" t="s">
        <v>154</v>
      </c>
      <c r="L808" s="0" t="s">
        <v>155</v>
      </c>
      <c r="M808" s="0" t="s">
        <v>378</v>
      </c>
      <c r="N808" s="0" t="s">
        <v>2485</v>
      </c>
      <c r="O808" s="0" t="s">
        <v>706</v>
      </c>
      <c r="Q808" s="0" t="s">
        <v>130</v>
      </c>
      <c r="R808" s="0" t="s">
        <v>138</v>
      </c>
      <c r="S808" s="14">
        <v>0</v>
      </c>
      <c r="T808" s="0" t="s">
        <v>384</v>
      </c>
      <c r="U808" s="0" t="s">
        <v>138</v>
      </c>
      <c r="V808" s="14" t="s">
        <v>138</v>
      </c>
      <c r="W808" s="0" t="s">
        <v>138</v>
      </c>
      <c r="X808" s="14" t="s">
        <v>138</v>
      </c>
      <c r="Y808" s="0" t="s">
        <v>138</v>
      </c>
      <c r="Z808" s="14" t="s">
        <v>138</v>
      </c>
      <c r="AA808" s="0" t="s">
        <v>138</v>
      </c>
      <c r="AB808" s="14" t="s">
        <v>138</v>
      </c>
      <c r="AD808" s="0" t="s">
        <v>138</v>
      </c>
      <c r="AF808" s="0">
        <v>0</v>
      </c>
      <c r="AG808" s="0">
        <v>0</v>
      </c>
      <c r="AH808" s="0" t="s">
        <v>140</v>
      </c>
      <c r="AI808" s="0" t="s">
        <v>138</v>
      </c>
      <c r="AL808" s="14"/>
      <c r="AN808" s="14"/>
      <c r="AQ808" s="0" t="s">
        <v>130</v>
      </c>
      <c r="AR808" s="0" t="s">
        <v>130</v>
      </c>
      <c r="AS808" s="0" t="s">
        <v>130</v>
      </c>
      <c r="AT808" s="0" t="s">
        <v>130</v>
      </c>
      <c r="AU808" s="0" t="s">
        <v>130</v>
      </c>
      <c r="AV808" s="0" t="s">
        <v>130</v>
      </c>
      <c r="AW808" s="0" t="s">
        <v>130</v>
      </c>
      <c r="AX808" s="0" t="s">
        <v>141</v>
      </c>
      <c r="AY808" s="0" t="s">
        <v>130</v>
      </c>
      <c r="AZ808" s="0" t="s">
        <v>130</v>
      </c>
      <c r="BA808" s="0" t="s">
        <v>130</v>
      </c>
      <c r="BB808" s="0" t="s">
        <v>130</v>
      </c>
      <c r="BC808" s="0" t="s">
        <v>130</v>
      </c>
      <c r="BD808" s="0" t="s">
        <v>130</v>
      </c>
      <c r="BE808" s="0" t="s">
        <v>130</v>
      </c>
      <c r="BF808" s="0" t="s">
        <v>130</v>
      </c>
      <c r="BG808" s="0" t="s">
        <v>130</v>
      </c>
      <c r="BH808" s="0" t="s">
        <v>130</v>
      </c>
      <c r="BI808" s="0" t="s">
        <v>130</v>
      </c>
      <c r="BJ808" s="0" t="s">
        <v>130</v>
      </c>
      <c r="BK808" s="0" t="s">
        <v>130</v>
      </c>
      <c r="BL808" s="0" t="s">
        <v>130</v>
      </c>
      <c r="BM808" s="0" t="s">
        <v>130</v>
      </c>
      <c r="BN808" s="0" t="s">
        <v>130</v>
      </c>
      <c r="BO808" s="0" t="s">
        <v>130</v>
      </c>
      <c r="BP808" s="0" t="s">
        <v>130</v>
      </c>
      <c r="BQ808" s="0" t="s">
        <v>130</v>
      </c>
      <c r="BR808" s="0" t="s">
        <v>130</v>
      </c>
      <c r="BS808" s="0" t="s">
        <v>130</v>
      </c>
      <c r="BT808" s="0" t="s">
        <v>130</v>
      </c>
      <c r="BU808" s="0" t="s">
        <v>130</v>
      </c>
      <c r="BV808" s="0" t="s">
        <v>130</v>
      </c>
      <c r="BW808" s="0" t="s">
        <v>130</v>
      </c>
      <c r="BX808" s="0" t="s">
        <v>130</v>
      </c>
      <c r="BY808" s="0" t="s">
        <v>130</v>
      </c>
      <c r="BZ808" s="0" t="s">
        <v>130</v>
      </c>
      <c r="CA808" s="0" t="s">
        <v>130</v>
      </c>
      <c r="CB808" s="0" t="s">
        <v>130</v>
      </c>
      <c r="CC808" s="0" t="s">
        <v>130</v>
      </c>
      <c r="CD808" s="0" t="s">
        <v>130</v>
      </c>
      <c r="CE808" s="0" t="s">
        <v>130</v>
      </c>
      <c r="CF808" s="0" t="s">
        <v>130</v>
      </c>
      <c r="CG808" s="0" t="s">
        <v>130</v>
      </c>
      <c r="CH808" s="0" t="s">
        <v>130</v>
      </c>
      <c r="CI808" s="0" t="s">
        <v>141</v>
      </c>
      <c r="CJ808" s="0" t="s">
        <v>130</v>
      </c>
      <c r="CK808" s="0" t="s">
        <v>130</v>
      </c>
      <c r="CL808" s="0" t="s">
        <v>130</v>
      </c>
      <c r="CM808" s="0" t="s">
        <v>130</v>
      </c>
      <c r="CN808" s="0" t="s">
        <v>130</v>
      </c>
      <c r="CO808" s="0" t="s">
        <v>130</v>
      </c>
      <c r="CP808" s="0" t="s">
        <v>130</v>
      </c>
      <c r="CQ808" s="0" t="s">
        <v>130</v>
      </c>
      <c r="CR808" s="0" t="s">
        <v>130</v>
      </c>
      <c r="CS808" s="0" t="s">
        <v>130</v>
      </c>
      <c r="CT808" s="0" t="s">
        <v>2527</v>
      </c>
    </row>
    <row r="809">
      <c r="A809" s="14">
        <v>115694</v>
      </c>
      <c r="B809" s="0" t="s">
        <v>2507</v>
      </c>
      <c r="C809" s="16">
        <f>HYPERLINK("https://eosportal.federatedhermes.com/companies/Q29tcGFueQppNTQ5NDQ=", "BASF SE")</f>
      </c>
      <c r="D809" s="0" t="s">
        <v>25</v>
      </c>
      <c r="E809" s="0" t="s">
        <v>2528</v>
      </c>
      <c r="F809" s="16">
        <f>HYPERLINK("https://eosportal.federatedhermes.com/engagements/RW5nYWdlbWVudAppMjIyMzQ=", "Sustainability Strategy")</f>
      </c>
      <c r="G809" s="14" t="s">
        <v>2528</v>
      </c>
      <c r="H809" s="0" t="s">
        <v>141</v>
      </c>
      <c r="I809" s="14" t="s">
        <v>1645</v>
      </c>
      <c r="J809" s="0" t="s">
        <v>132</v>
      </c>
      <c r="K809" s="0" t="s">
        <v>133</v>
      </c>
      <c r="L809" s="0" t="s">
        <v>160</v>
      </c>
      <c r="M809" s="0" t="s">
        <v>378</v>
      </c>
      <c r="N809" s="0" t="s">
        <v>2485</v>
      </c>
      <c r="O809" s="0" t="s">
        <v>706</v>
      </c>
      <c r="Q809" s="0" t="s">
        <v>141</v>
      </c>
      <c r="R809" s="0" t="s">
        <v>138</v>
      </c>
      <c r="S809" s="14">
        <v>1</v>
      </c>
      <c r="T809" s="0" t="s">
        <v>435</v>
      </c>
      <c r="U809" s="0" t="s">
        <v>138</v>
      </c>
      <c r="V809" s="14" t="s">
        <v>138</v>
      </c>
      <c r="W809" s="0" t="s">
        <v>138</v>
      </c>
      <c r="X809" s="14" t="s">
        <v>138</v>
      </c>
      <c r="Y809" s="0" t="s">
        <v>138</v>
      </c>
      <c r="Z809" s="14" t="s">
        <v>138</v>
      </c>
      <c r="AA809" s="0" t="s">
        <v>138</v>
      </c>
      <c r="AB809" s="14" t="s">
        <v>138</v>
      </c>
      <c r="AD809" s="0" t="s">
        <v>138</v>
      </c>
      <c r="AF809" s="0">
        <v>0</v>
      </c>
      <c r="AG809" s="0">
        <v>0</v>
      </c>
      <c r="AH809" s="0" t="s">
        <v>140</v>
      </c>
      <c r="AI809" s="0" t="s">
        <v>138</v>
      </c>
      <c r="AK809" s="0" t="s">
        <v>2529</v>
      </c>
      <c r="AL809" s="14"/>
      <c r="AN809" s="14"/>
      <c r="AQ809" s="0" t="s">
        <v>130</v>
      </c>
      <c r="AR809" s="0" t="s">
        <v>130</v>
      </c>
      <c r="AS809" s="0" t="s">
        <v>130</v>
      </c>
      <c r="AT809" s="0" t="s">
        <v>130</v>
      </c>
      <c r="AU809" s="0" t="s">
        <v>130</v>
      </c>
      <c r="AV809" s="0" t="s">
        <v>130</v>
      </c>
      <c r="AW809" s="0" t="s">
        <v>130</v>
      </c>
      <c r="AX809" s="0" t="s">
        <v>130</v>
      </c>
      <c r="AY809" s="0" t="s">
        <v>130</v>
      </c>
      <c r="AZ809" s="0" t="s">
        <v>130</v>
      </c>
      <c r="BA809" s="0" t="s">
        <v>130</v>
      </c>
      <c r="BB809" s="0" t="s">
        <v>130</v>
      </c>
      <c r="BC809" s="0" t="s">
        <v>130</v>
      </c>
      <c r="BD809" s="0" t="s">
        <v>130</v>
      </c>
      <c r="BE809" s="0" t="s">
        <v>130</v>
      </c>
      <c r="BF809" s="0" t="s">
        <v>130</v>
      </c>
      <c r="BG809" s="0" t="s">
        <v>130</v>
      </c>
      <c r="BH809" s="0" t="s">
        <v>130</v>
      </c>
      <c r="BI809" s="0" t="s">
        <v>130</v>
      </c>
      <c r="BJ809" s="0" t="s">
        <v>130</v>
      </c>
      <c r="BK809" s="0" t="s">
        <v>130</v>
      </c>
      <c r="BL809" s="0" t="s">
        <v>130</v>
      </c>
      <c r="BM809" s="0" t="s">
        <v>130</v>
      </c>
      <c r="BN809" s="0" t="s">
        <v>130</v>
      </c>
      <c r="BO809" s="0" t="s">
        <v>130</v>
      </c>
      <c r="BP809" s="0" t="s">
        <v>130</v>
      </c>
      <c r="BQ809" s="0" t="s">
        <v>130</v>
      </c>
      <c r="BR809" s="0" t="s">
        <v>130</v>
      </c>
      <c r="BS809" s="0" t="s">
        <v>130</v>
      </c>
      <c r="BT809" s="0" t="s">
        <v>130</v>
      </c>
      <c r="BU809" s="0" t="s">
        <v>130</v>
      </c>
      <c r="BV809" s="0" t="s">
        <v>130</v>
      </c>
      <c r="BW809" s="0" t="s">
        <v>130</v>
      </c>
      <c r="BX809" s="0" t="s">
        <v>130</v>
      </c>
      <c r="BY809" s="0" t="s">
        <v>130</v>
      </c>
      <c r="BZ809" s="0" t="s">
        <v>130</v>
      </c>
      <c r="CA809" s="0" t="s">
        <v>130</v>
      </c>
      <c r="CB809" s="0" t="s">
        <v>130</v>
      </c>
      <c r="CC809" s="0" t="s">
        <v>130</v>
      </c>
      <c r="CD809" s="0" t="s">
        <v>130</v>
      </c>
      <c r="CE809" s="0" t="s">
        <v>130</v>
      </c>
      <c r="CF809" s="0" t="s">
        <v>130</v>
      </c>
      <c r="CG809" s="0" t="s">
        <v>130</v>
      </c>
      <c r="CH809" s="0" t="s">
        <v>130</v>
      </c>
      <c r="CI809" s="0" t="s">
        <v>130</v>
      </c>
      <c r="CJ809" s="0" t="s">
        <v>130</v>
      </c>
      <c r="CK809" s="0" t="s">
        <v>130</v>
      </c>
      <c r="CL809" s="0" t="s">
        <v>130</v>
      </c>
      <c r="CM809" s="0" t="s">
        <v>130</v>
      </c>
      <c r="CN809" s="0" t="s">
        <v>130</v>
      </c>
      <c r="CO809" s="0" t="s">
        <v>130</v>
      </c>
      <c r="CP809" s="0" t="s">
        <v>130</v>
      </c>
      <c r="CQ809" s="0" t="s">
        <v>130</v>
      </c>
      <c r="CR809" s="0" t="s">
        <v>130</v>
      </c>
      <c r="CS809" s="0" t="s">
        <v>130</v>
      </c>
      <c r="CT809" s="0" t="s">
        <v>2530</v>
      </c>
    </row>
    <row r="810">
      <c r="A810" s="14">
        <v>115694</v>
      </c>
      <c r="B810" s="0" t="s">
        <v>2507</v>
      </c>
      <c r="C810" s="16">
        <f>HYPERLINK("https://eosportal.federatedhermes.com/companies/Q29tcGFueQppNTQ5NDQ=", "BASF SE")</f>
      </c>
      <c r="D810" s="0" t="s">
        <v>25</v>
      </c>
      <c r="E810" s="0" t="s">
        <v>2531</v>
      </c>
      <c r="F810" s="16">
        <f>HYPERLINK("https://eosportal.federatedhermes.com/engagements/RW5nYWdlbWVudAppMjIyMzU=", "Diversity at lower leadership levels")</f>
      </c>
      <c r="G810" s="14" t="s">
        <v>2532</v>
      </c>
      <c r="H810" s="0" t="s">
        <v>141</v>
      </c>
      <c r="I810" s="14" t="s">
        <v>1645</v>
      </c>
      <c r="J810" s="0" t="s">
        <v>153</v>
      </c>
      <c r="K810" s="0" t="s">
        <v>154</v>
      </c>
      <c r="L810" s="0" t="s">
        <v>268</v>
      </c>
      <c r="M810" s="0" t="s">
        <v>378</v>
      </c>
      <c r="N810" s="0" t="s">
        <v>2485</v>
      </c>
      <c r="O810" s="0" t="s">
        <v>706</v>
      </c>
      <c r="Q810" s="0" t="s">
        <v>130</v>
      </c>
      <c r="R810" s="0" t="s">
        <v>138</v>
      </c>
      <c r="S810" s="14">
        <v>0</v>
      </c>
      <c r="T810" s="0" t="s">
        <v>230</v>
      </c>
      <c r="U810" s="0" t="s">
        <v>138</v>
      </c>
      <c r="V810" s="14" t="s">
        <v>138</v>
      </c>
      <c r="W810" s="0" t="s">
        <v>138</v>
      </c>
      <c r="X810" s="14" t="s">
        <v>138</v>
      </c>
      <c r="Y810" s="0" t="s">
        <v>138</v>
      </c>
      <c r="Z810" s="14" t="s">
        <v>138</v>
      </c>
      <c r="AA810" s="0" t="s">
        <v>138</v>
      </c>
      <c r="AB810" s="14" t="s">
        <v>138</v>
      </c>
      <c r="AD810" s="0" t="s">
        <v>138</v>
      </c>
      <c r="AF810" s="0">
        <v>0</v>
      </c>
      <c r="AG810" s="0">
        <v>0</v>
      </c>
      <c r="AH810" s="0" t="s">
        <v>140</v>
      </c>
      <c r="AI810" s="0" t="s">
        <v>138</v>
      </c>
      <c r="AL810" s="14"/>
      <c r="AN810" s="14"/>
      <c r="AQ810" s="0" t="s">
        <v>130</v>
      </c>
      <c r="AR810" s="0" t="s">
        <v>130</v>
      </c>
      <c r="AS810" s="0" t="s">
        <v>130</v>
      </c>
      <c r="AT810" s="0" t="s">
        <v>130</v>
      </c>
      <c r="AU810" s="0" t="s">
        <v>141</v>
      </c>
      <c r="AV810" s="0" t="s">
        <v>130</v>
      </c>
      <c r="AW810" s="0" t="s">
        <v>130</v>
      </c>
      <c r="AX810" s="0" t="s">
        <v>130</v>
      </c>
      <c r="AY810" s="0" t="s">
        <v>130</v>
      </c>
      <c r="AZ810" s="0" t="s">
        <v>130</v>
      </c>
      <c r="BA810" s="0" t="s">
        <v>130</v>
      </c>
      <c r="BB810" s="0" t="s">
        <v>130</v>
      </c>
      <c r="BC810" s="0" t="s">
        <v>130</v>
      </c>
      <c r="BD810" s="0" t="s">
        <v>130</v>
      </c>
      <c r="BE810" s="0" t="s">
        <v>130</v>
      </c>
      <c r="BF810" s="0" t="s">
        <v>130</v>
      </c>
      <c r="BG810" s="0" t="s">
        <v>130</v>
      </c>
      <c r="BH810" s="0" t="s">
        <v>130</v>
      </c>
      <c r="BI810" s="0" t="s">
        <v>130</v>
      </c>
      <c r="BJ810" s="0" t="s">
        <v>130</v>
      </c>
      <c r="BK810" s="0" t="s">
        <v>130</v>
      </c>
      <c r="BL810" s="0" t="s">
        <v>130</v>
      </c>
      <c r="BM810" s="0" t="s">
        <v>130</v>
      </c>
      <c r="BN810" s="0" t="s">
        <v>130</v>
      </c>
      <c r="BO810" s="0" t="s">
        <v>130</v>
      </c>
      <c r="BP810" s="0" t="s">
        <v>130</v>
      </c>
      <c r="BQ810" s="0" t="s">
        <v>130</v>
      </c>
      <c r="BR810" s="0" t="s">
        <v>130</v>
      </c>
      <c r="BS810" s="0" t="s">
        <v>130</v>
      </c>
      <c r="BT810" s="0" t="s">
        <v>130</v>
      </c>
      <c r="BU810" s="0" t="s">
        <v>130</v>
      </c>
      <c r="BV810" s="0" t="s">
        <v>130</v>
      </c>
      <c r="BW810" s="0" t="s">
        <v>130</v>
      </c>
      <c r="BX810" s="0" t="s">
        <v>130</v>
      </c>
      <c r="BY810" s="0" t="s">
        <v>130</v>
      </c>
      <c r="BZ810" s="0" t="s">
        <v>130</v>
      </c>
      <c r="CA810" s="0" t="s">
        <v>130</v>
      </c>
      <c r="CB810" s="0" t="s">
        <v>130</v>
      </c>
      <c r="CC810" s="0" t="s">
        <v>130</v>
      </c>
      <c r="CD810" s="0" t="s">
        <v>130</v>
      </c>
      <c r="CE810" s="0" t="s">
        <v>130</v>
      </c>
      <c r="CF810" s="0" t="s">
        <v>130</v>
      </c>
      <c r="CG810" s="0" t="s">
        <v>130</v>
      </c>
      <c r="CH810" s="0" t="s">
        <v>130</v>
      </c>
      <c r="CI810" s="0" t="s">
        <v>130</v>
      </c>
      <c r="CJ810" s="0" t="s">
        <v>130</v>
      </c>
      <c r="CK810" s="0" t="s">
        <v>141</v>
      </c>
      <c r="CL810" s="0" t="s">
        <v>130</v>
      </c>
      <c r="CM810" s="0" t="s">
        <v>130</v>
      </c>
      <c r="CN810" s="0" t="s">
        <v>130</v>
      </c>
      <c r="CO810" s="0" t="s">
        <v>130</v>
      </c>
      <c r="CP810" s="0" t="s">
        <v>130</v>
      </c>
      <c r="CQ810" s="0" t="s">
        <v>130</v>
      </c>
      <c r="CR810" s="0" t="s">
        <v>130</v>
      </c>
      <c r="CS810" s="0" t="s">
        <v>130</v>
      </c>
      <c r="CT810" s="0" t="s">
        <v>2533</v>
      </c>
    </row>
    <row r="811">
      <c r="A811" s="14">
        <v>115694</v>
      </c>
      <c r="B811" s="0" t="s">
        <v>2507</v>
      </c>
      <c r="C811" s="16">
        <f>HYPERLINK("https://eosportal.federatedhermes.com/companies/Q29tcGFueQppNTQ5NDQ=", "BASF SE")</f>
      </c>
      <c r="D811" s="0" t="s">
        <v>25</v>
      </c>
      <c r="E811" s="0" t="s">
        <v>2534</v>
      </c>
      <c r="F811" s="16">
        <f>HYPERLINK("https://eosportal.federatedhermes.com/engagements/RW5nYWdlbWVudAppMjIyMzY=", "Product risk management")</f>
      </c>
      <c r="G811" s="14" t="s">
        <v>2535</v>
      </c>
      <c r="H811" s="0" t="s">
        <v>141</v>
      </c>
      <c r="I811" s="14" t="s">
        <v>1645</v>
      </c>
      <c r="J811" s="0" t="s">
        <v>153</v>
      </c>
      <c r="K811" s="0" t="s">
        <v>185</v>
      </c>
      <c r="L811" s="0" t="s">
        <v>626</v>
      </c>
      <c r="M811" s="0" t="s">
        <v>378</v>
      </c>
      <c r="N811" s="0" t="s">
        <v>2485</v>
      </c>
      <c r="O811" s="0" t="s">
        <v>706</v>
      </c>
      <c r="Q811" s="0" t="s">
        <v>141</v>
      </c>
      <c r="R811" s="0" t="s">
        <v>138</v>
      </c>
      <c r="S811" s="14">
        <v>1</v>
      </c>
      <c r="T811" s="0" t="s">
        <v>320</v>
      </c>
      <c r="U811" s="0" t="s">
        <v>138</v>
      </c>
      <c r="V811" s="14" t="s">
        <v>138</v>
      </c>
      <c r="W811" s="0" t="s">
        <v>138</v>
      </c>
      <c r="X811" s="14" t="s">
        <v>138</v>
      </c>
      <c r="Y811" s="0" t="s">
        <v>138</v>
      </c>
      <c r="Z811" s="14" t="s">
        <v>138</v>
      </c>
      <c r="AA811" s="0" t="s">
        <v>138</v>
      </c>
      <c r="AB811" s="14" t="s">
        <v>138</v>
      </c>
      <c r="AD811" s="0" t="s">
        <v>138</v>
      </c>
      <c r="AF811" s="0">
        <v>0</v>
      </c>
      <c r="AG811" s="0">
        <v>0</v>
      </c>
      <c r="AH811" s="0" t="s">
        <v>140</v>
      </c>
      <c r="AI811" s="0" t="s">
        <v>138</v>
      </c>
      <c r="AK811" s="0" t="s">
        <v>2523</v>
      </c>
      <c r="AL811" s="14"/>
      <c r="AN811" s="14"/>
      <c r="AQ811" s="0" t="s">
        <v>130</v>
      </c>
      <c r="AR811" s="0" t="s">
        <v>130</v>
      </c>
      <c r="AS811" s="0" t="s">
        <v>130</v>
      </c>
      <c r="AT811" s="0" t="s">
        <v>130</v>
      </c>
      <c r="AU811" s="0" t="s">
        <v>130</v>
      </c>
      <c r="AV811" s="0" t="s">
        <v>130</v>
      </c>
      <c r="AW811" s="0" t="s">
        <v>130</v>
      </c>
      <c r="AX811" s="0" t="s">
        <v>130</v>
      </c>
      <c r="AY811" s="0" t="s">
        <v>130</v>
      </c>
      <c r="AZ811" s="0" t="s">
        <v>130</v>
      </c>
      <c r="BA811" s="0" t="s">
        <v>130</v>
      </c>
      <c r="BB811" s="0" t="s">
        <v>130</v>
      </c>
      <c r="BC811" s="0" t="s">
        <v>130</v>
      </c>
      <c r="BD811" s="0" t="s">
        <v>130</v>
      </c>
      <c r="BE811" s="0" t="s">
        <v>130</v>
      </c>
      <c r="BF811" s="0" t="s">
        <v>130</v>
      </c>
      <c r="BG811" s="0" t="s">
        <v>130</v>
      </c>
      <c r="BH811" s="0" t="s">
        <v>130</v>
      </c>
      <c r="BI811" s="0" t="s">
        <v>130</v>
      </c>
      <c r="BJ811" s="0" t="s">
        <v>130</v>
      </c>
      <c r="BK811" s="0" t="s">
        <v>130</v>
      </c>
      <c r="BL811" s="0" t="s">
        <v>130</v>
      </c>
      <c r="BM811" s="0" t="s">
        <v>130</v>
      </c>
      <c r="BN811" s="0" t="s">
        <v>130</v>
      </c>
      <c r="BO811" s="0" t="s">
        <v>130</v>
      </c>
      <c r="BP811" s="0" t="s">
        <v>130</v>
      </c>
      <c r="BQ811" s="0" t="s">
        <v>130</v>
      </c>
      <c r="BR811" s="0" t="s">
        <v>130</v>
      </c>
      <c r="BS811" s="0" t="s">
        <v>130</v>
      </c>
      <c r="BT811" s="0" t="s">
        <v>130</v>
      </c>
      <c r="BU811" s="0" t="s">
        <v>130</v>
      </c>
      <c r="BV811" s="0" t="s">
        <v>130</v>
      </c>
      <c r="BW811" s="0" t="s">
        <v>130</v>
      </c>
      <c r="BX811" s="0" t="s">
        <v>130</v>
      </c>
      <c r="BY811" s="0" t="s">
        <v>130</v>
      </c>
      <c r="BZ811" s="0" t="s">
        <v>130</v>
      </c>
      <c r="CA811" s="0" t="s">
        <v>130</v>
      </c>
      <c r="CB811" s="0" t="s">
        <v>130</v>
      </c>
      <c r="CC811" s="0" t="s">
        <v>130</v>
      </c>
      <c r="CD811" s="0" t="s">
        <v>130</v>
      </c>
      <c r="CE811" s="0" t="s">
        <v>130</v>
      </c>
      <c r="CF811" s="0" t="s">
        <v>130</v>
      </c>
      <c r="CG811" s="0" t="s">
        <v>130</v>
      </c>
      <c r="CH811" s="0" t="s">
        <v>130</v>
      </c>
      <c r="CI811" s="0" t="s">
        <v>130</v>
      </c>
      <c r="CJ811" s="0" t="s">
        <v>130</v>
      </c>
      <c r="CK811" s="0" t="s">
        <v>130</v>
      </c>
      <c r="CL811" s="0" t="s">
        <v>130</v>
      </c>
      <c r="CM811" s="0" t="s">
        <v>130</v>
      </c>
      <c r="CN811" s="0" t="s">
        <v>130</v>
      </c>
      <c r="CO811" s="0" t="s">
        <v>130</v>
      </c>
      <c r="CP811" s="0" t="s">
        <v>130</v>
      </c>
      <c r="CQ811" s="0" t="s">
        <v>130</v>
      </c>
      <c r="CR811" s="0" t="s">
        <v>130</v>
      </c>
      <c r="CS811" s="0" t="s">
        <v>130</v>
      </c>
      <c r="CT811" s="0" t="s">
        <v>2536</v>
      </c>
    </row>
    <row r="812">
      <c r="A812" s="14">
        <v>115694</v>
      </c>
      <c r="B812" s="0" t="s">
        <v>2507</v>
      </c>
      <c r="C812" s="16">
        <f>HYPERLINK("https://eosportal.federatedhermes.com/companies/Q29tcGFueQppNTQ5NDQ=", "BASF SE")</f>
      </c>
      <c r="D812" s="0" t="s">
        <v>25</v>
      </c>
      <c r="E812" s="0" t="s">
        <v>912</v>
      </c>
      <c r="F812" s="16">
        <f>HYPERLINK("https://eosportal.federatedhermes.com/engagements/RW5nYWdlbWVudAppMjIyMzc=", "Executive remuneration")</f>
      </c>
      <c r="G812" s="14" t="s">
        <v>2537</v>
      </c>
      <c r="H812" s="0" t="s">
        <v>141</v>
      </c>
      <c r="I812" s="14" t="s">
        <v>1645</v>
      </c>
      <c r="J812" s="0" t="s">
        <v>145</v>
      </c>
      <c r="K812" s="0" t="s">
        <v>146</v>
      </c>
      <c r="L812" s="0" t="s">
        <v>147</v>
      </c>
      <c r="M812" s="0" t="s">
        <v>378</v>
      </c>
      <c r="N812" s="0" t="s">
        <v>2485</v>
      </c>
      <c r="O812" s="0" t="s">
        <v>706</v>
      </c>
      <c r="Q812" s="0" t="s">
        <v>130</v>
      </c>
      <c r="R812" s="0" t="s">
        <v>138</v>
      </c>
      <c r="S812" s="14">
        <v>0</v>
      </c>
      <c r="T812" s="0" t="s">
        <v>384</v>
      </c>
      <c r="U812" s="0" t="s">
        <v>138</v>
      </c>
      <c r="V812" s="14" t="s">
        <v>138</v>
      </c>
      <c r="W812" s="0" t="s">
        <v>138</v>
      </c>
      <c r="X812" s="14" t="s">
        <v>138</v>
      </c>
      <c r="Y812" s="0" t="s">
        <v>138</v>
      </c>
      <c r="Z812" s="14" t="s">
        <v>138</v>
      </c>
      <c r="AA812" s="0" t="s">
        <v>138</v>
      </c>
      <c r="AB812" s="14" t="s">
        <v>138</v>
      </c>
      <c r="AD812" s="0" t="s">
        <v>138</v>
      </c>
      <c r="AF812" s="0">
        <v>0</v>
      </c>
      <c r="AG812" s="0">
        <v>0</v>
      </c>
      <c r="AH812" s="0" t="s">
        <v>140</v>
      </c>
      <c r="AI812" s="0" t="s">
        <v>138</v>
      </c>
      <c r="AL812" s="14"/>
      <c r="AN812" s="14"/>
      <c r="AQ812" s="0" t="s">
        <v>130</v>
      </c>
      <c r="AR812" s="0" t="s">
        <v>130</v>
      </c>
      <c r="AS812" s="0" t="s">
        <v>130</v>
      </c>
      <c r="AT812" s="0" t="s">
        <v>130</v>
      </c>
      <c r="AU812" s="0" t="s">
        <v>130</v>
      </c>
      <c r="AV812" s="0" t="s">
        <v>130</v>
      </c>
      <c r="AW812" s="0" t="s">
        <v>130</v>
      </c>
      <c r="AX812" s="0" t="s">
        <v>130</v>
      </c>
      <c r="AY812" s="0" t="s">
        <v>130</v>
      </c>
      <c r="AZ812" s="0" t="s">
        <v>130</v>
      </c>
      <c r="BA812" s="0" t="s">
        <v>130</v>
      </c>
      <c r="BB812" s="0" t="s">
        <v>130</v>
      </c>
      <c r="BC812" s="0" t="s">
        <v>130</v>
      </c>
      <c r="BD812" s="0" t="s">
        <v>130</v>
      </c>
      <c r="BE812" s="0" t="s">
        <v>130</v>
      </c>
      <c r="BF812" s="0" t="s">
        <v>130</v>
      </c>
      <c r="BG812" s="0" t="s">
        <v>130</v>
      </c>
      <c r="BH812" s="0" t="s">
        <v>130</v>
      </c>
      <c r="BI812" s="0" t="s">
        <v>130</v>
      </c>
      <c r="BJ812" s="0" t="s">
        <v>130</v>
      </c>
      <c r="BK812" s="0" t="s">
        <v>130</v>
      </c>
      <c r="BL812" s="0" t="s">
        <v>130</v>
      </c>
      <c r="BM812" s="0" t="s">
        <v>130</v>
      </c>
      <c r="BN812" s="0" t="s">
        <v>130</v>
      </c>
      <c r="BO812" s="0" t="s">
        <v>130</v>
      </c>
      <c r="BP812" s="0" t="s">
        <v>130</v>
      </c>
      <c r="BQ812" s="0" t="s">
        <v>130</v>
      </c>
      <c r="BR812" s="0" t="s">
        <v>130</v>
      </c>
      <c r="BS812" s="0" t="s">
        <v>130</v>
      </c>
      <c r="BT812" s="0" t="s">
        <v>130</v>
      </c>
      <c r="BU812" s="0" t="s">
        <v>130</v>
      </c>
      <c r="BV812" s="0" t="s">
        <v>130</v>
      </c>
      <c r="BW812" s="0" t="s">
        <v>130</v>
      </c>
      <c r="BX812" s="0" t="s">
        <v>130</v>
      </c>
      <c r="BY812" s="0" t="s">
        <v>130</v>
      </c>
      <c r="BZ812" s="0" t="s">
        <v>130</v>
      </c>
      <c r="CA812" s="0" t="s">
        <v>130</v>
      </c>
      <c r="CB812" s="0" t="s">
        <v>130</v>
      </c>
      <c r="CC812" s="0" t="s">
        <v>130</v>
      </c>
      <c r="CD812" s="0" t="s">
        <v>130</v>
      </c>
      <c r="CE812" s="0" t="s">
        <v>130</v>
      </c>
      <c r="CF812" s="0" t="s">
        <v>130</v>
      </c>
      <c r="CG812" s="0" t="s">
        <v>130</v>
      </c>
      <c r="CH812" s="0" t="s">
        <v>130</v>
      </c>
      <c r="CI812" s="0" t="s">
        <v>130</v>
      </c>
      <c r="CJ812" s="0" t="s">
        <v>130</v>
      </c>
      <c r="CK812" s="0" t="s">
        <v>130</v>
      </c>
      <c r="CL812" s="0" t="s">
        <v>130</v>
      </c>
      <c r="CM812" s="0" t="s">
        <v>130</v>
      </c>
      <c r="CN812" s="0" t="s">
        <v>130</v>
      </c>
      <c r="CO812" s="0" t="s">
        <v>130</v>
      </c>
      <c r="CP812" s="0" t="s">
        <v>130</v>
      </c>
      <c r="CQ812" s="0" t="s">
        <v>130</v>
      </c>
      <c r="CR812" s="0" t="s">
        <v>130</v>
      </c>
      <c r="CS812" s="0" t="s">
        <v>130</v>
      </c>
      <c r="CT812" s="0" t="s">
        <v>2538</v>
      </c>
    </row>
    <row r="813">
      <c r="A813" s="14">
        <v>115711</v>
      </c>
      <c r="B813" s="0" t="s">
        <v>2539</v>
      </c>
      <c r="C813" s="16">
        <f>HYPERLINK("https://eosportal.federatedhermes.com/companies/Q29tcGFueQppNTU1NzU=", "Henkel AG &amp; Co KGaA")</f>
      </c>
      <c r="D813" s="0" t="s">
        <v>25</v>
      </c>
      <c r="E813" s="0" t="s">
        <v>2540</v>
      </c>
      <c r="F813" s="16">
        <f>HYPERLINK("https://eosportal.federatedhermes.com/engagements/RW5nYWdlbWVudAppMjIyNzg=", "Corporate strategy")</f>
      </c>
      <c r="G813" s="14" t="s">
        <v>2541</v>
      </c>
      <c r="H813" s="0" t="s">
        <v>130</v>
      </c>
      <c r="I813" s="14" t="s">
        <v>319</v>
      </c>
      <c r="J813" s="0" t="s">
        <v>153</v>
      </c>
      <c r="K813" s="0" t="s">
        <v>243</v>
      </c>
      <c r="L813" s="0" t="s">
        <v>244</v>
      </c>
      <c r="M813" s="0" t="s">
        <v>378</v>
      </c>
      <c r="N813" s="0" t="s">
        <v>2485</v>
      </c>
      <c r="O813" s="0" t="s">
        <v>332</v>
      </c>
      <c r="Q813" s="0" t="s">
        <v>130</v>
      </c>
      <c r="R813" s="0" t="s">
        <v>138</v>
      </c>
      <c r="S813" s="14">
        <v>0</v>
      </c>
      <c r="T813" s="0" t="s">
        <v>457</v>
      </c>
      <c r="U813" s="0" t="s">
        <v>138</v>
      </c>
      <c r="V813" s="14" t="s">
        <v>138</v>
      </c>
      <c r="W813" s="0" t="s">
        <v>138</v>
      </c>
      <c r="X813" s="14" t="s">
        <v>138</v>
      </c>
      <c r="Y813" s="0" t="s">
        <v>138</v>
      </c>
      <c r="Z813" s="14" t="s">
        <v>138</v>
      </c>
      <c r="AA813" s="0" t="s">
        <v>138</v>
      </c>
      <c r="AB813" s="14" t="s">
        <v>138</v>
      </c>
      <c r="AD813" s="0" t="s">
        <v>138</v>
      </c>
      <c r="AF813" s="0">
        <v>0</v>
      </c>
      <c r="AG813" s="0">
        <v>0</v>
      </c>
      <c r="AH813" s="0" t="s">
        <v>140</v>
      </c>
      <c r="AI813" s="0" t="s">
        <v>138</v>
      </c>
      <c r="AL813" s="14"/>
      <c r="AN813" s="14"/>
      <c r="AQ813" s="0" t="s">
        <v>130</v>
      </c>
      <c r="AR813" s="0" t="s">
        <v>130</v>
      </c>
      <c r="AS813" s="0" t="s">
        <v>130</v>
      </c>
      <c r="AT813" s="0" t="s">
        <v>130</v>
      </c>
      <c r="AU813" s="0" t="s">
        <v>130</v>
      </c>
      <c r="AV813" s="0" t="s">
        <v>130</v>
      </c>
      <c r="AW813" s="0" t="s">
        <v>130</v>
      </c>
      <c r="AX813" s="0" t="s">
        <v>130</v>
      </c>
      <c r="AY813" s="0" t="s">
        <v>130</v>
      </c>
      <c r="AZ813" s="0" t="s">
        <v>130</v>
      </c>
      <c r="BA813" s="0" t="s">
        <v>130</v>
      </c>
      <c r="BB813" s="0" t="s">
        <v>130</v>
      </c>
      <c r="BC813" s="0" t="s">
        <v>130</v>
      </c>
      <c r="BD813" s="0" t="s">
        <v>130</v>
      </c>
      <c r="BE813" s="0" t="s">
        <v>130</v>
      </c>
      <c r="BF813" s="0" t="s">
        <v>130</v>
      </c>
      <c r="BG813" s="0" t="s">
        <v>130</v>
      </c>
      <c r="BH813" s="0" t="s">
        <v>130</v>
      </c>
      <c r="BI813" s="0" t="s">
        <v>130</v>
      </c>
      <c r="BJ813" s="0" t="s">
        <v>130</v>
      </c>
      <c r="BK813" s="0" t="s">
        <v>130</v>
      </c>
      <c r="BL813" s="0" t="s">
        <v>130</v>
      </c>
      <c r="BM813" s="0" t="s">
        <v>130</v>
      </c>
      <c r="BN813" s="0" t="s">
        <v>130</v>
      </c>
      <c r="BO813" s="0" t="s">
        <v>130</v>
      </c>
      <c r="BP813" s="0" t="s">
        <v>130</v>
      </c>
      <c r="BQ813" s="0" t="s">
        <v>130</v>
      </c>
      <c r="BR813" s="0" t="s">
        <v>130</v>
      </c>
      <c r="BS813" s="0" t="s">
        <v>130</v>
      </c>
      <c r="BT813" s="0" t="s">
        <v>130</v>
      </c>
      <c r="BU813" s="0" t="s">
        <v>130</v>
      </c>
      <c r="BV813" s="0" t="s">
        <v>130</v>
      </c>
      <c r="BW813" s="0" t="s">
        <v>130</v>
      </c>
      <c r="BX813" s="0" t="s">
        <v>130</v>
      </c>
      <c r="BY813" s="0" t="s">
        <v>130</v>
      </c>
      <c r="BZ813" s="0" t="s">
        <v>130</v>
      </c>
      <c r="CA813" s="0" t="s">
        <v>130</v>
      </c>
      <c r="CB813" s="0" t="s">
        <v>130</v>
      </c>
      <c r="CC813" s="0" t="s">
        <v>130</v>
      </c>
      <c r="CD813" s="0" t="s">
        <v>130</v>
      </c>
      <c r="CE813" s="0" t="s">
        <v>130</v>
      </c>
      <c r="CF813" s="0" t="s">
        <v>130</v>
      </c>
      <c r="CG813" s="0" t="s">
        <v>130</v>
      </c>
      <c r="CH813" s="0" t="s">
        <v>130</v>
      </c>
      <c r="CI813" s="0" t="s">
        <v>130</v>
      </c>
      <c r="CJ813" s="0" t="s">
        <v>130</v>
      </c>
      <c r="CK813" s="0" t="s">
        <v>130</v>
      </c>
      <c r="CL813" s="0" t="s">
        <v>130</v>
      </c>
      <c r="CM813" s="0" t="s">
        <v>130</v>
      </c>
      <c r="CN813" s="0" t="s">
        <v>130</v>
      </c>
      <c r="CO813" s="0" t="s">
        <v>130</v>
      </c>
      <c r="CP813" s="0" t="s">
        <v>130</v>
      </c>
      <c r="CQ813" s="0" t="s">
        <v>130</v>
      </c>
      <c r="CR813" s="0" t="s">
        <v>130</v>
      </c>
      <c r="CS813" s="0" t="s">
        <v>130</v>
      </c>
      <c r="CT813" s="0" t="s">
        <v>2542</v>
      </c>
    </row>
    <row r="814">
      <c r="A814" s="14">
        <v>115711</v>
      </c>
      <c r="B814" s="0" t="s">
        <v>2539</v>
      </c>
      <c r="C814" s="16">
        <f>HYPERLINK("https://eosportal.federatedhermes.com/companies/Q29tcGFueQppNTU1NzU=", "Henkel AG &amp; Co KGaA")</f>
      </c>
      <c r="D814" s="0" t="s">
        <v>25</v>
      </c>
      <c r="E814" s="0" t="s">
        <v>2543</v>
      </c>
      <c r="F814" s="16">
        <f>HYPERLINK("https://eosportal.federatedhermes.com/engagements/RW5nYWdlbWVudAppMjIyNzk=", "Sustainability reporting and targets")</f>
      </c>
      <c r="G814" s="14" t="s">
        <v>2544</v>
      </c>
      <c r="H814" s="0" t="s">
        <v>130</v>
      </c>
      <c r="I814" s="14" t="s">
        <v>319</v>
      </c>
      <c r="J814" s="0" t="s">
        <v>132</v>
      </c>
      <c r="K814" s="0" t="s">
        <v>170</v>
      </c>
      <c r="L814" s="0" t="s">
        <v>171</v>
      </c>
      <c r="M814" s="0" t="s">
        <v>378</v>
      </c>
      <c r="N814" s="0" t="s">
        <v>2485</v>
      </c>
      <c r="O814" s="0" t="s">
        <v>332</v>
      </c>
      <c r="Q814" s="0" t="s">
        <v>130</v>
      </c>
      <c r="R814" s="0" t="s">
        <v>138</v>
      </c>
      <c r="S814" s="14">
        <v>0</v>
      </c>
      <c r="T814" s="0" t="s">
        <v>457</v>
      </c>
      <c r="U814" s="0" t="s">
        <v>138</v>
      </c>
      <c r="V814" s="14" t="s">
        <v>138</v>
      </c>
      <c r="W814" s="0" t="s">
        <v>138</v>
      </c>
      <c r="X814" s="14" t="s">
        <v>138</v>
      </c>
      <c r="Y814" s="0" t="s">
        <v>138</v>
      </c>
      <c r="Z814" s="14" t="s">
        <v>138</v>
      </c>
      <c r="AA814" s="0" t="s">
        <v>138</v>
      </c>
      <c r="AB814" s="14" t="s">
        <v>138</v>
      </c>
      <c r="AD814" s="0" t="s">
        <v>138</v>
      </c>
      <c r="AF814" s="0">
        <v>0</v>
      </c>
      <c r="AG814" s="0">
        <v>0</v>
      </c>
      <c r="AH814" s="0" t="s">
        <v>140</v>
      </c>
      <c r="AI814" s="0" t="s">
        <v>138</v>
      </c>
      <c r="AL814" s="14"/>
      <c r="AN814" s="14"/>
      <c r="AQ814" s="0" t="s">
        <v>130</v>
      </c>
      <c r="AR814" s="0" t="s">
        <v>130</v>
      </c>
      <c r="AS814" s="0" t="s">
        <v>130</v>
      </c>
      <c r="AT814" s="0" t="s">
        <v>130</v>
      </c>
      <c r="AU814" s="0" t="s">
        <v>130</v>
      </c>
      <c r="AV814" s="0" t="s">
        <v>130</v>
      </c>
      <c r="AW814" s="0" t="s">
        <v>130</v>
      </c>
      <c r="AX814" s="0" t="s">
        <v>130</v>
      </c>
      <c r="AY814" s="0" t="s">
        <v>130</v>
      </c>
      <c r="AZ814" s="0" t="s">
        <v>130</v>
      </c>
      <c r="BA814" s="0" t="s">
        <v>130</v>
      </c>
      <c r="BB814" s="0" t="s">
        <v>141</v>
      </c>
      <c r="BC814" s="0" t="s">
        <v>130</v>
      </c>
      <c r="BD814" s="0" t="s">
        <v>130</v>
      </c>
      <c r="BE814" s="0" t="s">
        <v>130</v>
      </c>
      <c r="BF814" s="0" t="s">
        <v>130</v>
      </c>
      <c r="BG814" s="0" t="s">
        <v>130</v>
      </c>
      <c r="BH814" s="0" t="s">
        <v>130</v>
      </c>
      <c r="BI814" s="0" t="s">
        <v>130</v>
      </c>
      <c r="BJ814" s="0" t="s">
        <v>130</v>
      </c>
      <c r="BK814" s="0" t="s">
        <v>130</v>
      </c>
      <c r="BL814" s="0" t="s">
        <v>130</v>
      </c>
      <c r="BM814" s="0" t="s">
        <v>130</v>
      </c>
      <c r="BN814" s="0" t="s">
        <v>130</v>
      </c>
      <c r="BO814" s="0" t="s">
        <v>130</v>
      </c>
      <c r="BP814" s="0" t="s">
        <v>130</v>
      </c>
      <c r="BQ814" s="0" t="s">
        <v>130</v>
      </c>
      <c r="BR814" s="0" t="s">
        <v>130</v>
      </c>
      <c r="BS814" s="0" t="s">
        <v>130</v>
      </c>
      <c r="BT814" s="0" t="s">
        <v>130</v>
      </c>
      <c r="BU814" s="0" t="s">
        <v>130</v>
      </c>
      <c r="BV814" s="0" t="s">
        <v>130</v>
      </c>
      <c r="BW814" s="0" t="s">
        <v>130</v>
      </c>
      <c r="BX814" s="0" t="s">
        <v>130</v>
      </c>
      <c r="BY814" s="0" t="s">
        <v>130</v>
      </c>
      <c r="BZ814" s="0" t="s">
        <v>130</v>
      </c>
      <c r="CA814" s="0" t="s">
        <v>130</v>
      </c>
      <c r="CB814" s="0" t="s">
        <v>130</v>
      </c>
      <c r="CC814" s="0" t="s">
        <v>130</v>
      </c>
      <c r="CD814" s="0" t="s">
        <v>130</v>
      </c>
      <c r="CE814" s="0" t="s">
        <v>130</v>
      </c>
      <c r="CF814" s="0" t="s">
        <v>130</v>
      </c>
      <c r="CG814" s="0" t="s">
        <v>130</v>
      </c>
      <c r="CH814" s="0" t="s">
        <v>130</v>
      </c>
      <c r="CI814" s="0" t="s">
        <v>130</v>
      </c>
      <c r="CJ814" s="0" t="s">
        <v>130</v>
      </c>
      <c r="CK814" s="0" t="s">
        <v>130</v>
      </c>
      <c r="CL814" s="0" t="s">
        <v>130</v>
      </c>
      <c r="CM814" s="0" t="s">
        <v>130</v>
      </c>
      <c r="CN814" s="0" t="s">
        <v>130</v>
      </c>
      <c r="CO814" s="0" t="s">
        <v>130</v>
      </c>
      <c r="CP814" s="0" t="s">
        <v>130</v>
      </c>
      <c r="CQ814" s="0" t="s">
        <v>130</v>
      </c>
      <c r="CR814" s="0" t="s">
        <v>130</v>
      </c>
      <c r="CS814" s="0" t="s">
        <v>130</v>
      </c>
      <c r="CT814" s="0" t="s">
        <v>2545</v>
      </c>
    </row>
    <row r="815">
      <c r="A815" s="14">
        <v>115711</v>
      </c>
      <c r="B815" s="0" t="s">
        <v>2539</v>
      </c>
      <c r="C815" s="16">
        <f>HYPERLINK("https://eosportal.federatedhermes.com/companies/Q29tcGFueQppNTU1NzU=", "Henkel AG &amp; Co KGaA")</f>
      </c>
      <c r="D815" s="0" t="s">
        <v>25</v>
      </c>
      <c r="E815" s="0" t="s">
        <v>1034</v>
      </c>
      <c r="F815" s="16">
        <f>HYPERLINK("https://eosportal.federatedhermes.com/engagements/RW5nYWdlbWVudAppMjIyODA=", "Board composition")</f>
      </c>
      <c r="G815" s="14" t="s">
        <v>2546</v>
      </c>
      <c r="H815" s="0" t="s">
        <v>130</v>
      </c>
      <c r="I815" s="14" t="s">
        <v>319</v>
      </c>
      <c r="J815" s="0" t="s">
        <v>145</v>
      </c>
      <c r="K815" s="0" t="s">
        <v>164</v>
      </c>
      <c r="L815" s="0" t="s">
        <v>165</v>
      </c>
      <c r="M815" s="0" t="s">
        <v>378</v>
      </c>
      <c r="N815" s="0" t="s">
        <v>2485</v>
      </c>
      <c r="O815" s="0" t="s">
        <v>332</v>
      </c>
      <c r="Q815" s="0" t="s">
        <v>130</v>
      </c>
      <c r="R815" s="0" t="s">
        <v>138</v>
      </c>
      <c r="S815" s="14">
        <v>0</v>
      </c>
      <c r="T815" s="0" t="s">
        <v>148</v>
      </c>
      <c r="U815" s="0" t="s">
        <v>138</v>
      </c>
      <c r="V815" s="14" t="s">
        <v>138</v>
      </c>
      <c r="W815" s="0" t="s">
        <v>138</v>
      </c>
      <c r="X815" s="14" t="s">
        <v>138</v>
      </c>
      <c r="Y815" s="0" t="s">
        <v>138</v>
      </c>
      <c r="Z815" s="14" t="s">
        <v>138</v>
      </c>
      <c r="AA815" s="0" t="s">
        <v>138</v>
      </c>
      <c r="AB815" s="14" t="s">
        <v>138</v>
      </c>
      <c r="AD815" s="0" t="s">
        <v>138</v>
      </c>
      <c r="AF815" s="0">
        <v>0</v>
      </c>
      <c r="AG815" s="0">
        <v>0</v>
      </c>
      <c r="AH815" s="0" t="s">
        <v>140</v>
      </c>
      <c r="AI815" s="0" t="s">
        <v>138</v>
      </c>
      <c r="AL815" s="14"/>
      <c r="AN815" s="14"/>
      <c r="AQ815" s="0" t="s">
        <v>130</v>
      </c>
      <c r="AR815" s="0" t="s">
        <v>130</v>
      </c>
      <c r="AS815" s="0" t="s">
        <v>130</v>
      </c>
      <c r="AT815" s="0" t="s">
        <v>130</v>
      </c>
      <c r="AU815" s="0" t="s">
        <v>130</v>
      </c>
      <c r="AV815" s="0" t="s">
        <v>130</v>
      </c>
      <c r="AW815" s="0" t="s">
        <v>130</v>
      </c>
      <c r="AX815" s="0" t="s">
        <v>130</v>
      </c>
      <c r="AY815" s="0" t="s">
        <v>130</v>
      </c>
      <c r="AZ815" s="0" t="s">
        <v>130</v>
      </c>
      <c r="BA815" s="0" t="s">
        <v>130</v>
      </c>
      <c r="BB815" s="0" t="s">
        <v>130</v>
      </c>
      <c r="BC815" s="0" t="s">
        <v>130</v>
      </c>
      <c r="BD815" s="0" t="s">
        <v>130</v>
      </c>
      <c r="BE815" s="0" t="s">
        <v>130</v>
      </c>
      <c r="BF815" s="0" t="s">
        <v>130</v>
      </c>
      <c r="BG815" s="0" t="s">
        <v>130</v>
      </c>
      <c r="BH815" s="0" t="s">
        <v>130</v>
      </c>
      <c r="BI815" s="0" t="s">
        <v>130</v>
      </c>
      <c r="BJ815" s="0" t="s">
        <v>130</v>
      </c>
      <c r="BK815" s="0" t="s">
        <v>130</v>
      </c>
      <c r="BL815" s="0" t="s">
        <v>130</v>
      </c>
      <c r="BM815" s="0" t="s">
        <v>130</v>
      </c>
      <c r="BN815" s="0" t="s">
        <v>130</v>
      </c>
      <c r="BO815" s="0" t="s">
        <v>130</v>
      </c>
      <c r="BP815" s="0" t="s">
        <v>130</v>
      </c>
      <c r="BQ815" s="0" t="s">
        <v>130</v>
      </c>
      <c r="BR815" s="0" t="s">
        <v>130</v>
      </c>
      <c r="BS815" s="0" t="s">
        <v>130</v>
      </c>
      <c r="BT815" s="0" t="s">
        <v>130</v>
      </c>
      <c r="BU815" s="0" t="s">
        <v>130</v>
      </c>
      <c r="BV815" s="0" t="s">
        <v>130</v>
      </c>
      <c r="BW815" s="0" t="s">
        <v>130</v>
      </c>
      <c r="BX815" s="0" t="s">
        <v>130</v>
      </c>
      <c r="BY815" s="0" t="s">
        <v>130</v>
      </c>
      <c r="BZ815" s="0" t="s">
        <v>130</v>
      </c>
      <c r="CA815" s="0" t="s">
        <v>130</v>
      </c>
      <c r="CB815" s="0" t="s">
        <v>130</v>
      </c>
      <c r="CC815" s="0" t="s">
        <v>130</v>
      </c>
      <c r="CD815" s="0" t="s">
        <v>130</v>
      </c>
      <c r="CE815" s="0" t="s">
        <v>130</v>
      </c>
      <c r="CF815" s="0" t="s">
        <v>130</v>
      </c>
      <c r="CG815" s="0" t="s">
        <v>130</v>
      </c>
      <c r="CH815" s="0" t="s">
        <v>130</v>
      </c>
      <c r="CI815" s="0" t="s">
        <v>130</v>
      </c>
      <c r="CJ815" s="0" t="s">
        <v>130</v>
      </c>
      <c r="CK815" s="0" t="s">
        <v>130</v>
      </c>
      <c r="CL815" s="0" t="s">
        <v>130</v>
      </c>
      <c r="CM815" s="0" t="s">
        <v>130</v>
      </c>
      <c r="CN815" s="0" t="s">
        <v>130</v>
      </c>
      <c r="CO815" s="0" t="s">
        <v>130</v>
      </c>
      <c r="CP815" s="0" t="s">
        <v>130</v>
      </c>
      <c r="CQ815" s="0" t="s">
        <v>130</v>
      </c>
      <c r="CR815" s="0" t="s">
        <v>130</v>
      </c>
      <c r="CS815" s="0" t="s">
        <v>130</v>
      </c>
      <c r="CT815" s="0" t="s">
        <v>2547</v>
      </c>
    </row>
    <row r="816">
      <c r="A816" s="14">
        <v>115711</v>
      </c>
      <c r="B816" s="0" t="s">
        <v>2539</v>
      </c>
      <c r="C816" s="16">
        <f>HYPERLINK("https://eosportal.federatedhermes.com/companies/Q29tcGFueQppNTU1NzU=", "Henkel AG &amp; Co KGaA")</f>
      </c>
      <c r="D816" s="0" t="s">
        <v>25</v>
      </c>
      <c r="E816" s="0" t="s">
        <v>441</v>
      </c>
      <c r="F816" s="16">
        <f>HYPERLINK("https://eosportal.federatedhermes.com/engagements/RW5nYWdlbWVudAppMjIyODE=", "Auditor tenure")</f>
      </c>
      <c r="G816" s="14" t="s">
        <v>2548</v>
      </c>
      <c r="H816" s="0" t="s">
        <v>130</v>
      </c>
      <c r="I816" s="14" t="s">
        <v>319</v>
      </c>
      <c r="J816" s="0" t="s">
        <v>132</v>
      </c>
      <c r="K816" s="0" t="s">
        <v>170</v>
      </c>
      <c r="L816" s="0" t="s">
        <v>310</v>
      </c>
      <c r="M816" s="0" t="s">
        <v>378</v>
      </c>
      <c r="N816" s="0" t="s">
        <v>2485</v>
      </c>
      <c r="O816" s="0" t="s">
        <v>332</v>
      </c>
      <c r="Q816" s="0" t="s">
        <v>130</v>
      </c>
      <c r="R816" s="0" t="s">
        <v>138</v>
      </c>
      <c r="S816" s="14">
        <v>0</v>
      </c>
      <c r="T816" s="0" t="s">
        <v>333</v>
      </c>
      <c r="U816" s="0" t="s">
        <v>138</v>
      </c>
      <c r="V816" s="14" t="s">
        <v>138</v>
      </c>
      <c r="W816" s="0" t="s">
        <v>138</v>
      </c>
      <c r="X816" s="14" t="s">
        <v>138</v>
      </c>
      <c r="Y816" s="0" t="s">
        <v>138</v>
      </c>
      <c r="Z816" s="14" t="s">
        <v>138</v>
      </c>
      <c r="AA816" s="0" t="s">
        <v>138</v>
      </c>
      <c r="AB816" s="14" t="s">
        <v>138</v>
      </c>
      <c r="AD816" s="0" t="s">
        <v>138</v>
      </c>
      <c r="AF816" s="0">
        <v>0</v>
      </c>
      <c r="AG816" s="0">
        <v>0</v>
      </c>
      <c r="AH816" s="0" t="s">
        <v>140</v>
      </c>
      <c r="AI816" s="0" t="s">
        <v>138</v>
      </c>
      <c r="AL816" s="14"/>
      <c r="AN816" s="14"/>
      <c r="AQ816" s="0" t="s">
        <v>130</v>
      </c>
      <c r="AR816" s="0" t="s">
        <v>130</v>
      </c>
      <c r="AS816" s="0" t="s">
        <v>130</v>
      </c>
      <c r="AT816" s="0" t="s">
        <v>130</v>
      </c>
      <c r="AU816" s="0" t="s">
        <v>130</v>
      </c>
      <c r="AV816" s="0" t="s">
        <v>130</v>
      </c>
      <c r="AW816" s="0" t="s">
        <v>130</v>
      </c>
      <c r="AX816" s="0" t="s">
        <v>130</v>
      </c>
      <c r="AY816" s="0" t="s">
        <v>130</v>
      </c>
      <c r="AZ816" s="0" t="s">
        <v>130</v>
      </c>
      <c r="BA816" s="0" t="s">
        <v>130</v>
      </c>
      <c r="BB816" s="0" t="s">
        <v>130</v>
      </c>
      <c r="BC816" s="0" t="s">
        <v>130</v>
      </c>
      <c r="BD816" s="0" t="s">
        <v>130</v>
      </c>
      <c r="BE816" s="0" t="s">
        <v>130</v>
      </c>
      <c r="BF816" s="0" t="s">
        <v>130</v>
      </c>
      <c r="BG816" s="0" t="s">
        <v>130</v>
      </c>
      <c r="BH816" s="0" t="s">
        <v>130</v>
      </c>
      <c r="BI816" s="0" t="s">
        <v>130</v>
      </c>
      <c r="BJ816" s="0" t="s">
        <v>130</v>
      </c>
      <c r="BK816" s="0" t="s">
        <v>130</v>
      </c>
      <c r="BL816" s="0" t="s">
        <v>130</v>
      </c>
      <c r="BM816" s="0" t="s">
        <v>130</v>
      </c>
      <c r="BN816" s="0" t="s">
        <v>130</v>
      </c>
      <c r="BO816" s="0" t="s">
        <v>130</v>
      </c>
      <c r="BP816" s="0" t="s">
        <v>130</v>
      </c>
      <c r="BQ816" s="0" t="s">
        <v>130</v>
      </c>
      <c r="BR816" s="0" t="s">
        <v>130</v>
      </c>
      <c r="BS816" s="0" t="s">
        <v>130</v>
      </c>
      <c r="BT816" s="0" t="s">
        <v>130</v>
      </c>
      <c r="BU816" s="0" t="s">
        <v>130</v>
      </c>
      <c r="BV816" s="0" t="s">
        <v>130</v>
      </c>
      <c r="BW816" s="0" t="s">
        <v>130</v>
      </c>
      <c r="BX816" s="0" t="s">
        <v>130</v>
      </c>
      <c r="BY816" s="0" t="s">
        <v>130</v>
      </c>
      <c r="BZ816" s="0" t="s">
        <v>130</v>
      </c>
      <c r="CA816" s="0" t="s">
        <v>130</v>
      </c>
      <c r="CB816" s="0" t="s">
        <v>130</v>
      </c>
      <c r="CC816" s="0" t="s">
        <v>130</v>
      </c>
      <c r="CD816" s="0" t="s">
        <v>130</v>
      </c>
      <c r="CE816" s="0" t="s">
        <v>130</v>
      </c>
      <c r="CF816" s="0" t="s">
        <v>130</v>
      </c>
      <c r="CG816" s="0" t="s">
        <v>130</v>
      </c>
      <c r="CH816" s="0" t="s">
        <v>130</v>
      </c>
      <c r="CI816" s="0" t="s">
        <v>130</v>
      </c>
      <c r="CJ816" s="0" t="s">
        <v>130</v>
      </c>
      <c r="CK816" s="0" t="s">
        <v>130</v>
      </c>
      <c r="CL816" s="0" t="s">
        <v>130</v>
      </c>
      <c r="CM816" s="0" t="s">
        <v>130</v>
      </c>
      <c r="CN816" s="0" t="s">
        <v>130</v>
      </c>
      <c r="CO816" s="0" t="s">
        <v>130</v>
      </c>
      <c r="CP816" s="0" t="s">
        <v>130</v>
      </c>
      <c r="CQ816" s="0" t="s">
        <v>130</v>
      </c>
      <c r="CR816" s="0" t="s">
        <v>130</v>
      </c>
      <c r="CS816" s="0" t="s">
        <v>130</v>
      </c>
      <c r="CT816" s="0" t="s">
        <v>2549</v>
      </c>
    </row>
    <row r="817">
      <c r="A817" s="14">
        <v>115711</v>
      </c>
      <c r="B817" s="0" t="s">
        <v>2539</v>
      </c>
      <c r="C817" s="16">
        <f>HYPERLINK("https://eosportal.federatedhermes.com/companies/Q29tcGFueQppNTU1NzU=", "Henkel AG &amp; Co KGaA")</f>
      </c>
      <c r="D817" s="0" t="s">
        <v>25</v>
      </c>
      <c r="E817" s="0" t="s">
        <v>912</v>
      </c>
      <c r="F817" s="16">
        <f>HYPERLINK("https://eosportal.federatedhermes.com/engagements/RW5nYWdlbWVudAppMjIyODI=", "Executive remuneration")</f>
      </c>
      <c r="G817" s="14" t="s">
        <v>2550</v>
      </c>
      <c r="H817" s="0" t="s">
        <v>130</v>
      </c>
      <c r="I817" s="14" t="s">
        <v>319</v>
      </c>
      <c r="J817" s="0" t="s">
        <v>145</v>
      </c>
      <c r="K817" s="0" t="s">
        <v>146</v>
      </c>
      <c r="L817" s="0" t="s">
        <v>147</v>
      </c>
      <c r="M817" s="0" t="s">
        <v>378</v>
      </c>
      <c r="N817" s="0" t="s">
        <v>2485</v>
      </c>
      <c r="O817" s="0" t="s">
        <v>332</v>
      </c>
      <c r="Q817" s="0" t="s">
        <v>130</v>
      </c>
      <c r="R817" s="0" t="s">
        <v>138</v>
      </c>
      <c r="S817" s="14">
        <v>0</v>
      </c>
      <c r="T817" s="0" t="s">
        <v>457</v>
      </c>
      <c r="U817" s="0" t="s">
        <v>138</v>
      </c>
      <c r="V817" s="14" t="s">
        <v>138</v>
      </c>
      <c r="W817" s="0" t="s">
        <v>138</v>
      </c>
      <c r="X817" s="14" t="s">
        <v>138</v>
      </c>
      <c r="Y817" s="0" t="s">
        <v>138</v>
      </c>
      <c r="Z817" s="14" t="s">
        <v>138</v>
      </c>
      <c r="AA817" s="0" t="s">
        <v>138</v>
      </c>
      <c r="AB817" s="14" t="s">
        <v>138</v>
      </c>
      <c r="AD817" s="0" t="s">
        <v>138</v>
      </c>
      <c r="AF817" s="0">
        <v>0</v>
      </c>
      <c r="AG817" s="0">
        <v>0</v>
      </c>
      <c r="AH817" s="0" t="s">
        <v>140</v>
      </c>
      <c r="AI817" s="0" t="s">
        <v>138</v>
      </c>
      <c r="AL817" s="14"/>
      <c r="AN817" s="14"/>
      <c r="AQ817" s="0" t="s">
        <v>130</v>
      </c>
      <c r="AR817" s="0" t="s">
        <v>130</v>
      </c>
      <c r="AS817" s="0" t="s">
        <v>130</v>
      </c>
      <c r="AT817" s="0" t="s">
        <v>130</v>
      </c>
      <c r="AU817" s="0" t="s">
        <v>130</v>
      </c>
      <c r="AV817" s="0" t="s">
        <v>130</v>
      </c>
      <c r="AW817" s="0" t="s">
        <v>130</v>
      </c>
      <c r="AX817" s="0" t="s">
        <v>130</v>
      </c>
      <c r="AY817" s="0" t="s">
        <v>130</v>
      </c>
      <c r="AZ817" s="0" t="s">
        <v>130</v>
      </c>
      <c r="BA817" s="0" t="s">
        <v>130</v>
      </c>
      <c r="BB817" s="0" t="s">
        <v>130</v>
      </c>
      <c r="BC817" s="0" t="s">
        <v>130</v>
      </c>
      <c r="BD817" s="0" t="s">
        <v>130</v>
      </c>
      <c r="BE817" s="0" t="s">
        <v>130</v>
      </c>
      <c r="BF817" s="0" t="s">
        <v>130</v>
      </c>
      <c r="BG817" s="0" t="s">
        <v>130</v>
      </c>
      <c r="BH817" s="0" t="s">
        <v>130</v>
      </c>
      <c r="BI817" s="0" t="s">
        <v>130</v>
      </c>
      <c r="BJ817" s="0" t="s">
        <v>130</v>
      </c>
      <c r="BK817" s="0" t="s">
        <v>130</v>
      </c>
      <c r="BL817" s="0" t="s">
        <v>130</v>
      </c>
      <c r="BM817" s="0" t="s">
        <v>130</v>
      </c>
      <c r="BN817" s="0" t="s">
        <v>130</v>
      </c>
      <c r="BO817" s="0" t="s">
        <v>130</v>
      </c>
      <c r="BP817" s="0" t="s">
        <v>130</v>
      </c>
      <c r="BQ817" s="0" t="s">
        <v>130</v>
      </c>
      <c r="BR817" s="0" t="s">
        <v>130</v>
      </c>
      <c r="BS817" s="0" t="s">
        <v>130</v>
      </c>
      <c r="BT817" s="0" t="s">
        <v>130</v>
      </c>
      <c r="BU817" s="0" t="s">
        <v>130</v>
      </c>
      <c r="BV817" s="0" t="s">
        <v>130</v>
      </c>
      <c r="BW817" s="0" t="s">
        <v>130</v>
      </c>
      <c r="BX817" s="0" t="s">
        <v>130</v>
      </c>
      <c r="BY817" s="0" t="s">
        <v>130</v>
      </c>
      <c r="BZ817" s="0" t="s">
        <v>130</v>
      </c>
      <c r="CA817" s="0" t="s">
        <v>130</v>
      </c>
      <c r="CB817" s="0" t="s">
        <v>130</v>
      </c>
      <c r="CC817" s="0" t="s">
        <v>130</v>
      </c>
      <c r="CD817" s="0" t="s">
        <v>130</v>
      </c>
      <c r="CE817" s="0" t="s">
        <v>130</v>
      </c>
      <c r="CF817" s="0" t="s">
        <v>130</v>
      </c>
      <c r="CG817" s="0" t="s">
        <v>130</v>
      </c>
      <c r="CH817" s="0" t="s">
        <v>130</v>
      </c>
      <c r="CI817" s="0" t="s">
        <v>130</v>
      </c>
      <c r="CJ817" s="0" t="s">
        <v>130</v>
      </c>
      <c r="CK817" s="0" t="s">
        <v>130</v>
      </c>
      <c r="CL817" s="0" t="s">
        <v>130</v>
      </c>
      <c r="CM817" s="0" t="s">
        <v>130</v>
      </c>
      <c r="CN817" s="0" t="s">
        <v>130</v>
      </c>
      <c r="CO817" s="0" t="s">
        <v>130</v>
      </c>
      <c r="CP817" s="0" t="s">
        <v>130</v>
      </c>
      <c r="CQ817" s="0" t="s">
        <v>130</v>
      </c>
      <c r="CR817" s="0" t="s">
        <v>130</v>
      </c>
      <c r="CS817" s="0" t="s">
        <v>130</v>
      </c>
      <c r="CT817" s="0" t="s">
        <v>2551</v>
      </c>
    </row>
    <row r="818">
      <c r="A818" s="14">
        <v>115643</v>
      </c>
      <c r="B818" s="0" t="s">
        <v>2552</v>
      </c>
      <c r="C818" s="16">
        <f>HYPERLINK("https://eosportal.federatedhermes.com/companies/Q29tcGFueQppNjk2MzA=", "Koninklijke Ahold Delhaize NV")</f>
      </c>
      <c r="D818" s="0" t="s">
        <v>25</v>
      </c>
      <c r="E818" s="0" t="s">
        <v>990</v>
      </c>
      <c r="F818" s="16">
        <f>HYPERLINK("https://eosportal.federatedhermes.com/engagements/RW5nYWdlbWVudAppMjIzMzc=", "Materiality Assessment")</f>
      </c>
      <c r="G818" s="14" t="s">
        <v>2553</v>
      </c>
      <c r="H818" s="0" t="s">
        <v>141</v>
      </c>
      <c r="I818" s="14" t="s">
        <v>1645</v>
      </c>
      <c r="J818" s="0" t="s">
        <v>132</v>
      </c>
      <c r="K818" s="0" t="s">
        <v>170</v>
      </c>
      <c r="L818" s="0" t="s">
        <v>171</v>
      </c>
      <c r="M818" s="0" t="s">
        <v>378</v>
      </c>
      <c r="N818" s="0" t="s">
        <v>2554</v>
      </c>
      <c r="O818" s="0" t="s">
        <v>643</v>
      </c>
      <c r="Q818" s="0" t="s">
        <v>141</v>
      </c>
      <c r="R818" s="0" t="s">
        <v>138</v>
      </c>
      <c r="S818" s="14">
        <v>1</v>
      </c>
      <c r="T818" s="0" t="s">
        <v>1145</v>
      </c>
      <c r="U818" s="0" t="s">
        <v>138</v>
      </c>
      <c r="V818" s="14" t="s">
        <v>138</v>
      </c>
      <c r="W818" s="0" t="s">
        <v>138</v>
      </c>
      <c r="X818" s="14" t="s">
        <v>138</v>
      </c>
      <c r="Y818" s="0" t="s">
        <v>138</v>
      </c>
      <c r="Z818" s="14" t="s">
        <v>138</v>
      </c>
      <c r="AA818" s="0" t="s">
        <v>138</v>
      </c>
      <c r="AB818" s="14" t="s">
        <v>138</v>
      </c>
      <c r="AD818" s="0" t="s">
        <v>138</v>
      </c>
      <c r="AF818" s="0">
        <v>0</v>
      </c>
      <c r="AG818" s="0">
        <v>0</v>
      </c>
      <c r="AH818" s="0" t="s">
        <v>140</v>
      </c>
      <c r="AI818" s="0" t="s">
        <v>138</v>
      </c>
      <c r="AK818" s="0" t="s">
        <v>2290</v>
      </c>
      <c r="AL818" s="14"/>
      <c r="AN818" s="14"/>
      <c r="AQ818" s="0" t="s">
        <v>130</v>
      </c>
      <c r="AR818" s="0" t="s">
        <v>130</v>
      </c>
      <c r="AS818" s="0" t="s">
        <v>130</v>
      </c>
      <c r="AT818" s="0" t="s">
        <v>130</v>
      </c>
      <c r="AU818" s="0" t="s">
        <v>130</v>
      </c>
      <c r="AV818" s="0" t="s">
        <v>130</v>
      </c>
      <c r="AW818" s="0" t="s">
        <v>130</v>
      </c>
      <c r="AX818" s="0" t="s">
        <v>130</v>
      </c>
      <c r="AY818" s="0" t="s">
        <v>130</v>
      </c>
      <c r="AZ818" s="0" t="s">
        <v>130</v>
      </c>
      <c r="BA818" s="0" t="s">
        <v>130</v>
      </c>
      <c r="BB818" s="0" t="s">
        <v>130</v>
      </c>
      <c r="BC818" s="0" t="s">
        <v>130</v>
      </c>
      <c r="BD818" s="0" t="s">
        <v>130</v>
      </c>
      <c r="BE818" s="0" t="s">
        <v>130</v>
      </c>
      <c r="BF818" s="0" t="s">
        <v>130</v>
      </c>
      <c r="BG818" s="0" t="s">
        <v>130</v>
      </c>
      <c r="BH818" s="0" t="s">
        <v>130</v>
      </c>
      <c r="BI818" s="0" t="s">
        <v>130</v>
      </c>
      <c r="BJ818" s="0" t="s">
        <v>130</v>
      </c>
      <c r="BK818" s="0" t="s">
        <v>130</v>
      </c>
      <c r="BL818" s="0" t="s">
        <v>130</v>
      </c>
      <c r="BM818" s="0" t="s">
        <v>130</v>
      </c>
      <c r="BN818" s="0" t="s">
        <v>130</v>
      </c>
      <c r="BO818" s="0" t="s">
        <v>130</v>
      </c>
      <c r="BP818" s="0" t="s">
        <v>130</v>
      </c>
      <c r="BQ818" s="0" t="s">
        <v>130</v>
      </c>
      <c r="BR818" s="0" t="s">
        <v>130</v>
      </c>
      <c r="BS818" s="0" t="s">
        <v>130</v>
      </c>
      <c r="BT818" s="0" t="s">
        <v>130</v>
      </c>
      <c r="BU818" s="0" t="s">
        <v>130</v>
      </c>
      <c r="BV818" s="0" t="s">
        <v>130</v>
      </c>
      <c r="BW818" s="0" t="s">
        <v>130</v>
      </c>
      <c r="BX818" s="0" t="s">
        <v>130</v>
      </c>
      <c r="BY818" s="0" t="s">
        <v>130</v>
      </c>
      <c r="BZ818" s="0" t="s">
        <v>130</v>
      </c>
      <c r="CA818" s="0" t="s">
        <v>130</v>
      </c>
      <c r="CB818" s="0" t="s">
        <v>130</v>
      </c>
      <c r="CC818" s="0" t="s">
        <v>130</v>
      </c>
      <c r="CD818" s="0" t="s">
        <v>130</v>
      </c>
      <c r="CE818" s="0" t="s">
        <v>130</v>
      </c>
      <c r="CF818" s="0" t="s">
        <v>130</v>
      </c>
      <c r="CG818" s="0" t="s">
        <v>130</v>
      </c>
      <c r="CH818" s="0" t="s">
        <v>130</v>
      </c>
      <c r="CI818" s="0" t="s">
        <v>130</v>
      </c>
      <c r="CJ818" s="0" t="s">
        <v>130</v>
      </c>
      <c r="CK818" s="0" t="s">
        <v>130</v>
      </c>
      <c r="CL818" s="0" t="s">
        <v>130</v>
      </c>
      <c r="CM818" s="0" t="s">
        <v>130</v>
      </c>
      <c r="CN818" s="0" t="s">
        <v>130</v>
      </c>
      <c r="CO818" s="0" t="s">
        <v>130</v>
      </c>
      <c r="CP818" s="0" t="s">
        <v>130</v>
      </c>
      <c r="CQ818" s="0" t="s">
        <v>130</v>
      </c>
      <c r="CR818" s="0" t="s">
        <v>130</v>
      </c>
      <c r="CS818" s="0" t="s">
        <v>130</v>
      </c>
      <c r="CT818" s="0" t="s">
        <v>2555</v>
      </c>
    </row>
    <row r="819">
      <c r="A819" s="14">
        <v>115643</v>
      </c>
      <c r="B819" s="0" t="s">
        <v>2552</v>
      </c>
      <c r="C819" s="16">
        <f>HYPERLINK("https://eosportal.federatedhermes.com/companies/Q29tcGFueQppNjk2MzA=", "Koninklijke Ahold Delhaize NV")</f>
      </c>
      <c r="D819" s="0" t="s">
        <v>25</v>
      </c>
      <c r="E819" s="0" t="s">
        <v>2556</v>
      </c>
      <c r="F819" s="16">
        <f>HYPERLINK("https://eosportal.federatedhermes.com/engagements/RW5nYWdlbWVudAppMjIzMzg=", "Achievement of synergies from merger")</f>
      </c>
      <c r="G819" s="14" t="s">
        <v>2557</v>
      </c>
      <c r="H819" s="0" t="s">
        <v>141</v>
      </c>
      <c r="I819" s="14" t="s">
        <v>1645</v>
      </c>
      <c r="J819" s="0" t="s">
        <v>153</v>
      </c>
      <c r="K819" s="0" t="s">
        <v>185</v>
      </c>
      <c r="L819" s="0" t="s">
        <v>186</v>
      </c>
      <c r="M819" s="0" t="s">
        <v>378</v>
      </c>
      <c r="N819" s="0" t="s">
        <v>2554</v>
      </c>
      <c r="O819" s="0" t="s">
        <v>643</v>
      </c>
      <c r="Q819" s="0" t="s">
        <v>130</v>
      </c>
      <c r="R819" s="0" t="s">
        <v>138</v>
      </c>
      <c r="S819" s="14">
        <v>0</v>
      </c>
      <c r="T819" s="0" t="s">
        <v>591</v>
      </c>
      <c r="U819" s="0" t="s">
        <v>138</v>
      </c>
      <c r="V819" s="14" t="s">
        <v>138</v>
      </c>
      <c r="W819" s="0" t="s">
        <v>138</v>
      </c>
      <c r="X819" s="14" t="s">
        <v>138</v>
      </c>
      <c r="Y819" s="0" t="s">
        <v>138</v>
      </c>
      <c r="Z819" s="14" t="s">
        <v>138</v>
      </c>
      <c r="AA819" s="0" t="s">
        <v>138</v>
      </c>
      <c r="AB819" s="14" t="s">
        <v>138</v>
      </c>
      <c r="AD819" s="0" t="s">
        <v>138</v>
      </c>
      <c r="AF819" s="0">
        <v>0</v>
      </c>
      <c r="AG819" s="0">
        <v>0</v>
      </c>
      <c r="AH819" s="0" t="s">
        <v>140</v>
      </c>
      <c r="AI819" s="0" t="s">
        <v>138</v>
      </c>
      <c r="AL819" s="14"/>
      <c r="AN819" s="14"/>
      <c r="AQ819" s="0" t="s">
        <v>130</v>
      </c>
      <c r="AR819" s="0" t="s">
        <v>130</v>
      </c>
      <c r="AS819" s="0" t="s">
        <v>130</v>
      </c>
      <c r="AT819" s="0" t="s">
        <v>130</v>
      </c>
      <c r="AU819" s="0" t="s">
        <v>130</v>
      </c>
      <c r="AV819" s="0" t="s">
        <v>130</v>
      </c>
      <c r="AW819" s="0" t="s">
        <v>130</v>
      </c>
      <c r="AX819" s="0" t="s">
        <v>130</v>
      </c>
      <c r="AY819" s="0" t="s">
        <v>130</v>
      </c>
      <c r="AZ819" s="0" t="s">
        <v>130</v>
      </c>
      <c r="BA819" s="0" t="s">
        <v>130</v>
      </c>
      <c r="BB819" s="0" t="s">
        <v>130</v>
      </c>
      <c r="BC819" s="0" t="s">
        <v>130</v>
      </c>
      <c r="BD819" s="0" t="s">
        <v>130</v>
      </c>
      <c r="BE819" s="0" t="s">
        <v>130</v>
      </c>
      <c r="BF819" s="0" t="s">
        <v>130</v>
      </c>
      <c r="BG819" s="0" t="s">
        <v>130</v>
      </c>
      <c r="BH819" s="0" t="s">
        <v>130</v>
      </c>
      <c r="BI819" s="0" t="s">
        <v>130</v>
      </c>
      <c r="BJ819" s="0" t="s">
        <v>130</v>
      </c>
      <c r="BK819" s="0" t="s">
        <v>130</v>
      </c>
      <c r="BL819" s="0" t="s">
        <v>130</v>
      </c>
      <c r="BM819" s="0" t="s">
        <v>130</v>
      </c>
      <c r="BN819" s="0" t="s">
        <v>130</v>
      </c>
      <c r="BO819" s="0" t="s">
        <v>130</v>
      </c>
      <c r="BP819" s="0" t="s">
        <v>130</v>
      </c>
      <c r="BQ819" s="0" t="s">
        <v>130</v>
      </c>
      <c r="BR819" s="0" t="s">
        <v>130</v>
      </c>
      <c r="BS819" s="0" t="s">
        <v>130</v>
      </c>
      <c r="BT819" s="0" t="s">
        <v>130</v>
      </c>
      <c r="BU819" s="0" t="s">
        <v>130</v>
      </c>
      <c r="BV819" s="0" t="s">
        <v>130</v>
      </c>
      <c r="BW819" s="0" t="s">
        <v>130</v>
      </c>
      <c r="BX819" s="0" t="s">
        <v>130</v>
      </c>
      <c r="BY819" s="0" t="s">
        <v>130</v>
      </c>
      <c r="BZ819" s="0" t="s">
        <v>130</v>
      </c>
      <c r="CA819" s="0" t="s">
        <v>130</v>
      </c>
      <c r="CB819" s="0" t="s">
        <v>130</v>
      </c>
      <c r="CC819" s="0" t="s">
        <v>130</v>
      </c>
      <c r="CD819" s="0" t="s">
        <v>130</v>
      </c>
      <c r="CE819" s="0" t="s">
        <v>130</v>
      </c>
      <c r="CF819" s="0" t="s">
        <v>130</v>
      </c>
      <c r="CG819" s="0" t="s">
        <v>130</v>
      </c>
      <c r="CH819" s="0" t="s">
        <v>130</v>
      </c>
      <c r="CI819" s="0" t="s">
        <v>130</v>
      </c>
      <c r="CJ819" s="0" t="s">
        <v>130</v>
      </c>
      <c r="CK819" s="0" t="s">
        <v>130</v>
      </c>
      <c r="CL819" s="0" t="s">
        <v>130</v>
      </c>
      <c r="CM819" s="0" t="s">
        <v>130</v>
      </c>
      <c r="CN819" s="0" t="s">
        <v>130</v>
      </c>
      <c r="CO819" s="0" t="s">
        <v>130</v>
      </c>
      <c r="CP819" s="0" t="s">
        <v>130</v>
      </c>
      <c r="CQ819" s="0" t="s">
        <v>130</v>
      </c>
      <c r="CR819" s="0" t="s">
        <v>130</v>
      </c>
      <c r="CS819" s="0" t="s">
        <v>130</v>
      </c>
      <c r="CT819" s="0" t="s">
        <v>2558</v>
      </c>
    </row>
    <row r="820">
      <c r="A820" s="14">
        <v>115643</v>
      </c>
      <c r="B820" s="0" t="s">
        <v>2552</v>
      </c>
      <c r="C820" s="16">
        <f>HYPERLINK("https://eosportal.federatedhermes.com/companies/Q29tcGFueQppNjk2MzA=", "Koninklijke Ahold Delhaize NV")</f>
      </c>
      <c r="D820" s="0" t="s">
        <v>25</v>
      </c>
      <c r="E820" s="0" t="s">
        <v>2559</v>
      </c>
      <c r="F820" s="16">
        <f>HYPERLINK("https://eosportal.federatedhermes.com/engagements/RW5nYWdlbWVudAppMjIzMzk=", "Animal welfare")</f>
      </c>
      <c r="G820" s="14" t="s">
        <v>2560</v>
      </c>
      <c r="H820" s="0" t="s">
        <v>141</v>
      </c>
      <c r="I820" s="14" t="s">
        <v>1645</v>
      </c>
      <c r="J820" s="0" t="s">
        <v>197</v>
      </c>
      <c r="K820" s="0" t="s">
        <v>337</v>
      </c>
      <c r="L820" s="0" t="s">
        <v>1222</v>
      </c>
      <c r="M820" s="0" t="s">
        <v>378</v>
      </c>
      <c r="N820" s="0" t="s">
        <v>2554</v>
      </c>
      <c r="O820" s="0" t="s">
        <v>643</v>
      </c>
      <c r="Q820" s="0" t="s">
        <v>130</v>
      </c>
      <c r="R820" s="0" t="s">
        <v>138</v>
      </c>
      <c r="S820" s="14">
        <v>0</v>
      </c>
      <c r="T820" s="0" t="s">
        <v>416</v>
      </c>
      <c r="U820" s="0" t="s">
        <v>138</v>
      </c>
      <c r="V820" s="14" t="s">
        <v>138</v>
      </c>
      <c r="W820" s="0" t="s">
        <v>138</v>
      </c>
      <c r="X820" s="14" t="s">
        <v>138</v>
      </c>
      <c r="Y820" s="0" t="s">
        <v>138</v>
      </c>
      <c r="Z820" s="14" t="s">
        <v>138</v>
      </c>
      <c r="AA820" s="0" t="s">
        <v>138</v>
      </c>
      <c r="AB820" s="14" t="s">
        <v>138</v>
      </c>
      <c r="AD820" s="0" t="s">
        <v>138</v>
      </c>
      <c r="AF820" s="0">
        <v>0</v>
      </c>
      <c r="AG820" s="0">
        <v>0</v>
      </c>
      <c r="AH820" s="0" t="s">
        <v>140</v>
      </c>
      <c r="AI820" s="0" t="s">
        <v>138</v>
      </c>
      <c r="AL820" s="14"/>
      <c r="AN820" s="14"/>
      <c r="AQ820" s="0" t="s">
        <v>130</v>
      </c>
      <c r="AR820" s="0" t="s">
        <v>130</v>
      </c>
      <c r="AS820" s="0" t="s">
        <v>130</v>
      </c>
      <c r="AT820" s="0" t="s">
        <v>130</v>
      </c>
      <c r="AU820" s="0" t="s">
        <v>130</v>
      </c>
      <c r="AV820" s="0" t="s">
        <v>130</v>
      </c>
      <c r="AW820" s="0" t="s">
        <v>130</v>
      </c>
      <c r="AX820" s="0" t="s">
        <v>130</v>
      </c>
      <c r="AY820" s="0" t="s">
        <v>130</v>
      </c>
      <c r="AZ820" s="0" t="s">
        <v>130</v>
      </c>
      <c r="BA820" s="0" t="s">
        <v>130</v>
      </c>
      <c r="BB820" s="0" t="s">
        <v>141</v>
      </c>
      <c r="BC820" s="0" t="s">
        <v>130</v>
      </c>
      <c r="BD820" s="0" t="s">
        <v>130</v>
      </c>
      <c r="BE820" s="0" t="s">
        <v>130</v>
      </c>
      <c r="BF820" s="0" t="s">
        <v>130</v>
      </c>
      <c r="BG820" s="0" t="s">
        <v>130</v>
      </c>
      <c r="BH820" s="0" t="s">
        <v>130</v>
      </c>
      <c r="BI820" s="0" t="s">
        <v>130</v>
      </c>
      <c r="BJ820" s="0" t="s">
        <v>130</v>
      </c>
      <c r="BK820" s="0" t="s">
        <v>130</v>
      </c>
      <c r="BL820" s="0" t="s">
        <v>130</v>
      </c>
      <c r="BM820" s="0" t="s">
        <v>130</v>
      </c>
      <c r="BN820" s="0" t="s">
        <v>130</v>
      </c>
      <c r="BO820" s="0" t="s">
        <v>130</v>
      </c>
      <c r="BP820" s="0" t="s">
        <v>130</v>
      </c>
      <c r="BQ820" s="0" t="s">
        <v>130</v>
      </c>
      <c r="BR820" s="0" t="s">
        <v>130</v>
      </c>
      <c r="BS820" s="0" t="s">
        <v>130</v>
      </c>
      <c r="BT820" s="0" t="s">
        <v>130</v>
      </c>
      <c r="BU820" s="0" t="s">
        <v>130</v>
      </c>
      <c r="BV820" s="0" t="s">
        <v>130</v>
      </c>
      <c r="BW820" s="0" t="s">
        <v>130</v>
      </c>
      <c r="BX820" s="0" t="s">
        <v>130</v>
      </c>
      <c r="BY820" s="0" t="s">
        <v>130</v>
      </c>
      <c r="BZ820" s="0" t="s">
        <v>130</v>
      </c>
      <c r="CA820" s="0" t="s">
        <v>130</v>
      </c>
      <c r="CB820" s="0" t="s">
        <v>130</v>
      </c>
      <c r="CC820" s="0" t="s">
        <v>130</v>
      </c>
      <c r="CD820" s="0" t="s">
        <v>130</v>
      </c>
      <c r="CE820" s="0" t="s">
        <v>130</v>
      </c>
      <c r="CF820" s="0" t="s">
        <v>130</v>
      </c>
      <c r="CG820" s="0" t="s">
        <v>130</v>
      </c>
      <c r="CH820" s="0" t="s">
        <v>130</v>
      </c>
      <c r="CI820" s="0" t="s">
        <v>130</v>
      </c>
      <c r="CJ820" s="0" t="s">
        <v>130</v>
      </c>
      <c r="CK820" s="0" t="s">
        <v>130</v>
      </c>
      <c r="CL820" s="0" t="s">
        <v>130</v>
      </c>
      <c r="CM820" s="0" t="s">
        <v>130</v>
      </c>
      <c r="CN820" s="0" t="s">
        <v>130</v>
      </c>
      <c r="CO820" s="0" t="s">
        <v>130</v>
      </c>
      <c r="CP820" s="0" t="s">
        <v>130</v>
      </c>
      <c r="CQ820" s="0" t="s">
        <v>130</v>
      </c>
      <c r="CR820" s="0" t="s">
        <v>130</v>
      </c>
      <c r="CS820" s="0" t="s">
        <v>130</v>
      </c>
      <c r="CT820" s="0" t="s">
        <v>2561</v>
      </c>
    </row>
    <row r="821">
      <c r="A821" s="14">
        <v>115643</v>
      </c>
      <c r="B821" s="0" t="s">
        <v>2552</v>
      </c>
      <c r="C821" s="16">
        <f>HYPERLINK("https://eosportal.federatedhermes.com/companies/Q29tcGFueQppNjk2MzA=", "Koninklijke Ahold Delhaize NV")</f>
      </c>
      <c r="D821" s="0" t="s">
        <v>25</v>
      </c>
      <c r="E821" s="0" t="s">
        <v>652</v>
      </c>
      <c r="F821" s="16">
        <f>HYPERLINK("https://eosportal.federatedhermes.com/engagements/RW5nYWdlbWVudAppMjIzNDA=", "Protein diversification")</f>
      </c>
      <c r="G821" s="14" t="s">
        <v>653</v>
      </c>
      <c r="H821" s="0" t="s">
        <v>141</v>
      </c>
      <c r="I821" s="14" t="s">
        <v>1645</v>
      </c>
      <c r="J821" s="0" t="s">
        <v>197</v>
      </c>
      <c r="K821" s="0" t="s">
        <v>337</v>
      </c>
      <c r="L821" s="0" t="s">
        <v>576</v>
      </c>
      <c r="M821" s="0" t="s">
        <v>378</v>
      </c>
      <c r="N821" s="0" t="s">
        <v>2554</v>
      </c>
      <c r="O821" s="0" t="s">
        <v>643</v>
      </c>
      <c r="Q821" s="0" t="s">
        <v>141</v>
      </c>
      <c r="R821" s="0" t="s">
        <v>138</v>
      </c>
      <c r="S821" s="14">
        <v>1</v>
      </c>
      <c r="T821" s="0" t="s">
        <v>333</v>
      </c>
      <c r="U821" s="0" t="s">
        <v>138</v>
      </c>
      <c r="V821" s="14" t="s">
        <v>138</v>
      </c>
      <c r="W821" s="0" t="s">
        <v>138</v>
      </c>
      <c r="X821" s="14" t="s">
        <v>138</v>
      </c>
      <c r="Y821" s="0" t="s">
        <v>138</v>
      </c>
      <c r="Z821" s="14" t="s">
        <v>138</v>
      </c>
      <c r="AA821" s="0" t="s">
        <v>138</v>
      </c>
      <c r="AB821" s="14" t="s">
        <v>138</v>
      </c>
      <c r="AD821" s="0" t="s">
        <v>138</v>
      </c>
      <c r="AF821" s="0">
        <v>0</v>
      </c>
      <c r="AG821" s="0">
        <v>0</v>
      </c>
      <c r="AH821" s="0" t="s">
        <v>140</v>
      </c>
      <c r="AI821" s="0" t="s">
        <v>138</v>
      </c>
      <c r="AK821" s="0" t="s">
        <v>2290</v>
      </c>
      <c r="AL821" s="14"/>
      <c r="AN821" s="14"/>
      <c r="AQ821" s="0" t="s">
        <v>130</v>
      </c>
      <c r="AR821" s="0" t="s">
        <v>141</v>
      </c>
      <c r="AS821" s="0" t="s">
        <v>130</v>
      </c>
      <c r="AT821" s="0" t="s">
        <v>130</v>
      </c>
      <c r="AU821" s="0" t="s">
        <v>130</v>
      </c>
      <c r="AV821" s="0" t="s">
        <v>130</v>
      </c>
      <c r="AW821" s="0" t="s">
        <v>130</v>
      </c>
      <c r="AX821" s="0" t="s">
        <v>130</v>
      </c>
      <c r="AY821" s="0" t="s">
        <v>130</v>
      </c>
      <c r="AZ821" s="0" t="s">
        <v>130</v>
      </c>
      <c r="BA821" s="0" t="s">
        <v>130</v>
      </c>
      <c r="BB821" s="0" t="s">
        <v>141</v>
      </c>
      <c r="BC821" s="0" t="s">
        <v>130</v>
      </c>
      <c r="BD821" s="0" t="s">
        <v>130</v>
      </c>
      <c r="BE821" s="0" t="s">
        <v>141</v>
      </c>
      <c r="BF821" s="0" t="s">
        <v>130</v>
      </c>
      <c r="BG821" s="0" t="s">
        <v>130</v>
      </c>
      <c r="BH821" s="0" t="s">
        <v>130</v>
      </c>
      <c r="BI821" s="0" t="s">
        <v>130</v>
      </c>
      <c r="BJ821" s="0" t="s">
        <v>130</v>
      </c>
      <c r="BK821" s="0" t="s">
        <v>130</v>
      </c>
      <c r="BL821" s="0" t="s">
        <v>130</v>
      </c>
      <c r="BM821" s="0" t="s">
        <v>130</v>
      </c>
      <c r="BN821" s="0" t="s">
        <v>130</v>
      </c>
      <c r="BO821" s="0" t="s">
        <v>130</v>
      </c>
      <c r="BP821" s="0" t="s">
        <v>130</v>
      </c>
      <c r="BQ821" s="0" t="s">
        <v>130</v>
      </c>
      <c r="BR821" s="0" t="s">
        <v>130</v>
      </c>
      <c r="BS821" s="0" t="s">
        <v>130</v>
      </c>
      <c r="BT821" s="0" t="s">
        <v>130</v>
      </c>
      <c r="BU821" s="0" t="s">
        <v>130</v>
      </c>
      <c r="BV821" s="0" t="s">
        <v>130</v>
      </c>
      <c r="BW821" s="0" t="s">
        <v>130</v>
      </c>
      <c r="BX821" s="0" t="s">
        <v>130</v>
      </c>
      <c r="BY821" s="0" t="s">
        <v>130</v>
      </c>
      <c r="BZ821" s="0" t="s">
        <v>130</v>
      </c>
      <c r="CA821" s="0" t="s">
        <v>130</v>
      </c>
      <c r="CB821" s="0" t="s">
        <v>130</v>
      </c>
      <c r="CC821" s="0" t="s">
        <v>130</v>
      </c>
      <c r="CD821" s="0" t="s">
        <v>130</v>
      </c>
      <c r="CE821" s="0" t="s">
        <v>130</v>
      </c>
      <c r="CF821" s="0" t="s">
        <v>130</v>
      </c>
      <c r="CG821" s="0" t="s">
        <v>130</v>
      </c>
      <c r="CH821" s="0" t="s">
        <v>130</v>
      </c>
      <c r="CI821" s="0" t="s">
        <v>130</v>
      </c>
      <c r="CJ821" s="0" t="s">
        <v>130</v>
      </c>
      <c r="CK821" s="0" t="s">
        <v>130</v>
      </c>
      <c r="CL821" s="0" t="s">
        <v>130</v>
      </c>
      <c r="CM821" s="0" t="s">
        <v>130</v>
      </c>
      <c r="CN821" s="0" t="s">
        <v>130</v>
      </c>
      <c r="CO821" s="0" t="s">
        <v>130</v>
      </c>
      <c r="CP821" s="0" t="s">
        <v>130</v>
      </c>
      <c r="CQ821" s="0" t="s">
        <v>130</v>
      </c>
      <c r="CR821" s="0" t="s">
        <v>130</v>
      </c>
      <c r="CS821" s="0" t="s">
        <v>130</v>
      </c>
      <c r="CT821" s="0" t="s">
        <v>2562</v>
      </c>
    </row>
    <row r="822">
      <c r="A822" s="14">
        <v>115643</v>
      </c>
      <c r="B822" s="0" t="s">
        <v>2552</v>
      </c>
      <c r="C822" s="16">
        <f>HYPERLINK("https://eosportal.federatedhermes.com/companies/Q29tcGFueQppNjk2MzA=", "Koninklijke Ahold Delhaize NV")</f>
      </c>
      <c r="D822" s="0" t="s">
        <v>25</v>
      </c>
      <c r="E822" s="0" t="s">
        <v>341</v>
      </c>
      <c r="F822" s="16">
        <f>HYPERLINK("https://eosportal.federatedhermes.com/engagements/RW5nYWdlbWVudAppMjIzNDE=", "Remuneration")</f>
      </c>
      <c r="G822" s="14" t="s">
        <v>642</v>
      </c>
      <c r="H822" s="0" t="s">
        <v>141</v>
      </c>
      <c r="I822" s="14" t="s">
        <v>1645</v>
      </c>
      <c r="J822" s="0" t="s">
        <v>145</v>
      </c>
      <c r="K822" s="0" t="s">
        <v>146</v>
      </c>
      <c r="L822" s="0" t="s">
        <v>147</v>
      </c>
      <c r="M822" s="0" t="s">
        <v>378</v>
      </c>
      <c r="N822" s="0" t="s">
        <v>2554</v>
      </c>
      <c r="O822" s="0" t="s">
        <v>643</v>
      </c>
      <c r="Q822" s="0" t="s">
        <v>141</v>
      </c>
      <c r="R822" s="0" t="s">
        <v>138</v>
      </c>
      <c r="S822" s="14">
        <v>2</v>
      </c>
      <c r="T822" s="0" t="s">
        <v>288</v>
      </c>
      <c r="U822" s="0" t="s">
        <v>138</v>
      </c>
      <c r="V822" s="14" t="s">
        <v>138</v>
      </c>
      <c r="W822" s="0" t="s">
        <v>138</v>
      </c>
      <c r="X822" s="14" t="s">
        <v>138</v>
      </c>
      <c r="Y822" s="0" t="s">
        <v>138</v>
      </c>
      <c r="Z822" s="14" t="s">
        <v>138</v>
      </c>
      <c r="AA822" s="0" t="s">
        <v>138</v>
      </c>
      <c r="AB822" s="14" t="s">
        <v>138</v>
      </c>
      <c r="AD822" s="0" t="s">
        <v>138</v>
      </c>
      <c r="AF822" s="0">
        <v>0</v>
      </c>
      <c r="AG822" s="0">
        <v>0</v>
      </c>
      <c r="AH822" s="0" t="s">
        <v>140</v>
      </c>
      <c r="AI822" s="0" t="s">
        <v>138</v>
      </c>
      <c r="AK822" s="0" t="s">
        <v>436</v>
      </c>
      <c r="AL822" s="14"/>
      <c r="AN822" s="14"/>
      <c r="AQ822" s="0" t="s">
        <v>130</v>
      </c>
      <c r="AR822" s="0" t="s">
        <v>130</v>
      </c>
      <c r="AS822" s="0" t="s">
        <v>130</v>
      </c>
      <c r="AT822" s="0" t="s">
        <v>130</v>
      </c>
      <c r="AU822" s="0" t="s">
        <v>130</v>
      </c>
      <c r="AV822" s="0" t="s">
        <v>130</v>
      </c>
      <c r="AW822" s="0" t="s">
        <v>130</v>
      </c>
      <c r="AX822" s="0" t="s">
        <v>130</v>
      </c>
      <c r="AY822" s="0" t="s">
        <v>130</v>
      </c>
      <c r="AZ822" s="0" t="s">
        <v>130</v>
      </c>
      <c r="BA822" s="0" t="s">
        <v>130</v>
      </c>
      <c r="BB822" s="0" t="s">
        <v>130</v>
      </c>
      <c r="BC822" s="0" t="s">
        <v>130</v>
      </c>
      <c r="BD822" s="0" t="s">
        <v>130</v>
      </c>
      <c r="BE822" s="0" t="s">
        <v>130</v>
      </c>
      <c r="BF822" s="0" t="s">
        <v>130</v>
      </c>
      <c r="BG822" s="0" t="s">
        <v>130</v>
      </c>
      <c r="BH822" s="0" t="s">
        <v>130</v>
      </c>
      <c r="BI822" s="0" t="s">
        <v>130</v>
      </c>
      <c r="BJ822" s="0" t="s">
        <v>130</v>
      </c>
      <c r="BK822" s="0" t="s">
        <v>130</v>
      </c>
      <c r="BL822" s="0" t="s">
        <v>130</v>
      </c>
      <c r="BM822" s="0" t="s">
        <v>130</v>
      </c>
      <c r="BN822" s="0" t="s">
        <v>130</v>
      </c>
      <c r="BO822" s="0" t="s">
        <v>130</v>
      </c>
      <c r="BP822" s="0" t="s">
        <v>130</v>
      </c>
      <c r="BQ822" s="0" t="s">
        <v>130</v>
      </c>
      <c r="BR822" s="0" t="s">
        <v>130</v>
      </c>
      <c r="BS822" s="0" t="s">
        <v>130</v>
      </c>
      <c r="BT822" s="0" t="s">
        <v>130</v>
      </c>
      <c r="BU822" s="0" t="s">
        <v>130</v>
      </c>
      <c r="BV822" s="0" t="s">
        <v>130</v>
      </c>
      <c r="BW822" s="0" t="s">
        <v>130</v>
      </c>
      <c r="BX822" s="0" t="s">
        <v>130</v>
      </c>
      <c r="BY822" s="0" t="s">
        <v>130</v>
      </c>
      <c r="BZ822" s="0" t="s">
        <v>130</v>
      </c>
      <c r="CA822" s="0" t="s">
        <v>130</v>
      </c>
      <c r="CB822" s="0" t="s">
        <v>130</v>
      </c>
      <c r="CC822" s="0" t="s">
        <v>130</v>
      </c>
      <c r="CD822" s="0" t="s">
        <v>130</v>
      </c>
      <c r="CE822" s="0" t="s">
        <v>130</v>
      </c>
      <c r="CF822" s="0" t="s">
        <v>130</v>
      </c>
      <c r="CG822" s="0" t="s">
        <v>130</v>
      </c>
      <c r="CH822" s="0" t="s">
        <v>130</v>
      </c>
      <c r="CI822" s="0" t="s">
        <v>130</v>
      </c>
      <c r="CJ822" s="0" t="s">
        <v>130</v>
      </c>
      <c r="CK822" s="0" t="s">
        <v>130</v>
      </c>
      <c r="CL822" s="0" t="s">
        <v>130</v>
      </c>
      <c r="CM822" s="0" t="s">
        <v>130</v>
      </c>
      <c r="CN822" s="0" t="s">
        <v>130</v>
      </c>
      <c r="CO822" s="0" t="s">
        <v>130</v>
      </c>
      <c r="CP822" s="0" t="s">
        <v>130</v>
      </c>
      <c r="CQ822" s="0" t="s">
        <v>130</v>
      </c>
      <c r="CR822" s="0" t="s">
        <v>130</v>
      </c>
      <c r="CS822" s="0" t="s">
        <v>130</v>
      </c>
      <c r="CT822" s="0" t="s">
        <v>2563</v>
      </c>
    </row>
    <row r="823">
      <c r="A823" s="14">
        <v>115643</v>
      </c>
      <c r="B823" s="0" t="s">
        <v>2552</v>
      </c>
      <c r="C823" s="16">
        <f>HYPERLINK("https://eosportal.federatedhermes.com/companies/Q29tcGFueQppNjk2MzA=", "Koninklijke Ahold Delhaize NV")</f>
      </c>
      <c r="D823" s="0" t="s">
        <v>25</v>
      </c>
      <c r="E823" s="0" t="s">
        <v>2564</v>
      </c>
      <c r="F823" s="16">
        <f>HYPERLINK("https://eosportal.federatedhermes.com/engagements/RW5nYWdlbWVudAppMjIzNDI=", "Health and nutrition")</f>
      </c>
      <c r="G823" s="14" t="s">
        <v>2565</v>
      </c>
      <c r="H823" s="0" t="s">
        <v>141</v>
      </c>
      <c r="I823" s="14" t="s">
        <v>1645</v>
      </c>
      <c r="J823" s="0" t="s">
        <v>153</v>
      </c>
      <c r="K823" s="0" t="s">
        <v>185</v>
      </c>
      <c r="L823" s="0" t="s">
        <v>626</v>
      </c>
      <c r="M823" s="0" t="s">
        <v>378</v>
      </c>
      <c r="N823" s="0" t="s">
        <v>2554</v>
      </c>
      <c r="O823" s="0" t="s">
        <v>643</v>
      </c>
      <c r="Q823" s="0" t="s">
        <v>141</v>
      </c>
      <c r="R823" s="0" t="s">
        <v>138</v>
      </c>
      <c r="S823" s="14">
        <v>1</v>
      </c>
      <c r="T823" s="0" t="s">
        <v>416</v>
      </c>
      <c r="U823" s="0" t="s">
        <v>138</v>
      </c>
      <c r="V823" s="14" t="s">
        <v>138</v>
      </c>
      <c r="W823" s="0" t="s">
        <v>138</v>
      </c>
      <c r="X823" s="14" t="s">
        <v>138</v>
      </c>
      <c r="Y823" s="0" t="s">
        <v>138</v>
      </c>
      <c r="Z823" s="14" t="s">
        <v>138</v>
      </c>
      <c r="AA823" s="0" t="s">
        <v>138</v>
      </c>
      <c r="AB823" s="14" t="s">
        <v>138</v>
      </c>
      <c r="AD823" s="0" t="s">
        <v>138</v>
      </c>
      <c r="AF823" s="0">
        <v>0</v>
      </c>
      <c r="AG823" s="0">
        <v>0</v>
      </c>
      <c r="AH823" s="0" t="s">
        <v>140</v>
      </c>
      <c r="AI823" s="0" t="s">
        <v>138</v>
      </c>
      <c r="AK823" s="0" t="s">
        <v>2290</v>
      </c>
      <c r="AL823" s="14"/>
      <c r="AN823" s="14"/>
      <c r="AQ823" s="0" t="s">
        <v>130</v>
      </c>
      <c r="AR823" s="0" t="s">
        <v>130</v>
      </c>
      <c r="AS823" s="0" t="s">
        <v>130</v>
      </c>
      <c r="AT823" s="0" t="s">
        <v>130</v>
      </c>
      <c r="AU823" s="0" t="s">
        <v>130</v>
      </c>
      <c r="AV823" s="0" t="s">
        <v>130</v>
      </c>
      <c r="AW823" s="0" t="s">
        <v>130</v>
      </c>
      <c r="AX823" s="0" t="s">
        <v>130</v>
      </c>
      <c r="AY823" s="0" t="s">
        <v>130</v>
      </c>
      <c r="AZ823" s="0" t="s">
        <v>130</v>
      </c>
      <c r="BA823" s="0" t="s">
        <v>130</v>
      </c>
      <c r="BB823" s="0" t="s">
        <v>130</v>
      </c>
      <c r="BC823" s="0" t="s">
        <v>130</v>
      </c>
      <c r="BD823" s="0" t="s">
        <v>130</v>
      </c>
      <c r="BE823" s="0" t="s">
        <v>130</v>
      </c>
      <c r="BF823" s="0" t="s">
        <v>130</v>
      </c>
      <c r="BG823" s="0" t="s">
        <v>130</v>
      </c>
      <c r="BH823" s="0" t="s">
        <v>130</v>
      </c>
      <c r="BI823" s="0" t="s">
        <v>130</v>
      </c>
      <c r="BJ823" s="0" t="s">
        <v>130</v>
      </c>
      <c r="BK823" s="0" t="s">
        <v>130</v>
      </c>
      <c r="BL823" s="0" t="s">
        <v>130</v>
      </c>
      <c r="BM823" s="0" t="s">
        <v>130</v>
      </c>
      <c r="BN823" s="0" t="s">
        <v>130</v>
      </c>
      <c r="BO823" s="0" t="s">
        <v>130</v>
      </c>
      <c r="BP823" s="0" t="s">
        <v>130</v>
      </c>
      <c r="BQ823" s="0" t="s">
        <v>130</v>
      </c>
      <c r="BR823" s="0" t="s">
        <v>130</v>
      </c>
      <c r="BS823" s="0" t="s">
        <v>130</v>
      </c>
      <c r="BT823" s="0" t="s">
        <v>130</v>
      </c>
      <c r="BU823" s="0" t="s">
        <v>130</v>
      </c>
      <c r="BV823" s="0" t="s">
        <v>130</v>
      </c>
      <c r="BW823" s="0" t="s">
        <v>130</v>
      </c>
      <c r="BX823" s="0" t="s">
        <v>130</v>
      </c>
      <c r="BY823" s="0" t="s">
        <v>130</v>
      </c>
      <c r="BZ823" s="0" t="s">
        <v>130</v>
      </c>
      <c r="CA823" s="0" t="s">
        <v>130</v>
      </c>
      <c r="CB823" s="0" t="s">
        <v>130</v>
      </c>
      <c r="CC823" s="0" t="s">
        <v>130</v>
      </c>
      <c r="CD823" s="0" t="s">
        <v>130</v>
      </c>
      <c r="CE823" s="0" t="s">
        <v>130</v>
      </c>
      <c r="CF823" s="0" t="s">
        <v>130</v>
      </c>
      <c r="CG823" s="0" t="s">
        <v>130</v>
      </c>
      <c r="CH823" s="0" t="s">
        <v>130</v>
      </c>
      <c r="CI823" s="0" t="s">
        <v>130</v>
      </c>
      <c r="CJ823" s="0" t="s">
        <v>130</v>
      </c>
      <c r="CK823" s="0" t="s">
        <v>130</v>
      </c>
      <c r="CL823" s="0" t="s">
        <v>130</v>
      </c>
      <c r="CM823" s="0" t="s">
        <v>130</v>
      </c>
      <c r="CN823" s="0" t="s">
        <v>130</v>
      </c>
      <c r="CO823" s="0" t="s">
        <v>130</v>
      </c>
      <c r="CP823" s="0" t="s">
        <v>130</v>
      </c>
      <c r="CQ823" s="0" t="s">
        <v>130</v>
      </c>
      <c r="CR823" s="0" t="s">
        <v>130</v>
      </c>
      <c r="CS823" s="0" t="s">
        <v>130</v>
      </c>
      <c r="CT823" s="0" t="s">
        <v>2566</v>
      </c>
    </row>
    <row r="824">
      <c r="A824" s="14">
        <v>115643</v>
      </c>
      <c r="B824" s="0" t="s">
        <v>2552</v>
      </c>
      <c r="C824" s="16">
        <f>HYPERLINK("https://eosportal.federatedhermes.com/companies/Q29tcGFueQppNjk2MzA=", "Koninklijke Ahold Delhaize NV")</f>
      </c>
      <c r="D824" s="0" t="s">
        <v>23</v>
      </c>
      <c r="E824" s="0" t="s">
        <v>2567</v>
      </c>
      <c r="F824" s="16">
        <f>HYPERLINK("https://eosportal.federatedhermes.com/engagements/RW5nYWdlbWVudAppMjIzNDc=", "Modern Slavery")</f>
      </c>
      <c r="G824" s="14" t="s">
        <v>2568</v>
      </c>
      <c r="H824" s="0" t="s">
        <v>141</v>
      </c>
      <c r="I824" s="14" t="s">
        <v>1645</v>
      </c>
      <c r="J824" s="0" t="s">
        <v>153</v>
      </c>
      <c r="K824" s="0" t="s">
        <v>243</v>
      </c>
      <c r="L824" s="0" t="s">
        <v>244</v>
      </c>
      <c r="M824" s="0" t="s">
        <v>378</v>
      </c>
      <c r="N824" s="0" t="s">
        <v>2554</v>
      </c>
      <c r="O824" s="0" t="s">
        <v>643</v>
      </c>
      <c r="Q824" s="0" t="s">
        <v>141</v>
      </c>
      <c r="R824" s="0" t="s">
        <v>130</v>
      </c>
      <c r="S824" s="14">
        <v>2</v>
      </c>
      <c r="T824" s="0" t="s">
        <v>139</v>
      </c>
      <c r="U824" s="0" t="s">
        <v>221</v>
      </c>
      <c r="V824" s="14" t="s">
        <v>139</v>
      </c>
      <c r="W824" s="0" t="s">
        <v>221</v>
      </c>
      <c r="X824" s="14" t="s">
        <v>230</v>
      </c>
      <c r="Y824" s="0" t="s">
        <v>221</v>
      </c>
      <c r="Z824" s="14" t="s">
        <v>360</v>
      </c>
      <c r="AA824" s="0" t="s">
        <v>223</v>
      </c>
      <c r="AB824" s="14" t="s">
        <v>138</v>
      </c>
      <c r="AD824" s="0" t="s">
        <v>20</v>
      </c>
      <c r="AF824" s="0">
        <v>0</v>
      </c>
      <c r="AG824" s="0">
        <v>0</v>
      </c>
      <c r="AH824" s="0" t="s">
        <v>140</v>
      </c>
      <c r="AI824" s="0" t="s">
        <v>479</v>
      </c>
      <c r="AK824" s="0" t="s">
        <v>2569</v>
      </c>
      <c r="AL824" s="14"/>
      <c r="AN824" s="14"/>
      <c r="AQ824" s="0" t="s">
        <v>130</v>
      </c>
      <c r="AR824" s="0" t="s">
        <v>130</v>
      </c>
      <c r="AS824" s="0" t="s">
        <v>130</v>
      </c>
      <c r="AT824" s="0" t="s">
        <v>130</v>
      </c>
      <c r="AU824" s="0" t="s">
        <v>130</v>
      </c>
      <c r="AV824" s="0" t="s">
        <v>130</v>
      </c>
      <c r="AW824" s="0" t="s">
        <v>130</v>
      </c>
      <c r="AX824" s="0" t="s">
        <v>141</v>
      </c>
      <c r="AY824" s="0" t="s">
        <v>130</v>
      </c>
      <c r="AZ824" s="0" t="s">
        <v>130</v>
      </c>
      <c r="BA824" s="0" t="s">
        <v>130</v>
      </c>
      <c r="BB824" s="0" t="s">
        <v>130</v>
      </c>
      <c r="BC824" s="0" t="s">
        <v>130</v>
      </c>
      <c r="BD824" s="0" t="s">
        <v>130</v>
      </c>
      <c r="BE824" s="0" t="s">
        <v>130</v>
      </c>
      <c r="BF824" s="0" t="s">
        <v>130</v>
      </c>
      <c r="BG824" s="0" t="s">
        <v>130</v>
      </c>
      <c r="BH824" s="0" t="s">
        <v>130</v>
      </c>
      <c r="BI824" s="0" t="s">
        <v>130</v>
      </c>
      <c r="BJ824" s="0" t="s">
        <v>130</v>
      </c>
      <c r="BK824" s="0" t="s">
        <v>130</v>
      </c>
      <c r="BL824" s="0" t="s">
        <v>130</v>
      </c>
      <c r="BM824" s="0" t="s">
        <v>130</v>
      </c>
      <c r="BN824" s="0" t="s">
        <v>130</v>
      </c>
      <c r="BO824" s="0" t="s">
        <v>130</v>
      </c>
      <c r="BP824" s="0" t="s">
        <v>130</v>
      </c>
      <c r="BQ824" s="0" t="s">
        <v>130</v>
      </c>
      <c r="BR824" s="0" t="s">
        <v>130</v>
      </c>
      <c r="BS824" s="0" t="s">
        <v>130</v>
      </c>
      <c r="BT824" s="0" t="s">
        <v>130</v>
      </c>
      <c r="BU824" s="0" t="s">
        <v>130</v>
      </c>
      <c r="BV824" s="0" t="s">
        <v>130</v>
      </c>
      <c r="BW824" s="0" t="s">
        <v>130</v>
      </c>
      <c r="BX824" s="0" t="s">
        <v>130</v>
      </c>
      <c r="BY824" s="0" t="s">
        <v>130</v>
      </c>
      <c r="BZ824" s="0" t="s">
        <v>130</v>
      </c>
      <c r="CA824" s="0" t="s">
        <v>130</v>
      </c>
      <c r="CB824" s="0" t="s">
        <v>130</v>
      </c>
      <c r="CC824" s="0" t="s">
        <v>130</v>
      </c>
      <c r="CD824" s="0" t="s">
        <v>130</v>
      </c>
      <c r="CE824" s="0" t="s">
        <v>130</v>
      </c>
      <c r="CF824" s="0" t="s">
        <v>130</v>
      </c>
      <c r="CG824" s="0" t="s">
        <v>130</v>
      </c>
      <c r="CH824" s="0" t="s">
        <v>130</v>
      </c>
      <c r="CI824" s="0" t="s">
        <v>130</v>
      </c>
      <c r="CJ824" s="0" t="s">
        <v>130</v>
      </c>
      <c r="CK824" s="0" t="s">
        <v>130</v>
      </c>
      <c r="CL824" s="0" t="s">
        <v>130</v>
      </c>
      <c r="CM824" s="0" t="s">
        <v>130</v>
      </c>
      <c r="CN824" s="0" t="s">
        <v>130</v>
      </c>
      <c r="CO824" s="0" t="s">
        <v>130</v>
      </c>
      <c r="CP824" s="0" t="s">
        <v>130</v>
      </c>
      <c r="CQ824" s="0" t="s">
        <v>130</v>
      </c>
      <c r="CR824" s="0" t="s">
        <v>130</v>
      </c>
      <c r="CS824" s="0" t="s">
        <v>130</v>
      </c>
      <c r="CT824" s="0" t="s">
        <v>2570</v>
      </c>
    </row>
    <row r="825">
      <c r="A825" s="14">
        <v>115649</v>
      </c>
      <c r="B825" s="0" t="s">
        <v>2571</v>
      </c>
      <c r="C825" s="16">
        <f>HYPERLINK("https://eosportal.federatedhermes.com/companies/Q29tcGFueQppNTg5MjU=", "Allianz SE")</f>
      </c>
      <c r="D825" s="0" t="s">
        <v>25</v>
      </c>
      <c r="E825" s="0" t="s">
        <v>2572</v>
      </c>
      <c r="F825" s="16">
        <f>HYPERLINK("https://eosportal.federatedhermes.com/engagements/RW5nYWdlbWVudAppMjIzNTg=", "Allianz SE-Governance")</f>
      </c>
      <c r="G825" s="14" t="s">
        <v>2573</v>
      </c>
      <c r="H825" s="0" t="s">
        <v>141</v>
      </c>
      <c r="I825" s="14" t="s">
        <v>131</v>
      </c>
      <c r="J825" s="0" t="s">
        <v>145</v>
      </c>
      <c r="K825" s="0" t="s">
        <v>146</v>
      </c>
      <c r="L825" s="0" t="s">
        <v>147</v>
      </c>
      <c r="M825" s="0" t="s">
        <v>378</v>
      </c>
      <c r="N825" s="0" t="s">
        <v>2485</v>
      </c>
      <c r="O825" s="0" t="s">
        <v>238</v>
      </c>
      <c r="Q825" s="0" t="s">
        <v>130</v>
      </c>
      <c r="R825" s="0" t="s">
        <v>138</v>
      </c>
      <c r="S825" s="14">
        <v>0</v>
      </c>
      <c r="T825" s="0" t="s">
        <v>1321</v>
      </c>
      <c r="U825" s="0" t="s">
        <v>138</v>
      </c>
      <c r="V825" s="14" t="s">
        <v>138</v>
      </c>
      <c r="W825" s="0" t="s">
        <v>138</v>
      </c>
      <c r="X825" s="14" t="s">
        <v>138</v>
      </c>
      <c r="Y825" s="0" t="s">
        <v>138</v>
      </c>
      <c r="Z825" s="14" t="s">
        <v>138</v>
      </c>
      <c r="AA825" s="0" t="s">
        <v>138</v>
      </c>
      <c r="AB825" s="14" t="s">
        <v>138</v>
      </c>
      <c r="AD825" s="0" t="s">
        <v>138</v>
      </c>
      <c r="AF825" s="0">
        <v>0</v>
      </c>
      <c r="AG825" s="0">
        <v>0</v>
      </c>
      <c r="AH825" s="0" t="s">
        <v>140</v>
      </c>
      <c r="AI825" s="0" t="s">
        <v>138</v>
      </c>
      <c r="AL825" s="14"/>
      <c r="AN825" s="14"/>
      <c r="AQ825" s="0" t="s">
        <v>130</v>
      </c>
      <c r="AR825" s="0" t="s">
        <v>130</v>
      </c>
      <c r="AS825" s="0" t="s">
        <v>130</v>
      </c>
      <c r="AT825" s="0" t="s">
        <v>130</v>
      </c>
      <c r="AU825" s="0" t="s">
        <v>130</v>
      </c>
      <c r="AV825" s="0" t="s">
        <v>130</v>
      </c>
      <c r="AW825" s="0" t="s">
        <v>130</v>
      </c>
      <c r="AX825" s="0" t="s">
        <v>130</v>
      </c>
      <c r="AY825" s="0" t="s">
        <v>130</v>
      </c>
      <c r="AZ825" s="0" t="s">
        <v>130</v>
      </c>
      <c r="BA825" s="0" t="s">
        <v>130</v>
      </c>
      <c r="BB825" s="0" t="s">
        <v>130</v>
      </c>
      <c r="BC825" s="0" t="s">
        <v>130</v>
      </c>
      <c r="BD825" s="0" t="s">
        <v>130</v>
      </c>
      <c r="BE825" s="0" t="s">
        <v>130</v>
      </c>
      <c r="BF825" s="0" t="s">
        <v>130</v>
      </c>
      <c r="BG825" s="0" t="s">
        <v>130</v>
      </c>
      <c r="BH825" s="0" t="s">
        <v>130</v>
      </c>
      <c r="BI825" s="0" t="s">
        <v>130</v>
      </c>
      <c r="BJ825" s="0" t="s">
        <v>130</v>
      </c>
      <c r="BK825" s="0" t="s">
        <v>130</v>
      </c>
      <c r="BL825" s="0" t="s">
        <v>130</v>
      </c>
      <c r="BM825" s="0" t="s">
        <v>130</v>
      </c>
      <c r="BN825" s="0" t="s">
        <v>130</v>
      </c>
      <c r="BO825" s="0" t="s">
        <v>130</v>
      </c>
      <c r="BP825" s="0" t="s">
        <v>130</v>
      </c>
      <c r="BQ825" s="0" t="s">
        <v>130</v>
      </c>
      <c r="BR825" s="0" t="s">
        <v>130</v>
      </c>
      <c r="BS825" s="0" t="s">
        <v>130</v>
      </c>
      <c r="BT825" s="0" t="s">
        <v>130</v>
      </c>
      <c r="BU825" s="0" t="s">
        <v>130</v>
      </c>
      <c r="BV825" s="0" t="s">
        <v>130</v>
      </c>
      <c r="BW825" s="0" t="s">
        <v>130</v>
      </c>
      <c r="BX825" s="0" t="s">
        <v>130</v>
      </c>
      <c r="BY825" s="0" t="s">
        <v>130</v>
      </c>
      <c r="BZ825" s="0" t="s">
        <v>130</v>
      </c>
      <c r="CA825" s="0" t="s">
        <v>130</v>
      </c>
      <c r="CB825" s="0" t="s">
        <v>130</v>
      </c>
      <c r="CC825" s="0" t="s">
        <v>130</v>
      </c>
      <c r="CD825" s="0" t="s">
        <v>130</v>
      </c>
      <c r="CE825" s="0" t="s">
        <v>130</v>
      </c>
      <c r="CF825" s="0" t="s">
        <v>130</v>
      </c>
      <c r="CG825" s="0" t="s">
        <v>130</v>
      </c>
      <c r="CH825" s="0" t="s">
        <v>130</v>
      </c>
      <c r="CI825" s="0" t="s">
        <v>130</v>
      </c>
      <c r="CJ825" s="0" t="s">
        <v>130</v>
      </c>
      <c r="CK825" s="0" t="s">
        <v>130</v>
      </c>
      <c r="CL825" s="0" t="s">
        <v>130</v>
      </c>
      <c r="CM825" s="0" t="s">
        <v>130</v>
      </c>
      <c r="CN825" s="0" t="s">
        <v>130</v>
      </c>
      <c r="CO825" s="0" t="s">
        <v>130</v>
      </c>
      <c r="CP825" s="0" t="s">
        <v>130</v>
      </c>
      <c r="CQ825" s="0" t="s">
        <v>130</v>
      </c>
      <c r="CR825" s="0" t="s">
        <v>130</v>
      </c>
      <c r="CS825" s="0" t="s">
        <v>130</v>
      </c>
      <c r="CT825" s="0" t="s">
        <v>2574</v>
      </c>
    </row>
    <row r="826">
      <c r="A826" s="14">
        <v>115649</v>
      </c>
      <c r="B826" s="0" t="s">
        <v>2571</v>
      </c>
      <c r="C826" s="16">
        <f>HYPERLINK("https://eosportal.federatedhermes.com/companies/Q29tcGFueQppNTg5MjU=", "Allianz SE")</f>
      </c>
      <c r="D826" s="0" t="s">
        <v>25</v>
      </c>
      <c r="E826" s="0" t="s">
        <v>1527</v>
      </c>
      <c r="F826" s="16">
        <f>HYPERLINK("https://eosportal.federatedhermes.com/engagements/RW5nYWdlbWVudAppMjIzNTk=", "Sustainability strategy")</f>
      </c>
      <c r="G826" s="14" t="s">
        <v>2575</v>
      </c>
      <c r="H826" s="0" t="s">
        <v>141</v>
      </c>
      <c r="I826" s="14" t="s">
        <v>131</v>
      </c>
      <c r="J826" s="0" t="s">
        <v>153</v>
      </c>
      <c r="K826" s="0" t="s">
        <v>185</v>
      </c>
      <c r="L826" s="0" t="s">
        <v>186</v>
      </c>
      <c r="M826" s="0" t="s">
        <v>378</v>
      </c>
      <c r="N826" s="0" t="s">
        <v>2485</v>
      </c>
      <c r="O826" s="0" t="s">
        <v>238</v>
      </c>
      <c r="Q826" s="0" t="s">
        <v>130</v>
      </c>
      <c r="R826" s="0" t="s">
        <v>138</v>
      </c>
      <c r="S826" s="14">
        <v>0</v>
      </c>
      <c r="T826" s="0" t="s">
        <v>804</v>
      </c>
      <c r="U826" s="0" t="s">
        <v>138</v>
      </c>
      <c r="V826" s="14" t="s">
        <v>138</v>
      </c>
      <c r="W826" s="0" t="s">
        <v>138</v>
      </c>
      <c r="X826" s="14" t="s">
        <v>138</v>
      </c>
      <c r="Y826" s="0" t="s">
        <v>138</v>
      </c>
      <c r="Z826" s="14" t="s">
        <v>138</v>
      </c>
      <c r="AA826" s="0" t="s">
        <v>138</v>
      </c>
      <c r="AB826" s="14" t="s">
        <v>138</v>
      </c>
      <c r="AD826" s="0" t="s">
        <v>138</v>
      </c>
      <c r="AF826" s="0">
        <v>0</v>
      </c>
      <c r="AG826" s="0">
        <v>0</v>
      </c>
      <c r="AH826" s="0" t="s">
        <v>140</v>
      </c>
      <c r="AI826" s="0" t="s">
        <v>138</v>
      </c>
      <c r="AL826" s="14"/>
      <c r="AN826" s="14"/>
      <c r="AQ826" s="0" t="s">
        <v>130</v>
      </c>
      <c r="AR826" s="0" t="s">
        <v>130</v>
      </c>
      <c r="AS826" s="0" t="s">
        <v>130</v>
      </c>
      <c r="AT826" s="0" t="s">
        <v>130</v>
      </c>
      <c r="AU826" s="0" t="s">
        <v>130</v>
      </c>
      <c r="AV826" s="0" t="s">
        <v>130</v>
      </c>
      <c r="AW826" s="0" t="s">
        <v>130</v>
      </c>
      <c r="AX826" s="0" t="s">
        <v>130</v>
      </c>
      <c r="AY826" s="0" t="s">
        <v>130</v>
      </c>
      <c r="AZ826" s="0" t="s">
        <v>130</v>
      </c>
      <c r="BA826" s="0" t="s">
        <v>130</v>
      </c>
      <c r="BB826" s="0" t="s">
        <v>130</v>
      </c>
      <c r="BC826" s="0" t="s">
        <v>130</v>
      </c>
      <c r="BD826" s="0" t="s">
        <v>130</v>
      </c>
      <c r="BE826" s="0" t="s">
        <v>130</v>
      </c>
      <c r="BF826" s="0" t="s">
        <v>130</v>
      </c>
      <c r="BG826" s="0" t="s">
        <v>130</v>
      </c>
      <c r="BH826" s="0" t="s">
        <v>130</v>
      </c>
      <c r="BI826" s="0" t="s">
        <v>130</v>
      </c>
      <c r="BJ826" s="0" t="s">
        <v>130</v>
      </c>
      <c r="BK826" s="0" t="s">
        <v>130</v>
      </c>
      <c r="BL826" s="0" t="s">
        <v>130</v>
      </c>
      <c r="BM826" s="0" t="s">
        <v>130</v>
      </c>
      <c r="BN826" s="0" t="s">
        <v>130</v>
      </c>
      <c r="BO826" s="0" t="s">
        <v>130</v>
      </c>
      <c r="BP826" s="0" t="s">
        <v>130</v>
      </c>
      <c r="BQ826" s="0" t="s">
        <v>130</v>
      </c>
      <c r="BR826" s="0" t="s">
        <v>130</v>
      </c>
      <c r="BS826" s="0" t="s">
        <v>130</v>
      </c>
      <c r="BT826" s="0" t="s">
        <v>130</v>
      </c>
      <c r="BU826" s="0" t="s">
        <v>130</v>
      </c>
      <c r="BV826" s="0" t="s">
        <v>130</v>
      </c>
      <c r="BW826" s="0" t="s">
        <v>130</v>
      </c>
      <c r="BX826" s="0" t="s">
        <v>130</v>
      </c>
      <c r="BY826" s="0" t="s">
        <v>130</v>
      </c>
      <c r="BZ826" s="0" t="s">
        <v>130</v>
      </c>
      <c r="CA826" s="0" t="s">
        <v>130</v>
      </c>
      <c r="CB826" s="0" t="s">
        <v>130</v>
      </c>
      <c r="CC826" s="0" t="s">
        <v>130</v>
      </c>
      <c r="CD826" s="0" t="s">
        <v>130</v>
      </c>
      <c r="CE826" s="0" t="s">
        <v>130</v>
      </c>
      <c r="CF826" s="0" t="s">
        <v>130</v>
      </c>
      <c r="CG826" s="0" t="s">
        <v>130</v>
      </c>
      <c r="CH826" s="0" t="s">
        <v>130</v>
      </c>
      <c r="CI826" s="0" t="s">
        <v>130</v>
      </c>
      <c r="CJ826" s="0" t="s">
        <v>130</v>
      </c>
      <c r="CK826" s="0" t="s">
        <v>130</v>
      </c>
      <c r="CL826" s="0" t="s">
        <v>130</v>
      </c>
      <c r="CM826" s="0" t="s">
        <v>130</v>
      </c>
      <c r="CN826" s="0" t="s">
        <v>130</v>
      </c>
      <c r="CO826" s="0" t="s">
        <v>130</v>
      </c>
      <c r="CP826" s="0" t="s">
        <v>130</v>
      </c>
      <c r="CQ826" s="0" t="s">
        <v>130</v>
      </c>
      <c r="CR826" s="0" t="s">
        <v>130</v>
      </c>
      <c r="CS826" s="0" t="s">
        <v>130</v>
      </c>
      <c r="CT826" s="0" t="s">
        <v>2576</v>
      </c>
    </row>
    <row r="827">
      <c r="A827" s="14">
        <v>115649</v>
      </c>
      <c r="B827" s="0" t="s">
        <v>2571</v>
      </c>
      <c r="C827" s="16">
        <f>HYPERLINK("https://eosportal.federatedhermes.com/companies/Q29tcGFueQppNTg5MjU=", "Allianz SE")</f>
      </c>
      <c r="D827" s="0" t="s">
        <v>25</v>
      </c>
      <c r="E827" s="0" t="s">
        <v>1034</v>
      </c>
      <c r="F827" s="16">
        <f>HYPERLINK("https://eosportal.federatedhermes.com/engagements/RW5nYWdlbWVudAppMjIzNjA=", "Board composition")</f>
      </c>
      <c r="G827" s="14"/>
      <c r="H827" s="0" t="s">
        <v>141</v>
      </c>
      <c r="I827" s="14" t="s">
        <v>131</v>
      </c>
      <c r="J827" s="0" t="s">
        <v>145</v>
      </c>
      <c r="K827" s="0" t="s">
        <v>164</v>
      </c>
      <c r="L827" s="0" t="s">
        <v>165</v>
      </c>
      <c r="M827" s="0" t="s">
        <v>378</v>
      </c>
      <c r="N827" s="0" t="s">
        <v>2485</v>
      </c>
      <c r="O827" s="0" t="s">
        <v>238</v>
      </c>
      <c r="Q827" s="0" t="s">
        <v>130</v>
      </c>
      <c r="R827" s="0" t="s">
        <v>138</v>
      </c>
      <c r="S827" s="14">
        <v>0</v>
      </c>
      <c r="T827" s="0" t="s">
        <v>483</v>
      </c>
      <c r="U827" s="0" t="s">
        <v>138</v>
      </c>
      <c r="V827" s="14" t="s">
        <v>138</v>
      </c>
      <c r="W827" s="0" t="s">
        <v>138</v>
      </c>
      <c r="X827" s="14" t="s">
        <v>138</v>
      </c>
      <c r="Y827" s="0" t="s">
        <v>138</v>
      </c>
      <c r="Z827" s="14" t="s">
        <v>138</v>
      </c>
      <c r="AA827" s="0" t="s">
        <v>138</v>
      </c>
      <c r="AB827" s="14" t="s">
        <v>138</v>
      </c>
      <c r="AD827" s="0" t="s">
        <v>138</v>
      </c>
      <c r="AF827" s="0">
        <v>0</v>
      </c>
      <c r="AG827" s="0">
        <v>0</v>
      </c>
      <c r="AH827" s="0" t="s">
        <v>140</v>
      </c>
      <c r="AI827" s="0" t="s">
        <v>138</v>
      </c>
      <c r="AL827" s="14"/>
      <c r="AN827" s="14"/>
      <c r="AQ827" s="0" t="s">
        <v>130</v>
      </c>
      <c r="AR827" s="0" t="s">
        <v>130</v>
      </c>
      <c r="AS827" s="0" t="s">
        <v>130</v>
      </c>
      <c r="AT827" s="0" t="s">
        <v>130</v>
      </c>
      <c r="AU827" s="0" t="s">
        <v>130</v>
      </c>
      <c r="AV827" s="0" t="s">
        <v>130</v>
      </c>
      <c r="AW827" s="0" t="s">
        <v>130</v>
      </c>
      <c r="AX827" s="0" t="s">
        <v>130</v>
      </c>
      <c r="AY827" s="0" t="s">
        <v>130</v>
      </c>
      <c r="AZ827" s="0" t="s">
        <v>130</v>
      </c>
      <c r="BA827" s="0" t="s">
        <v>130</v>
      </c>
      <c r="BB827" s="0" t="s">
        <v>130</v>
      </c>
      <c r="BC827" s="0" t="s">
        <v>130</v>
      </c>
      <c r="BD827" s="0" t="s">
        <v>130</v>
      </c>
      <c r="BE827" s="0" t="s">
        <v>130</v>
      </c>
      <c r="BF827" s="0" t="s">
        <v>130</v>
      </c>
      <c r="BG827" s="0" t="s">
        <v>130</v>
      </c>
      <c r="BH827" s="0" t="s">
        <v>130</v>
      </c>
      <c r="BI827" s="0" t="s">
        <v>130</v>
      </c>
      <c r="BJ827" s="0" t="s">
        <v>130</v>
      </c>
      <c r="BK827" s="0" t="s">
        <v>130</v>
      </c>
      <c r="BL827" s="0" t="s">
        <v>130</v>
      </c>
      <c r="BM827" s="0" t="s">
        <v>130</v>
      </c>
      <c r="BN827" s="0" t="s">
        <v>130</v>
      </c>
      <c r="BO827" s="0" t="s">
        <v>130</v>
      </c>
      <c r="BP827" s="0" t="s">
        <v>130</v>
      </c>
      <c r="BQ827" s="0" t="s">
        <v>130</v>
      </c>
      <c r="BR827" s="0" t="s">
        <v>130</v>
      </c>
      <c r="BS827" s="0" t="s">
        <v>130</v>
      </c>
      <c r="BT827" s="0" t="s">
        <v>130</v>
      </c>
      <c r="BU827" s="0" t="s">
        <v>130</v>
      </c>
      <c r="BV827" s="0" t="s">
        <v>130</v>
      </c>
      <c r="BW827" s="0" t="s">
        <v>130</v>
      </c>
      <c r="BX827" s="0" t="s">
        <v>130</v>
      </c>
      <c r="BY827" s="0" t="s">
        <v>130</v>
      </c>
      <c r="BZ827" s="0" t="s">
        <v>130</v>
      </c>
      <c r="CA827" s="0" t="s">
        <v>130</v>
      </c>
      <c r="CB827" s="0" t="s">
        <v>130</v>
      </c>
      <c r="CC827" s="0" t="s">
        <v>130</v>
      </c>
      <c r="CD827" s="0" t="s">
        <v>130</v>
      </c>
      <c r="CE827" s="0" t="s">
        <v>130</v>
      </c>
      <c r="CF827" s="0" t="s">
        <v>130</v>
      </c>
      <c r="CG827" s="0" t="s">
        <v>130</v>
      </c>
      <c r="CH827" s="0" t="s">
        <v>130</v>
      </c>
      <c r="CI827" s="0" t="s">
        <v>130</v>
      </c>
      <c r="CJ827" s="0" t="s">
        <v>130</v>
      </c>
      <c r="CK827" s="0" t="s">
        <v>130</v>
      </c>
      <c r="CL827" s="0" t="s">
        <v>130</v>
      </c>
      <c r="CM827" s="0" t="s">
        <v>130</v>
      </c>
      <c r="CN827" s="0" t="s">
        <v>130</v>
      </c>
      <c r="CO827" s="0" t="s">
        <v>130</v>
      </c>
      <c r="CP827" s="0" t="s">
        <v>130</v>
      </c>
      <c r="CQ827" s="0" t="s">
        <v>130</v>
      </c>
      <c r="CR827" s="0" t="s">
        <v>130</v>
      </c>
      <c r="CS827" s="0" t="s">
        <v>130</v>
      </c>
      <c r="CT827" s="0" t="s">
        <v>2577</v>
      </c>
    </row>
    <row r="828">
      <c r="A828" s="14">
        <v>115649</v>
      </c>
      <c r="B828" s="0" t="s">
        <v>2571</v>
      </c>
      <c r="C828" s="16">
        <f>HYPERLINK("https://eosportal.federatedhermes.com/companies/Q29tcGFueQppNTg5MjU=", "Allianz SE")</f>
      </c>
      <c r="D828" s="0" t="s">
        <v>25</v>
      </c>
      <c r="E828" s="0" t="s">
        <v>164</v>
      </c>
      <c r="F828" s="16">
        <f>HYPERLINK("https://eosportal.federatedhermes.com/engagements/RW5nYWdlbWVudAppMjIzNjE=", "Board Effectiveness")</f>
      </c>
      <c r="G828" s="14" t="s">
        <v>2578</v>
      </c>
      <c r="H828" s="0" t="s">
        <v>141</v>
      </c>
      <c r="I828" s="14" t="s">
        <v>131</v>
      </c>
      <c r="J828" s="0" t="s">
        <v>145</v>
      </c>
      <c r="K828" s="0" t="s">
        <v>164</v>
      </c>
      <c r="L828" s="0" t="s">
        <v>165</v>
      </c>
      <c r="M828" s="0" t="s">
        <v>378</v>
      </c>
      <c r="N828" s="0" t="s">
        <v>2485</v>
      </c>
      <c r="O828" s="0" t="s">
        <v>238</v>
      </c>
      <c r="Q828" s="0" t="s">
        <v>130</v>
      </c>
      <c r="R828" s="0" t="s">
        <v>138</v>
      </c>
      <c r="S828" s="14">
        <v>0</v>
      </c>
      <c r="T828" s="0" t="s">
        <v>394</v>
      </c>
      <c r="U828" s="0" t="s">
        <v>138</v>
      </c>
      <c r="V828" s="14" t="s">
        <v>138</v>
      </c>
      <c r="W828" s="0" t="s">
        <v>138</v>
      </c>
      <c r="X828" s="14" t="s">
        <v>138</v>
      </c>
      <c r="Y828" s="0" t="s">
        <v>138</v>
      </c>
      <c r="Z828" s="14" t="s">
        <v>138</v>
      </c>
      <c r="AA828" s="0" t="s">
        <v>138</v>
      </c>
      <c r="AB828" s="14" t="s">
        <v>138</v>
      </c>
      <c r="AD828" s="0" t="s">
        <v>138</v>
      </c>
      <c r="AF828" s="0">
        <v>0</v>
      </c>
      <c r="AG828" s="0">
        <v>0</v>
      </c>
      <c r="AH828" s="0" t="s">
        <v>140</v>
      </c>
      <c r="AI828" s="0" t="s">
        <v>138</v>
      </c>
      <c r="AL828" s="14"/>
      <c r="AN828" s="14"/>
      <c r="AQ828" s="0" t="s">
        <v>130</v>
      </c>
      <c r="AR828" s="0" t="s">
        <v>130</v>
      </c>
      <c r="AS828" s="0" t="s">
        <v>130</v>
      </c>
      <c r="AT828" s="0" t="s">
        <v>130</v>
      </c>
      <c r="AU828" s="0" t="s">
        <v>130</v>
      </c>
      <c r="AV828" s="0" t="s">
        <v>130</v>
      </c>
      <c r="AW828" s="0" t="s">
        <v>130</v>
      </c>
      <c r="AX828" s="0" t="s">
        <v>130</v>
      </c>
      <c r="AY828" s="0" t="s">
        <v>130</v>
      </c>
      <c r="AZ828" s="0" t="s">
        <v>130</v>
      </c>
      <c r="BA828" s="0" t="s">
        <v>130</v>
      </c>
      <c r="BB828" s="0" t="s">
        <v>130</v>
      </c>
      <c r="BC828" s="0" t="s">
        <v>130</v>
      </c>
      <c r="BD828" s="0" t="s">
        <v>130</v>
      </c>
      <c r="BE828" s="0" t="s">
        <v>130</v>
      </c>
      <c r="BF828" s="0" t="s">
        <v>130</v>
      </c>
      <c r="BG828" s="0" t="s">
        <v>130</v>
      </c>
      <c r="BH828" s="0" t="s">
        <v>130</v>
      </c>
      <c r="BI828" s="0" t="s">
        <v>130</v>
      </c>
      <c r="BJ828" s="0" t="s">
        <v>130</v>
      </c>
      <c r="BK828" s="0" t="s">
        <v>130</v>
      </c>
      <c r="BL828" s="0" t="s">
        <v>130</v>
      </c>
      <c r="BM828" s="0" t="s">
        <v>130</v>
      </c>
      <c r="BN828" s="0" t="s">
        <v>130</v>
      </c>
      <c r="BO828" s="0" t="s">
        <v>130</v>
      </c>
      <c r="BP828" s="0" t="s">
        <v>130</v>
      </c>
      <c r="BQ828" s="0" t="s">
        <v>130</v>
      </c>
      <c r="BR828" s="0" t="s">
        <v>130</v>
      </c>
      <c r="BS828" s="0" t="s">
        <v>130</v>
      </c>
      <c r="BT828" s="0" t="s">
        <v>130</v>
      </c>
      <c r="BU828" s="0" t="s">
        <v>130</v>
      </c>
      <c r="BV828" s="0" t="s">
        <v>130</v>
      </c>
      <c r="BW828" s="0" t="s">
        <v>130</v>
      </c>
      <c r="BX828" s="0" t="s">
        <v>130</v>
      </c>
      <c r="BY828" s="0" t="s">
        <v>130</v>
      </c>
      <c r="BZ828" s="0" t="s">
        <v>130</v>
      </c>
      <c r="CA828" s="0" t="s">
        <v>130</v>
      </c>
      <c r="CB828" s="0" t="s">
        <v>130</v>
      </c>
      <c r="CC828" s="0" t="s">
        <v>130</v>
      </c>
      <c r="CD828" s="0" t="s">
        <v>130</v>
      </c>
      <c r="CE828" s="0" t="s">
        <v>130</v>
      </c>
      <c r="CF828" s="0" t="s">
        <v>130</v>
      </c>
      <c r="CG828" s="0" t="s">
        <v>130</v>
      </c>
      <c r="CH828" s="0" t="s">
        <v>130</v>
      </c>
      <c r="CI828" s="0" t="s">
        <v>130</v>
      </c>
      <c r="CJ828" s="0" t="s">
        <v>130</v>
      </c>
      <c r="CK828" s="0" t="s">
        <v>130</v>
      </c>
      <c r="CL828" s="0" t="s">
        <v>130</v>
      </c>
      <c r="CM828" s="0" t="s">
        <v>130</v>
      </c>
      <c r="CN828" s="0" t="s">
        <v>130</v>
      </c>
      <c r="CO828" s="0" t="s">
        <v>130</v>
      </c>
      <c r="CP828" s="0" t="s">
        <v>130</v>
      </c>
      <c r="CQ828" s="0" t="s">
        <v>130</v>
      </c>
      <c r="CR828" s="0" t="s">
        <v>130</v>
      </c>
      <c r="CS828" s="0" t="s">
        <v>130</v>
      </c>
      <c r="CT828" s="0" t="s">
        <v>2579</v>
      </c>
    </row>
    <row r="829">
      <c r="A829" s="14">
        <v>115649</v>
      </c>
      <c r="B829" s="0" t="s">
        <v>2571</v>
      </c>
      <c r="C829" s="16">
        <f>HYPERLINK("https://eosportal.federatedhermes.com/companies/Q29tcGFueQppNTg5MjU=", "Allianz SE")</f>
      </c>
      <c r="D829" s="0" t="s">
        <v>25</v>
      </c>
      <c r="E829" s="0" t="s">
        <v>2580</v>
      </c>
      <c r="F829" s="16">
        <f>HYPERLINK("https://eosportal.federatedhermes.com/engagements/RW5nYWdlbWVudAppMjIzNjI=", "Remuneration structure and outcomes")</f>
      </c>
      <c r="G829" s="14" t="s">
        <v>2581</v>
      </c>
      <c r="H829" s="0" t="s">
        <v>141</v>
      </c>
      <c r="I829" s="14" t="s">
        <v>131</v>
      </c>
      <c r="J829" s="0" t="s">
        <v>145</v>
      </c>
      <c r="K829" s="0" t="s">
        <v>146</v>
      </c>
      <c r="L829" s="0" t="s">
        <v>147</v>
      </c>
      <c r="M829" s="0" t="s">
        <v>378</v>
      </c>
      <c r="N829" s="0" t="s">
        <v>2485</v>
      </c>
      <c r="O829" s="0" t="s">
        <v>238</v>
      </c>
      <c r="Q829" s="0" t="s">
        <v>130</v>
      </c>
      <c r="R829" s="0" t="s">
        <v>138</v>
      </c>
      <c r="S829" s="14">
        <v>0</v>
      </c>
      <c r="T829" s="0" t="s">
        <v>457</v>
      </c>
      <c r="U829" s="0" t="s">
        <v>138</v>
      </c>
      <c r="V829" s="14" t="s">
        <v>138</v>
      </c>
      <c r="W829" s="0" t="s">
        <v>138</v>
      </c>
      <c r="X829" s="14" t="s">
        <v>138</v>
      </c>
      <c r="Y829" s="0" t="s">
        <v>138</v>
      </c>
      <c r="Z829" s="14" t="s">
        <v>138</v>
      </c>
      <c r="AA829" s="0" t="s">
        <v>138</v>
      </c>
      <c r="AB829" s="14" t="s">
        <v>138</v>
      </c>
      <c r="AD829" s="0" t="s">
        <v>138</v>
      </c>
      <c r="AF829" s="0">
        <v>0</v>
      </c>
      <c r="AG829" s="0">
        <v>0</v>
      </c>
      <c r="AH829" s="0" t="s">
        <v>140</v>
      </c>
      <c r="AI829" s="0" t="s">
        <v>138</v>
      </c>
      <c r="AL829" s="14"/>
      <c r="AN829" s="14"/>
      <c r="AQ829" s="0" t="s">
        <v>130</v>
      </c>
      <c r="AR829" s="0" t="s">
        <v>130</v>
      </c>
      <c r="AS829" s="0" t="s">
        <v>130</v>
      </c>
      <c r="AT829" s="0" t="s">
        <v>130</v>
      </c>
      <c r="AU829" s="0" t="s">
        <v>130</v>
      </c>
      <c r="AV829" s="0" t="s">
        <v>130</v>
      </c>
      <c r="AW829" s="0" t="s">
        <v>130</v>
      </c>
      <c r="AX829" s="0" t="s">
        <v>130</v>
      </c>
      <c r="AY829" s="0" t="s">
        <v>130</v>
      </c>
      <c r="AZ829" s="0" t="s">
        <v>130</v>
      </c>
      <c r="BA829" s="0" t="s">
        <v>130</v>
      </c>
      <c r="BB829" s="0" t="s">
        <v>130</v>
      </c>
      <c r="BC829" s="0" t="s">
        <v>130</v>
      </c>
      <c r="BD829" s="0" t="s">
        <v>130</v>
      </c>
      <c r="BE829" s="0" t="s">
        <v>130</v>
      </c>
      <c r="BF829" s="0" t="s">
        <v>130</v>
      </c>
      <c r="BG829" s="0" t="s">
        <v>130</v>
      </c>
      <c r="BH829" s="0" t="s">
        <v>130</v>
      </c>
      <c r="BI829" s="0" t="s">
        <v>130</v>
      </c>
      <c r="BJ829" s="0" t="s">
        <v>130</v>
      </c>
      <c r="BK829" s="0" t="s">
        <v>130</v>
      </c>
      <c r="BL829" s="0" t="s">
        <v>130</v>
      </c>
      <c r="BM829" s="0" t="s">
        <v>130</v>
      </c>
      <c r="BN829" s="0" t="s">
        <v>130</v>
      </c>
      <c r="BO829" s="0" t="s">
        <v>130</v>
      </c>
      <c r="BP829" s="0" t="s">
        <v>130</v>
      </c>
      <c r="BQ829" s="0" t="s">
        <v>130</v>
      </c>
      <c r="BR829" s="0" t="s">
        <v>130</v>
      </c>
      <c r="BS829" s="0" t="s">
        <v>130</v>
      </c>
      <c r="BT829" s="0" t="s">
        <v>130</v>
      </c>
      <c r="BU829" s="0" t="s">
        <v>130</v>
      </c>
      <c r="BV829" s="0" t="s">
        <v>130</v>
      </c>
      <c r="BW829" s="0" t="s">
        <v>130</v>
      </c>
      <c r="BX829" s="0" t="s">
        <v>130</v>
      </c>
      <c r="BY829" s="0" t="s">
        <v>130</v>
      </c>
      <c r="BZ829" s="0" t="s">
        <v>130</v>
      </c>
      <c r="CA829" s="0" t="s">
        <v>130</v>
      </c>
      <c r="CB829" s="0" t="s">
        <v>130</v>
      </c>
      <c r="CC829" s="0" t="s">
        <v>130</v>
      </c>
      <c r="CD829" s="0" t="s">
        <v>130</v>
      </c>
      <c r="CE829" s="0" t="s">
        <v>130</v>
      </c>
      <c r="CF829" s="0" t="s">
        <v>130</v>
      </c>
      <c r="CG829" s="0" t="s">
        <v>130</v>
      </c>
      <c r="CH829" s="0" t="s">
        <v>130</v>
      </c>
      <c r="CI829" s="0" t="s">
        <v>130</v>
      </c>
      <c r="CJ829" s="0" t="s">
        <v>130</v>
      </c>
      <c r="CK829" s="0" t="s">
        <v>130</v>
      </c>
      <c r="CL829" s="0" t="s">
        <v>130</v>
      </c>
      <c r="CM829" s="0" t="s">
        <v>130</v>
      </c>
      <c r="CN829" s="0" t="s">
        <v>130</v>
      </c>
      <c r="CO829" s="0" t="s">
        <v>130</v>
      </c>
      <c r="CP829" s="0" t="s">
        <v>130</v>
      </c>
      <c r="CQ829" s="0" t="s">
        <v>130</v>
      </c>
      <c r="CR829" s="0" t="s">
        <v>130</v>
      </c>
      <c r="CS829" s="0" t="s">
        <v>130</v>
      </c>
      <c r="CT829" s="0" t="s">
        <v>2582</v>
      </c>
    </row>
    <row r="830">
      <c r="A830" s="14">
        <v>115649</v>
      </c>
      <c r="B830" s="0" t="s">
        <v>2571</v>
      </c>
      <c r="C830" s="16">
        <f>HYPERLINK("https://eosportal.federatedhermes.com/companies/Q29tcGFueQppNTg5MjU=", "Allianz SE")</f>
      </c>
      <c r="D830" s="0" t="s">
        <v>25</v>
      </c>
      <c r="E830" s="0" t="s">
        <v>907</v>
      </c>
      <c r="F830" s="16">
        <f>HYPERLINK("https://eosportal.federatedhermes.com/engagements/RW5nYWdlbWVudAppMjIzNjM=", "Climate change")</f>
      </c>
      <c r="G830" s="14" t="s">
        <v>2583</v>
      </c>
      <c r="H830" s="0" t="s">
        <v>141</v>
      </c>
      <c r="I830" s="14" t="s">
        <v>131</v>
      </c>
      <c r="J830" s="0" t="s">
        <v>132</v>
      </c>
      <c r="K830" s="0" t="s">
        <v>133</v>
      </c>
      <c r="L830" s="0" t="s">
        <v>160</v>
      </c>
      <c r="M830" s="0" t="s">
        <v>378</v>
      </c>
      <c r="N830" s="0" t="s">
        <v>2485</v>
      </c>
      <c r="O830" s="0" t="s">
        <v>238</v>
      </c>
      <c r="Q830" s="0" t="s">
        <v>130</v>
      </c>
      <c r="R830" s="0" t="s">
        <v>138</v>
      </c>
      <c r="S830" s="14">
        <v>0</v>
      </c>
      <c r="T830" s="0" t="s">
        <v>487</v>
      </c>
      <c r="U830" s="0" t="s">
        <v>138</v>
      </c>
      <c r="V830" s="14" t="s">
        <v>138</v>
      </c>
      <c r="W830" s="0" t="s">
        <v>138</v>
      </c>
      <c r="X830" s="14" t="s">
        <v>138</v>
      </c>
      <c r="Y830" s="0" t="s">
        <v>138</v>
      </c>
      <c r="Z830" s="14" t="s">
        <v>138</v>
      </c>
      <c r="AA830" s="0" t="s">
        <v>138</v>
      </c>
      <c r="AB830" s="14" t="s">
        <v>138</v>
      </c>
      <c r="AD830" s="0" t="s">
        <v>138</v>
      </c>
      <c r="AF830" s="0">
        <v>0</v>
      </c>
      <c r="AG830" s="0">
        <v>0</v>
      </c>
      <c r="AH830" s="0" t="s">
        <v>140</v>
      </c>
      <c r="AI830" s="0" t="s">
        <v>138</v>
      </c>
      <c r="AL830" s="14"/>
      <c r="AN830" s="14"/>
      <c r="AQ830" s="0" t="s">
        <v>130</v>
      </c>
      <c r="AR830" s="0" t="s">
        <v>130</v>
      </c>
      <c r="AS830" s="0" t="s">
        <v>130</v>
      </c>
      <c r="AT830" s="0" t="s">
        <v>130</v>
      </c>
      <c r="AU830" s="0" t="s">
        <v>130</v>
      </c>
      <c r="AV830" s="0" t="s">
        <v>130</v>
      </c>
      <c r="AW830" s="0" t="s">
        <v>130</v>
      </c>
      <c r="AX830" s="0" t="s">
        <v>130</v>
      </c>
      <c r="AY830" s="0" t="s">
        <v>130</v>
      </c>
      <c r="AZ830" s="0" t="s">
        <v>130</v>
      </c>
      <c r="BA830" s="0" t="s">
        <v>130</v>
      </c>
      <c r="BB830" s="0" t="s">
        <v>130</v>
      </c>
      <c r="BC830" s="0" t="s">
        <v>141</v>
      </c>
      <c r="BD830" s="0" t="s">
        <v>130</v>
      </c>
      <c r="BE830" s="0" t="s">
        <v>130</v>
      </c>
      <c r="BF830" s="0" t="s">
        <v>130</v>
      </c>
      <c r="BG830" s="0" t="s">
        <v>130</v>
      </c>
      <c r="BH830" s="0" t="s">
        <v>130</v>
      </c>
      <c r="BI830" s="0" t="s">
        <v>130</v>
      </c>
      <c r="BJ830" s="0" t="s">
        <v>130</v>
      </c>
      <c r="BK830" s="0" t="s">
        <v>130</v>
      </c>
      <c r="BL830" s="0" t="s">
        <v>130</v>
      </c>
      <c r="BM830" s="0" t="s">
        <v>130</v>
      </c>
      <c r="BN830" s="0" t="s">
        <v>130</v>
      </c>
      <c r="BO830" s="0" t="s">
        <v>130</v>
      </c>
      <c r="BP830" s="0" t="s">
        <v>130</v>
      </c>
      <c r="BQ830" s="0" t="s">
        <v>130</v>
      </c>
      <c r="BR830" s="0" t="s">
        <v>130</v>
      </c>
      <c r="BS830" s="0" t="s">
        <v>130</v>
      </c>
      <c r="BT830" s="0" t="s">
        <v>130</v>
      </c>
      <c r="BU830" s="0" t="s">
        <v>130</v>
      </c>
      <c r="BV830" s="0" t="s">
        <v>130</v>
      </c>
      <c r="BW830" s="0" t="s">
        <v>130</v>
      </c>
      <c r="BX830" s="0" t="s">
        <v>130</v>
      </c>
      <c r="BY830" s="0" t="s">
        <v>130</v>
      </c>
      <c r="BZ830" s="0" t="s">
        <v>130</v>
      </c>
      <c r="CA830" s="0" t="s">
        <v>130</v>
      </c>
      <c r="CB830" s="0" t="s">
        <v>130</v>
      </c>
      <c r="CC830" s="0" t="s">
        <v>130</v>
      </c>
      <c r="CD830" s="0" t="s">
        <v>130</v>
      </c>
      <c r="CE830" s="0" t="s">
        <v>130</v>
      </c>
      <c r="CF830" s="0" t="s">
        <v>130</v>
      </c>
      <c r="CG830" s="0" t="s">
        <v>130</v>
      </c>
      <c r="CH830" s="0" t="s">
        <v>130</v>
      </c>
      <c r="CI830" s="0" t="s">
        <v>130</v>
      </c>
      <c r="CJ830" s="0" t="s">
        <v>130</v>
      </c>
      <c r="CK830" s="0" t="s">
        <v>130</v>
      </c>
      <c r="CL830" s="0" t="s">
        <v>130</v>
      </c>
      <c r="CM830" s="0" t="s">
        <v>130</v>
      </c>
      <c r="CN830" s="0" t="s">
        <v>130</v>
      </c>
      <c r="CO830" s="0" t="s">
        <v>130</v>
      </c>
      <c r="CP830" s="0" t="s">
        <v>130</v>
      </c>
      <c r="CQ830" s="0" t="s">
        <v>130</v>
      </c>
      <c r="CR830" s="0" t="s">
        <v>130</v>
      </c>
      <c r="CS830" s="0" t="s">
        <v>130</v>
      </c>
      <c r="CT830" s="0" t="s">
        <v>2584</v>
      </c>
    </row>
    <row r="831">
      <c r="A831" s="14">
        <v>115675</v>
      </c>
      <c r="B831" s="0" t="s">
        <v>2585</v>
      </c>
      <c r="C831" s="16">
        <f>HYPERLINK("https://eosportal.federatedhermes.com/companies/Q29tcGFueQppNjI0NzI=", "RWE AG")</f>
      </c>
      <c r="D831" s="0" t="s">
        <v>25</v>
      </c>
      <c r="E831" s="0" t="s">
        <v>2586</v>
      </c>
      <c r="F831" s="16">
        <f>HYPERLINK("https://eosportal.federatedhermes.com/engagements/RW5nYWdlbWVudAppMjIzOTI=", "Phase Out of Coal")</f>
      </c>
      <c r="G831" s="14" t="s">
        <v>2587</v>
      </c>
      <c r="H831" s="0" t="s">
        <v>141</v>
      </c>
      <c r="I831" s="14" t="s">
        <v>191</v>
      </c>
      <c r="J831" s="0" t="s">
        <v>197</v>
      </c>
      <c r="K831" s="0" t="s">
        <v>198</v>
      </c>
      <c r="L831" s="0" t="s">
        <v>216</v>
      </c>
      <c r="M831" s="0" t="s">
        <v>378</v>
      </c>
      <c r="N831" s="0" t="s">
        <v>2485</v>
      </c>
      <c r="O831" s="0" t="s">
        <v>192</v>
      </c>
      <c r="Q831" s="0" t="s">
        <v>141</v>
      </c>
      <c r="R831" s="0" t="s">
        <v>138</v>
      </c>
      <c r="S831" s="14">
        <v>1</v>
      </c>
      <c r="T831" s="0" t="s">
        <v>288</v>
      </c>
      <c r="U831" s="0" t="s">
        <v>138</v>
      </c>
      <c r="V831" s="14" t="s">
        <v>138</v>
      </c>
      <c r="W831" s="0" t="s">
        <v>138</v>
      </c>
      <c r="X831" s="14" t="s">
        <v>138</v>
      </c>
      <c r="Y831" s="0" t="s">
        <v>138</v>
      </c>
      <c r="Z831" s="14" t="s">
        <v>138</v>
      </c>
      <c r="AA831" s="0" t="s">
        <v>138</v>
      </c>
      <c r="AB831" s="14" t="s">
        <v>138</v>
      </c>
      <c r="AD831" s="0" t="s">
        <v>138</v>
      </c>
      <c r="AF831" s="0">
        <v>0</v>
      </c>
      <c r="AG831" s="0">
        <v>0</v>
      </c>
      <c r="AH831" s="0" t="s">
        <v>140</v>
      </c>
      <c r="AI831" s="0" t="s">
        <v>138</v>
      </c>
      <c r="AK831" s="0" t="s">
        <v>2588</v>
      </c>
      <c r="AL831" s="14"/>
      <c r="AN831" s="14"/>
      <c r="AQ831" s="0" t="s">
        <v>130</v>
      </c>
      <c r="AR831" s="0" t="s">
        <v>130</v>
      </c>
      <c r="AS831" s="0" t="s">
        <v>130</v>
      </c>
      <c r="AT831" s="0" t="s">
        <v>130</v>
      </c>
      <c r="AU831" s="0" t="s">
        <v>130</v>
      </c>
      <c r="AV831" s="0" t="s">
        <v>130</v>
      </c>
      <c r="AW831" s="0" t="s">
        <v>141</v>
      </c>
      <c r="AX831" s="0" t="s">
        <v>130</v>
      </c>
      <c r="AY831" s="0" t="s">
        <v>130</v>
      </c>
      <c r="AZ831" s="0" t="s">
        <v>130</v>
      </c>
      <c r="BA831" s="0" t="s">
        <v>130</v>
      </c>
      <c r="BB831" s="0" t="s">
        <v>130</v>
      </c>
      <c r="BC831" s="0" t="s">
        <v>141</v>
      </c>
      <c r="BD831" s="0" t="s">
        <v>130</v>
      </c>
      <c r="BE831" s="0" t="s">
        <v>130</v>
      </c>
      <c r="BF831" s="0" t="s">
        <v>130</v>
      </c>
      <c r="BG831" s="0" t="s">
        <v>130</v>
      </c>
      <c r="BH831" s="0" t="s">
        <v>141</v>
      </c>
      <c r="BI831" s="0" t="s">
        <v>141</v>
      </c>
      <c r="BJ831" s="0" t="s">
        <v>141</v>
      </c>
      <c r="BK831" s="0" t="s">
        <v>130</v>
      </c>
      <c r="BL831" s="0" t="s">
        <v>130</v>
      </c>
      <c r="BM831" s="0" t="s">
        <v>130</v>
      </c>
      <c r="BN831" s="0" t="s">
        <v>130</v>
      </c>
      <c r="BO831" s="0" t="s">
        <v>130</v>
      </c>
      <c r="BP831" s="0" t="s">
        <v>130</v>
      </c>
      <c r="BQ831" s="0" t="s">
        <v>130</v>
      </c>
      <c r="BR831" s="0" t="s">
        <v>130</v>
      </c>
      <c r="BS831" s="0" t="s">
        <v>130</v>
      </c>
      <c r="BT831" s="0" t="s">
        <v>130</v>
      </c>
      <c r="BU831" s="0" t="s">
        <v>130</v>
      </c>
      <c r="BV831" s="0" t="s">
        <v>141</v>
      </c>
      <c r="BW831" s="0" t="s">
        <v>141</v>
      </c>
      <c r="BX831" s="0" t="s">
        <v>130</v>
      </c>
      <c r="BY831" s="0" t="s">
        <v>130</v>
      </c>
      <c r="BZ831" s="0" t="s">
        <v>130</v>
      </c>
      <c r="CA831" s="0" t="s">
        <v>130</v>
      </c>
      <c r="CB831" s="0" t="s">
        <v>130</v>
      </c>
      <c r="CC831" s="0" t="s">
        <v>130</v>
      </c>
      <c r="CD831" s="0" t="s">
        <v>130</v>
      </c>
      <c r="CE831" s="0" t="s">
        <v>130</v>
      </c>
      <c r="CF831" s="0" t="s">
        <v>130</v>
      </c>
      <c r="CG831" s="0" t="s">
        <v>130</v>
      </c>
      <c r="CH831" s="0" t="s">
        <v>130</v>
      </c>
      <c r="CI831" s="0" t="s">
        <v>130</v>
      </c>
      <c r="CJ831" s="0" t="s">
        <v>130</v>
      </c>
      <c r="CK831" s="0" t="s">
        <v>130</v>
      </c>
      <c r="CL831" s="0" t="s">
        <v>130</v>
      </c>
      <c r="CM831" s="0" t="s">
        <v>130</v>
      </c>
      <c r="CN831" s="0" t="s">
        <v>130</v>
      </c>
      <c r="CO831" s="0" t="s">
        <v>130</v>
      </c>
      <c r="CP831" s="0" t="s">
        <v>130</v>
      </c>
      <c r="CQ831" s="0" t="s">
        <v>130</v>
      </c>
      <c r="CR831" s="0" t="s">
        <v>130</v>
      </c>
      <c r="CS831" s="0" t="s">
        <v>130</v>
      </c>
      <c r="CT831" s="0" t="s">
        <v>2589</v>
      </c>
    </row>
    <row r="832">
      <c r="A832" s="14">
        <v>115675</v>
      </c>
      <c r="B832" s="0" t="s">
        <v>2585</v>
      </c>
      <c r="C832" s="16">
        <f>HYPERLINK("https://eosportal.federatedhermes.com/companies/Q29tcGFueQppNjI0NzI=", "RWE AG")</f>
      </c>
      <c r="D832" s="0" t="s">
        <v>25</v>
      </c>
      <c r="E832" s="0" t="s">
        <v>317</v>
      </c>
      <c r="F832" s="16">
        <f>HYPERLINK("https://eosportal.federatedhermes.com/engagements/RW5nYWdlbWVudAppMjI0MDE=", "Remuneration policy")</f>
      </c>
      <c r="G832" s="14" t="s">
        <v>317</v>
      </c>
      <c r="H832" s="0" t="s">
        <v>141</v>
      </c>
      <c r="I832" s="14" t="s">
        <v>191</v>
      </c>
      <c r="J832" s="0" t="s">
        <v>145</v>
      </c>
      <c r="K832" s="0" t="s">
        <v>146</v>
      </c>
      <c r="L832" s="0" t="s">
        <v>147</v>
      </c>
      <c r="M832" s="0" t="s">
        <v>378</v>
      </c>
      <c r="N832" s="0" t="s">
        <v>2485</v>
      </c>
      <c r="O832" s="0" t="s">
        <v>192</v>
      </c>
      <c r="Q832" s="0" t="s">
        <v>130</v>
      </c>
      <c r="R832" s="0" t="s">
        <v>138</v>
      </c>
      <c r="S832" s="14">
        <v>0</v>
      </c>
      <c r="T832" s="0" t="s">
        <v>181</v>
      </c>
      <c r="U832" s="0" t="s">
        <v>138</v>
      </c>
      <c r="V832" s="14" t="s">
        <v>138</v>
      </c>
      <c r="W832" s="0" t="s">
        <v>138</v>
      </c>
      <c r="X832" s="14" t="s">
        <v>138</v>
      </c>
      <c r="Y832" s="0" t="s">
        <v>138</v>
      </c>
      <c r="Z832" s="14" t="s">
        <v>138</v>
      </c>
      <c r="AA832" s="0" t="s">
        <v>138</v>
      </c>
      <c r="AB832" s="14" t="s">
        <v>138</v>
      </c>
      <c r="AD832" s="0" t="s">
        <v>138</v>
      </c>
      <c r="AF832" s="0">
        <v>0</v>
      </c>
      <c r="AG832" s="0">
        <v>0</v>
      </c>
      <c r="AH832" s="0" t="s">
        <v>140</v>
      </c>
      <c r="AI832" s="0" t="s">
        <v>138</v>
      </c>
      <c r="AL832" s="14"/>
      <c r="AN832" s="14"/>
      <c r="AQ832" s="0" t="s">
        <v>130</v>
      </c>
      <c r="AR832" s="0" t="s">
        <v>130</v>
      </c>
      <c r="AS832" s="0" t="s">
        <v>130</v>
      </c>
      <c r="AT832" s="0" t="s">
        <v>130</v>
      </c>
      <c r="AU832" s="0" t="s">
        <v>130</v>
      </c>
      <c r="AV832" s="0" t="s">
        <v>130</v>
      </c>
      <c r="AW832" s="0" t="s">
        <v>130</v>
      </c>
      <c r="AX832" s="0" t="s">
        <v>130</v>
      </c>
      <c r="AY832" s="0" t="s">
        <v>130</v>
      </c>
      <c r="AZ832" s="0" t="s">
        <v>130</v>
      </c>
      <c r="BA832" s="0" t="s">
        <v>130</v>
      </c>
      <c r="BB832" s="0" t="s">
        <v>130</v>
      </c>
      <c r="BC832" s="0" t="s">
        <v>130</v>
      </c>
      <c r="BD832" s="0" t="s">
        <v>130</v>
      </c>
      <c r="BE832" s="0" t="s">
        <v>130</v>
      </c>
      <c r="BF832" s="0" t="s">
        <v>130</v>
      </c>
      <c r="BG832" s="0" t="s">
        <v>130</v>
      </c>
      <c r="BH832" s="0" t="s">
        <v>130</v>
      </c>
      <c r="BI832" s="0" t="s">
        <v>130</v>
      </c>
      <c r="BJ832" s="0" t="s">
        <v>130</v>
      </c>
      <c r="BK832" s="0" t="s">
        <v>130</v>
      </c>
      <c r="BL832" s="0" t="s">
        <v>130</v>
      </c>
      <c r="BM832" s="0" t="s">
        <v>130</v>
      </c>
      <c r="BN832" s="0" t="s">
        <v>130</v>
      </c>
      <c r="BO832" s="0" t="s">
        <v>130</v>
      </c>
      <c r="BP832" s="0" t="s">
        <v>130</v>
      </c>
      <c r="BQ832" s="0" t="s">
        <v>130</v>
      </c>
      <c r="BR832" s="0" t="s">
        <v>130</v>
      </c>
      <c r="BS832" s="0" t="s">
        <v>130</v>
      </c>
      <c r="BT832" s="0" t="s">
        <v>130</v>
      </c>
      <c r="BU832" s="0" t="s">
        <v>130</v>
      </c>
      <c r="BV832" s="0" t="s">
        <v>130</v>
      </c>
      <c r="BW832" s="0" t="s">
        <v>130</v>
      </c>
      <c r="BX832" s="0" t="s">
        <v>130</v>
      </c>
      <c r="BY832" s="0" t="s">
        <v>130</v>
      </c>
      <c r="BZ832" s="0" t="s">
        <v>130</v>
      </c>
      <c r="CA832" s="0" t="s">
        <v>130</v>
      </c>
      <c r="CB832" s="0" t="s">
        <v>130</v>
      </c>
      <c r="CC832" s="0" t="s">
        <v>130</v>
      </c>
      <c r="CD832" s="0" t="s">
        <v>130</v>
      </c>
      <c r="CE832" s="0" t="s">
        <v>130</v>
      </c>
      <c r="CF832" s="0" t="s">
        <v>130</v>
      </c>
      <c r="CG832" s="0" t="s">
        <v>130</v>
      </c>
      <c r="CH832" s="0" t="s">
        <v>130</v>
      </c>
      <c r="CI832" s="0" t="s">
        <v>130</v>
      </c>
      <c r="CJ832" s="0" t="s">
        <v>130</v>
      </c>
      <c r="CK832" s="0" t="s">
        <v>130</v>
      </c>
      <c r="CL832" s="0" t="s">
        <v>130</v>
      </c>
      <c r="CM832" s="0" t="s">
        <v>130</v>
      </c>
      <c r="CN832" s="0" t="s">
        <v>130</v>
      </c>
      <c r="CO832" s="0" t="s">
        <v>130</v>
      </c>
      <c r="CP832" s="0" t="s">
        <v>130</v>
      </c>
      <c r="CQ832" s="0" t="s">
        <v>130</v>
      </c>
      <c r="CR832" s="0" t="s">
        <v>130</v>
      </c>
      <c r="CS832" s="0" t="s">
        <v>130</v>
      </c>
      <c r="CT832" s="0" t="s">
        <v>2590</v>
      </c>
    </row>
    <row r="833">
      <c r="A833" s="14">
        <v>115675</v>
      </c>
      <c r="B833" s="0" t="s">
        <v>2585</v>
      </c>
      <c r="C833" s="16">
        <f>HYPERLINK("https://eosportal.federatedhermes.com/companies/Q29tcGFueQppNjI0NzI=", "RWE AG")</f>
      </c>
      <c r="D833" s="0" t="s">
        <v>25</v>
      </c>
      <c r="E833" s="0" t="s">
        <v>2591</v>
      </c>
      <c r="F833" s="16">
        <f>HYPERLINK("https://eosportal.federatedhermes.com/engagements/RW5nYWdlbWVudAppMjI0MDI=", "Spin-off renewables business segment")</f>
      </c>
      <c r="G833" s="14" t="s">
        <v>2592</v>
      </c>
      <c r="H833" s="0" t="s">
        <v>141</v>
      </c>
      <c r="I833" s="14" t="s">
        <v>191</v>
      </c>
      <c r="J833" s="0" t="s">
        <v>153</v>
      </c>
      <c r="K833" s="0" t="s">
        <v>185</v>
      </c>
      <c r="L833" s="0" t="s">
        <v>186</v>
      </c>
      <c r="M833" s="0" t="s">
        <v>378</v>
      </c>
      <c r="N833" s="0" t="s">
        <v>2485</v>
      </c>
      <c r="O833" s="0" t="s">
        <v>192</v>
      </c>
      <c r="Q833" s="0" t="s">
        <v>130</v>
      </c>
      <c r="R833" s="0" t="s">
        <v>138</v>
      </c>
      <c r="S833" s="14">
        <v>0</v>
      </c>
      <c r="T833" s="0" t="s">
        <v>416</v>
      </c>
      <c r="U833" s="0" t="s">
        <v>138</v>
      </c>
      <c r="V833" s="14" t="s">
        <v>138</v>
      </c>
      <c r="W833" s="0" t="s">
        <v>138</v>
      </c>
      <c r="X833" s="14" t="s">
        <v>138</v>
      </c>
      <c r="Y833" s="0" t="s">
        <v>138</v>
      </c>
      <c r="Z833" s="14" t="s">
        <v>138</v>
      </c>
      <c r="AA833" s="0" t="s">
        <v>138</v>
      </c>
      <c r="AB833" s="14" t="s">
        <v>138</v>
      </c>
      <c r="AD833" s="0" t="s">
        <v>138</v>
      </c>
      <c r="AF833" s="0">
        <v>0</v>
      </c>
      <c r="AG833" s="0">
        <v>0</v>
      </c>
      <c r="AH833" s="0" t="s">
        <v>140</v>
      </c>
      <c r="AI833" s="0" t="s">
        <v>138</v>
      </c>
      <c r="AL833" s="14"/>
      <c r="AN833" s="14"/>
      <c r="AQ833" s="0" t="s">
        <v>130</v>
      </c>
      <c r="AR833" s="0" t="s">
        <v>130</v>
      </c>
      <c r="AS833" s="0" t="s">
        <v>130</v>
      </c>
      <c r="AT833" s="0" t="s">
        <v>130</v>
      </c>
      <c r="AU833" s="0" t="s">
        <v>130</v>
      </c>
      <c r="AV833" s="0" t="s">
        <v>130</v>
      </c>
      <c r="AW833" s="0" t="s">
        <v>130</v>
      </c>
      <c r="AX833" s="0" t="s">
        <v>130</v>
      </c>
      <c r="AY833" s="0" t="s">
        <v>130</v>
      </c>
      <c r="AZ833" s="0" t="s">
        <v>130</v>
      </c>
      <c r="BA833" s="0" t="s">
        <v>130</v>
      </c>
      <c r="BB833" s="0" t="s">
        <v>130</v>
      </c>
      <c r="BC833" s="0" t="s">
        <v>130</v>
      </c>
      <c r="BD833" s="0" t="s">
        <v>130</v>
      </c>
      <c r="BE833" s="0" t="s">
        <v>130</v>
      </c>
      <c r="BF833" s="0" t="s">
        <v>130</v>
      </c>
      <c r="BG833" s="0" t="s">
        <v>130</v>
      </c>
      <c r="BH833" s="0" t="s">
        <v>130</v>
      </c>
      <c r="BI833" s="0" t="s">
        <v>130</v>
      </c>
      <c r="BJ833" s="0" t="s">
        <v>130</v>
      </c>
      <c r="BK833" s="0" t="s">
        <v>130</v>
      </c>
      <c r="BL833" s="0" t="s">
        <v>130</v>
      </c>
      <c r="BM833" s="0" t="s">
        <v>130</v>
      </c>
      <c r="BN833" s="0" t="s">
        <v>130</v>
      </c>
      <c r="BO833" s="0" t="s">
        <v>130</v>
      </c>
      <c r="BP833" s="0" t="s">
        <v>130</v>
      </c>
      <c r="BQ833" s="0" t="s">
        <v>130</v>
      </c>
      <c r="BR833" s="0" t="s">
        <v>130</v>
      </c>
      <c r="BS833" s="0" t="s">
        <v>130</v>
      </c>
      <c r="BT833" s="0" t="s">
        <v>130</v>
      </c>
      <c r="BU833" s="0" t="s">
        <v>130</v>
      </c>
      <c r="BV833" s="0" t="s">
        <v>130</v>
      </c>
      <c r="BW833" s="0" t="s">
        <v>130</v>
      </c>
      <c r="BX833" s="0" t="s">
        <v>130</v>
      </c>
      <c r="BY833" s="0" t="s">
        <v>130</v>
      </c>
      <c r="BZ833" s="0" t="s">
        <v>130</v>
      </c>
      <c r="CA833" s="0" t="s">
        <v>130</v>
      </c>
      <c r="CB833" s="0" t="s">
        <v>130</v>
      </c>
      <c r="CC833" s="0" t="s">
        <v>130</v>
      </c>
      <c r="CD833" s="0" t="s">
        <v>130</v>
      </c>
      <c r="CE833" s="0" t="s">
        <v>130</v>
      </c>
      <c r="CF833" s="0" t="s">
        <v>130</v>
      </c>
      <c r="CG833" s="0" t="s">
        <v>130</v>
      </c>
      <c r="CH833" s="0" t="s">
        <v>130</v>
      </c>
      <c r="CI833" s="0" t="s">
        <v>130</v>
      </c>
      <c r="CJ833" s="0" t="s">
        <v>130</v>
      </c>
      <c r="CK833" s="0" t="s">
        <v>130</v>
      </c>
      <c r="CL833" s="0" t="s">
        <v>130</v>
      </c>
      <c r="CM833" s="0" t="s">
        <v>130</v>
      </c>
      <c r="CN833" s="0" t="s">
        <v>130</v>
      </c>
      <c r="CO833" s="0" t="s">
        <v>130</v>
      </c>
      <c r="CP833" s="0" t="s">
        <v>130</v>
      </c>
      <c r="CQ833" s="0" t="s">
        <v>130</v>
      </c>
      <c r="CR833" s="0" t="s">
        <v>130</v>
      </c>
      <c r="CS833" s="0" t="s">
        <v>130</v>
      </c>
      <c r="CT833" s="0" t="s">
        <v>2593</v>
      </c>
    </row>
    <row r="834">
      <c r="A834" s="14">
        <v>115675</v>
      </c>
      <c r="B834" s="0" t="s">
        <v>2585</v>
      </c>
      <c r="C834" s="16">
        <f>HYPERLINK("https://eosportal.federatedhermes.com/companies/Q29tcGFueQppNjI0NzI=", "RWE AG")</f>
      </c>
      <c r="D834" s="0" t="s">
        <v>25</v>
      </c>
      <c r="E834" s="0" t="s">
        <v>2594</v>
      </c>
      <c r="F834" s="16">
        <f>HYPERLINK("https://eosportal.federatedhermes.com/engagements/RW5nYWdlbWVudAppMjI0MDM=", "Power plant safety")</f>
      </c>
      <c r="G834" s="14" t="s">
        <v>2594</v>
      </c>
      <c r="H834" s="0" t="s">
        <v>141</v>
      </c>
      <c r="I834" s="14" t="s">
        <v>191</v>
      </c>
      <c r="J834" s="0" t="s">
        <v>132</v>
      </c>
      <c r="K834" s="0" t="s">
        <v>133</v>
      </c>
      <c r="L834" s="0" t="s">
        <v>160</v>
      </c>
      <c r="M834" s="0" t="s">
        <v>378</v>
      </c>
      <c r="N834" s="0" t="s">
        <v>2485</v>
      </c>
      <c r="O834" s="0" t="s">
        <v>192</v>
      </c>
      <c r="Q834" s="0" t="s">
        <v>130</v>
      </c>
      <c r="R834" s="0" t="s">
        <v>138</v>
      </c>
      <c r="S834" s="14">
        <v>0</v>
      </c>
      <c r="T834" s="0" t="s">
        <v>1296</v>
      </c>
      <c r="U834" s="0" t="s">
        <v>138</v>
      </c>
      <c r="V834" s="14" t="s">
        <v>138</v>
      </c>
      <c r="W834" s="0" t="s">
        <v>138</v>
      </c>
      <c r="X834" s="14" t="s">
        <v>138</v>
      </c>
      <c r="Y834" s="0" t="s">
        <v>138</v>
      </c>
      <c r="Z834" s="14" t="s">
        <v>138</v>
      </c>
      <c r="AA834" s="0" t="s">
        <v>138</v>
      </c>
      <c r="AB834" s="14" t="s">
        <v>138</v>
      </c>
      <c r="AD834" s="0" t="s">
        <v>138</v>
      </c>
      <c r="AF834" s="0">
        <v>0</v>
      </c>
      <c r="AG834" s="0">
        <v>0</v>
      </c>
      <c r="AH834" s="0" t="s">
        <v>140</v>
      </c>
      <c r="AI834" s="0" t="s">
        <v>138</v>
      </c>
      <c r="AL834" s="14"/>
      <c r="AN834" s="14"/>
      <c r="AQ834" s="0" t="s">
        <v>130</v>
      </c>
      <c r="AR834" s="0" t="s">
        <v>130</v>
      </c>
      <c r="AS834" s="0" t="s">
        <v>130</v>
      </c>
      <c r="AT834" s="0" t="s">
        <v>130</v>
      </c>
      <c r="AU834" s="0" t="s">
        <v>130</v>
      </c>
      <c r="AV834" s="0" t="s">
        <v>130</v>
      </c>
      <c r="AW834" s="0" t="s">
        <v>130</v>
      </c>
      <c r="AX834" s="0" t="s">
        <v>130</v>
      </c>
      <c r="AY834" s="0" t="s">
        <v>130</v>
      </c>
      <c r="AZ834" s="0" t="s">
        <v>130</v>
      </c>
      <c r="BA834" s="0" t="s">
        <v>130</v>
      </c>
      <c r="BB834" s="0" t="s">
        <v>130</v>
      </c>
      <c r="BC834" s="0" t="s">
        <v>130</v>
      </c>
      <c r="BD834" s="0" t="s">
        <v>130</v>
      </c>
      <c r="BE834" s="0" t="s">
        <v>130</v>
      </c>
      <c r="BF834" s="0" t="s">
        <v>130</v>
      </c>
      <c r="BG834" s="0" t="s">
        <v>130</v>
      </c>
      <c r="BH834" s="0" t="s">
        <v>130</v>
      </c>
      <c r="BI834" s="0" t="s">
        <v>130</v>
      </c>
      <c r="BJ834" s="0" t="s">
        <v>130</v>
      </c>
      <c r="BK834" s="0" t="s">
        <v>130</v>
      </c>
      <c r="BL834" s="0" t="s">
        <v>130</v>
      </c>
      <c r="BM834" s="0" t="s">
        <v>130</v>
      </c>
      <c r="BN834" s="0" t="s">
        <v>130</v>
      </c>
      <c r="BO834" s="0" t="s">
        <v>130</v>
      </c>
      <c r="BP834" s="0" t="s">
        <v>130</v>
      </c>
      <c r="BQ834" s="0" t="s">
        <v>130</v>
      </c>
      <c r="BR834" s="0" t="s">
        <v>130</v>
      </c>
      <c r="BS834" s="0" t="s">
        <v>130</v>
      </c>
      <c r="BT834" s="0" t="s">
        <v>130</v>
      </c>
      <c r="BU834" s="0" t="s">
        <v>130</v>
      </c>
      <c r="BV834" s="0" t="s">
        <v>130</v>
      </c>
      <c r="BW834" s="0" t="s">
        <v>130</v>
      </c>
      <c r="BX834" s="0" t="s">
        <v>130</v>
      </c>
      <c r="BY834" s="0" t="s">
        <v>130</v>
      </c>
      <c r="BZ834" s="0" t="s">
        <v>130</v>
      </c>
      <c r="CA834" s="0" t="s">
        <v>130</v>
      </c>
      <c r="CB834" s="0" t="s">
        <v>130</v>
      </c>
      <c r="CC834" s="0" t="s">
        <v>130</v>
      </c>
      <c r="CD834" s="0" t="s">
        <v>130</v>
      </c>
      <c r="CE834" s="0" t="s">
        <v>130</v>
      </c>
      <c r="CF834" s="0" t="s">
        <v>130</v>
      </c>
      <c r="CG834" s="0" t="s">
        <v>130</v>
      </c>
      <c r="CH834" s="0" t="s">
        <v>130</v>
      </c>
      <c r="CI834" s="0" t="s">
        <v>130</v>
      </c>
      <c r="CJ834" s="0" t="s">
        <v>130</v>
      </c>
      <c r="CK834" s="0" t="s">
        <v>130</v>
      </c>
      <c r="CL834" s="0" t="s">
        <v>130</v>
      </c>
      <c r="CM834" s="0" t="s">
        <v>130</v>
      </c>
      <c r="CN834" s="0" t="s">
        <v>130</v>
      </c>
      <c r="CO834" s="0" t="s">
        <v>130</v>
      </c>
      <c r="CP834" s="0" t="s">
        <v>130</v>
      </c>
      <c r="CQ834" s="0" t="s">
        <v>130</v>
      </c>
      <c r="CR834" s="0" t="s">
        <v>130</v>
      </c>
      <c r="CS834" s="0" t="s">
        <v>130</v>
      </c>
      <c r="CT834" s="0" t="s">
        <v>2595</v>
      </c>
    </row>
    <row r="835">
      <c r="A835" s="14">
        <v>115675</v>
      </c>
      <c r="B835" s="0" t="s">
        <v>2585</v>
      </c>
      <c r="C835" s="16">
        <f>HYPERLINK("https://eosportal.federatedhermes.com/companies/Q29tcGFueQppNjI0NzI=", "RWE AG")</f>
      </c>
      <c r="D835" s="0" t="s">
        <v>25</v>
      </c>
      <c r="E835" s="0" t="s">
        <v>2596</v>
      </c>
      <c r="F835" s="16">
        <f>HYPERLINK("https://eosportal.federatedhermes.com/engagements/RW5nYWdlbWVudAppMjI0MDQ=", "Relationship with German regulators")</f>
      </c>
      <c r="G835" s="14" t="s">
        <v>2597</v>
      </c>
      <c r="H835" s="0" t="s">
        <v>141</v>
      </c>
      <c r="I835" s="14" t="s">
        <v>191</v>
      </c>
      <c r="J835" s="0" t="s">
        <v>153</v>
      </c>
      <c r="K835" s="0" t="s">
        <v>185</v>
      </c>
      <c r="L835" s="0" t="s">
        <v>186</v>
      </c>
      <c r="M835" s="0" t="s">
        <v>378</v>
      </c>
      <c r="N835" s="0" t="s">
        <v>2485</v>
      </c>
      <c r="O835" s="0" t="s">
        <v>192</v>
      </c>
      <c r="Q835" s="0" t="s">
        <v>130</v>
      </c>
      <c r="R835" s="0" t="s">
        <v>138</v>
      </c>
      <c r="S835" s="14">
        <v>0</v>
      </c>
      <c r="T835" s="0" t="s">
        <v>293</v>
      </c>
      <c r="U835" s="0" t="s">
        <v>138</v>
      </c>
      <c r="V835" s="14" t="s">
        <v>138</v>
      </c>
      <c r="W835" s="0" t="s">
        <v>138</v>
      </c>
      <c r="X835" s="14" t="s">
        <v>138</v>
      </c>
      <c r="Y835" s="0" t="s">
        <v>138</v>
      </c>
      <c r="Z835" s="14" t="s">
        <v>138</v>
      </c>
      <c r="AA835" s="0" t="s">
        <v>138</v>
      </c>
      <c r="AB835" s="14" t="s">
        <v>138</v>
      </c>
      <c r="AD835" s="0" t="s">
        <v>138</v>
      </c>
      <c r="AF835" s="0">
        <v>0</v>
      </c>
      <c r="AG835" s="0">
        <v>0</v>
      </c>
      <c r="AH835" s="0" t="s">
        <v>140</v>
      </c>
      <c r="AI835" s="0" t="s">
        <v>138</v>
      </c>
      <c r="AL835" s="14"/>
      <c r="AN835" s="14"/>
      <c r="AQ835" s="0" t="s">
        <v>130</v>
      </c>
      <c r="AR835" s="0" t="s">
        <v>130</v>
      </c>
      <c r="AS835" s="0" t="s">
        <v>130</v>
      </c>
      <c r="AT835" s="0" t="s">
        <v>130</v>
      </c>
      <c r="AU835" s="0" t="s">
        <v>130</v>
      </c>
      <c r="AV835" s="0" t="s">
        <v>130</v>
      </c>
      <c r="AW835" s="0" t="s">
        <v>130</v>
      </c>
      <c r="AX835" s="0" t="s">
        <v>130</v>
      </c>
      <c r="AY835" s="0" t="s">
        <v>130</v>
      </c>
      <c r="AZ835" s="0" t="s">
        <v>130</v>
      </c>
      <c r="BA835" s="0" t="s">
        <v>130</v>
      </c>
      <c r="BB835" s="0" t="s">
        <v>130</v>
      </c>
      <c r="BC835" s="0" t="s">
        <v>130</v>
      </c>
      <c r="BD835" s="0" t="s">
        <v>130</v>
      </c>
      <c r="BE835" s="0" t="s">
        <v>130</v>
      </c>
      <c r="BF835" s="0" t="s">
        <v>130</v>
      </c>
      <c r="BG835" s="0" t="s">
        <v>130</v>
      </c>
      <c r="BH835" s="0" t="s">
        <v>130</v>
      </c>
      <c r="BI835" s="0" t="s">
        <v>130</v>
      </c>
      <c r="BJ835" s="0" t="s">
        <v>130</v>
      </c>
      <c r="BK835" s="0" t="s">
        <v>130</v>
      </c>
      <c r="BL835" s="0" t="s">
        <v>130</v>
      </c>
      <c r="BM835" s="0" t="s">
        <v>130</v>
      </c>
      <c r="BN835" s="0" t="s">
        <v>130</v>
      </c>
      <c r="BO835" s="0" t="s">
        <v>130</v>
      </c>
      <c r="BP835" s="0" t="s">
        <v>130</v>
      </c>
      <c r="BQ835" s="0" t="s">
        <v>130</v>
      </c>
      <c r="BR835" s="0" t="s">
        <v>130</v>
      </c>
      <c r="BS835" s="0" t="s">
        <v>130</v>
      </c>
      <c r="BT835" s="0" t="s">
        <v>130</v>
      </c>
      <c r="BU835" s="0" t="s">
        <v>130</v>
      </c>
      <c r="BV835" s="0" t="s">
        <v>130</v>
      </c>
      <c r="BW835" s="0" t="s">
        <v>130</v>
      </c>
      <c r="BX835" s="0" t="s">
        <v>130</v>
      </c>
      <c r="BY835" s="0" t="s">
        <v>130</v>
      </c>
      <c r="BZ835" s="0" t="s">
        <v>130</v>
      </c>
      <c r="CA835" s="0" t="s">
        <v>130</v>
      </c>
      <c r="CB835" s="0" t="s">
        <v>130</v>
      </c>
      <c r="CC835" s="0" t="s">
        <v>130</v>
      </c>
      <c r="CD835" s="0" t="s">
        <v>130</v>
      </c>
      <c r="CE835" s="0" t="s">
        <v>130</v>
      </c>
      <c r="CF835" s="0" t="s">
        <v>130</v>
      </c>
      <c r="CG835" s="0" t="s">
        <v>130</v>
      </c>
      <c r="CH835" s="0" t="s">
        <v>130</v>
      </c>
      <c r="CI835" s="0" t="s">
        <v>130</v>
      </c>
      <c r="CJ835" s="0" t="s">
        <v>130</v>
      </c>
      <c r="CK835" s="0" t="s">
        <v>130</v>
      </c>
      <c r="CL835" s="0" t="s">
        <v>130</v>
      </c>
      <c r="CM835" s="0" t="s">
        <v>130</v>
      </c>
      <c r="CN835" s="0" t="s">
        <v>130</v>
      </c>
      <c r="CO835" s="0" t="s">
        <v>130</v>
      </c>
      <c r="CP835" s="0" t="s">
        <v>130</v>
      </c>
      <c r="CQ835" s="0" t="s">
        <v>130</v>
      </c>
      <c r="CR835" s="0" t="s">
        <v>130</v>
      </c>
      <c r="CS835" s="0" t="s">
        <v>130</v>
      </c>
      <c r="CT835" s="0" t="s">
        <v>2598</v>
      </c>
    </row>
    <row r="836">
      <c r="A836" s="14">
        <v>115675</v>
      </c>
      <c r="B836" s="0" t="s">
        <v>2585</v>
      </c>
      <c r="C836" s="16">
        <f>HYPERLINK("https://eosportal.federatedhermes.com/companies/Q29tcGFueQppNjI0NzI=", "RWE AG")</f>
      </c>
      <c r="D836" s="0" t="s">
        <v>25</v>
      </c>
      <c r="E836" s="0" t="s">
        <v>2599</v>
      </c>
      <c r="F836" s="16">
        <f>HYPERLINK("https://eosportal.federatedhermes.com/engagements/RW5nYWdlbWVudAppMjI0MDU=", "Over-representation of German municipalities on the board")</f>
      </c>
      <c r="G836" s="14" t="s">
        <v>2600</v>
      </c>
      <c r="H836" s="0" t="s">
        <v>141</v>
      </c>
      <c r="I836" s="14" t="s">
        <v>191</v>
      </c>
      <c r="J836" s="0" t="s">
        <v>145</v>
      </c>
      <c r="K836" s="0" t="s">
        <v>164</v>
      </c>
      <c r="L836" s="0" t="s">
        <v>165</v>
      </c>
      <c r="M836" s="0" t="s">
        <v>378</v>
      </c>
      <c r="N836" s="0" t="s">
        <v>2485</v>
      </c>
      <c r="O836" s="0" t="s">
        <v>192</v>
      </c>
      <c r="Q836" s="0" t="s">
        <v>130</v>
      </c>
      <c r="R836" s="0" t="s">
        <v>138</v>
      </c>
      <c r="S836" s="14">
        <v>0</v>
      </c>
      <c r="T836" s="0" t="s">
        <v>320</v>
      </c>
      <c r="U836" s="0" t="s">
        <v>138</v>
      </c>
      <c r="V836" s="14" t="s">
        <v>138</v>
      </c>
      <c r="W836" s="0" t="s">
        <v>138</v>
      </c>
      <c r="X836" s="14" t="s">
        <v>138</v>
      </c>
      <c r="Y836" s="0" t="s">
        <v>138</v>
      </c>
      <c r="Z836" s="14" t="s">
        <v>138</v>
      </c>
      <c r="AA836" s="0" t="s">
        <v>138</v>
      </c>
      <c r="AB836" s="14" t="s">
        <v>138</v>
      </c>
      <c r="AD836" s="0" t="s">
        <v>138</v>
      </c>
      <c r="AF836" s="0">
        <v>0</v>
      </c>
      <c r="AG836" s="0">
        <v>0</v>
      </c>
      <c r="AH836" s="0" t="s">
        <v>140</v>
      </c>
      <c r="AI836" s="0" t="s">
        <v>138</v>
      </c>
      <c r="AL836" s="14"/>
      <c r="AN836" s="14"/>
      <c r="AQ836" s="0" t="s">
        <v>130</v>
      </c>
      <c r="AR836" s="0" t="s">
        <v>130</v>
      </c>
      <c r="AS836" s="0" t="s">
        <v>130</v>
      </c>
      <c r="AT836" s="0" t="s">
        <v>130</v>
      </c>
      <c r="AU836" s="0" t="s">
        <v>130</v>
      </c>
      <c r="AV836" s="0" t="s">
        <v>130</v>
      </c>
      <c r="AW836" s="0" t="s">
        <v>130</v>
      </c>
      <c r="AX836" s="0" t="s">
        <v>130</v>
      </c>
      <c r="AY836" s="0" t="s">
        <v>130</v>
      </c>
      <c r="AZ836" s="0" t="s">
        <v>130</v>
      </c>
      <c r="BA836" s="0" t="s">
        <v>130</v>
      </c>
      <c r="BB836" s="0" t="s">
        <v>130</v>
      </c>
      <c r="BC836" s="0" t="s">
        <v>130</v>
      </c>
      <c r="BD836" s="0" t="s">
        <v>130</v>
      </c>
      <c r="BE836" s="0" t="s">
        <v>130</v>
      </c>
      <c r="BF836" s="0" t="s">
        <v>130</v>
      </c>
      <c r="BG836" s="0" t="s">
        <v>130</v>
      </c>
      <c r="BH836" s="0" t="s">
        <v>130</v>
      </c>
      <c r="BI836" s="0" t="s">
        <v>130</v>
      </c>
      <c r="BJ836" s="0" t="s">
        <v>130</v>
      </c>
      <c r="BK836" s="0" t="s">
        <v>130</v>
      </c>
      <c r="BL836" s="0" t="s">
        <v>130</v>
      </c>
      <c r="BM836" s="0" t="s">
        <v>130</v>
      </c>
      <c r="BN836" s="0" t="s">
        <v>130</v>
      </c>
      <c r="BO836" s="0" t="s">
        <v>130</v>
      </c>
      <c r="BP836" s="0" t="s">
        <v>130</v>
      </c>
      <c r="BQ836" s="0" t="s">
        <v>130</v>
      </c>
      <c r="BR836" s="0" t="s">
        <v>130</v>
      </c>
      <c r="BS836" s="0" t="s">
        <v>130</v>
      </c>
      <c r="BT836" s="0" t="s">
        <v>130</v>
      </c>
      <c r="BU836" s="0" t="s">
        <v>130</v>
      </c>
      <c r="BV836" s="0" t="s">
        <v>130</v>
      </c>
      <c r="BW836" s="0" t="s">
        <v>130</v>
      </c>
      <c r="BX836" s="0" t="s">
        <v>130</v>
      </c>
      <c r="BY836" s="0" t="s">
        <v>130</v>
      </c>
      <c r="BZ836" s="0" t="s">
        <v>130</v>
      </c>
      <c r="CA836" s="0" t="s">
        <v>130</v>
      </c>
      <c r="CB836" s="0" t="s">
        <v>130</v>
      </c>
      <c r="CC836" s="0" t="s">
        <v>130</v>
      </c>
      <c r="CD836" s="0" t="s">
        <v>130</v>
      </c>
      <c r="CE836" s="0" t="s">
        <v>130</v>
      </c>
      <c r="CF836" s="0" t="s">
        <v>130</v>
      </c>
      <c r="CG836" s="0" t="s">
        <v>130</v>
      </c>
      <c r="CH836" s="0" t="s">
        <v>130</v>
      </c>
      <c r="CI836" s="0" t="s">
        <v>130</v>
      </c>
      <c r="CJ836" s="0" t="s">
        <v>130</v>
      </c>
      <c r="CK836" s="0" t="s">
        <v>130</v>
      </c>
      <c r="CL836" s="0" t="s">
        <v>130</v>
      </c>
      <c r="CM836" s="0" t="s">
        <v>130</v>
      </c>
      <c r="CN836" s="0" t="s">
        <v>130</v>
      </c>
      <c r="CO836" s="0" t="s">
        <v>130</v>
      </c>
      <c r="CP836" s="0" t="s">
        <v>130</v>
      </c>
      <c r="CQ836" s="0" t="s">
        <v>130</v>
      </c>
      <c r="CR836" s="0" t="s">
        <v>130</v>
      </c>
      <c r="CS836" s="0" t="s">
        <v>130</v>
      </c>
      <c r="CT836" s="0" t="s">
        <v>2601</v>
      </c>
    </row>
    <row r="837">
      <c r="A837" s="14">
        <v>115675</v>
      </c>
      <c r="B837" s="0" t="s">
        <v>2585</v>
      </c>
      <c r="C837" s="16">
        <f>HYPERLINK("https://eosportal.federatedhermes.com/companies/Q29tcGFueQppNjI0NzI=", "RWE AG")</f>
      </c>
      <c r="D837" s="0" t="s">
        <v>25</v>
      </c>
      <c r="E837" s="0" t="s">
        <v>773</v>
      </c>
      <c r="F837" s="16">
        <f>HYPERLINK("https://eosportal.federatedhermes.com/engagements/RW5nYWdlbWVudAppMjI0MDY=", "Best practice actions to limit climate change exposure")</f>
      </c>
      <c r="G837" s="14" t="s">
        <v>774</v>
      </c>
      <c r="H837" s="0" t="s">
        <v>141</v>
      </c>
      <c r="I837" s="14" t="s">
        <v>191</v>
      </c>
      <c r="J837" s="0" t="s">
        <v>197</v>
      </c>
      <c r="K837" s="0" t="s">
        <v>198</v>
      </c>
      <c r="L837" s="0" t="s">
        <v>199</v>
      </c>
      <c r="M837" s="0" t="s">
        <v>378</v>
      </c>
      <c r="N837" s="0" t="s">
        <v>2485</v>
      </c>
      <c r="O837" s="0" t="s">
        <v>192</v>
      </c>
      <c r="Q837" s="0" t="s">
        <v>141</v>
      </c>
      <c r="R837" s="0" t="s">
        <v>138</v>
      </c>
      <c r="S837" s="14">
        <v>1</v>
      </c>
      <c r="T837" s="0" t="s">
        <v>314</v>
      </c>
      <c r="U837" s="0" t="s">
        <v>138</v>
      </c>
      <c r="V837" s="14" t="s">
        <v>138</v>
      </c>
      <c r="W837" s="0" t="s">
        <v>138</v>
      </c>
      <c r="X837" s="14" t="s">
        <v>138</v>
      </c>
      <c r="Y837" s="0" t="s">
        <v>138</v>
      </c>
      <c r="Z837" s="14" t="s">
        <v>138</v>
      </c>
      <c r="AA837" s="0" t="s">
        <v>138</v>
      </c>
      <c r="AB837" s="14" t="s">
        <v>138</v>
      </c>
      <c r="AD837" s="0" t="s">
        <v>138</v>
      </c>
      <c r="AF837" s="0">
        <v>0</v>
      </c>
      <c r="AG837" s="0">
        <v>0</v>
      </c>
      <c r="AH837" s="0" t="s">
        <v>140</v>
      </c>
      <c r="AI837" s="0" t="s">
        <v>138</v>
      </c>
      <c r="AK837" s="0" t="s">
        <v>2588</v>
      </c>
      <c r="AL837" s="14"/>
      <c r="AN837" s="14"/>
      <c r="AQ837" s="0" t="s">
        <v>130</v>
      </c>
      <c r="AR837" s="0" t="s">
        <v>130</v>
      </c>
      <c r="AS837" s="0" t="s">
        <v>130</v>
      </c>
      <c r="AT837" s="0" t="s">
        <v>130</v>
      </c>
      <c r="AU837" s="0" t="s">
        <v>130</v>
      </c>
      <c r="AV837" s="0" t="s">
        <v>130</v>
      </c>
      <c r="AW837" s="0" t="s">
        <v>130</v>
      </c>
      <c r="AX837" s="0" t="s">
        <v>130</v>
      </c>
      <c r="AY837" s="0" t="s">
        <v>130</v>
      </c>
      <c r="AZ837" s="0" t="s">
        <v>130</v>
      </c>
      <c r="BA837" s="0" t="s">
        <v>130</v>
      </c>
      <c r="BB837" s="0" t="s">
        <v>141</v>
      </c>
      <c r="BC837" s="0" t="s">
        <v>130</v>
      </c>
      <c r="BD837" s="0" t="s">
        <v>130</v>
      </c>
      <c r="BE837" s="0" t="s">
        <v>130</v>
      </c>
      <c r="BF837" s="0" t="s">
        <v>130</v>
      </c>
      <c r="BG837" s="0" t="s">
        <v>130</v>
      </c>
      <c r="BH837" s="0" t="s">
        <v>130</v>
      </c>
      <c r="BI837" s="0" t="s">
        <v>130</v>
      </c>
      <c r="BJ837" s="0" t="s">
        <v>130</v>
      </c>
      <c r="BK837" s="0" t="s">
        <v>130</v>
      </c>
      <c r="BL837" s="0" t="s">
        <v>130</v>
      </c>
      <c r="BM837" s="0" t="s">
        <v>130</v>
      </c>
      <c r="BN837" s="0" t="s">
        <v>130</v>
      </c>
      <c r="BO837" s="0" t="s">
        <v>130</v>
      </c>
      <c r="BP837" s="0" t="s">
        <v>130</v>
      </c>
      <c r="BQ837" s="0" t="s">
        <v>130</v>
      </c>
      <c r="BR837" s="0" t="s">
        <v>130</v>
      </c>
      <c r="BS837" s="0" t="s">
        <v>130</v>
      </c>
      <c r="BT837" s="0" t="s">
        <v>130</v>
      </c>
      <c r="BU837" s="0" t="s">
        <v>130</v>
      </c>
      <c r="BV837" s="0" t="s">
        <v>130</v>
      </c>
      <c r="BW837" s="0" t="s">
        <v>130</v>
      </c>
      <c r="BX837" s="0" t="s">
        <v>130</v>
      </c>
      <c r="BY837" s="0" t="s">
        <v>130</v>
      </c>
      <c r="BZ837" s="0" t="s">
        <v>130</v>
      </c>
      <c r="CA837" s="0" t="s">
        <v>130</v>
      </c>
      <c r="CB837" s="0" t="s">
        <v>130</v>
      </c>
      <c r="CC837" s="0" t="s">
        <v>130</v>
      </c>
      <c r="CD837" s="0" t="s">
        <v>130</v>
      </c>
      <c r="CE837" s="0" t="s">
        <v>130</v>
      </c>
      <c r="CF837" s="0" t="s">
        <v>130</v>
      </c>
      <c r="CG837" s="0" t="s">
        <v>130</v>
      </c>
      <c r="CH837" s="0" t="s">
        <v>130</v>
      </c>
      <c r="CI837" s="0" t="s">
        <v>130</v>
      </c>
      <c r="CJ837" s="0" t="s">
        <v>130</v>
      </c>
      <c r="CK837" s="0" t="s">
        <v>130</v>
      </c>
      <c r="CL837" s="0" t="s">
        <v>130</v>
      </c>
      <c r="CM837" s="0" t="s">
        <v>130</v>
      </c>
      <c r="CN837" s="0" t="s">
        <v>130</v>
      </c>
      <c r="CO837" s="0" t="s">
        <v>130</v>
      </c>
      <c r="CP837" s="0" t="s">
        <v>130</v>
      </c>
      <c r="CQ837" s="0" t="s">
        <v>130</v>
      </c>
      <c r="CR837" s="0" t="s">
        <v>130</v>
      </c>
      <c r="CS837" s="0" t="s">
        <v>130</v>
      </c>
      <c r="CT837" s="0" t="s">
        <v>2602</v>
      </c>
    </row>
    <row r="838">
      <c r="A838" s="14">
        <v>115679</v>
      </c>
      <c r="B838" s="0" t="s">
        <v>2603</v>
      </c>
      <c r="C838" s="16">
        <f>HYPERLINK("https://eosportal.federatedhermes.com/companies/Q29tcGFueQppNTg5NzU=", "Bayer AG")</f>
      </c>
      <c r="D838" s="0" t="s">
        <v>25</v>
      </c>
      <c r="E838" s="0" t="s">
        <v>2604</v>
      </c>
      <c r="F838" s="16">
        <f>HYPERLINK("https://eosportal.federatedhermes.com/engagements/RW5nYWdlbWVudAppMjI0MDc=", "AMR")</f>
      </c>
      <c r="G838" s="14" t="s">
        <v>2605</v>
      </c>
      <c r="H838" s="0" t="s">
        <v>141</v>
      </c>
      <c r="I838" s="14" t="s">
        <v>1645</v>
      </c>
      <c r="J838" s="0" t="s">
        <v>197</v>
      </c>
      <c r="K838" s="0" t="s">
        <v>337</v>
      </c>
      <c r="L838" s="0" t="s">
        <v>1222</v>
      </c>
      <c r="M838" s="0" t="s">
        <v>378</v>
      </c>
      <c r="N838" s="0" t="s">
        <v>2485</v>
      </c>
      <c r="O838" s="0" t="s">
        <v>274</v>
      </c>
      <c r="Q838" s="0" t="s">
        <v>130</v>
      </c>
      <c r="R838" s="0" t="s">
        <v>138</v>
      </c>
      <c r="S838" s="14">
        <v>0</v>
      </c>
      <c r="T838" s="0" t="s">
        <v>166</v>
      </c>
      <c r="U838" s="0" t="s">
        <v>138</v>
      </c>
      <c r="V838" s="14" t="s">
        <v>138</v>
      </c>
      <c r="W838" s="0" t="s">
        <v>138</v>
      </c>
      <c r="X838" s="14" t="s">
        <v>138</v>
      </c>
      <c r="Y838" s="0" t="s">
        <v>138</v>
      </c>
      <c r="Z838" s="14" t="s">
        <v>138</v>
      </c>
      <c r="AA838" s="0" t="s">
        <v>138</v>
      </c>
      <c r="AB838" s="14" t="s">
        <v>138</v>
      </c>
      <c r="AD838" s="0" t="s">
        <v>138</v>
      </c>
      <c r="AF838" s="0">
        <v>0</v>
      </c>
      <c r="AG838" s="0">
        <v>0</v>
      </c>
      <c r="AH838" s="0" t="s">
        <v>140</v>
      </c>
      <c r="AI838" s="0" t="s">
        <v>138</v>
      </c>
      <c r="AL838" s="14"/>
      <c r="AN838" s="14"/>
      <c r="AQ838" s="0" t="s">
        <v>130</v>
      </c>
      <c r="AR838" s="0" t="s">
        <v>130</v>
      </c>
      <c r="AS838" s="0" t="s">
        <v>130</v>
      </c>
      <c r="AT838" s="0" t="s">
        <v>130</v>
      </c>
      <c r="AU838" s="0" t="s">
        <v>130</v>
      </c>
      <c r="AV838" s="0" t="s">
        <v>130</v>
      </c>
      <c r="AW838" s="0" t="s">
        <v>130</v>
      </c>
      <c r="AX838" s="0" t="s">
        <v>130</v>
      </c>
      <c r="AY838" s="0" t="s">
        <v>130</v>
      </c>
      <c r="AZ838" s="0" t="s">
        <v>130</v>
      </c>
      <c r="BA838" s="0" t="s">
        <v>130</v>
      </c>
      <c r="BB838" s="0" t="s">
        <v>141</v>
      </c>
      <c r="BC838" s="0" t="s">
        <v>130</v>
      </c>
      <c r="BD838" s="0" t="s">
        <v>130</v>
      </c>
      <c r="BE838" s="0" t="s">
        <v>130</v>
      </c>
      <c r="BF838" s="0" t="s">
        <v>130</v>
      </c>
      <c r="BG838" s="0" t="s">
        <v>130</v>
      </c>
      <c r="BH838" s="0" t="s">
        <v>130</v>
      </c>
      <c r="BI838" s="0" t="s">
        <v>130</v>
      </c>
      <c r="BJ838" s="0" t="s">
        <v>130</v>
      </c>
      <c r="BK838" s="0" t="s">
        <v>130</v>
      </c>
      <c r="BL838" s="0" t="s">
        <v>130</v>
      </c>
      <c r="BM838" s="0" t="s">
        <v>130</v>
      </c>
      <c r="BN838" s="0" t="s">
        <v>130</v>
      </c>
      <c r="BO838" s="0" t="s">
        <v>130</v>
      </c>
      <c r="BP838" s="0" t="s">
        <v>130</v>
      </c>
      <c r="BQ838" s="0" t="s">
        <v>130</v>
      </c>
      <c r="BR838" s="0" t="s">
        <v>130</v>
      </c>
      <c r="BS838" s="0" t="s">
        <v>130</v>
      </c>
      <c r="BT838" s="0" t="s">
        <v>130</v>
      </c>
      <c r="BU838" s="0" t="s">
        <v>130</v>
      </c>
      <c r="BV838" s="0" t="s">
        <v>130</v>
      </c>
      <c r="BW838" s="0" t="s">
        <v>130</v>
      </c>
      <c r="BX838" s="0" t="s">
        <v>130</v>
      </c>
      <c r="BY838" s="0" t="s">
        <v>130</v>
      </c>
      <c r="BZ838" s="0" t="s">
        <v>130</v>
      </c>
      <c r="CA838" s="0" t="s">
        <v>130</v>
      </c>
      <c r="CB838" s="0" t="s">
        <v>130</v>
      </c>
      <c r="CC838" s="0" t="s">
        <v>130</v>
      </c>
      <c r="CD838" s="0" t="s">
        <v>130</v>
      </c>
      <c r="CE838" s="0" t="s">
        <v>130</v>
      </c>
      <c r="CF838" s="0" t="s">
        <v>130</v>
      </c>
      <c r="CG838" s="0" t="s">
        <v>130</v>
      </c>
      <c r="CH838" s="0" t="s">
        <v>130</v>
      </c>
      <c r="CI838" s="0" t="s">
        <v>130</v>
      </c>
      <c r="CJ838" s="0" t="s">
        <v>130</v>
      </c>
      <c r="CK838" s="0" t="s">
        <v>130</v>
      </c>
      <c r="CL838" s="0" t="s">
        <v>130</v>
      </c>
      <c r="CM838" s="0" t="s">
        <v>130</v>
      </c>
      <c r="CN838" s="0" t="s">
        <v>130</v>
      </c>
      <c r="CO838" s="0" t="s">
        <v>130</v>
      </c>
      <c r="CP838" s="0" t="s">
        <v>130</v>
      </c>
      <c r="CQ838" s="0" t="s">
        <v>130</v>
      </c>
      <c r="CR838" s="0" t="s">
        <v>130</v>
      </c>
      <c r="CS838" s="0" t="s">
        <v>130</v>
      </c>
      <c r="CT838" s="0" t="s">
        <v>2606</v>
      </c>
    </row>
    <row r="839">
      <c r="A839" s="14">
        <v>115679</v>
      </c>
      <c r="B839" s="0" t="s">
        <v>2603</v>
      </c>
      <c r="C839" s="16">
        <f>HYPERLINK("https://eosportal.federatedhermes.com/companies/Q29tcGFueQppNTg5NzU=", "Bayer AG")</f>
      </c>
      <c r="D839" s="0" t="s">
        <v>25</v>
      </c>
      <c r="E839" s="0" t="s">
        <v>2607</v>
      </c>
      <c r="F839" s="16">
        <f>HYPERLINK("https://eosportal.federatedhermes.com/engagements/RW5nYWdlbWVudAppMjI0MDg=", "Say on Climate - vote on company's net zero transition plan")</f>
      </c>
      <c r="G839" s="14" t="s">
        <v>2608</v>
      </c>
      <c r="H839" s="0" t="s">
        <v>141</v>
      </c>
      <c r="I839" s="14" t="s">
        <v>1645</v>
      </c>
      <c r="J839" s="0" t="s">
        <v>197</v>
      </c>
      <c r="K839" s="0" t="s">
        <v>198</v>
      </c>
      <c r="L839" s="0" t="s">
        <v>199</v>
      </c>
      <c r="M839" s="0" t="s">
        <v>378</v>
      </c>
      <c r="N839" s="0" t="s">
        <v>2485</v>
      </c>
      <c r="O839" s="0" t="s">
        <v>274</v>
      </c>
      <c r="Q839" s="0" t="s">
        <v>141</v>
      </c>
      <c r="R839" s="0" t="s">
        <v>138</v>
      </c>
      <c r="S839" s="14">
        <v>1</v>
      </c>
      <c r="T839" s="0" t="s">
        <v>230</v>
      </c>
      <c r="U839" s="0" t="s">
        <v>138</v>
      </c>
      <c r="V839" s="14" t="s">
        <v>138</v>
      </c>
      <c r="W839" s="0" t="s">
        <v>138</v>
      </c>
      <c r="X839" s="14" t="s">
        <v>138</v>
      </c>
      <c r="Y839" s="0" t="s">
        <v>138</v>
      </c>
      <c r="Z839" s="14" t="s">
        <v>138</v>
      </c>
      <c r="AA839" s="0" t="s">
        <v>138</v>
      </c>
      <c r="AB839" s="14" t="s">
        <v>138</v>
      </c>
      <c r="AD839" s="0" t="s">
        <v>138</v>
      </c>
      <c r="AF839" s="0">
        <v>0</v>
      </c>
      <c r="AG839" s="0">
        <v>0</v>
      </c>
      <c r="AH839" s="0" t="s">
        <v>140</v>
      </c>
      <c r="AI839" s="0" t="s">
        <v>138</v>
      </c>
      <c r="AK839" s="0" t="s">
        <v>2263</v>
      </c>
      <c r="AL839" s="14"/>
      <c r="AN839" s="14"/>
      <c r="AQ839" s="0" t="s">
        <v>130</v>
      </c>
      <c r="AR839" s="0" t="s">
        <v>130</v>
      </c>
      <c r="AS839" s="0" t="s">
        <v>130</v>
      </c>
      <c r="AT839" s="0" t="s">
        <v>130</v>
      </c>
      <c r="AU839" s="0" t="s">
        <v>130</v>
      </c>
      <c r="AV839" s="0" t="s">
        <v>130</v>
      </c>
      <c r="AW839" s="0" t="s">
        <v>130</v>
      </c>
      <c r="AX839" s="0" t="s">
        <v>130</v>
      </c>
      <c r="AY839" s="0" t="s">
        <v>130</v>
      </c>
      <c r="AZ839" s="0" t="s">
        <v>130</v>
      </c>
      <c r="BA839" s="0" t="s">
        <v>130</v>
      </c>
      <c r="BB839" s="0" t="s">
        <v>141</v>
      </c>
      <c r="BC839" s="0" t="s">
        <v>130</v>
      </c>
      <c r="BD839" s="0" t="s">
        <v>130</v>
      </c>
      <c r="BE839" s="0" t="s">
        <v>130</v>
      </c>
      <c r="BF839" s="0" t="s">
        <v>130</v>
      </c>
      <c r="BG839" s="0" t="s">
        <v>130</v>
      </c>
      <c r="BH839" s="0" t="s">
        <v>130</v>
      </c>
      <c r="BI839" s="0" t="s">
        <v>130</v>
      </c>
      <c r="BJ839" s="0" t="s">
        <v>130</v>
      </c>
      <c r="BK839" s="0" t="s">
        <v>130</v>
      </c>
      <c r="BL839" s="0" t="s">
        <v>130</v>
      </c>
      <c r="BM839" s="0" t="s">
        <v>130</v>
      </c>
      <c r="BN839" s="0" t="s">
        <v>130</v>
      </c>
      <c r="BO839" s="0" t="s">
        <v>130</v>
      </c>
      <c r="BP839" s="0" t="s">
        <v>130</v>
      </c>
      <c r="BQ839" s="0" t="s">
        <v>130</v>
      </c>
      <c r="BR839" s="0" t="s">
        <v>130</v>
      </c>
      <c r="BS839" s="0" t="s">
        <v>130</v>
      </c>
      <c r="BT839" s="0" t="s">
        <v>130</v>
      </c>
      <c r="BU839" s="0" t="s">
        <v>130</v>
      </c>
      <c r="BV839" s="0" t="s">
        <v>130</v>
      </c>
      <c r="BW839" s="0" t="s">
        <v>130</v>
      </c>
      <c r="BX839" s="0" t="s">
        <v>130</v>
      </c>
      <c r="BY839" s="0" t="s">
        <v>130</v>
      </c>
      <c r="BZ839" s="0" t="s">
        <v>130</v>
      </c>
      <c r="CA839" s="0" t="s">
        <v>130</v>
      </c>
      <c r="CB839" s="0" t="s">
        <v>130</v>
      </c>
      <c r="CC839" s="0" t="s">
        <v>130</v>
      </c>
      <c r="CD839" s="0" t="s">
        <v>130</v>
      </c>
      <c r="CE839" s="0" t="s">
        <v>130</v>
      </c>
      <c r="CF839" s="0" t="s">
        <v>130</v>
      </c>
      <c r="CG839" s="0" t="s">
        <v>130</v>
      </c>
      <c r="CH839" s="0" t="s">
        <v>130</v>
      </c>
      <c r="CI839" s="0" t="s">
        <v>130</v>
      </c>
      <c r="CJ839" s="0" t="s">
        <v>130</v>
      </c>
      <c r="CK839" s="0" t="s">
        <v>130</v>
      </c>
      <c r="CL839" s="0" t="s">
        <v>130</v>
      </c>
      <c r="CM839" s="0" t="s">
        <v>130</v>
      </c>
      <c r="CN839" s="0" t="s">
        <v>130</v>
      </c>
      <c r="CO839" s="0" t="s">
        <v>130</v>
      </c>
      <c r="CP839" s="0" t="s">
        <v>130</v>
      </c>
      <c r="CQ839" s="0" t="s">
        <v>130</v>
      </c>
      <c r="CR839" s="0" t="s">
        <v>130</v>
      </c>
      <c r="CS839" s="0" t="s">
        <v>130</v>
      </c>
      <c r="CT839" s="0" t="s">
        <v>2609</v>
      </c>
    </row>
    <row r="840">
      <c r="A840" s="14">
        <v>115679</v>
      </c>
      <c r="B840" s="0" t="s">
        <v>2603</v>
      </c>
      <c r="C840" s="16">
        <f>HYPERLINK("https://eosportal.federatedhermes.com/companies/Q29tcGFueQppNTg5NzU=", "Bayer AG")</f>
      </c>
      <c r="D840" s="0" t="s">
        <v>25</v>
      </c>
      <c r="E840" s="0" t="s">
        <v>2511</v>
      </c>
      <c r="F840" s="16">
        <f>HYPERLINK("https://eosportal.federatedhermes.com/engagements/RW5nYWdlbWVudAppMjI0MDk=", "Gender diversity on supervisory board")</f>
      </c>
      <c r="G840" s="14" t="s">
        <v>2610</v>
      </c>
      <c r="H840" s="0" t="s">
        <v>141</v>
      </c>
      <c r="I840" s="14" t="s">
        <v>1645</v>
      </c>
      <c r="J840" s="0" t="s">
        <v>145</v>
      </c>
      <c r="K840" s="0" t="s">
        <v>164</v>
      </c>
      <c r="L840" s="0" t="s">
        <v>165</v>
      </c>
      <c r="M840" s="0" t="s">
        <v>378</v>
      </c>
      <c r="N840" s="0" t="s">
        <v>2485</v>
      </c>
      <c r="O840" s="0" t="s">
        <v>274</v>
      </c>
      <c r="Q840" s="0" t="s">
        <v>130</v>
      </c>
      <c r="R840" s="0" t="s">
        <v>138</v>
      </c>
      <c r="S840" s="14">
        <v>0</v>
      </c>
      <c r="T840" s="0" t="s">
        <v>457</v>
      </c>
      <c r="U840" s="0" t="s">
        <v>138</v>
      </c>
      <c r="V840" s="14" t="s">
        <v>138</v>
      </c>
      <c r="W840" s="0" t="s">
        <v>138</v>
      </c>
      <c r="X840" s="14" t="s">
        <v>138</v>
      </c>
      <c r="Y840" s="0" t="s">
        <v>138</v>
      </c>
      <c r="Z840" s="14" t="s">
        <v>138</v>
      </c>
      <c r="AA840" s="0" t="s">
        <v>138</v>
      </c>
      <c r="AB840" s="14" t="s">
        <v>138</v>
      </c>
      <c r="AD840" s="0" t="s">
        <v>138</v>
      </c>
      <c r="AF840" s="0">
        <v>0</v>
      </c>
      <c r="AG840" s="0">
        <v>0</v>
      </c>
      <c r="AH840" s="0" t="s">
        <v>140</v>
      </c>
      <c r="AI840" s="0" t="s">
        <v>138</v>
      </c>
      <c r="AL840" s="14"/>
      <c r="AN840" s="14"/>
      <c r="AQ840" s="0" t="s">
        <v>130</v>
      </c>
      <c r="AR840" s="0" t="s">
        <v>130</v>
      </c>
      <c r="AS840" s="0" t="s">
        <v>130</v>
      </c>
      <c r="AT840" s="0" t="s">
        <v>130</v>
      </c>
      <c r="AU840" s="0" t="s">
        <v>141</v>
      </c>
      <c r="AV840" s="0" t="s">
        <v>130</v>
      </c>
      <c r="AW840" s="0" t="s">
        <v>130</v>
      </c>
      <c r="AX840" s="0" t="s">
        <v>130</v>
      </c>
      <c r="AY840" s="0" t="s">
        <v>130</v>
      </c>
      <c r="AZ840" s="0" t="s">
        <v>130</v>
      </c>
      <c r="BA840" s="0" t="s">
        <v>130</v>
      </c>
      <c r="BB840" s="0" t="s">
        <v>130</v>
      </c>
      <c r="BC840" s="0" t="s">
        <v>130</v>
      </c>
      <c r="BD840" s="0" t="s">
        <v>130</v>
      </c>
      <c r="BE840" s="0" t="s">
        <v>130</v>
      </c>
      <c r="BF840" s="0" t="s">
        <v>130</v>
      </c>
      <c r="BG840" s="0" t="s">
        <v>130</v>
      </c>
      <c r="BH840" s="0" t="s">
        <v>130</v>
      </c>
      <c r="BI840" s="0" t="s">
        <v>130</v>
      </c>
      <c r="BJ840" s="0" t="s">
        <v>130</v>
      </c>
      <c r="BK840" s="0" t="s">
        <v>130</v>
      </c>
      <c r="BL840" s="0" t="s">
        <v>130</v>
      </c>
      <c r="BM840" s="0" t="s">
        <v>130</v>
      </c>
      <c r="BN840" s="0" t="s">
        <v>130</v>
      </c>
      <c r="BO840" s="0" t="s">
        <v>130</v>
      </c>
      <c r="BP840" s="0" t="s">
        <v>130</v>
      </c>
      <c r="BQ840" s="0" t="s">
        <v>130</v>
      </c>
      <c r="BR840" s="0" t="s">
        <v>130</v>
      </c>
      <c r="BS840" s="0" t="s">
        <v>130</v>
      </c>
      <c r="BT840" s="0" t="s">
        <v>130</v>
      </c>
      <c r="BU840" s="0" t="s">
        <v>130</v>
      </c>
      <c r="BV840" s="0" t="s">
        <v>130</v>
      </c>
      <c r="BW840" s="0" t="s">
        <v>130</v>
      </c>
      <c r="BX840" s="0" t="s">
        <v>130</v>
      </c>
      <c r="BY840" s="0" t="s">
        <v>130</v>
      </c>
      <c r="BZ840" s="0" t="s">
        <v>130</v>
      </c>
      <c r="CA840" s="0" t="s">
        <v>130</v>
      </c>
      <c r="CB840" s="0" t="s">
        <v>130</v>
      </c>
      <c r="CC840" s="0" t="s">
        <v>130</v>
      </c>
      <c r="CD840" s="0" t="s">
        <v>130</v>
      </c>
      <c r="CE840" s="0" t="s">
        <v>130</v>
      </c>
      <c r="CF840" s="0" t="s">
        <v>130</v>
      </c>
      <c r="CG840" s="0" t="s">
        <v>130</v>
      </c>
      <c r="CH840" s="0" t="s">
        <v>130</v>
      </c>
      <c r="CI840" s="0" t="s">
        <v>130</v>
      </c>
      <c r="CJ840" s="0" t="s">
        <v>130</v>
      </c>
      <c r="CK840" s="0" t="s">
        <v>130</v>
      </c>
      <c r="CL840" s="0" t="s">
        <v>130</v>
      </c>
      <c r="CM840" s="0" t="s">
        <v>130</v>
      </c>
      <c r="CN840" s="0" t="s">
        <v>130</v>
      </c>
      <c r="CO840" s="0" t="s">
        <v>130</v>
      </c>
      <c r="CP840" s="0" t="s">
        <v>130</v>
      </c>
      <c r="CQ840" s="0" t="s">
        <v>130</v>
      </c>
      <c r="CR840" s="0" t="s">
        <v>130</v>
      </c>
      <c r="CS840" s="0" t="s">
        <v>130</v>
      </c>
      <c r="CT840" s="0" t="s">
        <v>2611</v>
      </c>
    </row>
    <row r="841">
      <c r="A841" s="14">
        <v>115679</v>
      </c>
      <c r="B841" s="0" t="s">
        <v>2603</v>
      </c>
      <c r="C841" s="16">
        <f>HYPERLINK("https://eosportal.federatedhermes.com/companies/Q29tcGFueQppNTg5NzU=", "Bayer AG")</f>
      </c>
      <c r="D841" s="0" t="s">
        <v>25</v>
      </c>
      <c r="E841" s="0" t="s">
        <v>2612</v>
      </c>
      <c r="F841" s="16">
        <f>HYPERLINK("https://eosportal.federatedhermes.com/engagements/RW5nYWdlbWVudAppMjI0MTI=", "Terms of proposed acquisition")</f>
      </c>
      <c r="G841" s="14" t="s">
        <v>2613</v>
      </c>
      <c r="H841" s="0" t="s">
        <v>141</v>
      </c>
      <c r="I841" s="14" t="s">
        <v>1645</v>
      </c>
      <c r="J841" s="0" t="s">
        <v>145</v>
      </c>
      <c r="K841" s="0" t="s">
        <v>400</v>
      </c>
      <c r="L841" s="0" t="s">
        <v>507</v>
      </c>
      <c r="M841" s="0" t="s">
        <v>378</v>
      </c>
      <c r="N841" s="0" t="s">
        <v>2485</v>
      </c>
      <c r="O841" s="0" t="s">
        <v>274</v>
      </c>
      <c r="Q841" s="0" t="s">
        <v>130</v>
      </c>
      <c r="R841" s="0" t="s">
        <v>138</v>
      </c>
      <c r="S841" s="14">
        <v>0</v>
      </c>
      <c r="T841" s="0" t="s">
        <v>416</v>
      </c>
      <c r="U841" s="0" t="s">
        <v>138</v>
      </c>
      <c r="V841" s="14" t="s">
        <v>138</v>
      </c>
      <c r="W841" s="0" t="s">
        <v>138</v>
      </c>
      <c r="X841" s="14" t="s">
        <v>138</v>
      </c>
      <c r="Y841" s="0" t="s">
        <v>138</v>
      </c>
      <c r="Z841" s="14" t="s">
        <v>138</v>
      </c>
      <c r="AA841" s="0" t="s">
        <v>138</v>
      </c>
      <c r="AB841" s="14" t="s">
        <v>138</v>
      </c>
      <c r="AD841" s="0" t="s">
        <v>138</v>
      </c>
      <c r="AF841" s="0">
        <v>0</v>
      </c>
      <c r="AG841" s="0">
        <v>0</v>
      </c>
      <c r="AH841" s="0" t="s">
        <v>140</v>
      </c>
      <c r="AI841" s="0" t="s">
        <v>138</v>
      </c>
      <c r="AL841" s="14"/>
      <c r="AN841" s="14"/>
      <c r="AQ841" s="0" t="s">
        <v>130</v>
      </c>
      <c r="AR841" s="0" t="s">
        <v>130</v>
      </c>
      <c r="AS841" s="0" t="s">
        <v>130</v>
      </c>
      <c r="AT841" s="0" t="s">
        <v>130</v>
      </c>
      <c r="AU841" s="0" t="s">
        <v>130</v>
      </c>
      <c r="AV841" s="0" t="s">
        <v>130</v>
      </c>
      <c r="AW841" s="0" t="s">
        <v>130</v>
      </c>
      <c r="AX841" s="0" t="s">
        <v>130</v>
      </c>
      <c r="AY841" s="0" t="s">
        <v>130</v>
      </c>
      <c r="AZ841" s="0" t="s">
        <v>130</v>
      </c>
      <c r="BA841" s="0" t="s">
        <v>130</v>
      </c>
      <c r="BB841" s="0" t="s">
        <v>130</v>
      </c>
      <c r="BC841" s="0" t="s">
        <v>130</v>
      </c>
      <c r="BD841" s="0" t="s">
        <v>130</v>
      </c>
      <c r="BE841" s="0" t="s">
        <v>130</v>
      </c>
      <c r="BF841" s="0" t="s">
        <v>130</v>
      </c>
      <c r="BG841" s="0" t="s">
        <v>130</v>
      </c>
      <c r="BH841" s="0" t="s">
        <v>130</v>
      </c>
      <c r="BI841" s="0" t="s">
        <v>130</v>
      </c>
      <c r="BJ841" s="0" t="s">
        <v>130</v>
      </c>
      <c r="BK841" s="0" t="s">
        <v>130</v>
      </c>
      <c r="BL841" s="0" t="s">
        <v>130</v>
      </c>
      <c r="BM841" s="0" t="s">
        <v>130</v>
      </c>
      <c r="BN841" s="0" t="s">
        <v>130</v>
      </c>
      <c r="BO841" s="0" t="s">
        <v>130</v>
      </c>
      <c r="BP841" s="0" t="s">
        <v>130</v>
      </c>
      <c r="BQ841" s="0" t="s">
        <v>130</v>
      </c>
      <c r="BR841" s="0" t="s">
        <v>130</v>
      </c>
      <c r="BS841" s="0" t="s">
        <v>130</v>
      </c>
      <c r="BT841" s="0" t="s">
        <v>130</v>
      </c>
      <c r="BU841" s="0" t="s">
        <v>130</v>
      </c>
      <c r="BV841" s="0" t="s">
        <v>130</v>
      </c>
      <c r="BW841" s="0" t="s">
        <v>130</v>
      </c>
      <c r="BX841" s="0" t="s">
        <v>130</v>
      </c>
      <c r="BY841" s="0" t="s">
        <v>130</v>
      </c>
      <c r="BZ841" s="0" t="s">
        <v>130</v>
      </c>
      <c r="CA841" s="0" t="s">
        <v>130</v>
      </c>
      <c r="CB841" s="0" t="s">
        <v>130</v>
      </c>
      <c r="CC841" s="0" t="s">
        <v>130</v>
      </c>
      <c r="CD841" s="0" t="s">
        <v>130</v>
      </c>
      <c r="CE841" s="0" t="s">
        <v>130</v>
      </c>
      <c r="CF841" s="0" t="s">
        <v>130</v>
      </c>
      <c r="CG841" s="0" t="s">
        <v>130</v>
      </c>
      <c r="CH841" s="0" t="s">
        <v>130</v>
      </c>
      <c r="CI841" s="0" t="s">
        <v>130</v>
      </c>
      <c r="CJ841" s="0" t="s">
        <v>130</v>
      </c>
      <c r="CK841" s="0" t="s">
        <v>130</v>
      </c>
      <c r="CL841" s="0" t="s">
        <v>130</v>
      </c>
      <c r="CM841" s="0" t="s">
        <v>130</v>
      </c>
      <c r="CN841" s="0" t="s">
        <v>130</v>
      </c>
      <c r="CO841" s="0" t="s">
        <v>130</v>
      </c>
      <c r="CP841" s="0" t="s">
        <v>130</v>
      </c>
      <c r="CQ841" s="0" t="s">
        <v>130</v>
      </c>
      <c r="CR841" s="0" t="s">
        <v>130</v>
      </c>
      <c r="CS841" s="0" t="s">
        <v>130</v>
      </c>
      <c r="CT841" s="0" t="s">
        <v>2614</v>
      </c>
    </row>
    <row r="842">
      <c r="A842" s="14">
        <v>115679</v>
      </c>
      <c r="B842" s="0" t="s">
        <v>2603</v>
      </c>
      <c r="C842" s="16">
        <f>HYPERLINK("https://eosportal.federatedhermes.com/companies/Q29tcGFueQppNTg5NzU=", "Bayer AG")</f>
      </c>
      <c r="D842" s="0" t="s">
        <v>25</v>
      </c>
      <c r="E842" s="0" t="s">
        <v>1922</v>
      </c>
      <c r="F842" s="16">
        <f>HYPERLINK("https://eosportal.federatedhermes.com/engagements/RW5nYWdlbWVudAppMjI0MTM=", "Tax")</f>
      </c>
      <c r="G842" s="14" t="s">
        <v>2615</v>
      </c>
      <c r="H842" s="0" t="s">
        <v>141</v>
      </c>
      <c r="I842" s="14" t="s">
        <v>1645</v>
      </c>
      <c r="J842" s="0" t="s">
        <v>153</v>
      </c>
      <c r="K842" s="0" t="s">
        <v>185</v>
      </c>
      <c r="L842" s="0" t="s">
        <v>548</v>
      </c>
      <c r="M842" s="0" t="s">
        <v>378</v>
      </c>
      <c r="N842" s="0" t="s">
        <v>2485</v>
      </c>
      <c r="O842" s="0" t="s">
        <v>274</v>
      </c>
      <c r="Q842" s="0" t="s">
        <v>130</v>
      </c>
      <c r="R842" s="0" t="s">
        <v>138</v>
      </c>
      <c r="S842" s="14">
        <v>0</v>
      </c>
      <c r="T842" s="0" t="s">
        <v>333</v>
      </c>
      <c r="U842" s="0" t="s">
        <v>138</v>
      </c>
      <c r="V842" s="14" t="s">
        <v>138</v>
      </c>
      <c r="W842" s="0" t="s">
        <v>138</v>
      </c>
      <c r="X842" s="14" t="s">
        <v>138</v>
      </c>
      <c r="Y842" s="0" t="s">
        <v>138</v>
      </c>
      <c r="Z842" s="14" t="s">
        <v>138</v>
      </c>
      <c r="AA842" s="0" t="s">
        <v>138</v>
      </c>
      <c r="AB842" s="14" t="s">
        <v>138</v>
      </c>
      <c r="AD842" s="0" t="s">
        <v>138</v>
      </c>
      <c r="AF842" s="0">
        <v>0</v>
      </c>
      <c r="AG842" s="0">
        <v>0</v>
      </c>
      <c r="AH842" s="0" t="s">
        <v>140</v>
      </c>
      <c r="AI842" s="0" t="s">
        <v>138</v>
      </c>
      <c r="AL842" s="14"/>
      <c r="AN842" s="14"/>
      <c r="AQ842" s="0" t="s">
        <v>130</v>
      </c>
      <c r="AR842" s="0" t="s">
        <v>130</v>
      </c>
      <c r="AS842" s="0" t="s">
        <v>130</v>
      </c>
      <c r="AT842" s="0" t="s">
        <v>130</v>
      </c>
      <c r="AU842" s="0" t="s">
        <v>130</v>
      </c>
      <c r="AV842" s="0" t="s">
        <v>130</v>
      </c>
      <c r="AW842" s="0" t="s">
        <v>130</v>
      </c>
      <c r="AX842" s="0" t="s">
        <v>130</v>
      </c>
      <c r="AY842" s="0" t="s">
        <v>130</v>
      </c>
      <c r="AZ842" s="0" t="s">
        <v>130</v>
      </c>
      <c r="BA842" s="0" t="s">
        <v>130</v>
      </c>
      <c r="BB842" s="0" t="s">
        <v>130</v>
      </c>
      <c r="BC842" s="0" t="s">
        <v>130</v>
      </c>
      <c r="BD842" s="0" t="s">
        <v>130</v>
      </c>
      <c r="BE842" s="0" t="s">
        <v>130</v>
      </c>
      <c r="BF842" s="0" t="s">
        <v>130</v>
      </c>
      <c r="BG842" s="0" t="s">
        <v>141</v>
      </c>
      <c r="BH842" s="0" t="s">
        <v>130</v>
      </c>
      <c r="BI842" s="0" t="s">
        <v>130</v>
      </c>
      <c r="BJ842" s="0" t="s">
        <v>130</v>
      </c>
      <c r="BK842" s="0" t="s">
        <v>130</v>
      </c>
      <c r="BL842" s="0" t="s">
        <v>130</v>
      </c>
      <c r="BM842" s="0" t="s">
        <v>130</v>
      </c>
      <c r="BN842" s="0" t="s">
        <v>130</v>
      </c>
      <c r="BO842" s="0" t="s">
        <v>130</v>
      </c>
      <c r="BP842" s="0" t="s">
        <v>130</v>
      </c>
      <c r="BQ842" s="0" t="s">
        <v>130</v>
      </c>
      <c r="BR842" s="0" t="s">
        <v>130</v>
      </c>
      <c r="BS842" s="0" t="s">
        <v>130</v>
      </c>
      <c r="BT842" s="0" t="s">
        <v>130</v>
      </c>
      <c r="BU842" s="0" t="s">
        <v>130</v>
      </c>
      <c r="BV842" s="0" t="s">
        <v>130</v>
      </c>
      <c r="BW842" s="0" t="s">
        <v>130</v>
      </c>
      <c r="BX842" s="0" t="s">
        <v>130</v>
      </c>
      <c r="BY842" s="0" t="s">
        <v>130</v>
      </c>
      <c r="BZ842" s="0" t="s">
        <v>130</v>
      </c>
      <c r="CA842" s="0" t="s">
        <v>130</v>
      </c>
      <c r="CB842" s="0" t="s">
        <v>130</v>
      </c>
      <c r="CC842" s="0" t="s">
        <v>130</v>
      </c>
      <c r="CD842" s="0" t="s">
        <v>130</v>
      </c>
      <c r="CE842" s="0" t="s">
        <v>130</v>
      </c>
      <c r="CF842" s="0" t="s">
        <v>130</v>
      </c>
      <c r="CG842" s="0" t="s">
        <v>130</v>
      </c>
      <c r="CH842" s="0" t="s">
        <v>130</v>
      </c>
      <c r="CI842" s="0" t="s">
        <v>130</v>
      </c>
      <c r="CJ842" s="0" t="s">
        <v>130</v>
      </c>
      <c r="CK842" s="0" t="s">
        <v>130</v>
      </c>
      <c r="CL842" s="0" t="s">
        <v>130</v>
      </c>
      <c r="CM842" s="0" t="s">
        <v>130</v>
      </c>
      <c r="CN842" s="0" t="s">
        <v>130</v>
      </c>
      <c r="CO842" s="0" t="s">
        <v>130</v>
      </c>
      <c r="CP842" s="0" t="s">
        <v>130</v>
      </c>
      <c r="CQ842" s="0" t="s">
        <v>130</v>
      </c>
      <c r="CR842" s="0" t="s">
        <v>130</v>
      </c>
      <c r="CS842" s="0" t="s">
        <v>130</v>
      </c>
      <c r="CT842" s="0" t="s">
        <v>2616</v>
      </c>
    </row>
    <row r="843">
      <c r="A843" s="14">
        <v>115679</v>
      </c>
      <c r="B843" s="0" t="s">
        <v>2603</v>
      </c>
      <c r="C843" s="16">
        <f>HYPERLINK("https://eosportal.federatedhermes.com/companies/Q29tcGFueQppNTg5NzU=", "Bayer AG")</f>
      </c>
      <c r="D843" s="0" t="s">
        <v>25</v>
      </c>
      <c r="E843" s="0" t="s">
        <v>2617</v>
      </c>
      <c r="F843" s="16">
        <f>HYPERLINK("https://eosportal.federatedhermes.com/engagements/RW5nYWdlbWVudAppMjI0MjE=", "health &amp; safety")</f>
      </c>
      <c r="G843" s="14" t="s">
        <v>2618</v>
      </c>
      <c r="H843" s="0" t="s">
        <v>141</v>
      </c>
      <c r="I843" s="14" t="s">
        <v>1645</v>
      </c>
      <c r="J843" s="0" t="s">
        <v>153</v>
      </c>
      <c r="K843" s="0" t="s">
        <v>154</v>
      </c>
      <c r="L843" s="0" t="s">
        <v>155</v>
      </c>
      <c r="M843" s="0" t="s">
        <v>378</v>
      </c>
      <c r="N843" s="0" t="s">
        <v>2485</v>
      </c>
      <c r="O843" s="0" t="s">
        <v>274</v>
      </c>
      <c r="Q843" s="0" t="s">
        <v>130</v>
      </c>
      <c r="R843" s="0" t="s">
        <v>138</v>
      </c>
      <c r="S843" s="14">
        <v>0</v>
      </c>
      <c r="T843" s="0" t="s">
        <v>166</v>
      </c>
      <c r="U843" s="0" t="s">
        <v>138</v>
      </c>
      <c r="V843" s="14" t="s">
        <v>138</v>
      </c>
      <c r="W843" s="0" t="s">
        <v>138</v>
      </c>
      <c r="X843" s="14" t="s">
        <v>138</v>
      </c>
      <c r="Y843" s="0" t="s">
        <v>138</v>
      </c>
      <c r="Z843" s="14" t="s">
        <v>138</v>
      </c>
      <c r="AA843" s="0" t="s">
        <v>138</v>
      </c>
      <c r="AB843" s="14" t="s">
        <v>138</v>
      </c>
      <c r="AD843" s="0" t="s">
        <v>138</v>
      </c>
      <c r="AF843" s="0">
        <v>0</v>
      </c>
      <c r="AG843" s="0">
        <v>0</v>
      </c>
      <c r="AH843" s="0" t="s">
        <v>140</v>
      </c>
      <c r="AI843" s="0" t="s">
        <v>138</v>
      </c>
      <c r="AL843" s="14"/>
      <c r="AN843" s="14"/>
      <c r="AQ843" s="0" t="s">
        <v>130</v>
      </c>
      <c r="AR843" s="0" t="s">
        <v>130</v>
      </c>
      <c r="AS843" s="0" t="s">
        <v>130</v>
      </c>
      <c r="AT843" s="0" t="s">
        <v>130</v>
      </c>
      <c r="AU843" s="0" t="s">
        <v>130</v>
      </c>
      <c r="AV843" s="0" t="s">
        <v>130</v>
      </c>
      <c r="AW843" s="0" t="s">
        <v>130</v>
      </c>
      <c r="AX843" s="0" t="s">
        <v>141</v>
      </c>
      <c r="AY843" s="0" t="s">
        <v>130</v>
      </c>
      <c r="AZ843" s="0" t="s">
        <v>130</v>
      </c>
      <c r="BA843" s="0" t="s">
        <v>130</v>
      </c>
      <c r="BB843" s="0" t="s">
        <v>130</v>
      </c>
      <c r="BC843" s="0" t="s">
        <v>130</v>
      </c>
      <c r="BD843" s="0" t="s">
        <v>130</v>
      </c>
      <c r="BE843" s="0" t="s">
        <v>130</v>
      </c>
      <c r="BF843" s="0" t="s">
        <v>130</v>
      </c>
      <c r="BG843" s="0" t="s">
        <v>130</v>
      </c>
      <c r="BH843" s="0" t="s">
        <v>130</v>
      </c>
      <c r="BI843" s="0" t="s">
        <v>130</v>
      </c>
      <c r="BJ843" s="0" t="s">
        <v>130</v>
      </c>
      <c r="BK843" s="0" t="s">
        <v>130</v>
      </c>
      <c r="BL843" s="0" t="s">
        <v>130</v>
      </c>
      <c r="BM843" s="0" t="s">
        <v>130</v>
      </c>
      <c r="BN843" s="0" t="s">
        <v>130</v>
      </c>
      <c r="BO843" s="0" t="s">
        <v>130</v>
      </c>
      <c r="BP843" s="0" t="s">
        <v>130</v>
      </c>
      <c r="BQ843" s="0" t="s">
        <v>130</v>
      </c>
      <c r="BR843" s="0" t="s">
        <v>130</v>
      </c>
      <c r="BS843" s="0" t="s">
        <v>130</v>
      </c>
      <c r="BT843" s="0" t="s">
        <v>130</v>
      </c>
      <c r="BU843" s="0" t="s">
        <v>130</v>
      </c>
      <c r="BV843" s="0" t="s">
        <v>130</v>
      </c>
      <c r="BW843" s="0" t="s">
        <v>130</v>
      </c>
      <c r="BX843" s="0" t="s">
        <v>130</v>
      </c>
      <c r="BY843" s="0" t="s">
        <v>130</v>
      </c>
      <c r="BZ843" s="0" t="s">
        <v>130</v>
      </c>
      <c r="CA843" s="0" t="s">
        <v>130</v>
      </c>
      <c r="CB843" s="0" t="s">
        <v>130</v>
      </c>
      <c r="CC843" s="0" t="s">
        <v>130</v>
      </c>
      <c r="CD843" s="0" t="s">
        <v>130</v>
      </c>
      <c r="CE843" s="0" t="s">
        <v>130</v>
      </c>
      <c r="CF843" s="0" t="s">
        <v>130</v>
      </c>
      <c r="CG843" s="0" t="s">
        <v>130</v>
      </c>
      <c r="CH843" s="0" t="s">
        <v>130</v>
      </c>
      <c r="CI843" s="0" t="s">
        <v>141</v>
      </c>
      <c r="CJ843" s="0" t="s">
        <v>130</v>
      </c>
      <c r="CK843" s="0" t="s">
        <v>130</v>
      </c>
      <c r="CL843" s="0" t="s">
        <v>130</v>
      </c>
      <c r="CM843" s="0" t="s">
        <v>130</v>
      </c>
      <c r="CN843" s="0" t="s">
        <v>130</v>
      </c>
      <c r="CO843" s="0" t="s">
        <v>130</v>
      </c>
      <c r="CP843" s="0" t="s">
        <v>130</v>
      </c>
      <c r="CQ843" s="0" t="s">
        <v>130</v>
      </c>
      <c r="CR843" s="0" t="s">
        <v>130</v>
      </c>
      <c r="CS843" s="0" t="s">
        <v>130</v>
      </c>
      <c r="CT843" s="0" t="s">
        <v>2619</v>
      </c>
    </row>
    <row r="844">
      <c r="A844" s="14">
        <v>115682</v>
      </c>
      <c r="B844" s="0" t="s">
        <v>2620</v>
      </c>
      <c r="C844" s="16">
        <f>HYPERLINK("https://eosportal.federatedhermes.com/companies/Q29tcGFueQppNTMxNDc=", "Bayerische Motoren Werke AG (BMW)")</f>
      </c>
      <c r="D844" s="0" t="s">
        <v>25</v>
      </c>
      <c r="E844" s="0" t="s">
        <v>2621</v>
      </c>
      <c r="F844" s="16">
        <f>HYPERLINK("https://eosportal.federatedhermes.com/engagements/RW5nYWdlbWVudAppMjI0MjM=", "Bayerische Motoren Werke AG-Strategy &amp; Risk-Board Structure")</f>
      </c>
      <c r="G844" s="14" t="s">
        <v>2622</v>
      </c>
      <c r="H844" s="0" t="s">
        <v>141</v>
      </c>
      <c r="I844" s="14" t="s">
        <v>1645</v>
      </c>
      <c r="J844" s="0" t="s">
        <v>132</v>
      </c>
      <c r="K844" s="0" t="s">
        <v>133</v>
      </c>
      <c r="L844" s="0" t="s">
        <v>160</v>
      </c>
      <c r="M844" s="0" t="s">
        <v>378</v>
      </c>
      <c r="N844" s="0" t="s">
        <v>2485</v>
      </c>
      <c r="O844" s="0" t="s">
        <v>425</v>
      </c>
      <c r="Q844" s="0" t="s">
        <v>130</v>
      </c>
      <c r="R844" s="0" t="s">
        <v>138</v>
      </c>
      <c r="S844" s="14">
        <v>0</v>
      </c>
      <c r="T844" s="0" t="s">
        <v>1321</v>
      </c>
      <c r="U844" s="0" t="s">
        <v>138</v>
      </c>
      <c r="V844" s="14" t="s">
        <v>138</v>
      </c>
      <c r="W844" s="0" t="s">
        <v>138</v>
      </c>
      <c r="X844" s="14" t="s">
        <v>138</v>
      </c>
      <c r="Y844" s="0" t="s">
        <v>138</v>
      </c>
      <c r="Z844" s="14" t="s">
        <v>138</v>
      </c>
      <c r="AA844" s="0" t="s">
        <v>138</v>
      </c>
      <c r="AB844" s="14" t="s">
        <v>138</v>
      </c>
      <c r="AD844" s="0" t="s">
        <v>138</v>
      </c>
      <c r="AF844" s="0">
        <v>0</v>
      </c>
      <c r="AG844" s="0">
        <v>0</v>
      </c>
      <c r="AH844" s="0" t="s">
        <v>140</v>
      </c>
      <c r="AI844" s="0" t="s">
        <v>138</v>
      </c>
      <c r="AL844" s="14"/>
      <c r="AN844" s="14"/>
      <c r="AQ844" s="0" t="s">
        <v>130</v>
      </c>
      <c r="AR844" s="0" t="s">
        <v>130</v>
      </c>
      <c r="AS844" s="0" t="s">
        <v>130</v>
      </c>
      <c r="AT844" s="0" t="s">
        <v>130</v>
      </c>
      <c r="AU844" s="0" t="s">
        <v>130</v>
      </c>
      <c r="AV844" s="0" t="s">
        <v>130</v>
      </c>
      <c r="AW844" s="0" t="s">
        <v>130</v>
      </c>
      <c r="AX844" s="0" t="s">
        <v>130</v>
      </c>
      <c r="AY844" s="0" t="s">
        <v>130</v>
      </c>
      <c r="AZ844" s="0" t="s">
        <v>130</v>
      </c>
      <c r="BA844" s="0" t="s">
        <v>130</v>
      </c>
      <c r="BB844" s="0" t="s">
        <v>130</v>
      </c>
      <c r="BC844" s="0" t="s">
        <v>130</v>
      </c>
      <c r="BD844" s="0" t="s">
        <v>130</v>
      </c>
      <c r="BE844" s="0" t="s">
        <v>130</v>
      </c>
      <c r="BF844" s="0" t="s">
        <v>130</v>
      </c>
      <c r="BG844" s="0" t="s">
        <v>130</v>
      </c>
      <c r="BH844" s="0" t="s">
        <v>130</v>
      </c>
      <c r="BI844" s="0" t="s">
        <v>130</v>
      </c>
      <c r="BJ844" s="0" t="s">
        <v>130</v>
      </c>
      <c r="BK844" s="0" t="s">
        <v>130</v>
      </c>
      <c r="BL844" s="0" t="s">
        <v>130</v>
      </c>
      <c r="BM844" s="0" t="s">
        <v>130</v>
      </c>
      <c r="BN844" s="0" t="s">
        <v>130</v>
      </c>
      <c r="BO844" s="0" t="s">
        <v>130</v>
      </c>
      <c r="BP844" s="0" t="s">
        <v>130</v>
      </c>
      <c r="BQ844" s="0" t="s">
        <v>130</v>
      </c>
      <c r="BR844" s="0" t="s">
        <v>130</v>
      </c>
      <c r="BS844" s="0" t="s">
        <v>130</v>
      </c>
      <c r="BT844" s="0" t="s">
        <v>130</v>
      </c>
      <c r="BU844" s="0" t="s">
        <v>130</v>
      </c>
      <c r="BV844" s="0" t="s">
        <v>130</v>
      </c>
      <c r="BW844" s="0" t="s">
        <v>130</v>
      </c>
      <c r="BX844" s="0" t="s">
        <v>130</v>
      </c>
      <c r="BY844" s="0" t="s">
        <v>130</v>
      </c>
      <c r="BZ844" s="0" t="s">
        <v>130</v>
      </c>
      <c r="CA844" s="0" t="s">
        <v>130</v>
      </c>
      <c r="CB844" s="0" t="s">
        <v>130</v>
      </c>
      <c r="CC844" s="0" t="s">
        <v>130</v>
      </c>
      <c r="CD844" s="0" t="s">
        <v>130</v>
      </c>
      <c r="CE844" s="0" t="s">
        <v>130</v>
      </c>
      <c r="CF844" s="0" t="s">
        <v>130</v>
      </c>
      <c r="CG844" s="0" t="s">
        <v>130</v>
      </c>
      <c r="CH844" s="0" t="s">
        <v>130</v>
      </c>
      <c r="CI844" s="0" t="s">
        <v>130</v>
      </c>
      <c r="CJ844" s="0" t="s">
        <v>130</v>
      </c>
      <c r="CK844" s="0" t="s">
        <v>130</v>
      </c>
      <c r="CL844" s="0" t="s">
        <v>130</v>
      </c>
      <c r="CM844" s="0" t="s">
        <v>130</v>
      </c>
      <c r="CN844" s="0" t="s">
        <v>130</v>
      </c>
      <c r="CO844" s="0" t="s">
        <v>130</v>
      </c>
      <c r="CP844" s="0" t="s">
        <v>130</v>
      </c>
      <c r="CQ844" s="0" t="s">
        <v>130</v>
      </c>
      <c r="CR844" s="0" t="s">
        <v>130</v>
      </c>
      <c r="CS844" s="0" t="s">
        <v>130</v>
      </c>
      <c r="CT844" s="0" t="s">
        <v>2623</v>
      </c>
    </row>
    <row r="845">
      <c r="A845" s="14">
        <v>115682</v>
      </c>
      <c r="B845" s="0" t="s">
        <v>2620</v>
      </c>
      <c r="C845" s="16">
        <f>HYPERLINK("https://eosportal.federatedhermes.com/companies/Q29tcGFueQppNTMxNDc=", "Bayerische Motoren Werke AG (BMW)")</f>
      </c>
      <c r="D845" s="0" t="s">
        <v>25</v>
      </c>
      <c r="E845" s="0" t="s">
        <v>2624</v>
      </c>
      <c r="F845" s="16">
        <f>HYPERLINK("https://eosportal.federatedhermes.com/engagements/RW5nYWdlbWVudAppMjI0MjQ=", "Alternative drive technologies")</f>
      </c>
      <c r="G845" s="14" t="s">
        <v>2625</v>
      </c>
      <c r="H845" s="0" t="s">
        <v>141</v>
      </c>
      <c r="I845" s="14" t="s">
        <v>1645</v>
      </c>
      <c r="J845" s="0" t="s">
        <v>197</v>
      </c>
      <c r="K845" s="0" t="s">
        <v>198</v>
      </c>
      <c r="L845" s="0" t="s">
        <v>220</v>
      </c>
      <c r="M845" s="0" t="s">
        <v>378</v>
      </c>
      <c r="N845" s="0" t="s">
        <v>2485</v>
      </c>
      <c r="O845" s="0" t="s">
        <v>425</v>
      </c>
      <c r="Q845" s="0" t="s">
        <v>141</v>
      </c>
      <c r="R845" s="0" t="s">
        <v>138</v>
      </c>
      <c r="S845" s="14">
        <v>1</v>
      </c>
      <c r="T845" s="0" t="s">
        <v>390</v>
      </c>
      <c r="U845" s="0" t="s">
        <v>138</v>
      </c>
      <c r="V845" s="14" t="s">
        <v>138</v>
      </c>
      <c r="W845" s="0" t="s">
        <v>138</v>
      </c>
      <c r="X845" s="14" t="s">
        <v>138</v>
      </c>
      <c r="Y845" s="0" t="s">
        <v>138</v>
      </c>
      <c r="Z845" s="14" t="s">
        <v>138</v>
      </c>
      <c r="AA845" s="0" t="s">
        <v>138</v>
      </c>
      <c r="AB845" s="14" t="s">
        <v>138</v>
      </c>
      <c r="AD845" s="0" t="s">
        <v>138</v>
      </c>
      <c r="AF845" s="0">
        <v>0</v>
      </c>
      <c r="AG845" s="0">
        <v>0</v>
      </c>
      <c r="AH845" s="0" t="s">
        <v>140</v>
      </c>
      <c r="AI845" s="0" t="s">
        <v>138</v>
      </c>
      <c r="AK845" s="0" t="s">
        <v>1289</v>
      </c>
      <c r="AL845" s="14"/>
      <c r="AN845" s="14"/>
      <c r="AQ845" s="0" t="s">
        <v>130</v>
      </c>
      <c r="AR845" s="0" t="s">
        <v>130</v>
      </c>
      <c r="AS845" s="0" t="s">
        <v>130</v>
      </c>
      <c r="AT845" s="0" t="s">
        <v>130</v>
      </c>
      <c r="AU845" s="0" t="s">
        <v>130</v>
      </c>
      <c r="AV845" s="0" t="s">
        <v>130</v>
      </c>
      <c r="AW845" s="0" t="s">
        <v>141</v>
      </c>
      <c r="AX845" s="0" t="s">
        <v>130</v>
      </c>
      <c r="AY845" s="0" t="s">
        <v>141</v>
      </c>
      <c r="AZ845" s="0" t="s">
        <v>130</v>
      </c>
      <c r="BA845" s="0" t="s">
        <v>130</v>
      </c>
      <c r="BB845" s="0" t="s">
        <v>130</v>
      </c>
      <c r="BC845" s="0" t="s">
        <v>141</v>
      </c>
      <c r="BD845" s="0" t="s">
        <v>130</v>
      </c>
      <c r="BE845" s="0" t="s">
        <v>130</v>
      </c>
      <c r="BF845" s="0" t="s">
        <v>130</v>
      </c>
      <c r="BG845" s="0" t="s">
        <v>130</v>
      </c>
      <c r="BH845" s="0" t="s">
        <v>130</v>
      </c>
      <c r="BI845" s="0" t="s">
        <v>130</v>
      </c>
      <c r="BJ845" s="0" t="s">
        <v>130</v>
      </c>
      <c r="BK845" s="0" t="s">
        <v>130</v>
      </c>
      <c r="BL845" s="0" t="s">
        <v>130</v>
      </c>
      <c r="BM845" s="0" t="s">
        <v>130</v>
      </c>
      <c r="BN845" s="0" t="s">
        <v>130</v>
      </c>
      <c r="BO845" s="0" t="s">
        <v>130</v>
      </c>
      <c r="BP845" s="0" t="s">
        <v>130</v>
      </c>
      <c r="BQ845" s="0" t="s">
        <v>130</v>
      </c>
      <c r="BR845" s="0" t="s">
        <v>130</v>
      </c>
      <c r="BS845" s="0" t="s">
        <v>130</v>
      </c>
      <c r="BT845" s="0" t="s">
        <v>130</v>
      </c>
      <c r="BU845" s="0" t="s">
        <v>130</v>
      </c>
      <c r="BV845" s="0" t="s">
        <v>130</v>
      </c>
      <c r="BW845" s="0" t="s">
        <v>130</v>
      </c>
      <c r="BX845" s="0" t="s">
        <v>130</v>
      </c>
      <c r="BY845" s="0" t="s">
        <v>130</v>
      </c>
      <c r="BZ845" s="0" t="s">
        <v>130</v>
      </c>
      <c r="CA845" s="0" t="s">
        <v>130</v>
      </c>
      <c r="CB845" s="0" t="s">
        <v>130</v>
      </c>
      <c r="CC845" s="0" t="s">
        <v>130</v>
      </c>
      <c r="CD845" s="0" t="s">
        <v>130</v>
      </c>
      <c r="CE845" s="0" t="s">
        <v>130</v>
      </c>
      <c r="CF845" s="0" t="s">
        <v>130</v>
      </c>
      <c r="CG845" s="0" t="s">
        <v>130</v>
      </c>
      <c r="CH845" s="0" t="s">
        <v>130</v>
      </c>
      <c r="CI845" s="0" t="s">
        <v>130</v>
      </c>
      <c r="CJ845" s="0" t="s">
        <v>130</v>
      </c>
      <c r="CK845" s="0" t="s">
        <v>130</v>
      </c>
      <c r="CL845" s="0" t="s">
        <v>130</v>
      </c>
      <c r="CM845" s="0" t="s">
        <v>130</v>
      </c>
      <c r="CN845" s="0" t="s">
        <v>130</v>
      </c>
      <c r="CO845" s="0" t="s">
        <v>130</v>
      </c>
      <c r="CP845" s="0" t="s">
        <v>130</v>
      </c>
      <c r="CQ845" s="0" t="s">
        <v>130</v>
      </c>
      <c r="CR845" s="0" t="s">
        <v>130</v>
      </c>
      <c r="CS845" s="0" t="s">
        <v>130</v>
      </c>
      <c r="CT845" s="0" t="s">
        <v>2626</v>
      </c>
    </row>
    <row r="846">
      <c r="A846" s="14">
        <v>115682</v>
      </c>
      <c r="B846" s="0" t="s">
        <v>2620</v>
      </c>
      <c r="C846" s="16">
        <f>HYPERLINK("https://eosportal.federatedhermes.com/companies/Q29tcGFueQppNTMxNDc=", "Bayerische Motoren Werke AG (BMW)")</f>
      </c>
      <c r="D846" s="0" t="s">
        <v>23</v>
      </c>
      <c r="E846" s="0" t="s">
        <v>2627</v>
      </c>
      <c r="F846" s="16">
        <f>HYPERLINK("https://eosportal.federatedhermes.com/engagements/RW5nYWdlbWVudAppMjI0MjU=", "Paris-aligned accounts")</f>
      </c>
      <c r="G846" s="14" t="s">
        <v>2628</v>
      </c>
      <c r="H846" s="0" t="s">
        <v>141</v>
      </c>
      <c r="I846" s="14" t="s">
        <v>1645</v>
      </c>
      <c r="J846" s="0" t="s">
        <v>197</v>
      </c>
      <c r="K846" s="0" t="s">
        <v>198</v>
      </c>
      <c r="L846" s="0" t="s">
        <v>199</v>
      </c>
      <c r="M846" s="0" t="s">
        <v>378</v>
      </c>
      <c r="N846" s="0" t="s">
        <v>2485</v>
      </c>
      <c r="O846" s="0" t="s">
        <v>425</v>
      </c>
      <c r="Q846" s="0" t="s">
        <v>141</v>
      </c>
      <c r="R846" s="0" t="s">
        <v>130</v>
      </c>
      <c r="S846" s="14">
        <v>1</v>
      </c>
      <c r="T846" s="0" t="s">
        <v>583</v>
      </c>
      <c r="U846" s="0" t="s">
        <v>221</v>
      </c>
      <c r="V846" s="14" t="s">
        <v>583</v>
      </c>
      <c r="W846" s="0" t="s">
        <v>221</v>
      </c>
      <c r="X846" s="14" t="s">
        <v>583</v>
      </c>
      <c r="Y846" s="0" t="s">
        <v>221</v>
      </c>
      <c r="Z846" s="14" t="s">
        <v>2629</v>
      </c>
      <c r="AA846" s="0" t="s">
        <v>223</v>
      </c>
      <c r="AB846" s="14" t="s">
        <v>138</v>
      </c>
      <c r="AD846" s="0" t="s">
        <v>20</v>
      </c>
      <c r="AF846" s="0">
        <v>0</v>
      </c>
      <c r="AG846" s="0">
        <v>0</v>
      </c>
      <c r="AH846" s="0" t="s">
        <v>140</v>
      </c>
      <c r="AI846" s="0" t="s">
        <v>479</v>
      </c>
      <c r="AK846" s="0" t="s">
        <v>1289</v>
      </c>
      <c r="AL846" s="14"/>
      <c r="AN846" s="14"/>
      <c r="AQ846" s="0" t="s">
        <v>130</v>
      </c>
      <c r="AR846" s="0" t="s">
        <v>130</v>
      </c>
      <c r="AS846" s="0" t="s">
        <v>130</v>
      </c>
      <c r="AT846" s="0" t="s">
        <v>130</v>
      </c>
      <c r="AU846" s="0" t="s">
        <v>130</v>
      </c>
      <c r="AV846" s="0" t="s">
        <v>130</v>
      </c>
      <c r="AW846" s="0" t="s">
        <v>130</v>
      </c>
      <c r="AX846" s="0" t="s">
        <v>130</v>
      </c>
      <c r="AY846" s="0" t="s">
        <v>130</v>
      </c>
      <c r="AZ846" s="0" t="s">
        <v>130</v>
      </c>
      <c r="BA846" s="0" t="s">
        <v>130</v>
      </c>
      <c r="BB846" s="0" t="s">
        <v>141</v>
      </c>
      <c r="BC846" s="0" t="s">
        <v>130</v>
      </c>
      <c r="BD846" s="0" t="s">
        <v>130</v>
      </c>
      <c r="BE846" s="0" t="s">
        <v>130</v>
      </c>
      <c r="BF846" s="0" t="s">
        <v>130</v>
      </c>
      <c r="BG846" s="0" t="s">
        <v>130</v>
      </c>
      <c r="BH846" s="0" t="s">
        <v>130</v>
      </c>
      <c r="BI846" s="0" t="s">
        <v>130</v>
      </c>
      <c r="BJ846" s="0" t="s">
        <v>130</v>
      </c>
      <c r="BK846" s="0" t="s">
        <v>130</v>
      </c>
      <c r="BL846" s="0" t="s">
        <v>130</v>
      </c>
      <c r="BM846" s="0" t="s">
        <v>130</v>
      </c>
      <c r="BN846" s="0" t="s">
        <v>130</v>
      </c>
      <c r="BO846" s="0" t="s">
        <v>130</v>
      </c>
      <c r="BP846" s="0" t="s">
        <v>130</v>
      </c>
      <c r="BQ846" s="0" t="s">
        <v>130</v>
      </c>
      <c r="BR846" s="0" t="s">
        <v>130</v>
      </c>
      <c r="BS846" s="0" t="s">
        <v>130</v>
      </c>
      <c r="BT846" s="0" t="s">
        <v>130</v>
      </c>
      <c r="BU846" s="0" t="s">
        <v>130</v>
      </c>
      <c r="BV846" s="0" t="s">
        <v>130</v>
      </c>
      <c r="BW846" s="0" t="s">
        <v>130</v>
      </c>
      <c r="BX846" s="0" t="s">
        <v>130</v>
      </c>
      <c r="BY846" s="0" t="s">
        <v>130</v>
      </c>
      <c r="BZ846" s="0" t="s">
        <v>130</v>
      </c>
      <c r="CA846" s="0" t="s">
        <v>130</v>
      </c>
      <c r="CB846" s="0" t="s">
        <v>130</v>
      </c>
      <c r="CC846" s="0" t="s">
        <v>130</v>
      </c>
      <c r="CD846" s="0" t="s">
        <v>130</v>
      </c>
      <c r="CE846" s="0" t="s">
        <v>130</v>
      </c>
      <c r="CF846" s="0" t="s">
        <v>130</v>
      </c>
      <c r="CG846" s="0" t="s">
        <v>130</v>
      </c>
      <c r="CH846" s="0" t="s">
        <v>130</v>
      </c>
      <c r="CI846" s="0" t="s">
        <v>130</v>
      </c>
      <c r="CJ846" s="0" t="s">
        <v>130</v>
      </c>
      <c r="CK846" s="0" t="s">
        <v>130</v>
      </c>
      <c r="CL846" s="0" t="s">
        <v>130</v>
      </c>
      <c r="CM846" s="0" t="s">
        <v>130</v>
      </c>
      <c r="CN846" s="0" t="s">
        <v>130</v>
      </c>
      <c r="CO846" s="0" t="s">
        <v>130</v>
      </c>
      <c r="CP846" s="0" t="s">
        <v>130</v>
      </c>
      <c r="CQ846" s="0" t="s">
        <v>130</v>
      </c>
      <c r="CR846" s="0" t="s">
        <v>130</v>
      </c>
      <c r="CS846" s="0" t="s">
        <v>130</v>
      </c>
      <c r="CT846" s="0" t="s">
        <v>2630</v>
      </c>
    </row>
    <row r="847">
      <c r="A847" s="14">
        <v>115682</v>
      </c>
      <c r="B847" s="0" t="s">
        <v>2620</v>
      </c>
      <c r="C847" s="16">
        <f>HYPERLINK("https://eosportal.federatedhermes.com/companies/Q29tcGFueQppNTMxNDc=", "Bayerische Motoren Werke AG (BMW)")</f>
      </c>
      <c r="D847" s="0" t="s">
        <v>25</v>
      </c>
      <c r="E847" s="0" t="s">
        <v>2631</v>
      </c>
      <c r="F847" s="16">
        <f>HYPERLINK("https://eosportal.federatedhermes.com/engagements/RW5nYWdlbWVudAppMjI0MjY=", "Autonomous driving")</f>
      </c>
      <c r="G847" s="14" t="s">
        <v>2632</v>
      </c>
      <c r="H847" s="0" t="s">
        <v>141</v>
      </c>
      <c r="I847" s="14" t="s">
        <v>1645</v>
      </c>
      <c r="J847" s="0" t="s">
        <v>153</v>
      </c>
      <c r="K847" s="0" t="s">
        <v>243</v>
      </c>
      <c r="L847" s="0" t="s">
        <v>244</v>
      </c>
      <c r="M847" s="0" t="s">
        <v>378</v>
      </c>
      <c r="N847" s="0" t="s">
        <v>2485</v>
      </c>
      <c r="O847" s="0" t="s">
        <v>425</v>
      </c>
      <c r="Q847" s="0" t="s">
        <v>130</v>
      </c>
      <c r="R847" s="0" t="s">
        <v>138</v>
      </c>
      <c r="S847" s="14">
        <v>0</v>
      </c>
      <c r="T847" s="0" t="s">
        <v>390</v>
      </c>
      <c r="U847" s="0" t="s">
        <v>138</v>
      </c>
      <c r="V847" s="14" t="s">
        <v>138</v>
      </c>
      <c r="W847" s="0" t="s">
        <v>138</v>
      </c>
      <c r="X847" s="14" t="s">
        <v>138</v>
      </c>
      <c r="Y847" s="0" t="s">
        <v>138</v>
      </c>
      <c r="Z847" s="14" t="s">
        <v>138</v>
      </c>
      <c r="AA847" s="0" t="s">
        <v>138</v>
      </c>
      <c r="AB847" s="14" t="s">
        <v>138</v>
      </c>
      <c r="AD847" s="0" t="s">
        <v>138</v>
      </c>
      <c r="AF847" s="0">
        <v>0</v>
      </c>
      <c r="AG847" s="0">
        <v>0</v>
      </c>
      <c r="AH847" s="0" t="s">
        <v>140</v>
      </c>
      <c r="AI847" s="0" t="s">
        <v>138</v>
      </c>
      <c r="AL847" s="14"/>
      <c r="AN847" s="14"/>
      <c r="AQ847" s="0" t="s">
        <v>130</v>
      </c>
      <c r="AR847" s="0" t="s">
        <v>130</v>
      </c>
      <c r="AS847" s="0" t="s">
        <v>130</v>
      </c>
      <c r="AT847" s="0" t="s">
        <v>130</v>
      </c>
      <c r="AU847" s="0" t="s">
        <v>130</v>
      </c>
      <c r="AV847" s="0" t="s">
        <v>130</v>
      </c>
      <c r="AW847" s="0" t="s">
        <v>130</v>
      </c>
      <c r="AX847" s="0" t="s">
        <v>130</v>
      </c>
      <c r="AY847" s="0" t="s">
        <v>130</v>
      </c>
      <c r="AZ847" s="0" t="s">
        <v>130</v>
      </c>
      <c r="BA847" s="0" t="s">
        <v>130</v>
      </c>
      <c r="BB847" s="0" t="s">
        <v>130</v>
      </c>
      <c r="BC847" s="0" t="s">
        <v>130</v>
      </c>
      <c r="BD847" s="0" t="s">
        <v>130</v>
      </c>
      <c r="BE847" s="0" t="s">
        <v>130</v>
      </c>
      <c r="BF847" s="0" t="s">
        <v>130</v>
      </c>
      <c r="BG847" s="0" t="s">
        <v>130</v>
      </c>
      <c r="BH847" s="0" t="s">
        <v>130</v>
      </c>
      <c r="BI847" s="0" t="s">
        <v>130</v>
      </c>
      <c r="BJ847" s="0" t="s">
        <v>130</v>
      </c>
      <c r="BK847" s="0" t="s">
        <v>130</v>
      </c>
      <c r="BL847" s="0" t="s">
        <v>130</v>
      </c>
      <c r="BM847" s="0" t="s">
        <v>130</v>
      </c>
      <c r="BN847" s="0" t="s">
        <v>130</v>
      </c>
      <c r="BO847" s="0" t="s">
        <v>130</v>
      </c>
      <c r="BP847" s="0" t="s">
        <v>130</v>
      </c>
      <c r="BQ847" s="0" t="s">
        <v>130</v>
      </c>
      <c r="BR847" s="0" t="s">
        <v>130</v>
      </c>
      <c r="BS847" s="0" t="s">
        <v>130</v>
      </c>
      <c r="BT847" s="0" t="s">
        <v>130</v>
      </c>
      <c r="BU847" s="0" t="s">
        <v>130</v>
      </c>
      <c r="BV847" s="0" t="s">
        <v>130</v>
      </c>
      <c r="BW847" s="0" t="s">
        <v>130</v>
      </c>
      <c r="BX847" s="0" t="s">
        <v>130</v>
      </c>
      <c r="BY847" s="0" t="s">
        <v>130</v>
      </c>
      <c r="BZ847" s="0" t="s">
        <v>130</v>
      </c>
      <c r="CA847" s="0" t="s">
        <v>130</v>
      </c>
      <c r="CB847" s="0" t="s">
        <v>130</v>
      </c>
      <c r="CC847" s="0" t="s">
        <v>130</v>
      </c>
      <c r="CD847" s="0" t="s">
        <v>130</v>
      </c>
      <c r="CE847" s="0" t="s">
        <v>130</v>
      </c>
      <c r="CF847" s="0" t="s">
        <v>130</v>
      </c>
      <c r="CG847" s="0" t="s">
        <v>130</v>
      </c>
      <c r="CH847" s="0" t="s">
        <v>130</v>
      </c>
      <c r="CI847" s="0" t="s">
        <v>130</v>
      </c>
      <c r="CJ847" s="0" t="s">
        <v>130</v>
      </c>
      <c r="CK847" s="0" t="s">
        <v>130</v>
      </c>
      <c r="CL847" s="0" t="s">
        <v>130</v>
      </c>
      <c r="CM847" s="0" t="s">
        <v>130</v>
      </c>
      <c r="CN847" s="0" t="s">
        <v>130</v>
      </c>
      <c r="CO847" s="0" t="s">
        <v>130</v>
      </c>
      <c r="CP847" s="0" t="s">
        <v>130</v>
      </c>
      <c r="CQ847" s="0" t="s">
        <v>130</v>
      </c>
      <c r="CR847" s="0" t="s">
        <v>130</v>
      </c>
      <c r="CS847" s="0" t="s">
        <v>130</v>
      </c>
      <c r="CT847" s="0" t="s">
        <v>2633</v>
      </c>
    </row>
    <row r="848">
      <c r="A848" s="14">
        <v>115682</v>
      </c>
      <c r="B848" s="0" t="s">
        <v>2620</v>
      </c>
      <c r="C848" s="16">
        <f>HYPERLINK("https://eosportal.federatedhermes.com/companies/Q29tcGFueQppNTMxNDc=", "Bayerische Motoren Werke AG (BMW)")</f>
      </c>
      <c r="D848" s="0" t="s">
        <v>25</v>
      </c>
      <c r="E848" s="0" t="s">
        <v>2634</v>
      </c>
      <c r="F848" s="16">
        <f>HYPERLINK("https://eosportal.federatedhermes.com/engagements/RW5nYWdlbWVudAppMjI0Mjc=", "Child labor in illegal mica mines in India")</f>
      </c>
      <c r="G848" s="14" t="s">
        <v>2635</v>
      </c>
      <c r="H848" s="0" t="s">
        <v>141</v>
      </c>
      <c r="I848" s="14" t="s">
        <v>1645</v>
      </c>
      <c r="J848" s="0" t="s">
        <v>153</v>
      </c>
      <c r="K848" s="0" t="s">
        <v>243</v>
      </c>
      <c r="L848" s="0" t="s">
        <v>244</v>
      </c>
      <c r="M848" s="0" t="s">
        <v>378</v>
      </c>
      <c r="N848" s="0" t="s">
        <v>2485</v>
      </c>
      <c r="O848" s="0" t="s">
        <v>425</v>
      </c>
      <c r="Q848" s="0" t="s">
        <v>130</v>
      </c>
      <c r="R848" s="0" t="s">
        <v>138</v>
      </c>
      <c r="S848" s="14">
        <v>0</v>
      </c>
      <c r="T848" s="0" t="s">
        <v>384</v>
      </c>
      <c r="U848" s="0" t="s">
        <v>138</v>
      </c>
      <c r="V848" s="14" t="s">
        <v>138</v>
      </c>
      <c r="W848" s="0" t="s">
        <v>138</v>
      </c>
      <c r="X848" s="14" t="s">
        <v>138</v>
      </c>
      <c r="Y848" s="0" t="s">
        <v>138</v>
      </c>
      <c r="Z848" s="14" t="s">
        <v>138</v>
      </c>
      <c r="AA848" s="0" t="s">
        <v>138</v>
      </c>
      <c r="AB848" s="14" t="s">
        <v>138</v>
      </c>
      <c r="AD848" s="0" t="s">
        <v>138</v>
      </c>
      <c r="AF848" s="0">
        <v>0</v>
      </c>
      <c r="AG848" s="0">
        <v>0</v>
      </c>
      <c r="AH848" s="0" t="s">
        <v>140</v>
      </c>
      <c r="AI848" s="0" t="s">
        <v>138</v>
      </c>
      <c r="AL848" s="14"/>
      <c r="AN848" s="14"/>
      <c r="AQ848" s="0" t="s">
        <v>130</v>
      </c>
      <c r="AR848" s="0" t="s">
        <v>130</v>
      </c>
      <c r="AS848" s="0" t="s">
        <v>130</v>
      </c>
      <c r="AT848" s="0" t="s">
        <v>130</v>
      </c>
      <c r="AU848" s="0" t="s">
        <v>130</v>
      </c>
      <c r="AV848" s="0" t="s">
        <v>130</v>
      </c>
      <c r="AW848" s="0" t="s">
        <v>130</v>
      </c>
      <c r="AX848" s="0" t="s">
        <v>141</v>
      </c>
      <c r="AY848" s="0" t="s">
        <v>130</v>
      </c>
      <c r="AZ848" s="0" t="s">
        <v>130</v>
      </c>
      <c r="BA848" s="0" t="s">
        <v>130</v>
      </c>
      <c r="BB848" s="0" t="s">
        <v>130</v>
      </c>
      <c r="BC848" s="0" t="s">
        <v>130</v>
      </c>
      <c r="BD848" s="0" t="s">
        <v>130</v>
      </c>
      <c r="BE848" s="0" t="s">
        <v>130</v>
      </c>
      <c r="BF848" s="0" t="s">
        <v>130</v>
      </c>
      <c r="BG848" s="0" t="s">
        <v>130</v>
      </c>
      <c r="BH848" s="0" t="s">
        <v>130</v>
      </c>
      <c r="BI848" s="0" t="s">
        <v>130</v>
      </c>
      <c r="BJ848" s="0" t="s">
        <v>130</v>
      </c>
      <c r="BK848" s="0" t="s">
        <v>130</v>
      </c>
      <c r="BL848" s="0" t="s">
        <v>130</v>
      </c>
      <c r="BM848" s="0" t="s">
        <v>130</v>
      </c>
      <c r="BN848" s="0" t="s">
        <v>130</v>
      </c>
      <c r="BO848" s="0" t="s">
        <v>130</v>
      </c>
      <c r="BP848" s="0" t="s">
        <v>130</v>
      </c>
      <c r="BQ848" s="0" t="s">
        <v>130</v>
      </c>
      <c r="BR848" s="0" t="s">
        <v>130</v>
      </c>
      <c r="BS848" s="0" t="s">
        <v>130</v>
      </c>
      <c r="BT848" s="0" t="s">
        <v>130</v>
      </c>
      <c r="BU848" s="0" t="s">
        <v>130</v>
      </c>
      <c r="BV848" s="0" t="s">
        <v>130</v>
      </c>
      <c r="BW848" s="0" t="s">
        <v>130</v>
      </c>
      <c r="BX848" s="0" t="s">
        <v>130</v>
      </c>
      <c r="BY848" s="0" t="s">
        <v>130</v>
      </c>
      <c r="BZ848" s="0" t="s">
        <v>130</v>
      </c>
      <c r="CA848" s="0" t="s">
        <v>130</v>
      </c>
      <c r="CB848" s="0" t="s">
        <v>130</v>
      </c>
      <c r="CC848" s="0" t="s">
        <v>130</v>
      </c>
      <c r="CD848" s="0" t="s">
        <v>130</v>
      </c>
      <c r="CE848" s="0" t="s">
        <v>130</v>
      </c>
      <c r="CF848" s="0" t="s">
        <v>130</v>
      </c>
      <c r="CG848" s="0" t="s">
        <v>130</v>
      </c>
      <c r="CH848" s="0" t="s">
        <v>130</v>
      </c>
      <c r="CI848" s="0" t="s">
        <v>130</v>
      </c>
      <c r="CJ848" s="0" t="s">
        <v>130</v>
      </c>
      <c r="CK848" s="0" t="s">
        <v>130</v>
      </c>
      <c r="CL848" s="0" t="s">
        <v>130</v>
      </c>
      <c r="CM848" s="0" t="s">
        <v>130</v>
      </c>
      <c r="CN848" s="0" t="s">
        <v>130</v>
      </c>
      <c r="CO848" s="0" t="s">
        <v>130</v>
      </c>
      <c r="CP848" s="0" t="s">
        <v>130</v>
      </c>
      <c r="CQ848" s="0" t="s">
        <v>130</v>
      </c>
      <c r="CR848" s="0" t="s">
        <v>130</v>
      </c>
      <c r="CS848" s="0" t="s">
        <v>130</v>
      </c>
      <c r="CT848" s="0" t="s">
        <v>2636</v>
      </c>
    </row>
    <row r="849">
      <c r="A849" s="14">
        <v>115682</v>
      </c>
      <c r="B849" s="0" t="s">
        <v>2620</v>
      </c>
      <c r="C849" s="16">
        <f>HYPERLINK("https://eosportal.federatedhermes.com/companies/Q29tcGFueQppNTMxNDc=", "Bayerische Motoren Werke AG (BMW)")</f>
      </c>
      <c r="D849" s="0" t="s">
        <v>25</v>
      </c>
      <c r="E849" s="0" t="s">
        <v>2637</v>
      </c>
      <c r="F849" s="16">
        <f>HYPERLINK("https://eosportal.federatedhermes.com/engagements/RW5nYWdlbWVudAppMjI0MzI=", "Lobbying on Climate Regulations")</f>
      </c>
      <c r="G849" s="14" t="s">
        <v>2638</v>
      </c>
      <c r="H849" s="0" t="s">
        <v>141</v>
      </c>
      <c r="I849" s="14" t="s">
        <v>1645</v>
      </c>
      <c r="J849" s="0" t="s">
        <v>197</v>
      </c>
      <c r="K849" s="0" t="s">
        <v>198</v>
      </c>
      <c r="L849" s="0" t="s">
        <v>199</v>
      </c>
      <c r="M849" s="0" t="s">
        <v>378</v>
      </c>
      <c r="N849" s="0" t="s">
        <v>2485</v>
      </c>
      <c r="O849" s="0" t="s">
        <v>425</v>
      </c>
      <c r="Q849" s="0" t="s">
        <v>141</v>
      </c>
      <c r="R849" s="0" t="s">
        <v>138</v>
      </c>
      <c r="S849" s="14">
        <v>1</v>
      </c>
      <c r="T849" s="0" t="s">
        <v>1145</v>
      </c>
      <c r="U849" s="0" t="s">
        <v>138</v>
      </c>
      <c r="V849" s="14" t="s">
        <v>138</v>
      </c>
      <c r="W849" s="0" t="s">
        <v>138</v>
      </c>
      <c r="X849" s="14" t="s">
        <v>138</v>
      </c>
      <c r="Y849" s="0" t="s">
        <v>138</v>
      </c>
      <c r="Z849" s="14" t="s">
        <v>138</v>
      </c>
      <c r="AA849" s="0" t="s">
        <v>138</v>
      </c>
      <c r="AB849" s="14" t="s">
        <v>138</v>
      </c>
      <c r="AD849" s="0" t="s">
        <v>138</v>
      </c>
      <c r="AF849" s="0">
        <v>0</v>
      </c>
      <c r="AG849" s="0">
        <v>0</v>
      </c>
      <c r="AH849" s="0" t="s">
        <v>140</v>
      </c>
      <c r="AI849" s="0" t="s">
        <v>138</v>
      </c>
      <c r="AK849" s="0" t="s">
        <v>1289</v>
      </c>
      <c r="AL849" s="14"/>
      <c r="AN849" s="14"/>
      <c r="AQ849" s="0" t="s">
        <v>130</v>
      </c>
      <c r="AR849" s="0" t="s">
        <v>130</v>
      </c>
      <c r="AS849" s="0" t="s">
        <v>130</v>
      </c>
      <c r="AT849" s="0" t="s">
        <v>130</v>
      </c>
      <c r="AU849" s="0" t="s">
        <v>130</v>
      </c>
      <c r="AV849" s="0" t="s">
        <v>130</v>
      </c>
      <c r="AW849" s="0" t="s">
        <v>130</v>
      </c>
      <c r="AX849" s="0" t="s">
        <v>130</v>
      </c>
      <c r="AY849" s="0" t="s">
        <v>130</v>
      </c>
      <c r="AZ849" s="0" t="s">
        <v>130</v>
      </c>
      <c r="BA849" s="0" t="s">
        <v>130</v>
      </c>
      <c r="BB849" s="0" t="s">
        <v>141</v>
      </c>
      <c r="BC849" s="0" t="s">
        <v>141</v>
      </c>
      <c r="BD849" s="0" t="s">
        <v>130</v>
      </c>
      <c r="BE849" s="0" t="s">
        <v>130</v>
      </c>
      <c r="BF849" s="0" t="s">
        <v>130</v>
      </c>
      <c r="BG849" s="0" t="s">
        <v>130</v>
      </c>
      <c r="BH849" s="0" t="s">
        <v>130</v>
      </c>
      <c r="BI849" s="0" t="s">
        <v>130</v>
      </c>
      <c r="BJ849" s="0" t="s">
        <v>130</v>
      </c>
      <c r="BK849" s="0" t="s">
        <v>130</v>
      </c>
      <c r="BL849" s="0" t="s">
        <v>130</v>
      </c>
      <c r="BM849" s="0" t="s">
        <v>130</v>
      </c>
      <c r="BN849" s="0" t="s">
        <v>130</v>
      </c>
      <c r="BO849" s="0" t="s">
        <v>130</v>
      </c>
      <c r="BP849" s="0" t="s">
        <v>130</v>
      </c>
      <c r="BQ849" s="0" t="s">
        <v>130</v>
      </c>
      <c r="BR849" s="0" t="s">
        <v>130</v>
      </c>
      <c r="BS849" s="0" t="s">
        <v>130</v>
      </c>
      <c r="BT849" s="0" t="s">
        <v>130</v>
      </c>
      <c r="BU849" s="0" t="s">
        <v>130</v>
      </c>
      <c r="BV849" s="0" t="s">
        <v>130</v>
      </c>
      <c r="BW849" s="0" t="s">
        <v>130</v>
      </c>
      <c r="BX849" s="0" t="s">
        <v>130</v>
      </c>
      <c r="BY849" s="0" t="s">
        <v>130</v>
      </c>
      <c r="BZ849" s="0" t="s">
        <v>130</v>
      </c>
      <c r="CA849" s="0" t="s">
        <v>130</v>
      </c>
      <c r="CB849" s="0" t="s">
        <v>130</v>
      </c>
      <c r="CC849" s="0" t="s">
        <v>130</v>
      </c>
      <c r="CD849" s="0" t="s">
        <v>130</v>
      </c>
      <c r="CE849" s="0" t="s">
        <v>130</v>
      </c>
      <c r="CF849" s="0" t="s">
        <v>130</v>
      </c>
      <c r="CG849" s="0" t="s">
        <v>130</v>
      </c>
      <c r="CH849" s="0" t="s">
        <v>130</v>
      </c>
      <c r="CI849" s="0" t="s">
        <v>130</v>
      </c>
      <c r="CJ849" s="0" t="s">
        <v>130</v>
      </c>
      <c r="CK849" s="0" t="s">
        <v>130</v>
      </c>
      <c r="CL849" s="0" t="s">
        <v>130</v>
      </c>
      <c r="CM849" s="0" t="s">
        <v>130</v>
      </c>
      <c r="CN849" s="0" t="s">
        <v>130</v>
      </c>
      <c r="CO849" s="0" t="s">
        <v>130</v>
      </c>
      <c r="CP849" s="0" t="s">
        <v>130</v>
      </c>
      <c r="CQ849" s="0" t="s">
        <v>130</v>
      </c>
      <c r="CR849" s="0" t="s">
        <v>130</v>
      </c>
      <c r="CS849" s="0" t="s">
        <v>130</v>
      </c>
      <c r="CT849" s="0" t="s">
        <v>2639</v>
      </c>
    </row>
    <row r="850">
      <c r="A850" s="14">
        <v>115682</v>
      </c>
      <c r="B850" s="0" t="s">
        <v>2620</v>
      </c>
      <c r="C850" s="16">
        <f>HYPERLINK("https://eosportal.federatedhermes.com/companies/Q29tcGFueQppNTMxNDc=", "Bayerische Motoren Werke AG (BMW)")</f>
      </c>
      <c r="D850" s="0" t="s">
        <v>25</v>
      </c>
      <c r="E850" s="0" t="s">
        <v>2627</v>
      </c>
      <c r="F850" s="16">
        <f>HYPERLINK("https://eosportal.federatedhermes.com/engagements/RW5nYWdlbWVudAppMjI0MzM=", "Paris-aligned accounts")</f>
      </c>
      <c r="G850" s="14" t="s">
        <v>2640</v>
      </c>
      <c r="H850" s="0" t="s">
        <v>141</v>
      </c>
      <c r="I850" s="14" t="s">
        <v>1645</v>
      </c>
      <c r="J850" s="0" t="s">
        <v>197</v>
      </c>
      <c r="K850" s="0" t="s">
        <v>198</v>
      </c>
      <c r="L850" s="0" t="s">
        <v>199</v>
      </c>
      <c r="M850" s="0" t="s">
        <v>378</v>
      </c>
      <c r="N850" s="0" t="s">
        <v>2485</v>
      </c>
      <c r="O850" s="0" t="s">
        <v>425</v>
      </c>
      <c r="Q850" s="0" t="s">
        <v>141</v>
      </c>
      <c r="R850" s="0" t="s">
        <v>138</v>
      </c>
      <c r="S850" s="14">
        <v>1</v>
      </c>
      <c r="T850" s="0" t="s">
        <v>583</v>
      </c>
      <c r="U850" s="0" t="s">
        <v>138</v>
      </c>
      <c r="V850" s="14" t="s">
        <v>138</v>
      </c>
      <c r="W850" s="0" t="s">
        <v>138</v>
      </c>
      <c r="X850" s="14" t="s">
        <v>138</v>
      </c>
      <c r="Y850" s="0" t="s">
        <v>138</v>
      </c>
      <c r="Z850" s="14" t="s">
        <v>138</v>
      </c>
      <c r="AA850" s="0" t="s">
        <v>138</v>
      </c>
      <c r="AB850" s="14" t="s">
        <v>138</v>
      </c>
      <c r="AD850" s="0" t="s">
        <v>138</v>
      </c>
      <c r="AF850" s="0">
        <v>0</v>
      </c>
      <c r="AG850" s="0">
        <v>0</v>
      </c>
      <c r="AH850" s="0" t="s">
        <v>140</v>
      </c>
      <c r="AI850" s="0" t="s">
        <v>138</v>
      </c>
      <c r="AK850" s="0" t="s">
        <v>1289</v>
      </c>
      <c r="AL850" s="14"/>
      <c r="AN850" s="14"/>
      <c r="AQ850" s="0" t="s">
        <v>130</v>
      </c>
      <c r="AR850" s="0" t="s">
        <v>130</v>
      </c>
      <c r="AS850" s="0" t="s">
        <v>130</v>
      </c>
      <c r="AT850" s="0" t="s">
        <v>130</v>
      </c>
      <c r="AU850" s="0" t="s">
        <v>130</v>
      </c>
      <c r="AV850" s="0" t="s">
        <v>130</v>
      </c>
      <c r="AW850" s="0" t="s">
        <v>130</v>
      </c>
      <c r="AX850" s="0" t="s">
        <v>130</v>
      </c>
      <c r="AY850" s="0" t="s">
        <v>130</v>
      </c>
      <c r="AZ850" s="0" t="s">
        <v>130</v>
      </c>
      <c r="BA850" s="0" t="s">
        <v>130</v>
      </c>
      <c r="BB850" s="0" t="s">
        <v>141</v>
      </c>
      <c r="BC850" s="0" t="s">
        <v>130</v>
      </c>
      <c r="BD850" s="0" t="s">
        <v>130</v>
      </c>
      <c r="BE850" s="0" t="s">
        <v>130</v>
      </c>
      <c r="BF850" s="0" t="s">
        <v>130</v>
      </c>
      <c r="BG850" s="0" t="s">
        <v>130</v>
      </c>
      <c r="BH850" s="0" t="s">
        <v>130</v>
      </c>
      <c r="BI850" s="0" t="s">
        <v>130</v>
      </c>
      <c r="BJ850" s="0" t="s">
        <v>130</v>
      </c>
      <c r="BK850" s="0" t="s">
        <v>130</v>
      </c>
      <c r="BL850" s="0" t="s">
        <v>130</v>
      </c>
      <c r="BM850" s="0" t="s">
        <v>130</v>
      </c>
      <c r="BN850" s="0" t="s">
        <v>130</v>
      </c>
      <c r="BO850" s="0" t="s">
        <v>130</v>
      </c>
      <c r="BP850" s="0" t="s">
        <v>130</v>
      </c>
      <c r="BQ850" s="0" t="s">
        <v>130</v>
      </c>
      <c r="BR850" s="0" t="s">
        <v>130</v>
      </c>
      <c r="BS850" s="0" t="s">
        <v>130</v>
      </c>
      <c r="BT850" s="0" t="s">
        <v>130</v>
      </c>
      <c r="BU850" s="0" t="s">
        <v>130</v>
      </c>
      <c r="BV850" s="0" t="s">
        <v>130</v>
      </c>
      <c r="BW850" s="0" t="s">
        <v>130</v>
      </c>
      <c r="BX850" s="0" t="s">
        <v>130</v>
      </c>
      <c r="BY850" s="0" t="s">
        <v>130</v>
      </c>
      <c r="BZ850" s="0" t="s">
        <v>130</v>
      </c>
      <c r="CA850" s="0" t="s">
        <v>130</v>
      </c>
      <c r="CB850" s="0" t="s">
        <v>130</v>
      </c>
      <c r="CC850" s="0" t="s">
        <v>130</v>
      </c>
      <c r="CD850" s="0" t="s">
        <v>130</v>
      </c>
      <c r="CE850" s="0" t="s">
        <v>130</v>
      </c>
      <c r="CF850" s="0" t="s">
        <v>130</v>
      </c>
      <c r="CG850" s="0" t="s">
        <v>130</v>
      </c>
      <c r="CH850" s="0" t="s">
        <v>130</v>
      </c>
      <c r="CI850" s="0" t="s">
        <v>130</v>
      </c>
      <c r="CJ850" s="0" t="s">
        <v>130</v>
      </c>
      <c r="CK850" s="0" t="s">
        <v>130</v>
      </c>
      <c r="CL850" s="0" t="s">
        <v>130</v>
      </c>
      <c r="CM850" s="0" t="s">
        <v>130</v>
      </c>
      <c r="CN850" s="0" t="s">
        <v>130</v>
      </c>
      <c r="CO850" s="0" t="s">
        <v>130</v>
      </c>
      <c r="CP850" s="0" t="s">
        <v>130</v>
      </c>
      <c r="CQ850" s="0" t="s">
        <v>130</v>
      </c>
      <c r="CR850" s="0" t="s">
        <v>130</v>
      </c>
      <c r="CS850" s="0" t="s">
        <v>130</v>
      </c>
      <c r="CT850" s="0" t="s">
        <v>2641</v>
      </c>
    </row>
    <row r="851">
      <c r="A851" s="14">
        <v>115682</v>
      </c>
      <c r="B851" s="0" t="s">
        <v>2620</v>
      </c>
      <c r="C851" s="16">
        <f>HYPERLINK("https://eosportal.federatedhermes.com/companies/Q29tcGFueQppNTMxNDc=", "Bayerische Motoren Werke AG (BMW)")</f>
      </c>
      <c r="D851" s="0" t="s">
        <v>25</v>
      </c>
      <c r="E851" s="0" t="s">
        <v>912</v>
      </c>
      <c r="F851" s="16">
        <f>HYPERLINK("https://eosportal.federatedhermes.com/engagements/RW5nYWdlbWVudAppMjI0MzQ=", "Executive remuneration")</f>
      </c>
      <c r="G851" s="14" t="s">
        <v>2642</v>
      </c>
      <c r="H851" s="0" t="s">
        <v>141</v>
      </c>
      <c r="I851" s="14" t="s">
        <v>1645</v>
      </c>
      <c r="J851" s="0" t="s">
        <v>145</v>
      </c>
      <c r="K851" s="0" t="s">
        <v>146</v>
      </c>
      <c r="L851" s="0" t="s">
        <v>147</v>
      </c>
      <c r="M851" s="0" t="s">
        <v>378</v>
      </c>
      <c r="N851" s="0" t="s">
        <v>2485</v>
      </c>
      <c r="O851" s="0" t="s">
        <v>425</v>
      </c>
      <c r="Q851" s="0" t="s">
        <v>130</v>
      </c>
      <c r="R851" s="0" t="s">
        <v>138</v>
      </c>
      <c r="S851" s="14">
        <v>0</v>
      </c>
      <c r="T851" s="0" t="s">
        <v>457</v>
      </c>
      <c r="U851" s="0" t="s">
        <v>138</v>
      </c>
      <c r="V851" s="14" t="s">
        <v>138</v>
      </c>
      <c r="W851" s="0" t="s">
        <v>138</v>
      </c>
      <c r="X851" s="14" t="s">
        <v>138</v>
      </c>
      <c r="Y851" s="0" t="s">
        <v>138</v>
      </c>
      <c r="Z851" s="14" t="s">
        <v>138</v>
      </c>
      <c r="AA851" s="0" t="s">
        <v>138</v>
      </c>
      <c r="AB851" s="14" t="s">
        <v>138</v>
      </c>
      <c r="AD851" s="0" t="s">
        <v>138</v>
      </c>
      <c r="AF851" s="0">
        <v>0</v>
      </c>
      <c r="AG851" s="0">
        <v>0</v>
      </c>
      <c r="AH851" s="0" t="s">
        <v>140</v>
      </c>
      <c r="AI851" s="0" t="s">
        <v>138</v>
      </c>
      <c r="AL851" s="14"/>
      <c r="AN851" s="14"/>
      <c r="AQ851" s="0" t="s">
        <v>130</v>
      </c>
      <c r="AR851" s="0" t="s">
        <v>130</v>
      </c>
      <c r="AS851" s="0" t="s">
        <v>130</v>
      </c>
      <c r="AT851" s="0" t="s">
        <v>130</v>
      </c>
      <c r="AU851" s="0" t="s">
        <v>130</v>
      </c>
      <c r="AV851" s="0" t="s">
        <v>130</v>
      </c>
      <c r="AW851" s="0" t="s">
        <v>130</v>
      </c>
      <c r="AX851" s="0" t="s">
        <v>130</v>
      </c>
      <c r="AY851" s="0" t="s">
        <v>130</v>
      </c>
      <c r="AZ851" s="0" t="s">
        <v>130</v>
      </c>
      <c r="BA851" s="0" t="s">
        <v>130</v>
      </c>
      <c r="BB851" s="0" t="s">
        <v>130</v>
      </c>
      <c r="BC851" s="0" t="s">
        <v>130</v>
      </c>
      <c r="BD851" s="0" t="s">
        <v>130</v>
      </c>
      <c r="BE851" s="0" t="s">
        <v>130</v>
      </c>
      <c r="BF851" s="0" t="s">
        <v>130</v>
      </c>
      <c r="BG851" s="0" t="s">
        <v>130</v>
      </c>
      <c r="BH851" s="0" t="s">
        <v>130</v>
      </c>
      <c r="BI851" s="0" t="s">
        <v>130</v>
      </c>
      <c r="BJ851" s="0" t="s">
        <v>130</v>
      </c>
      <c r="BK851" s="0" t="s">
        <v>130</v>
      </c>
      <c r="BL851" s="0" t="s">
        <v>130</v>
      </c>
      <c r="BM851" s="0" t="s">
        <v>130</v>
      </c>
      <c r="BN851" s="0" t="s">
        <v>130</v>
      </c>
      <c r="BO851" s="0" t="s">
        <v>130</v>
      </c>
      <c r="BP851" s="0" t="s">
        <v>130</v>
      </c>
      <c r="BQ851" s="0" t="s">
        <v>130</v>
      </c>
      <c r="BR851" s="0" t="s">
        <v>130</v>
      </c>
      <c r="BS851" s="0" t="s">
        <v>130</v>
      </c>
      <c r="BT851" s="0" t="s">
        <v>130</v>
      </c>
      <c r="BU851" s="0" t="s">
        <v>130</v>
      </c>
      <c r="BV851" s="0" t="s">
        <v>130</v>
      </c>
      <c r="BW851" s="0" t="s">
        <v>130</v>
      </c>
      <c r="BX851" s="0" t="s">
        <v>130</v>
      </c>
      <c r="BY851" s="0" t="s">
        <v>130</v>
      </c>
      <c r="BZ851" s="0" t="s">
        <v>130</v>
      </c>
      <c r="CA851" s="0" t="s">
        <v>130</v>
      </c>
      <c r="CB851" s="0" t="s">
        <v>130</v>
      </c>
      <c r="CC851" s="0" t="s">
        <v>130</v>
      </c>
      <c r="CD851" s="0" t="s">
        <v>130</v>
      </c>
      <c r="CE851" s="0" t="s">
        <v>130</v>
      </c>
      <c r="CF851" s="0" t="s">
        <v>130</v>
      </c>
      <c r="CG851" s="0" t="s">
        <v>130</v>
      </c>
      <c r="CH851" s="0" t="s">
        <v>130</v>
      </c>
      <c r="CI851" s="0" t="s">
        <v>130</v>
      </c>
      <c r="CJ851" s="0" t="s">
        <v>130</v>
      </c>
      <c r="CK851" s="0" t="s">
        <v>130</v>
      </c>
      <c r="CL851" s="0" t="s">
        <v>130</v>
      </c>
      <c r="CM851" s="0" t="s">
        <v>130</v>
      </c>
      <c r="CN851" s="0" t="s">
        <v>130</v>
      </c>
      <c r="CO851" s="0" t="s">
        <v>130</v>
      </c>
      <c r="CP851" s="0" t="s">
        <v>130</v>
      </c>
      <c r="CQ851" s="0" t="s">
        <v>130</v>
      </c>
      <c r="CR851" s="0" t="s">
        <v>130</v>
      </c>
      <c r="CS851" s="0" t="s">
        <v>130</v>
      </c>
      <c r="CT851" s="0" t="s">
        <v>2643</v>
      </c>
    </row>
    <row r="852">
      <c r="A852" s="14">
        <v>115682</v>
      </c>
      <c r="B852" s="0" t="s">
        <v>2620</v>
      </c>
      <c r="C852" s="16">
        <f>HYPERLINK("https://eosportal.federatedhermes.com/companies/Q29tcGFueQppNTMxNDc=", "Bayerische Motoren Werke AG (BMW)")</f>
      </c>
      <c r="D852" s="0" t="s">
        <v>25</v>
      </c>
      <c r="E852" s="0" t="s">
        <v>2644</v>
      </c>
      <c r="F852" s="16">
        <f>HYPERLINK("https://eosportal.federatedhermes.com/engagements/RW5nYWdlbWVudAppMjI0MzU=", "Cobalt supply chain")</f>
      </c>
      <c r="G852" s="14" t="s">
        <v>2645</v>
      </c>
      <c r="H852" s="0" t="s">
        <v>141</v>
      </c>
      <c r="I852" s="14" t="s">
        <v>1645</v>
      </c>
      <c r="J852" s="0" t="s">
        <v>153</v>
      </c>
      <c r="K852" s="0" t="s">
        <v>243</v>
      </c>
      <c r="L852" s="0" t="s">
        <v>244</v>
      </c>
      <c r="M852" s="0" t="s">
        <v>378</v>
      </c>
      <c r="N852" s="0" t="s">
        <v>2485</v>
      </c>
      <c r="O852" s="0" t="s">
        <v>425</v>
      </c>
      <c r="Q852" s="0" t="s">
        <v>130</v>
      </c>
      <c r="R852" s="0" t="s">
        <v>138</v>
      </c>
      <c r="S852" s="14">
        <v>0</v>
      </c>
      <c r="T852" s="0" t="s">
        <v>333</v>
      </c>
      <c r="U852" s="0" t="s">
        <v>138</v>
      </c>
      <c r="V852" s="14" t="s">
        <v>138</v>
      </c>
      <c r="W852" s="0" t="s">
        <v>138</v>
      </c>
      <c r="X852" s="14" t="s">
        <v>138</v>
      </c>
      <c r="Y852" s="0" t="s">
        <v>138</v>
      </c>
      <c r="Z852" s="14" t="s">
        <v>138</v>
      </c>
      <c r="AA852" s="0" t="s">
        <v>138</v>
      </c>
      <c r="AB852" s="14" t="s">
        <v>138</v>
      </c>
      <c r="AD852" s="0" t="s">
        <v>138</v>
      </c>
      <c r="AF852" s="0">
        <v>0</v>
      </c>
      <c r="AG852" s="0">
        <v>0</v>
      </c>
      <c r="AH852" s="0" t="s">
        <v>140</v>
      </c>
      <c r="AI852" s="0" t="s">
        <v>138</v>
      </c>
      <c r="AL852" s="14"/>
      <c r="AN852" s="14"/>
      <c r="AQ852" s="0" t="s">
        <v>130</v>
      </c>
      <c r="AR852" s="0" t="s">
        <v>130</v>
      </c>
      <c r="AS852" s="0" t="s">
        <v>130</v>
      </c>
      <c r="AT852" s="0" t="s">
        <v>130</v>
      </c>
      <c r="AU852" s="0" t="s">
        <v>130</v>
      </c>
      <c r="AV852" s="0" t="s">
        <v>130</v>
      </c>
      <c r="AW852" s="0" t="s">
        <v>130</v>
      </c>
      <c r="AX852" s="0" t="s">
        <v>141</v>
      </c>
      <c r="AY852" s="0" t="s">
        <v>130</v>
      </c>
      <c r="AZ852" s="0" t="s">
        <v>130</v>
      </c>
      <c r="BA852" s="0" t="s">
        <v>130</v>
      </c>
      <c r="BB852" s="0" t="s">
        <v>130</v>
      </c>
      <c r="BC852" s="0" t="s">
        <v>130</v>
      </c>
      <c r="BD852" s="0" t="s">
        <v>130</v>
      </c>
      <c r="BE852" s="0" t="s">
        <v>130</v>
      </c>
      <c r="BF852" s="0" t="s">
        <v>130</v>
      </c>
      <c r="BG852" s="0" t="s">
        <v>130</v>
      </c>
      <c r="BH852" s="0" t="s">
        <v>130</v>
      </c>
      <c r="BI852" s="0" t="s">
        <v>130</v>
      </c>
      <c r="BJ852" s="0" t="s">
        <v>130</v>
      </c>
      <c r="BK852" s="0" t="s">
        <v>130</v>
      </c>
      <c r="BL852" s="0" t="s">
        <v>130</v>
      </c>
      <c r="BM852" s="0" t="s">
        <v>130</v>
      </c>
      <c r="BN852" s="0" t="s">
        <v>130</v>
      </c>
      <c r="BO852" s="0" t="s">
        <v>130</v>
      </c>
      <c r="BP852" s="0" t="s">
        <v>130</v>
      </c>
      <c r="BQ852" s="0" t="s">
        <v>130</v>
      </c>
      <c r="BR852" s="0" t="s">
        <v>130</v>
      </c>
      <c r="BS852" s="0" t="s">
        <v>130</v>
      </c>
      <c r="BT852" s="0" t="s">
        <v>130</v>
      </c>
      <c r="BU852" s="0" t="s">
        <v>130</v>
      </c>
      <c r="BV852" s="0" t="s">
        <v>130</v>
      </c>
      <c r="BW852" s="0" t="s">
        <v>130</v>
      </c>
      <c r="BX852" s="0" t="s">
        <v>130</v>
      </c>
      <c r="BY852" s="0" t="s">
        <v>130</v>
      </c>
      <c r="BZ852" s="0" t="s">
        <v>130</v>
      </c>
      <c r="CA852" s="0" t="s">
        <v>130</v>
      </c>
      <c r="CB852" s="0" t="s">
        <v>130</v>
      </c>
      <c r="CC852" s="0" t="s">
        <v>130</v>
      </c>
      <c r="CD852" s="0" t="s">
        <v>130</v>
      </c>
      <c r="CE852" s="0" t="s">
        <v>130</v>
      </c>
      <c r="CF852" s="0" t="s">
        <v>130</v>
      </c>
      <c r="CG852" s="0" t="s">
        <v>130</v>
      </c>
      <c r="CH852" s="0" t="s">
        <v>130</v>
      </c>
      <c r="CI852" s="0" t="s">
        <v>130</v>
      </c>
      <c r="CJ852" s="0" t="s">
        <v>130</v>
      </c>
      <c r="CK852" s="0" t="s">
        <v>130</v>
      </c>
      <c r="CL852" s="0" t="s">
        <v>130</v>
      </c>
      <c r="CM852" s="0" t="s">
        <v>130</v>
      </c>
      <c r="CN852" s="0" t="s">
        <v>130</v>
      </c>
      <c r="CO852" s="0" t="s">
        <v>130</v>
      </c>
      <c r="CP852" s="0" t="s">
        <v>130</v>
      </c>
      <c r="CQ852" s="0" t="s">
        <v>130</v>
      </c>
      <c r="CR852" s="0" t="s">
        <v>130</v>
      </c>
      <c r="CS852" s="0" t="s">
        <v>130</v>
      </c>
      <c r="CT852" s="0" t="s">
        <v>2646</v>
      </c>
    </row>
    <row r="853">
      <c r="A853" s="14">
        <v>115682</v>
      </c>
      <c r="B853" s="0" t="s">
        <v>2620</v>
      </c>
      <c r="C853" s="16">
        <f>HYPERLINK("https://eosportal.federatedhermes.com/companies/Q29tcGFueQppNTMxNDc=", "Bayerische Motoren Werke AG (BMW)")</f>
      </c>
      <c r="D853" s="0" t="s">
        <v>25</v>
      </c>
      <c r="E853" s="0" t="s">
        <v>2647</v>
      </c>
      <c r="F853" s="16">
        <f>HYPERLINK("https://eosportal.federatedhermes.com/engagements/RW5nYWdlbWVudAppMjI0MzY=", "Sustainability management")</f>
      </c>
      <c r="G853" s="14" t="s">
        <v>2647</v>
      </c>
      <c r="H853" s="0" t="s">
        <v>141</v>
      </c>
      <c r="I853" s="14" t="s">
        <v>1645</v>
      </c>
      <c r="J853" s="0" t="s">
        <v>132</v>
      </c>
      <c r="K853" s="0" t="s">
        <v>133</v>
      </c>
      <c r="L853" s="0" t="s">
        <v>160</v>
      </c>
      <c r="M853" s="0" t="s">
        <v>378</v>
      </c>
      <c r="N853" s="0" t="s">
        <v>2485</v>
      </c>
      <c r="O853" s="0" t="s">
        <v>425</v>
      </c>
      <c r="Q853" s="0" t="s">
        <v>130</v>
      </c>
      <c r="R853" s="0" t="s">
        <v>138</v>
      </c>
      <c r="S853" s="14">
        <v>0</v>
      </c>
      <c r="T853" s="0" t="s">
        <v>278</v>
      </c>
      <c r="U853" s="0" t="s">
        <v>138</v>
      </c>
      <c r="V853" s="14" t="s">
        <v>138</v>
      </c>
      <c r="W853" s="0" t="s">
        <v>138</v>
      </c>
      <c r="X853" s="14" t="s">
        <v>138</v>
      </c>
      <c r="Y853" s="0" t="s">
        <v>138</v>
      </c>
      <c r="Z853" s="14" t="s">
        <v>138</v>
      </c>
      <c r="AA853" s="0" t="s">
        <v>138</v>
      </c>
      <c r="AB853" s="14" t="s">
        <v>138</v>
      </c>
      <c r="AD853" s="0" t="s">
        <v>138</v>
      </c>
      <c r="AF853" s="0">
        <v>0</v>
      </c>
      <c r="AG853" s="0">
        <v>0</v>
      </c>
      <c r="AH853" s="0" t="s">
        <v>140</v>
      </c>
      <c r="AI853" s="0" t="s">
        <v>138</v>
      </c>
      <c r="AL853" s="14"/>
      <c r="AN853" s="14"/>
      <c r="AQ853" s="0" t="s">
        <v>130</v>
      </c>
      <c r="AR853" s="0" t="s">
        <v>130</v>
      </c>
      <c r="AS853" s="0" t="s">
        <v>130</v>
      </c>
      <c r="AT853" s="0" t="s">
        <v>130</v>
      </c>
      <c r="AU853" s="0" t="s">
        <v>130</v>
      </c>
      <c r="AV853" s="0" t="s">
        <v>130</v>
      </c>
      <c r="AW853" s="0" t="s">
        <v>130</v>
      </c>
      <c r="AX853" s="0" t="s">
        <v>130</v>
      </c>
      <c r="AY853" s="0" t="s">
        <v>130</v>
      </c>
      <c r="AZ853" s="0" t="s">
        <v>130</v>
      </c>
      <c r="BA853" s="0" t="s">
        <v>130</v>
      </c>
      <c r="BB853" s="0" t="s">
        <v>130</v>
      </c>
      <c r="BC853" s="0" t="s">
        <v>130</v>
      </c>
      <c r="BD853" s="0" t="s">
        <v>130</v>
      </c>
      <c r="BE853" s="0" t="s">
        <v>130</v>
      </c>
      <c r="BF853" s="0" t="s">
        <v>130</v>
      </c>
      <c r="BG853" s="0" t="s">
        <v>130</v>
      </c>
      <c r="BH853" s="0" t="s">
        <v>130</v>
      </c>
      <c r="BI853" s="0" t="s">
        <v>130</v>
      </c>
      <c r="BJ853" s="0" t="s">
        <v>130</v>
      </c>
      <c r="BK853" s="0" t="s">
        <v>130</v>
      </c>
      <c r="BL853" s="0" t="s">
        <v>130</v>
      </c>
      <c r="BM853" s="0" t="s">
        <v>130</v>
      </c>
      <c r="BN853" s="0" t="s">
        <v>130</v>
      </c>
      <c r="BO853" s="0" t="s">
        <v>130</v>
      </c>
      <c r="BP853" s="0" t="s">
        <v>130</v>
      </c>
      <c r="BQ853" s="0" t="s">
        <v>130</v>
      </c>
      <c r="BR853" s="0" t="s">
        <v>130</v>
      </c>
      <c r="BS853" s="0" t="s">
        <v>130</v>
      </c>
      <c r="BT853" s="0" t="s">
        <v>130</v>
      </c>
      <c r="BU853" s="0" t="s">
        <v>130</v>
      </c>
      <c r="BV853" s="0" t="s">
        <v>130</v>
      </c>
      <c r="BW853" s="0" t="s">
        <v>130</v>
      </c>
      <c r="BX853" s="0" t="s">
        <v>130</v>
      </c>
      <c r="BY853" s="0" t="s">
        <v>130</v>
      </c>
      <c r="BZ853" s="0" t="s">
        <v>130</v>
      </c>
      <c r="CA853" s="0" t="s">
        <v>130</v>
      </c>
      <c r="CB853" s="0" t="s">
        <v>130</v>
      </c>
      <c r="CC853" s="0" t="s">
        <v>130</v>
      </c>
      <c r="CD853" s="0" t="s">
        <v>130</v>
      </c>
      <c r="CE853" s="0" t="s">
        <v>130</v>
      </c>
      <c r="CF853" s="0" t="s">
        <v>130</v>
      </c>
      <c r="CG853" s="0" t="s">
        <v>130</v>
      </c>
      <c r="CH853" s="0" t="s">
        <v>130</v>
      </c>
      <c r="CI853" s="0" t="s">
        <v>130</v>
      </c>
      <c r="CJ853" s="0" t="s">
        <v>130</v>
      </c>
      <c r="CK853" s="0" t="s">
        <v>130</v>
      </c>
      <c r="CL853" s="0" t="s">
        <v>130</v>
      </c>
      <c r="CM853" s="0" t="s">
        <v>130</v>
      </c>
      <c r="CN853" s="0" t="s">
        <v>130</v>
      </c>
      <c r="CO853" s="0" t="s">
        <v>130</v>
      </c>
      <c r="CP853" s="0" t="s">
        <v>130</v>
      </c>
      <c r="CQ853" s="0" t="s">
        <v>130</v>
      </c>
      <c r="CR853" s="0" t="s">
        <v>130</v>
      </c>
      <c r="CS853" s="0" t="s">
        <v>130</v>
      </c>
      <c r="CT853" s="0" t="s">
        <v>2648</v>
      </c>
    </row>
    <row r="854">
      <c r="A854" s="14">
        <v>115682</v>
      </c>
      <c r="B854" s="0" t="s">
        <v>2620</v>
      </c>
      <c r="C854" s="16">
        <f>HYPERLINK("https://eosportal.federatedhermes.com/companies/Q29tcGFueQppNTMxNDc=", "Bayerische Motoren Werke AG (BMW)")</f>
      </c>
      <c r="D854" s="0" t="s">
        <v>25</v>
      </c>
      <c r="E854" s="0" t="s">
        <v>2649</v>
      </c>
      <c r="F854" s="16">
        <f>HYPERLINK("https://eosportal.federatedhermes.com/engagements/RW5nYWdlbWVudAppMjI0Mzc=", "Alleged German car cartel")</f>
      </c>
      <c r="G854" s="14" t="s">
        <v>2650</v>
      </c>
      <c r="H854" s="0" t="s">
        <v>141</v>
      </c>
      <c r="I854" s="14" t="s">
        <v>1645</v>
      </c>
      <c r="J854" s="0" t="s">
        <v>153</v>
      </c>
      <c r="K854" s="0" t="s">
        <v>185</v>
      </c>
      <c r="L854" s="0" t="s">
        <v>186</v>
      </c>
      <c r="M854" s="0" t="s">
        <v>378</v>
      </c>
      <c r="N854" s="0" t="s">
        <v>2485</v>
      </c>
      <c r="O854" s="0" t="s">
        <v>425</v>
      </c>
      <c r="Q854" s="0" t="s">
        <v>130</v>
      </c>
      <c r="R854" s="0" t="s">
        <v>138</v>
      </c>
      <c r="S854" s="14">
        <v>0</v>
      </c>
      <c r="T854" s="0" t="s">
        <v>314</v>
      </c>
      <c r="U854" s="0" t="s">
        <v>138</v>
      </c>
      <c r="V854" s="14" t="s">
        <v>138</v>
      </c>
      <c r="W854" s="0" t="s">
        <v>138</v>
      </c>
      <c r="X854" s="14" t="s">
        <v>138</v>
      </c>
      <c r="Y854" s="0" t="s">
        <v>138</v>
      </c>
      <c r="Z854" s="14" t="s">
        <v>138</v>
      </c>
      <c r="AA854" s="0" t="s">
        <v>138</v>
      </c>
      <c r="AB854" s="14" t="s">
        <v>138</v>
      </c>
      <c r="AD854" s="0" t="s">
        <v>138</v>
      </c>
      <c r="AF854" s="0">
        <v>0</v>
      </c>
      <c r="AG854" s="0">
        <v>0</v>
      </c>
      <c r="AH854" s="0" t="s">
        <v>140</v>
      </c>
      <c r="AI854" s="0" t="s">
        <v>138</v>
      </c>
      <c r="AL854" s="14"/>
      <c r="AN854" s="14"/>
      <c r="AQ854" s="0" t="s">
        <v>130</v>
      </c>
      <c r="AR854" s="0" t="s">
        <v>130</v>
      </c>
      <c r="AS854" s="0" t="s">
        <v>130</v>
      </c>
      <c r="AT854" s="0" t="s">
        <v>130</v>
      </c>
      <c r="AU854" s="0" t="s">
        <v>130</v>
      </c>
      <c r="AV854" s="0" t="s">
        <v>130</v>
      </c>
      <c r="AW854" s="0" t="s">
        <v>130</v>
      </c>
      <c r="AX854" s="0" t="s">
        <v>130</v>
      </c>
      <c r="AY854" s="0" t="s">
        <v>130</v>
      </c>
      <c r="AZ854" s="0" t="s">
        <v>130</v>
      </c>
      <c r="BA854" s="0" t="s">
        <v>130</v>
      </c>
      <c r="BB854" s="0" t="s">
        <v>130</v>
      </c>
      <c r="BC854" s="0" t="s">
        <v>130</v>
      </c>
      <c r="BD854" s="0" t="s">
        <v>130</v>
      </c>
      <c r="BE854" s="0" t="s">
        <v>130</v>
      </c>
      <c r="BF854" s="0" t="s">
        <v>130</v>
      </c>
      <c r="BG854" s="0" t="s">
        <v>130</v>
      </c>
      <c r="BH854" s="0" t="s">
        <v>130</v>
      </c>
      <c r="BI854" s="0" t="s">
        <v>130</v>
      </c>
      <c r="BJ854" s="0" t="s">
        <v>130</v>
      </c>
      <c r="BK854" s="0" t="s">
        <v>130</v>
      </c>
      <c r="BL854" s="0" t="s">
        <v>130</v>
      </c>
      <c r="BM854" s="0" t="s">
        <v>130</v>
      </c>
      <c r="BN854" s="0" t="s">
        <v>130</v>
      </c>
      <c r="BO854" s="0" t="s">
        <v>130</v>
      </c>
      <c r="BP854" s="0" t="s">
        <v>130</v>
      </c>
      <c r="BQ854" s="0" t="s">
        <v>130</v>
      </c>
      <c r="BR854" s="0" t="s">
        <v>130</v>
      </c>
      <c r="BS854" s="0" t="s">
        <v>130</v>
      </c>
      <c r="BT854" s="0" t="s">
        <v>130</v>
      </c>
      <c r="BU854" s="0" t="s">
        <v>130</v>
      </c>
      <c r="BV854" s="0" t="s">
        <v>130</v>
      </c>
      <c r="BW854" s="0" t="s">
        <v>130</v>
      </c>
      <c r="BX854" s="0" t="s">
        <v>130</v>
      </c>
      <c r="BY854" s="0" t="s">
        <v>130</v>
      </c>
      <c r="BZ854" s="0" t="s">
        <v>130</v>
      </c>
      <c r="CA854" s="0" t="s">
        <v>130</v>
      </c>
      <c r="CB854" s="0" t="s">
        <v>130</v>
      </c>
      <c r="CC854" s="0" t="s">
        <v>130</v>
      </c>
      <c r="CD854" s="0" t="s">
        <v>130</v>
      </c>
      <c r="CE854" s="0" t="s">
        <v>130</v>
      </c>
      <c r="CF854" s="0" t="s">
        <v>130</v>
      </c>
      <c r="CG854" s="0" t="s">
        <v>130</v>
      </c>
      <c r="CH854" s="0" t="s">
        <v>130</v>
      </c>
      <c r="CI854" s="0" t="s">
        <v>130</v>
      </c>
      <c r="CJ854" s="0" t="s">
        <v>130</v>
      </c>
      <c r="CK854" s="0" t="s">
        <v>130</v>
      </c>
      <c r="CL854" s="0" t="s">
        <v>130</v>
      </c>
      <c r="CM854" s="0" t="s">
        <v>130</v>
      </c>
      <c r="CN854" s="0" t="s">
        <v>130</v>
      </c>
      <c r="CO854" s="0" t="s">
        <v>130</v>
      </c>
      <c r="CP854" s="0" t="s">
        <v>130</v>
      </c>
      <c r="CQ854" s="0" t="s">
        <v>130</v>
      </c>
      <c r="CR854" s="0" t="s">
        <v>130</v>
      </c>
      <c r="CS854" s="0" t="s">
        <v>130</v>
      </c>
      <c r="CT854" s="0" t="s">
        <v>2651</v>
      </c>
    </row>
    <row r="855">
      <c r="A855" s="14">
        <v>115682</v>
      </c>
      <c r="B855" s="0" t="s">
        <v>2620</v>
      </c>
      <c r="C855" s="16">
        <f>HYPERLINK("https://eosportal.federatedhermes.com/companies/Q29tcGFueQppNTMxNDc=", "Bayerische Motoren Werke AG (BMW)")</f>
      </c>
      <c r="D855" s="0" t="s">
        <v>25</v>
      </c>
      <c r="E855" s="0" t="s">
        <v>2652</v>
      </c>
      <c r="F855" s="16">
        <f>HYPERLINK("https://eosportal.federatedhermes.com/engagements/RW5nYWdlbWVudAppMjI0Mzg=", "Sustainability strategy and reporting")</f>
      </c>
      <c r="G855" s="14" t="s">
        <v>2653</v>
      </c>
      <c r="H855" s="0" t="s">
        <v>141</v>
      </c>
      <c r="I855" s="14" t="s">
        <v>1645</v>
      </c>
      <c r="J855" s="0" t="s">
        <v>132</v>
      </c>
      <c r="K855" s="0" t="s">
        <v>133</v>
      </c>
      <c r="L855" s="0" t="s">
        <v>160</v>
      </c>
      <c r="M855" s="0" t="s">
        <v>378</v>
      </c>
      <c r="N855" s="0" t="s">
        <v>2485</v>
      </c>
      <c r="O855" s="0" t="s">
        <v>425</v>
      </c>
      <c r="Q855" s="0" t="s">
        <v>130</v>
      </c>
      <c r="R855" s="0" t="s">
        <v>138</v>
      </c>
      <c r="S855" s="14">
        <v>0</v>
      </c>
      <c r="T855" s="0" t="s">
        <v>390</v>
      </c>
      <c r="U855" s="0" t="s">
        <v>138</v>
      </c>
      <c r="V855" s="14" t="s">
        <v>138</v>
      </c>
      <c r="W855" s="0" t="s">
        <v>138</v>
      </c>
      <c r="X855" s="14" t="s">
        <v>138</v>
      </c>
      <c r="Y855" s="0" t="s">
        <v>138</v>
      </c>
      <c r="Z855" s="14" t="s">
        <v>138</v>
      </c>
      <c r="AA855" s="0" t="s">
        <v>138</v>
      </c>
      <c r="AB855" s="14" t="s">
        <v>138</v>
      </c>
      <c r="AD855" s="0" t="s">
        <v>138</v>
      </c>
      <c r="AF855" s="0">
        <v>0</v>
      </c>
      <c r="AG855" s="0">
        <v>0</v>
      </c>
      <c r="AH855" s="0" t="s">
        <v>140</v>
      </c>
      <c r="AI855" s="0" t="s">
        <v>138</v>
      </c>
      <c r="AL855" s="14"/>
      <c r="AN855" s="14"/>
      <c r="AQ855" s="0" t="s">
        <v>130</v>
      </c>
      <c r="AR855" s="0" t="s">
        <v>130</v>
      </c>
      <c r="AS855" s="0" t="s">
        <v>130</v>
      </c>
      <c r="AT855" s="0" t="s">
        <v>130</v>
      </c>
      <c r="AU855" s="0" t="s">
        <v>130</v>
      </c>
      <c r="AV855" s="0" t="s">
        <v>130</v>
      </c>
      <c r="AW855" s="0" t="s">
        <v>130</v>
      </c>
      <c r="AX855" s="0" t="s">
        <v>130</v>
      </c>
      <c r="AY855" s="0" t="s">
        <v>130</v>
      </c>
      <c r="AZ855" s="0" t="s">
        <v>130</v>
      </c>
      <c r="BA855" s="0" t="s">
        <v>130</v>
      </c>
      <c r="BB855" s="0" t="s">
        <v>130</v>
      </c>
      <c r="BC855" s="0" t="s">
        <v>130</v>
      </c>
      <c r="BD855" s="0" t="s">
        <v>130</v>
      </c>
      <c r="BE855" s="0" t="s">
        <v>130</v>
      </c>
      <c r="BF855" s="0" t="s">
        <v>130</v>
      </c>
      <c r="BG855" s="0" t="s">
        <v>130</v>
      </c>
      <c r="BH855" s="0" t="s">
        <v>130</v>
      </c>
      <c r="BI855" s="0" t="s">
        <v>130</v>
      </c>
      <c r="BJ855" s="0" t="s">
        <v>130</v>
      </c>
      <c r="BK855" s="0" t="s">
        <v>130</v>
      </c>
      <c r="BL855" s="0" t="s">
        <v>130</v>
      </c>
      <c r="BM855" s="0" t="s">
        <v>130</v>
      </c>
      <c r="BN855" s="0" t="s">
        <v>130</v>
      </c>
      <c r="BO855" s="0" t="s">
        <v>130</v>
      </c>
      <c r="BP855" s="0" t="s">
        <v>130</v>
      </c>
      <c r="BQ855" s="0" t="s">
        <v>130</v>
      </c>
      <c r="BR855" s="0" t="s">
        <v>130</v>
      </c>
      <c r="BS855" s="0" t="s">
        <v>130</v>
      </c>
      <c r="BT855" s="0" t="s">
        <v>130</v>
      </c>
      <c r="BU855" s="0" t="s">
        <v>130</v>
      </c>
      <c r="BV855" s="0" t="s">
        <v>130</v>
      </c>
      <c r="BW855" s="0" t="s">
        <v>130</v>
      </c>
      <c r="BX855" s="0" t="s">
        <v>130</v>
      </c>
      <c r="BY855" s="0" t="s">
        <v>130</v>
      </c>
      <c r="BZ855" s="0" t="s">
        <v>130</v>
      </c>
      <c r="CA855" s="0" t="s">
        <v>130</v>
      </c>
      <c r="CB855" s="0" t="s">
        <v>130</v>
      </c>
      <c r="CC855" s="0" t="s">
        <v>130</v>
      </c>
      <c r="CD855" s="0" t="s">
        <v>130</v>
      </c>
      <c r="CE855" s="0" t="s">
        <v>130</v>
      </c>
      <c r="CF855" s="0" t="s">
        <v>130</v>
      </c>
      <c r="CG855" s="0" t="s">
        <v>130</v>
      </c>
      <c r="CH855" s="0" t="s">
        <v>130</v>
      </c>
      <c r="CI855" s="0" t="s">
        <v>130</v>
      </c>
      <c r="CJ855" s="0" t="s">
        <v>130</v>
      </c>
      <c r="CK855" s="0" t="s">
        <v>130</v>
      </c>
      <c r="CL855" s="0" t="s">
        <v>130</v>
      </c>
      <c r="CM855" s="0" t="s">
        <v>130</v>
      </c>
      <c r="CN855" s="0" t="s">
        <v>130</v>
      </c>
      <c r="CO855" s="0" t="s">
        <v>130</v>
      </c>
      <c r="CP855" s="0" t="s">
        <v>130</v>
      </c>
      <c r="CQ855" s="0" t="s">
        <v>130</v>
      </c>
      <c r="CR855" s="0" t="s">
        <v>130</v>
      </c>
      <c r="CS855" s="0" t="s">
        <v>130</v>
      </c>
      <c r="CT855" s="0" t="s">
        <v>2654</v>
      </c>
    </row>
    <row r="856">
      <c r="A856" s="14">
        <v>115757</v>
      </c>
      <c r="B856" s="0" t="s">
        <v>2655</v>
      </c>
      <c r="C856" s="16">
        <f>HYPERLINK("https://eosportal.federatedhermes.com/companies/Q29tcGFueQppNTg5Mjc=", "Volkswagen AG")</f>
      </c>
      <c r="D856" s="0" t="s">
        <v>25</v>
      </c>
      <c r="E856" s="0" t="s">
        <v>2656</v>
      </c>
      <c r="F856" s="16">
        <f>HYPERLINK("https://eosportal.federatedhermes.com/engagements/RW5nYWdlbWVudAppMjI1MjE=", "Supervisory board composition and succession planning")</f>
      </c>
      <c r="G856" s="14" t="s">
        <v>2657</v>
      </c>
      <c r="H856" s="0" t="s">
        <v>141</v>
      </c>
      <c r="I856" s="14" t="s">
        <v>1645</v>
      </c>
      <c r="J856" s="0" t="s">
        <v>145</v>
      </c>
      <c r="K856" s="0" t="s">
        <v>164</v>
      </c>
      <c r="L856" s="0" t="s">
        <v>277</v>
      </c>
      <c r="M856" s="0" t="s">
        <v>378</v>
      </c>
      <c r="N856" s="0" t="s">
        <v>2485</v>
      </c>
      <c r="O856" s="0" t="s">
        <v>425</v>
      </c>
      <c r="Q856" s="0" t="s">
        <v>141</v>
      </c>
      <c r="R856" s="0" t="s">
        <v>138</v>
      </c>
      <c r="S856" s="14">
        <v>1</v>
      </c>
      <c r="T856" s="0" t="s">
        <v>707</v>
      </c>
      <c r="U856" s="0" t="s">
        <v>138</v>
      </c>
      <c r="V856" s="14" t="s">
        <v>138</v>
      </c>
      <c r="W856" s="0" t="s">
        <v>138</v>
      </c>
      <c r="X856" s="14" t="s">
        <v>138</v>
      </c>
      <c r="Y856" s="0" t="s">
        <v>138</v>
      </c>
      <c r="Z856" s="14" t="s">
        <v>138</v>
      </c>
      <c r="AA856" s="0" t="s">
        <v>138</v>
      </c>
      <c r="AB856" s="14" t="s">
        <v>138</v>
      </c>
      <c r="AD856" s="0" t="s">
        <v>138</v>
      </c>
      <c r="AF856" s="0">
        <v>0</v>
      </c>
      <c r="AG856" s="0">
        <v>0</v>
      </c>
      <c r="AH856" s="0" t="s">
        <v>140</v>
      </c>
      <c r="AI856" s="0" t="s">
        <v>138</v>
      </c>
      <c r="AK856" s="0" t="s">
        <v>2658</v>
      </c>
      <c r="AL856" s="14"/>
      <c r="AN856" s="14"/>
      <c r="AQ856" s="0" t="s">
        <v>130</v>
      </c>
      <c r="AR856" s="0" t="s">
        <v>130</v>
      </c>
      <c r="AS856" s="0" t="s">
        <v>130</v>
      </c>
      <c r="AT856" s="0" t="s">
        <v>130</v>
      </c>
      <c r="AU856" s="0" t="s">
        <v>130</v>
      </c>
      <c r="AV856" s="0" t="s">
        <v>130</v>
      </c>
      <c r="AW856" s="0" t="s">
        <v>130</v>
      </c>
      <c r="AX856" s="0" t="s">
        <v>130</v>
      </c>
      <c r="AY856" s="0" t="s">
        <v>130</v>
      </c>
      <c r="AZ856" s="0" t="s">
        <v>130</v>
      </c>
      <c r="BA856" s="0" t="s">
        <v>130</v>
      </c>
      <c r="BB856" s="0" t="s">
        <v>130</v>
      </c>
      <c r="BC856" s="0" t="s">
        <v>130</v>
      </c>
      <c r="BD856" s="0" t="s">
        <v>130</v>
      </c>
      <c r="BE856" s="0" t="s">
        <v>130</v>
      </c>
      <c r="BF856" s="0" t="s">
        <v>130</v>
      </c>
      <c r="BG856" s="0" t="s">
        <v>130</v>
      </c>
      <c r="BH856" s="0" t="s">
        <v>130</v>
      </c>
      <c r="BI856" s="0" t="s">
        <v>130</v>
      </c>
      <c r="BJ856" s="0" t="s">
        <v>130</v>
      </c>
      <c r="BK856" s="0" t="s">
        <v>130</v>
      </c>
      <c r="BL856" s="0" t="s">
        <v>130</v>
      </c>
      <c r="BM856" s="0" t="s">
        <v>130</v>
      </c>
      <c r="BN856" s="0" t="s">
        <v>130</v>
      </c>
      <c r="BO856" s="0" t="s">
        <v>130</v>
      </c>
      <c r="BP856" s="0" t="s">
        <v>130</v>
      </c>
      <c r="BQ856" s="0" t="s">
        <v>130</v>
      </c>
      <c r="BR856" s="0" t="s">
        <v>130</v>
      </c>
      <c r="BS856" s="0" t="s">
        <v>130</v>
      </c>
      <c r="BT856" s="0" t="s">
        <v>130</v>
      </c>
      <c r="BU856" s="0" t="s">
        <v>130</v>
      </c>
      <c r="BV856" s="0" t="s">
        <v>130</v>
      </c>
      <c r="BW856" s="0" t="s">
        <v>130</v>
      </c>
      <c r="BX856" s="0" t="s">
        <v>130</v>
      </c>
      <c r="BY856" s="0" t="s">
        <v>130</v>
      </c>
      <c r="BZ856" s="0" t="s">
        <v>130</v>
      </c>
      <c r="CA856" s="0" t="s">
        <v>130</v>
      </c>
      <c r="CB856" s="0" t="s">
        <v>130</v>
      </c>
      <c r="CC856" s="0" t="s">
        <v>130</v>
      </c>
      <c r="CD856" s="0" t="s">
        <v>130</v>
      </c>
      <c r="CE856" s="0" t="s">
        <v>130</v>
      </c>
      <c r="CF856" s="0" t="s">
        <v>130</v>
      </c>
      <c r="CG856" s="0" t="s">
        <v>130</v>
      </c>
      <c r="CH856" s="0" t="s">
        <v>130</v>
      </c>
      <c r="CI856" s="0" t="s">
        <v>130</v>
      </c>
      <c r="CJ856" s="0" t="s">
        <v>130</v>
      </c>
      <c r="CK856" s="0" t="s">
        <v>130</v>
      </c>
      <c r="CL856" s="0" t="s">
        <v>130</v>
      </c>
      <c r="CM856" s="0" t="s">
        <v>130</v>
      </c>
      <c r="CN856" s="0" t="s">
        <v>130</v>
      </c>
      <c r="CO856" s="0" t="s">
        <v>130</v>
      </c>
      <c r="CP856" s="0" t="s">
        <v>130</v>
      </c>
      <c r="CQ856" s="0" t="s">
        <v>130</v>
      </c>
      <c r="CR856" s="0" t="s">
        <v>130</v>
      </c>
      <c r="CS856" s="0" t="s">
        <v>130</v>
      </c>
      <c r="CT856" s="0" t="s">
        <v>2659</v>
      </c>
    </row>
    <row r="857">
      <c r="A857" s="14">
        <v>115757</v>
      </c>
      <c r="B857" s="0" t="s">
        <v>2655</v>
      </c>
      <c r="C857" s="16">
        <f>HYPERLINK("https://eosportal.federatedhermes.com/companies/Q29tcGFueQppNTg5Mjc=", "Volkswagen AG")</f>
      </c>
      <c r="D857" s="0" t="s">
        <v>25</v>
      </c>
      <c r="E857" s="0" t="s">
        <v>341</v>
      </c>
      <c r="F857" s="16">
        <f>HYPERLINK("https://eosportal.federatedhermes.com/engagements/RW5nYWdlbWVudAppMjI1MjM=", "Remuneration")</f>
      </c>
      <c r="G857" s="14"/>
      <c r="H857" s="0" t="s">
        <v>141</v>
      </c>
      <c r="I857" s="14" t="s">
        <v>1645</v>
      </c>
      <c r="J857" s="0" t="s">
        <v>145</v>
      </c>
      <c r="K857" s="0" t="s">
        <v>146</v>
      </c>
      <c r="L857" s="0" t="s">
        <v>147</v>
      </c>
      <c r="M857" s="0" t="s">
        <v>378</v>
      </c>
      <c r="N857" s="0" t="s">
        <v>2485</v>
      </c>
      <c r="O857" s="0" t="s">
        <v>425</v>
      </c>
      <c r="Q857" s="0" t="s">
        <v>130</v>
      </c>
      <c r="R857" s="0" t="s">
        <v>138</v>
      </c>
      <c r="S857" s="14">
        <v>0</v>
      </c>
      <c r="T857" s="0" t="s">
        <v>278</v>
      </c>
      <c r="U857" s="0" t="s">
        <v>138</v>
      </c>
      <c r="V857" s="14" t="s">
        <v>138</v>
      </c>
      <c r="W857" s="0" t="s">
        <v>138</v>
      </c>
      <c r="X857" s="14" t="s">
        <v>138</v>
      </c>
      <c r="Y857" s="0" t="s">
        <v>138</v>
      </c>
      <c r="Z857" s="14" t="s">
        <v>138</v>
      </c>
      <c r="AA857" s="0" t="s">
        <v>138</v>
      </c>
      <c r="AB857" s="14" t="s">
        <v>138</v>
      </c>
      <c r="AD857" s="0" t="s">
        <v>138</v>
      </c>
      <c r="AF857" s="0">
        <v>0</v>
      </c>
      <c r="AG857" s="0">
        <v>0</v>
      </c>
      <c r="AH857" s="0" t="s">
        <v>140</v>
      </c>
      <c r="AI857" s="0" t="s">
        <v>138</v>
      </c>
      <c r="AL857" s="14"/>
      <c r="AN857" s="14"/>
      <c r="AQ857" s="0" t="s">
        <v>130</v>
      </c>
      <c r="AR857" s="0" t="s">
        <v>130</v>
      </c>
      <c r="AS857" s="0" t="s">
        <v>130</v>
      </c>
      <c r="AT857" s="0" t="s">
        <v>130</v>
      </c>
      <c r="AU857" s="0" t="s">
        <v>130</v>
      </c>
      <c r="AV857" s="0" t="s">
        <v>130</v>
      </c>
      <c r="AW857" s="0" t="s">
        <v>130</v>
      </c>
      <c r="AX857" s="0" t="s">
        <v>130</v>
      </c>
      <c r="AY857" s="0" t="s">
        <v>130</v>
      </c>
      <c r="AZ857" s="0" t="s">
        <v>130</v>
      </c>
      <c r="BA857" s="0" t="s">
        <v>130</v>
      </c>
      <c r="BB857" s="0" t="s">
        <v>130</v>
      </c>
      <c r="BC857" s="0" t="s">
        <v>130</v>
      </c>
      <c r="BD857" s="0" t="s">
        <v>130</v>
      </c>
      <c r="BE857" s="0" t="s">
        <v>130</v>
      </c>
      <c r="BF857" s="0" t="s">
        <v>130</v>
      </c>
      <c r="BG857" s="0" t="s">
        <v>130</v>
      </c>
      <c r="BH857" s="0" t="s">
        <v>130</v>
      </c>
      <c r="BI857" s="0" t="s">
        <v>130</v>
      </c>
      <c r="BJ857" s="0" t="s">
        <v>130</v>
      </c>
      <c r="BK857" s="0" t="s">
        <v>130</v>
      </c>
      <c r="BL857" s="0" t="s">
        <v>130</v>
      </c>
      <c r="BM857" s="0" t="s">
        <v>130</v>
      </c>
      <c r="BN857" s="0" t="s">
        <v>130</v>
      </c>
      <c r="BO857" s="0" t="s">
        <v>130</v>
      </c>
      <c r="BP857" s="0" t="s">
        <v>130</v>
      </c>
      <c r="BQ857" s="0" t="s">
        <v>130</v>
      </c>
      <c r="BR857" s="0" t="s">
        <v>130</v>
      </c>
      <c r="BS857" s="0" t="s">
        <v>130</v>
      </c>
      <c r="BT857" s="0" t="s">
        <v>130</v>
      </c>
      <c r="BU857" s="0" t="s">
        <v>130</v>
      </c>
      <c r="BV857" s="0" t="s">
        <v>130</v>
      </c>
      <c r="BW857" s="0" t="s">
        <v>130</v>
      </c>
      <c r="BX857" s="0" t="s">
        <v>130</v>
      </c>
      <c r="BY857" s="0" t="s">
        <v>130</v>
      </c>
      <c r="BZ857" s="0" t="s">
        <v>130</v>
      </c>
      <c r="CA857" s="0" t="s">
        <v>130</v>
      </c>
      <c r="CB857" s="0" t="s">
        <v>130</v>
      </c>
      <c r="CC857" s="0" t="s">
        <v>130</v>
      </c>
      <c r="CD857" s="0" t="s">
        <v>130</v>
      </c>
      <c r="CE857" s="0" t="s">
        <v>130</v>
      </c>
      <c r="CF857" s="0" t="s">
        <v>130</v>
      </c>
      <c r="CG857" s="0" t="s">
        <v>130</v>
      </c>
      <c r="CH857" s="0" t="s">
        <v>130</v>
      </c>
      <c r="CI857" s="0" t="s">
        <v>130</v>
      </c>
      <c r="CJ857" s="0" t="s">
        <v>130</v>
      </c>
      <c r="CK857" s="0" t="s">
        <v>130</v>
      </c>
      <c r="CL857" s="0" t="s">
        <v>130</v>
      </c>
      <c r="CM857" s="0" t="s">
        <v>130</v>
      </c>
      <c r="CN857" s="0" t="s">
        <v>130</v>
      </c>
      <c r="CO857" s="0" t="s">
        <v>130</v>
      </c>
      <c r="CP857" s="0" t="s">
        <v>130</v>
      </c>
      <c r="CQ857" s="0" t="s">
        <v>130</v>
      </c>
      <c r="CR857" s="0" t="s">
        <v>130</v>
      </c>
      <c r="CS857" s="0" t="s">
        <v>130</v>
      </c>
      <c r="CT857" s="0" t="s">
        <v>2660</v>
      </c>
    </row>
    <row r="858">
      <c r="A858" s="14">
        <v>115757</v>
      </c>
      <c r="B858" s="0" t="s">
        <v>2655</v>
      </c>
      <c r="C858" s="16">
        <f>HYPERLINK("https://eosportal.federatedhermes.com/companies/Q29tcGFueQppNTg5Mjc=", "Volkswagen AG")</f>
      </c>
      <c r="D858" s="0" t="s">
        <v>23</v>
      </c>
      <c r="E858" s="0" t="s">
        <v>2627</v>
      </c>
      <c r="F858" s="16">
        <f>HYPERLINK("https://eosportal.federatedhermes.com/engagements/RW5nYWdlbWVudAppMjI1MjQ=", "Paris-aligned accounts")</f>
      </c>
      <c r="G858" s="14" t="s">
        <v>2661</v>
      </c>
      <c r="H858" s="0" t="s">
        <v>141</v>
      </c>
      <c r="I858" s="14" t="s">
        <v>1645</v>
      </c>
      <c r="J858" s="0" t="s">
        <v>197</v>
      </c>
      <c r="K858" s="0" t="s">
        <v>198</v>
      </c>
      <c r="L858" s="0" t="s">
        <v>199</v>
      </c>
      <c r="M858" s="0" t="s">
        <v>378</v>
      </c>
      <c r="N858" s="0" t="s">
        <v>2485</v>
      </c>
      <c r="O858" s="0" t="s">
        <v>425</v>
      </c>
      <c r="Q858" s="0" t="s">
        <v>130</v>
      </c>
      <c r="R858" s="0" t="s">
        <v>130</v>
      </c>
      <c r="S858" s="14">
        <v>0</v>
      </c>
      <c r="T858" s="0" t="s">
        <v>583</v>
      </c>
      <c r="U858" s="0" t="s">
        <v>221</v>
      </c>
      <c r="V858" s="14" t="s">
        <v>583</v>
      </c>
      <c r="W858" s="0" t="s">
        <v>221</v>
      </c>
      <c r="X858" s="14" t="s">
        <v>583</v>
      </c>
      <c r="Y858" s="0" t="s">
        <v>221</v>
      </c>
      <c r="Z858" s="14" t="s">
        <v>449</v>
      </c>
      <c r="AA858" s="0" t="s">
        <v>223</v>
      </c>
      <c r="AB858" s="14" t="s">
        <v>138</v>
      </c>
      <c r="AD858" s="0" t="s">
        <v>20</v>
      </c>
      <c r="AF858" s="0">
        <v>0</v>
      </c>
      <c r="AG858" s="0">
        <v>0</v>
      </c>
      <c r="AH858" s="0" t="s">
        <v>140</v>
      </c>
      <c r="AI858" s="0" t="s">
        <v>479</v>
      </c>
      <c r="AL858" s="14"/>
      <c r="AN858" s="14"/>
      <c r="AQ858" s="0" t="s">
        <v>130</v>
      </c>
      <c r="AR858" s="0" t="s">
        <v>130</v>
      </c>
      <c r="AS858" s="0" t="s">
        <v>130</v>
      </c>
      <c r="AT858" s="0" t="s">
        <v>130</v>
      </c>
      <c r="AU858" s="0" t="s">
        <v>130</v>
      </c>
      <c r="AV858" s="0" t="s">
        <v>130</v>
      </c>
      <c r="AW858" s="0" t="s">
        <v>130</v>
      </c>
      <c r="AX858" s="0" t="s">
        <v>130</v>
      </c>
      <c r="AY858" s="0" t="s">
        <v>130</v>
      </c>
      <c r="AZ858" s="0" t="s">
        <v>130</v>
      </c>
      <c r="BA858" s="0" t="s">
        <v>130</v>
      </c>
      <c r="BB858" s="0" t="s">
        <v>141</v>
      </c>
      <c r="BC858" s="0" t="s">
        <v>130</v>
      </c>
      <c r="BD858" s="0" t="s">
        <v>130</v>
      </c>
      <c r="BE858" s="0" t="s">
        <v>130</v>
      </c>
      <c r="BF858" s="0" t="s">
        <v>130</v>
      </c>
      <c r="BG858" s="0" t="s">
        <v>130</v>
      </c>
      <c r="BH858" s="0" t="s">
        <v>130</v>
      </c>
      <c r="BI858" s="0" t="s">
        <v>130</v>
      </c>
      <c r="BJ858" s="0" t="s">
        <v>130</v>
      </c>
      <c r="BK858" s="0" t="s">
        <v>130</v>
      </c>
      <c r="BL858" s="0" t="s">
        <v>130</v>
      </c>
      <c r="BM858" s="0" t="s">
        <v>130</v>
      </c>
      <c r="BN858" s="0" t="s">
        <v>130</v>
      </c>
      <c r="BO858" s="0" t="s">
        <v>130</v>
      </c>
      <c r="BP858" s="0" t="s">
        <v>130</v>
      </c>
      <c r="BQ858" s="0" t="s">
        <v>130</v>
      </c>
      <c r="BR858" s="0" t="s">
        <v>130</v>
      </c>
      <c r="BS858" s="0" t="s">
        <v>130</v>
      </c>
      <c r="BT858" s="0" t="s">
        <v>130</v>
      </c>
      <c r="BU858" s="0" t="s">
        <v>130</v>
      </c>
      <c r="BV858" s="0" t="s">
        <v>130</v>
      </c>
      <c r="BW858" s="0" t="s">
        <v>130</v>
      </c>
      <c r="BX858" s="0" t="s">
        <v>130</v>
      </c>
      <c r="BY858" s="0" t="s">
        <v>130</v>
      </c>
      <c r="BZ858" s="0" t="s">
        <v>130</v>
      </c>
      <c r="CA858" s="0" t="s">
        <v>130</v>
      </c>
      <c r="CB858" s="0" t="s">
        <v>130</v>
      </c>
      <c r="CC858" s="0" t="s">
        <v>130</v>
      </c>
      <c r="CD858" s="0" t="s">
        <v>130</v>
      </c>
      <c r="CE858" s="0" t="s">
        <v>130</v>
      </c>
      <c r="CF858" s="0" t="s">
        <v>130</v>
      </c>
      <c r="CG858" s="0" t="s">
        <v>130</v>
      </c>
      <c r="CH858" s="0" t="s">
        <v>130</v>
      </c>
      <c r="CI858" s="0" t="s">
        <v>130</v>
      </c>
      <c r="CJ858" s="0" t="s">
        <v>130</v>
      </c>
      <c r="CK858" s="0" t="s">
        <v>130</v>
      </c>
      <c r="CL858" s="0" t="s">
        <v>130</v>
      </c>
      <c r="CM858" s="0" t="s">
        <v>130</v>
      </c>
      <c r="CN858" s="0" t="s">
        <v>130</v>
      </c>
      <c r="CO858" s="0" t="s">
        <v>130</v>
      </c>
      <c r="CP858" s="0" t="s">
        <v>130</v>
      </c>
      <c r="CQ858" s="0" t="s">
        <v>130</v>
      </c>
      <c r="CR858" s="0" t="s">
        <v>130</v>
      </c>
      <c r="CS858" s="0" t="s">
        <v>130</v>
      </c>
      <c r="CT858" s="0" t="s">
        <v>2662</v>
      </c>
    </row>
    <row r="859">
      <c r="A859" s="14">
        <v>115757</v>
      </c>
      <c r="B859" s="0" t="s">
        <v>2655</v>
      </c>
      <c r="C859" s="16">
        <f>HYPERLINK("https://eosportal.federatedhermes.com/companies/Q29tcGFueQppNTg5Mjc=", "Volkswagen AG")</f>
      </c>
      <c r="D859" s="0" t="s">
        <v>25</v>
      </c>
      <c r="E859" s="0" t="s">
        <v>2649</v>
      </c>
      <c r="F859" s="16">
        <f>HYPERLINK("https://eosportal.federatedhermes.com/engagements/RW5nYWdlbWVudAppMjI1MzA=", "Alleged German car cartel")</f>
      </c>
      <c r="G859" s="14" t="s">
        <v>2650</v>
      </c>
      <c r="H859" s="0" t="s">
        <v>141</v>
      </c>
      <c r="I859" s="14" t="s">
        <v>1645</v>
      </c>
      <c r="J859" s="0" t="s">
        <v>153</v>
      </c>
      <c r="K859" s="0" t="s">
        <v>185</v>
      </c>
      <c r="L859" s="0" t="s">
        <v>186</v>
      </c>
      <c r="M859" s="0" t="s">
        <v>378</v>
      </c>
      <c r="N859" s="0" t="s">
        <v>2485</v>
      </c>
      <c r="O859" s="0" t="s">
        <v>425</v>
      </c>
      <c r="Q859" s="0" t="s">
        <v>130</v>
      </c>
      <c r="R859" s="0" t="s">
        <v>138</v>
      </c>
      <c r="S859" s="14">
        <v>0</v>
      </c>
      <c r="T859" s="0" t="s">
        <v>314</v>
      </c>
      <c r="U859" s="0" t="s">
        <v>138</v>
      </c>
      <c r="V859" s="14" t="s">
        <v>138</v>
      </c>
      <c r="W859" s="0" t="s">
        <v>138</v>
      </c>
      <c r="X859" s="14" t="s">
        <v>138</v>
      </c>
      <c r="Y859" s="0" t="s">
        <v>138</v>
      </c>
      <c r="Z859" s="14" t="s">
        <v>138</v>
      </c>
      <c r="AA859" s="0" t="s">
        <v>138</v>
      </c>
      <c r="AB859" s="14" t="s">
        <v>138</v>
      </c>
      <c r="AD859" s="0" t="s">
        <v>138</v>
      </c>
      <c r="AF859" s="0">
        <v>0</v>
      </c>
      <c r="AG859" s="0">
        <v>0</v>
      </c>
      <c r="AH859" s="0" t="s">
        <v>140</v>
      </c>
      <c r="AI859" s="0" t="s">
        <v>138</v>
      </c>
      <c r="AL859" s="14"/>
      <c r="AN859" s="14"/>
      <c r="AQ859" s="0" t="s">
        <v>130</v>
      </c>
      <c r="AR859" s="0" t="s">
        <v>130</v>
      </c>
      <c r="AS859" s="0" t="s">
        <v>130</v>
      </c>
      <c r="AT859" s="0" t="s">
        <v>130</v>
      </c>
      <c r="AU859" s="0" t="s">
        <v>130</v>
      </c>
      <c r="AV859" s="0" t="s">
        <v>130</v>
      </c>
      <c r="AW859" s="0" t="s">
        <v>130</v>
      </c>
      <c r="AX859" s="0" t="s">
        <v>130</v>
      </c>
      <c r="AY859" s="0" t="s">
        <v>130</v>
      </c>
      <c r="AZ859" s="0" t="s">
        <v>130</v>
      </c>
      <c r="BA859" s="0" t="s">
        <v>130</v>
      </c>
      <c r="BB859" s="0" t="s">
        <v>130</v>
      </c>
      <c r="BC859" s="0" t="s">
        <v>130</v>
      </c>
      <c r="BD859" s="0" t="s">
        <v>130</v>
      </c>
      <c r="BE859" s="0" t="s">
        <v>130</v>
      </c>
      <c r="BF859" s="0" t="s">
        <v>130</v>
      </c>
      <c r="BG859" s="0" t="s">
        <v>130</v>
      </c>
      <c r="BH859" s="0" t="s">
        <v>130</v>
      </c>
      <c r="BI859" s="0" t="s">
        <v>130</v>
      </c>
      <c r="BJ859" s="0" t="s">
        <v>130</v>
      </c>
      <c r="BK859" s="0" t="s">
        <v>130</v>
      </c>
      <c r="BL859" s="0" t="s">
        <v>130</v>
      </c>
      <c r="BM859" s="0" t="s">
        <v>130</v>
      </c>
      <c r="BN859" s="0" t="s">
        <v>130</v>
      </c>
      <c r="BO859" s="0" t="s">
        <v>130</v>
      </c>
      <c r="BP859" s="0" t="s">
        <v>130</v>
      </c>
      <c r="BQ859" s="0" t="s">
        <v>130</v>
      </c>
      <c r="BR859" s="0" t="s">
        <v>130</v>
      </c>
      <c r="BS859" s="0" t="s">
        <v>130</v>
      </c>
      <c r="BT859" s="0" t="s">
        <v>130</v>
      </c>
      <c r="BU859" s="0" t="s">
        <v>130</v>
      </c>
      <c r="BV859" s="0" t="s">
        <v>130</v>
      </c>
      <c r="BW859" s="0" t="s">
        <v>130</v>
      </c>
      <c r="BX859" s="0" t="s">
        <v>130</v>
      </c>
      <c r="BY859" s="0" t="s">
        <v>130</v>
      </c>
      <c r="BZ859" s="0" t="s">
        <v>130</v>
      </c>
      <c r="CA859" s="0" t="s">
        <v>130</v>
      </c>
      <c r="CB859" s="0" t="s">
        <v>130</v>
      </c>
      <c r="CC859" s="0" t="s">
        <v>130</v>
      </c>
      <c r="CD859" s="0" t="s">
        <v>130</v>
      </c>
      <c r="CE859" s="0" t="s">
        <v>130</v>
      </c>
      <c r="CF859" s="0" t="s">
        <v>130</v>
      </c>
      <c r="CG859" s="0" t="s">
        <v>130</v>
      </c>
      <c r="CH859" s="0" t="s">
        <v>130</v>
      </c>
      <c r="CI859" s="0" t="s">
        <v>130</v>
      </c>
      <c r="CJ859" s="0" t="s">
        <v>130</v>
      </c>
      <c r="CK859" s="0" t="s">
        <v>130</v>
      </c>
      <c r="CL859" s="0" t="s">
        <v>130</v>
      </c>
      <c r="CM859" s="0" t="s">
        <v>130</v>
      </c>
      <c r="CN859" s="0" t="s">
        <v>130</v>
      </c>
      <c r="CO859" s="0" t="s">
        <v>130</v>
      </c>
      <c r="CP859" s="0" t="s">
        <v>130</v>
      </c>
      <c r="CQ859" s="0" t="s">
        <v>130</v>
      </c>
      <c r="CR859" s="0" t="s">
        <v>130</v>
      </c>
      <c r="CS859" s="0" t="s">
        <v>130</v>
      </c>
      <c r="CT859" s="0" t="s">
        <v>2663</v>
      </c>
    </row>
    <row r="860">
      <c r="A860" s="14">
        <v>115757</v>
      </c>
      <c r="B860" s="0" t="s">
        <v>2655</v>
      </c>
      <c r="C860" s="16">
        <f>HYPERLINK("https://eosportal.federatedhermes.com/companies/Q29tcGFueQppNTg5Mjc=", "Volkswagen AG")</f>
      </c>
      <c r="D860" s="0" t="s">
        <v>25</v>
      </c>
      <c r="E860" s="0" t="s">
        <v>2627</v>
      </c>
      <c r="F860" s="16">
        <f>HYPERLINK("https://eosportal.federatedhermes.com/engagements/RW5nYWdlbWVudAppMjI1MzE=", "Paris-aligned accounts")</f>
      </c>
      <c r="G860" s="14" t="s">
        <v>2640</v>
      </c>
      <c r="H860" s="0" t="s">
        <v>141</v>
      </c>
      <c r="I860" s="14" t="s">
        <v>1645</v>
      </c>
      <c r="J860" s="0" t="s">
        <v>197</v>
      </c>
      <c r="K860" s="0" t="s">
        <v>198</v>
      </c>
      <c r="L860" s="0" t="s">
        <v>199</v>
      </c>
      <c r="M860" s="0" t="s">
        <v>378</v>
      </c>
      <c r="N860" s="0" t="s">
        <v>2485</v>
      </c>
      <c r="O860" s="0" t="s">
        <v>425</v>
      </c>
      <c r="Q860" s="0" t="s">
        <v>130</v>
      </c>
      <c r="R860" s="0" t="s">
        <v>138</v>
      </c>
      <c r="S860" s="14">
        <v>0</v>
      </c>
      <c r="T860" s="0" t="s">
        <v>583</v>
      </c>
      <c r="U860" s="0" t="s">
        <v>138</v>
      </c>
      <c r="V860" s="14" t="s">
        <v>138</v>
      </c>
      <c r="W860" s="0" t="s">
        <v>138</v>
      </c>
      <c r="X860" s="14" t="s">
        <v>138</v>
      </c>
      <c r="Y860" s="0" t="s">
        <v>138</v>
      </c>
      <c r="Z860" s="14" t="s">
        <v>138</v>
      </c>
      <c r="AA860" s="0" t="s">
        <v>138</v>
      </c>
      <c r="AB860" s="14" t="s">
        <v>138</v>
      </c>
      <c r="AD860" s="0" t="s">
        <v>138</v>
      </c>
      <c r="AF860" s="0">
        <v>0</v>
      </c>
      <c r="AG860" s="0">
        <v>0</v>
      </c>
      <c r="AH860" s="0" t="s">
        <v>140</v>
      </c>
      <c r="AI860" s="0" t="s">
        <v>138</v>
      </c>
      <c r="AL860" s="14"/>
      <c r="AN860" s="14"/>
      <c r="AQ860" s="0" t="s">
        <v>130</v>
      </c>
      <c r="AR860" s="0" t="s">
        <v>130</v>
      </c>
      <c r="AS860" s="0" t="s">
        <v>130</v>
      </c>
      <c r="AT860" s="0" t="s">
        <v>130</v>
      </c>
      <c r="AU860" s="0" t="s">
        <v>130</v>
      </c>
      <c r="AV860" s="0" t="s">
        <v>130</v>
      </c>
      <c r="AW860" s="0" t="s">
        <v>130</v>
      </c>
      <c r="AX860" s="0" t="s">
        <v>130</v>
      </c>
      <c r="AY860" s="0" t="s">
        <v>130</v>
      </c>
      <c r="AZ860" s="0" t="s">
        <v>130</v>
      </c>
      <c r="BA860" s="0" t="s">
        <v>130</v>
      </c>
      <c r="BB860" s="0" t="s">
        <v>141</v>
      </c>
      <c r="BC860" s="0" t="s">
        <v>130</v>
      </c>
      <c r="BD860" s="0" t="s">
        <v>130</v>
      </c>
      <c r="BE860" s="0" t="s">
        <v>130</v>
      </c>
      <c r="BF860" s="0" t="s">
        <v>130</v>
      </c>
      <c r="BG860" s="0" t="s">
        <v>130</v>
      </c>
      <c r="BH860" s="0" t="s">
        <v>130</v>
      </c>
      <c r="BI860" s="0" t="s">
        <v>130</v>
      </c>
      <c r="BJ860" s="0" t="s">
        <v>130</v>
      </c>
      <c r="BK860" s="0" t="s">
        <v>130</v>
      </c>
      <c r="BL860" s="0" t="s">
        <v>130</v>
      </c>
      <c r="BM860" s="0" t="s">
        <v>130</v>
      </c>
      <c r="BN860" s="0" t="s">
        <v>130</v>
      </c>
      <c r="BO860" s="0" t="s">
        <v>130</v>
      </c>
      <c r="BP860" s="0" t="s">
        <v>130</v>
      </c>
      <c r="BQ860" s="0" t="s">
        <v>130</v>
      </c>
      <c r="BR860" s="0" t="s">
        <v>130</v>
      </c>
      <c r="BS860" s="0" t="s">
        <v>130</v>
      </c>
      <c r="BT860" s="0" t="s">
        <v>130</v>
      </c>
      <c r="BU860" s="0" t="s">
        <v>130</v>
      </c>
      <c r="BV860" s="0" t="s">
        <v>130</v>
      </c>
      <c r="BW860" s="0" t="s">
        <v>130</v>
      </c>
      <c r="BX860" s="0" t="s">
        <v>130</v>
      </c>
      <c r="BY860" s="0" t="s">
        <v>130</v>
      </c>
      <c r="BZ860" s="0" t="s">
        <v>130</v>
      </c>
      <c r="CA860" s="0" t="s">
        <v>130</v>
      </c>
      <c r="CB860" s="0" t="s">
        <v>130</v>
      </c>
      <c r="CC860" s="0" t="s">
        <v>130</v>
      </c>
      <c r="CD860" s="0" t="s">
        <v>130</v>
      </c>
      <c r="CE860" s="0" t="s">
        <v>130</v>
      </c>
      <c r="CF860" s="0" t="s">
        <v>130</v>
      </c>
      <c r="CG860" s="0" t="s">
        <v>130</v>
      </c>
      <c r="CH860" s="0" t="s">
        <v>130</v>
      </c>
      <c r="CI860" s="0" t="s">
        <v>130</v>
      </c>
      <c r="CJ860" s="0" t="s">
        <v>130</v>
      </c>
      <c r="CK860" s="0" t="s">
        <v>130</v>
      </c>
      <c r="CL860" s="0" t="s">
        <v>130</v>
      </c>
      <c r="CM860" s="0" t="s">
        <v>130</v>
      </c>
      <c r="CN860" s="0" t="s">
        <v>130</v>
      </c>
      <c r="CO860" s="0" t="s">
        <v>130</v>
      </c>
      <c r="CP860" s="0" t="s">
        <v>130</v>
      </c>
      <c r="CQ860" s="0" t="s">
        <v>130</v>
      </c>
      <c r="CR860" s="0" t="s">
        <v>130</v>
      </c>
      <c r="CS860" s="0" t="s">
        <v>130</v>
      </c>
      <c r="CT860" s="0" t="s">
        <v>2664</v>
      </c>
    </row>
    <row r="861">
      <c r="A861" s="14">
        <v>115757</v>
      </c>
      <c r="B861" s="0" t="s">
        <v>2655</v>
      </c>
      <c r="C861" s="16">
        <f>HYPERLINK("https://eosportal.federatedhermes.com/companies/Q29tcGFueQppNTg5Mjc=", "Volkswagen AG")</f>
      </c>
      <c r="D861" s="0" t="s">
        <v>25</v>
      </c>
      <c r="E861" s="0" t="s">
        <v>2634</v>
      </c>
      <c r="F861" s="16">
        <f>HYPERLINK("https://eosportal.federatedhermes.com/engagements/RW5nYWdlbWVudAppMjI1MzI=", "Child labor in illegal mica mines in India")</f>
      </c>
      <c r="G861" s="14" t="s">
        <v>2635</v>
      </c>
      <c r="H861" s="0" t="s">
        <v>141</v>
      </c>
      <c r="I861" s="14" t="s">
        <v>1645</v>
      </c>
      <c r="J861" s="0" t="s">
        <v>153</v>
      </c>
      <c r="K861" s="0" t="s">
        <v>243</v>
      </c>
      <c r="L861" s="0" t="s">
        <v>244</v>
      </c>
      <c r="M861" s="0" t="s">
        <v>378</v>
      </c>
      <c r="N861" s="0" t="s">
        <v>2485</v>
      </c>
      <c r="O861" s="0" t="s">
        <v>425</v>
      </c>
      <c r="Q861" s="0" t="s">
        <v>130</v>
      </c>
      <c r="R861" s="0" t="s">
        <v>138</v>
      </c>
      <c r="S861" s="14">
        <v>0</v>
      </c>
      <c r="T861" s="0" t="s">
        <v>320</v>
      </c>
      <c r="U861" s="0" t="s">
        <v>138</v>
      </c>
      <c r="V861" s="14" t="s">
        <v>138</v>
      </c>
      <c r="W861" s="0" t="s">
        <v>138</v>
      </c>
      <c r="X861" s="14" t="s">
        <v>138</v>
      </c>
      <c r="Y861" s="0" t="s">
        <v>138</v>
      </c>
      <c r="Z861" s="14" t="s">
        <v>138</v>
      </c>
      <c r="AA861" s="0" t="s">
        <v>138</v>
      </c>
      <c r="AB861" s="14" t="s">
        <v>138</v>
      </c>
      <c r="AD861" s="0" t="s">
        <v>138</v>
      </c>
      <c r="AF861" s="0">
        <v>0</v>
      </c>
      <c r="AG861" s="0">
        <v>0</v>
      </c>
      <c r="AH861" s="0" t="s">
        <v>140</v>
      </c>
      <c r="AI861" s="0" t="s">
        <v>138</v>
      </c>
      <c r="AL861" s="14"/>
      <c r="AN861" s="14"/>
      <c r="AQ861" s="0" t="s">
        <v>130</v>
      </c>
      <c r="AR861" s="0" t="s">
        <v>130</v>
      </c>
      <c r="AS861" s="0" t="s">
        <v>130</v>
      </c>
      <c r="AT861" s="0" t="s">
        <v>130</v>
      </c>
      <c r="AU861" s="0" t="s">
        <v>130</v>
      </c>
      <c r="AV861" s="0" t="s">
        <v>130</v>
      </c>
      <c r="AW861" s="0" t="s">
        <v>130</v>
      </c>
      <c r="AX861" s="0" t="s">
        <v>141</v>
      </c>
      <c r="AY861" s="0" t="s">
        <v>130</v>
      </c>
      <c r="AZ861" s="0" t="s">
        <v>130</v>
      </c>
      <c r="BA861" s="0" t="s">
        <v>130</v>
      </c>
      <c r="BB861" s="0" t="s">
        <v>130</v>
      </c>
      <c r="BC861" s="0" t="s">
        <v>130</v>
      </c>
      <c r="BD861" s="0" t="s">
        <v>130</v>
      </c>
      <c r="BE861" s="0" t="s">
        <v>130</v>
      </c>
      <c r="BF861" s="0" t="s">
        <v>141</v>
      </c>
      <c r="BG861" s="0" t="s">
        <v>130</v>
      </c>
      <c r="BH861" s="0" t="s">
        <v>130</v>
      </c>
      <c r="BI861" s="0" t="s">
        <v>130</v>
      </c>
      <c r="BJ861" s="0" t="s">
        <v>130</v>
      </c>
      <c r="BK861" s="0" t="s">
        <v>130</v>
      </c>
      <c r="BL861" s="0" t="s">
        <v>130</v>
      </c>
      <c r="BM861" s="0" t="s">
        <v>130</v>
      </c>
      <c r="BN861" s="0" t="s">
        <v>130</v>
      </c>
      <c r="BO861" s="0" t="s">
        <v>130</v>
      </c>
      <c r="BP861" s="0" t="s">
        <v>130</v>
      </c>
      <c r="BQ861" s="0" t="s">
        <v>130</v>
      </c>
      <c r="BR861" s="0" t="s">
        <v>130</v>
      </c>
      <c r="BS861" s="0" t="s">
        <v>130</v>
      </c>
      <c r="BT861" s="0" t="s">
        <v>130</v>
      </c>
      <c r="BU861" s="0" t="s">
        <v>130</v>
      </c>
      <c r="BV861" s="0" t="s">
        <v>130</v>
      </c>
      <c r="BW861" s="0" t="s">
        <v>130</v>
      </c>
      <c r="BX861" s="0" t="s">
        <v>130</v>
      </c>
      <c r="BY861" s="0" t="s">
        <v>130</v>
      </c>
      <c r="BZ861" s="0" t="s">
        <v>130</v>
      </c>
      <c r="CA861" s="0" t="s">
        <v>130</v>
      </c>
      <c r="CB861" s="0" t="s">
        <v>130</v>
      </c>
      <c r="CC861" s="0" t="s">
        <v>130</v>
      </c>
      <c r="CD861" s="0" t="s">
        <v>130</v>
      </c>
      <c r="CE861" s="0" t="s">
        <v>130</v>
      </c>
      <c r="CF861" s="0" t="s">
        <v>130</v>
      </c>
      <c r="CG861" s="0" t="s">
        <v>130</v>
      </c>
      <c r="CH861" s="0" t="s">
        <v>130</v>
      </c>
      <c r="CI861" s="0" t="s">
        <v>130</v>
      </c>
      <c r="CJ861" s="0" t="s">
        <v>130</v>
      </c>
      <c r="CK861" s="0" t="s">
        <v>130</v>
      </c>
      <c r="CL861" s="0" t="s">
        <v>130</v>
      </c>
      <c r="CM861" s="0" t="s">
        <v>130</v>
      </c>
      <c r="CN861" s="0" t="s">
        <v>130</v>
      </c>
      <c r="CO861" s="0" t="s">
        <v>130</v>
      </c>
      <c r="CP861" s="0" t="s">
        <v>130</v>
      </c>
      <c r="CQ861" s="0" t="s">
        <v>130</v>
      </c>
      <c r="CR861" s="0" t="s">
        <v>130</v>
      </c>
      <c r="CS861" s="0" t="s">
        <v>130</v>
      </c>
      <c r="CT861" s="0" t="s">
        <v>2665</v>
      </c>
    </row>
    <row r="862">
      <c r="A862" s="14">
        <v>115757</v>
      </c>
      <c r="B862" s="0" t="s">
        <v>2655</v>
      </c>
      <c r="C862" s="16">
        <f>HYPERLINK("https://eosportal.federatedhermes.com/companies/Q29tcGFueQppNTg5Mjc=", "Volkswagen AG")</f>
      </c>
      <c r="D862" s="0" t="s">
        <v>25</v>
      </c>
      <c r="E862" s="0" t="s">
        <v>2666</v>
      </c>
      <c r="F862" s="16">
        <f>HYPERLINK("https://eosportal.federatedhermes.com/engagements/RW5nYWdlbWVudAppMjI1MzM=", "Volkswagen AG-Strategy &amp; Risk-Risk Management")</f>
      </c>
      <c r="G862" s="14" t="s">
        <v>2667</v>
      </c>
      <c r="H862" s="0" t="s">
        <v>141</v>
      </c>
      <c r="I862" s="14" t="s">
        <v>1645</v>
      </c>
      <c r="J862" s="0" t="s">
        <v>132</v>
      </c>
      <c r="K862" s="0" t="s">
        <v>133</v>
      </c>
      <c r="L862" s="0" t="s">
        <v>160</v>
      </c>
      <c r="M862" s="0" t="s">
        <v>378</v>
      </c>
      <c r="N862" s="0" t="s">
        <v>2485</v>
      </c>
      <c r="O862" s="0" t="s">
        <v>425</v>
      </c>
      <c r="Q862" s="0" t="s">
        <v>130</v>
      </c>
      <c r="R862" s="0" t="s">
        <v>138</v>
      </c>
      <c r="S862" s="14">
        <v>0</v>
      </c>
      <c r="T862" s="0" t="s">
        <v>307</v>
      </c>
      <c r="U862" s="0" t="s">
        <v>138</v>
      </c>
      <c r="V862" s="14" t="s">
        <v>138</v>
      </c>
      <c r="W862" s="0" t="s">
        <v>138</v>
      </c>
      <c r="X862" s="14" t="s">
        <v>138</v>
      </c>
      <c r="Y862" s="0" t="s">
        <v>138</v>
      </c>
      <c r="Z862" s="14" t="s">
        <v>138</v>
      </c>
      <c r="AA862" s="0" t="s">
        <v>138</v>
      </c>
      <c r="AB862" s="14" t="s">
        <v>138</v>
      </c>
      <c r="AD862" s="0" t="s">
        <v>138</v>
      </c>
      <c r="AF862" s="0">
        <v>0</v>
      </c>
      <c r="AG862" s="0">
        <v>0</v>
      </c>
      <c r="AH862" s="0" t="s">
        <v>140</v>
      </c>
      <c r="AI862" s="0" t="s">
        <v>138</v>
      </c>
      <c r="AL862" s="14"/>
      <c r="AN862" s="14"/>
      <c r="AQ862" s="0" t="s">
        <v>130</v>
      </c>
      <c r="AR862" s="0" t="s">
        <v>130</v>
      </c>
      <c r="AS862" s="0" t="s">
        <v>130</v>
      </c>
      <c r="AT862" s="0" t="s">
        <v>130</v>
      </c>
      <c r="AU862" s="0" t="s">
        <v>130</v>
      </c>
      <c r="AV862" s="0" t="s">
        <v>130</v>
      </c>
      <c r="AW862" s="0" t="s">
        <v>130</v>
      </c>
      <c r="AX862" s="0" t="s">
        <v>130</v>
      </c>
      <c r="AY862" s="0" t="s">
        <v>130</v>
      </c>
      <c r="AZ862" s="0" t="s">
        <v>130</v>
      </c>
      <c r="BA862" s="0" t="s">
        <v>130</v>
      </c>
      <c r="BB862" s="0" t="s">
        <v>130</v>
      </c>
      <c r="BC862" s="0" t="s">
        <v>130</v>
      </c>
      <c r="BD862" s="0" t="s">
        <v>130</v>
      </c>
      <c r="BE862" s="0" t="s">
        <v>130</v>
      </c>
      <c r="BF862" s="0" t="s">
        <v>130</v>
      </c>
      <c r="BG862" s="0" t="s">
        <v>130</v>
      </c>
      <c r="BH862" s="0" t="s">
        <v>130</v>
      </c>
      <c r="BI862" s="0" t="s">
        <v>130</v>
      </c>
      <c r="BJ862" s="0" t="s">
        <v>130</v>
      </c>
      <c r="BK862" s="0" t="s">
        <v>130</v>
      </c>
      <c r="BL862" s="0" t="s">
        <v>130</v>
      </c>
      <c r="BM862" s="0" t="s">
        <v>130</v>
      </c>
      <c r="BN862" s="0" t="s">
        <v>130</v>
      </c>
      <c r="BO862" s="0" t="s">
        <v>130</v>
      </c>
      <c r="BP862" s="0" t="s">
        <v>130</v>
      </c>
      <c r="BQ862" s="0" t="s">
        <v>130</v>
      </c>
      <c r="BR862" s="0" t="s">
        <v>130</v>
      </c>
      <c r="BS862" s="0" t="s">
        <v>130</v>
      </c>
      <c r="BT862" s="0" t="s">
        <v>130</v>
      </c>
      <c r="BU862" s="0" t="s">
        <v>130</v>
      </c>
      <c r="BV862" s="0" t="s">
        <v>130</v>
      </c>
      <c r="BW862" s="0" t="s">
        <v>130</v>
      </c>
      <c r="BX862" s="0" t="s">
        <v>130</v>
      </c>
      <c r="BY862" s="0" t="s">
        <v>130</v>
      </c>
      <c r="BZ862" s="0" t="s">
        <v>130</v>
      </c>
      <c r="CA862" s="0" t="s">
        <v>130</v>
      </c>
      <c r="CB862" s="0" t="s">
        <v>130</v>
      </c>
      <c r="CC862" s="0" t="s">
        <v>130</v>
      </c>
      <c r="CD862" s="0" t="s">
        <v>130</v>
      </c>
      <c r="CE862" s="0" t="s">
        <v>130</v>
      </c>
      <c r="CF862" s="0" t="s">
        <v>130</v>
      </c>
      <c r="CG862" s="0" t="s">
        <v>130</v>
      </c>
      <c r="CH862" s="0" t="s">
        <v>130</v>
      </c>
      <c r="CI862" s="0" t="s">
        <v>130</v>
      </c>
      <c r="CJ862" s="0" t="s">
        <v>130</v>
      </c>
      <c r="CK862" s="0" t="s">
        <v>130</v>
      </c>
      <c r="CL862" s="0" t="s">
        <v>130</v>
      </c>
      <c r="CM862" s="0" t="s">
        <v>130</v>
      </c>
      <c r="CN862" s="0" t="s">
        <v>130</v>
      </c>
      <c r="CO862" s="0" t="s">
        <v>130</v>
      </c>
      <c r="CP862" s="0" t="s">
        <v>130</v>
      </c>
      <c r="CQ862" s="0" t="s">
        <v>130</v>
      </c>
      <c r="CR862" s="0" t="s">
        <v>130</v>
      </c>
      <c r="CS862" s="0" t="s">
        <v>130</v>
      </c>
      <c r="CT862" s="0" t="s">
        <v>2668</v>
      </c>
    </row>
    <row r="863">
      <c r="A863" s="14">
        <v>115757</v>
      </c>
      <c r="B863" s="0" t="s">
        <v>2655</v>
      </c>
      <c r="C863" s="16">
        <f>HYPERLINK("https://eosportal.federatedhermes.com/companies/Q29tcGFueQppNTg5Mjc=", "Volkswagen AG")</f>
      </c>
      <c r="D863" s="0" t="s">
        <v>25</v>
      </c>
      <c r="E863" s="0" t="s">
        <v>2669</v>
      </c>
      <c r="F863" s="16">
        <f>HYPERLINK("https://eosportal.federatedhermes.com/engagements/RW5nYWdlbWVudAppMjI1MzQ=", "Automated Driving Technology")</f>
      </c>
      <c r="G863" s="14" t="s">
        <v>2670</v>
      </c>
      <c r="H863" s="0" t="s">
        <v>141</v>
      </c>
      <c r="I863" s="14" t="s">
        <v>1645</v>
      </c>
      <c r="J863" s="0" t="s">
        <v>132</v>
      </c>
      <c r="K863" s="0" t="s">
        <v>133</v>
      </c>
      <c r="L863" s="0" t="s">
        <v>160</v>
      </c>
      <c r="M863" s="0" t="s">
        <v>378</v>
      </c>
      <c r="N863" s="0" t="s">
        <v>2485</v>
      </c>
      <c r="O863" s="0" t="s">
        <v>425</v>
      </c>
      <c r="Q863" s="0" t="s">
        <v>130</v>
      </c>
      <c r="R863" s="0" t="s">
        <v>138</v>
      </c>
      <c r="S863" s="14">
        <v>0</v>
      </c>
      <c r="T863" s="0" t="s">
        <v>390</v>
      </c>
      <c r="U863" s="0" t="s">
        <v>138</v>
      </c>
      <c r="V863" s="14" t="s">
        <v>138</v>
      </c>
      <c r="W863" s="0" t="s">
        <v>138</v>
      </c>
      <c r="X863" s="14" t="s">
        <v>138</v>
      </c>
      <c r="Y863" s="0" t="s">
        <v>138</v>
      </c>
      <c r="Z863" s="14" t="s">
        <v>138</v>
      </c>
      <c r="AA863" s="0" t="s">
        <v>138</v>
      </c>
      <c r="AB863" s="14" t="s">
        <v>138</v>
      </c>
      <c r="AD863" s="0" t="s">
        <v>138</v>
      </c>
      <c r="AF863" s="0">
        <v>0</v>
      </c>
      <c r="AG863" s="0">
        <v>0</v>
      </c>
      <c r="AH863" s="0" t="s">
        <v>140</v>
      </c>
      <c r="AI863" s="0" t="s">
        <v>138</v>
      </c>
      <c r="AL863" s="14"/>
      <c r="AN863" s="14"/>
      <c r="AQ863" s="0" t="s">
        <v>130</v>
      </c>
      <c r="AR863" s="0" t="s">
        <v>130</v>
      </c>
      <c r="AS863" s="0" t="s">
        <v>130</v>
      </c>
      <c r="AT863" s="0" t="s">
        <v>130</v>
      </c>
      <c r="AU863" s="0" t="s">
        <v>130</v>
      </c>
      <c r="AV863" s="0" t="s">
        <v>130</v>
      </c>
      <c r="AW863" s="0" t="s">
        <v>130</v>
      </c>
      <c r="AX863" s="0" t="s">
        <v>130</v>
      </c>
      <c r="AY863" s="0" t="s">
        <v>130</v>
      </c>
      <c r="AZ863" s="0" t="s">
        <v>130</v>
      </c>
      <c r="BA863" s="0" t="s">
        <v>130</v>
      </c>
      <c r="BB863" s="0" t="s">
        <v>130</v>
      </c>
      <c r="BC863" s="0" t="s">
        <v>130</v>
      </c>
      <c r="BD863" s="0" t="s">
        <v>130</v>
      </c>
      <c r="BE863" s="0" t="s">
        <v>130</v>
      </c>
      <c r="BF863" s="0" t="s">
        <v>130</v>
      </c>
      <c r="BG863" s="0" t="s">
        <v>130</v>
      </c>
      <c r="BH863" s="0" t="s">
        <v>130</v>
      </c>
      <c r="BI863" s="0" t="s">
        <v>130</v>
      </c>
      <c r="BJ863" s="0" t="s">
        <v>130</v>
      </c>
      <c r="BK863" s="0" t="s">
        <v>130</v>
      </c>
      <c r="BL863" s="0" t="s">
        <v>130</v>
      </c>
      <c r="BM863" s="0" t="s">
        <v>130</v>
      </c>
      <c r="BN863" s="0" t="s">
        <v>130</v>
      </c>
      <c r="BO863" s="0" t="s">
        <v>130</v>
      </c>
      <c r="BP863" s="0" t="s">
        <v>130</v>
      </c>
      <c r="BQ863" s="0" t="s">
        <v>130</v>
      </c>
      <c r="BR863" s="0" t="s">
        <v>130</v>
      </c>
      <c r="BS863" s="0" t="s">
        <v>130</v>
      </c>
      <c r="BT863" s="0" t="s">
        <v>130</v>
      </c>
      <c r="BU863" s="0" t="s">
        <v>130</v>
      </c>
      <c r="BV863" s="0" t="s">
        <v>130</v>
      </c>
      <c r="BW863" s="0" t="s">
        <v>130</v>
      </c>
      <c r="BX863" s="0" t="s">
        <v>130</v>
      </c>
      <c r="BY863" s="0" t="s">
        <v>130</v>
      </c>
      <c r="BZ863" s="0" t="s">
        <v>130</v>
      </c>
      <c r="CA863" s="0" t="s">
        <v>130</v>
      </c>
      <c r="CB863" s="0" t="s">
        <v>130</v>
      </c>
      <c r="CC863" s="0" t="s">
        <v>130</v>
      </c>
      <c r="CD863" s="0" t="s">
        <v>130</v>
      </c>
      <c r="CE863" s="0" t="s">
        <v>130</v>
      </c>
      <c r="CF863" s="0" t="s">
        <v>130</v>
      </c>
      <c r="CG863" s="0" t="s">
        <v>130</v>
      </c>
      <c r="CH863" s="0" t="s">
        <v>130</v>
      </c>
      <c r="CI863" s="0" t="s">
        <v>130</v>
      </c>
      <c r="CJ863" s="0" t="s">
        <v>130</v>
      </c>
      <c r="CK863" s="0" t="s">
        <v>130</v>
      </c>
      <c r="CL863" s="0" t="s">
        <v>130</v>
      </c>
      <c r="CM863" s="0" t="s">
        <v>130</v>
      </c>
      <c r="CN863" s="0" t="s">
        <v>130</v>
      </c>
      <c r="CO863" s="0" t="s">
        <v>130</v>
      </c>
      <c r="CP863" s="0" t="s">
        <v>130</v>
      </c>
      <c r="CQ863" s="0" t="s">
        <v>130</v>
      </c>
      <c r="CR863" s="0" t="s">
        <v>130</v>
      </c>
      <c r="CS863" s="0" t="s">
        <v>130</v>
      </c>
      <c r="CT863" s="0" t="s">
        <v>2671</v>
      </c>
    </row>
    <row r="864">
      <c r="A864" s="14">
        <v>115757</v>
      </c>
      <c r="B864" s="0" t="s">
        <v>2655</v>
      </c>
      <c r="C864" s="16">
        <f>HYPERLINK("https://eosportal.federatedhermes.com/companies/Q29tcGFueQppNTg5Mjc=", "Volkswagen AG")</f>
      </c>
      <c r="D864" s="0" t="s">
        <v>25</v>
      </c>
      <c r="E864" s="0" t="s">
        <v>2672</v>
      </c>
      <c r="F864" s="16">
        <f>HYPERLINK("https://eosportal.federatedhermes.com/engagements/RW5nYWdlbWVudAppMjI1MzU=", "Climate Change / low carbon transition")</f>
      </c>
      <c r="G864" s="14" t="s">
        <v>2673</v>
      </c>
      <c r="H864" s="0" t="s">
        <v>141</v>
      </c>
      <c r="I864" s="14" t="s">
        <v>1645</v>
      </c>
      <c r="J864" s="0" t="s">
        <v>197</v>
      </c>
      <c r="K864" s="0" t="s">
        <v>198</v>
      </c>
      <c r="L864" s="0" t="s">
        <v>216</v>
      </c>
      <c r="M864" s="0" t="s">
        <v>378</v>
      </c>
      <c r="N864" s="0" t="s">
        <v>2485</v>
      </c>
      <c r="O864" s="0" t="s">
        <v>425</v>
      </c>
      <c r="Q864" s="0" t="s">
        <v>141</v>
      </c>
      <c r="R864" s="0" t="s">
        <v>138</v>
      </c>
      <c r="S864" s="14">
        <v>1</v>
      </c>
      <c r="T864" s="0" t="s">
        <v>327</v>
      </c>
      <c r="U864" s="0" t="s">
        <v>138</v>
      </c>
      <c r="V864" s="14" t="s">
        <v>138</v>
      </c>
      <c r="W864" s="0" t="s">
        <v>138</v>
      </c>
      <c r="X864" s="14" t="s">
        <v>138</v>
      </c>
      <c r="Y864" s="0" t="s">
        <v>138</v>
      </c>
      <c r="Z864" s="14" t="s">
        <v>138</v>
      </c>
      <c r="AA864" s="0" t="s">
        <v>138</v>
      </c>
      <c r="AB864" s="14" t="s">
        <v>138</v>
      </c>
      <c r="AD864" s="0" t="s">
        <v>138</v>
      </c>
      <c r="AF864" s="0">
        <v>0</v>
      </c>
      <c r="AG864" s="0">
        <v>0</v>
      </c>
      <c r="AH864" s="0" t="s">
        <v>140</v>
      </c>
      <c r="AI864" s="0" t="s">
        <v>138</v>
      </c>
      <c r="AK864" s="0" t="s">
        <v>413</v>
      </c>
      <c r="AL864" s="14"/>
      <c r="AN864" s="14"/>
      <c r="AQ864" s="0" t="s">
        <v>130</v>
      </c>
      <c r="AR864" s="0" t="s">
        <v>130</v>
      </c>
      <c r="AS864" s="0" t="s">
        <v>130</v>
      </c>
      <c r="AT864" s="0" t="s">
        <v>130</v>
      </c>
      <c r="AU864" s="0" t="s">
        <v>130</v>
      </c>
      <c r="AV864" s="0" t="s">
        <v>130</v>
      </c>
      <c r="AW864" s="0" t="s">
        <v>141</v>
      </c>
      <c r="AX864" s="0" t="s">
        <v>130</v>
      </c>
      <c r="AY864" s="0" t="s">
        <v>130</v>
      </c>
      <c r="AZ864" s="0" t="s">
        <v>130</v>
      </c>
      <c r="BA864" s="0" t="s">
        <v>130</v>
      </c>
      <c r="BB864" s="0" t="s">
        <v>130</v>
      </c>
      <c r="BC864" s="0" t="s">
        <v>141</v>
      </c>
      <c r="BD864" s="0" t="s">
        <v>130</v>
      </c>
      <c r="BE864" s="0" t="s">
        <v>130</v>
      </c>
      <c r="BF864" s="0" t="s">
        <v>130</v>
      </c>
      <c r="BG864" s="0" t="s">
        <v>130</v>
      </c>
      <c r="BH864" s="0" t="s">
        <v>141</v>
      </c>
      <c r="BI864" s="0" t="s">
        <v>141</v>
      </c>
      <c r="BJ864" s="0" t="s">
        <v>141</v>
      </c>
      <c r="BK864" s="0" t="s">
        <v>130</v>
      </c>
      <c r="BL864" s="0" t="s">
        <v>130</v>
      </c>
      <c r="BM864" s="0" t="s">
        <v>130</v>
      </c>
      <c r="BN864" s="0" t="s">
        <v>130</v>
      </c>
      <c r="BO864" s="0" t="s">
        <v>130</v>
      </c>
      <c r="BP864" s="0" t="s">
        <v>130</v>
      </c>
      <c r="BQ864" s="0" t="s">
        <v>130</v>
      </c>
      <c r="BR864" s="0" t="s">
        <v>130</v>
      </c>
      <c r="BS864" s="0" t="s">
        <v>130</v>
      </c>
      <c r="BT864" s="0" t="s">
        <v>130</v>
      </c>
      <c r="BU864" s="0" t="s">
        <v>130</v>
      </c>
      <c r="BV864" s="0" t="s">
        <v>141</v>
      </c>
      <c r="BW864" s="0" t="s">
        <v>141</v>
      </c>
      <c r="BX864" s="0" t="s">
        <v>130</v>
      </c>
      <c r="BY864" s="0" t="s">
        <v>130</v>
      </c>
      <c r="BZ864" s="0" t="s">
        <v>130</v>
      </c>
      <c r="CA864" s="0" t="s">
        <v>130</v>
      </c>
      <c r="CB864" s="0" t="s">
        <v>130</v>
      </c>
      <c r="CC864" s="0" t="s">
        <v>130</v>
      </c>
      <c r="CD864" s="0" t="s">
        <v>130</v>
      </c>
      <c r="CE864" s="0" t="s">
        <v>130</v>
      </c>
      <c r="CF864" s="0" t="s">
        <v>130</v>
      </c>
      <c r="CG864" s="0" t="s">
        <v>130</v>
      </c>
      <c r="CH864" s="0" t="s">
        <v>130</v>
      </c>
      <c r="CI864" s="0" t="s">
        <v>130</v>
      </c>
      <c r="CJ864" s="0" t="s">
        <v>130</v>
      </c>
      <c r="CK864" s="0" t="s">
        <v>130</v>
      </c>
      <c r="CL864" s="0" t="s">
        <v>130</v>
      </c>
      <c r="CM864" s="0" t="s">
        <v>130</v>
      </c>
      <c r="CN864" s="0" t="s">
        <v>130</v>
      </c>
      <c r="CO864" s="0" t="s">
        <v>130</v>
      </c>
      <c r="CP864" s="0" t="s">
        <v>130</v>
      </c>
      <c r="CQ864" s="0" t="s">
        <v>130</v>
      </c>
      <c r="CR864" s="0" t="s">
        <v>130</v>
      </c>
      <c r="CS864" s="0" t="s">
        <v>130</v>
      </c>
      <c r="CT864" s="0" t="s">
        <v>2674</v>
      </c>
    </row>
    <row r="865">
      <c r="A865" s="14">
        <v>115757</v>
      </c>
      <c r="B865" s="0" t="s">
        <v>2655</v>
      </c>
      <c r="C865" s="16">
        <f>HYPERLINK("https://eosportal.federatedhermes.com/companies/Q29tcGFueQppNTg5Mjc=", "Volkswagen AG")</f>
      </c>
      <c r="D865" s="0" t="s">
        <v>25</v>
      </c>
      <c r="E865" s="0" t="s">
        <v>2675</v>
      </c>
      <c r="F865" s="16">
        <f>HYPERLINK("https://eosportal.federatedhermes.com/engagements/RW5nYWdlbWVudAppMjI1Mzc=", "Forced Labour in China")</f>
      </c>
      <c r="G865" s="14" t="s">
        <v>2676</v>
      </c>
      <c r="H865" s="0" t="s">
        <v>141</v>
      </c>
      <c r="I865" s="14" t="s">
        <v>1645</v>
      </c>
      <c r="J865" s="0" t="s">
        <v>153</v>
      </c>
      <c r="K865" s="0" t="s">
        <v>243</v>
      </c>
      <c r="L865" s="0" t="s">
        <v>456</v>
      </c>
      <c r="M865" s="0" t="s">
        <v>378</v>
      </c>
      <c r="N865" s="0" t="s">
        <v>2485</v>
      </c>
      <c r="O865" s="0" t="s">
        <v>425</v>
      </c>
      <c r="Q865" s="0" t="s">
        <v>130</v>
      </c>
      <c r="R865" s="0" t="s">
        <v>138</v>
      </c>
      <c r="S865" s="14">
        <v>0</v>
      </c>
      <c r="T865" s="0" t="s">
        <v>206</v>
      </c>
      <c r="U865" s="0" t="s">
        <v>138</v>
      </c>
      <c r="V865" s="14" t="s">
        <v>138</v>
      </c>
      <c r="W865" s="0" t="s">
        <v>138</v>
      </c>
      <c r="X865" s="14" t="s">
        <v>138</v>
      </c>
      <c r="Y865" s="0" t="s">
        <v>138</v>
      </c>
      <c r="Z865" s="14" t="s">
        <v>138</v>
      </c>
      <c r="AA865" s="0" t="s">
        <v>138</v>
      </c>
      <c r="AB865" s="14" t="s">
        <v>138</v>
      </c>
      <c r="AD865" s="0" t="s">
        <v>138</v>
      </c>
      <c r="AF865" s="0">
        <v>0</v>
      </c>
      <c r="AG865" s="0">
        <v>0</v>
      </c>
      <c r="AH865" s="0" t="s">
        <v>140</v>
      </c>
      <c r="AI865" s="0" t="s">
        <v>138</v>
      </c>
      <c r="AL865" s="14"/>
      <c r="AN865" s="14"/>
      <c r="AQ865" s="0" t="s">
        <v>130</v>
      </c>
      <c r="AR865" s="0" t="s">
        <v>130</v>
      </c>
      <c r="AS865" s="0" t="s">
        <v>130</v>
      </c>
      <c r="AT865" s="0" t="s">
        <v>130</v>
      </c>
      <c r="AU865" s="0" t="s">
        <v>130</v>
      </c>
      <c r="AV865" s="0" t="s">
        <v>130</v>
      </c>
      <c r="AW865" s="0" t="s">
        <v>130</v>
      </c>
      <c r="AX865" s="0" t="s">
        <v>141</v>
      </c>
      <c r="AY865" s="0" t="s">
        <v>130</v>
      </c>
      <c r="AZ865" s="0" t="s">
        <v>130</v>
      </c>
      <c r="BA865" s="0" t="s">
        <v>130</v>
      </c>
      <c r="BB865" s="0" t="s">
        <v>130</v>
      </c>
      <c r="BC865" s="0" t="s">
        <v>130</v>
      </c>
      <c r="BD865" s="0" t="s">
        <v>130</v>
      </c>
      <c r="BE865" s="0" t="s">
        <v>130</v>
      </c>
      <c r="BF865" s="0" t="s">
        <v>141</v>
      </c>
      <c r="BG865" s="0" t="s">
        <v>130</v>
      </c>
      <c r="BH865" s="0" t="s">
        <v>130</v>
      </c>
      <c r="BI865" s="0" t="s">
        <v>130</v>
      </c>
      <c r="BJ865" s="0" t="s">
        <v>130</v>
      </c>
      <c r="BK865" s="0" t="s">
        <v>130</v>
      </c>
      <c r="BL865" s="0" t="s">
        <v>130</v>
      </c>
      <c r="BM865" s="0" t="s">
        <v>130</v>
      </c>
      <c r="BN865" s="0" t="s">
        <v>130</v>
      </c>
      <c r="BO865" s="0" t="s">
        <v>130</v>
      </c>
      <c r="BP865" s="0" t="s">
        <v>130</v>
      </c>
      <c r="BQ865" s="0" t="s">
        <v>130</v>
      </c>
      <c r="BR865" s="0" t="s">
        <v>130</v>
      </c>
      <c r="BS865" s="0" t="s">
        <v>130</v>
      </c>
      <c r="BT865" s="0" t="s">
        <v>130</v>
      </c>
      <c r="BU865" s="0" t="s">
        <v>130</v>
      </c>
      <c r="BV865" s="0" t="s">
        <v>130</v>
      </c>
      <c r="BW865" s="0" t="s">
        <v>130</v>
      </c>
      <c r="BX865" s="0" t="s">
        <v>130</v>
      </c>
      <c r="BY865" s="0" t="s">
        <v>130</v>
      </c>
      <c r="BZ865" s="0" t="s">
        <v>130</v>
      </c>
      <c r="CA865" s="0" t="s">
        <v>130</v>
      </c>
      <c r="CB865" s="0" t="s">
        <v>130</v>
      </c>
      <c r="CC865" s="0" t="s">
        <v>130</v>
      </c>
      <c r="CD865" s="0" t="s">
        <v>130</v>
      </c>
      <c r="CE865" s="0" t="s">
        <v>130</v>
      </c>
      <c r="CF865" s="0" t="s">
        <v>130</v>
      </c>
      <c r="CG865" s="0" t="s">
        <v>130</v>
      </c>
      <c r="CH865" s="0" t="s">
        <v>130</v>
      </c>
      <c r="CI865" s="0" t="s">
        <v>130</v>
      </c>
      <c r="CJ865" s="0" t="s">
        <v>130</v>
      </c>
      <c r="CK865" s="0" t="s">
        <v>130</v>
      </c>
      <c r="CL865" s="0" t="s">
        <v>130</v>
      </c>
      <c r="CM865" s="0" t="s">
        <v>130</v>
      </c>
      <c r="CN865" s="0" t="s">
        <v>130</v>
      </c>
      <c r="CO865" s="0" t="s">
        <v>130</v>
      </c>
      <c r="CP865" s="0" t="s">
        <v>130</v>
      </c>
      <c r="CQ865" s="0" t="s">
        <v>130</v>
      </c>
      <c r="CR865" s="0" t="s">
        <v>130</v>
      </c>
      <c r="CS865" s="0" t="s">
        <v>130</v>
      </c>
      <c r="CT865" s="0" t="s">
        <v>2677</v>
      </c>
    </row>
    <row r="866">
      <c r="A866" s="14">
        <v>115823</v>
      </c>
      <c r="B866" s="0" t="s">
        <v>2678</v>
      </c>
      <c r="C866" s="16">
        <f>HYPERLINK("https://eosportal.federatedhermes.com/companies/Q29tcGFueQppNjMwMDM=", "ING Groep NV")</f>
      </c>
      <c r="D866" s="0" t="s">
        <v>25</v>
      </c>
      <c r="E866" s="0" t="s">
        <v>1726</v>
      </c>
      <c r="F866" s="16">
        <f>HYPERLINK("https://eosportal.federatedhermes.com/engagements/RW5nYWdlbWVudAppMjI1Mzg=", "CEO Succession")</f>
      </c>
      <c r="G866" s="14" t="s">
        <v>2679</v>
      </c>
      <c r="H866" s="0" t="s">
        <v>130</v>
      </c>
      <c r="I866" s="14" t="s">
        <v>131</v>
      </c>
      <c r="J866" s="0" t="s">
        <v>145</v>
      </c>
      <c r="K866" s="0" t="s">
        <v>164</v>
      </c>
      <c r="L866" s="0" t="s">
        <v>277</v>
      </c>
      <c r="M866" s="0" t="s">
        <v>378</v>
      </c>
      <c r="N866" s="0" t="s">
        <v>2554</v>
      </c>
      <c r="O866" s="0" t="s">
        <v>238</v>
      </c>
      <c r="Q866" s="0" t="s">
        <v>130</v>
      </c>
      <c r="R866" s="0" t="s">
        <v>138</v>
      </c>
      <c r="S866" s="14">
        <v>0</v>
      </c>
      <c r="T866" s="0" t="s">
        <v>148</v>
      </c>
      <c r="U866" s="0" t="s">
        <v>138</v>
      </c>
      <c r="V866" s="14" t="s">
        <v>138</v>
      </c>
      <c r="W866" s="0" t="s">
        <v>138</v>
      </c>
      <c r="X866" s="14" t="s">
        <v>138</v>
      </c>
      <c r="Y866" s="0" t="s">
        <v>138</v>
      </c>
      <c r="Z866" s="14" t="s">
        <v>138</v>
      </c>
      <c r="AA866" s="0" t="s">
        <v>138</v>
      </c>
      <c r="AB866" s="14" t="s">
        <v>138</v>
      </c>
      <c r="AD866" s="0" t="s">
        <v>138</v>
      </c>
      <c r="AF866" s="0">
        <v>0</v>
      </c>
      <c r="AG866" s="0">
        <v>0</v>
      </c>
      <c r="AH866" s="0" t="s">
        <v>140</v>
      </c>
      <c r="AI866" s="0" t="s">
        <v>138</v>
      </c>
      <c r="AL866" s="14"/>
      <c r="AN866" s="14"/>
      <c r="AQ866" s="0" t="s">
        <v>130</v>
      </c>
      <c r="AR866" s="0" t="s">
        <v>130</v>
      </c>
      <c r="AS866" s="0" t="s">
        <v>130</v>
      </c>
      <c r="AT866" s="0" t="s">
        <v>130</v>
      </c>
      <c r="AU866" s="0" t="s">
        <v>130</v>
      </c>
      <c r="AV866" s="0" t="s">
        <v>130</v>
      </c>
      <c r="AW866" s="0" t="s">
        <v>130</v>
      </c>
      <c r="AX866" s="0" t="s">
        <v>130</v>
      </c>
      <c r="AY866" s="0" t="s">
        <v>130</v>
      </c>
      <c r="AZ866" s="0" t="s">
        <v>130</v>
      </c>
      <c r="BA866" s="0" t="s">
        <v>130</v>
      </c>
      <c r="BB866" s="0" t="s">
        <v>130</v>
      </c>
      <c r="BC866" s="0" t="s">
        <v>130</v>
      </c>
      <c r="BD866" s="0" t="s">
        <v>130</v>
      </c>
      <c r="BE866" s="0" t="s">
        <v>130</v>
      </c>
      <c r="BF866" s="0" t="s">
        <v>130</v>
      </c>
      <c r="BG866" s="0" t="s">
        <v>130</v>
      </c>
      <c r="BH866" s="0" t="s">
        <v>130</v>
      </c>
      <c r="BI866" s="0" t="s">
        <v>130</v>
      </c>
      <c r="BJ866" s="0" t="s">
        <v>130</v>
      </c>
      <c r="BK866" s="0" t="s">
        <v>130</v>
      </c>
      <c r="BL866" s="0" t="s">
        <v>130</v>
      </c>
      <c r="BM866" s="0" t="s">
        <v>130</v>
      </c>
      <c r="BN866" s="0" t="s">
        <v>130</v>
      </c>
      <c r="BO866" s="0" t="s">
        <v>130</v>
      </c>
      <c r="BP866" s="0" t="s">
        <v>130</v>
      </c>
      <c r="BQ866" s="0" t="s">
        <v>130</v>
      </c>
      <c r="BR866" s="0" t="s">
        <v>130</v>
      </c>
      <c r="BS866" s="0" t="s">
        <v>130</v>
      </c>
      <c r="BT866" s="0" t="s">
        <v>130</v>
      </c>
      <c r="BU866" s="0" t="s">
        <v>130</v>
      </c>
      <c r="BV866" s="0" t="s">
        <v>130</v>
      </c>
      <c r="BW866" s="0" t="s">
        <v>130</v>
      </c>
      <c r="BX866" s="0" t="s">
        <v>130</v>
      </c>
      <c r="BY866" s="0" t="s">
        <v>130</v>
      </c>
      <c r="BZ866" s="0" t="s">
        <v>130</v>
      </c>
      <c r="CA866" s="0" t="s">
        <v>130</v>
      </c>
      <c r="CB866" s="0" t="s">
        <v>130</v>
      </c>
      <c r="CC866" s="0" t="s">
        <v>130</v>
      </c>
      <c r="CD866" s="0" t="s">
        <v>130</v>
      </c>
      <c r="CE866" s="0" t="s">
        <v>130</v>
      </c>
      <c r="CF866" s="0" t="s">
        <v>130</v>
      </c>
      <c r="CG866" s="0" t="s">
        <v>130</v>
      </c>
      <c r="CH866" s="0" t="s">
        <v>130</v>
      </c>
      <c r="CI866" s="0" t="s">
        <v>130</v>
      </c>
      <c r="CJ866" s="0" t="s">
        <v>130</v>
      </c>
      <c r="CK866" s="0" t="s">
        <v>130</v>
      </c>
      <c r="CL866" s="0" t="s">
        <v>130</v>
      </c>
      <c r="CM866" s="0" t="s">
        <v>130</v>
      </c>
      <c r="CN866" s="0" t="s">
        <v>130</v>
      </c>
      <c r="CO866" s="0" t="s">
        <v>130</v>
      </c>
      <c r="CP866" s="0" t="s">
        <v>130</v>
      </c>
      <c r="CQ866" s="0" t="s">
        <v>130</v>
      </c>
      <c r="CR866" s="0" t="s">
        <v>130</v>
      </c>
      <c r="CS866" s="0" t="s">
        <v>130</v>
      </c>
      <c r="CT866" s="0" t="s">
        <v>2680</v>
      </c>
    </row>
    <row r="867">
      <c r="A867" s="14">
        <v>115823</v>
      </c>
      <c r="B867" s="0" t="s">
        <v>2678</v>
      </c>
      <c r="C867" s="16">
        <f>HYPERLINK("https://eosportal.federatedhermes.com/companies/Q29tcGFueQppNjMwMDM=", "ING Groep NV")</f>
      </c>
      <c r="D867" s="0" t="s">
        <v>25</v>
      </c>
      <c r="E867" s="0" t="s">
        <v>2681</v>
      </c>
      <c r="F867" s="16">
        <f>HYPERLINK("https://eosportal.federatedhermes.com/engagements/RW5nYWdlbWVudAppMjI1Mzk=", "Due diligence controls")</f>
      </c>
      <c r="G867" s="14" t="s">
        <v>2682</v>
      </c>
      <c r="H867" s="0" t="s">
        <v>130</v>
      </c>
      <c r="I867" s="14" t="s">
        <v>131</v>
      </c>
      <c r="J867" s="0" t="s">
        <v>132</v>
      </c>
      <c r="K867" s="0" t="s">
        <v>260</v>
      </c>
      <c r="L867" s="0" t="s">
        <v>261</v>
      </c>
      <c r="M867" s="0" t="s">
        <v>378</v>
      </c>
      <c r="N867" s="0" t="s">
        <v>2554</v>
      </c>
      <c r="O867" s="0" t="s">
        <v>238</v>
      </c>
      <c r="Q867" s="0" t="s">
        <v>130</v>
      </c>
      <c r="R867" s="0" t="s">
        <v>138</v>
      </c>
      <c r="S867" s="14">
        <v>0</v>
      </c>
      <c r="T867" s="0" t="s">
        <v>249</v>
      </c>
      <c r="U867" s="0" t="s">
        <v>138</v>
      </c>
      <c r="V867" s="14" t="s">
        <v>138</v>
      </c>
      <c r="W867" s="0" t="s">
        <v>138</v>
      </c>
      <c r="X867" s="14" t="s">
        <v>138</v>
      </c>
      <c r="Y867" s="0" t="s">
        <v>138</v>
      </c>
      <c r="Z867" s="14" t="s">
        <v>138</v>
      </c>
      <c r="AA867" s="0" t="s">
        <v>138</v>
      </c>
      <c r="AB867" s="14" t="s">
        <v>138</v>
      </c>
      <c r="AD867" s="0" t="s">
        <v>138</v>
      </c>
      <c r="AF867" s="0">
        <v>0</v>
      </c>
      <c r="AG867" s="0">
        <v>0</v>
      </c>
      <c r="AH867" s="0" t="s">
        <v>140</v>
      </c>
      <c r="AI867" s="0" t="s">
        <v>138</v>
      </c>
      <c r="AL867" s="14"/>
      <c r="AN867" s="14"/>
      <c r="AQ867" s="0" t="s">
        <v>130</v>
      </c>
      <c r="AR867" s="0" t="s">
        <v>130</v>
      </c>
      <c r="AS867" s="0" t="s">
        <v>130</v>
      </c>
      <c r="AT867" s="0" t="s">
        <v>130</v>
      </c>
      <c r="AU867" s="0" t="s">
        <v>130</v>
      </c>
      <c r="AV867" s="0" t="s">
        <v>130</v>
      </c>
      <c r="AW867" s="0" t="s">
        <v>130</v>
      </c>
      <c r="AX867" s="0" t="s">
        <v>130</v>
      </c>
      <c r="AY867" s="0" t="s">
        <v>130</v>
      </c>
      <c r="AZ867" s="0" t="s">
        <v>130</v>
      </c>
      <c r="BA867" s="0" t="s">
        <v>130</v>
      </c>
      <c r="BB867" s="0" t="s">
        <v>130</v>
      </c>
      <c r="BC867" s="0" t="s">
        <v>130</v>
      </c>
      <c r="BD867" s="0" t="s">
        <v>130</v>
      </c>
      <c r="BE867" s="0" t="s">
        <v>130</v>
      </c>
      <c r="BF867" s="0" t="s">
        <v>130</v>
      </c>
      <c r="BG867" s="0" t="s">
        <v>130</v>
      </c>
      <c r="BH867" s="0" t="s">
        <v>130</v>
      </c>
      <c r="BI867" s="0" t="s">
        <v>130</v>
      </c>
      <c r="BJ867" s="0" t="s">
        <v>130</v>
      </c>
      <c r="BK867" s="0" t="s">
        <v>130</v>
      </c>
      <c r="BL867" s="0" t="s">
        <v>130</v>
      </c>
      <c r="BM867" s="0" t="s">
        <v>130</v>
      </c>
      <c r="BN867" s="0" t="s">
        <v>130</v>
      </c>
      <c r="BO867" s="0" t="s">
        <v>130</v>
      </c>
      <c r="BP867" s="0" t="s">
        <v>130</v>
      </c>
      <c r="BQ867" s="0" t="s">
        <v>130</v>
      </c>
      <c r="BR867" s="0" t="s">
        <v>130</v>
      </c>
      <c r="BS867" s="0" t="s">
        <v>130</v>
      </c>
      <c r="BT867" s="0" t="s">
        <v>130</v>
      </c>
      <c r="BU867" s="0" t="s">
        <v>130</v>
      </c>
      <c r="BV867" s="0" t="s">
        <v>130</v>
      </c>
      <c r="BW867" s="0" t="s">
        <v>130</v>
      </c>
      <c r="BX867" s="0" t="s">
        <v>130</v>
      </c>
      <c r="BY867" s="0" t="s">
        <v>130</v>
      </c>
      <c r="BZ867" s="0" t="s">
        <v>130</v>
      </c>
      <c r="CA867" s="0" t="s">
        <v>130</v>
      </c>
      <c r="CB867" s="0" t="s">
        <v>130</v>
      </c>
      <c r="CC867" s="0" t="s">
        <v>130</v>
      </c>
      <c r="CD867" s="0" t="s">
        <v>130</v>
      </c>
      <c r="CE867" s="0" t="s">
        <v>130</v>
      </c>
      <c r="CF867" s="0" t="s">
        <v>130</v>
      </c>
      <c r="CG867" s="0" t="s">
        <v>130</v>
      </c>
      <c r="CH867" s="0" t="s">
        <v>130</v>
      </c>
      <c r="CI867" s="0" t="s">
        <v>130</v>
      </c>
      <c r="CJ867" s="0" t="s">
        <v>130</v>
      </c>
      <c r="CK867" s="0" t="s">
        <v>130</v>
      </c>
      <c r="CL867" s="0" t="s">
        <v>130</v>
      </c>
      <c r="CM867" s="0" t="s">
        <v>130</v>
      </c>
      <c r="CN867" s="0" t="s">
        <v>130</v>
      </c>
      <c r="CO867" s="0" t="s">
        <v>130</v>
      </c>
      <c r="CP867" s="0" t="s">
        <v>130</v>
      </c>
      <c r="CQ867" s="0" t="s">
        <v>130</v>
      </c>
      <c r="CR867" s="0" t="s">
        <v>130</v>
      </c>
      <c r="CS867" s="0" t="s">
        <v>130</v>
      </c>
      <c r="CT867" s="0" t="s">
        <v>2683</v>
      </c>
    </row>
    <row r="868">
      <c r="A868" s="14">
        <v>115823</v>
      </c>
      <c r="B868" s="0" t="s">
        <v>2678</v>
      </c>
      <c r="C868" s="16">
        <f>HYPERLINK("https://eosportal.federatedhermes.com/companies/Q29tcGFueQppNjMwMDM=", "ING Groep NV")</f>
      </c>
      <c r="D868" s="0" t="s">
        <v>25</v>
      </c>
      <c r="E868" s="0" t="s">
        <v>341</v>
      </c>
      <c r="F868" s="16">
        <f>HYPERLINK("https://eosportal.federatedhermes.com/engagements/RW5nYWdlbWVudAppMjI1NDA=", "Remuneration")</f>
      </c>
      <c r="G868" s="14" t="s">
        <v>342</v>
      </c>
      <c r="H868" s="0" t="s">
        <v>130</v>
      </c>
      <c r="I868" s="14" t="s">
        <v>131</v>
      </c>
      <c r="J868" s="0" t="s">
        <v>145</v>
      </c>
      <c r="K868" s="0" t="s">
        <v>146</v>
      </c>
      <c r="L868" s="0" t="s">
        <v>147</v>
      </c>
      <c r="M868" s="0" t="s">
        <v>378</v>
      </c>
      <c r="N868" s="0" t="s">
        <v>2554</v>
      </c>
      <c r="O868" s="0" t="s">
        <v>238</v>
      </c>
      <c r="Q868" s="0" t="s">
        <v>130</v>
      </c>
      <c r="R868" s="0" t="s">
        <v>138</v>
      </c>
      <c r="S868" s="14">
        <v>0</v>
      </c>
      <c r="T868" s="0" t="s">
        <v>487</v>
      </c>
      <c r="U868" s="0" t="s">
        <v>138</v>
      </c>
      <c r="V868" s="14" t="s">
        <v>138</v>
      </c>
      <c r="W868" s="0" t="s">
        <v>138</v>
      </c>
      <c r="X868" s="14" t="s">
        <v>138</v>
      </c>
      <c r="Y868" s="0" t="s">
        <v>138</v>
      </c>
      <c r="Z868" s="14" t="s">
        <v>138</v>
      </c>
      <c r="AA868" s="0" t="s">
        <v>138</v>
      </c>
      <c r="AB868" s="14" t="s">
        <v>138</v>
      </c>
      <c r="AD868" s="0" t="s">
        <v>138</v>
      </c>
      <c r="AF868" s="0">
        <v>0</v>
      </c>
      <c r="AG868" s="0">
        <v>0</v>
      </c>
      <c r="AH868" s="0" t="s">
        <v>140</v>
      </c>
      <c r="AI868" s="0" t="s">
        <v>138</v>
      </c>
      <c r="AL868" s="14"/>
      <c r="AN868" s="14"/>
      <c r="AQ868" s="0" t="s">
        <v>130</v>
      </c>
      <c r="AR868" s="0" t="s">
        <v>130</v>
      </c>
      <c r="AS868" s="0" t="s">
        <v>130</v>
      </c>
      <c r="AT868" s="0" t="s">
        <v>130</v>
      </c>
      <c r="AU868" s="0" t="s">
        <v>130</v>
      </c>
      <c r="AV868" s="0" t="s">
        <v>130</v>
      </c>
      <c r="AW868" s="0" t="s">
        <v>130</v>
      </c>
      <c r="AX868" s="0" t="s">
        <v>130</v>
      </c>
      <c r="AY868" s="0" t="s">
        <v>130</v>
      </c>
      <c r="AZ868" s="0" t="s">
        <v>130</v>
      </c>
      <c r="BA868" s="0" t="s">
        <v>130</v>
      </c>
      <c r="BB868" s="0" t="s">
        <v>130</v>
      </c>
      <c r="BC868" s="0" t="s">
        <v>130</v>
      </c>
      <c r="BD868" s="0" t="s">
        <v>130</v>
      </c>
      <c r="BE868" s="0" t="s">
        <v>130</v>
      </c>
      <c r="BF868" s="0" t="s">
        <v>130</v>
      </c>
      <c r="BG868" s="0" t="s">
        <v>130</v>
      </c>
      <c r="BH868" s="0" t="s">
        <v>130</v>
      </c>
      <c r="BI868" s="0" t="s">
        <v>130</v>
      </c>
      <c r="BJ868" s="0" t="s">
        <v>130</v>
      </c>
      <c r="BK868" s="0" t="s">
        <v>130</v>
      </c>
      <c r="BL868" s="0" t="s">
        <v>130</v>
      </c>
      <c r="BM868" s="0" t="s">
        <v>130</v>
      </c>
      <c r="BN868" s="0" t="s">
        <v>130</v>
      </c>
      <c r="BO868" s="0" t="s">
        <v>130</v>
      </c>
      <c r="BP868" s="0" t="s">
        <v>130</v>
      </c>
      <c r="BQ868" s="0" t="s">
        <v>130</v>
      </c>
      <c r="BR868" s="0" t="s">
        <v>130</v>
      </c>
      <c r="BS868" s="0" t="s">
        <v>130</v>
      </c>
      <c r="BT868" s="0" t="s">
        <v>130</v>
      </c>
      <c r="BU868" s="0" t="s">
        <v>130</v>
      </c>
      <c r="BV868" s="0" t="s">
        <v>130</v>
      </c>
      <c r="BW868" s="0" t="s">
        <v>130</v>
      </c>
      <c r="BX868" s="0" t="s">
        <v>130</v>
      </c>
      <c r="BY868" s="0" t="s">
        <v>130</v>
      </c>
      <c r="BZ868" s="0" t="s">
        <v>130</v>
      </c>
      <c r="CA868" s="0" t="s">
        <v>130</v>
      </c>
      <c r="CB868" s="0" t="s">
        <v>130</v>
      </c>
      <c r="CC868" s="0" t="s">
        <v>130</v>
      </c>
      <c r="CD868" s="0" t="s">
        <v>130</v>
      </c>
      <c r="CE868" s="0" t="s">
        <v>130</v>
      </c>
      <c r="CF868" s="0" t="s">
        <v>130</v>
      </c>
      <c r="CG868" s="0" t="s">
        <v>130</v>
      </c>
      <c r="CH868" s="0" t="s">
        <v>130</v>
      </c>
      <c r="CI868" s="0" t="s">
        <v>130</v>
      </c>
      <c r="CJ868" s="0" t="s">
        <v>130</v>
      </c>
      <c r="CK868" s="0" t="s">
        <v>130</v>
      </c>
      <c r="CL868" s="0" t="s">
        <v>130</v>
      </c>
      <c r="CM868" s="0" t="s">
        <v>130</v>
      </c>
      <c r="CN868" s="0" t="s">
        <v>130</v>
      </c>
      <c r="CO868" s="0" t="s">
        <v>130</v>
      </c>
      <c r="CP868" s="0" t="s">
        <v>130</v>
      </c>
      <c r="CQ868" s="0" t="s">
        <v>130</v>
      </c>
      <c r="CR868" s="0" t="s">
        <v>130</v>
      </c>
      <c r="CS868" s="0" t="s">
        <v>130</v>
      </c>
      <c r="CT868" s="0" t="s">
        <v>2684</v>
      </c>
    </row>
    <row r="869">
      <c r="A869" s="14">
        <v>115823</v>
      </c>
      <c r="B869" s="0" t="s">
        <v>2678</v>
      </c>
      <c r="C869" s="16">
        <f>HYPERLINK("https://eosportal.federatedhermes.com/companies/Q29tcGFueQppNjMwMDM=", "ING Groep NV")</f>
      </c>
      <c r="D869" s="0" t="s">
        <v>25</v>
      </c>
      <c r="E869" s="0" t="s">
        <v>198</v>
      </c>
      <c r="F869" s="16">
        <f>HYPERLINK("https://eosportal.federatedhermes.com/engagements/RW5nYWdlbWVudAppMjI1NDE=", "Climate Change")</f>
      </c>
      <c r="G869" s="14" t="s">
        <v>1438</v>
      </c>
      <c r="H869" s="0" t="s">
        <v>130</v>
      </c>
      <c r="I869" s="14" t="s">
        <v>131</v>
      </c>
      <c r="J869" s="0" t="s">
        <v>197</v>
      </c>
      <c r="K869" s="0" t="s">
        <v>198</v>
      </c>
      <c r="L869" s="0" t="s">
        <v>216</v>
      </c>
      <c r="M869" s="0" t="s">
        <v>378</v>
      </c>
      <c r="N869" s="0" t="s">
        <v>2554</v>
      </c>
      <c r="O869" s="0" t="s">
        <v>238</v>
      </c>
      <c r="Q869" s="0" t="s">
        <v>141</v>
      </c>
      <c r="R869" s="0" t="s">
        <v>138</v>
      </c>
      <c r="S869" s="14">
        <v>1</v>
      </c>
      <c r="T869" s="0" t="s">
        <v>327</v>
      </c>
      <c r="U869" s="0" t="s">
        <v>138</v>
      </c>
      <c r="V869" s="14" t="s">
        <v>138</v>
      </c>
      <c r="W869" s="0" t="s">
        <v>138</v>
      </c>
      <c r="X869" s="14" t="s">
        <v>138</v>
      </c>
      <c r="Y869" s="0" t="s">
        <v>138</v>
      </c>
      <c r="Z869" s="14" t="s">
        <v>138</v>
      </c>
      <c r="AA869" s="0" t="s">
        <v>138</v>
      </c>
      <c r="AB869" s="14" t="s">
        <v>138</v>
      </c>
      <c r="AD869" s="0" t="s">
        <v>138</v>
      </c>
      <c r="AF869" s="0">
        <v>0</v>
      </c>
      <c r="AG869" s="0">
        <v>0</v>
      </c>
      <c r="AH869" s="0" t="s">
        <v>140</v>
      </c>
      <c r="AI869" s="0" t="s">
        <v>138</v>
      </c>
      <c r="AK869" s="0" t="s">
        <v>2569</v>
      </c>
      <c r="AL869" s="14"/>
      <c r="AN869" s="14"/>
      <c r="AQ869" s="0" t="s">
        <v>130</v>
      </c>
      <c r="AR869" s="0" t="s">
        <v>130</v>
      </c>
      <c r="AS869" s="0" t="s">
        <v>130</v>
      </c>
      <c r="AT869" s="0" t="s">
        <v>130</v>
      </c>
      <c r="AU869" s="0" t="s">
        <v>130</v>
      </c>
      <c r="AV869" s="0" t="s">
        <v>130</v>
      </c>
      <c r="AW869" s="0" t="s">
        <v>141</v>
      </c>
      <c r="AX869" s="0" t="s">
        <v>130</v>
      </c>
      <c r="AY869" s="0" t="s">
        <v>130</v>
      </c>
      <c r="AZ869" s="0" t="s">
        <v>130</v>
      </c>
      <c r="BA869" s="0" t="s">
        <v>130</v>
      </c>
      <c r="BB869" s="0" t="s">
        <v>130</v>
      </c>
      <c r="BC869" s="0" t="s">
        <v>141</v>
      </c>
      <c r="BD869" s="0" t="s">
        <v>130</v>
      </c>
      <c r="BE869" s="0" t="s">
        <v>130</v>
      </c>
      <c r="BF869" s="0" t="s">
        <v>130</v>
      </c>
      <c r="BG869" s="0" t="s">
        <v>130</v>
      </c>
      <c r="BH869" s="0" t="s">
        <v>141</v>
      </c>
      <c r="BI869" s="0" t="s">
        <v>141</v>
      </c>
      <c r="BJ869" s="0" t="s">
        <v>141</v>
      </c>
      <c r="BK869" s="0" t="s">
        <v>130</v>
      </c>
      <c r="BL869" s="0" t="s">
        <v>130</v>
      </c>
      <c r="BM869" s="0" t="s">
        <v>130</v>
      </c>
      <c r="BN869" s="0" t="s">
        <v>130</v>
      </c>
      <c r="BO869" s="0" t="s">
        <v>130</v>
      </c>
      <c r="BP869" s="0" t="s">
        <v>130</v>
      </c>
      <c r="BQ869" s="0" t="s">
        <v>130</v>
      </c>
      <c r="BR869" s="0" t="s">
        <v>130</v>
      </c>
      <c r="BS869" s="0" t="s">
        <v>130</v>
      </c>
      <c r="BT869" s="0" t="s">
        <v>130</v>
      </c>
      <c r="BU869" s="0" t="s">
        <v>130</v>
      </c>
      <c r="BV869" s="0" t="s">
        <v>141</v>
      </c>
      <c r="BW869" s="0" t="s">
        <v>141</v>
      </c>
      <c r="BX869" s="0" t="s">
        <v>130</v>
      </c>
      <c r="BY869" s="0" t="s">
        <v>130</v>
      </c>
      <c r="BZ869" s="0" t="s">
        <v>130</v>
      </c>
      <c r="CA869" s="0" t="s">
        <v>130</v>
      </c>
      <c r="CB869" s="0" t="s">
        <v>130</v>
      </c>
      <c r="CC869" s="0" t="s">
        <v>130</v>
      </c>
      <c r="CD869" s="0" t="s">
        <v>130</v>
      </c>
      <c r="CE869" s="0" t="s">
        <v>130</v>
      </c>
      <c r="CF869" s="0" t="s">
        <v>130</v>
      </c>
      <c r="CG869" s="0" t="s">
        <v>130</v>
      </c>
      <c r="CH869" s="0" t="s">
        <v>130</v>
      </c>
      <c r="CI869" s="0" t="s">
        <v>130</v>
      </c>
      <c r="CJ869" s="0" t="s">
        <v>130</v>
      </c>
      <c r="CK869" s="0" t="s">
        <v>130</v>
      </c>
      <c r="CL869" s="0" t="s">
        <v>130</v>
      </c>
      <c r="CM869" s="0" t="s">
        <v>130</v>
      </c>
      <c r="CN869" s="0" t="s">
        <v>130</v>
      </c>
      <c r="CO869" s="0" t="s">
        <v>130</v>
      </c>
      <c r="CP869" s="0" t="s">
        <v>130</v>
      </c>
      <c r="CQ869" s="0" t="s">
        <v>130</v>
      </c>
      <c r="CR869" s="0" t="s">
        <v>130</v>
      </c>
      <c r="CS869" s="0" t="s">
        <v>130</v>
      </c>
      <c r="CT869" s="0" t="s">
        <v>2685</v>
      </c>
    </row>
    <row r="870">
      <c r="A870" s="14">
        <v>115823</v>
      </c>
      <c r="B870" s="0" t="s">
        <v>2678</v>
      </c>
      <c r="C870" s="16">
        <f>HYPERLINK("https://eosportal.federatedhermes.com/companies/Q29tcGFueQppNjMwMDM=", "ING Groep NV")</f>
      </c>
      <c r="D870" s="0" t="s">
        <v>25</v>
      </c>
      <c r="E870" s="0" t="s">
        <v>2686</v>
      </c>
      <c r="F870" s="16">
        <f>HYPERLINK("https://eosportal.federatedhermes.com/engagements/RW5nYWdlbWVudAppMjI1NDI=", "Covid-19 response")</f>
      </c>
      <c r="G870" s="14" t="s">
        <v>2687</v>
      </c>
      <c r="H870" s="0" t="s">
        <v>130</v>
      </c>
      <c r="I870" s="14" t="s">
        <v>131</v>
      </c>
      <c r="J870" s="0" t="s">
        <v>132</v>
      </c>
      <c r="K870" s="0" t="s">
        <v>260</v>
      </c>
      <c r="L870" s="0" t="s">
        <v>261</v>
      </c>
      <c r="M870" s="0" t="s">
        <v>378</v>
      </c>
      <c r="N870" s="0" t="s">
        <v>2554</v>
      </c>
      <c r="O870" s="0" t="s">
        <v>238</v>
      </c>
      <c r="Q870" s="0" t="s">
        <v>130</v>
      </c>
      <c r="R870" s="0" t="s">
        <v>138</v>
      </c>
      <c r="S870" s="14">
        <v>0</v>
      </c>
      <c r="T870" s="0" t="s">
        <v>148</v>
      </c>
      <c r="U870" s="0" t="s">
        <v>138</v>
      </c>
      <c r="V870" s="14" t="s">
        <v>138</v>
      </c>
      <c r="W870" s="0" t="s">
        <v>138</v>
      </c>
      <c r="X870" s="14" t="s">
        <v>138</v>
      </c>
      <c r="Y870" s="0" t="s">
        <v>138</v>
      </c>
      <c r="Z870" s="14" t="s">
        <v>138</v>
      </c>
      <c r="AA870" s="0" t="s">
        <v>138</v>
      </c>
      <c r="AB870" s="14" t="s">
        <v>138</v>
      </c>
      <c r="AD870" s="0" t="s">
        <v>138</v>
      </c>
      <c r="AF870" s="0">
        <v>0</v>
      </c>
      <c r="AG870" s="0">
        <v>0</v>
      </c>
      <c r="AH870" s="0" t="s">
        <v>140</v>
      </c>
      <c r="AI870" s="0" t="s">
        <v>138</v>
      </c>
      <c r="AL870" s="14"/>
      <c r="AN870" s="14"/>
      <c r="AQ870" s="0" t="s">
        <v>130</v>
      </c>
      <c r="AR870" s="0" t="s">
        <v>130</v>
      </c>
      <c r="AS870" s="0" t="s">
        <v>130</v>
      </c>
      <c r="AT870" s="0" t="s">
        <v>130</v>
      </c>
      <c r="AU870" s="0" t="s">
        <v>130</v>
      </c>
      <c r="AV870" s="0" t="s">
        <v>130</v>
      </c>
      <c r="AW870" s="0" t="s">
        <v>130</v>
      </c>
      <c r="AX870" s="0" t="s">
        <v>130</v>
      </c>
      <c r="AY870" s="0" t="s">
        <v>130</v>
      </c>
      <c r="AZ870" s="0" t="s">
        <v>130</v>
      </c>
      <c r="BA870" s="0" t="s">
        <v>130</v>
      </c>
      <c r="BB870" s="0" t="s">
        <v>130</v>
      </c>
      <c r="BC870" s="0" t="s">
        <v>130</v>
      </c>
      <c r="BD870" s="0" t="s">
        <v>130</v>
      </c>
      <c r="BE870" s="0" t="s">
        <v>130</v>
      </c>
      <c r="BF870" s="0" t="s">
        <v>130</v>
      </c>
      <c r="BG870" s="0" t="s">
        <v>130</v>
      </c>
      <c r="BH870" s="0" t="s">
        <v>130</v>
      </c>
      <c r="BI870" s="0" t="s">
        <v>130</v>
      </c>
      <c r="BJ870" s="0" t="s">
        <v>130</v>
      </c>
      <c r="BK870" s="0" t="s">
        <v>130</v>
      </c>
      <c r="BL870" s="0" t="s">
        <v>130</v>
      </c>
      <c r="BM870" s="0" t="s">
        <v>130</v>
      </c>
      <c r="BN870" s="0" t="s">
        <v>130</v>
      </c>
      <c r="BO870" s="0" t="s">
        <v>130</v>
      </c>
      <c r="BP870" s="0" t="s">
        <v>130</v>
      </c>
      <c r="BQ870" s="0" t="s">
        <v>130</v>
      </c>
      <c r="BR870" s="0" t="s">
        <v>130</v>
      </c>
      <c r="BS870" s="0" t="s">
        <v>130</v>
      </c>
      <c r="BT870" s="0" t="s">
        <v>130</v>
      </c>
      <c r="BU870" s="0" t="s">
        <v>130</v>
      </c>
      <c r="BV870" s="0" t="s">
        <v>130</v>
      </c>
      <c r="BW870" s="0" t="s">
        <v>130</v>
      </c>
      <c r="BX870" s="0" t="s">
        <v>130</v>
      </c>
      <c r="BY870" s="0" t="s">
        <v>130</v>
      </c>
      <c r="BZ870" s="0" t="s">
        <v>130</v>
      </c>
      <c r="CA870" s="0" t="s">
        <v>130</v>
      </c>
      <c r="CB870" s="0" t="s">
        <v>130</v>
      </c>
      <c r="CC870" s="0" t="s">
        <v>130</v>
      </c>
      <c r="CD870" s="0" t="s">
        <v>130</v>
      </c>
      <c r="CE870" s="0" t="s">
        <v>130</v>
      </c>
      <c r="CF870" s="0" t="s">
        <v>130</v>
      </c>
      <c r="CG870" s="0" t="s">
        <v>130</v>
      </c>
      <c r="CH870" s="0" t="s">
        <v>130</v>
      </c>
      <c r="CI870" s="0" t="s">
        <v>130</v>
      </c>
      <c r="CJ870" s="0" t="s">
        <v>130</v>
      </c>
      <c r="CK870" s="0" t="s">
        <v>130</v>
      </c>
      <c r="CL870" s="0" t="s">
        <v>130</v>
      </c>
      <c r="CM870" s="0" t="s">
        <v>130</v>
      </c>
      <c r="CN870" s="0" t="s">
        <v>130</v>
      </c>
      <c r="CO870" s="0" t="s">
        <v>130</v>
      </c>
      <c r="CP870" s="0" t="s">
        <v>130</v>
      </c>
      <c r="CQ870" s="0" t="s">
        <v>130</v>
      </c>
      <c r="CR870" s="0" t="s">
        <v>130</v>
      </c>
      <c r="CS870" s="0" t="s">
        <v>130</v>
      </c>
      <c r="CT870" s="0" t="s">
        <v>2688</v>
      </c>
    </row>
    <row r="871">
      <c r="A871" s="14">
        <v>115823</v>
      </c>
      <c r="B871" s="0" t="s">
        <v>2678</v>
      </c>
      <c r="C871" s="16">
        <f>HYPERLINK("https://eosportal.federatedhermes.com/companies/Q29tcGFueQppNjMwMDM=", "ING Groep NV")</f>
      </c>
      <c r="D871" s="0" t="s">
        <v>25</v>
      </c>
      <c r="E871" s="0" t="s">
        <v>2179</v>
      </c>
      <c r="F871" s="16">
        <f>HYPERLINK("https://eosportal.federatedhermes.com/engagements/RW5nYWdlbWVudAppMjI1NDM=", "Business Strategy")</f>
      </c>
      <c r="G871" s="14"/>
      <c r="H871" s="0" t="s">
        <v>130</v>
      </c>
      <c r="I871" s="14" t="s">
        <v>131</v>
      </c>
      <c r="J871" s="0" t="s">
        <v>132</v>
      </c>
      <c r="K871" s="0" t="s">
        <v>133</v>
      </c>
      <c r="L871" s="0" t="s">
        <v>160</v>
      </c>
      <c r="M871" s="0" t="s">
        <v>378</v>
      </c>
      <c r="N871" s="0" t="s">
        <v>2554</v>
      </c>
      <c r="O871" s="0" t="s">
        <v>238</v>
      </c>
      <c r="Q871" s="0" t="s">
        <v>130</v>
      </c>
      <c r="R871" s="0" t="s">
        <v>138</v>
      </c>
      <c r="S871" s="14">
        <v>0</v>
      </c>
      <c r="T871" s="0" t="s">
        <v>825</v>
      </c>
      <c r="U871" s="0" t="s">
        <v>138</v>
      </c>
      <c r="V871" s="14" t="s">
        <v>138</v>
      </c>
      <c r="W871" s="0" t="s">
        <v>138</v>
      </c>
      <c r="X871" s="14" t="s">
        <v>138</v>
      </c>
      <c r="Y871" s="0" t="s">
        <v>138</v>
      </c>
      <c r="Z871" s="14" t="s">
        <v>138</v>
      </c>
      <c r="AA871" s="0" t="s">
        <v>138</v>
      </c>
      <c r="AB871" s="14" t="s">
        <v>138</v>
      </c>
      <c r="AD871" s="0" t="s">
        <v>138</v>
      </c>
      <c r="AF871" s="0">
        <v>0</v>
      </c>
      <c r="AG871" s="0">
        <v>0</v>
      </c>
      <c r="AH871" s="0" t="s">
        <v>140</v>
      </c>
      <c r="AI871" s="0" t="s">
        <v>138</v>
      </c>
      <c r="AL871" s="14"/>
      <c r="AN871" s="14"/>
      <c r="AQ871" s="0" t="s">
        <v>130</v>
      </c>
      <c r="AR871" s="0" t="s">
        <v>130</v>
      </c>
      <c r="AS871" s="0" t="s">
        <v>130</v>
      </c>
      <c r="AT871" s="0" t="s">
        <v>130</v>
      </c>
      <c r="AU871" s="0" t="s">
        <v>130</v>
      </c>
      <c r="AV871" s="0" t="s">
        <v>130</v>
      </c>
      <c r="AW871" s="0" t="s">
        <v>130</v>
      </c>
      <c r="AX871" s="0" t="s">
        <v>130</v>
      </c>
      <c r="AY871" s="0" t="s">
        <v>130</v>
      </c>
      <c r="AZ871" s="0" t="s">
        <v>130</v>
      </c>
      <c r="BA871" s="0" t="s">
        <v>130</v>
      </c>
      <c r="BB871" s="0" t="s">
        <v>130</v>
      </c>
      <c r="BC871" s="0" t="s">
        <v>130</v>
      </c>
      <c r="BD871" s="0" t="s">
        <v>130</v>
      </c>
      <c r="BE871" s="0" t="s">
        <v>130</v>
      </c>
      <c r="BF871" s="0" t="s">
        <v>130</v>
      </c>
      <c r="BG871" s="0" t="s">
        <v>130</v>
      </c>
      <c r="BH871" s="0" t="s">
        <v>130</v>
      </c>
      <c r="BI871" s="0" t="s">
        <v>130</v>
      </c>
      <c r="BJ871" s="0" t="s">
        <v>130</v>
      </c>
      <c r="BK871" s="0" t="s">
        <v>130</v>
      </c>
      <c r="BL871" s="0" t="s">
        <v>130</v>
      </c>
      <c r="BM871" s="0" t="s">
        <v>130</v>
      </c>
      <c r="BN871" s="0" t="s">
        <v>130</v>
      </c>
      <c r="BO871" s="0" t="s">
        <v>130</v>
      </c>
      <c r="BP871" s="0" t="s">
        <v>130</v>
      </c>
      <c r="BQ871" s="0" t="s">
        <v>130</v>
      </c>
      <c r="BR871" s="0" t="s">
        <v>130</v>
      </c>
      <c r="BS871" s="0" t="s">
        <v>130</v>
      </c>
      <c r="BT871" s="0" t="s">
        <v>130</v>
      </c>
      <c r="BU871" s="0" t="s">
        <v>130</v>
      </c>
      <c r="BV871" s="0" t="s">
        <v>130</v>
      </c>
      <c r="BW871" s="0" t="s">
        <v>130</v>
      </c>
      <c r="BX871" s="0" t="s">
        <v>130</v>
      </c>
      <c r="BY871" s="0" t="s">
        <v>130</v>
      </c>
      <c r="BZ871" s="0" t="s">
        <v>130</v>
      </c>
      <c r="CA871" s="0" t="s">
        <v>130</v>
      </c>
      <c r="CB871" s="0" t="s">
        <v>130</v>
      </c>
      <c r="CC871" s="0" t="s">
        <v>130</v>
      </c>
      <c r="CD871" s="0" t="s">
        <v>130</v>
      </c>
      <c r="CE871" s="0" t="s">
        <v>130</v>
      </c>
      <c r="CF871" s="0" t="s">
        <v>130</v>
      </c>
      <c r="CG871" s="0" t="s">
        <v>130</v>
      </c>
      <c r="CH871" s="0" t="s">
        <v>130</v>
      </c>
      <c r="CI871" s="0" t="s">
        <v>130</v>
      </c>
      <c r="CJ871" s="0" t="s">
        <v>130</v>
      </c>
      <c r="CK871" s="0" t="s">
        <v>130</v>
      </c>
      <c r="CL871" s="0" t="s">
        <v>130</v>
      </c>
      <c r="CM871" s="0" t="s">
        <v>130</v>
      </c>
      <c r="CN871" s="0" t="s">
        <v>130</v>
      </c>
      <c r="CO871" s="0" t="s">
        <v>130</v>
      </c>
      <c r="CP871" s="0" t="s">
        <v>130</v>
      </c>
      <c r="CQ871" s="0" t="s">
        <v>130</v>
      </c>
      <c r="CR871" s="0" t="s">
        <v>130</v>
      </c>
      <c r="CS871" s="0" t="s">
        <v>130</v>
      </c>
      <c r="CT871" s="0" t="s">
        <v>2689</v>
      </c>
    </row>
    <row r="872">
      <c r="A872" s="14">
        <v>115823</v>
      </c>
      <c r="B872" s="0" t="s">
        <v>2678</v>
      </c>
      <c r="C872" s="16">
        <f>HYPERLINK("https://eosportal.federatedhermes.com/companies/Q29tcGFueQppNjMwMDM=", "ING Groep NV")</f>
      </c>
      <c r="D872" s="0" t="s">
        <v>25</v>
      </c>
      <c r="E872" s="0" t="s">
        <v>2690</v>
      </c>
      <c r="F872" s="16">
        <f>HYPERLINK("https://eosportal.federatedhermes.com/engagements/RW5nYWdlbWVudAppMjI1NDQ=", "Address over-boarded director")</f>
      </c>
      <c r="G872" s="14"/>
      <c r="H872" s="0" t="s">
        <v>130</v>
      </c>
      <c r="I872" s="14" t="s">
        <v>131</v>
      </c>
      <c r="J872" s="0" t="s">
        <v>145</v>
      </c>
      <c r="K872" s="0" t="s">
        <v>164</v>
      </c>
      <c r="L872" s="0" t="s">
        <v>165</v>
      </c>
      <c r="M872" s="0" t="s">
        <v>378</v>
      </c>
      <c r="N872" s="0" t="s">
        <v>2554</v>
      </c>
      <c r="O872" s="0" t="s">
        <v>238</v>
      </c>
      <c r="Q872" s="0" t="s">
        <v>130</v>
      </c>
      <c r="R872" s="0" t="s">
        <v>138</v>
      </c>
      <c r="S872" s="14">
        <v>0</v>
      </c>
      <c r="T872" s="0" t="s">
        <v>278</v>
      </c>
      <c r="U872" s="0" t="s">
        <v>138</v>
      </c>
      <c r="V872" s="14" t="s">
        <v>138</v>
      </c>
      <c r="W872" s="0" t="s">
        <v>138</v>
      </c>
      <c r="X872" s="14" t="s">
        <v>138</v>
      </c>
      <c r="Y872" s="0" t="s">
        <v>138</v>
      </c>
      <c r="Z872" s="14" t="s">
        <v>138</v>
      </c>
      <c r="AA872" s="0" t="s">
        <v>138</v>
      </c>
      <c r="AB872" s="14" t="s">
        <v>138</v>
      </c>
      <c r="AD872" s="0" t="s">
        <v>138</v>
      </c>
      <c r="AF872" s="0">
        <v>0</v>
      </c>
      <c r="AG872" s="0">
        <v>0</v>
      </c>
      <c r="AH872" s="0" t="s">
        <v>140</v>
      </c>
      <c r="AI872" s="0" t="s">
        <v>138</v>
      </c>
      <c r="AL872" s="14"/>
      <c r="AN872" s="14"/>
      <c r="AQ872" s="0" t="s">
        <v>130</v>
      </c>
      <c r="AR872" s="0" t="s">
        <v>130</v>
      </c>
      <c r="AS872" s="0" t="s">
        <v>130</v>
      </c>
      <c r="AT872" s="0" t="s">
        <v>130</v>
      </c>
      <c r="AU872" s="0" t="s">
        <v>130</v>
      </c>
      <c r="AV872" s="0" t="s">
        <v>130</v>
      </c>
      <c r="AW872" s="0" t="s">
        <v>130</v>
      </c>
      <c r="AX872" s="0" t="s">
        <v>130</v>
      </c>
      <c r="AY872" s="0" t="s">
        <v>130</v>
      </c>
      <c r="AZ872" s="0" t="s">
        <v>130</v>
      </c>
      <c r="BA872" s="0" t="s">
        <v>130</v>
      </c>
      <c r="BB872" s="0" t="s">
        <v>130</v>
      </c>
      <c r="BC872" s="0" t="s">
        <v>130</v>
      </c>
      <c r="BD872" s="0" t="s">
        <v>130</v>
      </c>
      <c r="BE872" s="0" t="s">
        <v>130</v>
      </c>
      <c r="BF872" s="0" t="s">
        <v>130</v>
      </c>
      <c r="BG872" s="0" t="s">
        <v>130</v>
      </c>
      <c r="BH872" s="0" t="s">
        <v>130</v>
      </c>
      <c r="BI872" s="0" t="s">
        <v>130</v>
      </c>
      <c r="BJ872" s="0" t="s">
        <v>130</v>
      </c>
      <c r="BK872" s="0" t="s">
        <v>130</v>
      </c>
      <c r="BL872" s="0" t="s">
        <v>130</v>
      </c>
      <c r="BM872" s="0" t="s">
        <v>130</v>
      </c>
      <c r="BN872" s="0" t="s">
        <v>130</v>
      </c>
      <c r="BO872" s="0" t="s">
        <v>130</v>
      </c>
      <c r="BP872" s="0" t="s">
        <v>130</v>
      </c>
      <c r="BQ872" s="0" t="s">
        <v>130</v>
      </c>
      <c r="BR872" s="0" t="s">
        <v>130</v>
      </c>
      <c r="BS872" s="0" t="s">
        <v>130</v>
      </c>
      <c r="BT872" s="0" t="s">
        <v>130</v>
      </c>
      <c r="BU872" s="0" t="s">
        <v>130</v>
      </c>
      <c r="BV872" s="0" t="s">
        <v>130</v>
      </c>
      <c r="BW872" s="0" t="s">
        <v>130</v>
      </c>
      <c r="BX872" s="0" t="s">
        <v>130</v>
      </c>
      <c r="BY872" s="0" t="s">
        <v>130</v>
      </c>
      <c r="BZ872" s="0" t="s">
        <v>130</v>
      </c>
      <c r="CA872" s="0" t="s">
        <v>130</v>
      </c>
      <c r="CB872" s="0" t="s">
        <v>130</v>
      </c>
      <c r="CC872" s="0" t="s">
        <v>130</v>
      </c>
      <c r="CD872" s="0" t="s">
        <v>130</v>
      </c>
      <c r="CE872" s="0" t="s">
        <v>130</v>
      </c>
      <c r="CF872" s="0" t="s">
        <v>130</v>
      </c>
      <c r="CG872" s="0" t="s">
        <v>130</v>
      </c>
      <c r="CH872" s="0" t="s">
        <v>130</v>
      </c>
      <c r="CI872" s="0" t="s">
        <v>130</v>
      </c>
      <c r="CJ872" s="0" t="s">
        <v>130</v>
      </c>
      <c r="CK872" s="0" t="s">
        <v>130</v>
      </c>
      <c r="CL872" s="0" t="s">
        <v>130</v>
      </c>
      <c r="CM872" s="0" t="s">
        <v>130</v>
      </c>
      <c r="CN872" s="0" t="s">
        <v>130</v>
      </c>
      <c r="CO872" s="0" t="s">
        <v>130</v>
      </c>
      <c r="CP872" s="0" t="s">
        <v>130</v>
      </c>
      <c r="CQ872" s="0" t="s">
        <v>130</v>
      </c>
      <c r="CR872" s="0" t="s">
        <v>130</v>
      </c>
      <c r="CS872" s="0" t="s">
        <v>130</v>
      </c>
      <c r="CT872" s="0" t="s">
        <v>2691</v>
      </c>
    </row>
    <row r="873">
      <c r="A873" s="14">
        <v>115823</v>
      </c>
      <c r="B873" s="0" t="s">
        <v>2678</v>
      </c>
      <c r="C873" s="16">
        <f>HYPERLINK("https://eosportal.federatedhermes.com/companies/Q29tcGFueQppNjMwMDM=", "ING Groep NV")</f>
      </c>
      <c r="D873" s="0" t="s">
        <v>25</v>
      </c>
      <c r="E873" s="0" t="s">
        <v>2692</v>
      </c>
      <c r="F873" s="16">
        <f>HYPERLINK("https://eosportal.federatedhermes.com/engagements/RW5nYWdlbWVudAppMjI1NDU=", "Cyber security and data management")</f>
      </c>
      <c r="G873" s="14" t="s">
        <v>2693</v>
      </c>
      <c r="H873" s="0" t="s">
        <v>130</v>
      </c>
      <c r="I873" s="14" t="s">
        <v>131</v>
      </c>
      <c r="J873" s="0" t="s">
        <v>132</v>
      </c>
      <c r="K873" s="0" t="s">
        <v>260</v>
      </c>
      <c r="L873" s="0" t="s">
        <v>743</v>
      </c>
      <c r="M873" s="0" t="s">
        <v>378</v>
      </c>
      <c r="N873" s="0" t="s">
        <v>2554</v>
      </c>
      <c r="O873" s="0" t="s">
        <v>238</v>
      </c>
      <c r="Q873" s="0" t="s">
        <v>130</v>
      </c>
      <c r="R873" s="0" t="s">
        <v>138</v>
      </c>
      <c r="S873" s="14">
        <v>0</v>
      </c>
      <c r="T873" s="0" t="s">
        <v>249</v>
      </c>
      <c r="U873" s="0" t="s">
        <v>138</v>
      </c>
      <c r="V873" s="14" t="s">
        <v>138</v>
      </c>
      <c r="W873" s="0" t="s">
        <v>138</v>
      </c>
      <c r="X873" s="14" t="s">
        <v>138</v>
      </c>
      <c r="Y873" s="0" t="s">
        <v>138</v>
      </c>
      <c r="Z873" s="14" t="s">
        <v>138</v>
      </c>
      <c r="AA873" s="0" t="s">
        <v>138</v>
      </c>
      <c r="AB873" s="14" t="s">
        <v>138</v>
      </c>
      <c r="AD873" s="0" t="s">
        <v>138</v>
      </c>
      <c r="AF873" s="0">
        <v>0</v>
      </c>
      <c r="AG873" s="0">
        <v>0</v>
      </c>
      <c r="AH873" s="0" t="s">
        <v>140</v>
      </c>
      <c r="AI873" s="0" t="s">
        <v>138</v>
      </c>
      <c r="AL873" s="14"/>
      <c r="AN873" s="14"/>
      <c r="AQ873" s="0" t="s">
        <v>130</v>
      </c>
      <c r="AR873" s="0" t="s">
        <v>130</v>
      </c>
      <c r="AS873" s="0" t="s">
        <v>130</v>
      </c>
      <c r="AT873" s="0" t="s">
        <v>130</v>
      </c>
      <c r="AU873" s="0" t="s">
        <v>130</v>
      </c>
      <c r="AV873" s="0" t="s">
        <v>130</v>
      </c>
      <c r="AW873" s="0" t="s">
        <v>130</v>
      </c>
      <c r="AX873" s="0" t="s">
        <v>130</v>
      </c>
      <c r="AY873" s="0" t="s">
        <v>141</v>
      </c>
      <c r="AZ873" s="0" t="s">
        <v>130</v>
      </c>
      <c r="BA873" s="0" t="s">
        <v>130</v>
      </c>
      <c r="BB873" s="0" t="s">
        <v>130</v>
      </c>
      <c r="BC873" s="0" t="s">
        <v>130</v>
      </c>
      <c r="BD873" s="0" t="s">
        <v>130</v>
      </c>
      <c r="BE873" s="0" t="s">
        <v>130</v>
      </c>
      <c r="BF873" s="0" t="s">
        <v>130</v>
      </c>
      <c r="BG873" s="0" t="s">
        <v>130</v>
      </c>
      <c r="BH873" s="0" t="s">
        <v>130</v>
      </c>
      <c r="BI873" s="0" t="s">
        <v>130</v>
      </c>
      <c r="BJ873" s="0" t="s">
        <v>130</v>
      </c>
      <c r="BK873" s="0" t="s">
        <v>130</v>
      </c>
      <c r="BL873" s="0" t="s">
        <v>130</v>
      </c>
      <c r="BM873" s="0" t="s">
        <v>130</v>
      </c>
      <c r="BN873" s="0" t="s">
        <v>130</v>
      </c>
      <c r="BO873" s="0" t="s">
        <v>130</v>
      </c>
      <c r="BP873" s="0" t="s">
        <v>130</v>
      </c>
      <c r="BQ873" s="0" t="s">
        <v>130</v>
      </c>
      <c r="BR873" s="0" t="s">
        <v>130</v>
      </c>
      <c r="BS873" s="0" t="s">
        <v>130</v>
      </c>
      <c r="BT873" s="0" t="s">
        <v>130</v>
      </c>
      <c r="BU873" s="0" t="s">
        <v>130</v>
      </c>
      <c r="BV873" s="0" t="s">
        <v>130</v>
      </c>
      <c r="BW873" s="0" t="s">
        <v>130</v>
      </c>
      <c r="BX873" s="0" t="s">
        <v>130</v>
      </c>
      <c r="BY873" s="0" t="s">
        <v>130</v>
      </c>
      <c r="BZ873" s="0" t="s">
        <v>130</v>
      </c>
      <c r="CA873" s="0" t="s">
        <v>130</v>
      </c>
      <c r="CB873" s="0" t="s">
        <v>130</v>
      </c>
      <c r="CC873" s="0" t="s">
        <v>130</v>
      </c>
      <c r="CD873" s="0" t="s">
        <v>130</v>
      </c>
      <c r="CE873" s="0" t="s">
        <v>130</v>
      </c>
      <c r="CF873" s="0" t="s">
        <v>130</v>
      </c>
      <c r="CG873" s="0" t="s">
        <v>130</v>
      </c>
      <c r="CH873" s="0" t="s">
        <v>130</v>
      </c>
      <c r="CI873" s="0" t="s">
        <v>130</v>
      </c>
      <c r="CJ873" s="0" t="s">
        <v>130</v>
      </c>
      <c r="CK873" s="0" t="s">
        <v>130</v>
      </c>
      <c r="CL873" s="0" t="s">
        <v>130</v>
      </c>
      <c r="CM873" s="0" t="s">
        <v>130</v>
      </c>
      <c r="CN873" s="0" t="s">
        <v>130</v>
      </c>
      <c r="CO873" s="0" t="s">
        <v>130</v>
      </c>
      <c r="CP873" s="0" t="s">
        <v>130</v>
      </c>
      <c r="CQ873" s="0" t="s">
        <v>130</v>
      </c>
      <c r="CR873" s="0" t="s">
        <v>130</v>
      </c>
      <c r="CS873" s="0" t="s">
        <v>130</v>
      </c>
      <c r="CT873" s="0" t="s">
        <v>2694</v>
      </c>
    </row>
    <row r="874">
      <c r="A874" s="14">
        <v>115785</v>
      </c>
      <c r="B874" s="0" t="s">
        <v>2695</v>
      </c>
      <c r="C874" s="16">
        <f>HYPERLINK("https://eosportal.federatedhermes.com/companies/Q29tcGFueQppODU0NDE=", "Roche Holding AG")</f>
      </c>
      <c r="D874" s="0" t="s">
        <v>25</v>
      </c>
      <c r="E874" s="0" t="s">
        <v>341</v>
      </c>
      <c r="F874" s="16">
        <f>HYPERLINK("https://eosportal.federatedhermes.com/engagements/RW5nYWdlbWVudAppMjI2MDE=", "Remuneration")</f>
      </c>
      <c r="G874" s="14" t="s">
        <v>2696</v>
      </c>
      <c r="H874" s="0" t="s">
        <v>141</v>
      </c>
      <c r="I874" s="14" t="s">
        <v>191</v>
      </c>
      <c r="J874" s="0" t="s">
        <v>145</v>
      </c>
      <c r="K874" s="0" t="s">
        <v>146</v>
      </c>
      <c r="L874" s="0" t="s">
        <v>147</v>
      </c>
      <c r="M874" s="0" t="s">
        <v>378</v>
      </c>
      <c r="N874" s="0" t="s">
        <v>1059</v>
      </c>
      <c r="O874" s="0" t="s">
        <v>274</v>
      </c>
      <c r="Q874" s="0" t="s">
        <v>130</v>
      </c>
      <c r="R874" s="0" t="s">
        <v>138</v>
      </c>
      <c r="S874" s="14">
        <v>0</v>
      </c>
      <c r="T874" s="0" t="s">
        <v>591</v>
      </c>
      <c r="U874" s="0" t="s">
        <v>138</v>
      </c>
      <c r="V874" s="14" t="s">
        <v>138</v>
      </c>
      <c r="W874" s="0" t="s">
        <v>138</v>
      </c>
      <c r="X874" s="14" t="s">
        <v>138</v>
      </c>
      <c r="Y874" s="0" t="s">
        <v>138</v>
      </c>
      <c r="Z874" s="14" t="s">
        <v>138</v>
      </c>
      <c r="AA874" s="0" t="s">
        <v>138</v>
      </c>
      <c r="AB874" s="14" t="s">
        <v>138</v>
      </c>
      <c r="AD874" s="0" t="s">
        <v>138</v>
      </c>
      <c r="AF874" s="0">
        <v>0</v>
      </c>
      <c r="AG874" s="0">
        <v>0</v>
      </c>
      <c r="AH874" s="0" t="s">
        <v>140</v>
      </c>
      <c r="AI874" s="0" t="s">
        <v>138</v>
      </c>
      <c r="AL874" s="14"/>
      <c r="AN874" s="14"/>
      <c r="AQ874" s="0" t="s">
        <v>130</v>
      </c>
      <c r="AR874" s="0" t="s">
        <v>130</v>
      </c>
      <c r="AS874" s="0" t="s">
        <v>130</v>
      </c>
      <c r="AT874" s="0" t="s">
        <v>130</v>
      </c>
      <c r="AU874" s="0" t="s">
        <v>130</v>
      </c>
      <c r="AV874" s="0" t="s">
        <v>130</v>
      </c>
      <c r="AW874" s="0" t="s">
        <v>130</v>
      </c>
      <c r="AX874" s="0" t="s">
        <v>130</v>
      </c>
      <c r="AY874" s="0" t="s">
        <v>130</v>
      </c>
      <c r="AZ874" s="0" t="s">
        <v>130</v>
      </c>
      <c r="BA874" s="0" t="s">
        <v>130</v>
      </c>
      <c r="BB874" s="0" t="s">
        <v>130</v>
      </c>
      <c r="BC874" s="0" t="s">
        <v>130</v>
      </c>
      <c r="BD874" s="0" t="s">
        <v>130</v>
      </c>
      <c r="BE874" s="0" t="s">
        <v>130</v>
      </c>
      <c r="BF874" s="0" t="s">
        <v>130</v>
      </c>
      <c r="BG874" s="0" t="s">
        <v>130</v>
      </c>
      <c r="BH874" s="0" t="s">
        <v>130</v>
      </c>
      <c r="BI874" s="0" t="s">
        <v>130</v>
      </c>
      <c r="BJ874" s="0" t="s">
        <v>130</v>
      </c>
      <c r="BK874" s="0" t="s">
        <v>130</v>
      </c>
      <c r="BL874" s="0" t="s">
        <v>130</v>
      </c>
      <c r="BM874" s="0" t="s">
        <v>130</v>
      </c>
      <c r="BN874" s="0" t="s">
        <v>130</v>
      </c>
      <c r="BO874" s="0" t="s">
        <v>130</v>
      </c>
      <c r="BP874" s="0" t="s">
        <v>130</v>
      </c>
      <c r="BQ874" s="0" t="s">
        <v>130</v>
      </c>
      <c r="BR874" s="0" t="s">
        <v>130</v>
      </c>
      <c r="BS874" s="0" t="s">
        <v>130</v>
      </c>
      <c r="BT874" s="0" t="s">
        <v>130</v>
      </c>
      <c r="BU874" s="0" t="s">
        <v>130</v>
      </c>
      <c r="BV874" s="0" t="s">
        <v>130</v>
      </c>
      <c r="BW874" s="0" t="s">
        <v>130</v>
      </c>
      <c r="BX874" s="0" t="s">
        <v>130</v>
      </c>
      <c r="BY874" s="0" t="s">
        <v>130</v>
      </c>
      <c r="BZ874" s="0" t="s">
        <v>130</v>
      </c>
      <c r="CA874" s="0" t="s">
        <v>130</v>
      </c>
      <c r="CB874" s="0" t="s">
        <v>130</v>
      </c>
      <c r="CC874" s="0" t="s">
        <v>130</v>
      </c>
      <c r="CD874" s="0" t="s">
        <v>130</v>
      </c>
      <c r="CE874" s="0" t="s">
        <v>130</v>
      </c>
      <c r="CF874" s="0" t="s">
        <v>130</v>
      </c>
      <c r="CG874" s="0" t="s">
        <v>130</v>
      </c>
      <c r="CH874" s="0" t="s">
        <v>130</v>
      </c>
      <c r="CI874" s="0" t="s">
        <v>130</v>
      </c>
      <c r="CJ874" s="0" t="s">
        <v>130</v>
      </c>
      <c r="CK874" s="0" t="s">
        <v>130</v>
      </c>
      <c r="CL874" s="0" t="s">
        <v>130</v>
      </c>
      <c r="CM874" s="0" t="s">
        <v>130</v>
      </c>
      <c r="CN874" s="0" t="s">
        <v>130</v>
      </c>
      <c r="CO874" s="0" t="s">
        <v>130</v>
      </c>
      <c r="CP874" s="0" t="s">
        <v>130</v>
      </c>
      <c r="CQ874" s="0" t="s">
        <v>130</v>
      </c>
      <c r="CR874" s="0" t="s">
        <v>130</v>
      </c>
      <c r="CS874" s="0" t="s">
        <v>130</v>
      </c>
      <c r="CT874" s="0" t="s">
        <v>2697</v>
      </c>
    </row>
    <row r="875">
      <c r="A875" s="14">
        <v>115785</v>
      </c>
      <c r="B875" s="0" t="s">
        <v>2695</v>
      </c>
      <c r="C875" s="16">
        <f>HYPERLINK("https://eosportal.federatedhermes.com/companies/Q29tcGFueQppODU0NDE=", "Roche Holding AG")</f>
      </c>
      <c r="D875" s="0" t="s">
        <v>25</v>
      </c>
      <c r="E875" s="0" t="s">
        <v>1527</v>
      </c>
      <c r="F875" s="16">
        <f>HYPERLINK("https://eosportal.federatedhermes.com/engagements/RW5nYWdlbWVudAppMjI2MDI=", "Sustainability strategy")</f>
      </c>
      <c r="G875" s="14" t="s">
        <v>2698</v>
      </c>
      <c r="H875" s="0" t="s">
        <v>141</v>
      </c>
      <c r="I875" s="14" t="s">
        <v>191</v>
      </c>
      <c r="J875" s="0" t="s">
        <v>132</v>
      </c>
      <c r="K875" s="0" t="s">
        <v>170</v>
      </c>
      <c r="L875" s="0" t="s">
        <v>171</v>
      </c>
      <c r="M875" s="0" t="s">
        <v>378</v>
      </c>
      <c r="N875" s="0" t="s">
        <v>1059</v>
      </c>
      <c r="O875" s="0" t="s">
        <v>274</v>
      </c>
      <c r="Q875" s="0" t="s">
        <v>130</v>
      </c>
      <c r="R875" s="0" t="s">
        <v>138</v>
      </c>
      <c r="S875" s="14">
        <v>0</v>
      </c>
      <c r="T875" s="0" t="s">
        <v>394</v>
      </c>
      <c r="U875" s="0" t="s">
        <v>138</v>
      </c>
      <c r="V875" s="14" t="s">
        <v>138</v>
      </c>
      <c r="W875" s="0" t="s">
        <v>138</v>
      </c>
      <c r="X875" s="14" t="s">
        <v>138</v>
      </c>
      <c r="Y875" s="0" t="s">
        <v>138</v>
      </c>
      <c r="Z875" s="14" t="s">
        <v>138</v>
      </c>
      <c r="AA875" s="0" t="s">
        <v>138</v>
      </c>
      <c r="AB875" s="14" t="s">
        <v>138</v>
      </c>
      <c r="AD875" s="0" t="s">
        <v>138</v>
      </c>
      <c r="AF875" s="0">
        <v>0</v>
      </c>
      <c r="AG875" s="0">
        <v>0</v>
      </c>
      <c r="AH875" s="0" t="s">
        <v>140</v>
      </c>
      <c r="AI875" s="0" t="s">
        <v>138</v>
      </c>
      <c r="AL875" s="14"/>
      <c r="AN875" s="14"/>
      <c r="AQ875" s="0" t="s">
        <v>130</v>
      </c>
      <c r="AR875" s="0" t="s">
        <v>130</v>
      </c>
      <c r="AS875" s="0" t="s">
        <v>130</v>
      </c>
      <c r="AT875" s="0" t="s">
        <v>130</v>
      </c>
      <c r="AU875" s="0" t="s">
        <v>130</v>
      </c>
      <c r="AV875" s="0" t="s">
        <v>130</v>
      </c>
      <c r="AW875" s="0" t="s">
        <v>130</v>
      </c>
      <c r="AX875" s="0" t="s">
        <v>130</v>
      </c>
      <c r="AY875" s="0" t="s">
        <v>130</v>
      </c>
      <c r="AZ875" s="0" t="s">
        <v>130</v>
      </c>
      <c r="BA875" s="0" t="s">
        <v>130</v>
      </c>
      <c r="BB875" s="0" t="s">
        <v>130</v>
      </c>
      <c r="BC875" s="0" t="s">
        <v>130</v>
      </c>
      <c r="BD875" s="0" t="s">
        <v>130</v>
      </c>
      <c r="BE875" s="0" t="s">
        <v>130</v>
      </c>
      <c r="BF875" s="0" t="s">
        <v>130</v>
      </c>
      <c r="BG875" s="0" t="s">
        <v>130</v>
      </c>
      <c r="BH875" s="0" t="s">
        <v>130</v>
      </c>
      <c r="BI875" s="0" t="s">
        <v>130</v>
      </c>
      <c r="BJ875" s="0" t="s">
        <v>130</v>
      </c>
      <c r="BK875" s="0" t="s">
        <v>130</v>
      </c>
      <c r="BL875" s="0" t="s">
        <v>130</v>
      </c>
      <c r="BM875" s="0" t="s">
        <v>130</v>
      </c>
      <c r="BN875" s="0" t="s">
        <v>130</v>
      </c>
      <c r="BO875" s="0" t="s">
        <v>130</v>
      </c>
      <c r="BP875" s="0" t="s">
        <v>130</v>
      </c>
      <c r="BQ875" s="0" t="s">
        <v>130</v>
      </c>
      <c r="BR875" s="0" t="s">
        <v>130</v>
      </c>
      <c r="BS875" s="0" t="s">
        <v>130</v>
      </c>
      <c r="BT875" s="0" t="s">
        <v>130</v>
      </c>
      <c r="BU875" s="0" t="s">
        <v>130</v>
      </c>
      <c r="BV875" s="0" t="s">
        <v>130</v>
      </c>
      <c r="BW875" s="0" t="s">
        <v>130</v>
      </c>
      <c r="BX875" s="0" t="s">
        <v>130</v>
      </c>
      <c r="BY875" s="0" t="s">
        <v>130</v>
      </c>
      <c r="BZ875" s="0" t="s">
        <v>130</v>
      </c>
      <c r="CA875" s="0" t="s">
        <v>130</v>
      </c>
      <c r="CB875" s="0" t="s">
        <v>130</v>
      </c>
      <c r="CC875" s="0" t="s">
        <v>130</v>
      </c>
      <c r="CD875" s="0" t="s">
        <v>130</v>
      </c>
      <c r="CE875" s="0" t="s">
        <v>130</v>
      </c>
      <c r="CF875" s="0" t="s">
        <v>130</v>
      </c>
      <c r="CG875" s="0" t="s">
        <v>130</v>
      </c>
      <c r="CH875" s="0" t="s">
        <v>130</v>
      </c>
      <c r="CI875" s="0" t="s">
        <v>130</v>
      </c>
      <c r="CJ875" s="0" t="s">
        <v>130</v>
      </c>
      <c r="CK875" s="0" t="s">
        <v>130</v>
      </c>
      <c r="CL875" s="0" t="s">
        <v>130</v>
      </c>
      <c r="CM875" s="0" t="s">
        <v>130</v>
      </c>
      <c r="CN875" s="0" t="s">
        <v>130</v>
      </c>
      <c r="CO875" s="0" t="s">
        <v>130</v>
      </c>
      <c r="CP875" s="0" t="s">
        <v>130</v>
      </c>
      <c r="CQ875" s="0" t="s">
        <v>130</v>
      </c>
      <c r="CR875" s="0" t="s">
        <v>130</v>
      </c>
      <c r="CS875" s="0" t="s">
        <v>130</v>
      </c>
      <c r="CT875" s="0" t="s">
        <v>2699</v>
      </c>
    </row>
    <row r="876">
      <c r="A876" s="14">
        <v>115785</v>
      </c>
      <c r="B876" s="0" t="s">
        <v>2695</v>
      </c>
      <c r="C876" s="16">
        <f>HYPERLINK("https://eosportal.federatedhermes.com/companies/Q29tcGFueQppODU0NDE=", "Roche Holding AG")</f>
      </c>
      <c r="D876" s="0" t="s">
        <v>25</v>
      </c>
      <c r="E876" s="0" t="s">
        <v>2237</v>
      </c>
      <c r="F876" s="16">
        <f>HYPERLINK("https://eosportal.federatedhermes.com/engagements/RW5nYWdlbWVudAppMjI2MDM=", "Artificial Intelligence")</f>
      </c>
      <c r="G876" s="14" t="s">
        <v>2382</v>
      </c>
      <c r="H876" s="0" t="s">
        <v>141</v>
      </c>
      <c r="I876" s="14" t="s">
        <v>191</v>
      </c>
      <c r="J876" s="0" t="s">
        <v>153</v>
      </c>
      <c r="K876" s="0" t="s">
        <v>243</v>
      </c>
      <c r="L876" s="0" t="s">
        <v>537</v>
      </c>
      <c r="M876" s="0" t="s">
        <v>378</v>
      </c>
      <c r="N876" s="0" t="s">
        <v>1059</v>
      </c>
      <c r="O876" s="0" t="s">
        <v>274</v>
      </c>
      <c r="Q876" s="0" t="s">
        <v>141</v>
      </c>
      <c r="R876" s="0" t="s">
        <v>138</v>
      </c>
      <c r="S876" s="14">
        <v>1</v>
      </c>
      <c r="T876" s="0" t="s">
        <v>394</v>
      </c>
      <c r="U876" s="0" t="s">
        <v>138</v>
      </c>
      <c r="V876" s="14" t="s">
        <v>138</v>
      </c>
      <c r="W876" s="0" t="s">
        <v>138</v>
      </c>
      <c r="X876" s="14" t="s">
        <v>138</v>
      </c>
      <c r="Y876" s="0" t="s">
        <v>138</v>
      </c>
      <c r="Z876" s="14" t="s">
        <v>138</v>
      </c>
      <c r="AA876" s="0" t="s">
        <v>138</v>
      </c>
      <c r="AB876" s="14" t="s">
        <v>138</v>
      </c>
      <c r="AD876" s="0" t="s">
        <v>138</v>
      </c>
      <c r="AF876" s="0">
        <v>0</v>
      </c>
      <c r="AG876" s="0">
        <v>0</v>
      </c>
      <c r="AH876" s="0" t="s">
        <v>140</v>
      </c>
      <c r="AI876" s="0" t="s">
        <v>138</v>
      </c>
      <c r="AK876" s="0" t="s">
        <v>2376</v>
      </c>
      <c r="AL876" s="14"/>
      <c r="AN876" s="14"/>
      <c r="AQ876" s="0" t="s">
        <v>130</v>
      </c>
      <c r="AR876" s="0" t="s">
        <v>130</v>
      </c>
      <c r="AS876" s="0" t="s">
        <v>130</v>
      </c>
      <c r="AT876" s="0" t="s">
        <v>130</v>
      </c>
      <c r="AU876" s="0" t="s">
        <v>130</v>
      </c>
      <c r="AV876" s="0" t="s">
        <v>130</v>
      </c>
      <c r="AW876" s="0" t="s">
        <v>130</v>
      </c>
      <c r="AX876" s="0" t="s">
        <v>130</v>
      </c>
      <c r="AY876" s="0" t="s">
        <v>130</v>
      </c>
      <c r="AZ876" s="0" t="s">
        <v>130</v>
      </c>
      <c r="BA876" s="0" t="s">
        <v>130</v>
      </c>
      <c r="BB876" s="0" t="s">
        <v>130</v>
      </c>
      <c r="BC876" s="0" t="s">
        <v>130</v>
      </c>
      <c r="BD876" s="0" t="s">
        <v>130</v>
      </c>
      <c r="BE876" s="0" t="s">
        <v>130</v>
      </c>
      <c r="BF876" s="0" t="s">
        <v>141</v>
      </c>
      <c r="BG876" s="0" t="s">
        <v>130</v>
      </c>
      <c r="BH876" s="0" t="s">
        <v>130</v>
      </c>
      <c r="BI876" s="0" t="s">
        <v>130</v>
      </c>
      <c r="BJ876" s="0" t="s">
        <v>130</v>
      </c>
      <c r="BK876" s="0" t="s">
        <v>130</v>
      </c>
      <c r="BL876" s="0" t="s">
        <v>130</v>
      </c>
      <c r="BM876" s="0" t="s">
        <v>130</v>
      </c>
      <c r="BN876" s="0" t="s">
        <v>130</v>
      </c>
      <c r="BO876" s="0" t="s">
        <v>130</v>
      </c>
      <c r="BP876" s="0" t="s">
        <v>130</v>
      </c>
      <c r="BQ876" s="0" t="s">
        <v>130</v>
      </c>
      <c r="BR876" s="0" t="s">
        <v>130</v>
      </c>
      <c r="BS876" s="0" t="s">
        <v>130</v>
      </c>
      <c r="BT876" s="0" t="s">
        <v>130</v>
      </c>
      <c r="BU876" s="0" t="s">
        <v>130</v>
      </c>
      <c r="BV876" s="0" t="s">
        <v>130</v>
      </c>
      <c r="BW876" s="0" t="s">
        <v>130</v>
      </c>
      <c r="BX876" s="0" t="s">
        <v>130</v>
      </c>
      <c r="BY876" s="0" t="s">
        <v>130</v>
      </c>
      <c r="BZ876" s="0" t="s">
        <v>130</v>
      </c>
      <c r="CA876" s="0" t="s">
        <v>130</v>
      </c>
      <c r="CB876" s="0" t="s">
        <v>130</v>
      </c>
      <c r="CC876" s="0" t="s">
        <v>130</v>
      </c>
      <c r="CD876" s="0" t="s">
        <v>130</v>
      </c>
      <c r="CE876" s="0" t="s">
        <v>130</v>
      </c>
      <c r="CF876" s="0" t="s">
        <v>130</v>
      </c>
      <c r="CG876" s="0" t="s">
        <v>130</v>
      </c>
      <c r="CH876" s="0" t="s">
        <v>130</v>
      </c>
      <c r="CI876" s="0" t="s">
        <v>130</v>
      </c>
      <c r="CJ876" s="0" t="s">
        <v>130</v>
      </c>
      <c r="CK876" s="0" t="s">
        <v>130</v>
      </c>
      <c r="CL876" s="0" t="s">
        <v>130</v>
      </c>
      <c r="CM876" s="0" t="s">
        <v>130</v>
      </c>
      <c r="CN876" s="0" t="s">
        <v>130</v>
      </c>
      <c r="CO876" s="0" t="s">
        <v>130</v>
      </c>
      <c r="CP876" s="0" t="s">
        <v>130</v>
      </c>
      <c r="CQ876" s="0" t="s">
        <v>130</v>
      </c>
      <c r="CR876" s="0" t="s">
        <v>130</v>
      </c>
      <c r="CS876" s="0" t="s">
        <v>130</v>
      </c>
      <c r="CT876" s="0" t="s">
        <v>2700</v>
      </c>
    </row>
    <row r="877">
      <c r="A877" s="14">
        <v>115785</v>
      </c>
      <c r="B877" s="0" t="s">
        <v>2695</v>
      </c>
      <c r="C877" s="16">
        <f>HYPERLINK("https://eosportal.federatedhermes.com/companies/Q29tcGFueQppODU0NDE=", "Roche Holding AG")</f>
      </c>
      <c r="D877" s="0" t="s">
        <v>25</v>
      </c>
      <c r="E877" s="0" t="s">
        <v>128</v>
      </c>
      <c r="F877" s="16">
        <f>HYPERLINK("https://eosportal.federatedhermes.com/engagements/RW5nYWdlbWVudAppMjI2MDQ=", "Purpose")</f>
      </c>
      <c r="G877" s="14" t="s">
        <v>2701</v>
      </c>
      <c r="H877" s="0" t="s">
        <v>141</v>
      </c>
      <c r="I877" s="14" t="s">
        <v>191</v>
      </c>
      <c r="J877" s="0" t="s">
        <v>153</v>
      </c>
      <c r="K877" s="0" t="s">
        <v>154</v>
      </c>
      <c r="L877" s="0" t="s">
        <v>306</v>
      </c>
      <c r="M877" s="0" t="s">
        <v>378</v>
      </c>
      <c r="N877" s="0" t="s">
        <v>1059</v>
      </c>
      <c r="O877" s="0" t="s">
        <v>274</v>
      </c>
      <c r="Q877" s="0" t="s">
        <v>130</v>
      </c>
      <c r="R877" s="0" t="s">
        <v>138</v>
      </c>
      <c r="S877" s="14">
        <v>0</v>
      </c>
      <c r="T877" s="0" t="s">
        <v>193</v>
      </c>
      <c r="U877" s="0" t="s">
        <v>138</v>
      </c>
      <c r="V877" s="14" t="s">
        <v>138</v>
      </c>
      <c r="W877" s="0" t="s">
        <v>138</v>
      </c>
      <c r="X877" s="14" t="s">
        <v>138</v>
      </c>
      <c r="Y877" s="0" t="s">
        <v>138</v>
      </c>
      <c r="Z877" s="14" t="s">
        <v>138</v>
      </c>
      <c r="AA877" s="0" t="s">
        <v>138</v>
      </c>
      <c r="AB877" s="14" t="s">
        <v>138</v>
      </c>
      <c r="AD877" s="0" t="s">
        <v>138</v>
      </c>
      <c r="AF877" s="0">
        <v>0</v>
      </c>
      <c r="AG877" s="0">
        <v>0</v>
      </c>
      <c r="AH877" s="0" t="s">
        <v>140</v>
      </c>
      <c r="AI877" s="0" t="s">
        <v>138</v>
      </c>
      <c r="AL877" s="14"/>
      <c r="AN877" s="14"/>
      <c r="AQ877" s="0" t="s">
        <v>130</v>
      </c>
      <c r="AR877" s="0" t="s">
        <v>130</v>
      </c>
      <c r="AS877" s="0" t="s">
        <v>130</v>
      </c>
      <c r="AT877" s="0" t="s">
        <v>130</v>
      </c>
      <c r="AU877" s="0" t="s">
        <v>130</v>
      </c>
      <c r="AV877" s="0" t="s">
        <v>130</v>
      </c>
      <c r="AW877" s="0" t="s">
        <v>130</v>
      </c>
      <c r="AX877" s="0" t="s">
        <v>130</v>
      </c>
      <c r="AY877" s="0" t="s">
        <v>130</v>
      </c>
      <c r="AZ877" s="0" t="s">
        <v>130</v>
      </c>
      <c r="BA877" s="0" t="s">
        <v>130</v>
      </c>
      <c r="BB877" s="0" t="s">
        <v>130</v>
      </c>
      <c r="BC877" s="0" t="s">
        <v>130</v>
      </c>
      <c r="BD877" s="0" t="s">
        <v>130</v>
      </c>
      <c r="BE877" s="0" t="s">
        <v>130</v>
      </c>
      <c r="BF877" s="0" t="s">
        <v>130</v>
      </c>
      <c r="BG877" s="0" t="s">
        <v>130</v>
      </c>
      <c r="BH877" s="0" t="s">
        <v>130</v>
      </c>
      <c r="BI877" s="0" t="s">
        <v>130</v>
      </c>
      <c r="BJ877" s="0" t="s">
        <v>130</v>
      </c>
      <c r="BK877" s="0" t="s">
        <v>130</v>
      </c>
      <c r="BL877" s="0" t="s">
        <v>130</v>
      </c>
      <c r="BM877" s="0" t="s">
        <v>130</v>
      </c>
      <c r="BN877" s="0" t="s">
        <v>130</v>
      </c>
      <c r="BO877" s="0" t="s">
        <v>130</v>
      </c>
      <c r="BP877" s="0" t="s">
        <v>130</v>
      </c>
      <c r="BQ877" s="0" t="s">
        <v>130</v>
      </c>
      <c r="BR877" s="0" t="s">
        <v>130</v>
      </c>
      <c r="BS877" s="0" t="s">
        <v>130</v>
      </c>
      <c r="BT877" s="0" t="s">
        <v>130</v>
      </c>
      <c r="BU877" s="0" t="s">
        <v>130</v>
      </c>
      <c r="BV877" s="0" t="s">
        <v>130</v>
      </c>
      <c r="BW877" s="0" t="s">
        <v>130</v>
      </c>
      <c r="BX877" s="0" t="s">
        <v>130</v>
      </c>
      <c r="BY877" s="0" t="s">
        <v>130</v>
      </c>
      <c r="BZ877" s="0" t="s">
        <v>130</v>
      </c>
      <c r="CA877" s="0" t="s">
        <v>130</v>
      </c>
      <c r="CB877" s="0" t="s">
        <v>130</v>
      </c>
      <c r="CC877" s="0" t="s">
        <v>130</v>
      </c>
      <c r="CD877" s="0" t="s">
        <v>130</v>
      </c>
      <c r="CE877" s="0" t="s">
        <v>130</v>
      </c>
      <c r="CF877" s="0" t="s">
        <v>130</v>
      </c>
      <c r="CG877" s="0" t="s">
        <v>130</v>
      </c>
      <c r="CH877" s="0" t="s">
        <v>130</v>
      </c>
      <c r="CI877" s="0" t="s">
        <v>130</v>
      </c>
      <c r="CJ877" s="0" t="s">
        <v>130</v>
      </c>
      <c r="CK877" s="0" t="s">
        <v>130</v>
      </c>
      <c r="CL877" s="0" t="s">
        <v>130</v>
      </c>
      <c r="CM877" s="0" t="s">
        <v>130</v>
      </c>
      <c r="CN877" s="0" t="s">
        <v>130</v>
      </c>
      <c r="CO877" s="0" t="s">
        <v>130</v>
      </c>
      <c r="CP877" s="0" t="s">
        <v>130</v>
      </c>
      <c r="CQ877" s="0" t="s">
        <v>130</v>
      </c>
      <c r="CR877" s="0" t="s">
        <v>130</v>
      </c>
      <c r="CS877" s="0" t="s">
        <v>130</v>
      </c>
      <c r="CT877" s="0" t="s">
        <v>2702</v>
      </c>
    </row>
    <row r="878">
      <c r="A878" s="14">
        <v>115785</v>
      </c>
      <c r="B878" s="0" t="s">
        <v>2695</v>
      </c>
      <c r="C878" s="16">
        <f>HYPERLINK("https://eosportal.federatedhermes.com/companies/Q29tcGFueQppODU0NDE=", "Roche Holding AG")</f>
      </c>
      <c r="D878" s="0" t="s">
        <v>25</v>
      </c>
      <c r="E878" s="0" t="s">
        <v>2703</v>
      </c>
      <c r="F878" s="16">
        <f>HYPERLINK("https://eosportal.federatedhermes.com/engagements/RW5nYWdlbWVudAppMjI2MDU=", "Covid-19 crisis")</f>
      </c>
      <c r="G878" s="14" t="s">
        <v>2704</v>
      </c>
      <c r="H878" s="0" t="s">
        <v>141</v>
      </c>
      <c r="I878" s="14" t="s">
        <v>191</v>
      </c>
      <c r="J878" s="0" t="s">
        <v>132</v>
      </c>
      <c r="K878" s="0" t="s">
        <v>260</v>
      </c>
      <c r="L878" s="0" t="s">
        <v>261</v>
      </c>
      <c r="M878" s="0" t="s">
        <v>378</v>
      </c>
      <c r="N878" s="0" t="s">
        <v>1059</v>
      </c>
      <c r="O878" s="0" t="s">
        <v>274</v>
      </c>
      <c r="Q878" s="0" t="s">
        <v>130</v>
      </c>
      <c r="R878" s="0" t="s">
        <v>138</v>
      </c>
      <c r="S878" s="14">
        <v>0</v>
      </c>
      <c r="T878" s="0" t="s">
        <v>394</v>
      </c>
      <c r="U878" s="0" t="s">
        <v>138</v>
      </c>
      <c r="V878" s="14" t="s">
        <v>138</v>
      </c>
      <c r="W878" s="0" t="s">
        <v>138</v>
      </c>
      <c r="X878" s="14" t="s">
        <v>138</v>
      </c>
      <c r="Y878" s="0" t="s">
        <v>138</v>
      </c>
      <c r="Z878" s="14" t="s">
        <v>138</v>
      </c>
      <c r="AA878" s="0" t="s">
        <v>138</v>
      </c>
      <c r="AB878" s="14" t="s">
        <v>138</v>
      </c>
      <c r="AD878" s="0" t="s">
        <v>138</v>
      </c>
      <c r="AF878" s="0">
        <v>0</v>
      </c>
      <c r="AG878" s="0">
        <v>0</v>
      </c>
      <c r="AH878" s="0" t="s">
        <v>140</v>
      </c>
      <c r="AI878" s="0" t="s">
        <v>138</v>
      </c>
      <c r="AL878" s="14"/>
      <c r="AN878" s="14"/>
      <c r="AQ878" s="0" t="s">
        <v>130</v>
      </c>
      <c r="AR878" s="0" t="s">
        <v>130</v>
      </c>
      <c r="AS878" s="0" t="s">
        <v>130</v>
      </c>
      <c r="AT878" s="0" t="s">
        <v>130</v>
      </c>
      <c r="AU878" s="0" t="s">
        <v>130</v>
      </c>
      <c r="AV878" s="0" t="s">
        <v>130</v>
      </c>
      <c r="AW878" s="0" t="s">
        <v>130</v>
      </c>
      <c r="AX878" s="0" t="s">
        <v>130</v>
      </c>
      <c r="AY878" s="0" t="s">
        <v>130</v>
      </c>
      <c r="AZ878" s="0" t="s">
        <v>130</v>
      </c>
      <c r="BA878" s="0" t="s">
        <v>130</v>
      </c>
      <c r="BB878" s="0" t="s">
        <v>130</v>
      </c>
      <c r="BC878" s="0" t="s">
        <v>130</v>
      </c>
      <c r="BD878" s="0" t="s">
        <v>130</v>
      </c>
      <c r="BE878" s="0" t="s">
        <v>130</v>
      </c>
      <c r="BF878" s="0" t="s">
        <v>130</v>
      </c>
      <c r="BG878" s="0" t="s">
        <v>130</v>
      </c>
      <c r="BH878" s="0" t="s">
        <v>130</v>
      </c>
      <c r="BI878" s="0" t="s">
        <v>130</v>
      </c>
      <c r="BJ878" s="0" t="s">
        <v>130</v>
      </c>
      <c r="BK878" s="0" t="s">
        <v>130</v>
      </c>
      <c r="BL878" s="0" t="s">
        <v>130</v>
      </c>
      <c r="BM878" s="0" t="s">
        <v>130</v>
      </c>
      <c r="BN878" s="0" t="s">
        <v>130</v>
      </c>
      <c r="BO878" s="0" t="s">
        <v>130</v>
      </c>
      <c r="BP878" s="0" t="s">
        <v>130</v>
      </c>
      <c r="BQ878" s="0" t="s">
        <v>130</v>
      </c>
      <c r="BR878" s="0" t="s">
        <v>130</v>
      </c>
      <c r="BS878" s="0" t="s">
        <v>130</v>
      </c>
      <c r="BT878" s="0" t="s">
        <v>130</v>
      </c>
      <c r="BU878" s="0" t="s">
        <v>130</v>
      </c>
      <c r="BV878" s="0" t="s">
        <v>130</v>
      </c>
      <c r="BW878" s="0" t="s">
        <v>130</v>
      </c>
      <c r="BX878" s="0" t="s">
        <v>130</v>
      </c>
      <c r="BY878" s="0" t="s">
        <v>130</v>
      </c>
      <c r="BZ878" s="0" t="s">
        <v>130</v>
      </c>
      <c r="CA878" s="0" t="s">
        <v>130</v>
      </c>
      <c r="CB878" s="0" t="s">
        <v>130</v>
      </c>
      <c r="CC878" s="0" t="s">
        <v>130</v>
      </c>
      <c r="CD878" s="0" t="s">
        <v>130</v>
      </c>
      <c r="CE878" s="0" t="s">
        <v>130</v>
      </c>
      <c r="CF878" s="0" t="s">
        <v>130</v>
      </c>
      <c r="CG878" s="0" t="s">
        <v>130</v>
      </c>
      <c r="CH878" s="0" t="s">
        <v>130</v>
      </c>
      <c r="CI878" s="0" t="s">
        <v>130</v>
      </c>
      <c r="CJ878" s="0" t="s">
        <v>130</v>
      </c>
      <c r="CK878" s="0" t="s">
        <v>130</v>
      </c>
      <c r="CL878" s="0" t="s">
        <v>130</v>
      </c>
      <c r="CM878" s="0" t="s">
        <v>130</v>
      </c>
      <c r="CN878" s="0" t="s">
        <v>130</v>
      </c>
      <c r="CO878" s="0" t="s">
        <v>130</v>
      </c>
      <c r="CP878" s="0" t="s">
        <v>130</v>
      </c>
      <c r="CQ878" s="0" t="s">
        <v>130</v>
      </c>
      <c r="CR878" s="0" t="s">
        <v>130</v>
      </c>
      <c r="CS878" s="0" t="s">
        <v>130</v>
      </c>
      <c r="CT878" s="0" t="s">
        <v>2705</v>
      </c>
    </row>
    <row r="879">
      <c r="A879" s="14">
        <v>115785</v>
      </c>
      <c r="B879" s="0" t="s">
        <v>2695</v>
      </c>
      <c r="C879" s="16">
        <f>HYPERLINK("https://eosportal.federatedhermes.com/companies/Q29tcGFueQppODU0NDE=", "Roche Holding AG")</f>
      </c>
      <c r="D879" s="0" t="s">
        <v>25</v>
      </c>
      <c r="E879" s="0" t="s">
        <v>2379</v>
      </c>
      <c r="F879" s="16">
        <f>HYPERLINK("https://eosportal.federatedhermes.com/engagements/RW5nYWdlbWVudAppMjI2MDY=", "Human capital reporting")</f>
      </c>
      <c r="G879" s="14" t="s">
        <v>2380</v>
      </c>
      <c r="H879" s="0" t="s">
        <v>141</v>
      </c>
      <c r="I879" s="14" t="s">
        <v>191</v>
      </c>
      <c r="J879" s="0" t="s">
        <v>153</v>
      </c>
      <c r="K879" s="0" t="s">
        <v>154</v>
      </c>
      <c r="L879" s="0" t="s">
        <v>268</v>
      </c>
      <c r="M879" s="0" t="s">
        <v>378</v>
      </c>
      <c r="N879" s="0" t="s">
        <v>1059</v>
      </c>
      <c r="O879" s="0" t="s">
        <v>274</v>
      </c>
      <c r="Q879" s="0" t="s">
        <v>141</v>
      </c>
      <c r="R879" s="0" t="s">
        <v>138</v>
      </c>
      <c r="S879" s="14">
        <v>1</v>
      </c>
      <c r="T879" s="0" t="s">
        <v>359</v>
      </c>
      <c r="U879" s="0" t="s">
        <v>138</v>
      </c>
      <c r="V879" s="14" t="s">
        <v>138</v>
      </c>
      <c r="W879" s="0" t="s">
        <v>138</v>
      </c>
      <c r="X879" s="14" t="s">
        <v>138</v>
      </c>
      <c r="Y879" s="0" t="s">
        <v>138</v>
      </c>
      <c r="Z879" s="14" t="s">
        <v>138</v>
      </c>
      <c r="AA879" s="0" t="s">
        <v>138</v>
      </c>
      <c r="AB879" s="14" t="s">
        <v>138</v>
      </c>
      <c r="AD879" s="0" t="s">
        <v>138</v>
      </c>
      <c r="AF879" s="0">
        <v>0</v>
      </c>
      <c r="AG879" s="0">
        <v>0</v>
      </c>
      <c r="AH879" s="0" t="s">
        <v>140</v>
      </c>
      <c r="AI879" s="0" t="s">
        <v>138</v>
      </c>
      <c r="AK879" s="0" t="s">
        <v>2376</v>
      </c>
      <c r="AL879" s="14"/>
      <c r="AN879" s="14"/>
      <c r="AQ879" s="0" t="s">
        <v>130</v>
      </c>
      <c r="AR879" s="0" t="s">
        <v>130</v>
      </c>
      <c r="AS879" s="0" t="s">
        <v>130</v>
      </c>
      <c r="AT879" s="0" t="s">
        <v>130</v>
      </c>
      <c r="AU879" s="0" t="s">
        <v>130</v>
      </c>
      <c r="AV879" s="0" t="s">
        <v>130</v>
      </c>
      <c r="AW879" s="0" t="s">
        <v>130</v>
      </c>
      <c r="AX879" s="0" t="s">
        <v>130</v>
      </c>
      <c r="AY879" s="0" t="s">
        <v>130</v>
      </c>
      <c r="AZ879" s="0" t="s">
        <v>130</v>
      </c>
      <c r="BA879" s="0" t="s">
        <v>130</v>
      </c>
      <c r="BB879" s="0" t="s">
        <v>130</v>
      </c>
      <c r="BC879" s="0" t="s">
        <v>130</v>
      </c>
      <c r="BD879" s="0" t="s">
        <v>130</v>
      </c>
      <c r="BE879" s="0" t="s">
        <v>130</v>
      </c>
      <c r="BF879" s="0" t="s">
        <v>130</v>
      </c>
      <c r="BG879" s="0" t="s">
        <v>130</v>
      </c>
      <c r="BH879" s="0" t="s">
        <v>130</v>
      </c>
      <c r="BI879" s="0" t="s">
        <v>130</v>
      </c>
      <c r="BJ879" s="0" t="s">
        <v>130</v>
      </c>
      <c r="BK879" s="0" t="s">
        <v>130</v>
      </c>
      <c r="BL879" s="0" t="s">
        <v>130</v>
      </c>
      <c r="BM879" s="0" t="s">
        <v>130</v>
      </c>
      <c r="BN879" s="0" t="s">
        <v>130</v>
      </c>
      <c r="BO879" s="0" t="s">
        <v>130</v>
      </c>
      <c r="BP879" s="0" t="s">
        <v>130</v>
      </c>
      <c r="BQ879" s="0" t="s">
        <v>130</v>
      </c>
      <c r="BR879" s="0" t="s">
        <v>130</v>
      </c>
      <c r="BS879" s="0" t="s">
        <v>130</v>
      </c>
      <c r="BT879" s="0" t="s">
        <v>130</v>
      </c>
      <c r="BU879" s="0" t="s">
        <v>130</v>
      </c>
      <c r="BV879" s="0" t="s">
        <v>130</v>
      </c>
      <c r="BW879" s="0" t="s">
        <v>130</v>
      </c>
      <c r="BX879" s="0" t="s">
        <v>130</v>
      </c>
      <c r="BY879" s="0" t="s">
        <v>130</v>
      </c>
      <c r="BZ879" s="0" t="s">
        <v>130</v>
      </c>
      <c r="CA879" s="0" t="s">
        <v>130</v>
      </c>
      <c r="CB879" s="0" t="s">
        <v>130</v>
      </c>
      <c r="CC879" s="0" t="s">
        <v>130</v>
      </c>
      <c r="CD879" s="0" t="s">
        <v>130</v>
      </c>
      <c r="CE879" s="0" t="s">
        <v>130</v>
      </c>
      <c r="CF879" s="0" t="s">
        <v>130</v>
      </c>
      <c r="CG879" s="0" t="s">
        <v>130</v>
      </c>
      <c r="CH879" s="0" t="s">
        <v>130</v>
      </c>
      <c r="CI879" s="0" t="s">
        <v>130</v>
      </c>
      <c r="CJ879" s="0" t="s">
        <v>130</v>
      </c>
      <c r="CK879" s="0" t="s">
        <v>141</v>
      </c>
      <c r="CL879" s="0" t="s">
        <v>130</v>
      </c>
      <c r="CM879" s="0" t="s">
        <v>130</v>
      </c>
      <c r="CN879" s="0" t="s">
        <v>130</v>
      </c>
      <c r="CO879" s="0" t="s">
        <v>130</v>
      </c>
      <c r="CP879" s="0" t="s">
        <v>130</v>
      </c>
      <c r="CQ879" s="0" t="s">
        <v>130</v>
      </c>
      <c r="CR879" s="0" t="s">
        <v>130</v>
      </c>
      <c r="CS879" s="0" t="s">
        <v>130</v>
      </c>
      <c r="CT879" s="0" t="s">
        <v>2706</v>
      </c>
    </row>
    <row r="880">
      <c r="A880" s="14">
        <v>115785</v>
      </c>
      <c r="B880" s="0" t="s">
        <v>2695</v>
      </c>
      <c r="C880" s="16">
        <f>HYPERLINK("https://eosportal.federatedhermes.com/companies/Q29tcGFueQppODU0NDE=", "Roche Holding AG")</f>
      </c>
      <c r="D880" s="0" t="s">
        <v>25</v>
      </c>
      <c r="E880" s="0" t="s">
        <v>2707</v>
      </c>
      <c r="F880" s="16">
        <f>HYPERLINK("https://eosportal.federatedhermes.com/engagements/RW5nYWdlbWVudAppMjI2MDc=", "Shareholder Protection and Rights")</f>
      </c>
      <c r="G880" s="14" t="s">
        <v>2708</v>
      </c>
      <c r="H880" s="0" t="s">
        <v>141</v>
      </c>
      <c r="I880" s="14" t="s">
        <v>191</v>
      </c>
      <c r="J880" s="0" t="s">
        <v>145</v>
      </c>
      <c r="K880" s="0" t="s">
        <v>400</v>
      </c>
      <c r="L880" s="0" t="s">
        <v>507</v>
      </c>
      <c r="M880" s="0" t="s">
        <v>378</v>
      </c>
      <c r="N880" s="0" t="s">
        <v>1059</v>
      </c>
      <c r="O880" s="0" t="s">
        <v>274</v>
      </c>
      <c r="Q880" s="0" t="s">
        <v>130</v>
      </c>
      <c r="R880" s="0" t="s">
        <v>138</v>
      </c>
      <c r="S880" s="14">
        <v>0</v>
      </c>
      <c r="T880" s="0" t="s">
        <v>230</v>
      </c>
      <c r="U880" s="0" t="s">
        <v>138</v>
      </c>
      <c r="V880" s="14" t="s">
        <v>138</v>
      </c>
      <c r="W880" s="0" t="s">
        <v>138</v>
      </c>
      <c r="X880" s="14" t="s">
        <v>138</v>
      </c>
      <c r="Y880" s="0" t="s">
        <v>138</v>
      </c>
      <c r="Z880" s="14" t="s">
        <v>138</v>
      </c>
      <c r="AA880" s="0" t="s">
        <v>138</v>
      </c>
      <c r="AB880" s="14" t="s">
        <v>138</v>
      </c>
      <c r="AD880" s="0" t="s">
        <v>138</v>
      </c>
      <c r="AF880" s="0">
        <v>0</v>
      </c>
      <c r="AG880" s="0">
        <v>0</v>
      </c>
      <c r="AH880" s="0" t="s">
        <v>140</v>
      </c>
      <c r="AI880" s="0" t="s">
        <v>138</v>
      </c>
      <c r="AL880" s="14"/>
      <c r="AN880" s="14"/>
      <c r="AQ880" s="0" t="s">
        <v>130</v>
      </c>
      <c r="AR880" s="0" t="s">
        <v>130</v>
      </c>
      <c r="AS880" s="0" t="s">
        <v>130</v>
      </c>
      <c r="AT880" s="0" t="s">
        <v>130</v>
      </c>
      <c r="AU880" s="0" t="s">
        <v>130</v>
      </c>
      <c r="AV880" s="0" t="s">
        <v>130</v>
      </c>
      <c r="AW880" s="0" t="s">
        <v>130</v>
      </c>
      <c r="AX880" s="0" t="s">
        <v>130</v>
      </c>
      <c r="AY880" s="0" t="s">
        <v>130</v>
      </c>
      <c r="AZ880" s="0" t="s">
        <v>130</v>
      </c>
      <c r="BA880" s="0" t="s">
        <v>130</v>
      </c>
      <c r="BB880" s="0" t="s">
        <v>130</v>
      </c>
      <c r="BC880" s="0" t="s">
        <v>130</v>
      </c>
      <c r="BD880" s="0" t="s">
        <v>130</v>
      </c>
      <c r="BE880" s="0" t="s">
        <v>130</v>
      </c>
      <c r="BF880" s="0" t="s">
        <v>130</v>
      </c>
      <c r="BG880" s="0" t="s">
        <v>130</v>
      </c>
      <c r="BH880" s="0" t="s">
        <v>130</v>
      </c>
      <c r="BI880" s="0" t="s">
        <v>130</v>
      </c>
      <c r="BJ880" s="0" t="s">
        <v>130</v>
      </c>
      <c r="BK880" s="0" t="s">
        <v>130</v>
      </c>
      <c r="BL880" s="0" t="s">
        <v>130</v>
      </c>
      <c r="BM880" s="0" t="s">
        <v>130</v>
      </c>
      <c r="BN880" s="0" t="s">
        <v>130</v>
      </c>
      <c r="BO880" s="0" t="s">
        <v>130</v>
      </c>
      <c r="BP880" s="0" t="s">
        <v>130</v>
      </c>
      <c r="BQ880" s="0" t="s">
        <v>130</v>
      </c>
      <c r="BR880" s="0" t="s">
        <v>130</v>
      </c>
      <c r="BS880" s="0" t="s">
        <v>130</v>
      </c>
      <c r="BT880" s="0" t="s">
        <v>130</v>
      </c>
      <c r="BU880" s="0" t="s">
        <v>130</v>
      </c>
      <c r="BV880" s="0" t="s">
        <v>130</v>
      </c>
      <c r="BW880" s="0" t="s">
        <v>130</v>
      </c>
      <c r="BX880" s="0" t="s">
        <v>130</v>
      </c>
      <c r="BY880" s="0" t="s">
        <v>130</v>
      </c>
      <c r="BZ880" s="0" t="s">
        <v>130</v>
      </c>
      <c r="CA880" s="0" t="s">
        <v>130</v>
      </c>
      <c r="CB880" s="0" t="s">
        <v>130</v>
      </c>
      <c r="CC880" s="0" t="s">
        <v>130</v>
      </c>
      <c r="CD880" s="0" t="s">
        <v>130</v>
      </c>
      <c r="CE880" s="0" t="s">
        <v>130</v>
      </c>
      <c r="CF880" s="0" t="s">
        <v>130</v>
      </c>
      <c r="CG880" s="0" t="s">
        <v>130</v>
      </c>
      <c r="CH880" s="0" t="s">
        <v>130</v>
      </c>
      <c r="CI880" s="0" t="s">
        <v>130</v>
      </c>
      <c r="CJ880" s="0" t="s">
        <v>130</v>
      </c>
      <c r="CK880" s="0" t="s">
        <v>130</v>
      </c>
      <c r="CL880" s="0" t="s">
        <v>130</v>
      </c>
      <c r="CM880" s="0" t="s">
        <v>130</v>
      </c>
      <c r="CN880" s="0" t="s">
        <v>130</v>
      </c>
      <c r="CO880" s="0" t="s">
        <v>130</v>
      </c>
      <c r="CP880" s="0" t="s">
        <v>130</v>
      </c>
      <c r="CQ880" s="0" t="s">
        <v>130</v>
      </c>
      <c r="CR880" s="0" t="s">
        <v>130</v>
      </c>
      <c r="CS880" s="0" t="s">
        <v>130</v>
      </c>
      <c r="CT880" s="0" t="s">
        <v>2709</v>
      </c>
    </row>
    <row r="881">
      <c r="A881" s="14">
        <v>115785</v>
      </c>
      <c r="B881" s="0" t="s">
        <v>2695</v>
      </c>
      <c r="C881" s="16">
        <f>HYPERLINK("https://eosportal.federatedhermes.com/companies/Q29tcGFueQppODU0NDE=", "Roche Holding AG")</f>
      </c>
      <c r="D881" s="0" t="s">
        <v>23</v>
      </c>
      <c r="E881" s="0" t="s">
        <v>1063</v>
      </c>
      <c r="F881" s="16">
        <f>HYPERLINK("https://eosportal.federatedhermes.com/engagements/RW5nYWdlbWVudAppMjI2MDk=", "Board evaluation")</f>
      </c>
      <c r="G881" s="14" t="s">
        <v>2710</v>
      </c>
      <c r="H881" s="0" t="s">
        <v>141</v>
      </c>
      <c r="I881" s="14" t="s">
        <v>191</v>
      </c>
      <c r="J881" s="0" t="s">
        <v>145</v>
      </c>
      <c r="K881" s="0" t="s">
        <v>164</v>
      </c>
      <c r="L881" s="0" t="s">
        <v>970</v>
      </c>
      <c r="M881" s="0" t="s">
        <v>378</v>
      </c>
      <c r="N881" s="0" t="s">
        <v>1059</v>
      </c>
      <c r="O881" s="0" t="s">
        <v>274</v>
      </c>
      <c r="Q881" s="0" t="s">
        <v>141</v>
      </c>
      <c r="R881" s="0" t="s">
        <v>141</v>
      </c>
      <c r="S881" s="14">
        <v>1</v>
      </c>
      <c r="T881" s="0" t="s">
        <v>148</v>
      </c>
      <c r="U881" s="0" t="s">
        <v>221</v>
      </c>
      <c r="V881" s="14" t="s">
        <v>148</v>
      </c>
      <c r="W881" s="0" t="s">
        <v>221</v>
      </c>
      <c r="X881" s="14" t="s">
        <v>206</v>
      </c>
      <c r="Y881" s="0" t="s">
        <v>221</v>
      </c>
      <c r="Z881" s="14" t="s">
        <v>583</v>
      </c>
      <c r="AA881" s="0" t="s">
        <v>221</v>
      </c>
      <c r="AB881" s="14" t="s">
        <v>361</v>
      </c>
      <c r="AC881" s="0" t="s">
        <v>20</v>
      </c>
      <c r="AD881" s="0" t="s">
        <v>362</v>
      </c>
      <c r="AE881" s="0" t="s">
        <v>363</v>
      </c>
      <c r="AF881" s="0">
        <v>1</v>
      </c>
      <c r="AG881" s="0">
        <v>0</v>
      </c>
      <c r="AH881" s="0" t="s">
        <v>140</v>
      </c>
      <c r="AI881" s="0" t="s">
        <v>221</v>
      </c>
      <c r="AJ881" s="0" t="s">
        <v>748</v>
      </c>
      <c r="AK881" s="0" t="s">
        <v>2376</v>
      </c>
      <c r="AL881" s="14"/>
      <c r="AM881" s="0" t="s">
        <v>580</v>
      </c>
      <c r="AN881" s="14"/>
      <c r="AQ881" s="0" t="s">
        <v>130</v>
      </c>
      <c r="AR881" s="0" t="s">
        <v>130</v>
      </c>
      <c r="AS881" s="0" t="s">
        <v>130</v>
      </c>
      <c r="AT881" s="0" t="s">
        <v>130</v>
      </c>
      <c r="AU881" s="0" t="s">
        <v>130</v>
      </c>
      <c r="AV881" s="0" t="s">
        <v>130</v>
      </c>
      <c r="AW881" s="0" t="s">
        <v>130</v>
      </c>
      <c r="AX881" s="0" t="s">
        <v>130</v>
      </c>
      <c r="AY881" s="0" t="s">
        <v>130</v>
      </c>
      <c r="AZ881" s="0" t="s">
        <v>130</v>
      </c>
      <c r="BA881" s="0" t="s">
        <v>130</v>
      </c>
      <c r="BB881" s="0" t="s">
        <v>130</v>
      </c>
      <c r="BC881" s="0" t="s">
        <v>130</v>
      </c>
      <c r="BD881" s="0" t="s">
        <v>130</v>
      </c>
      <c r="BE881" s="0" t="s">
        <v>130</v>
      </c>
      <c r="BF881" s="0" t="s">
        <v>130</v>
      </c>
      <c r="BG881" s="0" t="s">
        <v>130</v>
      </c>
      <c r="BH881" s="0" t="s">
        <v>130</v>
      </c>
      <c r="BI881" s="0" t="s">
        <v>130</v>
      </c>
      <c r="BJ881" s="0" t="s">
        <v>130</v>
      </c>
      <c r="BK881" s="0" t="s">
        <v>130</v>
      </c>
      <c r="BL881" s="0" t="s">
        <v>130</v>
      </c>
      <c r="BM881" s="0" t="s">
        <v>130</v>
      </c>
      <c r="BN881" s="0" t="s">
        <v>130</v>
      </c>
      <c r="BO881" s="0" t="s">
        <v>130</v>
      </c>
      <c r="BP881" s="0" t="s">
        <v>130</v>
      </c>
      <c r="BQ881" s="0" t="s">
        <v>130</v>
      </c>
      <c r="BR881" s="0" t="s">
        <v>130</v>
      </c>
      <c r="BS881" s="0" t="s">
        <v>130</v>
      </c>
      <c r="BT881" s="0" t="s">
        <v>130</v>
      </c>
      <c r="BU881" s="0" t="s">
        <v>130</v>
      </c>
      <c r="BV881" s="0" t="s">
        <v>130</v>
      </c>
      <c r="BW881" s="0" t="s">
        <v>130</v>
      </c>
      <c r="BX881" s="0" t="s">
        <v>130</v>
      </c>
      <c r="BY881" s="0" t="s">
        <v>130</v>
      </c>
      <c r="BZ881" s="0" t="s">
        <v>130</v>
      </c>
      <c r="CA881" s="0" t="s">
        <v>130</v>
      </c>
      <c r="CB881" s="0" t="s">
        <v>130</v>
      </c>
      <c r="CC881" s="0" t="s">
        <v>130</v>
      </c>
      <c r="CD881" s="0" t="s">
        <v>130</v>
      </c>
      <c r="CE881" s="0" t="s">
        <v>130</v>
      </c>
      <c r="CF881" s="0" t="s">
        <v>130</v>
      </c>
      <c r="CG881" s="0" t="s">
        <v>130</v>
      </c>
      <c r="CH881" s="0" t="s">
        <v>130</v>
      </c>
      <c r="CI881" s="0" t="s">
        <v>130</v>
      </c>
      <c r="CJ881" s="0" t="s">
        <v>130</v>
      </c>
      <c r="CK881" s="0" t="s">
        <v>130</v>
      </c>
      <c r="CL881" s="0" t="s">
        <v>130</v>
      </c>
      <c r="CM881" s="0" t="s">
        <v>130</v>
      </c>
      <c r="CN881" s="0" t="s">
        <v>130</v>
      </c>
      <c r="CO881" s="0" t="s">
        <v>130</v>
      </c>
      <c r="CP881" s="0" t="s">
        <v>130</v>
      </c>
      <c r="CQ881" s="0" t="s">
        <v>130</v>
      </c>
      <c r="CR881" s="0" t="s">
        <v>130</v>
      </c>
      <c r="CS881" s="0" t="s">
        <v>130</v>
      </c>
      <c r="CT881" s="0" t="s">
        <v>2711</v>
      </c>
    </row>
    <row r="882">
      <c r="A882" s="14">
        <v>115785</v>
      </c>
      <c r="B882" s="0" t="s">
        <v>2695</v>
      </c>
      <c r="C882" s="16">
        <f>HYPERLINK("https://eosportal.federatedhermes.com/companies/Q29tcGFueQppODU0NDE=", "Roche Holding AG")</f>
      </c>
      <c r="D882" s="0" t="s">
        <v>23</v>
      </c>
      <c r="E882" s="0" t="s">
        <v>1527</v>
      </c>
      <c r="F882" s="16">
        <f>HYPERLINK("https://eosportal.federatedhermes.com/engagements/RW5nYWdlbWVudAppMjI2MTA=", "Sustainability strategy")</f>
      </c>
      <c r="G882" s="14" t="s">
        <v>2712</v>
      </c>
      <c r="H882" s="0" t="s">
        <v>141</v>
      </c>
      <c r="I882" s="14" t="s">
        <v>191</v>
      </c>
      <c r="J882" s="0" t="s">
        <v>132</v>
      </c>
      <c r="K882" s="0" t="s">
        <v>170</v>
      </c>
      <c r="L882" s="0" t="s">
        <v>171</v>
      </c>
      <c r="M882" s="0" t="s">
        <v>378</v>
      </c>
      <c r="N882" s="0" t="s">
        <v>1059</v>
      </c>
      <c r="O882" s="0" t="s">
        <v>274</v>
      </c>
      <c r="Q882" s="0" t="s">
        <v>141</v>
      </c>
      <c r="R882" s="0" t="s">
        <v>130</v>
      </c>
      <c r="S882" s="14">
        <v>1</v>
      </c>
      <c r="T882" s="0" t="s">
        <v>394</v>
      </c>
      <c r="U882" s="0" t="s">
        <v>221</v>
      </c>
      <c r="V882" s="14" t="s">
        <v>394</v>
      </c>
      <c r="W882" s="0" t="s">
        <v>221</v>
      </c>
      <c r="X882" s="14" t="s">
        <v>478</v>
      </c>
      <c r="Y882" s="0" t="s">
        <v>221</v>
      </c>
      <c r="Z882" s="14" t="s">
        <v>222</v>
      </c>
      <c r="AA882" s="0" t="s">
        <v>223</v>
      </c>
      <c r="AB882" s="14" t="s">
        <v>138</v>
      </c>
      <c r="AD882" s="0" t="s">
        <v>20</v>
      </c>
      <c r="AF882" s="0">
        <v>0</v>
      </c>
      <c r="AG882" s="0">
        <v>0</v>
      </c>
      <c r="AH882" s="0" t="s">
        <v>140</v>
      </c>
      <c r="AI882" s="0" t="s">
        <v>232</v>
      </c>
      <c r="AK882" s="0" t="s">
        <v>2376</v>
      </c>
      <c r="AL882" s="14"/>
      <c r="AN882" s="14"/>
      <c r="AQ882" s="0" t="s">
        <v>130</v>
      </c>
      <c r="AR882" s="0" t="s">
        <v>130</v>
      </c>
      <c r="AS882" s="0" t="s">
        <v>130</v>
      </c>
      <c r="AT882" s="0" t="s">
        <v>130</v>
      </c>
      <c r="AU882" s="0" t="s">
        <v>130</v>
      </c>
      <c r="AV882" s="0" t="s">
        <v>130</v>
      </c>
      <c r="AW882" s="0" t="s">
        <v>130</v>
      </c>
      <c r="AX882" s="0" t="s">
        <v>130</v>
      </c>
      <c r="AY882" s="0" t="s">
        <v>130</v>
      </c>
      <c r="AZ882" s="0" t="s">
        <v>130</v>
      </c>
      <c r="BA882" s="0" t="s">
        <v>130</v>
      </c>
      <c r="BB882" s="0" t="s">
        <v>130</v>
      </c>
      <c r="BC882" s="0" t="s">
        <v>130</v>
      </c>
      <c r="BD882" s="0" t="s">
        <v>130</v>
      </c>
      <c r="BE882" s="0" t="s">
        <v>130</v>
      </c>
      <c r="BF882" s="0" t="s">
        <v>130</v>
      </c>
      <c r="BG882" s="0" t="s">
        <v>130</v>
      </c>
      <c r="BH882" s="0" t="s">
        <v>130</v>
      </c>
      <c r="BI882" s="0" t="s">
        <v>130</v>
      </c>
      <c r="BJ882" s="0" t="s">
        <v>130</v>
      </c>
      <c r="BK882" s="0" t="s">
        <v>130</v>
      </c>
      <c r="BL882" s="0" t="s">
        <v>130</v>
      </c>
      <c r="BM882" s="0" t="s">
        <v>130</v>
      </c>
      <c r="BN882" s="0" t="s">
        <v>130</v>
      </c>
      <c r="BO882" s="0" t="s">
        <v>130</v>
      </c>
      <c r="BP882" s="0" t="s">
        <v>130</v>
      </c>
      <c r="BQ882" s="0" t="s">
        <v>130</v>
      </c>
      <c r="BR882" s="0" t="s">
        <v>130</v>
      </c>
      <c r="BS882" s="0" t="s">
        <v>130</v>
      </c>
      <c r="BT882" s="0" t="s">
        <v>130</v>
      </c>
      <c r="BU882" s="0" t="s">
        <v>130</v>
      </c>
      <c r="BV882" s="0" t="s">
        <v>130</v>
      </c>
      <c r="BW882" s="0" t="s">
        <v>130</v>
      </c>
      <c r="BX882" s="0" t="s">
        <v>130</v>
      </c>
      <c r="BY882" s="0" t="s">
        <v>130</v>
      </c>
      <c r="BZ882" s="0" t="s">
        <v>130</v>
      </c>
      <c r="CA882" s="0" t="s">
        <v>130</v>
      </c>
      <c r="CB882" s="0" t="s">
        <v>130</v>
      </c>
      <c r="CC882" s="0" t="s">
        <v>130</v>
      </c>
      <c r="CD882" s="0" t="s">
        <v>130</v>
      </c>
      <c r="CE882" s="0" t="s">
        <v>130</v>
      </c>
      <c r="CF882" s="0" t="s">
        <v>130</v>
      </c>
      <c r="CG882" s="0" t="s">
        <v>130</v>
      </c>
      <c r="CH882" s="0" t="s">
        <v>130</v>
      </c>
      <c r="CI882" s="0" t="s">
        <v>130</v>
      </c>
      <c r="CJ882" s="0" t="s">
        <v>130</v>
      </c>
      <c r="CK882" s="0" t="s">
        <v>130</v>
      </c>
      <c r="CL882" s="0" t="s">
        <v>130</v>
      </c>
      <c r="CM882" s="0" t="s">
        <v>130</v>
      </c>
      <c r="CN882" s="0" t="s">
        <v>130</v>
      </c>
      <c r="CO882" s="0" t="s">
        <v>130</v>
      </c>
      <c r="CP882" s="0" t="s">
        <v>130</v>
      </c>
      <c r="CQ882" s="0" t="s">
        <v>130</v>
      </c>
      <c r="CR882" s="0" t="s">
        <v>130</v>
      </c>
      <c r="CS882" s="0" t="s">
        <v>130</v>
      </c>
      <c r="CT882" s="0" t="s">
        <v>2713</v>
      </c>
    </row>
    <row r="883">
      <c r="A883" s="14">
        <v>115785</v>
      </c>
      <c r="B883" s="0" t="s">
        <v>2695</v>
      </c>
      <c r="C883" s="16">
        <f>HYPERLINK("https://eosportal.federatedhermes.com/companies/Q29tcGFueQppODU0NDE=", "Roche Holding AG")</f>
      </c>
      <c r="D883" s="0" t="s">
        <v>25</v>
      </c>
      <c r="E883" s="0" t="s">
        <v>2714</v>
      </c>
      <c r="F883" s="16">
        <f>HYPERLINK("https://eosportal.federatedhermes.com/engagements/RW5nYWdlbWVudAppMjI2MTE=", "Press for board refreshment")</f>
      </c>
      <c r="G883" s="14" t="s">
        <v>2715</v>
      </c>
      <c r="H883" s="0" t="s">
        <v>141</v>
      </c>
      <c r="I883" s="14" t="s">
        <v>191</v>
      </c>
      <c r="J883" s="0" t="s">
        <v>145</v>
      </c>
      <c r="K883" s="0" t="s">
        <v>164</v>
      </c>
      <c r="L883" s="0" t="s">
        <v>165</v>
      </c>
      <c r="M883" s="0" t="s">
        <v>378</v>
      </c>
      <c r="N883" s="0" t="s">
        <v>1059</v>
      </c>
      <c r="O883" s="0" t="s">
        <v>274</v>
      </c>
      <c r="Q883" s="0" t="s">
        <v>130</v>
      </c>
      <c r="R883" s="0" t="s">
        <v>138</v>
      </c>
      <c r="S883" s="14">
        <v>0</v>
      </c>
      <c r="T883" s="0" t="s">
        <v>303</v>
      </c>
      <c r="U883" s="0" t="s">
        <v>138</v>
      </c>
      <c r="V883" s="14" t="s">
        <v>138</v>
      </c>
      <c r="W883" s="0" t="s">
        <v>138</v>
      </c>
      <c r="X883" s="14" t="s">
        <v>138</v>
      </c>
      <c r="Y883" s="0" t="s">
        <v>138</v>
      </c>
      <c r="Z883" s="14" t="s">
        <v>138</v>
      </c>
      <c r="AA883" s="0" t="s">
        <v>138</v>
      </c>
      <c r="AB883" s="14" t="s">
        <v>138</v>
      </c>
      <c r="AD883" s="0" t="s">
        <v>138</v>
      </c>
      <c r="AF883" s="0">
        <v>0</v>
      </c>
      <c r="AG883" s="0">
        <v>0</v>
      </c>
      <c r="AH883" s="0" t="s">
        <v>140</v>
      </c>
      <c r="AI883" s="0" t="s">
        <v>138</v>
      </c>
      <c r="AL883" s="14"/>
      <c r="AN883" s="14"/>
      <c r="AQ883" s="0" t="s">
        <v>130</v>
      </c>
      <c r="AR883" s="0" t="s">
        <v>130</v>
      </c>
      <c r="AS883" s="0" t="s">
        <v>130</v>
      </c>
      <c r="AT883" s="0" t="s">
        <v>130</v>
      </c>
      <c r="AU883" s="0" t="s">
        <v>130</v>
      </c>
      <c r="AV883" s="0" t="s">
        <v>130</v>
      </c>
      <c r="AW883" s="0" t="s">
        <v>130</v>
      </c>
      <c r="AX883" s="0" t="s">
        <v>130</v>
      </c>
      <c r="AY883" s="0" t="s">
        <v>130</v>
      </c>
      <c r="AZ883" s="0" t="s">
        <v>130</v>
      </c>
      <c r="BA883" s="0" t="s">
        <v>130</v>
      </c>
      <c r="BB883" s="0" t="s">
        <v>130</v>
      </c>
      <c r="BC883" s="0" t="s">
        <v>130</v>
      </c>
      <c r="BD883" s="0" t="s">
        <v>130</v>
      </c>
      <c r="BE883" s="0" t="s">
        <v>130</v>
      </c>
      <c r="BF883" s="0" t="s">
        <v>130</v>
      </c>
      <c r="BG883" s="0" t="s">
        <v>130</v>
      </c>
      <c r="BH883" s="0" t="s">
        <v>130</v>
      </c>
      <c r="BI883" s="0" t="s">
        <v>130</v>
      </c>
      <c r="BJ883" s="0" t="s">
        <v>130</v>
      </c>
      <c r="BK883" s="0" t="s">
        <v>130</v>
      </c>
      <c r="BL883" s="0" t="s">
        <v>130</v>
      </c>
      <c r="BM883" s="0" t="s">
        <v>130</v>
      </c>
      <c r="BN883" s="0" t="s">
        <v>130</v>
      </c>
      <c r="BO883" s="0" t="s">
        <v>130</v>
      </c>
      <c r="BP883" s="0" t="s">
        <v>130</v>
      </c>
      <c r="BQ883" s="0" t="s">
        <v>130</v>
      </c>
      <c r="BR883" s="0" t="s">
        <v>130</v>
      </c>
      <c r="BS883" s="0" t="s">
        <v>130</v>
      </c>
      <c r="BT883" s="0" t="s">
        <v>130</v>
      </c>
      <c r="BU883" s="0" t="s">
        <v>130</v>
      </c>
      <c r="BV883" s="0" t="s">
        <v>130</v>
      </c>
      <c r="BW883" s="0" t="s">
        <v>130</v>
      </c>
      <c r="BX883" s="0" t="s">
        <v>130</v>
      </c>
      <c r="BY883" s="0" t="s">
        <v>130</v>
      </c>
      <c r="BZ883" s="0" t="s">
        <v>130</v>
      </c>
      <c r="CA883" s="0" t="s">
        <v>130</v>
      </c>
      <c r="CB883" s="0" t="s">
        <v>130</v>
      </c>
      <c r="CC883" s="0" t="s">
        <v>130</v>
      </c>
      <c r="CD883" s="0" t="s">
        <v>130</v>
      </c>
      <c r="CE883" s="0" t="s">
        <v>130</v>
      </c>
      <c r="CF883" s="0" t="s">
        <v>130</v>
      </c>
      <c r="CG883" s="0" t="s">
        <v>130</v>
      </c>
      <c r="CH883" s="0" t="s">
        <v>130</v>
      </c>
      <c r="CI883" s="0" t="s">
        <v>130</v>
      </c>
      <c r="CJ883" s="0" t="s">
        <v>130</v>
      </c>
      <c r="CK883" s="0" t="s">
        <v>130</v>
      </c>
      <c r="CL883" s="0" t="s">
        <v>130</v>
      </c>
      <c r="CM883" s="0" t="s">
        <v>130</v>
      </c>
      <c r="CN883" s="0" t="s">
        <v>130</v>
      </c>
      <c r="CO883" s="0" t="s">
        <v>130</v>
      </c>
      <c r="CP883" s="0" t="s">
        <v>130</v>
      </c>
      <c r="CQ883" s="0" t="s">
        <v>130</v>
      </c>
      <c r="CR883" s="0" t="s">
        <v>130</v>
      </c>
      <c r="CS883" s="0" t="s">
        <v>130</v>
      </c>
      <c r="CT883" s="0" t="s">
        <v>2716</v>
      </c>
    </row>
    <row r="884">
      <c r="A884" s="14">
        <v>115785</v>
      </c>
      <c r="B884" s="0" t="s">
        <v>2695</v>
      </c>
      <c r="C884" s="16">
        <f>HYPERLINK("https://eosportal.federatedhermes.com/companies/Q29tcGFueQppODU0NDE=", "Roche Holding AG")</f>
      </c>
      <c r="D884" s="0" t="s">
        <v>25</v>
      </c>
      <c r="E884" s="0" t="s">
        <v>2717</v>
      </c>
      <c r="F884" s="16">
        <f>HYPERLINK("https://eosportal.federatedhermes.com/engagements/RW5nYWdlbWVudAppMjI2MTg=", "Access to medicines and risk management")</f>
      </c>
      <c r="G884" s="14" t="s">
        <v>2718</v>
      </c>
      <c r="H884" s="0" t="s">
        <v>141</v>
      </c>
      <c r="I884" s="14" t="s">
        <v>191</v>
      </c>
      <c r="J884" s="0" t="s">
        <v>153</v>
      </c>
      <c r="K884" s="0" t="s">
        <v>185</v>
      </c>
      <c r="L884" s="0" t="s">
        <v>186</v>
      </c>
      <c r="M884" s="0" t="s">
        <v>378</v>
      </c>
      <c r="N884" s="0" t="s">
        <v>1059</v>
      </c>
      <c r="O884" s="0" t="s">
        <v>274</v>
      </c>
      <c r="Q884" s="0" t="s">
        <v>141</v>
      </c>
      <c r="R884" s="0" t="s">
        <v>138</v>
      </c>
      <c r="S884" s="14">
        <v>1</v>
      </c>
      <c r="T884" s="0" t="s">
        <v>293</v>
      </c>
      <c r="U884" s="0" t="s">
        <v>138</v>
      </c>
      <c r="V884" s="14" t="s">
        <v>138</v>
      </c>
      <c r="W884" s="0" t="s">
        <v>138</v>
      </c>
      <c r="X884" s="14" t="s">
        <v>138</v>
      </c>
      <c r="Y884" s="0" t="s">
        <v>138</v>
      </c>
      <c r="Z884" s="14" t="s">
        <v>138</v>
      </c>
      <c r="AA884" s="0" t="s">
        <v>138</v>
      </c>
      <c r="AB884" s="14" t="s">
        <v>138</v>
      </c>
      <c r="AD884" s="0" t="s">
        <v>138</v>
      </c>
      <c r="AF884" s="0">
        <v>0</v>
      </c>
      <c r="AG884" s="0">
        <v>0</v>
      </c>
      <c r="AH884" s="0" t="s">
        <v>140</v>
      </c>
      <c r="AI884" s="0" t="s">
        <v>138</v>
      </c>
      <c r="AK884" s="0" t="s">
        <v>2376</v>
      </c>
      <c r="AL884" s="14"/>
      <c r="AN884" s="14"/>
      <c r="AQ884" s="0" t="s">
        <v>130</v>
      </c>
      <c r="AR884" s="0" t="s">
        <v>130</v>
      </c>
      <c r="AS884" s="0" t="s">
        <v>130</v>
      </c>
      <c r="AT884" s="0" t="s">
        <v>130</v>
      </c>
      <c r="AU884" s="0" t="s">
        <v>130</v>
      </c>
      <c r="AV884" s="0" t="s">
        <v>130</v>
      </c>
      <c r="AW884" s="0" t="s">
        <v>130</v>
      </c>
      <c r="AX884" s="0" t="s">
        <v>130</v>
      </c>
      <c r="AY884" s="0" t="s">
        <v>130</v>
      </c>
      <c r="AZ884" s="0" t="s">
        <v>130</v>
      </c>
      <c r="BA884" s="0" t="s">
        <v>130</v>
      </c>
      <c r="BB884" s="0" t="s">
        <v>130</v>
      </c>
      <c r="BC884" s="0" t="s">
        <v>130</v>
      </c>
      <c r="BD884" s="0" t="s">
        <v>130</v>
      </c>
      <c r="BE884" s="0" t="s">
        <v>130</v>
      </c>
      <c r="BF884" s="0" t="s">
        <v>130</v>
      </c>
      <c r="BG884" s="0" t="s">
        <v>130</v>
      </c>
      <c r="BH884" s="0" t="s">
        <v>130</v>
      </c>
      <c r="BI884" s="0" t="s">
        <v>130</v>
      </c>
      <c r="BJ884" s="0" t="s">
        <v>130</v>
      </c>
      <c r="BK884" s="0" t="s">
        <v>130</v>
      </c>
      <c r="BL884" s="0" t="s">
        <v>130</v>
      </c>
      <c r="BM884" s="0" t="s">
        <v>130</v>
      </c>
      <c r="BN884" s="0" t="s">
        <v>130</v>
      </c>
      <c r="BO884" s="0" t="s">
        <v>130</v>
      </c>
      <c r="BP884" s="0" t="s">
        <v>130</v>
      </c>
      <c r="BQ884" s="0" t="s">
        <v>130</v>
      </c>
      <c r="BR884" s="0" t="s">
        <v>130</v>
      </c>
      <c r="BS884" s="0" t="s">
        <v>130</v>
      </c>
      <c r="BT884" s="0" t="s">
        <v>130</v>
      </c>
      <c r="BU884" s="0" t="s">
        <v>130</v>
      </c>
      <c r="BV884" s="0" t="s">
        <v>130</v>
      </c>
      <c r="BW884" s="0" t="s">
        <v>130</v>
      </c>
      <c r="BX884" s="0" t="s">
        <v>130</v>
      </c>
      <c r="BY884" s="0" t="s">
        <v>130</v>
      </c>
      <c r="BZ884" s="0" t="s">
        <v>130</v>
      </c>
      <c r="CA884" s="0" t="s">
        <v>130</v>
      </c>
      <c r="CB884" s="0" t="s">
        <v>130</v>
      </c>
      <c r="CC884" s="0" t="s">
        <v>130</v>
      </c>
      <c r="CD884" s="0" t="s">
        <v>130</v>
      </c>
      <c r="CE884" s="0" t="s">
        <v>130</v>
      </c>
      <c r="CF884" s="0" t="s">
        <v>130</v>
      </c>
      <c r="CG884" s="0" t="s">
        <v>130</v>
      </c>
      <c r="CH884" s="0" t="s">
        <v>130</v>
      </c>
      <c r="CI884" s="0" t="s">
        <v>130</v>
      </c>
      <c r="CJ884" s="0" t="s">
        <v>130</v>
      </c>
      <c r="CK884" s="0" t="s">
        <v>130</v>
      </c>
      <c r="CL884" s="0" t="s">
        <v>130</v>
      </c>
      <c r="CM884" s="0" t="s">
        <v>130</v>
      </c>
      <c r="CN884" s="0" t="s">
        <v>130</v>
      </c>
      <c r="CO884" s="0" t="s">
        <v>130</v>
      </c>
      <c r="CP884" s="0" t="s">
        <v>130</v>
      </c>
      <c r="CQ884" s="0" t="s">
        <v>130</v>
      </c>
      <c r="CR884" s="0" t="s">
        <v>130</v>
      </c>
      <c r="CS884" s="0" t="s">
        <v>130</v>
      </c>
      <c r="CT884" s="0" t="s">
        <v>2719</v>
      </c>
    </row>
    <row r="885">
      <c r="A885" s="14">
        <v>115794</v>
      </c>
      <c r="B885" s="0" t="s">
        <v>2720</v>
      </c>
      <c r="C885" s="16">
        <f>HYPERLINK("https://eosportal.federatedhermes.com/companies/Q29tcGFueQppNzc2NTc=", "Sun Hung Kai Properties Ltd")</f>
      </c>
      <c r="D885" s="0" t="s">
        <v>25</v>
      </c>
      <c r="E885" s="0" t="s">
        <v>2721</v>
      </c>
      <c r="F885" s="16">
        <f>HYPERLINK("https://eosportal.federatedhermes.com/engagements/RW5nYWdlbWVudAppMjI2NTA=", "Gender diversity on board")</f>
      </c>
      <c r="G885" s="14" t="s">
        <v>2722</v>
      </c>
      <c r="H885" s="0" t="s">
        <v>141</v>
      </c>
      <c r="I885" s="14" t="s">
        <v>636</v>
      </c>
      <c r="J885" s="0" t="s">
        <v>145</v>
      </c>
      <c r="K885" s="0" t="s">
        <v>164</v>
      </c>
      <c r="L885" s="0" t="s">
        <v>165</v>
      </c>
      <c r="M885" s="0" t="s">
        <v>802</v>
      </c>
      <c r="N885" s="0" t="s">
        <v>803</v>
      </c>
      <c r="O885" s="0" t="s">
        <v>238</v>
      </c>
      <c r="Q885" s="0" t="s">
        <v>141</v>
      </c>
      <c r="R885" s="0" t="s">
        <v>138</v>
      </c>
      <c r="S885" s="14">
        <v>1</v>
      </c>
      <c r="T885" s="0" t="s">
        <v>288</v>
      </c>
      <c r="U885" s="0" t="s">
        <v>138</v>
      </c>
      <c r="V885" s="14" t="s">
        <v>138</v>
      </c>
      <c r="W885" s="0" t="s">
        <v>138</v>
      </c>
      <c r="X885" s="14" t="s">
        <v>138</v>
      </c>
      <c r="Y885" s="0" t="s">
        <v>138</v>
      </c>
      <c r="Z885" s="14" t="s">
        <v>138</v>
      </c>
      <c r="AA885" s="0" t="s">
        <v>138</v>
      </c>
      <c r="AB885" s="14" t="s">
        <v>138</v>
      </c>
      <c r="AD885" s="0" t="s">
        <v>138</v>
      </c>
      <c r="AF885" s="0">
        <v>0</v>
      </c>
      <c r="AG885" s="0">
        <v>0</v>
      </c>
      <c r="AH885" s="0" t="s">
        <v>140</v>
      </c>
      <c r="AI885" s="0" t="s">
        <v>138</v>
      </c>
      <c r="AK885" s="0" t="s">
        <v>2330</v>
      </c>
      <c r="AL885" s="14"/>
      <c r="AN885" s="14"/>
      <c r="AQ885" s="0" t="s">
        <v>130</v>
      </c>
      <c r="AR885" s="0" t="s">
        <v>130</v>
      </c>
      <c r="AS885" s="0" t="s">
        <v>130</v>
      </c>
      <c r="AT885" s="0" t="s">
        <v>130</v>
      </c>
      <c r="AU885" s="0" t="s">
        <v>141</v>
      </c>
      <c r="AV885" s="0" t="s">
        <v>130</v>
      </c>
      <c r="AW885" s="0" t="s">
        <v>130</v>
      </c>
      <c r="AX885" s="0" t="s">
        <v>130</v>
      </c>
      <c r="AY885" s="0" t="s">
        <v>130</v>
      </c>
      <c r="AZ885" s="0" t="s">
        <v>130</v>
      </c>
      <c r="BA885" s="0" t="s">
        <v>130</v>
      </c>
      <c r="BB885" s="0" t="s">
        <v>130</v>
      </c>
      <c r="BC885" s="0" t="s">
        <v>130</v>
      </c>
      <c r="BD885" s="0" t="s">
        <v>130</v>
      </c>
      <c r="BE885" s="0" t="s">
        <v>130</v>
      </c>
      <c r="BF885" s="0" t="s">
        <v>130</v>
      </c>
      <c r="BG885" s="0" t="s">
        <v>130</v>
      </c>
      <c r="BH885" s="0" t="s">
        <v>130</v>
      </c>
      <c r="BI885" s="0" t="s">
        <v>130</v>
      </c>
      <c r="BJ885" s="0" t="s">
        <v>130</v>
      </c>
      <c r="BK885" s="0" t="s">
        <v>130</v>
      </c>
      <c r="BL885" s="0" t="s">
        <v>130</v>
      </c>
      <c r="BM885" s="0" t="s">
        <v>130</v>
      </c>
      <c r="BN885" s="0" t="s">
        <v>130</v>
      </c>
      <c r="BO885" s="0" t="s">
        <v>130</v>
      </c>
      <c r="BP885" s="0" t="s">
        <v>130</v>
      </c>
      <c r="BQ885" s="0" t="s">
        <v>130</v>
      </c>
      <c r="BR885" s="0" t="s">
        <v>130</v>
      </c>
      <c r="BS885" s="0" t="s">
        <v>130</v>
      </c>
      <c r="BT885" s="0" t="s">
        <v>130</v>
      </c>
      <c r="BU885" s="0" t="s">
        <v>130</v>
      </c>
      <c r="BV885" s="0" t="s">
        <v>130</v>
      </c>
      <c r="BW885" s="0" t="s">
        <v>130</v>
      </c>
      <c r="BX885" s="0" t="s">
        <v>130</v>
      </c>
      <c r="BY885" s="0" t="s">
        <v>130</v>
      </c>
      <c r="BZ885" s="0" t="s">
        <v>130</v>
      </c>
      <c r="CA885" s="0" t="s">
        <v>130</v>
      </c>
      <c r="CB885" s="0" t="s">
        <v>130</v>
      </c>
      <c r="CC885" s="0" t="s">
        <v>130</v>
      </c>
      <c r="CD885" s="0" t="s">
        <v>130</v>
      </c>
      <c r="CE885" s="0" t="s">
        <v>130</v>
      </c>
      <c r="CF885" s="0" t="s">
        <v>130</v>
      </c>
      <c r="CG885" s="0" t="s">
        <v>130</v>
      </c>
      <c r="CH885" s="0" t="s">
        <v>130</v>
      </c>
      <c r="CI885" s="0" t="s">
        <v>130</v>
      </c>
      <c r="CJ885" s="0" t="s">
        <v>130</v>
      </c>
      <c r="CK885" s="0" t="s">
        <v>141</v>
      </c>
      <c r="CL885" s="0" t="s">
        <v>130</v>
      </c>
      <c r="CM885" s="0" t="s">
        <v>130</v>
      </c>
      <c r="CN885" s="0" t="s">
        <v>130</v>
      </c>
      <c r="CO885" s="0" t="s">
        <v>130</v>
      </c>
      <c r="CP885" s="0" t="s">
        <v>130</v>
      </c>
      <c r="CQ885" s="0" t="s">
        <v>130</v>
      </c>
      <c r="CR885" s="0" t="s">
        <v>130</v>
      </c>
      <c r="CS885" s="0" t="s">
        <v>130</v>
      </c>
      <c r="CT885" s="0" t="s">
        <v>2723</v>
      </c>
    </row>
    <row r="886">
      <c r="A886" s="14">
        <v>115794</v>
      </c>
      <c r="B886" s="0" t="s">
        <v>2720</v>
      </c>
      <c r="C886" s="16">
        <f>HYPERLINK("https://eosportal.federatedhermes.com/companies/Q29tcGFueQppNzc2NTc=", "Sun Hung Kai Properties Ltd")</f>
      </c>
      <c r="D886" s="0" t="s">
        <v>25</v>
      </c>
      <c r="E886" s="0" t="s">
        <v>2724</v>
      </c>
      <c r="F886" s="16">
        <f>HYPERLINK("https://eosportal.federatedhermes.com/engagements/RW5nYWdlbWVudAppMjI2NTE=", "Issuance of equity or equity-linked securities with or without pre-emptive right")</f>
      </c>
      <c r="G886" s="14" t="s">
        <v>2725</v>
      </c>
      <c r="H886" s="0" t="s">
        <v>141</v>
      </c>
      <c r="I886" s="14" t="s">
        <v>636</v>
      </c>
      <c r="J886" s="0" t="s">
        <v>145</v>
      </c>
      <c r="K886" s="0" t="s">
        <v>400</v>
      </c>
      <c r="L886" s="0" t="s">
        <v>507</v>
      </c>
      <c r="M886" s="0" t="s">
        <v>802</v>
      </c>
      <c r="N886" s="0" t="s">
        <v>803</v>
      </c>
      <c r="O886" s="0" t="s">
        <v>238</v>
      </c>
      <c r="Q886" s="0" t="s">
        <v>141</v>
      </c>
      <c r="R886" s="0" t="s">
        <v>138</v>
      </c>
      <c r="S886" s="14">
        <v>1</v>
      </c>
      <c r="T886" s="0" t="s">
        <v>193</v>
      </c>
      <c r="U886" s="0" t="s">
        <v>138</v>
      </c>
      <c r="V886" s="14" t="s">
        <v>138</v>
      </c>
      <c r="W886" s="0" t="s">
        <v>138</v>
      </c>
      <c r="X886" s="14" t="s">
        <v>138</v>
      </c>
      <c r="Y886" s="0" t="s">
        <v>138</v>
      </c>
      <c r="Z886" s="14" t="s">
        <v>138</v>
      </c>
      <c r="AA886" s="0" t="s">
        <v>138</v>
      </c>
      <c r="AB886" s="14" t="s">
        <v>138</v>
      </c>
      <c r="AD886" s="0" t="s">
        <v>138</v>
      </c>
      <c r="AF886" s="0">
        <v>0</v>
      </c>
      <c r="AG886" s="0">
        <v>0</v>
      </c>
      <c r="AH886" s="0" t="s">
        <v>140</v>
      </c>
      <c r="AI886" s="0" t="s">
        <v>138</v>
      </c>
      <c r="AK886" s="0" t="s">
        <v>2330</v>
      </c>
      <c r="AL886" s="14"/>
      <c r="AN886" s="14"/>
      <c r="AQ886" s="0" t="s">
        <v>130</v>
      </c>
      <c r="AR886" s="0" t="s">
        <v>130</v>
      </c>
      <c r="AS886" s="0" t="s">
        <v>130</v>
      </c>
      <c r="AT886" s="0" t="s">
        <v>130</v>
      </c>
      <c r="AU886" s="0" t="s">
        <v>130</v>
      </c>
      <c r="AV886" s="0" t="s">
        <v>130</v>
      </c>
      <c r="AW886" s="0" t="s">
        <v>130</v>
      </c>
      <c r="AX886" s="0" t="s">
        <v>130</v>
      </c>
      <c r="AY886" s="0" t="s">
        <v>130</v>
      </c>
      <c r="AZ886" s="0" t="s">
        <v>130</v>
      </c>
      <c r="BA886" s="0" t="s">
        <v>130</v>
      </c>
      <c r="BB886" s="0" t="s">
        <v>130</v>
      </c>
      <c r="BC886" s="0" t="s">
        <v>130</v>
      </c>
      <c r="BD886" s="0" t="s">
        <v>130</v>
      </c>
      <c r="BE886" s="0" t="s">
        <v>130</v>
      </c>
      <c r="BF886" s="0" t="s">
        <v>130</v>
      </c>
      <c r="BG886" s="0" t="s">
        <v>130</v>
      </c>
      <c r="BH886" s="0" t="s">
        <v>130</v>
      </c>
      <c r="BI886" s="0" t="s">
        <v>130</v>
      </c>
      <c r="BJ886" s="0" t="s">
        <v>130</v>
      </c>
      <c r="BK886" s="0" t="s">
        <v>130</v>
      </c>
      <c r="BL886" s="0" t="s">
        <v>130</v>
      </c>
      <c r="BM886" s="0" t="s">
        <v>130</v>
      </c>
      <c r="BN886" s="0" t="s">
        <v>130</v>
      </c>
      <c r="BO886" s="0" t="s">
        <v>130</v>
      </c>
      <c r="BP886" s="0" t="s">
        <v>130</v>
      </c>
      <c r="BQ886" s="0" t="s">
        <v>130</v>
      </c>
      <c r="BR886" s="0" t="s">
        <v>130</v>
      </c>
      <c r="BS886" s="0" t="s">
        <v>130</v>
      </c>
      <c r="BT886" s="0" t="s">
        <v>130</v>
      </c>
      <c r="BU886" s="0" t="s">
        <v>130</v>
      </c>
      <c r="BV886" s="0" t="s">
        <v>130</v>
      </c>
      <c r="BW886" s="0" t="s">
        <v>130</v>
      </c>
      <c r="BX886" s="0" t="s">
        <v>130</v>
      </c>
      <c r="BY886" s="0" t="s">
        <v>130</v>
      </c>
      <c r="BZ886" s="0" t="s">
        <v>130</v>
      </c>
      <c r="CA886" s="0" t="s">
        <v>130</v>
      </c>
      <c r="CB886" s="0" t="s">
        <v>130</v>
      </c>
      <c r="CC886" s="0" t="s">
        <v>130</v>
      </c>
      <c r="CD886" s="0" t="s">
        <v>130</v>
      </c>
      <c r="CE886" s="0" t="s">
        <v>130</v>
      </c>
      <c r="CF886" s="0" t="s">
        <v>130</v>
      </c>
      <c r="CG886" s="0" t="s">
        <v>130</v>
      </c>
      <c r="CH886" s="0" t="s">
        <v>130</v>
      </c>
      <c r="CI886" s="0" t="s">
        <v>130</v>
      </c>
      <c r="CJ886" s="0" t="s">
        <v>130</v>
      </c>
      <c r="CK886" s="0" t="s">
        <v>130</v>
      </c>
      <c r="CL886" s="0" t="s">
        <v>130</v>
      </c>
      <c r="CM886" s="0" t="s">
        <v>130</v>
      </c>
      <c r="CN886" s="0" t="s">
        <v>130</v>
      </c>
      <c r="CO886" s="0" t="s">
        <v>130</v>
      </c>
      <c r="CP886" s="0" t="s">
        <v>130</v>
      </c>
      <c r="CQ886" s="0" t="s">
        <v>130</v>
      </c>
      <c r="CR886" s="0" t="s">
        <v>130</v>
      </c>
      <c r="CS886" s="0" t="s">
        <v>130</v>
      </c>
      <c r="CT886" s="0" t="s">
        <v>2726</v>
      </c>
    </row>
    <row r="887">
      <c r="A887" s="14">
        <v>115794</v>
      </c>
      <c r="B887" s="0" t="s">
        <v>2720</v>
      </c>
      <c r="C887" s="16">
        <f>HYPERLINK("https://eosportal.federatedhermes.com/companies/Q29tcGFueQppNzc2NTc=", "Sun Hung Kai Properties Ltd")</f>
      </c>
      <c r="D887" s="0" t="s">
        <v>25</v>
      </c>
      <c r="E887" s="0" t="s">
        <v>2446</v>
      </c>
      <c r="F887" s="16">
        <f>HYPERLINK("https://eosportal.federatedhermes.com/engagements/RW5nYWdlbWVudAppMjI2NTI=", "Bribery and corruption")</f>
      </c>
      <c r="G887" s="14" t="s">
        <v>2727</v>
      </c>
      <c r="H887" s="0" t="s">
        <v>141</v>
      </c>
      <c r="I887" s="14" t="s">
        <v>636</v>
      </c>
      <c r="J887" s="0" t="s">
        <v>153</v>
      </c>
      <c r="K887" s="0" t="s">
        <v>185</v>
      </c>
      <c r="L887" s="0" t="s">
        <v>186</v>
      </c>
      <c r="M887" s="0" t="s">
        <v>802</v>
      </c>
      <c r="N887" s="0" t="s">
        <v>803</v>
      </c>
      <c r="O887" s="0" t="s">
        <v>238</v>
      </c>
      <c r="Q887" s="0" t="s">
        <v>130</v>
      </c>
      <c r="R887" s="0" t="s">
        <v>138</v>
      </c>
      <c r="S887" s="14">
        <v>0</v>
      </c>
      <c r="T887" s="0" t="s">
        <v>825</v>
      </c>
      <c r="U887" s="0" t="s">
        <v>138</v>
      </c>
      <c r="V887" s="14" t="s">
        <v>138</v>
      </c>
      <c r="W887" s="0" t="s">
        <v>138</v>
      </c>
      <c r="X887" s="14" t="s">
        <v>138</v>
      </c>
      <c r="Y887" s="0" t="s">
        <v>138</v>
      </c>
      <c r="Z887" s="14" t="s">
        <v>138</v>
      </c>
      <c r="AA887" s="0" t="s">
        <v>138</v>
      </c>
      <c r="AB887" s="14" t="s">
        <v>138</v>
      </c>
      <c r="AD887" s="0" t="s">
        <v>138</v>
      </c>
      <c r="AF887" s="0">
        <v>0</v>
      </c>
      <c r="AG887" s="0">
        <v>0</v>
      </c>
      <c r="AH887" s="0" t="s">
        <v>140</v>
      </c>
      <c r="AI887" s="0" t="s">
        <v>138</v>
      </c>
      <c r="AL887" s="14"/>
      <c r="AN887" s="14"/>
      <c r="AQ887" s="0" t="s">
        <v>130</v>
      </c>
      <c r="AR887" s="0" t="s">
        <v>130</v>
      </c>
      <c r="AS887" s="0" t="s">
        <v>130</v>
      </c>
      <c r="AT887" s="0" t="s">
        <v>130</v>
      </c>
      <c r="AU887" s="0" t="s">
        <v>130</v>
      </c>
      <c r="AV887" s="0" t="s">
        <v>130</v>
      </c>
      <c r="AW887" s="0" t="s">
        <v>130</v>
      </c>
      <c r="AX887" s="0" t="s">
        <v>130</v>
      </c>
      <c r="AY887" s="0" t="s">
        <v>130</v>
      </c>
      <c r="AZ887" s="0" t="s">
        <v>130</v>
      </c>
      <c r="BA887" s="0" t="s">
        <v>130</v>
      </c>
      <c r="BB887" s="0" t="s">
        <v>130</v>
      </c>
      <c r="BC887" s="0" t="s">
        <v>130</v>
      </c>
      <c r="BD887" s="0" t="s">
        <v>130</v>
      </c>
      <c r="BE887" s="0" t="s">
        <v>130</v>
      </c>
      <c r="BF887" s="0" t="s">
        <v>141</v>
      </c>
      <c r="BG887" s="0" t="s">
        <v>130</v>
      </c>
      <c r="BH887" s="0" t="s">
        <v>130</v>
      </c>
      <c r="BI887" s="0" t="s">
        <v>130</v>
      </c>
      <c r="BJ887" s="0" t="s">
        <v>130</v>
      </c>
      <c r="BK887" s="0" t="s">
        <v>130</v>
      </c>
      <c r="BL887" s="0" t="s">
        <v>130</v>
      </c>
      <c r="BM887" s="0" t="s">
        <v>130</v>
      </c>
      <c r="BN887" s="0" t="s">
        <v>130</v>
      </c>
      <c r="BO887" s="0" t="s">
        <v>130</v>
      </c>
      <c r="BP887" s="0" t="s">
        <v>130</v>
      </c>
      <c r="BQ887" s="0" t="s">
        <v>130</v>
      </c>
      <c r="BR887" s="0" t="s">
        <v>130</v>
      </c>
      <c r="BS887" s="0" t="s">
        <v>130</v>
      </c>
      <c r="BT887" s="0" t="s">
        <v>130</v>
      </c>
      <c r="BU887" s="0" t="s">
        <v>130</v>
      </c>
      <c r="BV887" s="0" t="s">
        <v>130</v>
      </c>
      <c r="BW887" s="0" t="s">
        <v>130</v>
      </c>
      <c r="BX887" s="0" t="s">
        <v>130</v>
      </c>
      <c r="BY887" s="0" t="s">
        <v>130</v>
      </c>
      <c r="BZ887" s="0" t="s">
        <v>130</v>
      </c>
      <c r="CA887" s="0" t="s">
        <v>130</v>
      </c>
      <c r="CB887" s="0" t="s">
        <v>130</v>
      </c>
      <c r="CC887" s="0" t="s">
        <v>130</v>
      </c>
      <c r="CD887" s="0" t="s">
        <v>130</v>
      </c>
      <c r="CE887" s="0" t="s">
        <v>130</v>
      </c>
      <c r="CF887" s="0" t="s">
        <v>130</v>
      </c>
      <c r="CG887" s="0" t="s">
        <v>130</v>
      </c>
      <c r="CH887" s="0" t="s">
        <v>130</v>
      </c>
      <c r="CI887" s="0" t="s">
        <v>130</v>
      </c>
      <c r="CJ887" s="0" t="s">
        <v>130</v>
      </c>
      <c r="CK887" s="0" t="s">
        <v>130</v>
      </c>
      <c r="CL887" s="0" t="s">
        <v>130</v>
      </c>
      <c r="CM887" s="0" t="s">
        <v>130</v>
      </c>
      <c r="CN887" s="0" t="s">
        <v>130</v>
      </c>
      <c r="CO887" s="0" t="s">
        <v>130</v>
      </c>
      <c r="CP887" s="0" t="s">
        <v>130</v>
      </c>
      <c r="CQ887" s="0" t="s">
        <v>130</v>
      </c>
      <c r="CR887" s="0" t="s">
        <v>130</v>
      </c>
      <c r="CS887" s="0" t="s">
        <v>130</v>
      </c>
      <c r="CT887" s="0" t="s">
        <v>2728</v>
      </c>
    </row>
    <row r="888">
      <c r="A888" s="14">
        <v>115794</v>
      </c>
      <c r="B888" s="0" t="s">
        <v>2720</v>
      </c>
      <c r="C888" s="16">
        <f>HYPERLINK("https://eosportal.federatedhermes.com/companies/Q29tcGFueQppNzc2NTc=", "Sun Hung Kai Properties Ltd")</f>
      </c>
      <c r="D888" s="0" t="s">
        <v>25</v>
      </c>
      <c r="E888" s="0" t="s">
        <v>873</v>
      </c>
      <c r="F888" s="16">
        <f>HYPERLINK("https://eosportal.federatedhermes.com/engagements/RW5nYWdlbWVudAppMjI2NTM=", "Risk management")</f>
      </c>
      <c r="G888" s="14" t="s">
        <v>2729</v>
      </c>
      <c r="H888" s="0" t="s">
        <v>141</v>
      </c>
      <c r="I888" s="14" t="s">
        <v>636</v>
      </c>
      <c r="J888" s="0" t="s">
        <v>132</v>
      </c>
      <c r="K888" s="0" t="s">
        <v>260</v>
      </c>
      <c r="L888" s="0" t="s">
        <v>261</v>
      </c>
      <c r="M888" s="0" t="s">
        <v>802</v>
      </c>
      <c r="N888" s="0" t="s">
        <v>803</v>
      </c>
      <c r="O888" s="0" t="s">
        <v>238</v>
      </c>
      <c r="Q888" s="0" t="s">
        <v>130</v>
      </c>
      <c r="R888" s="0" t="s">
        <v>138</v>
      </c>
      <c r="S888" s="14">
        <v>0</v>
      </c>
      <c r="T888" s="0" t="s">
        <v>825</v>
      </c>
      <c r="U888" s="0" t="s">
        <v>138</v>
      </c>
      <c r="V888" s="14" t="s">
        <v>138</v>
      </c>
      <c r="W888" s="0" t="s">
        <v>138</v>
      </c>
      <c r="X888" s="14" t="s">
        <v>138</v>
      </c>
      <c r="Y888" s="0" t="s">
        <v>138</v>
      </c>
      <c r="Z888" s="14" t="s">
        <v>138</v>
      </c>
      <c r="AA888" s="0" t="s">
        <v>138</v>
      </c>
      <c r="AB888" s="14" t="s">
        <v>138</v>
      </c>
      <c r="AD888" s="0" t="s">
        <v>138</v>
      </c>
      <c r="AF888" s="0">
        <v>0</v>
      </c>
      <c r="AG888" s="0">
        <v>0</v>
      </c>
      <c r="AH888" s="0" t="s">
        <v>140</v>
      </c>
      <c r="AI888" s="0" t="s">
        <v>138</v>
      </c>
      <c r="AL888" s="14"/>
      <c r="AN888" s="14"/>
      <c r="AQ888" s="0" t="s">
        <v>130</v>
      </c>
      <c r="AR888" s="0" t="s">
        <v>130</v>
      </c>
      <c r="AS888" s="0" t="s">
        <v>130</v>
      </c>
      <c r="AT888" s="0" t="s">
        <v>130</v>
      </c>
      <c r="AU888" s="0" t="s">
        <v>130</v>
      </c>
      <c r="AV888" s="0" t="s">
        <v>130</v>
      </c>
      <c r="AW888" s="0" t="s">
        <v>130</v>
      </c>
      <c r="AX888" s="0" t="s">
        <v>130</v>
      </c>
      <c r="AY888" s="0" t="s">
        <v>130</v>
      </c>
      <c r="AZ888" s="0" t="s">
        <v>130</v>
      </c>
      <c r="BA888" s="0" t="s">
        <v>130</v>
      </c>
      <c r="BB888" s="0" t="s">
        <v>130</v>
      </c>
      <c r="BC888" s="0" t="s">
        <v>130</v>
      </c>
      <c r="BD888" s="0" t="s">
        <v>130</v>
      </c>
      <c r="BE888" s="0" t="s">
        <v>130</v>
      </c>
      <c r="BF888" s="0" t="s">
        <v>130</v>
      </c>
      <c r="BG888" s="0" t="s">
        <v>130</v>
      </c>
      <c r="BH888" s="0" t="s">
        <v>130</v>
      </c>
      <c r="BI888" s="0" t="s">
        <v>130</v>
      </c>
      <c r="BJ888" s="0" t="s">
        <v>130</v>
      </c>
      <c r="BK888" s="0" t="s">
        <v>130</v>
      </c>
      <c r="BL888" s="0" t="s">
        <v>130</v>
      </c>
      <c r="BM888" s="0" t="s">
        <v>130</v>
      </c>
      <c r="BN888" s="0" t="s">
        <v>130</v>
      </c>
      <c r="BO888" s="0" t="s">
        <v>130</v>
      </c>
      <c r="BP888" s="0" t="s">
        <v>130</v>
      </c>
      <c r="BQ888" s="0" t="s">
        <v>130</v>
      </c>
      <c r="BR888" s="0" t="s">
        <v>130</v>
      </c>
      <c r="BS888" s="0" t="s">
        <v>130</v>
      </c>
      <c r="BT888" s="0" t="s">
        <v>130</v>
      </c>
      <c r="BU888" s="0" t="s">
        <v>130</v>
      </c>
      <c r="BV888" s="0" t="s">
        <v>130</v>
      </c>
      <c r="BW888" s="0" t="s">
        <v>130</v>
      </c>
      <c r="BX888" s="0" t="s">
        <v>130</v>
      </c>
      <c r="BY888" s="0" t="s">
        <v>130</v>
      </c>
      <c r="BZ888" s="0" t="s">
        <v>130</v>
      </c>
      <c r="CA888" s="0" t="s">
        <v>130</v>
      </c>
      <c r="CB888" s="0" t="s">
        <v>130</v>
      </c>
      <c r="CC888" s="0" t="s">
        <v>130</v>
      </c>
      <c r="CD888" s="0" t="s">
        <v>130</v>
      </c>
      <c r="CE888" s="0" t="s">
        <v>130</v>
      </c>
      <c r="CF888" s="0" t="s">
        <v>130</v>
      </c>
      <c r="CG888" s="0" t="s">
        <v>130</v>
      </c>
      <c r="CH888" s="0" t="s">
        <v>130</v>
      </c>
      <c r="CI888" s="0" t="s">
        <v>130</v>
      </c>
      <c r="CJ888" s="0" t="s">
        <v>130</v>
      </c>
      <c r="CK888" s="0" t="s">
        <v>130</v>
      </c>
      <c r="CL888" s="0" t="s">
        <v>130</v>
      </c>
      <c r="CM888" s="0" t="s">
        <v>130</v>
      </c>
      <c r="CN888" s="0" t="s">
        <v>130</v>
      </c>
      <c r="CO888" s="0" t="s">
        <v>130</v>
      </c>
      <c r="CP888" s="0" t="s">
        <v>130</v>
      </c>
      <c r="CQ888" s="0" t="s">
        <v>130</v>
      </c>
      <c r="CR888" s="0" t="s">
        <v>130</v>
      </c>
      <c r="CS888" s="0" t="s">
        <v>130</v>
      </c>
      <c r="CT888" s="0" t="s">
        <v>2730</v>
      </c>
    </row>
    <row r="889">
      <c r="A889" s="14">
        <v>115794</v>
      </c>
      <c r="B889" s="0" t="s">
        <v>2720</v>
      </c>
      <c r="C889" s="16">
        <f>HYPERLINK("https://eosportal.federatedhermes.com/companies/Q29tcGFueQppNzc2NTc=", "Sun Hung Kai Properties Ltd")</f>
      </c>
      <c r="D889" s="0" t="s">
        <v>25</v>
      </c>
      <c r="E889" s="0" t="s">
        <v>1729</v>
      </c>
      <c r="F889" s="16">
        <f>HYPERLINK("https://eosportal.federatedhermes.com/engagements/RW5nYWdlbWVudAppMjI2NTQ=", "Business strategy")</f>
      </c>
      <c r="G889" s="14" t="s">
        <v>2731</v>
      </c>
      <c r="H889" s="0" t="s">
        <v>141</v>
      </c>
      <c r="I889" s="14" t="s">
        <v>636</v>
      </c>
      <c r="J889" s="0" t="s">
        <v>153</v>
      </c>
      <c r="K889" s="0" t="s">
        <v>154</v>
      </c>
      <c r="L889" s="0" t="s">
        <v>306</v>
      </c>
      <c r="M889" s="0" t="s">
        <v>802</v>
      </c>
      <c r="N889" s="0" t="s">
        <v>803</v>
      </c>
      <c r="O889" s="0" t="s">
        <v>238</v>
      </c>
      <c r="Q889" s="0" t="s">
        <v>130</v>
      </c>
      <c r="R889" s="0" t="s">
        <v>138</v>
      </c>
      <c r="S889" s="14">
        <v>0</v>
      </c>
      <c r="T889" s="0" t="s">
        <v>825</v>
      </c>
      <c r="U889" s="0" t="s">
        <v>138</v>
      </c>
      <c r="V889" s="14" t="s">
        <v>138</v>
      </c>
      <c r="W889" s="0" t="s">
        <v>138</v>
      </c>
      <c r="X889" s="14" t="s">
        <v>138</v>
      </c>
      <c r="Y889" s="0" t="s">
        <v>138</v>
      </c>
      <c r="Z889" s="14" t="s">
        <v>138</v>
      </c>
      <c r="AA889" s="0" t="s">
        <v>138</v>
      </c>
      <c r="AB889" s="14" t="s">
        <v>138</v>
      </c>
      <c r="AD889" s="0" t="s">
        <v>138</v>
      </c>
      <c r="AF889" s="0">
        <v>0</v>
      </c>
      <c r="AG889" s="0">
        <v>0</v>
      </c>
      <c r="AH889" s="0" t="s">
        <v>140</v>
      </c>
      <c r="AI889" s="0" t="s">
        <v>138</v>
      </c>
      <c r="AL889" s="14"/>
      <c r="AN889" s="14"/>
      <c r="AQ889" s="0" t="s">
        <v>130</v>
      </c>
      <c r="AR889" s="0" t="s">
        <v>130</v>
      </c>
      <c r="AS889" s="0" t="s">
        <v>130</v>
      </c>
      <c r="AT889" s="0" t="s">
        <v>130</v>
      </c>
      <c r="AU889" s="0" t="s">
        <v>130</v>
      </c>
      <c r="AV889" s="0" t="s">
        <v>130</v>
      </c>
      <c r="AW889" s="0" t="s">
        <v>130</v>
      </c>
      <c r="AX889" s="0" t="s">
        <v>130</v>
      </c>
      <c r="AY889" s="0" t="s">
        <v>130</v>
      </c>
      <c r="AZ889" s="0" t="s">
        <v>130</v>
      </c>
      <c r="BA889" s="0" t="s">
        <v>130</v>
      </c>
      <c r="BB889" s="0" t="s">
        <v>130</v>
      </c>
      <c r="BC889" s="0" t="s">
        <v>130</v>
      </c>
      <c r="BD889" s="0" t="s">
        <v>130</v>
      </c>
      <c r="BE889" s="0" t="s">
        <v>130</v>
      </c>
      <c r="BF889" s="0" t="s">
        <v>130</v>
      </c>
      <c r="BG889" s="0" t="s">
        <v>130</v>
      </c>
      <c r="BH889" s="0" t="s">
        <v>130</v>
      </c>
      <c r="BI889" s="0" t="s">
        <v>130</v>
      </c>
      <c r="BJ889" s="0" t="s">
        <v>130</v>
      </c>
      <c r="BK889" s="0" t="s">
        <v>130</v>
      </c>
      <c r="BL889" s="0" t="s">
        <v>130</v>
      </c>
      <c r="BM889" s="0" t="s">
        <v>130</v>
      </c>
      <c r="BN889" s="0" t="s">
        <v>130</v>
      </c>
      <c r="BO889" s="0" t="s">
        <v>130</v>
      </c>
      <c r="BP889" s="0" t="s">
        <v>130</v>
      </c>
      <c r="BQ889" s="0" t="s">
        <v>130</v>
      </c>
      <c r="BR889" s="0" t="s">
        <v>130</v>
      </c>
      <c r="BS889" s="0" t="s">
        <v>130</v>
      </c>
      <c r="BT889" s="0" t="s">
        <v>130</v>
      </c>
      <c r="BU889" s="0" t="s">
        <v>130</v>
      </c>
      <c r="BV889" s="0" t="s">
        <v>130</v>
      </c>
      <c r="BW889" s="0" t="s">
        <v>130</v>
      </c>
      <c r="BX889" s="0" t="s">
        <v>130</v>
      </c>
      <c r="BY889" s="0" t="s">
        <v>130</v>
      </c>
      <c r="BZ889" s="0" t="s">
        <v>130</v>
      </c>
      <c r="CA889" s="0" t="s">
        <v>130</v>
      </c>
      <c r="CB889" s="0" t="s">
        <v>130</v>
      </c>
      <c r="CC889" s="0" t="s">
        <v>130</v>
      </c>
      <c r="CD889" s="0" t="s">
        <v>130</v>
      </c>
      <c r="CE889" s="0" t="s">
        <v>130</v>
      </c>
      <c r="CF889" s="0" t="s">
        <v>130</v>
      </c>
      <c r="CG889" s="0" t="s">
        <v>130</v>
      </c>
      <c r="CH889" s="0" t="s">
        <v>130</v>
      </c>
      <c r="CI889" s="0" t="s">
        <v>130</v>
      </c>
      <c r="CJ889" s="0" t="s">
        <v>130</v>
      </c>
      <c r="CK889" s="0" t="s">
        <v>130</v>
      </c>
      <c r="CL889" s="0" t="s">
        <v>130</v>
      </c>
      <c r="CM889" s="0" t="s">
        <v>130</v>
      </c>
      <c r="CN889" s="0" t="s">
        <v>130</v>
      </c>
      <c r="CO889" s="0" t="s">
        <v>130</v>
      </c>
      <c r="CP889" s="0" t="s">
        <v>130</v>
      </c>
      <c r="CQ889" s="0" t="s">
        <v>130</v>
      </c>
      <c r="CR889" s="0" t="s">
        <v>130</v>
      </c>
      <c r="CS889" s="0" t="s">
        <v>130</v>
      </c>
      <c r="CT889" s="0" t="s">
        <v>2732</v>
      </c>
    </row>
    <row r="890">
      <c r="A890" s="14">
        <v>115802</v>
      </c>
      <c r="B890" s="0" t="s">
        <v>2733</v>
      </c>
      <c r="C890" s="16">
        <f>HYPERLINK("https://eosportal.federatedhermes.com/companies/Q29tcGFueQppNjQzODQ=", "Power Assets Holdings Ltd")</f>
      </c>
      <c r="D890" s="0" t="s">
        <v>25</v>
      </c>
      <c r="E890" s="0" t="s">
        <v>2734</v>
      </c>
      <c r="F890" s="16">
        <f>HYPERLINK("https://eosportal.federatedhermes.com/engagements/RW5nYWdlbWVudAppMjI2NjQ=", "Health and safety")</f>
      </c>
      <c r="G890" s="14" t="s">
        <v>2735</v>
      </c>
      <c r="H890" s="0" t="s">
        <v>141</v>
      </c>
      <c r="I890" s="14" t="s">
        <v>191</v>
      </c>
      <c r="J890" s="0" t="s">
        <v>153</v>
      </c>
      <c r="K890" s="0" t="s">
        <v>154</v>
      </c>
      <c r="L890" s="0" t="s">
        <v>306</v>
      </c>
      <c r="M890" s="0" t="s">
        <v>802</v>
      </c>
      <c r="N890" s="0" t="s">
        <v>803</v>
      </c>
      <c r="O890" s="0" t="s">
        <v>192</v>
      </c>
      <c r="Q890" s="0" t="s">
        <v>130</v>
      </c>
      <c r="R890" s="0" t="s">
        <v>138</v>
      </c>
      <c r="S890" s="14">
        <v>0</v>
      </c>
      <c r="T890" s="0" t="s">
        <v>303</v>
      </c>
      <c r="U890" s="0" t="s">
        <v>138</v>
      </c>
      <c r="V890" s="14" t="s">
        <v>138</v>
      </c>
      <c r="W890" s="0" t="s">
        <v>138</v>
      </c>
      <c r="X890" s="14" t="s">
        <v>138</v>
      </c>
      <c r="Y890" s="0" t="s">
        <v>138</v>
      </c>
      <c r="Z890" s="14" t="s">
        <v>138</v>
      </c>
      <c r="AA890" s="0" t="s">
        <v>138</v>
      </c>
      <c r="AB890" s="14" t="s">
        <v>138</v>
      </c>
      <c r="AD890" s="0" t="s">
        <v>138</v>
      </c>
      <c r="AF890" s="0">
        <v>0</v>
      </c>
      <c r="AG890" s="0">
        <v>0</v>
      </c>
      <c r="AH890" s="0" t="s">
        <v>140</v>
      </c>
      <c r="AI890" s="0" t="s">
        <v>138</v>
      </c>
      <c r="AL890" s="14"/>
      <c r="AN890" s="14"/>
      <c r="AQ890" s="0" t="s">
        <v>130</v>
      </c>
      <c r="AR890" s="0" t="s">
        <v>130</v>
      </c>
      <c r="AS890" s="0" t="s">
        <v>130</v>
      </c>
      <c r="AT890" s="0" t="s">
        <v>130</v>
      </c>
      <c r="AU890" s="0" t="s">
        <v>130</v>
      </c>
      <c r="AV890" s="0" t="s">
        <v>130</v>
      </c>
      <c r="AW890" s="0" t="s">
        <v>130</v>
      </c>
      <c r="AX890" s="0" t="s">
        <v>141</v>
      </c>
      <c r="AY890" s="0" t="s">
        <v>130</v>
      </c>
      <c r="AZ890" s="0" t="s">
        <v>130</v>
      </c>
      <c r="BA890" s="0" t="s">
        <v>130</v>
      </c>
      <c r="BB890" s="0" t="s">
        <v>130</v>
      </c>
      <c r="BC890" s="0" t="s">
        <v>130</v>
      </c>
      <c r="BD890" s="0" t="s">
        <v>130</v>
      </c>
      <c r="BE890" s="0" t="s">
        <v>130</v>
      </c>
      <c r="BF890" s="0" t="s">
        <v>130</v>
      </c>
      <c r="BG890" s="0" t="s">
        <v>130</v>
      </c>
      <c r="BH890" s="0" t="s">
        <v>130</v>
      </c>
      <c r="BI890" s="0" t="s">
        <v>130</v>
      </c>
      <c r="BJ890" s="0" t="s">
        <v>130</v>
      </c>
      <c r="BK890" s="0" t="s">
        <v>130</v>
      </c>
      <c r="BL890" s="0" t="s">
        <v>130</v>
      </c>
      <c r="BM890" s="0" t="s">
        <v>130</v>
      </c>
      <c r="BN890" s="0" t="s">
        <v>130</v>
      </c>
      <c r="BO890" s="0" t="s">
        <v>130</v>
      </c>
      <c r="BP890" s="0" t="s">
        <v>130</v>
      </c>
      <c r="BQ890" s="0" t="s">
        <v>130</v>
      </c>
      <c r="BR890" s="0" t="s">
        <v>130</v>
      </c>
      <c r="BS890" s="0" t="s">
        <v>130</v>
      </c>
      <c r="BT890" s="0" t="s">
        <v>130</v>
      </c>
      <c r="BU890" s="0" t="s">
        <v>130</v>
      </c>
      <c r="BV890" s="0" t="s">
        <v>130</v>
      </c>
      <c r="BW890" s="0" t="s">
        <v>130</v>
      </c>
      <c r="BX890" s="0" t="s">
        <v>130</v>
      </c>
      <c r="BY890" s="0" t="s">
        <v>130</v>
      </c>
      <c r="BZ890" s="0" t="s">
        <v>130</v>
      </c>
      <c r="CA890" s="0" t="s">
        <v>130</v>
      </c>
      <c r="CB890" s="0" t="s">
        <v>130</v>
      </c>
      <c r="CC890" s="0" t="s">
        <v>130</v>
      </c>
      <c r="CD890" s="0" t="s">
        <v>130</v>
      </c>
      <c r="CE890" s="0" t="s">
        <v>130</v>
      </c>
      <c r="CF890" s="0" t="s">
        <v>130</v>
      </c>
      <c r="CG890" s="0" t="s">
        <v>130</v>
      </c>
      <c r="CH890" s="0" t="s">
        <v>130</v>
      </c>
      <c r="CI890" s="0" t="s">
        <v>130</v>
      </c>
      <c r="CJ890" s="0" t="s">
        <v>130</v>
      </c>
      <c r="CK890" s="0" t="s">
        <v>130</v>
      </c>
      <c r="CL890" s="0" t="s">
        <v>130</v>
      </c>
      <c r="CM890" s="0" t="s">
        <v>130</v>
      </c>
      <c r="CN890" s="0" t="s">
        <v>130</v>
      </c>
      <c r="CO890" s="0" t="s">
        <v>130</v>
      </c>
      <c r="CP890" s="0" t="s">
        <v>130</v>
      </c>
      <c r="CQ890" s="0" t="s">
        <v>130</v>
      </c>
      <c r="CR890" s="0" t="s">
        <v>130</v>
      </c>
      <c r="CS890" s="0" t="s">
        <v>130</v>
      </c>
      <c r="CT890" s="0" t="s">
        <v>2736</v>
      </c>
    </row>
    <row r="891">
      <c r="A891" s="14">
        <v>115802</v>
      </c>
      <c r="B891" s="0" t="s">
        <v>2733</v>
      </c>
      <c r="C891" s="16">
        <f>HYPERLINK("https://eosportal.federatedhermes.com/companies/Q29tcGFueQppNjQzODQ=", "Power Assets Holdings Ltd")</f>
      </c>
      <c r="D891" s="0" t="s">
        <v>25</v>
      </c>
      <c r="E891" s="0" t="s">
        <v>386</v>
      </c>
      <c r="F891" s="16">
        <f>HYPERLINK("https://eosportal.federatedhermes.com/engagements/RW5nYWdlbWVudAppMjI2Njc=", "Board independence")</f>
      </c>
      <c r="G891" s="14" t="s">
        <v>2737</v>
      </c>
      <c r="H891" s="0" t="s">
        <v>141</v>
      </c>
      <c r="I891" s="14" t="s">
        <v>191</v>
      </c>
      <c r="J891" s="0" t="s">
        <v>145</v>
      </c>
      <c r="K891" s="0" t="s">
        <v>164</v>
      </c>
      <c r="L891" s="0" t="s">
        <v>165</v>
      </c>
      <c r="M891" s="0" t="s">
        <v>802</v>
      </c>
      <c r="N891" s="0" t="s">
        <v>803</v>
      </c>
      <c r="O891" s="0" t="s">
        <v>192</v>
      </c>
      <c r="Q891" s="0" t="s">
        <v>130</v>
      </c>
      <c r="R891" s="0" t="s">
        <v>138</v>
      </c>
      <c r="S891" s="14">
        <v>0</v>
      </c>
      <c r="T891" s="0" t="s">
        <v>416</v>
      </c>
      <c r="U891" s="0" t="s">
        <v>138</v>
      </c>
      <c r="V891" s="14" t="s">
        <v>138</v>
      </c>
      <c r="W891" s="0" t="s">
        <v>138</v>
      </c>
      <c r="X891" s="14" t="s">
        <v>138</v>
      </c>
      <c r="Y891" s="0" t="s">
        <v>138</v>
      </c>
      <c r="Z891" s="14" t="s">
        <v>138</v>
      </c>
      <c r="AA891" s="0" t="s">
        <v>138</v>
      </c>
      <c r="AB891" s="14" t="s">
        <v>138</v>
      </c>
      <c r="AD891" s="0" t="s">
        <v>138</v>
      </c>
      <c r="AF891" s="0">
        <v>0</v>
      </c>
      <c r="AG891" s="0">
        <v>0</v>
      </c>
      <c r="AH891" s="0" t="s">
        <v>140</v>
      </c>
      <c r="AI891" s="0" t="s">
        <v>138</v>
      </c>
      <c r="AL891" s="14"/>
      <c r="AN891" s="14"/>
      <c r="AQ891" s="0" t="s">
        <v>130</v>
      </c>
      <c r="AR891" s="0" t="s">
        <v>130</v>
      </c>
      <c r="AS891" s="0" t="s">
        <v>130</v>
      </c>
      <c r="AT891" s="0" t="s">
        <v>130</v>
      </c>
      <c r="AU891" s="0" t="s">
        <v>130</v>
      </c>
      <c r="AV891" s="0" t="s">
        <v>130</v>
      </c>
      <c r="AW891" s="0" t="s">
        <v>130</v>
      </c>
      <c r="AX891" s="0" t="s">
        <v>130</v>
      </c>
      <c r="AY891" s="0" t="s">
        <v>130</v>
      </c>
      <c r="AZ891" s="0" t="s">
        <v>130</v>
      </c>
      <c r="BA891" s="0" t="s">
        <v>130</v>
      </c>
      <c r="BB891" s="0" t="s">
        <v>130</v>
      </c>
      <c r="BC891" s="0" t="s">
        <v>130</v>
      </c>
      <c r="BD891" s="0" t="s">
        <v>130</v>
      </c>
      <c r="BE891" s="0" t="s">
        <v>130</v>
      </c>
      <c r="BF891" s="0" t="s">
        <v>130</v>
      </c>
      <c r="BG891" s="0" t="s">
        <v>130</v>
      </c>
      <c r="BH891" s="0" t="s">
        <v>130</v>
      </c>
      <c r="BI891" s="0" t="s">
        <v>130</v>
      </c>
      <c r="BJ891" s="0" t="s">
        <v>130</v>
      </c>
      <c r="BK891" s="0" t="s">
        <v>130</v>
      </c>
      <c r="BL891" s="0" t="s">
        <v>130</v>
      </c>
      <c r="BM891" s="0" t="s">
        <v>130</v>
      </c>
      <c r="BN891" s="0" t="s">
        <v>130</v>
      </c>
      <c r="BO891" s="0" t="s">
        <v>130</v>
      </c>
      <c r="BP891" s="0" t="s">
        <v>130</v>
      </c>
      <c r="BQ891" s="0" t="s">
        <v>130</v>
      </c>
      <c r="BR891" s="0" t="s">
        <v>130</v>
      </c>
      <c r="BS891" s="0" t="s">
        <v>130</v>
      </c>
      <c r="BT891" s="0" t="s">
        <v>130</v>
      </c>
      <c r="BU891" s="0" t="s">
        <v>130</v>
      </c>
      <c r="BV891" s="0" t="s">
        <v>130</v>
      </c>
      <c r="BW891" s="0" t="s">
        <v>130</v>
      </c>
      <c r="BX891" s="0" t="s">
        <v>130</v>
      </c>
      <c r="BY891" s="0" t="s">
        <v>130</v>
      </c>
      <c r="BZ891" s="0" t="s">
        <v>130</v>
      </c>
      <c r="CA891" s="0" t="s">
        <v>130</v>
      </c>
      <c r="CB891" s="0" t="s">
        <v>130</v>
      </c>
      <c r="CC891" s="0" t="s">
        <v>130</v>
      </c>
      <c r="CD891" s="0" t="s">
        <v>130</v>
      </c>
      <c r="CE891" s="0" t="s">
        <v>130</v>
      </c>
      <c r="CF891" s="0" t="s">
        <v>130</v>
      </c>
      <c r="CG891" s="0" t="s">
        <v>130</v>
      </c>
      <c r="CH891" s="0" t="s">
        <v>130</v>
      </c>
      <c r="CI891" s="0" t="s">
        <v>130</v>
      </c>
      <c r="CJ891" s="0" t="s">
        <v>130</v>
      </c>
      <c r="CK891" s="0" t="s">
        <v>130</v>
      </c>
      <c r="CL891" s="0" t="s">
        <v>130</v>
      </c>
      <c r="CM891" s="0" t="s">
        <v>130</v>
      </c>
      <c r="CN891" s="0" t="s">
        <v>130</v>
      </c>
      <c r="CO891" s="0" t="s">
        <v>130</v>
      </c>
      <c r="CP891" s="0" t="s">
        <v>130</v>
      </c>
      <c r="CQ891" s="0" t="s">
        <v>130</v>
      </c>
      <c r="CR891" s="0" t="s">
        <v>130</v>
      </c>
      <c r="CS891" s="0" t="s">
        <v>130</v>
      </c>
      <c r="CT891" s="0" t="s">
        <v>2738</v>
      </c>
    </row>
    <row r="892">
      <c r="A892" s="14">
        <v>115802</v>
      </c>
      <c r="B892" s="0" t="s">
        <v>2733</v>
      </c>
      <c r="C892" s="16">
        <f>HYPERLINK("https://eosportal.federatedhermes.com/companies/Q29tcGFueQppNjQzODQ=", "Power Assets Holdings Ltd")</f>
      </c>
      <c r="D892" s="0" t="s">
        <v>25</v>
      </c>
      <c r="E892" s="0" t="s">
        <v>2739</v>
      </c>
      <c r="F892" s="16">
        <f>HYPERLINK("https://eosportal.federatedhermes.com/engagements/RW5nYWdlbWVudAppMjI2Njg=", "Emissions Reduction")</f>
      </c>
      <c r="G892" s="14" t="s">
        <v>2740</v>
      </c>
      <c r="H892" s="0" t="s">
        <v>141</v>
      </c>
      <c r="I892" s="14" t="s">
        <v>191</v>
      </c>
      <c r="J892" s="0" t="s">
        <v>197</v>
      </c>
      <c r="K892" s="0" t="s">
        <v>198</v>
      </c>
      <c r="L892" s="0" t="s">
        <v>216</v>
      </c>
      <c r="M892" s="0" t="s">
        <v>802</v>
      </c>
      <c r="N892" s="0" t="s">
        <v>803</v>
      </c>
      <c r="O892" s="0" t="s">
        <v>192</v>
      </c>
      <c r="Q892" s="0" t="s">
        <v>141</v>
      </c>
      <c r="R892" s="0" t="s">
        <v>138</v>
      </c>
      <c r="S892" s="14">
        <v>1</v>
      </c>
      <c r="T892" s="0" t="s">
        <v>1011</v>
      </c>
      <c r="U892" s="0" t="s">
        <v>138</v>
      </c>
      <c r="V892" s="14" t="s">
        <v>138</v>
      </c>
      <c r="W892" s="0" t="s">
        <v>138</v>
      </c>
      <c r="X892" s="14" t="s">
        <v>138</v>
      </c>
      <c r="Y892" s="0" t="s">
        <v>138</v>
      </c>
      <c r="Z892" s="14" t="s">
        <v>138</v>
      </c>
      <c r="AA892" s="0" t="s">
        <v>138</v>
      </c>
      <c r="AB892" s="14" t="s">
        <v>138</v>
      </c>
      <c r="AD892" s="0" t="s">
        <v>138</v>
      </c>
      <c r="AF892" s="0">
        <v>0</v>
      </c>
      <c r="AG892" s="0">
        <v>0</v>
      </c>
      <c r="AH892" s="0" t="s">
        <v>140</v>
      </c>
      <c r="AI892" s="0" t="s">
        <v>138</v>
      </c>
      <c r="AK892" s="0" t="s">
        <v>2741</v>
      </c>
      <c r="AL892" s="14"/>
      <c r="AN892" s="14"/>
      <c r="AQ892" s="0" t="s">
        <v>130</v>
      </c>
      <c r="AR892" s="0" t="s">
        <v>130</v>
      </c>
      <c r="AS892" s="0" t="s">
        <v>130</v>
      </c>
      <c r="AT892" s="0" t="s">
        <v>130</v>
      </c>
      <c r="AU892" s="0" t="s">
        <v>130</v>
      </c>
      <c r="AV892" s="0" t="s">
        <v>130</v>
      </c>
      <c r="AW892" s="0" t="s">
        <v>141</v>
      </c>
      <c r="AX892" s="0" t="s">
        <v>130</v>
      </c>
      <c r="AY892" s="0" t="s">
        <v>130</v>
      </c>
      <c r="AZ892" s="0" t="s">
        <v>130</v>
      </c>
      <c r="BA892" s="0" t="s">
        <v>130</v>
      </c>
      <c r="BB892" s="0" t="s">
        <v>130</v>
      </c>
      <c r="BC892" s="0" t="s">
        <v>141</v>
      </c>
      <c r="BD892" s="0" t="s">
        <v>130</v>
      </c>
      <c r="BE892" s="0" t="s">
        <v>130</v>
      </c>
      <c r="BF892" s="0" t="s">
        <v>130</v>
      </c>
      <c r="BG892" s="0" t="s">
        <v>130</v>
      </c>
      <c r="BH892" s="0" t="s">
        <v>141</v>
      </c>
      <c r="BI892" s="0" t="s">
        <v>141</v>
      </c>
      <c r="BJ892" s="0" t="s">
        <v>141</v>
      </c>
      <c r="BK892" s="0" t="s">
        <v>130</v>
      </c>
      <c r="BL892" s="0" t="s">
        <v>130</v>
      </c>
      <c r="BM892" s="0" t="s">
        <v>130</v>
      </c>
      <c r="BN892" s="0" t="s">
        <v>130</v>
      </c>
      <c r="BO892" s="0" t="s">
        <v>130</v>
      </c>
      <c r="BP892" s="0" t="s">
        <v>130</v>
      </c>
      <c r="BQ892" s="0" t="s">
        <v>130</v>
      </c>
      <c r="BR892" s="0" t="s">
        <v>130</v>
      </c>
      <c r="BS892" s="0" t="s">
        <v>130</v>
      </c>
      <c r="BT892" s="0" t="s">
        <v>130</v>
      </c>
      <c r="BU892" s="0" t="s">
        <v>130</v>
      </c>
      <c r="BV892" s="0" t="s">
        <v>141</v>
      </c>
      <c r="BW892" s="0" t="s">
        <v>141</v>
      </c>
      <c r="BX892" s="0" t="s">
        <v>130</v>
      </c>
      <c r="BY892" s="0" t="s">
        <v>130</v>
      </c>
      <c r="BZ892" s="0" t="s">
        <v>130</v>
      </c>
      <c r="CA892" s="0" t="s">
        <v>130</v>
      </c>
      <c r="CB892" s="0" t="s">
        <v>130</v>
      </c>
      <c r="CC892" s="0" t="s">
        <v>130</v>
      </c>
      <c r="CD892" s="0" t="s">
        <v>130</v>
      </c>
      <c r="CE892" s="0" t="s">
        <v>130</v>
      </c>
      <c r="CF892" s="0" t="s">
        <v>130</v>
      </c>
      <c r="CG892" s="0" t="s">
        <v>130</v>
      </c>
      <c r="CH892" s="0" t="s">
        <v>130</v>
      </c>
      <c r="CI892" s="0" t="s">
        <v>130</v>
      </c>
      <c r="CJ892" s="0" t="s">
        <v>130</v>
      </c>
      <c r="CK892" s="0" t="s">
        <v>130</v>
      </c>
      <c r="CL892" s="0" t="s">
        <v>130</v>
      </c>
      <c r="CM892" s="0" t="s">
        <v>130</v>
      </c>
      <c r="CN892" s="0" t="s">
        <v>130</v>
      </c>
      <c r="CO892" s="0" t="s">
        <v>130</v>
      </c>
      <c r="CP892" s="0" t="s">
        <v>130</v>
      </c>
      <c r="CQ892" s="0" t="s">
        <v>130</v>
      </c>
      <c r="CR892" s="0" t="s">
        <v>130</v>
      </c>
      <c r="CS892" s="0" t="s">
        <v>130</v>
      </c>
      <c r="CT892" s="0" t="s">
        <v>2742</v>
      </c>
    </row>
    <row r="893">
      <c r="A893" s="14">
        <v>115802</v>
      </c>
      <c r="B893" s="0" t="s">
        <v>2733</v>
      </c>
      <c r="C893" s="16">
        <f>HYPERLINK("https://eosportal.federatedhermes.com/companies/Q29tcGFueQppNjQzODQ=", "Power Assets Holdings Ltd")</f>
      </c>
      <c r="D893" s="0" t="s">
        <v>25</v>
      </c>
      <c r="E893" s="0" t="s">
        <v>729</v>
      </c>
      <c r="F893" s="16">
        <f>HYPERLINK("https://eosportal.federatedhermes.com/engagements/RW5nYWdlbWVudAppMjI2NzE=", "Board diversity")</f>
      </c>
      <c r="G893" s="14" t="s">
        <v>2743</v>
      </c>
      <c r="H893" s="0" t="s">
        <v>141</v>
      </c>
      <c r="I893" s="14" t="s">
        <v>191</v>
      </c>
      <c r="J893" s="0" t="s">
        <v>145</v>
      </c>
      <c r="K893" s="0" t="s">
        <v>164</v>
      </c>
      <c r="L893" s="0" t="s">
        <v>165</v>
      </c>
      <c r="M893" s="0" t="s">
        <v>802</v>
      </c>
      <c r="N893" s="0" t="s">
        <v>803</v>
      </c>
      <c r="O893" s="0" t="s">
        <v>192</v>
      </c>
      <c r="Q893" s="0" t="s">
        <v>130</v>
      </c>
      <c r="R893" s="0" t="s">
        <v>138</v>
      </c>
      <c r="S893" s="14">
        <v>0</v>
      </c>
      <c r="T893" s="0" t="s">
        <v>416</v>
      </c>
      <c r="U893" s="0" t="s">
        <v>138</v>
      </c>
      <c r="V893" s="14" t="s">
        <v>138</v>
      </c>
      <c r="W893" s="0" t="s">
        <v>138</v>
      </c>
      <c r="X893" s="14" t="s">
        <v>138</v>
      </c>
      <c r="Y893" s="0" t="s">
        <v>138</v>
      </c>
      <c r="Z893" s="14" t="s">
        <v>138</v>
      </c>
      <c r="AA893" s="0" t="s">
        <v>138</v>
      </c>
      <c r="AB893" s="14" t="s">
        <v>138</v>
      </c>
      <c r="AD893" s="0" t="s">
        <v>138</v>
      </c>
      <c r="AF893" s="0">
        <v>0</v>
      </c>
      <c r="AG893" s="0">
        <v>0</v>
      </c>
      <c r="AH893" s="0" t="s">
        <v>140</v>
      </c>
      <c r="AI893" s="0" t="s">
        <v>138</v>
      </c>
      <c r="AL893" s="14"/>
      <c r="AN893" s="14"/>
      <c r="AQ893" s="0" t="s">
        <v>130</v>
      </c>
      <c r="AR893" s="0" t="s">
        <v>130</v>
      </c>
      <c r="AS893" s="0" t="s">
        <v>130</v>
      </c>
      <c r="AT893" s="0" t="s">
        <v>130</v>
      </c>
      <c r="AU893" s="0" t="s">
        <v>141</v>
      </c>
      <c r="AV893" s="0" t="s">
        <v>130</v>
      </c>
      <c r="AW893" s="0" t="s">
        <v>130</v>
      </c>
      <c r="AX893" s="0" t="s">
        <v>130</v>
      </c>
      <c r="AY893" s="0" t="s">
        <v>130</v>
      </c>
      <c r="AZ893" s="0" t="s">
        <v>130</v>
      </c>
      <c r="BA893" s="0" t="s">
        <v>130</v>
      </c>
      <c r="BB893" s="0" t="s">
        <v>130</v>
      </c>
      <c r="BC893" s="0" t="s">
        <v>130</v>
      </c>
      <c r="BD893" s="0" t="s">
        <v>130</v>
      </c>
      <c r="BE893" s="0" t="s">
        <v>130</v>
      </c>
      <c r="BF893" s="0" t="s">
        <v>130</v>
      </c>
      <c r="BG893" s="0" t="s">
        <v>130</v>
      </c>
      <c r="BH893" s="0" t="s">
        <v>130</v>
      </c>
      <c r="BI893" s="0" t="s">
        <v>130</v>
      </c>
      <c r="BJ893" s="0" t="s">
        <v>130</v>
      </c>
      <c r="BK893" s="0" t="s">
        <v>130</v>
      </c>
      <c r="BL893" s="0" t="s">
        <v>130</v>
      </c>
      <c r="BM893" s="0" t="s">
        <v>130</v>
      </c>
      <c r="BN893" s="0" t="s">
        <v>130</v>
      </c>
      <c r="BO893" s="0" t="s">
        <v>130</v>
      </c>
      <c r="BP893" s="0" t="s">
        <v>130</v>
      </c>
      <c r="BQ893" s="0" t="s">
        <v>130</v>
      </c>
      <c r="BR893" s="0" t="s">
        <v>130</v>
      </c>
      <c r="BS893" s="0" t="s">
        <v>130</v>
      </c>
      <c r="BT893" s="0" t="s">
        <v>130</v>
      </c>
      <c r="BU893" s="0" t="s">
        <v>130</v>
      </c>
      <c r="BV893" s="0" t="s">
        <v>130</v>
      </c>
      <c r="BW893" s="0" t="s">
        <v>130</v>
      </c>
      <c r="BX893" s="0" t="s">
        <v>130</v>
      </c>
      <c r="BY893" s="0" t="s">
        <v>130</v>
      </c>
      <c r="BZ893" s="0" t="s">
        <v>130</v>
      </c>
      <c r="CA893" s="0" t="s">
        <v>130</v>
      </c>
      <c r="CB893" s="0" t="s">
        <v>130</v>
      </c>
      <c r="CC893" s="0" t="s">
        <v>130</v>
      </c>
      <c r="CD893" s="0" t="s">
        <v>130</v>
      </c>
      <c r="CE893" s="0" t="s">
        <v>130</v>
      </c>
      <c r="CF893" s="0" t="s">
        <v>130</v>
      </c>
      <c r="CG893" s="0" t="s">
        <v>130</v>
      </c>
      <c r="CH893" s="0" t="s">
        <v>130</v>
      </c>
      <c r="CI893" s="0" t="s">
        <v>130</v>
      </c>
      <c r="CJ893" s="0" t="s">
        <v>130</v>
      </c>
      <c r="CK893" s="0" t="s">
        <v>130</v>
      </c>
      <c r="CL893" s="0" t="s">
        <v>130</v>
      </c>
      <c r="CM893" s="0" t="s">
        <v>130</v>
      </c>
      <c r="CN893" s="0" t="s">
        <v>130</v>
      </c>
      <c r="CO893" s="0" t="s">
        <v>130</v>
      </c>
      <c r="CP893" s="0" t="s">
        <v>130</v>
      </c>
      <c r="CQ893" s="0" t="s">
        <v>130</v>
      </c>
      <c r="CR893" s="0" t="s">
        <v>130</v>
      </c>
      <c r="CS893" s="0" t="s">
        <v>130</v>
      </c>
      <c r="CT893" s="0" t="s">
        <v>2744</v>
      </c>
    </row>
    <row r="894">
      <c r="A894" s="14">
        <v>116420</v>
      </c>
      <c r="B894" s="0" t="s">
        <v>2745</v>
      </c>
      <c r="C894" s="16">
        <f>HYPERLINK("https://eosportal.federatedhermes.com/companies/Q29tcGFueQppNzcwNDg=", "Geely Automobile Holdings Ltd")</f>
      </c>
      <c r="D894" s="0" t="s">
        <v>25</v>
      </c>
      <c r="E894" s="0" t="s">
        <v>459</v>
      </c>
      <c r="F894" s="16">
        <f>HYPERLINK("https://eosportal.federatedhermes.com/engagements/RW5nYWdlbWVudAppMjI3NDA=", "Human capital management")</f>
      </c>
      <c r="G894" s="14" t="s">
        <v>2746</v>
      </c>
      <c r="H894" s="0" t="s">
        <v>141</v>
      </c>
      <c r="I894" s="14" t="s">
        <v>191</v>
      </c>
      <c r="J894" s="0" t="s">
        <v>153</v>
      </c>
      <c r="K894" s="0" t="s">
        <v>154</v>
      </c>
      <c r="L894" s="0" t="s">
        <v>268</v>
      </c>
      <c r="M894" s="0" t="s">
        <v>802</v>
      </c>
      <c r="N894" s="0" t="s">
        <v>803</v>
      </c>
      <c r="O894" s="0" t="s">
        <v>425</v>
      </c>
      <c r="Q894" s="0" t="s">
        <v>130</v>
      </c>
      <c r="R894" s="0" t="s">
        <v>138</v>
      </c>
      <c r="S894" s="14">
        <v>0</v>
      </c>
      <c r="T894" s="0" t="s">
        <v>148</v>
      </c>
      <c r="U894" s="0" t="s">
        <v>138</v>
      </c>
      <c r="V894" s="14" t="s">
        <v>138</v>
      </c>
      <c r="W894" s="0" t="s">
        <v>138</v>
      </c>
      <c r="X894" s="14" t="s">
        <v>138</v>
      </c>
      <c r="Y894" s="0" t="s">
        <v>138</v>
      </c>
      <c r="Z894" s="14" t="s">
        <v>138</v>
      </c>
      <c r="AA894" s="0" t="s">
        <v>138</v>
      </c>
      <c r="AB894" s="14" t="s">
        <v>138</v>
      </c>
      <c r="AD894" s="0" t="s">
        <v>138</v>
      </c>
      <c r="AF894" s="0">
        <v>0</v>
      </c>
      <c r="AG894" s="0">
        <v>0</v>
      </c>
      <c r="AH894" s="0" t="s">
        <v>140</v>
      </c>
      <c r="AI894" s="0" t="s">
        <v>138</v>
      </c>
      <c r="AL894" s="14"/>
      <c r="AN894" s="14"/>
      <c r="AQ894" s="0" t="s">
        <v>130</v>
      </c>
      <c r="AR894" s="0" t="s">
        <v>130</v>
      </c>
      <c r="AS894" s="0" t="s">
        <v>130</v>
      </c>
      <c r="AT894" s="0" t="s">
        <v>130</v>
      </c>
      <c r="AU894" s="0" t="s">
        <v>141</v>
      </c>
      <c r="AV894" s="0" t="s">
        <v>130</v>
      </c>
      <c r="AW894" s="0" t="s">
        <v>130</v>
      </c>
      <c r="AX894" s="0" t="s">
        <v>130</v>
      </c>
      <c r="AY894" s="0" t="s">
        <v>130</v>
      </c>
      <c r="AZ894" s="0" t="s">
        <v>130</v>
      </c>
      <c r="BA894" s="0" t="s">
        <v>130</v>
      </c>
      <c r="BB894" s="0" t="s">
        <v>130</v>
      </c>
      <c r="BC894" s="0" t="s">
        <v>130</v>
      </c>
      <c r="BD894" s="0" t="s">
        <v>130</v>
      </c>
      <c r="BE894" s="0" t="s">
        <v>130</v>
      </c>
      <c r="BF894" s="0" t="s">
        <v>130</v>
      </c>
      <c r="BG894" s="0" t="s">
        <v>130</v>
      </c>
      <c r="BH894" s="0" t="s">
        <v>130</v>
      </c>
      <c r="BI894" s="0" t="s">
        <v>130</v>
      </c>
      <c r="BJ894" s="0" t="s">
        <v>130</v>
      </c>
      <c r="BK894" s="0" t="s">
        <v>130</v>
      </c>
      <c r="BL894" s="0" t="s">
        <v>130</v>
      </c>
      <c r="BM894" s="0" t="s">
        <v>130</v>
      </c>
      <c r="BN894" s="0" t="s">
        <v>130</v>
      </c>
      <c r="BO894" s="0" t="s">
        <v>130</v>
      </c>
      <c r="BP894" s="0" t="s">
        <v>130</v>
      </c>
      <c r="BQ894" s="0" t="s">
        <v>130</v>
      </c>
      <c r="BR894" s="0" t="s">
        <v>130</v>
      </c>
      <c r="BS894" s="0" t="s">
        <v>130</v>
      </c>
      <c r="BT894" s="0" t="s">
        <v>130</v>
      </c>
      <c r="BU894" s="0" t="s">
        <v>130</v>
      </c>
      <c r="BV894" s="0" t="s">
        <v>130</v>
      </c>
      <c r="BW894" s="0" t="s">
        <v>130</v>
      </c>
      <c r="BX894" s="0" t="s">
        <v>130</v>
      </c>
      <c r="BY894" s="0" t="s">
        <v>130</v>
      </c>
      <c r="BZ894" s="0" t="s">
        <v>130</v>
      </c>
      <c r="CA894" s="0" t="s">
        <v>130</v>
      </c>
      <c r="CB894" s="0" t="s">
        <v>130</v>
      </c>
      <c r="CC894" s="0" t="s">
        <v>130</v>
      </c>
      <c r="CD894" s="0" t="s">
        <v>130</v>
      </c>
      <c r="CE894" s="0" t="s">
        <v>130</v>
      </c>
      <c r="CF894" s="0" t="s">
        <v>130</v>
      </c>
      <c r="CG894" s="0" t="s">
        <v>130</v>
      </c>
      <c r="CH894" s="0" t="s">
        <v>130</v>
      </c>
      <c r="CI894" s="0" t="s">
        <v>130</v>
      </c>
      <c r="CJ894" s="0" t="s">
        <v>130</v>
      </c>
      <c r="CK894" s="0" t="s">
        <v>141</v>
      </c>
      <c r="CL894" s="0" t="s">
        <v>130</v>
      </c>
      <c r="CM894" s="0" t="s">
        <v>130</v>
      </c>
      <c r="CN894" s="0" t="s">
        <v>130</v>
      </c>
      <c r="CO894" s="0" t="s">
        <v>130</v>
      </c>
      <c r="CP894" s="0" t="s">
        <v>130</v>
      </c>
      <c r="CQ894" s="0" t="s">
        <v>130</v>
      </c>
      <c r="CR894" s="0" t="s">
        <v>130</v>
      </c>
      <c r="CS894" s="0" t="s">
        <v>130</v>
      </c>
      <c r="CT894" s="0" t="s">
        <v>2747</v>
      </c>
    </row>
    <row r="895">
      <c r="A895" s="14">
        <v>116420</v>
      </c>
      <c r="B895" s="0" t="s">
        <v>2745</v>
      </c>
      <c r="C895" s="16">
        <f>HYPERLINK("https://eosportal.federatedhermes.com/companies/Q29tcGFueQppNzcwNDg=", "Geely Automobile Holdings Ltd")</f>
      </c>
      <c r="D895" s="0" t="s">
        <v>25</v>
      </c>
      <c r="E895" s="0" t="s">
        <v>2644</v>
      </c>
      <c r="F895" s="16">
        <f>HYPERLINK("https://eosportal.federatedhermes.com/engagements/RW5nYWdlbWVudAppMjI3NDU=", "Cobalt supply chain")</f>
      </c>
      <c r="G895" s="14" t="s">
        <v>2748</v>
      </c>
      <c r="H895" s="0" t="s">
        <v>141</v>
      </c>
      <c r="I895" s="14" t="s">
        <v>191</v>
      </c>
      <c r="J895" s="0" t="s">
        <v>153</v>
      </c>
      <c r="K895" s="0" t="s">
        <v>243</v>
      </c>
      <c r="L895" s="0" t="s">
        <v>244</v>
      </c>
      <c r="M895" s="0" t="s">
        <v>802</v>
      </c>
      <c r="N895" s="0" t="s">
        <v>803</v>
      </c>
      <c r="O895" s="0" t="s">
        <v>425</v>
      </c>
      <c r="Q895" s="0" t="s">
        <v>130</v>
      </c>
      <c r="R895" s="0" t="s">
        <v>138</v>
      </c>
      <c r="S895" s="14">
        <v>0</v>
      </c>
      <c r="T895" s="0" t="s">
        <v>359</v>
      </c>
      <c r="U895" s="0" t="s">
        <v>138</v>
      </c>
      <c r="V895" s="14" t="s">
        <v>138</v>
      </c>
      <c r="W895" s="0" t="s">
        <v>138</v>
      </c>
      <c r="X895" s="14" t="s">
        <v>138</v>
      </c>
      <c r="Y895" s="0" t="s">
        <v>138</v>
      </c>
      <c r="Z895" s="14" t="s">
        <v>138</v>
      </c>
      <c r="AA895" s="0" t="s">
        <v>138</v>
      </c>
      <c r="AB895" s="14" t="s">
        <v>138</v>
      </c>
      <c r="AD895" s="0" t="s">
        <v>138</v>
      </c>
      <c r="AF895" s="0">
        <v>0</v>
      </c>
      <c r="AG895" s="0">
        <v>0</v>
      </c>
      <c r="AH895" s="0" t="s">
        <v>140</v>
      </c>
      <c r="AI895" s="0" t="s">
        <v>138</v>
      </c>
      <c r="AL895" s="14"/>
      <c r="AN895" s="14"/>
      <c r="AQ895" s="0" t="s">
        <v>130</v>
      </c>
      <c r="AR895" s="0" t="s">
        <v>130</v>
      </c>
      <c r="AS895" s="0" t="s">
        <v>130</v>
      </c>
      <c r="AT895" s="0" t="s">
        <v>130</v>
      </c>
      <c r="AU895" s="0" t="s">
        <v>130</v>
      </c>
      <c r="AV895" s="0" t="s">
        <v>130</v>
      </c>
      <c r="AW895" s="0" t="s">
        <v>130</v>
      </c>
      <c r="AX895" s="0" t="s">
        <v>141</v>
      </c>
      <c r="AY895" s="0" t="s">
        <v>130</v>
      </c>
      <c r="AZ895" s="0" t="s">
        <v>130</v>
      </c>
      <c r="BA895" s="0" t="s">
        <v>130</v>
      </c>
      <c r="BB895" s="0" t="s">
        <v>130</v>
      </c>
      <c r="BC895" s="0" t="s">
        <v>130</v>
      </c>
      <c r="BD895" s="0" t="s">
        <v>130</v>
      </c>
      <c r="BE895" s="0" t="s">
        <v>130</v>
      </c>
      <c r="BF895" s="0" t="s">
        <v>130</v>
      </c>
      <c r="BG895" s="0" t="s">
        <v>130</v>
      </c>
      <c r="BH895" s="0" t="s">
        <v>130</v>
      </c>
      <c r="BI895" s="0" t="s">
        <v>130</v>
      </c>
      <c r="BJ895" s="0" t="s">
        <v>130</v>
      </c>
      <c r="BK895" s="0" t="s">
        <v>130</v>
      </c>
      <c r="BL895" s="0" t="s">
        <v>130</v>
      </c>
      <c r="BM895" s="0" t="s">
        <v>130</v>
      </c>
      <c r="BN895" s="0" t="s">
        <v>130</v>
      </c>
      <c r="BO895" s="0" t="s">
        <v>130</v>
      </c>
      <c r="BP895" s="0" t="s">
        <v>130</v>
      </c>
      <c r="BQ895" s="0" t="s">
        <v>130</v>
      </c>
      <c r="BR895" s="0" t="s">
        <v>130</v>
      </c>
      <c r="BS895" s="0" t="s">
        <v>130</v>
      </c>
      <c r="BT895" s="0" t="s">
        <v>130</v>
      </c>
      <c r="BU895" s="0" t="s">
        <v>130</v>
      </c>
      <c r="BV895" s="0" t="s">
        <v>130</v>
      </c>
      <c r="BW895" s="0" t="s">
        <v>130</v>
      </c>
      <c r="BX895" s="0" t="s">
        <v>130</v>
      </c>
      <c r="BY895" s="0" t="s">
        <v>130</v>
      </c>
      <c r="BZ895" s="0" t="s">
        <v>130</v>
      </c>
      <c r="CA895" s="0" t="s">
        <v>130</v>
      </c>
      <c r="CB895" s="0" t="s">
        <v>130</v>
      </c>
      <c r="CC895" s="0" t="s">
        <v>130</v>
      </c>
      <c r="CD895" s="0" t="s">
        <v>130</v>
      </c>
      <c r="CE895" s="0" t="s">
        <v>130</v>
      </c>
      <c r="CF895" s="0" t="s">
        <v>130</v>
      </c>
      <c r="CG895" s="0" t="s">
        <v>130</v>
      </c>
      <c r="CH895" s="0" t="s">
        <v>130</v>
      </c>
      <c r="CI895" s="0" t="s">
        <v>130</v>
      </c>
      <c r="CJ895" s="0" t="s">
        <v>130</v>
      </c>
      <c r="CK895" s="0" t="s">
        <v>130</v>
      </c>
      <c r="CL895" s="0" t="s">
        <v>130</v>
      </c>
      <c r="CM895" s="0" t="s">
        <v>130</v>
      </c>
      <c r="CN895" s="0" t="s">
        <v>130</v>
      </c>
      <c r="CO895" s="0" t="s">
        <v>130</v>
      </c>
      <c r="CP895" s="0" t="s">
        <v>130</v>
      </c>
      <c r="CQ895" s="0" t="s">
        <v>130</v>
      </c>
      <c r="CR895" s="0" t="s">
        <v>130</v>
      </c>
      <c r="CS895" s="0" t="s">
        <v>130</v>
      </c>
      <c r="CT895" s="0" t="s">
        <v>2749</v>
      </c>
    </row>
    <row r="896">
      <c r="A896" s="14">
        <v>116420</v>
      </c>
      <c r="B896" s="0" t="s">
        <v>2745</v>
      </c>
      <c r="C896" s="16">
        <f>HYPERLINK("https://eosportal.federatedhermes.com/companies/Q29tcGFueQppNzcwNDg=", "Geely Automobile Holdings Ltd")</f>
      </c>
      <c r="D896" s="0" t="s">
        <v>25</v>
      </c>
      <c r="E896" s="0" t="s">
        <v>2750</v>
      </c>
      <c r="F896" s="16">
        <f>HYPERLINK("https://eosportal.federatedhermes.com/engagements/RW5nYWdlbWVudAppMjI3NDY=", "General issuance mandate")</f>
      </c>
      <c r="G896" s="14" t="s">
        <v>2751</v>
      </c>
      <c r="H896" s="0" t="s">
        <v>141</v>
      </c>
      <c r="I896" s="14" t="s">
        <v>191</v>
      </c>
      <c r="J896" s="0" t="s">
        <v>145</v>
      </c>
      <c r="K896" s="0" t="s">
        <v>400</v>
      </c>
      <c r="L896" s="0" t="s">
        <v>507</v>
      </c>
      <c r="M896" s="0" t="s">
        <v>802</v>
      </c>
      <c r="N896" s="0" t="s">
        <v>803</v>
      </c>
      <c r="O896" s="0" t="s">
        <v>425</v>
      </c>
      <c r="Q896" s="0" t="s">
        <v>130</v>
      </c>
      <c r="R896" s="0" t="s">
        <v>138</v>
      </c>
      <c r="S896" s="14">
        <v>0</v>
      </c>
      <c r="T896" s="0" t="s">
        <v>166</v>
      </c>
      <c r="U896" s="0" t="s">
        <v>138</v>
      </c>
      <c r="V896" s="14" t="s">
        <v>138</v>
      </c>
      <c r="W896" s="0" t="s">
        <v>138</v>
      </c>
      <c r="X896" s="14" t="s">
        <v>138</v>
      </c>
      <c r="Y896" s="0" t="s">
        <v>138</v>
      </c>
      <c r="Z896" s="14" t="s">
        <v>138</v>
      </c>
      <c r="AA896" s="0" t="s">
        <v>138</v>
      </c>
      <c r="AB896" s="14" t="s">
        <v>138</v>
      </c>
      <c r="AD896" s="0" t="s">
        <v>138</v>
      </c>
      <c r="AF896" s="0">
        <v>0</v>
      </c>
      <c r="AG896" s="0">
        <v>0</v>
      </c>
      <c r="AH896" s="0" t="s">
        <v>140</v>
      </c>
      <c r="AI896" s="0" t="s">
        <v>138</v>
      </c>
      <c r="AL896" s="14"/>
      <c r="AN896" s="14"/>
      <c r="AQ896" s="0" t="s">
        <v>130</v>
      </c>
      <c r="AR896" s="0" t="s">
        <v>130</v>
      </c>
      <c r="AS896" s="0" t="s">
        <v>130</v>
      </c>
      <c r="AT896" s="0" t="s">
        <v>130</v>
      </c>
      <c r="AU896" s="0" t="s">
        <v>130</v>
      </c>
      <c r="AV896" s="0" t="s">
        <v>130</v>
      </c>
      <c r="AW896" s="0" t="s">
        <v>130</v>
      </c>
      <c r="AX896" s="0" t="s">
        <v>130</v>
      </c>
      <c r="AY896" s="0" t="s">
        <v>130</v>
      </c>
      <c r="AZ896" s="0" t="s">
        <v>130</v>
      </c>
      <c r="BA896" s="0" t="s">
        <v>130</v>
      </c>
      <c r="BB896" s="0" t="s">
        <v>130</v>
      </c>
      <c r="BC896" s="0" t="s">
        <v>130</v>
      </c>
      <c r="BD896" s="0" t="s">
        <v>130</v>
      </c>
      <c r="BE896" s="0" t="s">
        <v>130</v>
      </c>
      <c r="BF896" s="0" t="s">
        <v>130</v>
      </c>
      <c r="BG896" s="0" t="s">
        <v>130</v>
      </c>
      <c r="BH896" s="0" t="s">
        <v>130</v>
      </c>
      <c r="BI896" s="0" t="s">
        <v>130</v>
      </c>
      <c r="BJ896" s="0" t="s">
        <v>130</v>
      </c>
      <c r="BK896" s="0" t="s">
        <v>130</v>
      </c>
      <c r="BL896" s="0" t="s">
        <v>130</v>
      </c>
      <c r="BM896" s="0" t="s">
        <v>130</v>
      </c>
      <c r="BN896" s="0" t="s">
        <v>130</v>
      </c>
      <c r="BO896" s="0" t="s">
        <v>130</v>
      </c>
      <c r="BP896" s="0" t="s">
        <v>130</v>
      </c>
      <c r="BQ896" s="0" t="s">
        <v>130</v>
      </c>
      <c r="BR896" s="0" t="s">
        <v>130</v>
      </c>
      <c r="BS896" s="0" t="s">
        <v>130</v>
      </c>
      <c r="BT896" s="0" t="s">
        <v>130</v>
      </c>
      <c r="BU896" s="0" t="s">
        <v>130</v>
      </c>
      <c r="BV896" s="0" t="s">
        <v>130</v>
      </c>
      <c r="BW896" s="0" t="s">
        <v>130</v>
      </c>
      <c r="BX896" s="0" t="s">
        <v>130</v>
      </c>
      <c r="BY896" s="0" t="s">
        <v>130</v>
      </c>
      <c r="BZ896" s="0" t="s">
        <v>130</v>
      </c>
      <c r="CA896" s="0" t="s">
        <v>130</v>
      </c>
      <c r="CB896" s="0" t="s">
        <v>130</v>
      </c>
      <c r="CC896" s="0" t="s">
        <v>130</v>
      </c>
      <c r="CD896" s="0" t="s">
        <v>130</v>
      </c>
      <c r="CE896" s="0" t="s">
        <v>130</v>
      </c>
      <c r="CF896" s="0" t="s">
        <v>130</v>
      </c>
      <c r="CG896" s="0" t="s">
        <v>130</v>
      </c>
      <c r="CH896" s="0" t="s">
        <v>130</v>
      </c>
      <c r="CI896" s="0" t="s">
        <v>130</v>
      </c>
      <c r="CJ896" s="0" t="s">
        <v>130</v>
      </c>
      <c r="CK896" s="0" t="s">
        <v>130</v>
      </c>
      <c r="CL896" s="0" t="s">
        <v>130</v>
      </c>
      <c r="CM896" s="0" t="s">
        <v>130</v>
      </c>
      <c r="CN896" s="0" t="s">
        <v>130</v>
      </c>
      <c r="CO896" s="0" t="s">
        <v>130</v>
      </c>
      <c r="CP896" s="0" t="s">
        <v>130</v>
      </c>
      <c r="CQ896" s="0" t="s">
        <v>130</v>
      </c>
      <c r="CR896" s="0" t="s">
        <v>130</v>
      </c>
      <c r="CS896" s="0" t="s">
        <v>130</v>
      </c>
      <c r="CT896" s="0" t="s">
        <v>2752</v>
      </c>
    </row>
    <row r="897">
      <c r="A897" s="14">
        <v>116646</v>
      </c>
      <c r="B897" s="0" t="s">
        <v>2753</v>
      </c>
      <c r="C897" s="16">
        <f>HYPERLINK("https://eosportal.federatedhermes.com/companies/Q29tcGFueQppNzM3NzM=", "Morgan Stanley")</f>
      </c>
      <c r="D897" s="0" t="s">
        <v>25</v>
      </c>
      <c r="E897" s="0" t="s">
        <v>386</v>
      </c>
      <c r="F897" s="16">
        <f>HYPERLINK("https://eosportal.federatedhermes.com/engagements/RW5nYWdlbWVudAppMjI3ODI=", "Board independence")</f>
      </c>
      <c r="G897" s="14" t="s">
        <v>2754</v>
      </c>
      <c r="H897" s="0" t="s">
        <v>141</v>
      </c>
      <c r="I897" s="14" t="s">
        <v>131</v>
      </c>
      <c r="J897" s="0" t="s">
        <v>145</v>
      </c>
      <c r="K897" s="0" t="s">
        <v>164</v>
      </c>
      <c r="L897" s="0" t="s">
        <v>165</v>
      </c>
      <c r="M897" s="0" t="s">
        <v>135</v>
      </c>
      <c r="N897" s="0" t="s">
        <v>136</v>
      </c>
      <c r="O897" s="0" t="s">
        <v>238</v>
      </c>
      <c r="Q897" s="0" t="s">
        <v>130</v>
      </c>
      <c r="R897" s="0" t="s">
        <v>138</v>
      </c>
      <c r="S897" s="14">
        <v>0</v>
      </c>
      <c r="T897" s="0" t="s">
        <v>293</v>
      </c>
      <c r="U897" s="0" t="s">
        <v>138</v>
      </c>
      <c r="V897" s="14" t="s">
        <v>138</v>
      </c>
      <c r="W897" s="0" t="s">
        <v>138</v>
      </c>
      <c r="X897" s="14" t="s">
        <v>138</v>
      </c>
      <c r="Y897" s="0" t="s">
        <v>138</v>
      </c>
      <c r="Z897" s="14" t="s">
        <v>138</v>
      </c>
      <c r="AA897" s="0" t="s">
        <v>138</v>
      </c>
      <c r="AB897" s="14" t="s">
        <v>138</v>
      </c>
      <c r="AD897" s="0" t="s">
        <v>138</v>
      </c>
      <c r="AF897" s="0">
        <v>0</v>
      </c>
      <c r="AG897" s="0">
        <v>0</v>
      </c>
      <c r="AH897" s="0" t="s">
        <v>140</v>
      </c>
      <c r="AI897" s="0" t="s">
        <v>138</v>
      </c>
      <c r="AL897" s="14"/>
      <c r="AN897" s="14"/>
      <c r="AQ897" s="0" t="s">
        <v>130</v>
      </c>
      <c r="AR897" s="0" t="s">
        <v>130</v>
      </c>
      <c r="AS897" s="0" t="s">
        <v>130</v>
      </c>
      <c r="AT897" s="0" t="s">
        <v>130</v>
      </c>
      <c r="AU897" s="0" t="s">
        <v>130</v>
      </c>
      <c r="AV897" s="0" t="s">
        <v>130</v>
      </c>
      <c r="AW897" s="0" t="s">
        <v>130</v>
      </c>
      <c r="AX897" s="0" t="s">
        <v>130</v>
      </c>
      <c r="AY897" s="0" t="s">
        <v>130</v>
      </c>
      <c r="AZ897" s="0" t="s">
        <v>130</v>
      </c>
      <c r="BA897" s="0" t="s">
        <v>130</v>
      </c>
      <c r="BB897" s="0" t="s">
        <v>130</v>
      </c>
      <c r="BC897" s="0" t="s">
        <v>130</v>
      </c>
      <c r="BD897" s="0" t="s">
        <v>130</v>
      </c>
      <c r="BE897" s="0" t="s">
        <v>130</v>
      </c>
      <c r="BF897" s="0" t="s">
        <v>130</v>
      </c>
      <c r="BG897" s="0" t="s">
        <v>130</v>
      </c>
      <c r="BH897" s="0" t="s">
        <v>130</v>
      </c>
      <c r="BI897" s="0" t="s">
        <v>130</v>
      </c>
      <c r="BJ897" s="0" t="s">
        <v>130</v>
      </c>
      <c r="BK897" s="0" t="s">
        <v>130</v>
      </c>
      <c r="BL897" s="0" t="s">
        <v>130</v>
      </c>
      <c r="BM897" s="0" t="s">
        <v>130</v>
      </c>
      <c r="BN897" s="0" t="s">
        <v>130</v>
      </c>
      <c r="BO897" s="0" t="s">
        <v>130</v>
      </c>
      <c r="BP897" s="0" t="s">
        <v>130</v>
      </c>
      <c r="BQ897" s="0" t="s">
        <v>130</v>
      </c>
      <c r="BR897" s="0" t="s">
        <v>130</v>
      </c>
      <c r="BS897" s="0" t="s">
        <v>130</v>
      </c>
      <c r="BT897" s="0" t="s">
        <v>130</v>
      </c>
      <c r="BU897" s="0" t="s">
        <v>130</v>
      </c>
      <c r="BV897" s="0" t="s">
        <v>130</v>
      </c>
      <c r="BW897" s="0" t="s">
        <v>130</v>
      </c>
      <c r="BX897" s="0" t="s">
        <v>130</v>
      </c>
      <c r="BY897" s="0" t="s">
        <v>130</v>
      </c>
      <c r="BZ897" s="0" t="s">
        <v>130</v>
      </c>
      <c r="CA897" s="0" t="s">
        <v>130</v>
      </c>
      <c r="CB897" s="0" t="s">
        <v>130</v>
      </c>
      <c r="CC897" s="0" t="s">
        <v>130</v>
      </c>
      <c r="CD897" s="0" t="s">
        <v>130</v>
      </c>
      <c r="CE897" s="0" t="s">
        <v>130</v>
      </c>
      <c r="CF897" s="0" t="s">
        <v>130</v>
      </c>
      <c r="CG897" s="0" t="s">
        <v>130</v>
      </c>
      <c r="CH897" s="0" t="s">
        <v>130</v>
      </c>
      <c r="CI897" s="0" t="s">
        <v>130</v>
      </c>
      <c r="CJ897" s="0" t="s">
        <v>130</v>
      </c>
      <c r="CK897" s="0" t="s">
        <v>130</v>
      </c>
      <c r="CL897" s="0" t="s">
        <v>130</v>
      </c>
      <c r="CM897" s="0" t="s">
        <v>130</v>
      </c>
      <c r="CN897" s="0" t="s">
        <v>130</v>
      </c>
      <c r="CO897" s="0" t="s">
        <v>130</v>
      </c>
      <c r="CP897" s="0" t="s">
        <v>130</v>
      </c>
      <c r="CQ897" s="0" t="s">
        <v>130</v>
      </c>
      <c r="CR897" s="0" t="s">
        <v>130</v>
      </c>
      <c r="CS897" s="0" t="s">
        <v>130</v>
      </c>
      <c r="CT897" s="0" t="s">
        <v>2755</v>
      </c>
    </row>
    <row r="898">
      <c r="A898" s="14">
        <v>116646</v>
      </c>
      <c r="B898" s="0" t="s">
        <v>2753</v>
      </c>
      <c r="C898" s="16">
        <f>HYPERLINK("https://eosportal.federatedhermes.com/companies/Q29tcGFueQppNzM3NzM=", "Morgan Stanley")</f>
      </c>
      <c r="D898" s="0" t="s">
        <v>25</v>
      </c>
      <c r="E898" s="0" t="s">
        <v>1922</v>
      </c>
      <c r="F898" s="16">
        <f>HYPERLINK("https://eosportal.federatedhermes.com/engagements/RW5nYWdlbWVudAppMjI3ODM=", "Tax")</f>
      </c>
      <c r="G898" s="14" t="s">
        <v>2756</v>
      </c>
      <c r="H898" s="0" t="s">
        <v>141</v>
      </c>
      <c r="I898" s="14" t="s">
        <v>131</v>
      </c>
      <c r="J898" s="0" t="s">
        <v>153</v>
      </c>
      <c r="K898" s="0" t="s">
        <v>185</v>
      </c>
      <c r="L898" s="0" t="s">
        <v>548</v>
      </c>
      <c r="M898" s="0" t="s">
        <v>135</v>
      </c>
      <c r="N898" s="0" t="s">
        <v>136</v>
      </c>
      <c r="O898" s="0" t="s">
        <v>238</v>
      </c>
      <c r="Q898" s="0" t="s">
        <v>130</v>
      </c>
      <c r="R898" s="0" t="s">
        <v>138</v>
      </c>
      <c r="S898" s="14">
        <v>0</v>
      </c>
      <c r="T898" s="0" t="s">
        <v>394</v>
      </c>
      <c r="U898" s="0" t="s">
        <v>138</v>
      </c>
      <c r="V898" s="14" t="s">
        <v>138</v>
      </c>
      <c r="W898" s="0" t="s">
        <v>138</v>
      </c>
      <c r="X898" s="14" t="s">
        <v>138</v>
      </c>
      <c r="Y898" s="0" t="s">
        <v>138</v>
      </c>
      <c r="Z898" s="14" t="s">
        <v>138</v>
      </c>
      <c r="AA898" s="0" t="s">
        <v>138</v>
      </c>
      <c r="AB898" s="14" t="s">
        <v>138</v>
      </c>
      <c r="AD898" s="0" t="s">
        <v>138</v>
      </c>
      <c r="AF898" s="0">
        <v>0</v>
      </c>
      <c r="AG898" s="0">
        <v>0</v>
      </c>
      <c r="AH898" s="0" t="s">
        <v>140</v>
      </c>
      <c r="AI898" s="0" t="s">
        <v>138</v>
      </c>
      <c r="AL898" s="14"/>
      <c r="AN898" s="14"/>
      <c r="AQ898" s="0" t="s">
        <v>130</v>
      </c>
      <c r="AR898" s="0" t="s">
        <v>130</v>
      </c>
      <c r="AS898" s="0" t="s">
        <v>130</v>
      </c>
      <c r="AT898" s="0" t="s">
        <v>130</v>
      </c>
      <c r="AU898" s="0" t="s">
        <v>130</v>
      </c>
      <c r="AV898" s="0" t="s">
        <v>130</v>
      </c>
      <c r="AW898" s="0" t="s">
        <v>130</v>
      </c>
      <c r="AX898" s="0" t="s">
        <v>130</v>
      </c>
      <c r="AY898" s="0" t="s">
        <v>130</v>
      </c>
      <c r="AZ898" s="0" t="s">
        <v>130</v>
      </c>
      <c r="BA898" s="0" t="s">
        <v>130</v>
      </c>
      <c r="BB898" s="0" t="s">
        <v>130</v>
      </c>
      <c r="BC898" s="0" t="s">
        <v>130</v>
      </c>
      <c r="BD898" s="0" t="s">
        <v>130</v>
      </c>
      <c r="BE898" s="0" t="s">
        <v>130</v>
      </c>
      <c r="BF898" s="0" t="s">
        <v>130</v>
      </c>
      <c r="BG898" s="0" t="s">
        <v>130</v>
      </c>
      <c r="BH898" s="0" t="s">
        <v>130</v>
      </c>
      <c r="BI898" s="0" t="s">
        <v>130</v>
      </c>
      <c r="BJ898" s="0" t="s">
        <v>130</v>
      </c>
      <c r="BK898" s="0" t="s">
        <v>130</v>
      </c>
      <c r="BL898" s="0" t="s">
        <v>130</v>
      </c>
      <c r="BM898" s="0" t="s">
        <v>130</v>
      </c>
      <c r="BN898" s="0" t="s">
        <v>130</v>
      </c>
      <c r="BO898" s="0" t="s">
        <v>130</v>
      </c>
      <c r="BP898" s="0" t="s">
        <v>130</v>
      </c>
      <c r="BQ898" s="0" t="s">
        <v>130</v>
      </c>
      <c r="BR898" s="0" t="s">
        <v>130</v>
      </c>
      <c r="BS898" s="0" t="s">
        <v>130</v>
      </c>
      <c r="BT898" s="0" t="s">
        <v>130</v>
      </c>
      <c r="BU898" s="0" t="s">
        <v>130</v>
      </c>
      <c r="BV898" s="0" t="s">
        <v>130</v>
      </c>
      <c r="BW898" s="0" t="s">
        <v>130</v>
      </c>
      <c r="BX898" s="0" t="s">
        <v>130</v>
      </c>
      <c r="BY898" s="0" t="s">
        <v>130</v>
      </c>
      <c r="BZ898" s="0" t="s">
        <v>130</v>
      </c>
      <c r="CA898" s="0" t="s">
        <v>130</v>
      </c>
      <c r="CB898" s="0" t="s">
        <v>130</v>
      </c>
      <c r="CC898" s="0" t="s">
        <v>130</v>
      </c>
      <c r="CD898" s="0" t="s">
        <v>130</v>
      </c>
      <c r="CE898" s="0" t="s">
        <v>130</v>
      </c>
      <c r="CF898" s="0" t="s">
        <v>130</v>
      </c>
      <c r="CG898" s="0" t="s">
        <v>130</v>
      </c>
      <c r="CH898" s="0" t="s">
        <v>130</v>
      </c>
      <c r="CI898" s="0" t="s">
        <v>130</v>
      </c>
      <c r="CJ898" s="0" t="s">
        <v>130</v>
      </c>
      <c r="CK898" s="0" t="s">
        <v>130</v>
      </c>
      <c r="CL898" s="0" t="s">
        <v>130</v>
      </c>
      <c r="CM898" s="0" t="s">
        <v>130</v>
      </c>
      <c r="CN898" s="0" t="s">
        <v>130</v>
      </c>
      <c r="CO898" s="0" t="s">
        <v>130</v>
      </c>
      <c r="CP898" s="0" t="s">
        <v>130</v>
      </c>
      <c r="CQ898" s="0" t="s">
        <v>130</v>
      </c>
      <c r="CR898" s="0" t="s">
        <v>130</v>
      </c>
      <c r="CS898" s="0" t="s">
        <v>130</v>
      </c>
      <c r="CT898" s="0" t="s">
        <v>2757</v>
      </c>
    </row>
    <row r="899">
      <c r="A899" s="14">
        <v>116646</v>
      </c>
      <c r="B899" s="0" t="s">
        <v>2753</v>
      </c>
      <c r="C899" s="16">
        <f>HYPERLINK("https://eosportal.federatedhermes.com/companies/Q29tcGFueQppNzM3NzM=", "Morgan Stanley")</f>
      </c>
      <c r="D899" s="0" t="s">
        <v>25</v>
      </c>
      <c r="E899" s="0" t="s">
        <v>2208</v>
      </c>
      <c r="F899" s="16">
        <f>HYPERLINK("https://eosportal.federatedhermes.com/engagements/RW5nYWdlbWVudAppMjI3ODQ=", "Artificial intelligence")</f>
      </c>
      <c r="G899" s="14" t="s">
        <v>2758</v>
      </c>
      <c r="H899" s="0" t="s">
        <v>141</v>
      </c>
      <c r="I899" s="14" t="s">
        <v>131</v>
      </c>
      <c r="J899" s="0" t="s">
        <v>153</v>
      </c>
      <c r="K899" s="0" t="s">
        <v>243</v>
      </c>
      <c r="L899" s="0" t="s">
        <v>537</v>
      </c>
      <c r="M899" s="0" t="s">
        <v>135</v>
      </c>
      <c r="N899" s="0" t="s">
        <v>136</v>
      </c>
      <c r="O899" s="0" t="s">
        <v>238</v>
      </c>
      <c r="Q899" s="0" t="s">
        <v>141</v>
      </c>
      <c r="R899" s="0" t="s">
        <v>138</v>
      </c>
      <c r="S899" s="14">
        <v>1</v>
      </c>
      <c r="T899" s="0" t="s">
        <v>394</v>
      </c>
      <c r="U899" s="0" t="s">
        <v>138</v>
      </c>
      <c r="V899" s="14" t="s">
        <v>138</v>
      </c>
      <c r="W899" s="0" t="s">
        <v>138</v>
      </c>
      <c r="X899" s="14" t="s">
        <v>138</v>
      </c>
      <c r="Y899" s="0" t="s">
        <v>138</v>
      </c>
      <c r="Z899" s="14" t="s">
        <v>138</v>
      </c>
      <c r="AA899" s="0" t="s">
        <v>138</v>
      </c>
      <c r="AB899" s="14" t="s">
        <v>138</v>
      </c>
      <c r="AD899" s="0" t="s">
        <v>138</v>
      </c>
      <c r="AF899" s="0">
        <v>0</v>
      </c>
      <c r="AG899" s="0">
        <v>0</v>
      </c>
      <c r="AH899" s="0" t="s">
        <v>140</v>
      </c>
      <c r="AI899" s="0" t="s">
        <v>138</v>
      </c>
      <c r="AK899" s="0" t="s">
        <v>2241</v>
      </c>
      <c r="AL899" s="14"/>
      <c r="AN899" s="14"/>
      <c r="AQ899" s="0" t="s">
        <v>130</v>
      </c>
      <c r="AR899" s="0" t="s">
        <v>130</v>
      </c>
      <c r="AS899" s="0" t="s">
        <v>130</v>
      </c>
      <c r="AT899" s="0" t="s">
        <v>130</v>
      </c>
      <c r="AU899" s="0" t="s">
        <v>130</v>
      </c>
      <c r="AV899" s="0" t="s">
        <v>130</v>
      </c>
      <c r="AW899" s="0" t="s">
        <v>130</v>
      </c>
      <c r="AX899" s="0" t="s">
        <v>130</v>
      </c>
      <c r="AY899" s="0" t="s">
        <v>130</v>
      </c>
      <c r="AZ899" s="0" t="s">
        <v>130</v>
      </c>
      <c r="BA899" s="0" t="s">
        <v>130</v>
      </c>
      <c r="BB899" s="0" t="s">
        <v>130</v>
      </c>
      <c r="BC899" s="0" t="s">
        <v>130</v>
      </c>
      <c r="BD899" s="0" t="s">
        <v>130</v>
      </c>
      <c r="BE899" s="0" t="s">
        <v>130</v>
      </c>
      <c r="BF899" s="0" t="s">
        <v>141</v>
      </c>
      <c r="BG899" s="0" t="s">
        <v>130</v>
      </c>
      <c r="BH899" s="0" t="s">
        <v>130</v>
      </c>
      <c r="BI899" s="0" t="s">
        <v>130</v>
      </c>
      <c r="BJ899" s="0" t="s">
        <v>130</v>
      </c>
      <c r="BK899" s="0" t="s">
        <v>130</v>
      </c>
      <c r="BL899" s="0" t="s">
        <v>130</v>
      </c>
      <c r="BM899" s="0" t="s">
        <v>130</v>
      </c>
      <c r="BN899" s="0" t="s">
        <v>130</v>
      </c>
      <c r="BO899" s="0" t="s">
        <v>130</v>
      </c>
      <c r="BP899" s="0" t="s">
        <v>130</v>
      </c>
      <c r="BQ899" s="0" t="s">
        <v>130</v>
      </c>
      <c r="BR899" s="0" t="s">
        <v>130</v>
      </c>
      <c r="BS899" s="0" t="s">
        <v>130</v>
      </c>
      <c r="BT899" s="0" t="s">
        <v>130</v>
      </c>
      <c r="BU899" s="0" t="s">
        <v>130</v>
      </c>
      <c r="BV899" s="0" t="s">
        <v>130</v>
      </c>
      <c r="BW899" s="0" t="s">
        <v>130</v>
      </c>
      <c r="BX899" s="0" t="s">
        <v>130</v>
      </c>
      <c r="BY899" s="0" t="s">
        <v>130</v>
      </c>
      <c r="BZ899" s="0" t="s">
        <v>130</v>
      </c>
      <c r="CA899" s="0" t="s">
        <v>130</v>
      </c>
      <c r="CB899" s="0" t="s">
        <v>130</v>
      </c>
      <c r="CC899" s="0" t="s">
        <v>130</v>
      </c>
      <c r="CD899" s="0" t="s">
        <v>130</v>
      </c>
      <c r="CE899" s="0" t="s">
        <v>130</v>
      </c>
      <c r="CF899" s="0" t="s">
        <v>130</v>
      </c>
      <c r="CG899" s="0" t="s">
        <v>130</v>
      </c>
      <c r="CH899" s="0" t="s">
        <v>130</v>
      </c>
      <c r="CI899" s="0" t="s">
        <v>130</v>
      </c>
      <c r="CJ899" s="0" t="s">
        <v>130</v>
      </c>
      <c r="CK899" s="0" t="s">
        <v>130</v>
      </c>
      <c r="CL899" s="0" t="s">
        <v>130</v>
      </c>
      <c r="CM899" s="0" t="s">
        <v>130</v>
      </c>
      <c r="CN899" s="0" t="s">
        <v>130</v>
      </c>
      <c r="CO899" s="0" t="s">
        <v>130</v>
      </c>
      <c r="CP899" s="0" t="s">
        <v>130</v>
      </c>
      <c r="CQ899" s="0" t="s">
        <v>130</v>
      </c>
      <c r="CR899" s="0" t="s">
        <v>130</v>
      </c>
      <c r="CS899" s="0" t="s">
        <v>130</v>
      </c>
      <c r="CT899" s="0" t="s">
        <v>2759</v>
      </c>
    </row>
    <row r="900">
      <c r="A900" s="14">
        <v>116646</v>
      </c>
      <c r="B900" s="0" t="s">
        <v>2753</v>
      </c>
      <c r="C900" s="16">
        <f>HYPERLINK("https://eosportal.federatedhermes.com/companies/Q29tcGFueQppNzM3NzM=", "Morgan Stanley")</f>
      </c>
      <c r="D900" s="0" t="s">
        <v>25</v>
      </c>
      <c r="E900" s="0" t="s">
        <v>1900</v>
      </c>
      <c r="F900" s="16">
        <f>HYPERLINK("https://eosportal.federatedhermes.com/engagements/RW5nYWdlbWVudAppMjI3ODU=", "Business purpose")</f>
      </c>
      <c r="G900" s="14" t="s">
        <v>2760</v>
      </c>
      <c r="H900" s="0" t="s">
        <v>141</v>
      </c>
      <c r="I900" s="14" t="s">
        <v>131</v>
      </c>
      <c r="J900" s="0" t="s">
        <v>132</v>
      </c>
      <c r="K900" s="0" t="s">
        <v>133</v>
      </c>
      <c r="L900" s="0" t="s">
        <v>134</v>
      </c>
      <c r="M900" s="0" t="s">
        <v>135</v>
      </c>
      <c r="N900" s="0" t="s">
        <v>136</v>
      </c>
      <c r="O900" s="0" t="s">
        <v>238</v>
      </c>
      <c r="Q900" s="0" t="s">
        <v>130</v>
      </c>
      <c r="R900" s="0" t="s">
        <v>138</v>
      </c>
      <c r="S900" s="14">
        <v>0</v>
      </c>
      <c r="T900" s="0" t="s">
        <v>394</v>
      </c>
      <c r="U900" s="0" t="s">
        <v>138</v>
      </c>
      <c r="V900" s="14" t="s">
        <v>138</v>
      </c>
      <c r="W900" s="0" t="s">
        <v>138</v>
      </c>
      <c r="X900" s="14" t="s">
        <v>138</v>
      </c>
      <c r="Y900" s="0" t="s">
        <v>138</v>
      </c>
      <c r="Z900" s="14" t="s">
        <v>138</v>
      </c>
      <c r="AA900" s="0" t="s">
        <v>138</v>
      </c>
      <c r="AB900" s="14" t="s">
        <v>138</v>
      </c>
      <c r="AD900" s="0" t="s">
        <v>138</v>
      </c>
      <c r="AF900" s="0">
        <v>0</v>
      </c>
      <c r="AG900" s="0">
        <v>0</v>
      </c>
      <c r="AH900" s="0" t="s">
        <v>140</v>
      </c>
      <c r="AI900" s="0" t="s">
        <v>138</v>
      </c>
      <c r="AL900" s="14"/>
      <c r="AN900" s="14"/>
      <c r="AQ900" s="0" t="s">
        <v>130</v>
      </c>
      <c r="AR900" s="0" t="s">
        <v>130</v>
      </c>
      <c r="AS900" s="0" t="s">
        <v>130</v>
      </c>
      <c r="AT900" s="0" t="s">
        <v>130</v>
      </c>
      <c r="AU900" s="0" t="s">
        <v>130</v>
      </c>
      <c r="AV900" s="0" t="s">
        <v>130</v>
      </c>
      <c r="AW900" s="0" t="s">
        <v>130</v>
      </c>
      <c r="AX900" s="0" t="s">
        <v>130</v>
      </c>
      <c r="AY900" s="0" t="s">
        <v>130</v>
      </c>
      <c r="AZ900" s="0" t="s">
        <v>130</v>
      </c>
      <c r="BA900" s="0" t="s">
        <v>130</v>
      </c>
      <c r="BB900" s="0" t="s">
        <v>141</v>
      </c>
      <c r="BC900" s="0" t="s">
        <v>130</v>
      </c>
      <c r="BD900" s="0" t="s">
        <v>130</v>
      </c>
      <c r="BE900" s="0" t="s">
        <v>130</v>
      </c>
      <c r="BF900" s="0" t="s">
        <v>130</v>
      </c>
      <c r="BG900" s="0" t="s">
        <v>130</v>
      </c>
      <c r="BH900" s="0" t="s">
        <v>130</v>
      </c>
      <c r="BI900" s="0" t="s">
        <v>130</v>
      </c>
      <c r="BJ900" s="0" t="s">
        <v>130</v>
      </c>
      <c r="BK900" s="0" t="s">
        <v>130</v>
      </c>
      <c r="BL900" s="0" t="s">
        <v>130</v>
      </c>
      <c r="BM900" s="0" t="s">
        <v>130</v>
      </c>
      <c r="BN900" s="0" t="s">
        <v>130</v>
      </c>
      <c r="BO900" s="0" t="s">
        <v>130</v>
      </c>
      <c r="BP900" s="0" t="s">
        <v>130</v>
      </c>
      <c r="BQ900" s="0" t="s">
        <v>130</v>
      </c>
      <c r="BR900" s="0" t="s">
        <v>130</v>
      </c>
      <c r="BS900" s="0" t="s">
        <v>130</v>
      </c>
      <c r="BT900" s="0" t="s">
        <v>130</v>
      </c>
      <c r="BU900" s="0" t="s">
        <v>130</v>
      </c>
      <c r="BV900" s="0" t="s">
        <v>130</v>
      </c>
      <c r="BW900" s="0" t="s">
        <v>130</v>
      </c>
      <c r="BX900" s="0" t="s">
        <v>130</v>
      </c>
      <c r="BY900" s="0" t="s">
        <v>130</v>
      </c>
      <c r="BZ900" s="0" t="s">
        <v>130</v>
      </c>
      <c r="CA900" s="0" t="s">
        <v>130</v>
      </c>
      <c r="CB900" s="0" t="s">
        <v>130</v>
      </c>
      <c r="CC900" s="0" t="s">
        <v>130</v>
      </c>
      <c r="CD900" s="0" t="s">
        <v>130</v>
      </c>
      <c r="CE900" s="0" t="s">
        <v>130</v>
      </c>
      <c r="CF900" s="0" t="s">
        <v>130</v>
      </c>
      <c r="CG900" s="0" t="s">
        <v>130</v>
      </c>
      <c r="CH900" s="0" t="s">
        <v>130</v>
      </c>
      <c r="CI900" s="0" t="s">
        <v>130</v>
      </c>
      <c r="CJ900" s="0" t="s">
        <v>130</v>
      </c>
      <c r="CK900" s="0" t="s">
        <v>130</v>
      </c>
      <c r="CL900" s="0" t="s">
        <v>130</v>
      </c>
      <c r="CM900" s="0" t="s">
        <v>130</v>
      </c>
      <c r="CN900" s="0" t="s">
        <v>130</v>
      </c>
      <c r="CO900" s="0" t="s">
        <v>130</v>
      </c>
      <c r="CP900" s="0" t="s">
        <v>130</v>
      </c>
      <c r="CQ900" s="0" t="s">
        <v>130</v>
      </c>
      <c r="CR900" s="0" t="s">
        <v>130</v>
      </c>
      <c r="CS900" s="0" t="s">
        <v>130</v>
      </c>
      <c r="CT900" s="0" t="s">
        <v>2761</v>
      </c>
    </row>
    <row r="901">
      <c r="A901" s="14">
        <v>116646</v>
      </c>
      <c r="B901" s="0" t="s">
        <v>2753</v>
      </c>
      <c r="C901" s="16">
        <f>HYPERLINK("https://eosportal.federatedhermes.com/companies/Q29tcGFueQppNzM3NzM=", "Morgan Stanley")</f>
      </c>
      <c r="D901" s="0" t="s">
        <v>25</v>
      </c>
      <c r="E901" s="0" t="s">
        <v>2762</v>
      </c>
      <c r="F901" s="16">
        <f>HYPERLINK("https://eosportal.federatedhermes.com/engagements/RW5nYWdlbWVudAppMjI3ODY=", "Risk reporting disclosure")</f>
      </c>
      <c r="G901" s="14" t="s">
        <v>2763</v>
      </c>
      <c r="H901" s="0" t="s">
        <v>141</v>
      </c>
      <c r="I901" s="14" t="s">
        <v>131</v>
      </c>
      <c r="J901" s="0" t="s">
        <v>132</v>
      </c>
      <c r="K901" s="0" t="s">
        <v>260</v>
      </c>
      <c r="L901" s="0" t="s">
        <v>261</v>
      </c>
      <c r="M901" s="0" t="s">
        <v>135</v>
      </c>
      <c r="N901" s="0" t="s">
        <v>136</v>
      </c>
      <c r="O901" s="0" t="s">
        <v>238</v>
      </c>
      <c r="Q901" s="0" t="s">
        <v>130</v>
      </c>
      <c r="R901" s="0" t="s">
        <v>138</v>
      </c>
      <c r="S901" s="14">
        <v>0</v>
      </c>
      <c r="T901" s="0" t="s">
        <v>920</v>
      </c>
      <c r="U901" s="0" t="s">
        <v>138</v>
      </c>
      <c r="V901" s="14" t="s">
        <v>138</v>
      </c>
      <c r="W901" s="0" t="s">
        <v>138</v>
      </c>
      <c r="X901" s="14" t="s">
        <v>138</v>
      </c>
      <c r="Y901" s="0" t="s">
        <v>138</v>
      </c>
      <c r="Z901" s="14" t="s">
        <v>138</v>
      </c>
      <c r="AA901" s="0" t="s">
        <v>138</v>
      </c>
      <c r="AB901" s="14" t="s">
        <v>138</v>
      </c>
      <c r="AD901" s="0" t="s">
        <v>138</v>
      </c>
      <c r="AF901" s="0">
        <v>0</v>
      </c>
      <c r="AG901" s="0">
        <v>0</v>
      </c>
      <c r="AH901" s="0" t="s">
        <v>140</v>
      </c>
      <c r="AI901" s="0" t="s">
        <v>138</v>
      </c>
      <c r="AL901" s="14"/>
      <c r="AN901" s="14"/>
      <c r="AQ901" s="0" t="s">
        <v>130</v>
      </c>
      <c r="AR901" s="0" t="s">
        <v>130</v>
      </c>
      <c r="AS901" s="0" t="s">
        <v>130</v>
      </c>
      <c r="AT901" s="0" t="s">
        <v>130</v>
      </c>
      <c r="AU901" s="0" t="s">
        <v>130</v>
      </c>
      <c r="AV901" s="0" t="s">
        <v>130</v>
      </c>
      <c r="AW901" s="0" t="s">
        <v>130</v>
      </c>
      <c r="AX901" s="0" t="s">
        <v>130</v>
      </c>
      <c r="AY901" s="0" t="s">
        <v>130</v>
      </c>
      <c r="AZ901" s="0" t="s">
        <v>130</v>
      </c>
      <c r="BA901" s="0" t="s">
        <v>130</v>
      </c>
      <c r="BB901" s="0" t="s">
        <v>130</v>
      </c>
      <c r="BC901" s="0" t="s">
        <v>130</v>
      </c>
      <c r="BD901" s="0" t="s">
        <v>130</v>
      </c>
      <c r="BE901" s="0" t="s">
        <v>130</v>
      </c>
      <c r="BF901" s="0" t="s">
        <v>130</v>
      </c>
      <c r="BG901" s="0" t="s">
        <v>130</v>
      </c>
      <c r="BH901" s="0" t="s">
        <v>130</v>
      </c>
      <c r="BI901" s="0" t="s">
        <v>130</v>
      </c>
      <c r="BJ901" s="0" t="s">
        <v>130</v>
      </c>
      <c r="BK901" s="0" t="s">
        <v>130</v>
      </c>
      <c r="BL901" s="0" t="s">
        <v>130</v>
      </c>
      <c r="BM901" s="0" t="s">
        <v>130</v>
      </c>
      <c r="BN901" s="0" t="s">
        <v>130</v>
      </c>
      <c r="BO901" s="0" t="s">
        <v>130</v>
      </c>
      <c r="BP901" s="0" t="s">
        <v>130</v>
      </c>
      <c r="BQ901" s="0" t="s">
        <v>130</v>
      </c>
      <c r="BR901" s="0" t="s">
        <v>130</v>
      </c>
      <c r="BS901" s="0" t="s">
        <v>130</v>
      </c>
      <c r="BT901" s="0" t="s">
        <v>130</v>
      </c>
      <c r="BU901" s="0" t="s">
        <v>130</v>
      </c>
      <c r="BV901" s="0" t="s">
        <v>130</v>
      </c>
      <c r="BW901" s="0" t="s">
        <v>130</v>
      </c>
      <c r="BX901" s="0" t="s">
        <v>130</v>
      </c>
      <c r="BY901" s="0" t="s">
        <v>130</v>
      </c>
      <c r="BZ901" s="0" t="s">
        <v>130</v>
      </c>
      <c r="CA901" s="0" t="s">
        <v>130</v>
      </c>
      <c r="CB901" s="0" t="s">
        <v>130</v>
      </c>
      <c r="CC901" s="0" t="s">
        <v>130</v>
      </c>
      <c r="CD901" s="0" t="s">
        <v>130</v>
      </c>
      <c r="CE901" s="0" t="s">
        <v>130</v>
      </c>
      <c r="CF901" s="0" t="s">
        <v>130</v>
      </c>
      <c r="CG901" s="0" t="s">
        <v>130</v>
      </c>
      <c r="CH901" s="0" t="s">
        <v>130</v>
      </c>
      <c r="CI901" s="0" t="s">
        <v>130</v>
      </c>
      <c r="CJ901" s="0" t="s">
        <v>130</v>
      </c>
      <c r="CK901" s="0" t="s">
        <v>130</v>
      </c>
      <c r="CL901" s="0" t="s">
        <v>130</v>
      </c>
      <c r="CM901" s="0" t="s">
        <v>130</v>
      </c>
      <c r="CN901" s="0" t="s">
        <v>130</v>
      </c>
      <c r="CO901" s="0" t="s">
        <v>130</v>
      </c>
      <c r="CP901" s="0" t="s">
        <v>130</v>
      </c>
      <c r="CQ901" s="0" t="s">
        <v>130</v>
      </c>
      <c r="CR901" s="0" t="s">
        <v>130</v>
      </c>
      <c r="CS901" s="0" t="s">
        <v>130</v>
      </c>
      <c r="CT901" s="0" t="s">
        <v>2764</v>
      </c>
    </row>
    <row r="902">
      <c r="A902" s="14">
        <v>116646</v>
      </c>
      <c r="B902" s="0" t="s">
        <v>2753</v>
      </c>
      <c r="C902" s="16">
        <f>HYPERLINK("https://eosportal.federatedhermes.com/companies/Q29tcGFueQppNzM3NzM=", "Morgan Stanley")</f>
      </c>
      <c r="D902" s="0" t="s">
        <v>25</v>
      </c>
      <c r="E902" s="0" t="s">
        <v>2765</v>
      </c>
      <c r="F902" s="16">
        <f>HYPERLINK("https://eosportal.federatedhermes.com/engagements/RW5nYWdlbWVudAppMjI3ODc=", "Diversity, equity and inclusion")</f>
      </c>
      <c r="G902" s="14" t="s">
        <v>2766</v>
      </c>
      <c r="H902" s="0" t="s">
        <v>141</v>
      </c>
      <c r="I902" s="14" t="s">
        <v>131</v>
      </c>
      <c r="J902" s="0" t="s">
        <v>153</v>
      </c>
      <c r="K902" s="0" t="s">
        <v>154</v>
      </c>
      <c r="L902" s="0" t="s">
        <v>268</v>
      </c>
      <c r="M902" s="0" t="s">
        <v>135</v>
      </c>
      <c r="N902" s="0" t="s">
        <v>136</v>
      </c>
      <c r="O902" s="0" t="s">
        <v>238</v>
      </c>
      <c r="Q902" s="0" t="s">
        <v>130</v>
      </c>
      <c r="R902" s="0" t="s">
        <v>138</v>
      </c>
      <c r="S902" s="14">
        <v>0</v>
      </c>
      <c r="T902" s="0" t="s">
        <v>394</v>
      </c>
      <c r="U902" s="0" t="s">
        <v>138</v>
      </c>
      <c r="V902" s="14" t="s">
        <v>138</v>
      </c>
      <c r="W902" s="0" t="s">
        <v>138</v>
      </c>
      <c r="X902" s="14" t="s">
        <v>138</v>
      </c>
      <c r="Y902" s="0" t="s">
        <v>138</v>
      </c>
      <c r="Z902" s="14" t="s">
        <v>138</v>
      </c>
      <c r="AA902" s="0" t="s">
        <v>138</v>
      </c>
      <c r="AB902" s="14" t="s">
        <v>138</v>
      </c>
      <c r="AD902" s="0" t="s">
        <v>138</v>
      </c>
      <c r="AF902" s="0">
        <v>0</v>
      </c>
      <c r="AG902" s="0">
        <v>0</v>
      </c>
      <c r="AH902" s="0" t="s">
        <v>140</v>
      </c>
      <c r="AI902" s="0" t="s">
        <v>138</v>
      </c>
      <c r="AL902" s="14"/>
      <c r="AN902" s="14"/>
      <c r="AQ902" s="0" t="s">
        <v>130</v>
      </c>
      <c r="AR902" s="0" t="s">
        <v>130</v>
      </c>
      <c r="AS902" s="0" t="s">
        <v>130</v>
      </c>
      <c r="AT902" s="0" t="s">
        <v>130</v>
      </c>
      <c r="AU902" s="0" t="s">
        <v>130</v>
      </c>
      <c r="AV902" s="0" t="s">
        <v>130</v>
      </c>
      <c r="AW902" s="0" t="s">
        <v>130</v>
      </c>
      <c r="AX902" s="0" t="s">
        <v>130</v>
      </c>
      <c r="AY902" s="0" t="s">
        <v>130</v>
      </c>
      <c r="AZ902" s="0" t="s">
        <v>130</v>
      </c>
      <c r="BA902" s="0" t="s">
        <v>130</v>
      </c>
      <c r="BB902" s="0" t="s">
        <v>130</v>
      </c>
      <c r="BC902" s="0" t="s">
        <v>130</v>
      </c>
      <c r="BD902" s="0" t="s">
        <v>130</v>
      </c>
      <c r="BE902" s="0" t="s">
        <v>130</v>
      </c>
      <c r="BF902" s="0" t="s">
        <v>130</v>
      </c>
      <c r="BG902" s="0" t="s">
        <v>130</v>
      </c>
      <c r="BH902" s="0" t="s">
        <v>130</v>
      </c>
      <c r="BI902" s="0" t="s">
        <v>130</v>
      </c>
      <c r="BJ902" s="0" t="s">
        <v>130</v>
      </c>
      <c r="BK902" s="0" t="s">
        <v>130</v>
      </c>
      <c r="BL902" s="0" t="s">
        <v>130</v>
      </c>
      <c r="BM902" s="0" t="s">
        <v>130</v>
      </c>
      <c r="BN902" s="0" t="s">
        <v>130</v>
      </c>
      <c r="BO902" s="0" t="s">
        <v>130</v>
      </c>
      <c r="BP902" s="0" t="s">
        <v>130</v>
      </c>
      <c r="BQ902" s="0" t="s">
        <v>130</v>
      </c>
      <c r="BR902" s="0" t="s">
        <v>130</v>
      </c>
      <c r="BS902" s="0" t="s">
        <v>130</v>
      </c>
      <c r="BT902" s="0" t="s">
        <v>130</v>
      </c>
      <c r="BU902" s="0" t="s">
        <v>130</v>
      </c>
      <c r="BV902" s="0" t="s">
        <v>130</v>
      </c>
      <c r="BW902" s="0" t="s">
        <v>130</v>
      </c>
      <c r="BX902" s="0" t="s">
        <v>130</v>
      </c>
      <c r="BY902" s="0" t="s">
        <v>130</v>
      </c>
      <c r="BZ902" s="0" t="s">
        <v>130</v>
      </c>
      <c r="CA902" s="0" t="s">
        <v>130</v>
      </c>
      <c r="CB902" s="0" t="s">
        <v>130</v>
      </c>
      <c r="CC902" s="0" t="s">
        <v>130</v>
      </c>
      <c r="CD902" s="0" t="s">
        <v>130</v>
      </c>
      <c r="CE902" s="0" t="s">
        <v>130</v>
      </c>
      <c r="CF902" s="0" t="s">
        <v>130</v>
      </c>
      <c r="CG902" s="0" t="s">
        <v>130</v>
      </c>
      <c r="CH902" s="0" t="s">
        <v>130</v>
      </c>
      <c r="CI902" s="0" t="s">
        <v>130</v>
      </c>
      <c r="CJ902" s="0" t="s">
        <v>130</v>
      </c>
      <c r="CK902" s="0" t="s">
        <v>141</v>
      </c>
      <c r="CL902" s="0" t="s">
        <v>130</v>
      </c>
      <c r="CM902" s="0" t="s">
        <v>130</v>
      </c>
      <c r="CN902" s="0" t="s">
        <v>130</v>
      </c>
      <c r="CO902" s="0" t="s">
        <v>130</v>
      </c>
      <c r="CP902" s="0" t="s">
        <v>130</v>
      </c>
      <c r="CQ902" s="0" t="s">
        <v>130</v>
      </c>
      <c r="CR902" s="0" t="s">
        <v>130</v>
      </c>
      <c r="CS902" s="0" t="s">
        <v>130</v>
      </c>
      <c r="CT902" s="0" t="s">
        <v>2767</v>
      </c>
    </row>
    <row r="903">
      <c r="A903" s="14">
        <v>116646</v>
      </c>
      <c r="B903" s="0" t="s">
        <v>2753</v>
      </c>
      <c r="C903" s="16">
        <f>HYPERLINK("https://eosportal.federatedhermes.com/companies/Q29tcGFueQppNzM3NzM=", "Morgan Stanley")</f>
      </c>
      <c r="D903" s="0" t="s">
        <v>25</v>
      </c>
      <c r="E903" s="0" t="s">
        <v>907</v>
      </c>
      <c r="F903" s="16">
        <f>HYPERLINK("https://eosportal.federatedhermes.com/engagements/RW5nYWdlbWVudAppMjI3OTM=", "Climate change")</f>
      </c>
      <c r="G903" s="14" t="s">
        <v>2768</v>
      </c>
      <c r="H903" s="0" t="s">
        <v>141</v>
      </c>
      <c r="I903" s="14" t="s">
        <v>131</v>
      </c>
      <c r="J903" s="0" t="s">
        <v>197</v>
      </c>
      <c r="K903" s="0" t="s">
        <v>198</v>
      </c>
      <c r="L903" s="0" t="s">
        <v>199</v>
      </c>
      <c r="M903" s="0" t="s">
        <v>135</v>
      </c>
      <c r="N903" s="0" t="s">
        <v>136</v>
      </c>
      <c r="O903" s="0" t="s">
        <v>238</v>
      </c>
      <c r="Q903" s="0" t="s">
        <v>130</v>
      </c>
      <c r="R903" s="0" t="s">
        <v>138</v>
      </c>
      <c r="S903" s="14">
        <v>0</v>
      </c>
      <c r="T903" s="0" t="s">
        <v>394</v>
      </c>
      <c r="U903" s="0" t="s">
        <v>138</v>
      </c>
      <c r="V903" s="14" t="s">
        <v>138</v>
      </c>
      <c r="W903" s="0" t="s">
        <v>138</v>
      </c>
      <c r="X903" s="14" t="s">
        <v>138</v>
      </c>
      <c r="Y903" s="0" t="s">
        <v>138</v>
      </c>
      <c r="Z903" s="14" t="s">
        <v>138</v>
      </c>
      <c r="AA903" s="0" t="s">
        <v>138</v>
      </c>
      <c r="AB903" s="14" t="s">
        <v>138</v>
      </c>
      <c r="AD903" s="0" t="s">
        <v>138</v>
      </c>
      <c r="AF903" s="0">
        <v>0</v>
      </c>
      <c r="AG903" s="0">
        <v>0</v>
      </c>
      <c r="AH903" s="0" t="s">
        <v>140</v>
      </c>
      <c r="AI903" s="0" t="s">
        <v>138</v>
      </c>
      <c r="AL903" s="14"/>
      <c r="AN903" s="14"/>
      <c r="AQ903" s="0" t="s">
        <v>130</v>
      </c>
      <c r="AR903" s="0" t="s">
        <v>130</v>
      </c>
      <c r="AS903" s="0" t="s">
        <v>130</v>
      </c>
      <c r="AT903" s="0" t="s">
        <v>130</v>
      </c>
      <c r="AU903" s="0" t="s">
        <v>130</v>
      </c>
      <c r="AV903" s="0" t="s">
        <v>130</v>
      </c>
      <c r="AW903" s="0" t="s">
        <v>130</v>
      </c>
      <c r="AX903" s="0" t="s">
        <v>130</v>
      </c>
      <c r="AY903" s="0" t="s">
        <v>130</v>
      </c>
      <c r="AZ903" s="0" t="s">
        <v>130</v>
      </c>
      <c r="BA903" s="0" t="s">
        <v>130</v>
      </c>
      <c r="BB903" s="0" t="s">
        <v>141</v>
      </c>
      <c r="BC903" s="0" t="s">
        <v>141</v>
      </c>
      <c r="BD903" s="0" t="s">
        <v>130</v>
      </c>
      <c r="BE903" s="0" t="s">
        <v>130</v>
      </c>
      <c r="BF903" s="0" t="s">
        <v>130</v>
      </c>
      <c r="BG903" s="0" t="s">
        <v>130</v>
      </c>
      <c r="BH903" s="0" t="s">
        <v>130</v>
      </c>
      <c r="BI903" s="0" t="s">
        <v>130</v>
      </c>
      <c r="BJ903" s="0" t="s">
        <v>130</v>
      </c>
      <c r="BK903" s="0" t="s">
        <v>130</v>
      </c>
      <c r="BL903" s="0" t="s">
        <v>130</v>
      </c>
      <c r="BM903" s="0" t="s">
        <v>130</v>
      </c>
      <c r="BN903" s="0" t="s">
        <v>130</v>
      </c>
      <c r="BO903" s="0" t="s">
        <v>130</v>
      </c>
      <c r="BP903" s="0" t="s">
        <v>130</v>
      </c>
      <c r="BQ903" s="0" t="s">
        <v>130</v>
      </c>
      <c r="BR903" s="0" t="s">
        <v>130</v>
      </c>
      <c r="BS903" s="0" t="s">
        <v>130</v>
      </c>
      <c r="BT903" s="0" t="s">
        <v>130</v>
      </c>
      <c r="BU903" s="0" t="s">
        <v>130</v>
      </c>
      <c r="BV903" s="0" t="s">
        <v>130</v>
      </c>
      <c r="BW903" s="0" t="s">
        <v>130</v>
      </c>
      <c r="BX903" s="0" t="s">
        <v>130</v>
      </c>
      <c r="BY903" s="0" t="s">
        <v>130</v>
      </c>
      <c r="BZ903" s="0" t="s">
        <v>130</v>
      </c>
      <c r="CA903" s="0" t="s">
        <v>130</v>
      </c>
      <c r="CB903" s="0" t="s">
        <v>130</v>
      </c>
      <c r="CC903" s="0" t="s">
        <v>130</v>
      </c>
      <c r="CD903" s="0" t="s">
        <v>130</v>
      </c>
      <c r="CE903" s="0" t="s">
        <v>130</v>
      </c>
      <c r="CF903" s="0" t="s">
        <v>130</v>
      </c>
      <c r="CG903" s="0" t="s">
        <v>130</v>
      </c>
      <c r="CH903" s="0" t="s">
        <v>130</v>
      </c>
      <c r="CI903" s="0" t="s">
        <v>130</v>
      </c>
      <c r="CJ903" s="0" t="s">
        <v>130</v>
      </c>
      <c r="CK903" s="0" t="s">
        <v>130</v>
      </c>
      <c r="CL903" s="0" t="s">
        <v>130</v>
      </c>
      <c r="CM903" s="0" t="s">
        <v>130</v>
      </c>
      <c r="CN903" s="0" t="s">
        <v>130</v>
      </c>
      <c r="CO903" s="0" t="s">
        <v>130</v>
      </c>
      <c r="CP903" s="0" t="s">
        <v>130</v>
      </c>
      <c r="CQ903" s="0" t="s">
        <v>130</v>
      </c>
      <c r="CR903" s="0" t="s">
        <v>130</v>
      </c>
      <c r="CS903" s="0" t="s">
        <v>130</v>
      </c>
      <c r="CT903" s="0" t="s">
        <v>2769</v>
      </c>
    </row>
    <row r="904">
      <c r="A904" s="14">
        <v>116646</v>
      </c>
      <c r="B904" s="0" t="s">
        <v>2753</v>
      </c>
      <c r="C904" s="16">
        <f>HYPERLINK("https://eosportal.federatedhermes.com/companies/Q29tcGFueQppNzM3NzM=", "Morgan Stanley")</f>
      </c>
      <c r="D904" s="0" t="s">
        <v>25</v>
      </c>
      <c r="E904" s="0" t="s">
        <v>912</v>
      </c>
      <c r="F904" s="16">
        <f>HYPERLINK("https://eosportal.federatedhermes.com/engagements/RW5nYWdlbWVudAppMjI3OTQ=", "Executive remuneration")</f>
      </c>
      <c r="G904" s="14" t="s">
        <v>2770</v>
      </c>
      <c r="H904" s="0" t="s">
        <v>141</v>
      </c>
      <c r="I904" s="14" t="s">
        <v>131</v>
      </c>
      <c r="J904" s="0" t="s">
        <v>145</v>
      </c>
      <c r="K904" s="0" t="s">
        <v>146</v>
      </c>
      <c r="L904" s="0" t="s">
        <v>147</v>
      </c>
      <c r="M904" s="0" t="s">
        <v>135</v>
      </c>
      <c r="N904" s="0" t="s">
        <v>136</v>
      </c>
      <c r="O904" s="0" t="s">
        <v>238</v>
      </c>
      <c r="Q904" s="0" t="s">
        <v>130</v>
      </c>
      <c r="R904" s="0" t="s">
        <v>138</v>
      </c>
      <c r="S904" s="14">
        <v>0</v>
      </c>
      <c r="T904" s="0" t="s">
        <v>314</v>
      </c>
      <c r="U904" s="0" t="s">
        <v>138</v>
      </c>
      <c r="V904" s="14" t="s">
        <v>138</v>
      </c>
      <c r="W904" s="0" t="s">
        <v>138</v>
      </c>
      <c r="X904" s="14" t="s">
        <v>138</v>
      </c>
      <c r="Y904" s="0" t="s">
        <v>138</v>
      </c>
      <c r="Z904" s="14" t="s">
        <v>138</v>
      </c>
      <c r="AA904" s="0" t="s">
        <v>138</v>
      </c>
      <c r="AB904" s="14" t="s">
        <v>138</v>
      </c>
      <c r="AD904" s="0" t="s">
        <v>138</v>
      </c>
      <c r="AF904" s="0">
        <v>0</v>
      </c>
      <c r="AG904" s="0">
        <v>0</v>
      </c>
      <c r="AH904" s="0" t="s">
        <v>140</v>
      </c>
      <c r="AI904" s="0" t="s">
        <v>138</v>
      </c>
      <c r="AL904" s="14"/>
      <c r="AN904" s="14"/>
      <c r="AQ904" s="0" t="s">
        <v>130</v>
      </c>
      <c r="AR904" s="0" t="s">
        <v>130</v>
      </c>
      <c r="AS904" s="0" t="s">
        <v>130</v>
      </c>
      <c r="AT904" s="0" t="s">
        <v>130</v>
      </c>
      <c r="AU904" s="0" t="s">
        <v>130</v>
      </c>
      <c r="AV904" s="0" t="s">
        <v>130</v>
      </c>
      <c r="AW904" s="0" t="s">
        <v>130</v>
      </c>
      <c r="AX904" s="0" t="s">
        <v>130</v>
      </c>
      <c r="AY904" s="0" t="s">
        <v>130</v>
      </c>
      <c r="AZ904" s="0" t="s">
        <v>130</v>
      </c>
      <c r="BA904" s="0" t="s">
        <v>130</v>
      </c>
      <c r="BB904" s="0" t="s">
        <v>130</v>
      </c>
      <c r="BC904" s="0" t="s">
        <v>130</v>
      </c>
      <c r="BD904" s="0" t="s">
        <v>130</v>
      </c>
      <c r="BE904" s="0" t="s">
        <v>130</v>
      </c>
      <c r="BF904" s="0" t="s">
        <v>130</v>
      </c>
      <c r="BG904" s="0" t="s">
        <v>130</v>
      </c>
      <c r="BH904" s="0" t="s">
        <v>130</v>
      </c>
      <c r="BI904" s="0" t="s">
        <v>130</v>
      </c>
      <c r="BJ904" s="0" t="s">
        <v>130</v>
      </c>
      <c r="BK904" s="0" t="s">
        <v>130</v>
      </c>
      <c r="BL904" s="0" t="s">
        <v>130</v>
      </c>
      <c r="BM904" s="0" t="s">
        <v>130</v>
      </c>
      <c r="BN904" s="0" t="s">
        <v>130</v>
      </c>
      <c r="BO904" s="0" t="s">
        <v>130</v>
      </c>
      <c r="BP904" s="0" t="s">
        <v>130</v>
      </c>
      <c r="BQ904" s="0" t="s">
        <v>130</v>
      </c>
      <c r="BR904" s="0" t="s">
        <v>130</v>
      </c>
      <c r="BS904" s="0" t="s">
        <v>130</v>
      </c>
      <c r="BT904" s="0" t="s">
        <v>130</v>
      </c>
      <c r="BU904" s="0" t="s">
        <v>130</v>
      </c>
      <c r="BV904" s="0" t="s">
        <v>130</v>
      </c>
      <c r="BW904" s="0" t="s">
        <v>130</v>
      </c>
      <c r="BX904" s="0" t="s">
        <v>130</v>
      </c>
      <c r="BY904" s="0" t="s">
        <v>130</v>
      </c>
      <c r="BZ904" s="0" t="s">
        <v>130</v>
      </c>
      <c r="CA904" s="0" t="s">
        <v>130</v>
      </c>
      <c r="CB904" s="0" t="s">
        <v>130</v>
      </c>
      <c r="CC904" s="0" t="s">
        <v>130</v>
      </c>
      <c r="CD904" s="0" t="s">
        <v>130</v>
      </c>
      <c r="CE904" s="0" t="s">
        <v>130</v>
      </c>
      <c r="CF904" s="0" t="s">
        <v>130</v>
      </c>
      <c r="CG904" s="0" t="s">
        <v>130</v>
      </c>
      <c r="CH904" s="0" t="s">
        <v>130</v>
      </c>
      <c r="CI904" s="0" t="s">
        <v>130</v>
      </c>
      <c r="CJ904" s="0" t="s">
        <v>130</v>
      </c>
      <c r="CK904" s="0" t="s">
        <v>130</v>
      </c>
      <c r="CL904" s="0" t="s">
        <v>130</v>
      </c>
      <c r="CM904" s="0" t="s">
        <v>130</v>
      </c>
      <c r="CN904" s="0" t="s">
        <v>130</v>
      </c>
      <c r="CO904" s="0" t="s">
        <v>130</v>
      </c>
      <c r="CP904" s="0" t="s">
        <v>130</v>
      </c>
      <c r="CQ904" s="0" t="s">
        <v>130</v>
      </c>
      <c r="CR904" s="0" t="s">
        <v>130</v>
      </c>
      <c r="CS904" s="0" t="s">
        <v>130</v>
      </c>
      <c r="CT904" s="0" t="s">
        <v>2771</v>
      </c>
    </row>
    <row r="905">
      <c r="A905" s="14">
        <v>116646</v>
      </c>
      <c r="B905" s="0" t="s">
        <v>2753</v>
      </c>
      <c r="C905" s="16">
        <f>HYPERLINK("https://eosportal.federatedhermes.com/companies/Q29tcGFueQppNzM3NzM=", "Morgan Stanley")</f>
      </c>
      <c r="D905" s="0" t="s">
        <v>25</v>
      </c>
      <c r="E905" s="0" t="s">
        <v>2772</v>
      </c>
      <c r="F905" s="16">
        <f>HYPERLINK("https://eosportal.federatedhermes.com/engagements/RW5nYWdlbWVudAppMjI3OTY=", "Wells Fargo lessons")</f>
      </c>
      <c r="G905" s="14" t="s">
        <v>2773</v>
      </c>
      <c r="H905" s="0" t="s">
        <v>141</v>
      </c>
      <c r="I905" s="14" t="s">
        <v>131</v>
      </c>
      <c r="J905" s="0" t="s">
        <v>153</v>
      </c>
      <c r="K905" s="0" t="s">
        <v>185</v>
      </c>
      <c r="L905" s="0" t="s">
        <v>186</v>
      </c>
      <c r="M905" s="0" t="s">
        <v>135</v>
      </c>
      <c r="N905" s="0" t="s">
        <v>136</v>
      </c>
      <c r="O905" s="0" t="s">
        <v>238</v>
      </c>
      <c r="Q905" s="0" t="s">
        <v>130</v>
      </c>
      <c r="R905" s="0" t="s">
        <v>138</v>
      </c>
      <c r="S905" s="14">
        <v>0</v>
      </c>
      <c r="T905" s="0" t="s">
        <v>314</v>
      </c>
      <c r="U905" s="0" t="s">
        <v>138</v>
      </c>
      <c r="V905" s="14" t="s">
        <v>138</v>
      </c>
      <c r="W905" s="0" t="s">
        <v>138</v>
      </c>
      <c r="X905" s="14" t="s">
        <v>138</v>
      </c>
      <c r="Y905" s="0" t="s">
        <v>138</v>
      </c>
      <c r="Z905" s="14" t="s">
        <v>138</v>
      </c>
      <c r="AA905" s="0" t="s">
        <v>138</v>
      </c>
      <c r="AB905" s="14" t="s">
        <v>138</v>
      </c>
      <c r="AD905" s="0" t="s">
        <v>138</v>
      </c>
      <c r="AF905" s="0">
        <v>0</v>
      </c>
      <c r="AG905" s="0">
        <v>0</v>
      </c>
      <c r="AH905" s="0" t="s">
        <v>140</v>
      </c>
      <c r="AI905" s="0" t="s">
        <v>138</v>
      </c>
      <c r="AL905" s="14"/>
      <c r="AN905" s="14"/>
      <c r="AQ905" s="0" t="s">
        <v>130</v>
      </c>
      <c r="AR905" s="0" t="s">
        <v>130</v>
      </c>
      <c r="AS905" s="0" t="s">
        <v>130</v>
      </c>
      <c r="AT905" s="0" t="s">
        <v>130</v>
      </c>
      <c r="AU905" s="0" t="s">
        <v>130</v>
      </c>
      <c r="AV905" s="0" t="s">
        <v>130</v>
      </c>
      <c r="AW905" s="0" t="s">
        <v>130</v>
      </c>
      <c r="AX905" s="0" t="s">
        <v>130</v>
      </c>
      <c r="AY905" s="0" t="s">
        <v>130</v>
      </c>
      <c r="AZ905" s="0" t="s">
        <v>130</v>
      </c>
      <c r="BA905" s="0" t="s">
        <v>130</v>
      </c>
      <c r="BB905" s="0" t="s">
        <v>130</v>
      </c>
      <c r="BC905" s="0" t="s">
        <v>130</v>
      </c>
      <c r="BD905" s="0" t="s">
        <v>130</v>
      </c>
      <c r="BE905" s="0" t="s">
        <v>130</v>
      </c>
      <c r="BF905" s="0" t="s">
        <v>141</v>
      </c>
      <c r="BG905" s="0" t="s">
        <v>130</v>
      </c>
      <c r="BH905" s="0" t="s">
        <v>130</v>
      </c>
      <c r="BI905" s="0" t="s">
        <v>130</v>
      </c>
      <c r="BJ905" s="0" t="s">
        <v>130</v>
      </c>
      <c r="BK905" s="0" t="s">
        <v>130</v>
      </c>
      <c r="BL905" s="0" t="s">
        <v>130</v>
      </c>
      <c r="BM905" s="0" t="s">
        <v>130</v>
      </c>
      <c r="BN905" s="0" t="s">
        <v>130</v>
      </c>
      <c r="BO905" s="0" t="s">
        <v>130</v>
      </c>
      <c r="BP905" s="0" t="s">
        <v>130</v>
      </c>
      <c r="BQ905" s="0" t="s">
        <v>130</v>
      </c>
      <c r="BR905" s="0" t="s">
        <v>130</v>
      </c>
      <c r="BS905" s="0" t="s">
        <v>130</v>
      </c>
      <c r="BT905" s="0" t="s">
        <v>130</v>
      </c>
      <c r="BU905" s="0" t="s">
        <v>130</v>
      </c>
      <c r="BV905" s="0" t="s">
        <v>130</v>
      </c>
      <c r="BW905" s="0" t="s">
        <v>130</v>
      </c>
      <c r="BX905" s="0" t="s">
        <v>130</v>
      </c>
      <c r="BY905" s="0" t="s">
        <v>130</v>
      </c>
      <c r="BZ905" s="0" t="s">
        <v>130</v>
      </c>
      <c r="CA905" s="0" t="s">
        <v>130</v>
      </c>
      <c r="CB905" s="0" t="s">
        <v>130</v>
      </c>
      <c r="CC905" s="0" t="s">
        <v>130</v>
      </c>
      <c r="CD905" s="0" t="s">
        <v>130</v>
      </c>
      <c r="CE905" s="0" t="s">
        <v>130</v>
      </c>
      <c r="CF905" s="0" t="s">
        <v>130</v>
      </c>
      <c r="CG905" s="0" t="s">
        <v>130</v>
      </c>
      <c r="CH905" s="0" t="s">
        <v>130</v>
      </c>
      <c r="CI905" s="0" t="s">
        <v>130</v>
      </c>
      <c r="CJ905" s="0" t="s">
        <v>130</v>
      </c>
      <c r="CK905" s="0" t="s">
        <v>130</v>
      </c>
      <c r="CL905" s="0" t="s">
        <v>130</v>
      </c>
      <c r="CM905" s="0" t="s">
        <v>130</v>
      </c>
      <c r="CN905" s="0" t="s">
        <v>130</v>
      </c>
      <c r="CO905" s="0" t="s">
        <v>130</v>
      </c>
      <c r="CP905" s="0" t="s">
        <v>130</v>
      </c>
      <c r="CQ905" s="0" t="s">
        <v>130</v>
      </c>
      <c r="CR905" s="0" t="s">
        <v>130</v>
      </c>
      <c r="CS905" s="0" t="s">
        <v>130</v>
      </c>
      <c r="CT905" s="0" t="s">
        <v>2774</v>
      </c>
    </row>
    <row r="906">
      <c r="A906" s="14">
        <v>116646</v>
      </c>
      <c r="B906" s="0" t="s">
        <v>2753</v>
      </c>
      <c r="C906" s="16">
        <f>HYPERLINK("https://eosportal.federatedhermes.com/companies/Q29tcGFueQppNzM3NzM=", "Morgan Stanley")</f>
      </c>
      <c r="D906" s="0" t="s">
        <v>25</v>
      </c>
      <c r="E906" s="0" t="s">
        <v>1729</v>
      </c>
      <c r="F906" s="16">
        <f>HYPERLINK("https://eosportal.federatedhermes.com/engagements/RW5nYWdlbWVudAppMjI3OTc=", "Business strategy")</f>
      </c>
      <c r="G906" s="14" t="s">
        <v>2775</v>
      </c>
      <c r="H906" s="0" t="s">
        <v>141</v>
      </c>
      <c r="I906" s="14" t="s">
        <v>131</v>
      </c>
      <c r="J906" s="0" t="s">
        <v>153</v>
      </c>
      <c r="K906" s="0" t="s">
        <v>185</v>
      </c>
      <c r="L906" s="0" t="s">
        <v>186</v>
      </c>
      <c r="M906" s="0" t="s">
        <v>135</v>
      </c>
      <c r="N906" s="0" t="s">
        <v>136</v>
      </c>
      <c r="O906" s="0" t="s">
        <v>238</v>
      </c>
      <c r="Q906" s="0" t="s">
        <v>130</v>
      </c>
      <c r="R906" s="0" t="s">
        <v>138</v>
      </c>
      <c r="S906" s="14">
        <v>0</v>
      </c>
      <c r="T906" s="0" t="s">
        <v>380</v>
      </c>
      <c r="U906" s="0" t="s">
        <v>138</v>
      </c>
      <c r="V906" s="14" t="s">
        <v>138</v>
      </c>
      <c r="W906" s="0" t="s">
        <v>138</v>
      </c>
      <c r="X906" s="14" t="s">
        <v>138</v>
      </c>
      <c r="Y906" s="0" t="s">
        <v>138</v>
      </c>
      <c r="Z906" s="14" t="s">
        <v>138</v>
      </c>
      <c r="AA906" s="0" t="s">
        <v>138</v>
      </c>
      <c r="AB906" s="14" t="s">
        <v>138</v>
      </c>
      <c r="AD906" s="0" t="s">
        <v>138</v>
      </c>
      <c r="AF906" s="0">
        <v>0</v>
      </c>
      <c r="AG906" s="0">
        <v>0</v>
      </c>
      <c r="AH906" s="0" t="s">
        <v>140</v>
      </c>
      <c r="AI906" s="0" t="s">
        <v>138</v>
      </c>
      <c r="AL906" s="14"/>
      <c r="AN906" s="14"/>
      <c r="AQ906" s="0" t="s">
        <v>130</v>
      </c>
      <c r="AR906" s="0" t="s">
        <v>130</v>
      </c>
      <c r="AS906" s="0" t="s">
        <v>130</v>
      </c>
      <c r="AT906" s="0" t="s">
        <v>130</v>
      </c>
      <c r="AU906" s="0" t="s">
        <v>130</v>
      </c>
      <c r="AV906" s="0" t="s">
        <v>130</v>
      </c>
      <c r="AW906" s="0" t="s">
        <v>130</v>
      </c>
      <c r="AX906" s="0" t="s">
        <v>130</v>
      </c>
      <c r="AY906" s="0" t="s">
        <v>130</v>
      </c>
      <c r="AZ906" s="0" t="s">
        <v>130</v>
      </c>
      <c r="BA906" s="0" t="s">
        <v>130</v>
      </c>
      <c r="BB906" s="0" t="s">
        <v>130</v>
      </c>
      <c r="BC906" s="0" t="s">
        <v>130</v>
      </c>
      <c r="BD906" s="0" t="s">
        <v>130</v>
      </c>
      <c r="BE906" s="0" t="s">
        <v>130</v>
      </c>
      <c r="BF906" s="0" t="s">
        <v>130</v>
      </c>
      <c r="BG906" s="0" t="s">
        <v>130</v>
      </c>
      <c r="BH906" s="0" t="s">
        <v>130</v>
      </c>
      <c r="BI906" s="0" t="s">
        <v>130</v>
      </c>
      <c r="BJ906" s="0" t="s">
        <v>130</v>
      </c>
      <c r="BK906" s="0" t="s">
        <v>130</v>
      </c>
      <c r="BL906" s="0" t="s">
        <v>130</v>
      </c>
      <c r="BM906" s="0" t="s">
        <v>130</v>
      </c>
      <c r="BN906" s="0" t="s">
        <v>130</v>
      </c>
      <c r="BO906" s="0" t="s">
        <v>130</v>
      </c>
      <c r="BP906" s="0" t="s">
        <v>130</v>
      </c>
      <c r="BQ906" s="0" t="s">
        <v>130</v>
      </c>
      <c r="BR906" s="0" t="s">
        <v>130</v>
      </c>
      <c r="BS906" s="0" t="s">
        <v>130</v>
      </c>
      <c r="BT906" s="0" t="s">
        <v>130</v>
      </c>
      <c r="BU906" s="0" t="s">
        <v>130</v>
      </c>
      <c r="BV906" s="0" t="s">
        <v>130</v>
      </c>
      <c r="BW906" s="0" t="s">
        <v>130</v>
      </c>
      <c r="BX906" s="0" t="s">
        <v>130</v>
      </c>
      <c r="BY906" s="0" t="s">
        <v>130</v>
      </c>
      <c r="BZ906" s="0" t="s">
        <v>130</v>
      </c>
      <c r="CA906" s="0" t="s">
        <v>130</v>
      </c>
      <c r="CB906" s="0" t="s">
        <v>130</v>
      </c>
      <c r="CC906" s="0" t="s">
        <v>130</v>
      </c>
      <c r="CD906" s="0" t="s">
        <v>130</v>
      </c>
      <c r="CE906" s="0" t="s">
        <v>130</v>
      </c>
      <c r="CF906" s="0" t="s">
        <v>130</v>
      </c>
      <c r="CG906" s="0" t="s">
        <v>130</v>
      </c>
      <c r="CH906" s="0" t="s">
        <v>130</v>
      </c>
      <c r="CI906" s="0" t="s">
        <v>130</v>
      </c>
      <c r="CJ906" s="0" t="s">
        <v>130</v>
      </c>
      <c r="CK906" s="0" t="s">
        <v>130</v>
      </c>
      <c r="CL906" s="0" t="s">
        <v>130</v>
      </c>
      <c r="CM906" s="0" t="s">
        <v>130</v>
      </c>
      <c r="CN906" s="0" t="s">
        <v>130</v>
      </c>
      <c r="CO906" s="0" t="s">
        <v>130</v>
      </c>
      <c r="CP906" s="0" t="s">
        <v>130</v>
      </c>
      <c r="CQ906" s="0" t="s">
        <v>130</v>
      </c>
      <c r="CR906" s="0" t="s">
        <v>130</v>
      </c>
      <c r="CS906" s="0" t="s">
        <v>130</v>
      </c>
      <c r="CT906" s="0" t="s">
        <v>2776</v>
      </c>
    </row>
    <row r="907">
      <c r="A907" s="14">
        <v>116646</v>
      </c>
      <c r="B907" s="0" t="s">
        <v>2753</v>
      </c>
      <c r="C907" s="16">
        <f>HYPERLINK("https://eosportal.federatedhermes.com/companies/Q29tcGFueQppNzM3NzM=", "Morgan Stanley")</f>
      </c>
      <c r="D907" s="0" t="s">
        <v>25</v>
      </c>
      <c r="E907" s="0" t="s">
        <v>2777</v>
      </c>
      <c r="F907" s="16">
        <f>HYPERLINK("https://eosportal.federatedhermes.com/engagements/RW5nYWdlbWVudAppMjI3OTg=", "Indigenous peoples' rights")</f>
      </c>
      <c r="G907" s="14" t="s">
        <v>2778</v>
      </c>
      <c r="H907" s="0" t="s">
        <v>141</v>
      </c>
      <c r="I907" s="14" t="s">
        <v>131</v>
      </c>
      <c r="J907" s="0" t="s">
        <v>153</v>
      </c>
      <c r="K907" s="0" t="s">
        <v>243</v>
      </c>
      <c r="L907" s="0" t="s">
        <v>571</v>
      </c>
      <c r="M907" s="0" t="s">
        <v>135</v>
      </c>
      <c r="N907" s="0" t="s">
        <v>136</v>
      </c>
      <c r="O907" s="0" t="s">
        <v>238</v>
      </c>
      <c r="Q907" s="0" t="s">
        <v>130</v>
      </c>
      <c r="R907" s="0" t="s">
        <v>138</v>
      </c>
      <c r="S907" s="14">
        <v>0</v>
      </c>
      <c r="T907" s="0" t="s">
        <v>314</v>
      </c>
      <c r="U907" s="0" t="s">
        <v>138</v>
      </c>
      <c r="V907" s="14" t="s">
        <v>138</v>
      </c>
      <c r="W907" s="0" t="s">
        <v>138</v>
      </c>
      <c r="X907" s="14" t="s">
        <v>138</v>
      </c>
      <c r="Y907" s="0" t="s">
        <v>138</v>
      </c>
      <c r="Z907" s="14" t="s">
        <v>138</v>
      </c>
      <c r="AA907" s="0" t="s">
        <v>138</v>
      </c>
      <c r="AB907" s="14" t="s">
        <v>138</v>
      </c>
      <c r="AD907" s="0" t="s">
        <v>138</v>
      </c>
      <c r="AF907" s="0">
        <v>0</v>
      </c>
      <c r="AG907" s="0">
        <v>0</v>
      </c>
      <c r="AH907" s="0" t="s">
        <v>140</v>
      </c>
      <c r="AI907" s="0" t="s">
        <v>138</v>
      </c>
      <c r="AL907" s="14"/>
      <c r="AN907" s="14"/>
      <c r="AQ907" s="0" t="s">
        <v>130</v>
      </c>
      <c r="AR907" s="0" t="s">
        <v>130</v>
      </c>
      <c r="AS907" s="0" t="s">
        <v>130</v>
      </c>
      <c r="AT907" s="0" t="s">
        <v>130</v>
      </c>
      <c r="AU907" s="0" t="s">
        <v>130</v>
      </c>
      <c r="AV907" s="0" t="s">
        <v>130</v>
      </c>
      <c r="AW907" s="0" t="s">
        <v>130</v>
      </c>
      <c r="AX907" s="0" t="s">
        <v>130</v>
      </c>
      <c r="AY907" s="0" t="s">
        <v>130</v>
      </c>
      <c r="AZ907" s="0" t="s">
        <v>130</v>
      </c>
      <c r="BA907" s="0" t="s">
        <v>130</v>
      </c>
      <c r="BB907" s="0" t="s">
        <v>130</v>
      </c>
      <c r="BC907" s="0" t="s">
        <v>130</v>
      </c>
      <c r="BD907" s="0" t="s">
        <v>130</v>
      </c>
      <c r="BE907" s="0" t="s">
        <v>130</v>
      </c>
      <c r="BF907" s="0" t="s">
        <v>130</v>
      </c>
      <c r="BG907" s="0" t="s">
        <v>130</v>
      </c>
      <c r="BH907" s="0" t="s">
        <v>130</v>
      </c>
      <c r="BI907" s="0" t="s">
        <v>130</v>
      </c>
      <c r="BJ907" s="0" t="s">
        <v>130</v>
      </c>
      <c r="BK907" s="0" t="s">
        <v>130</v>
      </c>
      <c r="BL907" s="0" t="s">
        <v>130</v>
      </c>
      <c r="BM907" s="0" t="s">
        <v>130</v>
      </c>
      <c r="BN907" s="0" t="s">
        <v>130</v>
      </c>
      <c r="BO907" s="0" t="s">
        <v>130</v>
      </c>
      <c r="BP907" s="0" t="s">
        <v>130</v>
      </c>
      <c r="BQ907" s="0" t="s">
        <v>130</v>
      </c>
      <c r="BR907" s="0" t="s">
        <v>130</v>
      </c>
      <c r="BS907" s="0" t="s">
        <v>130</v>
      </c>
      <c r="BT907" s="0" t="s">
        <v>130</v>
      </c>
      <c r="BU907" s="0" t="s">
        <v>130</v>
      </c>
      <c r="BV907" s="0" t="s">
        <v>130</v>
      </c>
      <c r="BW907" s="0" t="s">
        <v>130</v>
      </c>
      <c r="BX907" s="0" t="s">
        <v>130</v>
      </c>
      <c r="BY907" s="0" t="s">
        <v>130</v>
      </c>
      <c r="BZ907" s="0" t="s">
        <v>130</v>
      </c>
      <c r="CA907" s="0" t="s">
        <v>130</v>
      </c>
      <c r="CB907" s="0" t="s">
        <v>130</v>
      </c>
      <c r="CC907" s="0" t="s">
        <v>130</v>
      </c>
      <c r="CD907" s="0" t="s">
        <v>130</v>
      </c>
      <c r="CE907" s="0" t="s">
        <v>130</v>
      </c>
      <c r="CF907" s="0" t="s">
        <v>130</v>
      </c>
      <c r="CG907" s="0" t="s">
        <v>130</v>
      </c>
      <c r="CH907" s="0" t="s">
        <v>130</v>
      </c>
      <c r="CI907" s="0" t="s">
        <v>130</v>
      </c>
      <c r="CJ907" s="0" t="s">
        <v>130</v>
      </c>
      <c r="CK907" s="0" t="s">
        <v>130</v>
      </c>
      <c r="CL907" s="0" t="s">
        <v>130</v>
      </c>
      <c r="CM907" s="0" t="s">
        <v>130</v>
      </c>
      <c r="CN907" s="0" t="s">
        <v>130</v>
      </c>
      <c r="CO907" s="0" t="s">
        <v>130</v>
      </c>
      <c r="CP907" s="0" t="s">
        <v>130</v>
      </c>
      <c r="CQ907" s="0" t="s">
        <v>130</v>
      </c>
      <c r="CR907" s="0" t="s">
        <v>130</v>
      </c>
      <c r="CS907" s="0" t="s">
        <v>130</v>
      </c>
      <c r="CT907" s="0" t="s">
        <v>2779</v>
      </c>
    </row>
    <row r="908">
      <c r="A908" s="14">
        <v>116563</v>
      </c>
      <c r="B908" s="0" t="s">
        <v>2780</v>
      </c>
      <c r="C908" s="16">
        <f>HYPERLINK("https://eosportal.federatedhermes.com/companies/Q29tcGFueQppNzU2NjU=", "Techtronic Industries Co Ltd")</f>
      </c>
      <c r="D908" s="0" t="s">
        <v>23</v>
      </c>
      <c r="E908" s="0" t="s">
        <v>1884</v>
      </c>
      <c r="F908" s="16">
        <f>HYPERLINK("https://eosportal.federatedhermes.com/engagements/RW5nYWdlbWVudAppMjI4MTA=", "Sustainability in executive compensation")</f>
      </c>
      <c r="G908" s="14" t="s">
        <v>2781</v>
      </c>
      <c r="H908" s="0" t="s">
        <v>130</v>
      </c>
      <c r="I908" s="14" t="s">
        <v>131</v>
      </c>
      <c r="J908" s="0" t="s">
        <v>145</v>
      </c>
      <c r="K908" s="0" t="s">
        <v>146</v>
      </c>
      <c r="L908" s="0" t="s">
        <v>147</v>
      </c>
      <c r="M908" s="0" t="s">
        <v>802</v>
      </c>
      <c r="N908" s="0" t="s">
        <v>803</v>
      </c>
      <c r="O908" s="0" t="s">
        <v>176</v>
      </c>
      <c r="Q908" s="0" t="s">
        <v>130</v>
      </c>
      <c r="R908" s="0" t="s">
        <v>130</v>
      </c>
      <c r="S908" s="14">
        <v>0</v>
      </c>
      <c r="T908" s="0" t="s">
        <v>327</v>
      </c>
      <c r="U908" s="0" t="s">
        <v>221</v>
      </c>
      <c r="V908" s="14" t="s">
        <v>327</v>
      </c>
      <c r="W908" s="0" t="s">
        <v>221</v>
      </c>
      <c r="X908" s="14" t="s">
        <v>230</v>
      </c>
      <c r="Y908" s="0" t="s">
        <v>223</v>
      </c>
      <c r="Z908" s="14" t="s">
        <v>138</v>
      </c>
      <c r="AA908" s="0" t="s">
        <v>224</v>
      </c>
      <c r="AB908" s="14" t="s">
        <v>138</v>
      </c>
      <c r="AD908" s="0" t="s">
        <v>17</v>
      </c>
      <c r="AF908" s="0">
        <v>0</v>
      </c>
      <c r="AG908" s="0">
        <v>0</v>
      </c>
      <c r="AH908" s="0" t="s">
        <v>140</v>
      </c>
      <c r="AI908" s="0" t="s">
        <v>479</v>
      </c>
      <c r="AL908" s="14"/>
      <c r="AN908" s="14"/>
      <c r="AQ908" s="0" t="s">
        <v>130</v>
      </c>
      <c r="AR908" s="0" t="s">
        <v>130</v>
      </c>
      <c r="AS908" s="0" t="s">
        <v>130</v>
      </c>
      <c r="AT908" s="0" t="s">
        <v>130</v>
      </c>
      <c r="AU908" s="0" t="s">
        <v>130</v>
      </c>
      <c r="AV908" s="0" t="s">
        <v>130</v>
      </c>
      <c r="AW908" s="0" t="s">
        <v>130</v>
      </c>
      <c r="AX908" s="0" t="s">
        <v>130</v>
      </c>
      <c r="AY908" s="0" t="s">
        <v>130</v>
      </c>
      <c r="AZ908" s="0" t="s">
        <v>130</v>
      </c>
      <c r="BA908" s="0" t="s">
        <v>130</v>
      </c>
      <c r="BB908" s="0" t="s">
        <v>130</v>
      </c>
      <c r="BC908" s="0" t="s">
        <v>130</v>
      </c>
      <c r="BD908" s="0" t="s">
        <v>130</v>
      </c>
      <c r="BE908" s="0" t="s">
        <v>130</v>
      </c>
      <c r="BF908" s="0" t="s">
        <v>130</v>
      </c>
      <c r="BG908" s="0" t="s">
        <v>130</v>
      </c>
      <c r="BH908" s="0" t="s">
        <v>130</v>
      </c>
      <c r="BI908" s="0" t="s">
        <v>130</v>
      </c>
      <c r="BJ908" s="0" t="s">
        <v>130</v>
      </c>
      <c r="BK908" s="0" t="s">
        <v>130</v>
      </c>
      <c r="BL908" s="0" t="s">
        <v>130</v>
      </c>
      <c r="BM908" s="0" t="s">
        <v>130</v>
      </c>
      <c r="BN908" s="0" t="s">
        <v>130</v>
      </c>
      <c r="BO908" s="0" t="s">
        <v>130</v>
      </c>
      <c r="BP908" s="0" t="s">
        <v>130</v>
      </c>
      <c r="BQ908" s="0" t="s">
        <v>130</v>
      </c>
      <c r="BR908" s="0" t="s">
        <v>130</v>
      </c>
      <c r="BS908" s="0" t="s">
        <v>130</v>
      </c>
      <c r="BT908" s="0" t="s">
        <v>130</v>
      </c>
      <c r="BU908" s="0" t="s">
        <v>130</v>
      </c>
      <c r="BV908" s="0" t="s">
        <v>130</v>
      </c>
      <c r="BW908" s="0" t="s">
        <v>130</v>
      </c>
      <c r="BX908" s="0" t="s">
        <v>130</v>
      </c>
      <c r="BY908" s="0" t="s">
        <v>130</v>
      </c>
      <c r="BZ908" s="0" t="s">
        <v>130</v>
      </c>
      <c r="CA908" s="0" t="s">
        <v>130</v>
      </c>
      <c r="CB908" s="0" t="s">
        <v>130</v>
      </c>
      <c r="CC908" s="0" t="s">
        <v>130</v>
      </c>
      <c r="CD908" s="0" t="s">
        <v>130</v>
      </c>
      <c r="CE908" s="0" t="s">
        <v>130</v>
      </c>
      <c r="CF908" s="0" t="s">
        <v>130</v>
      </c>
      <c r="CG908" s="0" t="s">
        <v>130</v>
      </c>
      <c r="CH908" s="0" t="s">
        <v>130</v>
      </c>
      <c r="CI908" s="0" t="s">
        <v>130</v>
      </c>
      <c r="CJ908" s="0" t="s">
        <v>130</v>
      </c>
      <c r="CK908" s="0" t="s">
        <v>130</v>
      </c>
      <c r="CL908" s="0" t="s">
        <v>130</v>
      </c>
      <c r="CM908" s="0" t="s">
        <v>130</v>
      </c>
      <c r="CN908" s="0" t="s">
        <v>130</v>
      </c>
      <c r="CO908" s="0" t="s">
        <v>130</v>
      </c>
      <c r="CP908" s="0" t="s">
        <v>130</v>
      </c>
      <c r="CQ908" s="0" t="s">
        <v>130</v>
      </c>
      <c r="CR908" s="0" t="s">
        <v>130</v>
      </c>
      <c r="CS908" s="0" t="s">
        <v>130</v>
      </c>
      <c r="CT908" s="0" t="s">
        <v>2782</v>
      </c>
    </row>
    <row r="909">
      <c r="A909" s="14">
        <v>116563</v>
      </c>
      <c r="B909" s="0" t="s">
        <v>2780</v>
      </c>
      <c r="C909" s="16">
        <f>HYPERLINK("https://eosportal.federatedhermes.com/companies/Q29tcGFueQppNzU2NjU=", "Techtronic Industries Co Ltd")</f>
      </c>
      <c r="D909" s="0" t="s">
        <v>25</v>
      </c>
      <c r="E909" s="0" t="s">
        <v>729</v>
      </c>
      <c r="F909" s="16">
        <f>HYPERLINK("https://eosportal.federatedhermes.com/engagements/RW5nYWdlbWVudAppMjI4MTI=", "Board diversity")</f>
      </c>
      <c r="G909" s="14" t="s">
        <v>2783</v>
      </c>
      <c r="H909" s="0" t="s">
        <v>130</v>
      </c>
      <c r="I909" s="14" t="s">
        <v>131</v>
      </c>
      <c r="J909" s="0" t="s">
        <v>145</v>
      </c>
      <c r="K909" s="0" t="s">
        <v>164</v>
      </c>
      <c r="L909" s="0" t="s">
        <v>165</v>
      </c>
      <c r="M909" s="0" t="s">
        <v>802</v>
      </c>
      <c r="N909" s="0" t="s">
        <v>803</v>
      </c>
      <c r="O909" s="0" t="s">
        <v>176</v>
      </c>
      <c r="Q909" s="0" t="s">
        <v>141</v>
      </c>
      <c r="R909" s="0" t="s">
        <v>138</v>
      </c>
      <c r="S909" s="14">
        <v>1</v>
      </c>
      <c r="T909" s="0" t="s">
        <v>148</v>
      </c>
      <c r="U909" s="0" t="s">
        <v>138</v>
      </c>
      <c r="V909" s="14" t="s">
        <v>138</v>
      </c>
      <c r="W909" s="0" t="s">
        <v>138</v>
      </c>
      <c r="X909" s="14" t="s">
        <v>138</v>
      </c>
      <c r="Y909" s="0" t="s">
        <v>138</v>
      </c>
      <c r="Z909" s="14" t="s">
        <v>138</v>
      </c>
      <c r="AA909" s="0" t="s">
        <v>138</v>
      </c>
      <c r="AB909" s="14" t="s">
        <v>138</v>
      </c>
      <c r="AD909" s="0" t="s">
        <v>138</v>
      </c>
      <c r="AF909" s="0">
        <v>0</v>
      </c>
      <c r="AG909" s="0">
        <v>0</v>
      </c>
      <c r="AH909" s="0" t="s">
        <v>140</v>
      </c>
      <c r="AI909" s="0" t="s">
        <v>138</v>
      </c>
      <c r="AK909" s="0" t="s">
        <v>2529</v>
      </c>
      <c r="AL909" s="14"/>
      <c r="AN909" s="14"/>
      <c r="AQ909" s="0" t="s">
        <v>130</v>
      </c>
      <c r="AR909" s="0" t="s">
        <v>130</v>
      </c>
      <c r="AS909" s="0" t="s">
        <v>130</v>
      </c>
      <c r="AT909" s="0" t="s">
        <v>130</v>
      </c>
      <c r="AU909" s="0" t="s">
        <v>141</v>
      </c>
      <c r="AV909" s="0" t="s">
        <v>130</v>
      </c>
      <c r="AW909" s="0" t="s">
        <v>130</v>
      </c>
      <c r="AX909" s="0" t="s">
        <v>130</v>
      </c>
      <c r="AY909" s="0" t="s">
        <v>130</v>
      </c>
      <c r="AZ909" s="0" t="s">
        <v>130</v>
      </c>
      <c r="BA909" s="0" t="s">
        <v>130</v>
      </c>
      <c r="BB909" s="0" t="s">
        <v>130</v>
      </c>
      <c r="BC909" s="0" t="s">
        <v>130</v>
      </c>
      <c r="BD909" s="0" t="s">
        <v>130</v>
      </c>
      <c r="BE909" s="0" t="s">
        <v>130</v>
      </c>
      <c r="BF909" s="0" t="s">
        <v>130</v>
      </c>
      <c r="BG909" s="0" t="s">
        <v>130</v>
      </c>
      <c r="BH909" s="0" t="s">
        <v>130</v>
      </c>
      <c r="BI909" s="0" t="s">
        <v>130</v>
      </c>
      <c r="BJ909" s="0" t="s">
        <v>130</v>
      </c>
      <c r="BK909" s="0" t="s">
        <v>130</v>
      </c>
      <c r="BL909" s="0" t="s">
        <v>130</v>
      </c>
      <c r="BM909" s="0" t="s">
        <v>130</v>
      </c>
      <c r="BN909" s="0" t="s">
        <v>130</v>
      </c>
      <c r="BO909" s="0" t="s">
        <v>130</v>
      </c>
      <c r="BP909" s="0" t="s">
        <v>130</v>
      </c>
      <c r="BQ909" s="0" t="s">
        <v>130</v>
      </c>
      <c r="BR909" s="0" t="s">
        <v>130</v>
      </c>
      <c r="BS909" s="0" t="s">
        <v>130</v>
      </c>
      <c r="BT909" s="0" t="s">
        <v>130</v>
      </c>
      <c r="BU909" s="0" t="s">
        <v>130</v>
      </c>
      <c r="BV909" s="0" t="s">
        <v>130</v>
      </c>
      <c r="BW909" s="0" t="s">
        <v>130</v>
      </c>
      <c r="BX909" s="0" t="s">
        <v>130</v>
      </c>
      <c r="BY909" s="0" t="s">
        <v>130</v>
      </c>
      <c r="BZ909" s="0" t="s">
        <v>130</v>
      </c>
      <c r="CA909" s="0" t="s">
        <v>130</v>
      </c>
      <c r="CB909" s="0" t="s">
        <v>130</v>
      </c>
      <c r="CC909" s="0" t="s">
        <v>130</v>
      </c>
      <c r="CD909" s="0" t="s">
        <v>130</v>
      </c>
      <c r="CE909" s="0" t="s">
        <v>130</v>
      </c>
      <c r="CF909" s="0" t="s">
        <v>130</v>
      </c>
      <c r="CG909" s="0" t="s">
        <v>130</v>
      </c>
      <c r="CH909" s="0" t="s">
        <v>130</v>
      </c>
      <c r="CI909" s="0" t="s">
        <v>130</v>
      </c>
      <c r="CJ909" s="0" t="s">
        <v>130</v>
      </c>
      <c r="CK909" s="0" t="s">
        <v>130</v>
      </c>
      <c r="CL909" s="0" t="s">
        <v>130</v>
      </c>
      <c r="CM909" s="0" t="s">
        <v>130</v>
      </c>
      <c r="CN909" s="0" t="s">
        <v>130</v>
      </c>
      <c r="CO909" s="0" t="s">
        <v>130</v>
      </c>
      <c r="CP909" s="0" t="s">
        <v>130</v>
      </c>
      <c r="CQ909" s="0" t="s">
        <v>130</v>
      </c>
      <c r="CR909" s="0" t="s">
        <v>130</v>
      </c>
      <c r="CS909" s="0" t="s">
        <v>130</v>
      </c>
      <c r="CT909" s="0" t="s">
        <v>2784</v>
      </c>
    </row>
    <row r="910">
      <c r="A910" s="14">
        <v>116563</v>
      </c>
      <c r="B910" s="0" t="s">
        <v>2780</v>
      </c>
      <c r="C910" s="16">
        <f>HYPERLINK("https://eosportal.federatedhermes.com/companies/Q29tcGFueQppNzU2NjU=", "Techtronic Industries Co Ltd")</f>
      </c>
      <c r="D910" s="0" t="s">
        <v>25</v>
      </c>
      <c r="E910" s="0" t="s">
        <v>2785</v>
      </c>
      <c r="F910" s="16">
        <f>HYPERLINK("https://eosportal.federatedhermes.com/engagements/RW5nYWdlbWVudAppMjI4MTM=", "General share issuance and the protection of shareholder rights")</f>
      </c>
      <c r="G910" s="14" t="s">
        <v>2786</v>
      </c>
      <c r="H910" s="0" t="s">
        <v>130</v>
      </c>
      <c r="I910" s="14" t="s">
        <v>131</v>
      </c>
      <c r="J910" s="0" t="s">
        <v>145</v>
      </c>
      <c r="K910" s="0" t="s">
        <v>400</v>
      </c>
      <c r="L910" s="0" t="s">
        <v>401</v>
      </c>
      <c r="M910" s="0" t="s">
        <v>802</v>
      </c>
      <c r="N910" s="0" t="s">
        <v>803</v>
      </c>
      <c r="O910" s="0" t="s">
        <v>176</v>
      </c>
      <c r="Q910" s="0" t="s">
        <v>130</v>
      </c>
      <c r="R910" s="0" t="s">
        <v>138</v>
      </c>
      <c r="S910" s="14">
        <v>0</v>
      </c>
      <c r="T910" s="0" t="s">
        <v>487</v>
      </c>
      <c r="U910" s="0" t="s">
        <v>138</v>
      </c>
      <c r="V910" s="14" t="s">
        <v>138</v>
      </c>
      <c r="W910" s="0" t="s">
        <v>138</v>
      </c>
      <c r="X910" s="14" t="s">
        <v>138</v>
      </c>
      <c r="Y910" s="0" t="s">
        <v>138</v>
      </c>
      <c r="Z910" s="14" t="s">
        <v>138</v>
      </c>
      <c r="AA910" s="0" t="s">
        <v>138</v>
      </c>
      <c r="AB910" s="14" t="s">
        <v>138</v>
      </c>
      <c r="AD910" s="0" t="s">
        <v>138</v>
      </c>
      <c r="AF910" s="0">
        <v>0</v>
      </c>
      <c r="AG910" s="0">
        <v>0</v>
      </c>
      <c r="AH910" s="0" t="s">
        <v>140</v>
      </c>
      <c r="AI910" s="0" t="s">
        <v>138</v>
      </c>
      <c r="AL910" s="14"/>
      <c r="AN910" s="14"/>
      <c r="AQ910" s="0" t="s">
        <v>130</v>
      </c>
      <c r="AR910" s="0" t="s">
        <v>130</v>
      </c>
      <c r="AS910" s="0" t="s">
        <v>130</v>
      </c>
      <c r="AT910" s="0" t="s">
        <v>130</v>
      </c>
      <c r="AU910" s="0" t="s">
        <v>130</v>
      </c>
      <c r="AV910" s="0" t="s">
        <v>130</v>
      </c>
      <c r="AW910" s="0" t="s">
        <v>130</v>
      </c>
      <c r="AX910" s="0" t="s">
        <v>130</v>
      </c>
      <c r="AY910" s="0" t="s">
        <v>130</v>
      </c>
      <c r="AZ910" s="0" t="s">
        <v>130</v>
      </c>
      <c r="BA910" s="0" t="s">
        <v>130</v>
      </c>
      <c r="BB910" s="0" t="s">
        <v>130</v>
      </c>
      <c r="BC910" s="0" t="s">
        <v>130</v>
      </c>
      <c r="BD910" s="0" t="s">
        <v>130</v>
      </c>
      <c r="BE910" s="0" t="s">
        <v>130</v>
      </c>
      <c r="BF910" s="0" t="s">
        <v>130</v>
      </c>
      <c r="BG910" s="0" t="s">
        <v>130</v>
      </c>
      <c r="BH910" s="0" t="s">
        <v>130</v>
      </c>
      <c r="BI910" s="0" t="s">
        <v>130</v>
      </c>
      <c r="BJ910" s="0" t="s">
        <v>130</v>
      </c>
      <c r="BK910" s="0" t="s">
        <v>130</v>
      </c>
      <c r="BL910" s="0" t="s">
        <v>130</v>
      </c>
      <c r="BM910" s="0" t="s">
        <v>130</v>
      </c>
      <c r="BN910" s="0" t="s">
        <v>130</v>
      </c>
      <c r="BO910" s="0" t="s">
        <v>130</v>
      </c>
      <c r="BP910" s="0" t="s">
        <v>130</v>
      </c>
      <c r="BQ910" s="0" t="s">
        <v>130</v>
      </c>
      <c r="BR910" s="0" t="s">
        <v>130</v>
      </c>
      <c r="BS910" s="0" t="s">
        <v>130</v>
      </c>
      <c r="BT910" s="0" t="s">
        <v>130</v>
      </c>
      <c r="BU910" s="0" t="s">
        <v>130</v>
      </c>
      <c r="BV910" s="0" t="s">
        <v>130</v>
      </c>
      <c r="BW910" s="0" t="s">
        <v>130</v>
      </c>
      <c r="BX910" s="0" t="s">
        <v>130</v>
      </c>
      <c r="BY910" s="0" t="s">
        <v>130</v>
      </c>
      <c r="BZ910" s="0" t="s">
        <v>130</v>
      </c>
      <c r="CA910" s="0" t="s">
        <v>130</v>
      </c>
      <c r="CB910" s="0" t="s">
        <v>130</v>
      </c>
      <c r="CC910" s="0" t="s">
        <v>130</v>
      </c>
      <c r="CD910" s="0" t="s">
        <v>130</v>
      </c>
      <c r="CE910" s="0" t="s">
        <v>130</v>
      </c>
      <c r="CF910" s="0" t="s">
        <v>130</v>
      </c>
      <c r="CG910" s="0" t="s">
        <v>130</v>
      </c>
      <c r="CH910" s="0" t="s">
        <v>130</v>
      </c>
      <c r="CI910" s="0" t="s">
        <v>130</v>
      </c>
      <c r="CJ910" s="0" t="s">
        <v>130</v>
      </c>
      <c r="CK910" s="0" t="s">
        <v>130</v>
      </c>
      <c r="CL910" s="0" t="s">
        <v>130</v>
      </c>
      <c r="CM910" s="0" t="s">
        <v>130</v>
      </c>
      <c r="CN910" s="0" t="s">
        <v>130</v>
      </c>
      <c r="CO910" s="0" t="s">
        <v>130</v>
      </c>
      <c r="CP910" s="0" t="s">
        <v>130</v>
      </c>
      <c r="CQ910" s="0" t="s">
        <v>130</v>
      </c>
      <c r="CR910" s="0" t="s">
        <v>130</v>
      </c>
      <c r="CS910" s="0" t="s">
        <v>130</v>
      </c>
      <c r="CT910" s="0" t="s">
        <v>2787</v>
      </c>
    </row>
    <row r="911">
      <c r="A911" s="14">
        <v>116563</v>
      </c>
      <c r="B911" s="0" t="s">
        <v>2780</v>
      </c>
      <c r="C911" s="16">
        <f>HYPERLINK("https://eosportal.federatedhermes.com/companies/Q29tcGFueQppNzU2NjU=", "Techtronic Industries Co Ltd")</f>
      </c>
      <c r="D911" s="0" t="s">
        <v>25</v>
      </c>
      <c r="E911" s="0" t="s">
        <v>386</v>
      </c>
      <c r="F911" s="16">
        <f>HYPERLINK("https://eosportal.federatedhermes.com/engagements/RW5nYWdlbWVudAppMjI4MTQ=", "Board independence")</f>
      </c>
      <c r="G911" s="14" t="s">
        <v>2788</v>
      </c>
      <c r="H911" s="0" t="s">
        <v>130</v>
      </c>
      <c r="I911" s="14" t="s">
        <v>131</v>
      </c>
      <c r="J911" s="0" t="s">
        <v>145</v>
      </c>
      <c r="K911" s="0" t="s">
        <v>164</v>
      </c>
      <c r="L911" s="0" t="s">
        <v>165</v>
      </c>
      <c r="M911" s="0" t="s">
        <v>802</v>
      </c>
      <c r="N911" s="0" t="s">
        <v>803</v>
      </c>
      <c r="O911" s="0" t="s">
        <v>176</v>
      </c>
      <c r="Q911" s="0" t="s">
        <v>141</v>
      </c>
      <c r="R911" s="0" t="s">
        <v>138</v>
      </c>
      <c r="S911" s="14">
        <v>1</v>
      </c>
      <c r="T911" s="0" t="s">
        <v>148</v>
      </c>
      <c r="U911" s="0" t="s">
        <v>138</v>
      </c>
      <c r="V911" s="14" t="s">
        <v>138</v>
      </c>
      <c r="W911" s="0" t="s">
        <v>138</v>
      </c>
      <c r="X911" s="14" t="s">
        <v>138</v>
      </c>
      <c r="Y911" s="0" t="s">
        <v>138</v>
      </c>
      <c r="Z911" s="14" t="s">
        <v>138</v>
      </c>
      <c r="AA911" s="0" t="s">
        <v>138</v>
      </c>
      <c r="AB911" s="14" t="s">
        <v>138</v>
      </c>
      <c r="AD911" s="0" t="s">
        <v>138</v>
      </c>
      <c r="AF911" s="0">
        <v>0</v>
      </c>
      <c r="AG911" s="0">
        <v>0</v>
      </c>
      <c r="AH911" s="0" t="s">
        <v>140</v>
      </c>
      <c r="AI911" s="0" t="s">
        <v>138</v>
      </c>
      <c r="AK911" s="0" t="s">
        <v>2529</v>
      </c>
      <c r="AL911" s="14"/>
      <c r="AN911" s="14"/>
      <c r="AQ911" s="0" t="s">
        <v>130</v>
      </c>
      <c r="AR911" s="0" t="s">
        <v>130</v>
      </c>
      <c r="AS911" s="0" t="s">
        <v>130</v>
      </c>
      <c r="AT911" s="0" t="s">
        <v>130</v>
      </c>
      <c r="AU911" s="0" t="s">
        <v>130</v>
      </c>
      <c r="AV911" s="0" t="s">
        <v>130</v>
      </c>
      <c r="AW911" s="0" t="s">
        <v>130</v>
      </c>
      <c r="AX911" s="0" t="s">
        <v>130</v>
      </c>
      <c r="AY911" s="0" t="s">
        <v>130</v>
      </c>
      <c r="AZ911" s="0" t="s">
        <v>130</v>
      </c>
      <c r="BA911" s="0" t="s">
        <v>130</v>
      </c>
      <c r="BB911" s="0" t="s">
        <v>130</v>
      </c>
      <c r="BC911" s="0" t="s">
        <v>130</v>
      </c>
      <c r="BD911" s="0" t="s">
        <v>130</v>
      </c>
      <c r="BE911" s="0" t="s">
        <v>130</v>
      </c>
      <c r="BF911" s="0" t="s">
        <v>130</v>
      </c>
      <c r="BG911" s="0" t="s">
        <v>130</v>
      </c>
      <c r="BH911" s="0" t="s">
        <v>130</v>
      </c>
      <c r="BI911" s="0" t="s">
        <v>130</v>
      </c>
      <c r="BJ911" s="0" t="s">
        <v>130</v>
      </c>
      <c r="BK911" s="0" t="s">
        <v>130</v>
      </c>
      <c r="BL911" s="0" t="s">
        <v>130</v>
      </c>
      <c r="BM911" s="0" t="s">
        <v>130</v>
      </c>
      <c r="BN911" s="0" t="s">
        <v>130</v>
      </c>
      <c r="BO911" s="0" t="s">
        <v>130</v>
      </c>
      <c r="BP911" s="0" t="s">
        <v>130</v>
      </c>
      <c r="BQ911" s="0" t="s">
        <v>130</v>
      </c>
      <c r="BR911" s="0" t="s">
        <v>130</v>
      </c>
      <c r="BS911" s="0" t="s">
        <v>130</v>
      </c>
      <c r="BT911" s="0" t="s">
        <v>130</v>
      </c>
      <c r="BU911" s="0" t="s">
        <v>130</v>
      </c>
      <c r="BV911" s="0" t="s">
        <v>130</v>
      </c>
      <c r="BW911" s="0" t="s">
        <v>130</v>
      </c>
      <c r="BX911" s="0" t="s">
        <v>130</v>
      </c>
      <c r="BY911" s="0" t="s">
        <v>130</v>
      </c>
      <c r="BZ911" s="0" t="s">
        <v>130</v>
      </c>
      <c r="CA911" s="0" t="s">
        <v>130</v>
      </c>
      <c r="CB911" s="0" t="s">
        <v>130</v>
      </c>
      <c r="CC911" s="0" t="s">
        <v>130</v>
      </c>
      <c r="CD911" s="0" t="s">
        <v>130</v>
      </c>
      <c r="CE911" s="0" t="s">
        <v>130</v>
      </c>
      <c r="CF911" s="0" t="s">
        <v>130</v>
      </c>
      <c r="CG911" s="0" t="s">
        <v>130</v>
      </c>
      <c r="CH911" s="0" t="s">
        <v>130</v>
      </c>
      <c r="CI911" s="0" t="s">
        <v>130</v>
      </c>
      <c r="CJ911" s="0" t="s">
        <v>130</v>
      </c>
      <c r="CK911" s="0" t="s">
        <v>130</v>
      </c>
      <c r="CL911" s="0" t="s">
        <v>130</v>
      </c>
      <c r="CM911" s="0" t="s">
        <v>130</v>
      </c>
      <c r="CN911" s="0" t="s">
        <v>130</v>
      </c>
      <c r="CO911" s="0" t="s">
        <v>130</v>
      </c>
      <c r="CP911" s="0" t="s">
        <v>130</v>
      </c>
      <c r="CQ911" s="0" t="s">
        <v>130</v>
      </c>
      <c r="CR911" s="0" t="s">
        <v>130</v>
      </c>
      <c r="CS911" s="0" t="s">
        <v>130</v>
      </c>
      <c r="CT911" s="0" t="s">
        <v>2789</v>
      </c>
    </row>
    <row r="912">
      <c r="A912" s="14">
        <v>117142</v>
      </c>
      <c r="B912" s="0" t="s">
        <v>2790</v>
      </c>
      <c r="C912" s="16">
        <f>HYPERLINK("https://eosportal.federatedhermes.com/companies/Q29tcGFueQppNTkyMTI=", "O'Reilly Automotive Inc")</f>
      </c>
      <c r="D912" s="0" t="s">
        <v>25</v>
      </c>
      <c r="E912" s="0" t="s">
        <v>940</v>
      </c>
      <c r="F912" s="16">
        <f>HYPERLINK("https://eosportal.federatedhermes.com/engagements/RW5nYWdlbWVudAppMjI4OTg=", "Paid sick leave for direct and indirect employees")</f>
      </c>
      <c r="G912" s="14" t="s">
        <v>2791</v>
      </c>
      <c r="H912" s="0" t="s">
        <v>141</v>
      </c>
      <c r="I912" s="14" t="s">
        <v>131</v>
      </c>
      <c r="J912" s="0" t="s">
        <v>153</v>
      </c>
      <c r="K912" s="0" t="s">
        <v>154</v>
      </c>
      <c r="L912" s="0" t="s">
        <v>306</v>
      </c>
      <c r="M912" s="0" t="s">
        <v>135</v>
      </c>
      <c r="N912" s="0" t="s">
        <v>136</v>
      </c>
      <c r="O912" s="0" t="s">
        <v>643</v>
      </c>
      <c r="Q912" s="0" t="s">
        <v>130</v>
      </c>
      <c r="R912" s="0" t="s">
        <v>138</v>
      </c>
      <c r="S912" s="14">
        <v>0</v>
      </c>
      <c r="T912" s="0" t="s">
        <v>583</v>
      </c>
      <c r="U912" s="0" t="s">
        <v>138</v>
      </c>
      <c r="V912" s="14" t="s">
        <v>138</v>
      </c>
      <c r="W912" s="0" t="s">
        <v>138</v>
      </c>
      <c r="X912" s="14" t="s">
        <v>138</v>
      </c>
      <c r="Y912" s="0" t="s">
        <v>138</v>
      </c>
      <c r="Z912" s="14" t="s">
        <v>138</v>
      </c>
      <c r="AA912" s="0" t="s">
        <v>138</v>
      </c>
      <c r="AB912" s="14" t="s">
        <v>138</v>
      </c>
      <c r="AD912" s="0" t="s">
        <v>138</v>
      </c>
      <c r="AF912" s="0">
        <v>0</v>
      </c>
      <c r="AG912" s="0">
        <v>0</v>
      </c>
      <c r="AH912" s="0" t="s">
        <v>140</v>
      </c>
      <c r="AI912" s="0" t="s">
        <v>138</v>
      </c>
      <c r="AL912" s="14"/>
      <c r="AN912" s="14"/>
      <c r="AQ912" s="0" t="s">
        <v>141</v>
      </c>
      <c r="AR912" s="0" t="s">
        <v>130</v>
      </c>
      <c r="AS912" s="0" t="s">
        <v>130</v>
      </c>
      <c r="AT912" s="0" t="s">
        <v>130</v>
      </c>
      <c r="AU912" s="0" t="s">
        <v>130</v>
      </c>
      <c r="AV912" s="0" t="s">
        <v>130</v>
      </c>
      <c r="AW912" s="0" t="s">
        <v>130</v>
      </c>
      <c r="AX912" s="0" t="s">
        <v>141</v>
      </c>
      <c r="AY912" s="0" t="s">
        <v>130</v>
      </c>
      <c r="AZ912" s="0" t="s">
        <v>141</v>
      </c>
      <c r="BA912" s="0" t="s">
        <v>130</v>
      </c>
      <c r="BB912" s="0" t="s">
        <v>130</v>
      </c>
      <c r="BC912" s="0" t="s">
        <v>130</v>
      </c>
      <c r="BD912" s="0" t="s">
        <v>130</v>
      </c>
      <c r="BE912" s="0" t="s">
        <v>130</v>
      </c>
      <c r="BF912" s="0" t="s">
        <v>130</v>
      </c>
      <c r="BG912" s="0" t="s">
        <v>130</v>
      </c>
      <c r="BH912" s="0" t="s">
        <v>130</v>
      </c>
      <c r="BI912" s="0" t="s">
        <v>130</v>
      </c>
      <c r="BJ912" s="0" t="s">
        <v>130</v>
      </c>
      <c r="BK912" s="0" t="s">
        <v>130</v>
      </c>
      <c r="BL912" s="0" t="s">
        <v>130</v>
      </c>
      <c r="BM912" s="0" t="s">
        <v>130</v>
      </c>
      <c r="BN912" s="0" t="s">
        <v>130</v>
      </c>
      <c r="BO912" s="0" t="s">
        <v>130</v>
      </c>
      <c r="BP912" s="0" t="s">
        <v>130</v>
      </c>
      <c r="BQ912" s="0" t="s">
        <v>130</v>
      </c>
      <c r="BR912" s="0" t="s">
        <v>130</v>
      </c>
      <c r="BS912" s="0" t="s">
        <v>130</v>
      </c>
      <c r="BT912" s="0" t="s">
        <v>130</v>
      </c>
      <c r="BU912" s="0" t="s">
        <v>130</v>
      </c>
      <c r="BV912" s="0" t="s">
        <v>130</v>
      </c>
      <c r="BW912" s="0" t="s">
        <v>130</v>
      </c>
      <c r="BX912" s="0" t="s">
        <v>130</v>
      </c>
      <c r="BY912" s="0" t="s">
        <v>130</v>
      </c>
      <c r="BZ912" s="0" t="s">
        <v>130</v>
      </c>
      <c r="CA912" s="0" t="s">
        <v>130</v>
      </c>
      <c r="CB912" s="0" t="s">
        <v>130</v>
      </c>
      <c r="CC912" s="0" t="s">
        <v>130</v>
      </c>
      <c r="CD912" s="0" t="s">
        <v>130</v>
      </c>
      <c r="CE912" s="0" t="s">
        <v>130</v>
      </c>
      <c r="CF912" s="0" t="s">
        <v>130</v>
      </c>
      <c r="CG912" s="0" t="s">
        <v>130</v>
      </c>
      <c r="CH912" s="0" t="s">
        <v>130</v>
      </c>
      <c r="CI912" s="0" t="s">
        <v>130</v>
      </c>
      <c r="CJ912" s="0" t="s">
        <v>130</v>
      </c>
      <c r="CK912" s="0" t="s">
        <v>130</v>
      </c>
      <c r="CL912" s="0" t="s">
        <v>130</v>
      </c>
      <c r="CM912" s="0" t="s">
        <v>130</v>
      </c>
      <c r="CN912" s="0" t="s">
        <v>130</v>
      </c>
      <c r="CO912" s="0" t="s">
        <v>130</v>
      </c>
      <c r="CP912" s="0" t="s">
        <v>130</v>
      </c>
      <c r="CQ912" s="0" t="s">
        <v>130</v>
      </c>
      <c r="CR912" s="0" t="s">
        <v>130</v>
      </c>
      <c r="CS912" s="0" t="s">
        <v>130</v>
      </c>
      <c r="CT912" s="0" t="s">
        <v>2792</v>
      </c>
    </row>
    <row r="913">
      <c r="A913" s="14">
        <v>117142</v>
      </c>
      <c r="B913" s="0" t="s">
        <v>2790</v>
      </c>
      <c r="C913" s="16">
        <f>HYPERLINK("https://eosportal.federatedhermes.com/companies/Q29tcGFueQppNTkyMTI=", "O'Reilly Automotive Inc")</f>
      </c>
      <c r="D913" s="0" t="s">
        <v>25</v>
      </c>
      <c r="E913" s="0" t="s">
        <v>2793</v>
      </c>
      <c r="F913" s="16">
        <f>HYPERLINK("https://eosportal.federatedhermes.com/engagements/RW5nYWdlbWVudAppMjI5MDA=", "Human Capital Management")</f>
      </c>
      <c r="G913" s="14" t="s">
        <v>2794</v>
      </c>
      <c r="H913" s="0" t="s">
        <v>141</v>
      </c>
      <c r="I913" s="14" t="s">
        <v>131</v>
      </c>
      <c r="J913" s="0" t="s">
        <v>153</v>
      </c>
      <c r="K913" s="0" t="s">
        <v>154</v>
      </c>
      <c r="L913" s="0" t="s">
        <v>306</v>
      </c>
      <c r="M913" s="0" t="s">
        <v>135</v>
      </c>
      <c r="N913" s="0" t="s">
        <v>136</v>
      </c>
      <c r="O913" s="0" t="s">
        <v>643</v>
      </c>
      <c r="Q913" s="0" t="s">
        <v>141</v>
      </c>
      <c r="R913" s="0" t="s">
        <v>138</v>
      </c>
      <c r="S913" s="14">
        <v>1</v>
      </c>
      <c r="T913" s="0" t="s">
        <v>148</v>
      </c>
      <c r="U913" s="0" t="s">
        <v>138</v>
      </c>
      <c r="V913" s="14" t="s">
        <v>138</v>
      </c>
      <c r="W913" s="0" t="s">
        <v>138</v>
      </c>
      <c r="X913" s="14" t="s">
        <v>138</v>
      </c>
      <c r="Y913" s="0" t="s">
        <v>138</v>
      </c>
      <c r="Z913" s="14" t="s">
        <v>138</v>
      </c>
      <c r="AA913" s="0" t="s">
        <v>138</v>
      </c>
      <c r="AB913" s="14" t="s">
        <v>138</v>
      </c>
      <c r="AD913" s="0" t="s">
        <v>138</v>
      </c>
      <c r="AF913" s="0">
        <v>0</v>
      </c>
      <c r="AG913" s="0">
        <v>0</v>
      </c>
      <c r="AH913" s="0" t="s">
        <v>140</v>
      </c>
      <c r="AI913" s="0" t="s">
        <v>138</v>
      </c>
      <c r="AK913" s="0" t="s">
        <v>2795</v>
      </c>
      <c r="AL913" s="14"/>
      <c r="AN913" s="14"/>
      <c r="AQ913" s="0" t="s">
        <v>130</v>
      </c>
      <c r="AR913" s="0" t="s">
        <v>130</v>
      </c>
      <c r="AS913" s="0" t="s">
        <v>130</v>
      </c>
      <c r="AT913" s="0" t="s">
        <v>130</v>
      </c>
      <c r="AU913" s="0" t="s">
        <v>130</v>
      </c>
      <c r="AV913" s="0" t="s">
        <v>130</v>
      </c>
      <c r="AW913" s="0" t="s">
        <v>130</v>
      </c>
      <c r="AX913" s="0" t="s">
        <v>130</v>
      </c>
      <c r="AY913" s="0" t="s">
        <v>130</v>
      </c>
      <c r="AZ913" s="0" t="s">
        <v>130</v>
      </c>
      <c r="BA913" s="0" t="s">
        <v>130</v>
      </c>
      <c r="BB913" s="0" t="s">
        <v>130</v>
      </c>
      <c r="BC913" s="0" t="s">
        <v>130</v>
      </c>
      <c r="BD913" s="0" t="s">
        <v>130</v>
      </c>
      <c r="BE913" s="0" t="s">
        <v>130</v>
      </c>
      <c r="BF913" s="0" t="s">
        <v>130</v>
      </c>
      <c r="BG913" s="0" t="s">
        <v>130</v>
      </c>
      <c r="BH913" s="0" t="s">
        <v>130</v>
      </c>
      <c r="BI913" s="0" t="s">
        <v>130</v>
      </c>
      <c r="BJ913" s="0" t="s">
        <v>130</v>
      </c>
      <c r="BK913" s="0" t="s">
        <v>130</v>
      </c>
      <c r="BL913" s="0" t="s">
        <v>130</v>
      </c>
      <c r="BM913" s="0" t="s">
        <v>130</v>
      </c>
      <c r="BN913" s="0" t="s">
        <v>130</v>
      </c>
      <c r="BO913" s="0" t="s">
        <v>130</v>
      </c>
      <c r="BP913" s="0" t="s">
        <v>130</v>
      </c>
      <c r="BQ913" s="0" t="s">
        <v>130</v>
      </c>
      <c r="BR913" s="0" t="s">
        <v>130</v>
      </c>
      <c r="BS913" s="0" t="s">
        <v>130</v>
      </c>
      <c r="BT913" s="0" t="s">
        <v>130</v>
      </c>
      <c r="BU913" s="0" t="s">
        <v>130</v>
      </c>
      <c r="BV913" s="0" t="s">
        <v>130</v>
      </c>
      <c r="BW913" s="0" t="s">
        <v>130</v>
      </c>
      <c r="BX913" s="0" t="s">
        <v>130</v>
      </c>
      <c r="BY913" s="0" t="s">
        <v>130</v>
      </c>
      <c r="BZ913" s="0" t="s">
        <v>130</v>
      </c>
      <c r="CA913" s="0" t="s">
        <v>130</v>
      </c>
      <c r="CB913" s="0" t="s">
        <v>130</v>
      </c>
      <c r="CC913" s="0" t="s">
        <v>130</v>
      </c>
      <c r="CD913" s="0" t="s">
        <v>130</v>
      </c>
      <c r="CE913" s="0" t="s">
        <v>130</v>
      </c>
      <c r="CF913" s="0" t="s">
        <v>130</v>
      </c>
      <c r="CG913" s="0" t="s">
        <v>130</v>
      </c>
      <c r="CH913" s="0" t="s">
        <v>130</v>
      </c>
      <c r="CI913" s="0" t="s">
        <v>130</v>
      </c>
      <c r="CJ913" s="0" t="s">
        <v>130</v>
      </c>
      <c r="CK913" s="0" t="s">
        <v>130</v>
      </c>
      <c r="CL913" s="0" t="s">
        <v>130</v>
      </c>
      <c r="CM913" s="0" t="s">
        <v>130</v>
      </c>
      <c r="CN913" s="0" t="s">
        <v>130</v>
      </c>
      <c r="CO913" s="0" t="s">
        <v>130</v>
      </c>
      <c r="CP913" s="0" t="s">
        <v>130</v>
      </c>
      <c r="CQ913" s="0" t="s">
        <v>130</v>
      </c>
      <c r="CR913" s="0" t="s">
        <v>130</v>
      </c>
      <c r="CS913" s="0" t="s">
        <v>130</v>
      </c>
      <c r="CT913" s="0" t="s">
        <v>2796</v>
      </c>
    </row>
    <row r="914">
      <c r="A914" s="14">
        <v>117222</v>
      </c>
      <c r="B914" s="0" t="s">
        <v>2797</v>
      </c>
      <c r="C914" s="16">
        <f>HYPERLINK("https://eosportal.federatedhermes.com/companies/Q29tcGFueQppNTkyMTc=", "Samsung Fire &amp; Marine Insurance Co Ltd")</f>
      </c>
      <c r="D914" s="0" t="s">
        <v>25</v>
      </c>
      <c r="E914" s="0" t="s">
        <v>2798</v>
      </c>
      <c r="F914" s="16">
        <f>HYPERLINK("https://eosportal.federatedhermes.com/engagements/RW5nYWdlbWVudAppMjI5MDI=", "Lack of gender diversity on the board")</f>
      </c>
      <c r="G914" s="14" t="s">
        <v>2799</v>
      </c>
      <c r="H914" s="0" t="s">
        <v>130</v>
      </c>
      <c r="I914" s="14" t="s">
        <v>319</v>
      </c>
      <c r="J914" s="0" t="s">
        <v>145</v>
      </c>
      <c r="K914" s="0" t="s">
        <v>164</v>
      </c>
      <c r="L914" s="0" t="s">
        <v>165</v>
      </c>
      <c r="M914" s="0" t="s">
        <v>802</v>
      </c>
      <c r="N914" s="0" t="s">
        <v>2800</v>
      </c>
      <c r="O914" s="0" t="s">
        <v>238</v>
      </c>
      <c r="Q914" s="0" t="s">
        <v>141</v>
      </c>
      <c r="R914" s="0" t="s">
        <v>138</v>
      </c>
      <c r="S914" s="14">
        <v>1</v>
      </c>
      <c r="T914" s="0" t="s">
        <v>288</v>
      </c>
      <c r="U914" s="0" t="s">
        <v>138</v>
      </c>
      <c r="V914" s="14" t="s">
        <v>138</v>
      </c>
      <c r="W914" s="0" t="s">
        <v>138</v>
      </c>
      <c r="X914" s="14" t="s">
        <v>138</v>
      </c>
      <c r="Y914" s="0" t="s">
        <v>138</v>
      </c>
      <c r="Z914" s="14" t="s">
        <v>138</v>
      </c>
      <c r="AA914" s="0" t="s">
        <v>138</v>
      </c>
      <c r="AB914" s="14" t="s">
        <v>138</v>
      </c>
      <c r="AD914" s="0" t="s">
        <v>138</v>
      </c>
      <c r="AF914" s="0">
        <v>0</v>
      </c>
      <c r="AG914" s="0">
        <v>0</v>
      </c>
      <c r="AH914" s="0" t="s">
        <v>140</v>
      </c>
      <c r="AI914" s="0" t="s">
        <v>138</v>
      </c>
      <c r="AK914" s="0" t="s">
        <v>1151</v>
      </c>
      <c r="AL914" s="14"/>
      <c r="AN914" s="14"/>
      <c r="AQ914" s="0" t="s">
        <v>130</v>
      </c>
      <c r="AR914" s="0" t="s">
        <v>130</v>
      </c>
      <c r="AS914" s="0" t="s">
        <v>130</v>
      </c>
      <c r="AT914" s="0" t="s">
        <v>130</v>
      </c>
      <c r="AU914" s="0" t="s">
        <v>141</v>
      </c>
      <c r="AV914" s="0" t="s">
        <v>130</v>
      </c>
      <c r="AW914" s="0" t="s">
        <v>130</v>
      </c>
      <c r="AX914" s="0" t="s">
        <v>130</v>
      </c>
      <c r="AY914" s="0" t="s">
        <v>130</v>
      </c>
      <c r="AZ914" s="0" t="s">
        <v>130</v>
      </c>
      <c r="BA914" s="0" t="s">
        <v>130</v>
      </c>
      <c r="BB914" s="0" t="s">
        <v>130</v>
      </c>
      <c r="BC914" s="0" t="s">
        <v>130</v>
      </c>
      <c r="BD914" s="0" t="s">
        <v>130</v>
      </c>
      <c r="BE914" s="0" t="s">
        <v>130</v>
      </c>
      <c r="BF914" s="0" t="s">
        <v>130</v>
      </c>
      <c r="BG914" s="0" t="s">
        <v>130</v>
      </c>
      <c r="BH914" s="0" t="s">
        <v>130</v>
      </c>
      <c r="BI914" s="0" t="s">
        <v>130</v>
      </c>
      <c r="BJ914" s="0" t="s">
        <v>130</v>
      </c>
      <c r="BK914" s="0" t="s">
        <v>130</v>
      </c>
      <c r="BL914" s="0" t="s">
        <v>130</v>
      </c>
      <c r="BM914" s="0" t="s">
        <v>130</v>
      </c>
      <c r="BN914" s="0" t="s">
        <v>130</v>
      </c>
      <c r="BO914" s="0" t="s">
        <v>130</v>
      </c>
      <c r="BP914" s="0" t="s">
        <v>130</v>
      </c>
      <c r="BQ914" s="0" t="s">
        <v>130</v>
      </c>
      <c r="BR914" s="0" t="s">
        <v>130</v>
      </c>
      <c r="BS914" s="0" t="s">
        <v>130</v>
      </c>
      <c r="BT914" s="0" t="s">
        <v>130</v>
      </c>
      <c r="BU914" s="0" t="s">
        <v>130</v>
      </c>
      <c r="BV914" s="0" t="s">
        <v>130</v>
      </c>
      <c r="BW914" s="0" t="s">
        <v>130</v>
      </c>
      <c r="BX914" s="0" t="s">
        <v>130</v>
      </c>
      <c r="BY914" s="0" t="s">
        <v>130</v>
      </c>
      <c r="BZ914" s="0" t="s">
        <v>130</v>
      </c>
      <c r="CA914" s="0" t="s">
        <v>130</v>
      </c>
      <c r="CB914" s="0" t="s">
        <v>130</v>
      </c>
      <c r="CC914" s="0" t="s">
        <v>130</v>
      </c>
      <c r="CD914" s="0" t="s">
        <v>130</v>
      </c>
      <c r="CE914" s="0" t="s">
        <v>130</v>
      </c>
      <c r="CF914" s="0" t="s">
        <v>130</v>
      </c>
      <c r="CG914" s="0" t="s">
        <v>130</v>
      </c>
      <c r="CH914" s="0" t="s">
        <v>130</v>
      </c>
      <c r="CI914" s="0" t="s">
        <v>130</v>
      </c>
      <c r="CJ914" s="0" t="s">
        <v>130</v>
      </c>
      <c r="CK914" s="0" t="s">
        <v>130</v>
      </c>
      <c r="CL914" s="0" t="s">
        <v>130</v>
      </c>
      <c r="CM914" s="0" t="s">
        <v>130</v>
      </c>
      <c r="CN914" s="0" t="s">
        <v>130</v>
      </c>
      <c r="CO914" s="0" t="s">
        <v>130</v>
      </c>
      <c r="CP914" s="0" t="s">
        <v>130</v>
      </c>
      <c r="CQ914" s="0" t="s">
        <v>130</v>
      </c>
      <c r="CR914" s="0" t="s">
        <v>130</v>
      </c>
      <c r="CS914" s="0" t="s">
        <v>130</v>
      </c>
      <c r="CT914" s="0" t="s">
        <v>2801</v>
      </c>
    </row>
    <row r="915">
      <c r="A915" s="14">
        <v>117222</v>
      </c>
      <c r="B915" s="0" t="s">
        <v>2797</v>
      </c>
      <c r="C915" s="16">
        <f>HYPERLINK("https://eosportal.federatedhermes.com/companies/Q29tcGFueQppNTkyMTc=", "Samsung Fire &amp; Marine Insurance Co Ltd")</f>
      </c>
      <c r="D915" s="0" t="s">
        <v>25</v>
      </c>
      <c r="E915" s="0" t="s">
        <v>1388</v>
      </c>
      <c r="F915" s="16">
        <f>HYPERLINK("https://eosportal.federatedhermes.com/engagements/RW5nYWdlbWVudAppMjI5MDM=", "Integrated reporting")</f>
      </c>
      <c r="G915" s="14" t="s">
        <v>2802</v>
      </c>
      <c r="H915" s="0" t="s">
        <v>130</v>
      </c>
      <c r="I915" s="14" t="s">
        <v>319</v>
      </c>
      <c r="J915" s="0" t="s">
        <v>132</v>
      </c>
      <c r="K915" s="0" t="s">
        <v>170</v>
      </c>
      <c r="L915" s="0" t="s">
        <v>171</v>
      </c>
      <c r="M915" s="0" t="s">
        <v>802</v>
      </c>
      <c r="N915" s="0" t="s">
        <v>2800</v>
      </c>
      <c r="O915" s="0" t="s">
        <v>238</v>
      </c>
      <c r="Q915" s="0" t="s">
        <v>130</v>
      </c>
      <c r="R915" s="0" t="s">
        <v>138</v>
      </c>
      <c r="S915" s="14">
        <v>0</v>
      </c>
      <c r="T915" s="0" t="s">
        <v>416</v>
      </c>
      <c r="U915" s="0" t="s">
        <v>138</v>
      </c>
      <c r="V915" s="14" t="s">
        <v>138</v>
      </c>
      <c r="W915" s="0" t="s">
        <v>138</v>
      </c>
      <c r="X915" s="14" t="s">
        <v>138</v>
      </c>
      <c r="Y915" s="0" t="s">
        <v>138</v>
      </c>
      <c r="Z915" s="14" t="s">
        <v>138</v>
      </c>
      <c r="AA915" s="0" t="s">
        <v>138</v>
      </c>
      <c r="AB915" s="14" t="s">
        <v>138</v>
      </c>
      <c r="AD915" s="0" t="s">
        <v>138</v>
      </c>
      <c r="AF915" s="0">
        <v>0</v>
      </c>
      <c r="AG915" s="0">
        <v>0</v>
      </c>
      <c r="AH915" s="0" t="s">
        <v>140</v>
      </c>
      <c r="AI915" s="0" t="s">
        <v>138</v>
      </c>
      <c r="AL915" s="14"/>
      <c r="AN915" s="14"/>
      <c r="AQ915" s="0" t="s">
        <v>130</v>
      </c>
      <c r="AR915" s="0" t="s">
        <v>130</v>
      </c>
      <c r="AS915" s="0" t="s">
        <v>130</v>
      </c>
      <c r="AT915" s="0" t="s">
        <v>130</v>
      </c>
      <c r="AU915" s="0" t="s">
        <v>130</v>
      </c>
      <c r="AV915" s="0" t="s">
        <v>130</v>
      </c>
      <c r="AW915" s="0" t="s">
        <v>130</v>
      </c>
      <c r="AX915" s="0" t="s">
        <v>130</v>
      </c>
      <c r="AY915" s="0" t="s">
        <v>130</v>
      </c>
      <c r="AZ915" s="0" t="s">
        <v>130</v>
      </c>
      <c r="BA915" s="0" t="s">
        <v>130</v>
      </c>
      <c r="BB915" s="0" t="s">
        <v>130</v>
      </c>
      <c r="BC915" s="0" t="s">
        <v>130</v>
      </c>
      <c r="BD915" s="0" t="s">
        <v>130</v>
      </c>
      <c r="BE915" s="0" t="s">
        <v>130</v>
      </c>
      <c r="BF915" s="0" t="s">
        <v>130</v>
      </c>
      <c r="BG915" s="0" t="s">
        <v>130</v>
      </c>
      <c r="BH915" s="0" t="s">
        <v>130</v>
      </c>
      <c r="BI915" s="0" t="s">
        <v>130</v>
      </c>
      <c r="BJ915" s="0" t="s">
        <v>130</v>
      </c>
      <c r="BK915" s="0" t="s">
        <v>130</v>
      </c>
      <c r="BL915" s="0" t="s">
        <v>130</v>
      </c>
      <c r="BM915" s="0" t="s">
        <v>130</v>
      </c>
      <c r="BN915" s="0" t="s">
        <v>130</v>
      </c>
      <c r="BO915" s="0" t="s">
        <v>130</v>
      </c>
      <c r="BP915" s="0" t="s">
        <v>130</v>
      </c>
      <c r="BQ915" s="0" t="s">
        <v>130</v>
      </c>
      <c r="BR915" s="0" t="s">
        <v>130</v>
      </c>
      <c r="BS915" s="0" t="s">
        <v>130</v>
      </c>
      <c r="BT915" s="0" t="s">
        <v>130</v>
      </c>
      <c r="BU915" s="0" t="s">
        <v>130</v>
      </c>
      <c r="BV915" s="0" t="s">
        <v>130</v>
      </c>
      <c r="BW915" s="0" t="s">
        <v>130</v>
      </c>
      <c r="BX915" s="0" t="s">
        <v>130</v>
      </c>
      <c r="BY915" s="0" t="s">
        <v>130</v>
      </c>
      <c r="BZ915" s="0" t="s">
        <v>130</v>
      </c>
      <c r="CA915" s="0" t="s">
        <v>130</v>
      </c>
      <c r="CB915" s="0" t="s">
        <v>130</v>
      </c>
      <c r="CC915" s="0" t="s">
        <v>130</v>
      </c>
      <c r="CD915" s="0" t="s">
        <v>130</v>
      </c>
      <c r="CE915" s="0" t="s">
        <v>130</v>
      </c>
      <c r="CF915" s="0" t="s">
        <v>130</v>
      </c>
      <c r="CG915" s="0" t="s">
        <v>130</v>
      </c>
      <c r="CH915" s="0" t="s">
        <v>130</v>
      </c>
      <c r="CI915" s="0" t="s">
        <v>130</v>
      </c>
      <c r="CJ915" s="0" t="s">
        <v>130</v>
      </c>
      <c r="CK915" s="0" t="s">
        <v>130</v>
      </c>
      <c r="CL915" s="0" t="s">
        <v>130</v>
      </c>
      <c r="CM915" s="0" t="s">
        <v>130</v>
      </c>
      <c r="CN915" s="0" t="s">
        <v>130</v>
      </c>
      <c r="CO915" s="0" t="s">
        <v>130</v>
      </c>
      <c r="CP915" s="0" t="s">
        <v>130</v>
      </c>
      <c r="CQ915" s="0" t="s">
        <v>130</v>
      </c>
      <c r="CR915" s="0" t="s">
        <v>130</v>
      </c>
      <c r="CS915" s="0" t="s">
        <v>130</v>
      </c>
      <c r="CT915" s="0" t="s">
        <v>2803</v>
      </c>
    </row>
    <row r="916">
      <c r="A916" s="14">
        <v>117341</v>
      </c>
      <c r="B916" s="0" t="s">
        <v>2804</v>
      </c>
      <c r="C916" s="16">
        <f>HYPERLINK("https://eosportal.federatedhermes.com/companies/Q29tcGFueQppNjI0ODY=", "Cemex SAB de CV")</f>
      </c>
      <c r="D916" s="0" t="s">
        <v>25</v>
      </c>
      <c r="E916" s="0" t="s">
        <v>2805</v>
      </c>
      <c r="F916" s="16">
        <f>HYPERLINK("https://eosportal.federatedhermes.com/engagements/RW5nYWdlbWVudAppMjI5MDQ=", "Issuance of shares without pre-emptive rights")</f>
      </c>
      <c r="G916" s="14" t="s">
        <v>2806</v>
      </c>
      <c r="H916" s="0" t="s">
        <v>141</v>
      </c>
      <c r="I916" s="14" t="s">
        <v>636</v>
      </c>
      <c r="J916" s="0" t="s">
        <v>145</v>
      </c>
      <c r="K916" s="0" t="s">
        <v>400</v>
      </c>
      <c r="L916" s="0" t="s">
        <v>507</v>
      </c>
      <c r="M916" s="0" t="s">
        <v>2807</v>
      </c>
      <c r="N916" s="0" t="s">
        <v>2808</v>
      </c>
      <c r="O916" s="0" t="s">
        <v>373</v>
      </c>
      <c r="Q916" s="0" t="s">
        <v>130</v>
      </c>
      <c r="R916" s="0" t="s">
        <v>138</v>
      </c>
      <c r="S916" s="14">
        <v>0</v>
      </c>
      <c r="T916" s="0" t="s">
        <v>249</v>
      </c>
      <c r="U916" s="0" t="s">
        <v>138</v>
      </c>
      <c r="V916" s="14" t="s">
        <v>138</v>
      </c>
      <c r="W916" s="0" t="s">
        <v>138</v>
      </c>
      <c r="X916" s="14" t="s">
        <v>138</v>
      </c>
      <c r="Y916" s="0" t="s">
        <v>138</v>
      </c>
      <c r="Z916" s="14" t="s">
        <v>138</v>
      </c>
      <c r="AA916" s="0" t="s">
        <v>138</v>
      </c>
      <c r="AB916" s="14" t="s">
        <v>138</v>
      </c>
      <c r="AD916" s="0" t="s">
        <v>138</v>
      </c>
      <c r="AF916" s="0">
        <v>0</v>
      </c>
      <c r="AG916" s="0">
        <v>0</v>
      </c>
      <c r="AH916" s="0" t="s">
        <v>140</v>
      </c>
      <c r="AI916" s="0" t="s">
        <v>138</v>
      </c>
      <c r="AL916" s="14"/>
      <c r="AN916" s="14"/>
      <c r="AQ916" s="0" t="s">
        <v>130</v>
      </c>
      <c r="AR916" s="0" t="s">
        <v>130</v>
      </c>
      <c r="AS916" s="0" t="s">
        <v>130</v>
      </c>
      <c r="AT916" s="0" t="s">
        <v>130</v>
      </c>
      <c r="AU916" s="0" t="s">
        <v>130</v>
      </c>
      <c r="AV916" s="0" t="s">
        <v>130</v>
      </c>
      <c r="AW916" s="0" t="s">
        <v>130</v>
      </c>
      <c r="AX916" s="0" t="s">
        <v>130</v>
      </c>
      <c r="AY916" s="0" t="s">
        <v>130</v>
      </c>
      <c r="AZ916" s="0" t="s">
        <v>130</v>
      </c>
      <c r="BA916" s="0" t="s">
        <v>130</v>
      </c>
      <c r="BB916" s="0" t="s">
        <v>130</v>
      </c>
      <c r="BC916" s="0" t="s">
        <v>130</v>
      </c>
      <c r="BD916" s="0" t="s">
        <v>130</v>
      </c>
      <c r="BE916" s="0" t="s">
        <v>130</v>
      </c>
      <c r="BF916" s="0" t="s">
        <v>130</v>
      </c>
      <c r="BG916" s="0" t="s">
        <v>130</v>
      </c>
      <c r="BH916" s="0" t="s">
        <v>130</v>
      </c>
      <c r="BI916" s="0" t="s">
        <v>130</v>
      </c>
      <c r="BJ916" s="0" t="s">
        <v>130</v>
      </c>
      <c r="BK916" s="0" t="s">
        <v>130</v>
      </c>
      <c r="BL916" s="0" t="s">
        <v>130</v>
      </c>
      <c r="BM916" s="0" t="s">
        <v>130</v>
      </c>
      <c r="BN916" s="0" t="s">
        <v>130</v>
      </c>
      <c r="BO916" s="0" t="s">
        <v>130</v>
      </c>
      <c r="BP916" s="0" t="s">
        <v>130</v>
      </c>
      <c r="BQ916" s="0" t="s">
        <v>130</v>
      </c>
      <c r="BR916" s="0" t="s">
        <v>130</v>
      </c>
      <c r="BS916" s="0" t="s">
        <v>130</v>
      </c>
      <c r="BT916" s="0" t="s">
        <v>130</v>
      </c>
      <c r="BU916" s="0" t="s">
        <v>130</v>
      </c>
      <c r="BV916" s="0" t="s">
        <v>130</v>
      </c>
      <c r="BW916" s="0" t="s">
        <v>130</v>
      </c>
      <c r="BX916" s="0" t="s">
        <v>130</v>
      </c>
      <c r="BY916" s="0" t="s">
        <v>130</v>
      </c>
      <c r="BZ916" s="0" t="s">
        <v>130</v>
      </c>
      <c r="CA916" s="0" t="s">
        <v>130</v>
      </c>
      <c r="CB916" s="0" t="s">
        <v>130</v>
      </c>
      <c r="CC916" s="0" t="s">
        <v>130</v>
      </c>
      <c r="CD916" s="0" t="s">
        <v>130</v>
      </c>
      <c r="CE916" s="0" t="s">
        <v>130</v>
      </c>
      <c r="CF916" s="0" t="s">
        <v>130</v>
      </c>
      <c r="CG916" s="0" t="s">
        <v>130</v>
      </c>
      <c r="CH916" s="0" t="s">
        <v>130</v>
      </c>
      <c r="CI916" s="0" t="s">
        <v>130</v>
      </c>
      <c r="CJ916" s="0" t="s">
        <v>130</v>
      </c>
      <c r="CK916" s="0" t="s">
        <v>130</v>
      </c>
      <c r="CL916" s="0" t="s">
        <v>130</v>
      </c>
      <c r="CM916" s="0" t="s">
        <v>130</v>
      </c>
      <c r="CN916" s="0" t="s">
        <v>130</v>
      </c>
      <c r="CO916" s="0" t="s">
        <v>130</v>
      </c>
      <c r="CP916" s="0" t="s">
        <v>130</v>
      </c>
      <c r="CQ916" s="0" t="s">
        <v>130</v>
      </c>
      <c r="CR916" s="0" t="s">
        <v>130</v>
      </c>
      <c r="CS916" s="0" t="s">
        <v>130</v>
      </c>
      <c r="CT916" s="0" t="s">
        <v>2809</v>
      </c>
    </row>
    <row r="917">
      <c r="A917" s="14">
        <v>117341</v>
      </c>
      <c r="B917" s="0" t="s">
        <v>2804</v>
      </c>
      <c r="C917" s="16">
        <f>HYPERLINK("https://eosportal.federatedhermes.com/companies/Q29tcGFueQppNjI0ODY=", "Cemex SAB de CV")</f>
      </c>
      <c r="D917" s="0" t="s">
        <v>25</v>
      </c>
      <c r="E917" s="0" t="s">
        <v>2810</v>
      </c>
      <c r="F917" s="16">
        <f>HYPERLINK("https://eosportal.federatedhermes.com/engagements/RW5nYWdlbWVudAppMjI5MDU=", "Corrupt practices in Colombian subsidiary")</f>
      </c>
      <c r="G917" s="14" t="s">
        <v>2811</v>
      </c>
      <c r="H917" s="0" t="s">
        <v>141</v>
      </c>
      <c r="I917" s="14" t="s">
        <v>636</v>
      </c>
      <c r="J917" s="0" t="s">
        <v>153</v>
      </c>
      <c r="K917" s="0" t="s">
        <v>185</v>
      </c>
      <c r="L917" s="0" t="s">
        <v>186</v>
      </c>
      <c r="M917" s="0" t="s">
        <v>2807</v>
      </c>
      <c r="N917" s="0" t="s">
        <v>2808</v>
      </c>
      <c r="O917" s="0" t="s">
        <v>373</v>
      </c>
      <c r="Q917" s="0" t="s">
        <v>130</v>
      </c>
      <c r="R917" s="0" t="s">
        <v>138</v>
      </c>
      <c r="S917" s="14">
        <v>0</v>
      </c>
      <c r="T917" s="0" t="s">
        <v>320</v>
      </c>
      <c r="U917" s="0" t="s">
        <v>138</v>
      </c>
      <c r="V917" s="14" t="s">
        <v>138</v>
      </c>
      <c r="W917" s="0" t="s">
        <v>138</v>
      </c>
      <c r="X917" s="14" t="s">
        <v>138</v>
      </c>
      <c r="Y917" s="0" t="s">
        <v>138</v>
      </c>
      <c r="Z917" s="14" t="s">
        <v>138</v>
      </c>
      <c r="AA917" s="0" t="s">
        <v>138</v>
      </c>
      <c r="AB917" s="14" t="s">
        <v>138</v>
      </c>
      <c r="AD917" s="0" t="s">
        <v>138</v>
      </c>
      <c r="AF917" s="0">
        <v>0</v>
      </c>
      <c r="AG917" s="0">
        <v>0</v>
      </c>
      <c r="AH917" s="0" t="s">
        <v>140</v>
      </c>
      <c r="AI917" s="0" t="s">
        <v>138</v>
      </c>
      <c r="AL917" s="14"/>
      <c r="AN917" s="14"/>
      <c r="AQ917" s="0" t="s">
        <v>130</v>
      </c>
      <c r="AR917" s="0" t="s">
        <v>130</v>
      </c>
      <c r="AS917" s="0" t="s">
        <v>130</v>
      </c>
      <c r="AT917" s="0" t="s">
        <v>130</v>
      </c>
      <c r="AU917" s="0" t="s">
        <v>130</v>
      </c>
      <c r="AV917" s="0" t="s">
        <v>130</v>
      </c>
      <c r="AW917" s="0" t="s">
        <v>130</v>
      </c>
      <c r="AX917" s="0" t="s">
        <v>130</v>
      </c>
      <c r="AY917" s="0" t="s">
        <v>130</v>
      </c>
      <c r="AZ917" s="0" t="s">
        <v>130</v>
      </c>
      <c r="BA917" s="0" t="s">
        <v>130</v>
      </c>
      <c r="BB917" s="0" t="s">
        <v>130</v>
      </c>
      <c r="BC917" s="0" t="s">
        <v>130</v>
      </c>
      <c r="BD917" s="0" t="s">
        <v>130</v>
      </c>
      <c r="BE917" s="0" t="s">
        <v>130</v>
      </c>
      <c r="BF917" s="0" t="s">
        <v>130</v>
      </c>
      <c r="BG917" s="0" t="s">
        <v>130</v>
      </c>
      <c r="BH917" s="0" t="s">
        <v>130</v>
      </c>
      <c r="BI917" s="0" t="s">
        <v>130</v>
      </c>
      <c r="BJ917" s="0" t="s">
        <v>130</v>
      </c>
      <c r="BK917" s="0" t="s">
        <v>130</v>
      </c>
      <c r="BL917" s="0" t="s">
        <v>130</v>
      </c>
      <c r="BM917" s="0" t="s">
        <v>130</v>
      </c>
      <c r="BN917" s="0" t="s">
        <v>130</v>
      </c>
      <c r="BO917" s="0" t="s">
        <v>130</v>
      </c>
      <c r="BP917" s="0" t="s">
        <v>130</v>
      </c>
      <c r="BQ917" s="0" t="s">
        <v>130</v>
      </c>
      <c r="BR917" s="0" t="s">
        <v>130</v>
      </c>
      <c r="BS917" s="0" t="s">
        <v>130</v>
      </c>
      <c r="BT917" s="0" t="s">
        <v>130</v>
      </c>
      <c r="BU917" s="0" t="s">
        <v>130</v>
      </c>
      <c r="BV917" s="0" t="s">
        <v>130</v>
      </c>
      <c r="BW917" s="0" t="s">
        <v>130</v>
      </c>
      <c r="BX917" s="0" t="s">
        <v>130</v>
      </c>
      <c r="BY917" s="0" t="s">
        <v>130</v>
      </c>
      <c r="BZ917" s="0" t="s">
        <v>130</v>
      </c>
      <c r="CA917" s="0" t="s">
        <v>130</v>
      </c>
      <c r="CB917" s="0" t="s">
        <v>130</v>
      </c>
      <c r="CC917" s="0" t="s">
        <v>130</v>
      </c>
      <c r="CD917" s="0" t="s">
        <v>130</v>
      </c>
      <c r="CE917" s="0" t="s">
        <v>130</v>
      </c>
      <c r="CF917" s="0" t="s">
        <v>130</v>
      </c>
      <c r="CG917" s="0" t="s">
        <v>130</v>
      </c>
      <c r="CH917" s="0" t="s">
        <v>130</v>
      </c>
      <c r="CI917" s="0" t="s">
        <v>130</v>
      </c>
      <c r="CJ917" s="0" t="s">
        <v>130</v>
      </c>
      <c r="CK917" s="0" t="s">
        <v>130</v>
      </c>
      <c r="CL917" s="0" t="s">
        <v>130</v>
      </c>
      <c r="CM917" s="0" t="s">
        <v>130</v>
      </c>
      <c r="CN917" s="0" t="s">
        <v>130</v>
      </c>
      <c r="CO917" s="0" t="s">
        <v>130</v>
      </c>
      <c r="CP917" s="0" t="s">
        <v>130</v>
      </c>
      <c r="CQ917" s="0" t="s">
        <v>130</v>
      </c>
      <c r="CR917" s="0" t="s">
        <v>130</v>
      </c>
      <c r="CS917" s="0" t="s">
        <v>130</v>
      </c>
      <c r="CT917" s="0" t="s">
        <v>2812</v>
      </c>
    </row>
    <row r="918">
      <c r="A918" s="14">
        <v>117341</v>
      </c>
      <c r="B918" s="0" t="s">
        <v>2804</v>
      </c>
      <c r="C918" s="16">
        <f>HYPERLINK("https://eosportal.federatedhermes.com/companies/Q29tcGFueQppNjI0ODY=", "Cemex SAB de CV")</f>
      </c>
      <c r="D918" s="0" t="s">
        <v>25</v>
      </c>
      <c r="E918" s="0" t="s">
        <v>2813</v>
      </c>
      <c r="F918" s="16">
        <f>HYPERLINK("https://eosportal.federatedhermes.com/engagements/RW5nYWdlbWVudAppMjI5MDY=", "Joint chair/CEO roles")</f>
      </c>
      <c r="G918" s="14" t="s">
        <v>2813</v>
      </c>
      <c r="H918" s="0" t="s">
        <v>141</v>
      </c>
      <c r="I918" s="14" t="s">
        <v>636</v>
      </c>
      <c r="J918" s="0" t="s">
        <v>145</v>
      </c>
      <c r="K918" s="0" t="s">
        <v>164</v>
      </c>
      <c r="L918" s="0" t="s">
        <v>165</v>
      </c>
      <c r="M918" s="0" t="s">
        <v>2807</v>
      </c>
      <c r="N918" s="0" t="s">
        <v>2808</v>
      </c>
      <c r="O918" s="0" t="s">
        <v>373</v>
      </c>
      <c r="Q918" s="0" t="s">
        <v>130</v>
      </c>
      <c r="R918" s="0" t="s">
        <v>138</v>
      </c>
      <c r="S918" s="14">
        <v>0</v>
      </c>
      <c r="T918" s="0" t="s">
        <v>181</v>
      </c>
      <c r="U918" s="0" t="s">
        <v>138</v>
      </c>
      <c r="V918" s="14" t="s">
        <v>138</v>
      </c>
      <c r="W918" s="0" t="s">
        <v>138</v>
      </c>
      <c r="X918" s="14" t="s">
        <v>138</v>
      </c>
      <c r="Y918" s="0" t="s">
        <v>138</v>
      </c>
      <c r="Z918" s="14" t="s">
        <v>138</v>
      </c>
      <c r="AA918" s="0" t="s">
        <v>138</v>
      </c>
      <c r="AB918" s="14" t="s">
        <v>138</v>
      </c>
      <c r="AD918" s="0" t="s">
        <v>138</v>
      </c>
      <c r="AF918" s="0">
        <v>0</v>
      </c>
      <c r="AG918" s="0">
        <v>0</v>
      </c>
      <c r="AH918" s="0" t="s">
        <v>140</v>
      </c>
      <c r="AI918" s="0" t="s">
        <v>138</v>
      </c>
      <c r="AL918" s="14"/>
      <c r="AN918" s="14"/>
      <c r="AQ918" s="0" t="s">
        <v>130</v>
      </c>
      <c r="AR918" s="0" t="s">
        <v>130</v>
      </c>
      <c r="AS918" s="0" t="s">
        <v>130</v>
      </c>
      <c r="AT918" s="0" t="s">
        <v>130</v>
      </c>
      <c r="AU918" s="0" t="s">
        <v>130</v>
      </c>
      <c r="AV918" s="0" t="s">
        <v>130</v>
      </c>
      <c r="AW918" s="0" t="s">
        <v>130</v>
      </c>
      <c r="AX918" s="0" t="s">
        <v>130</v>
      </c>
      <c r="AY918" s="0" t="s">
        <v>130</v>
      </c>
      <c r="AZ918" s="0" t="s">
        <v>130</v>
      </c>
      <c r="BA918" s="0" t="s">
        <v>130</v>
      </c>
      <c r="BB918" s="0" t="s">
        <v>130</v>
      </c>
      <c r="BC918" s="0" t="s">
        <v>130</v>
      </c>
      <c r="BD918" s="0" t="s">
        <v>130</v>
      </c>
      <c r="BE918" s="0" t="s">
        <v>130</v>
      </c>
      <c r="BF918" s="0" t="s">
        <v>130</v>
      </c>
      <c r="BG918" s="0" t="s">
        <v>130</v>
      </c>
      <c r="BH918" s="0" t="s">
        <v>130</v>
      </c>
      <c r="BI918" s="0" t="s">
        <v>130</v>
      </c>
      <c r="BJ918" s="0" t="s">
        <v>130</v>
      </c>
      <c r="BK918" s="0" t="s">
        <v>130</v>
      </c>
      <c r="BL918" s="0" t="s">
        <v>130</v>
      </c>
      <c r="BM918" s="0" t="s">
        <v>130</v>
      </c>
      <c r="BN918" s="0" t="s">
        <v>130</v>
      </c>
      <c r="BO918" s="0" t="s">
        <v>130</v>
      </c>
      <c r="BP918" s="0" t="s">
        <v>130</v>
      </c>
      <c r="BQ918" s="0" t="s">
        <v>130</v>
      </c>
      <c r="BR918" s="0" t="s">
        <v>130</v>
      </c>
      <c r="BS918" s="0" t="s">
        <v>130</v>
      </c>
      <c r="BT918" s="0" t="s">
        <v>130</v>
      </c>
      <c r="BU918" s="0" t="s">
        <v>130</v>
      </c>
      <c r="BV918" s="0" t="s">
        <v>130</v>
      </c>
      <c r="BW918" s="0" t="s">
        <v>130</v>
      </c>
      <c r="BX918" s="0" t="s">
        <v>130</v>
      </c>
      <c r="BY918" s="0" t="s">
        <v>130</v>
      </c>
      <c r="BZ918" s="0" t="s">
        <v>130</v>
      </c>
      <c r="CA918" s="0" t="s">
        <v>130</v>
      </c>
      <c r="CB918" s="0" t="s">
        <v>130</v>
      </c>
      <c r="CC918" s="0" t="s">
        <v>130</v>
      </c>
      <c r="CD918" s="0" t="s">
        <v>130</v>
      </c>
      <c r="CE918" s="0" t="s">
        <v>130</v>
      </c>
      <c r="CF918" s="0" t="s">
        <v>130</v>
      </c>
      <c r="CG918" s="0" t="s">
        <v>130</v>
      </c>
      <c r="CH918" s="0" t="s">
        <v>130</v>
      </c>
      <c r="CI918" s="0" t="s">
        <v>130</v>
      </c>
      <c r="CJ918" s="0" t="s">
        <v>130</v>
      </c>
      <c r="CK918" s="0" t="s">
        <v>130</v>
      </c>
      <c r="CL918" s="0" t="s">
        <v>130</v>
      </c>
      <c r="CM918" s="0" t="s">
        <v>130</v>
      </c>
      <c r="CN918" s="0" t="s">
        <v>130</v>
      </c>
      <c r="CO918" s="0" t="s">
        <v>130</v>
      </c>
      <c r="CP918" s="0" t="s">
        <v>130</v>
      </c>
      <c r="CQ918" s="0" t="s">
        <v>130</v>
      </c>
      <c r="CR918" s="0" t="s">
        <v>130</v>
      </c>
      <c r="CS918" s="0" t="s">
        <v>130</v>
      </c>
      <c r="CT918" s="0" t="s">
        <v>2814</v>
      </c>
    </row>
    <row r="919">
      <c r="A919" s="14">
        <v>117341</v>
      </c>
      <c r="B919" s="0" t="s">
        <v>2804</v>
      </c>
      <c r="C919" s="16">
        <f>HYPERLINK("https://eosportal.federatedhermes.com/companies/Q29tcGFueQppNjI0ODY=", "Cemex SAB de CV")</f>
      </c>
      <c r="D919" s="0" t="s">
        <v>25</v>
      </c>
      <c r="E919" s="0" t="s">
        <v>2815</v>
      </c>
      <c r="F919" s="16">
        <f>HYPERLINK("https://eosportal.federatedhermes.com/engagements/RW5nYWdlbWVudAppMjI5MTU=", "Response to Coronavirus Pandemic Crisis")</f>
      </c>
      <c r="G919" s="14" t="s">
        <v>2816</v>
      </c>
      <c r="H919" s="0" t="s">
        <v>141</v>
      </c>
      <c r="I919" s="14" t="s">
        <v>636</v>
      </c>
      <c r="J919" s="0" t="s">
        <v>132</v>
      </c>
      <c r="K919" s="0" t="s">
        <v>260</v>
      </c>
      <c r="L919" s="0" t="s">
        <v>261</v>
      </c>
      <c r="M919" s="0" t="s">
        <v>2807</v>
      </c>
      <c r="N919" s="0" t="s">
        <v>2808</v>
      </c>
      <c r="O919" s="0" t="s">
        <v>373</v>
      </c>
      <c r="Q919" s="0" t="s">
        <v>130</v>
      </c>
      <c r="R919" s="0" t="s">
        <v>138</v>
      </c>
      <c r="S919" s="14">
        <v>0</v>
      </c>
      <c r="T919" s="0" t="s">
        <v>148</v>
      </c>
      <c r="U919" s="0" t="s">
        <v>138</v>
      </c>
      <c r="V919" s="14" t="s">
        <v>138</v>
      </c>
      <c r="W919" s="0" t="s">
        <v>138</v>
      </c>
      <c r="X919" s="14" t="s">
        <v>138</v>
      </c>
      <c r="Y919" s="0" t="s">
        <v>138</v>
      </c>
      <c r="Z919" s="14" t="s">
        <v>138</v>
      </c>
      <c r="AA919" s="0" t="s">
        <v>138</v>
      </c>
      <c r="AB919" s="14" t="s">
        <v>138</v>
      </c>
      <c r="AD919" s="0" t="s">
        <v>138</v>
      </c>
      <c r="AF919" s="0">
        <v>0</v>
      </c>
      <c r="AG919" s="0">
        <v>0</v>
      </c>
      <c r="AH919" s="0" t="s">
        <v>140</v>
      </c>
      <c r="AI919" s="0" t="s">
        <v>138</v>
      </c>
      <c r="AL919" s="14"/>
      <c r="AN919" s="14"/>
      <c r="AQ919" s="0" t="s">
        <v>130</v>
      </c>
      <c r="AR919" s="0" t="s">
        <v>130</v>
      </c>
      <c r="AS919" s="0" t="s">
        <v>130</v>
      </c>
      <c r="AT919" s="0" t="s">
        <v>130</v>
      </c>
      <c r="AU919" s="0" t="s">
        <v>130</v>
      </c>
      <c r="AV919" s="0" t="s">
        <v>130</v>
      </c>
      <c r="AW919" s="0" t="s">
        <v>130</v>
      </c>
      <c r="AX919" s="0" t="s">
        <v>130</v>
      </c>
      <c r="AY919" s="0" t="s">
        <v>130</v>
      </c>
      <c r="AZ919" s="0" t="s">
        <v>130</v>
      </c>
      <c r="BA919" s="0" t="s">
        <v>130</v>
      </c>
      <c r="BB919" s="0" t="s">
        <v>130</v>
      </c>
      <c r="BC919" s="0" t="s">
        <v>130</v>
      </c>
      <c r="BD919" s="0" t="s">
        <v>130</v>
      </c>
      <c r="BE919" s="0" t="s">
        <v>130</v>
      </c>
      <c r="BF919" s="0" t="s">
        <v>130</v>
      </c>
      <c r="BG919" s="0" t="s">
        <v>130</v>
      </c>
      <c r="BH919" s="0" t="s">
        <v>130</v>
      </c>
      <c r="BI919" s="0" t="s">
        <v>130</v>
      </c>
      <c r="BJ919" s="0" t="s">
        <v>130</v>
      </c>
      <c r="BK919" s="0" t="s">
        <v>130</v>
      </c>
      <c r="BL919" s="0" t="s">
        <v>130</v>
      </c>
      <c r="BM919" s="0" t="s">
        <v>130</v>
      </c>
      <c r="BN919" s="0" t="s">
        <v>130</v>
      </c>
      <c r="BO919" s="0" t="s">
        <v>130</v>
      </c>
      <c r="BP919" s="0" t="s">
        <v>130</v>
      </c>
      <c r="BQ919" s="0" t="s">
        <v>130</v>
      </c>
      <c r="BR919" s="0" t="s">
        <v>130</v>
      </c>
      <c r="BS919" s="0" t="s">
        <v>130</v>
      </c>
      <c r="BT919" s="0" t="s">
        <v>130</v>
      </c>
      <c r="BU919" s="0" t="s">
        <v>130</v>
      </c>
      <c r="BV919" s="0" t="s">
        <v>130</v>
      </c>
      <c r="BW919" s="0" t="s">
        <v>130</v>
      </c>
      <c r="BX919" s="0" t="s">
        <v>130</v>
      </c>
      <c r="BY919" s="0" t="s">
        <v>130</v>
      </c>
      <c r="BZ919" s="0" t="s">
        <v>130</v>
      </c>
      <c r="CA919" s="0" t="s">
        <v>130</v>
      </c>
      <c r="CB919" s="0" t="s">
        <v>130</v>
      </c>
      <c r="CC919" s="0" t="s">
        <v>130</v>
      </c>
      <c r="CD919" s="0" t="s">
        <v>130</v>
      </c>
      <c r="CE919" s="0" t="s">
        <v>130</v>
      </c>
      <c r="CF919" s="0" t="s">
        <v>130</v>
      </c>
      <c r="CG919" s="0" t="s">
        <v>130</v>
      </c>
      <c r="CH919" s="0" t="s">
        <v>130</v>
      </c>
      <c r="CI919" s="0" t="s">
        <v>130</v>
      </c>
      <c r="CJ919" s="0" t="s">
        <v>130</v>
      </c>
      <c r="CK919" s="0" t="s">
        <v>130</v>
      </c>
      <c r="CL919" s="0" t="s">
        <v>130</v>
      </c>
      <c r="CM919" s="0" t="s">
        <v>130</v>
      </c>
      <c r="CN919" s="0" t="s">
        <v>130</v>
      </c>
      <c r="CO919" s="0" t="s">
        <v>130</v>
      </c>
      <c r="CP919" s="0" t="s">
        <v>130</v>
      </c>
      <c r="CQ919" s="0" t="s">
        <v>130</v>
      </c>
      <c r="CR919" s="0" t="s">
        <v>130</v>
      </c>
      <c r="CS919" s="0" t="s">
        <v>130</v>
      </c>
      <c r="CT919" s="0" t="s">
        <v>2817</v>
      </c>
    </row>
    <row r="920">
      <c r="A920" s="14">
        <v>117341</v>
      </c>
      <c r="B920" s="0" t="s">
        <v>2804</v>
      </c>
      <c r="C920" s="16">
        <f>HYPERLINK("https://eosportal.federatedhermes.com/companies/Q29tcGFueQppNjI0ODY=", "Cemex SAB de CV")</f>
      </c>
      <c r="D920" s="0" t="s">
        <v>25</v>
      </c>
      <c r="E920" s="0" t="s">
        <v>2818</v>
      </c>
      <c r="F920" s="16">
        <f>HYPERLINK("https://eosportal.federatedhermes.com/engagements/RW5nYWdlbWVudAppMjI5MTY=", "Operations in the West Bank")</f>
      </c>
      <c r="G920" s="14" t="s">
        <v>2819</v>
      </c>
      <c r="H920" s="0" t="s">
        <v>141</v>
      </c>
      <c r="I920" s="14" t="s">
        <v>636</v>
      </c>
      <c r="J920" s="0" t="s">
        <v>153</v>
      </c>
      <c r="K920" s="0" t="s">
        <v>243</v>
      </c>
      <c r="L920" s="0" t="s">
        <v>456</v>
      </c>
      <c r="M920" s="0" t="s">
        <v>2807</v>
      </c>
      <c r="N920" s="0" t="s">
        <v>2808</v>
      </c>
      <c r="O920" s="0" t="s">
        <v>373</v>
      </c>
      <c r="Q920" s="0" t="s">
        <v>130</v>
      </c>
      <c r="R920" s="0" t="s">
        <v>138</v>
      </c>
      <c r="S920" s="14">
        <v>0</v>
      </c>
      <c r="T920" s="0" t="s">
        <v>148</v>
      </c>
      <c r="U920" s="0" t="s">
        <v>138</v>
      </c>
      <c r="V920" s="14" t="s">
        <v>138</v>
      </c>
      <c r="W920" s="0" t="s">
        <v>138</v>
      </c>
      <c r="X920" s="14" t="s">
        <v>138</v>
      </c>
      <c r="Y920" s="0" t="s">
        <v>138</v>
      </c>
      <c r="Z920" s="14" t="s">
        <v>138</v>
      </c>
      <c r="AA920" s="0" t="s">
        <v>138</v>
      </c>
      <c r="AB920" s="14" t="s">
        <v>138</v>
      </c>
      <c r="AD920" s="0" t="s">
        <v>138</v>
      </c>
      <c r="AF920" s="0">
        <v>0</v>
      </c>
      <c r="AG920" s="0">
        <v>0</v>
      </c>
      <c r="AH920" s="0" t="s">
        <v>140</v>
      </c>
      <c r="AI920" s="0" t="s">
        <v>138</v>
      </c>
      <c r="AL920" s="14"/>
      <c r="AN920" s="14"/>
      <c r="AQ920" s="0" t="s">
        <v>130</v>
      </c>
      <c r="AR920" s="0" t="s">
        <v>130</v>
      </c>
      <c r="AS920" s="0" t="s">
        <v>130</v>
      </c>
      <c r="AT920" s="0" t="s">
        <v>130</v>
      </c>
      <c r="AU920" s="0" t="s">
        <v>130</v>
      </c>
      <c r="AV920" s="0" t="s">
        <v>130</v>
      </c>
      <c r="AW920" s="0" t="s">
        <v>130</v>
      </c>
      <c r="AX920" s="0" t="s">
        <v>141</v>
      </c>
      <c r="AY920" s="0" t="s">
        <v>130</v>
      </c>
      <c r="AZ920" s="0" t="s">
        <v>130</v>
      </c>
      <c r="BA920" s="0" t="s">
        <v>130</v>
      </c>
      <c r="BB920" s="0" t="s">
        <v>130</v>
      </c>
      <c r="BC920" s="0" t="s">
        <v>130</v>
      </c>
      <c r="BD920" s="0" t="s">
        <v>130</v>
      </c>
      <c r="BE920" s="0" t="s">
        <v>130</v>
      </c>
      <c r="BF920" s="0" t="s">
        <v>141</v>
      </c>
      <c r="BG920" s="0" t="s">
        <v>130</v>
      </c>
      <c r="BH920" s="0" t="s">
        <v>130</v>
      </c>
      <c r="BI920" s="0" t="s">
        <v>130</v>
      </c>
      <c r="BJ920" s="0" t="s">
        <v>130</v>
      </c>
      <c r="BK920" s="0" t="s">
        <v>130</v>
      </c>
      <c r="BL920" s="0" t="s">
        <v>130</v>
      </c>
      <c r="BM920" s="0" t="s">
        <v>130</v>
      </c>
      <c r="BN920" s="0" t="s">
        <v>130</v>
      </c>
      <c r="BO920" s="0" t="s">
        <v>130</v>
      </c>
      <c r="BP920" s="0" t="s">
        <v>130</v>
      </c>
      <c r="BQ920" s="0" t="s">
        <v>130</v>
      </c>
      <c r="BR920" s="0" t="s">
        <v>130</v>
      </c>
      <c r="BS920" s="0" t="s">
        <v>130</v>
      </c>
      <c r="BT920" s="0" t="s">
        <v>130</v>
      </c>
      <c r="BU920" s="0" t="s">
        <v>130</v>
      </c>
      <c r="BV920" s="0" t="s">
        <v>130</v>
      </c>
      <c r="BW920" s="0" t="s">
        <v>130</v>
      </c>
      <c r="BX920" s="0" t="s">
        <v>130</v>
      </c>
      <c r="BY920" s="0" t="s">
        <v>130</v>
      </c>
      <c r="BZ920" s="0" t="s">
        <v>130</v>
      </c>
      <c r="CA920" s="0" t="s">
        <v>130</v>
      </c>
      <c r="CB920" s="0" t="s">
        <v>130</v>
      </c>
      <c r="CC920" s="0" t="s">
        <v>130</v>
      </c>
      <c r="CD920" s="0" t="s">
        <v>130</v>
      </c>
      <c r="CE920" s="0" t="s">
        <v>130</v>
      </c>
      <c r="CF920" s="0" t="s">
        <v>130</v>
      </c>
      <c r="CG920" s="0" t="s">
        <v>130</v>
      </c>
      <c r="CH920" s="0" t="s">
        <v>130</v>
      </c>
      <c r="CI920" s="0" t="s">
        <v>130</v>
      </c>
      <c r="CJ920" s="0" t="s">
        <v>130</v>
      </c>
      <c r="CK920" s="0" t="s">
        <v>130</v>
      </c>
      <c r="CL920" s="0" t="s">
        <v>130</v>
      </c>
      <c r="CM920" s="0" t="s">
        <v>130</v>
      </c>
      <c r="CN920" s="0" t="s">
        <v>130</v>
      </c>
      <c r="CO920" s="0" t="s">
        <v>130</v>
      </c>
      <c r="CP920" s="0" t="s">
        <v>130</v>
      </c>
      <c r="CQ920" s="0" t="s">
        <v>130</v>
      </c>
      <c r="CR920" s="0" t="s">
        <v>130</v>
      </c>
      <c r="CS920" s="0" t="s">
        <v>130</v>
      </c>
      <c r="CT920" s="0" t="s">
        <v>2820</v>
      </c>
    </row>
    <row r="921">
      <c r="A921" s="14">
        <v>117341</v>
      </c>
      <c r="B921" s="0" t="s">
        <v>2804</v>
      </c>
      <c r="C921" s="16">
        <f>HYPERLINK("https://eosportal.federatedhermes.com/companies/Q29tcGFueQppNjI0ODY=", "Cemex SAB de CV")</f>
      </c>
      <c r="D921" s="0" t="s">
        <v>25</v>
      </c>
      <c r="E921" s="0" t="s">
        <v>934</v>
      </c>
      <c r="F921" s="16">
        <f>HYPERLINK("https://eosportal.federatedhermes.com/engagements/RW5nYWdlbWVudAppMjI5MTc=", "Adoption of Science-based targets")</f>
      </c>
      <c r="G921" s="14" t="s">
        <v>2821</v>
      </c>
      <c r="H921" s="0" t="s">
        <v>141</v>
      </c>
      <c r="I921" s="14" t="s">
        <v>636</v>
      </c>
      <c r="J921" s="0" t="s">
        <v>197</v>
      </c>
      <c r="K921" s="0" t="s">
        <v>198</v>
      </c>
      <c r="L921" s="0" t="s">
        <v>216</v>
      </c>
      <c r="M921" s="0" t="s">
        <v>2807</v>
      </c>
      <c r="N921" s="0" t="s">
        <v>2808</v>
      </c>
      <c r="O921" s="0" t="s">
        <v>373</v>
      </c>
      <c r="Q921" s="0" t="s">
        <v>130</v>
      </c>
      <c r="R921" s="0" t="s">
        <v>138</v>
      </c>
      <c r="S921" s="14">
        <v>0</v>
      </c>
      <c r="T921" s="0" t="s">
        <v>487</v>
      </c>
      <c r="U921" s="0" t="s">
        <v>138</v>
      </c>
      <c r="V921" s="14" t="s">
        <v>138</v>
      </c>
      <c r="W921" s="0" t="s">
        <v>138</v>
      </c>
      <c r="X921" s="14" t="s">
        <v>138</v>
      </c>
      <c r="Y921" s="0" t="s">
        <v>138</v>
      </c>
      <c r="Z921" s="14" t="s">
        <v>138</v>
      </c>
      <c r="AA921" s="0" t="s">
        <v>138</v>
      </c>
      <c r="AB921" s="14" t="s">
        <v>138</v>
      </c>
      <c r="AD921" s="0" t="s">
        <v>138</v>
      </c>
      <c r="AF921" s="0">
        <v>0</v>
      </c>
      <c r="AG921" s="0">
        <v>0</v>
      </c>
      <c r="AH921" s="0" t="s">
        <v>140</v>
      </c>
      <c r="AI921" s="0" t="s">
        <v>138</v>
      </c>
      <c r="AL921" s="14"/>
      <c r="AN921" s="14"/>
      <c r="AQ921" s="0" t="s">
        <v>130</v>
      </c>
      <c r="AR921" s="0" t="s">
        <v>130</v>
      </c>
      <c r="AS921" s="0" t="s">
        <v>130</v>
      </c>
      <c r="AT921" s="0" t="s">
        <v>130</v>
      </c>
      <c r="AU921" s="0" t="s">
        <v>130</v>
      </c>
      <c r="AV921" s="0" t="s">
        <v>130</v>
      </c>
      <c r="AW921" s="0" t="s">
        <v>141</v>
      </c>
      <c r="AX921" s="0" t="s">
        <v>130</v>
      </c>
      <c r="AY921" s="0" t="s">
        <v>130</v>
      </c>
      <c r="AZ921" s="0" t="s">
        <v>130</v>
      </c>
      <c r="BA921" s="0" t="s">
        <v>130</v>
      </c>
      <c r="BB921" s="0" t="s">
        <v>130</v>
      </c>
      <c r="BC921" s="0" t="s">
        <v>141</v>
      </c>
      <c r="BD921" s="0" t="s">
        <v>130</v>
      </c>
      <c r="BE921" s="0" t="s">
        <v>130</v>
      </c>
      <c r="BF921" s="0" t="s">
        <v>130</v>
      </c>
      <c r="BG921" s="0" t="s">
        <v>130</v>
      </c>
      <c r="BH921" s="0" t="s">
        <v>141</v>
      </c>
      <c r="BI921" s="0" t="s">
        <v>141</v>
      </c>
      <c r="BJ921" s="0" t="s">
        <v>141</v>
      </c>
      <c r="BK921" s="0" t="s">
        <v>130</v>
      </c>
      <c r="BL921" s="0" t="s">
        <v>130</v>
      </c>
      <c r="BM921" s="0" t="s">
        <v>130</v>
      </c>
      <c r="BN921" s="0" t="s">
        <v>130</v>
      </c>
      <c r="BO921" s="0" t="s">
        <v>130</v>
      </c>
      <c r="BP921" s="0" t="s">
        <v>130</v>
      </c>
      <c r="BQ921" s="0" t="s">
        <v>130</v>
      </c>
      <c r="BR921" s="0" t="s">
        <v>130</v>
      </c>
      <c r="BS921" s="0" t="s">
        <v>130</v>
      </c>
      <c r="BT921" s="0" t="s">
        <v>130</v>
      </c>
      <c r="BU921" s="0" t="s">
        <v>130</v>
      </c>
      <c r="BV921" s="0" t="s">
        <v>141</v>
      </c>
      <c r="BW921" s="0" t="s">
        <v>141</v>
      </c>
      <c r="BX921" s="0" t="s">
        <v>130</v>
      </c>
      <c r="BY921" s="0" t="s">
        <v>130</v>
      </c>
      <c r="BZ921" s="0" t="s">
        <v>130</v>
      </c>
      <c r="CA921" s="0" t="s">
        <v>130</v>
      </c>
      <c r="CB921" s="0" t="s">
        <v>130</v>
      </c>
      <c r="CC921" s="0" t="s">
        <v>130</v>
      </c>
      <c r="CD921" s="0" t="s">
        <v>130</v>
      </c>
      <c r="CE921" s="0" t="s">
        <v>130</v>
      </c>
      <c r="CF921" s="0" t="s">
        <v>130</v>
      </c>
      <c r="CG921" s="0" t="s">
        <v>130</v>
      </c>
      <c r="CH921" s="0" t="s">
        <v>130</v>
      </c>
      <c r="CI921" s="0" t="s">
        <v>130</v>
      </c>
      <c r="CJ921" s="0" t="s">
        <v>130</v>
      </c>
      <c r="CK921" s="0" t="s">
        <v>130</v>
      </c>
      <c r="CL921" s="0" t="s">
        <v>130</v>
      </c>
      <c r="CM921" s="0" t="s">
        <v>130</v>
      </c>
      <c r="CN921" s="0" t="s">
        <v>130</v>
      </c>
      <c r="CO921" s="0" t="s">
        <v>130</v>
      </c>
      <c r="CP921" s="0" t="s">
        <v>130</v>
      </c>
      <c r="CQ921" s="0" t="s">
        <v>130</v>
      </c>
      <c r="CR921" s="0" t="s">
        <v>130</v>
      </c>
      <c r="CS921" s="0" t="s">
        <v>130</v>
      </c>
      <c r="CT921" s="0" t="s">
        <v>2822</v>
      </c>
    </row>
    <row r="922">
      <c r="A922" s="14">
        <v>117241</v>
      </c>
      <c r="B922" s="0" t="s">
        <v>2823</v>
      </c>
      <c r="C922" s="16">
        <f>HYPERLINK("https://eosportal.federatedhermes.com/companies/Q29tcGFueQppNzE1NTM=", "Astra International Tbk PT")</f>
      </c>
      <c r="D922" s="0" t="s">
        <v>25</v>
      </c>
      <c r="E922" s="0" t="s">
        <v>2824</v>
      </c>
      <c r="F922" s="16">
        <f>HYPERLINK("https://eosportal.federatedhermes.com/engagements/RW5nYWdlbWVudAppMjI5MjA=", "Bundled director votes")</f>
      </c>
      <c r="G922" s="14" t="s">
        <v>2825</v>
      </c>
      <c r="H922" s="0" t="s">
        <v>130</v>
      </c>
      <c r="I922" s="14" t="s">
        <v>319</v>
      </c>
      <c r="J922" s="0" t="s">
        <v>145</v>
      </c>
      <c r="K922" s="0" t="s">
        <v>400</v>
      </c>
      <c r="L922" s="0" t="s">
        <v>507</v>
      </c>
      <c r="M922" s="0" t="s">
        <v>2807</v>
      </c>
      <c r="N922" s="0" t="s">
        <v>2826</v>
      </c>
      <c r="O922" s="0" t="s">
        <v>176</v>
      </c>
      <c r="Q922" s="0" t="s">
        <v>141</v>
      </c>
      <c r="R922" s="0" t="s">
        <v>138</v>
      </c>
      <c r="S922" s="14">
        <v>1</v>
      </c>
      <c r="T922" s="0" t="s">
        <v>239</v>
      </c>
      <c r="U922" s="0" t="s">
        <v>138</v>
      </c>
      <c r="V922" s="14" t="s">
        <v>138</v>
      </c>
      <c r="W922" s="0" t="s">
        <v>138</v>
      </c>
      <c r="X922" s="14" t="s">
        <v>138</v>
      </c>
      <c r="Y922" s="0" t="s">
        <v>138</v>
      </c>
      <c r="Z922" s="14" t="s">
        <v>138</v>
      </c>
      <c r="AA922" s="0" t="s">
        <v>138</v>
      </c>
      <c r="AB922" s="14" t="s">
        <v>138</v>
      </c>
      <c r="AD922" s="0" t="s">
        <v>138</v>
      </c>
      <c r="AF922" s="0">
        <v>0</v>
      </c>
      <c r="AG922" s="0">
        <v>0</v>
      </c>
      <c r="AH922" s="0" t="s">
        <v>140</v>
      </c>
      <c r="AI922" s="0" t="s">
        <v>138</v>
      </c>
      <c r="AK922" s="0" t="s">
        <v>344</v>
      </c>
      <c r="AL922" s="14"/>
      <c r="AN922" s="14"/>
      <c r="AQ922" s="0" t="s">
        <v>130</v>
      </c>
      <c r="AR922" s="0" t="s">
        <v>130</v>
      </c>
      <c r="AS922" s="0" t="s">
        <v>130</v>
      </c>
      <c r="AT922" s="0" t="s">
        <v>130</v>
      </c>
      <c r="AU922" s="0" t="s">
        <v>130</v>
      </c>
      <c r="AV922" s="0" t="s">
        <v>130</v>
      </c>
      <c r="AW922" s="0" t="s">
        <v>130</v>
      </c>
      <c r="AX922" s="0" t="s">
        <v>130</v>
      </c>
      <c r="AY922" s="0" t="s">
        <v>130</v>
      </c>
      <c r="AZ922" s="0" t="s">
        <v>130</v>
      </c>
      <c r="BA922" s="0" t="s">
        <v>130</v>
      </c>
      <c r="BB922" s="0" t="s">
        <v>130</v>
      </c>
      <c r="BC922" s="0" t="s">
        <v>130</v>
      </c>
      <c r="BD922" s="0" t="s">
        <v>130</v>
      </c>
      <c r="BE922" s="0" t="s">
        <v>130</v>
      </c>
      <c r="BF922" s="0" t="s">
        <v>130</v>
      </c>
      <c r="BG922" s="0" t="s">
        <v>130</v>
      </c>
      <c r="BH922" s="0" t="s">
        <v>130</v>
      </c>
      <c r="BI922" s="0" t="s">
        <v>130</v>
      </c>
      <c r="BJ922" s="0" t="s">
        <v>130</v>
      </c>
      <c r="BK922" s="0" t="s">
        <v>130</v>
      </c>
      <c r="BL922" s="0" t="s">
        <v>130</v>
      </c>
      <c r="BM922" s="0" t="s">
        <v>130</v>
      </c>
      <c r="BN922" s="0" t="s">
        <v>130</v>
      </c>
      <c r="BO922" s="0" t="s">
        <v>130</v>
      </c>
      <c r="BP922" s="0" t="s">
        <v>130</v>
      </c>
      <c r="BQ922" s="0" t="s">
        <v>130</v>
      </c>
      <c r="BR922" s="0" t="s">
        <v>130</v>
      </c>
      <c r="BS922" s="0" t="s">
        <v>130</v>
      </c>
      <c r="BT922" s="0" t="s">
        <v>130</v>
      </c>
      <c r="BU922" s="0" t="s">
        <v>130</v>
      </c>
      <c r="BV922" s="0" t="s">
        <v>130</v>
      </c>
      <c r="BW922" s="0" t="s">
        <v>130</v>
      </c>
      <c r="BX922" s="0" t="s">
        <v>130</v>
      </c>
      <c r="BY922" s="0" t="s">
        <v>130</v>
      </c>
      <c r="BZ922" s="0" t="s">
        <v>130</v>
      </c>
      <c r="CA922" s="0" t="s">
        <v>130</v>
      </c>
      <c r="CB922" s="0" t="s">
        <v>130</v>
      </c>
      <c r="CC922" s="0" t="s">
        <v>130</v>
      </c>
      <c r="CD922" s="0" t="s">
        <v>130</v>
      </c>
      <c r="CE922" s="0" t="s">
        <v>130</v>
      </c>
      <c r="CF922" s="0" t="s">
        <v>130</v>
      </c>
      <c r="CG922" s="0" t="s">
        <v>130</v>
      </c>
      <c r="CH922" s="0" t="s">
        <v>130</v>
      </c>
      <c r="CI922" s="0" t="s">
        <v>130</v>
      </c>
      <c r="CJ922" s="0" t="s">
        <v>130</v>
      </c>
      <c r="CK922" s="0" t="s">
        <v>130</v>
      </c>
      <c r="CL922" s="0" t="s">
        <v>130</v>
      </c>
      <c r="CM922" s="0" t="s">
        <v>130</v>
      </c>
      <c r="CN922" s="0" t="s">
        <v>130</v>
      </c>
      <c r="CO922" s="0" t="s">
        <v>130</v>
      </c>
      <c r="CP922" s="0" t="s">
        <v>130</v>
      </c>
      <c r="CQ922" s="0" t="s">
        <v>130</v>
      </c>
      <c r="CR922" s="0" t="s">
        <v>130</v>
      </c>
      <c r="CS922" s="0" t="s">
        <v>130</v>
      </c>
      <c r="CT922" s="0" t="s">
        <v>2827</v>
      </c>
    </row>
    <row r="923">
      <c r="A923" s="14">
        <v>117241</v>
      </c>
      <c r="B923" s="0" t="s">
        <v>2823</v>
      </c>
      <c r="C923" s="16">
        <f>HYPERLINK("https://eosportal.federatedhermes.com/companies/Q29tcGFueQppNzE1NTM=", "Astra International Tbk PT")</f>
      </c>
      <c r="D923" s="0" t="s">
        <v>25</v>
      </c>
      <c r="E923" s="0" t="s">
        <v>2828</v>
      </c>
      <c r="F923" s="16">
        <f>HYPERLINK("https://eosportal.federatedhermes.com/engagements/RW5nYWdlbWVudAppMjI5MjE=", "Climate change risk and opportunity management – TPI")</f>
      </c>
      <c r="G923" s="14" t="s">
        <v>2829</v>
      </c>
      <c r="H923" s="0" t="s">
        <v>130</v>
      </c>
      <c r="I923" s="14" t="s">
        <v>319</v>
      </c>
      <c r="J923" s="0" t="s">
        <v>197</v>
      </c>
      <c r="K923" s="0" t="s">
        <v>198</v>
      </c>
      <c r="L923" s="0" t="s">
        <v>199</v>
      </c>
      <c r="M923" s="0" t="s">
        <v>2807</v>
      </c>
      <c r="N923" s="0" t="s">
        <v>2826</v>
      </c>
      <c r="O923" s="0" t="s">
        <v>176</v>
      </c>
      <c r="Q923" s="0" t="s">
        <v>141</v>
      </c>
      <c r="R923" s="0" t="s">
        <v>138</v>
      </c>
      <c r="S923" s="14">
        <v>1</v>
      </c>
      <c r="T923" s="0" t="s">
        <v>206</v>
      </c>
      <c r="U923" s="0" t="s">
        <v>138</v>
      </c>
      <c r="V923" s="14" t="s">
        <v>138</v>
      </c>
      <c r="W923" s="0" t="s">
        <v>138</v>
      </c>
      <c r="X923" s="14" t="s">
        <v>138</v>
      </c>
      <c r="Y923" s="0" t="s">
        <v>138</v>
      </c>
      <c r="Z923" s="14" t="s">
        <v>138</v>
      </c>
      <c r="AA923" s="0" t="s">
        <v>138</v>
      </c>
      <c r="AB923" s="14" t="s">
        <v>138</v>
      </c>
      <c r="AD923" s="0" t="s">
        <v>138</v>
      </c>
      <c r="AF923" s="0">
        <v>0</v>
      </c>
      <c r="AG923" s="0">
        <v>0</v>
      </c>
      <c r="AH923" s="0" t="s">
        <v>140</v>
      </c>
      <c r="AI923" s="0" t="s">
        <v>138</v>
      </c>
      <c r="AK923" s="0" t="s">
        <v>344</v>
      </c>
      <c r="AL923" s="14"/>
      <c r="AN923" s="14"/>
      <c r="AQ923" s="0" t="s">
        <v>130</v>
      </c>
      <c r="AR923" s="0" t="s">
        <v>130</v>
      </c>
      <c r="AS923" s="0" t="s">
        <v>130</v>
      </c>
      <c r="AT923" s="0" t="s">
        <v>130</v>
      </c>
      <c r="AU923" s="0" t="s">
        <v>130</v>
      </c>
      <c r="AV923" s="0" t="s">
        <v>130</v>
      </c>
      <c r="AW923" s="0" t="s">
        <v>130</v>
      </c>
      <c r="AX923" s="0" t="s">
        <v>130</v>
      </c>
      <c r="AY923" s="0" t="s">
        <v>130</v>
      </c>
      <c r="AZ923" s="0" t="s">
        <v>130</v>
      </c>
      <c r="BA923" s="0" t="s">
        <v>130</v>
      </c>
      <c r="BB923" s="0" t="s">
        <v>141</v>
      </c>
      <c r="BC923" s="0" t="s">
        <v>141</v>
      </c>
      <c r="BD923" s="0" t="s">
        <v>130</v>
      </c>
      <c r="BE923" s="0" t="s">
        <v>130</v>
      </c>
      <c r="BF923" s="0" t="s">
        <v>130</v>
      </c>
      <c r="BG923" s="0" t="s">
        <v>130</v>
      </c>
      <c r="BH923" s="0" t="s">
        <v>130</v>
      </c>
      <c r="BI923" s="0" t="s">
        <v>130</v>
      </c>
      <c r="BJ923" s="0" t="s">
        <v>130</v>
      </c>
      <c r="BK923" s="0" t="s">
        <v>130</v>
      </c>
      <c r="BL923" s="0" t="s">
        <v>130</v>
      </c>
      <c r="BM923" s="0" t="s">
        <v>130</v>
      </c>
      <c r="BN923" s="0" t="s">
        <v>130</v>
      </c>
      <c r="BO923" s="0" t="s">
        <v>130</v>
      </c>
      <c r="BP923" s="0" t="s">
        <v>130</v>
      </c>
      <c r="BQ923" s="0" t="s">
        <v>130</v>
      </c>
      <c r="BR923" s="0" t="s">
        <v>130</v>
      </c>
      <c r="BS923" s="0" t="s">
        <v>130</v>
      </c>
      <c r="BT923" s="0" t="s">
        <v>130</v>
      </c>
      <c r="BU923" s="0" t="s">
        <v>130</v>
      </c>
      <c r="BV923" s="0" t="s">
        <v>130</v>
      </c>
      <c r="BW923" s="0" t="s">
        <v>130</v>
      </c>
      <c r="BX923" s="0" t="s">
        <v>130</v>
      </c>
      <c r="BY923" s="0" t="s">
        <v>130</v>
      </c>
      <c r="BZ923" s="0" t="s">
        <v>130</v>
      </c>
      <c r="CA923" s="0" t="s">
        <v>130</v>
      </c>
      <c r="CB923" s="0" t="s">
        <v>130</v>
      </c>
      <c r="CC923" s="0" t="s">
        <v>130</v>
      </c>
      <c r="CD923" s="0" t="s">
        <v>130</v>
      </c>
      <c r="CE923" s="0" t="s">
        <v>130</v>
      </c>
      <c r="CF923" s="0" t="s">
        <v>130</v>
      </c>
      <c r="CG923" s="0" t="s">
        <v>130</v>
      </c>
      <c r="CH923" s="0" t="s">
        <v>130</v>
      </c>
      <c r="CI923" s="0" t="s">
        <v>130</v>
      </c>
      <c r="CJ923" s="0" t="s">
        <v>130</v>
      </c>
      <c r="CK923" s="0" t="s">
        <v>130</v>
      </c>
      <c r="CL923" s="0" t="s">
        <v>130</v>
      </c>
      <c r="CM923" s="0" t="s">
        <v>130</v>
      </c>
      <c r="CN923" s="0" t="s">
        <v>130</v>
      </c>
      <c r="CO923" s="0" t="s">
        <v>130</v>
      </c>
      <c r="CP923" s="0" t="s">
        <v>130</v>
      </c>
      <c r="CQ923" s="0" t="s">
        <v>130</v>
      </c>
      <c r="CR923" s="0" t="s">
        <v>130</v>
      </c>
      <c r="CS923" s="0" t="s">
        <v>130</v>
      </c>
      <c r="CT923" s="0" t="s">
        <v>2830</v>
      </c>
    </row>
    <row r="924">
      <c r="A924" s="14">
        <v>117400</v>
      </c>
      <c r="B924" s="0" t="s">
        <v>2831</v>
      </c>
      <c r="C924" s="16">
        <f>HYPERLINK("https://eosportal.federatedhermes.com/companies/Q29tcGFueQppNzE3MDY=", "Alpha Services and Holdings SA")</f>
      </c>
      <c r="D924" s="0" t="s">
        <v>25</v>
      </c>
      <c r="E924" s="0" t="s">
        <v>2832</v>
      </c>
      <c r="F924" s="16">
        <f>HYPERLINK("https://eosportal.federatedhermes.com/engagements/RW5nYWdlbWVudAppMjI5Mzg=", "Sustainable Finance for Local Economy")</f>
      </c>
      <c r="G924" s="14" t="s">
        <v>2833</v>
      </c>
      <c r="H924" s="0" t="s">
        <v>130</v>
      </c>
      <c r="I924" s="14" t="s">
        <v>131</v>
      </c>
      <c r="J924" s="0" t="s">
        <v>132</v>
      </c>
      <c r="K924" s="0" t="s">
        <v>133</v>
      </c>
      <c r="L924" s="0" t="s">
        <v>160</v>
      </c>
      <c r="M924" s="0" t="s">
        <v>378</v>
      </c>
      <c r="N924" s="0" t="s">
        <v>2834</v>
      </c>
      <c r="O924" s="0" t="s">
        <v>238</v>
      </c>
      <c r="Q924" s="0" t="s">
        <v>141</v>
      </c>
      <c r="R924" s="0" t="s">
        <v>138</v>
      </c>
      <c r="S924" s="14">
        <v>1</v>
      </c>
      <c r="T924" s="0" t="s">
        <v>230</v>
      </c>
      <c r="U924" s="0" t="s">
        <v>138</v>
      </c>
      <c r="V924" s="14" t="s">
        <v>138</v>
      </c>
      <c r="W924" s="0" t="s">
        <v>138</v>
      </c>
      <c r="X924" s="14" t="s">
        <v>138</v>
      </c>
      <c r="Y924" s="0" t="s">
        <v>138</v>
      </c>
      <c r="Z924" s="14" t="s">
        <v>138</v>
      </c>
      <c r="AA924" s="0" t="s">
        <v>138</v>
      </c>
      <c r="AB924" s="14" t="s">
        <v>138</v>
      </c>
      <c r="AD924" s="0" t="s">
        <v>138</v>
      </c>
      <c r="AF924" s="0">
        <v>0</v>
      </c>
      <c r="AG924" s="0">
        <v>0</v>
      </c>
      <c r="AH924" s="0" t="s">
        <v>140</v>
      </c>
      <c r="AI924" s="0" t="s">
        <v>138</v>
      </c>
      <c r="AK924" s="0" t="s">
        <v>1668</v>
      </c>
      <c r="AL924" s="14"/>
      <c r="AN924" s="14"/>
      <c r="AQ924" s="0" t="s">
        <v>130</v>
      </c>
      <c r="AR924" s="0" t="s">
        <v>130</v>
      </c>
      <c r="AS924" s="0" t="s">
        <v>130</v>
      </c>
      <c r="AT924" s="0" t="s">
        <v>130</v>
      </c>
      <c r="AU924" s="0" t="s">
        <v>130</v>
      </c>
      <c r="AV924" s="0" t="s">
        <v>130</v>
      </c>
      <c r="AW924" s="0" t="s">
        <v>130</v>
      </c>
      <c r="AX924" s="0" t="s">
        <v>130</v>
      </c>
      <c r="AY924" s="0" t="s">
        <v>130</v>
      </c>
      <c r="AZ924" s="0" t="s">
        <v>130</v>
      </c>
      <c r="BA924" s="0" t="s">
        <v>130</v>
      </c>
      <c r="BB924" s="0" t="s">
        <v>130</v>
      </c>
      <c r="BC924" s="0" t="s">
        <v>130</v>
      </c>
      <c r="BD924" s="0" t="s">
        <v>130</v>
      </c>
      <c r="BE924" s="0" t="s">
        <v>130</v>
      </c>
      <c r="BF924" s="0" t="s">
        <v>130</v>
      </c>
      <c r="BG924" s="0" t="s">
        <v>130</v>
      </c>
      <c r="BH924" s="0" t="s">
        <v>130</v>
      </c>
      <c r="BI924" s="0" t="s">
        <v>130</v>
      </c>
      <c r="BJ924" s="0" t="s">
        <v>130</v>
      </c>
      <c r="BK924" s="0" t="s">
        <v>130</v>
      </c>
      <c r="BL924" s="0" t="s">
        <v>130</v>
      </c>
      <c r="BM924" s="0" t="s">
        <v>130</v>
      </c>
      <c r="BN924" s="0" t="s">
        <v>130</v>
      </c>
      <c r="BO924" s="0" t="s">
        <v>130</v>
      </c>
      <c r="BP924" s="0" t="s">
        <v>130</v>
      </c>
      <c r="BQ924" s="0" t="s">
        <v>130</v>
      </c>
      <c r="BR924" s="0" t="s">
        <v>130</v>
      </c>
      <c r="BS924" s="0" t="s">
        <v>130</v>
      </c>
      <c r="BT924" s="0" t="s">
        <v>130</v>
      </c>
      <c r="BU924" s="0" t="s">
        <v>130</v>
      </c>
      <c r="BV924" s="0" t="s">
        <v>130</v>
      </c>
      <c r="BW924" s="0" t="s">
        <v>130</v>
      </c>
      <c r="BX924" s="0" t="s">
        <v>130</v>
      </c>
      <c r="BY924" s="0" t="s">
        <v>130</v>
      </c>
      <c r="BZ924" s="0" t="s">
        <v>130</v>
      </c>
      <c r="CA924" s="0" t="s">
        <v>130</v>
      </c>
      <c r="CB924" s="0" t="s">
        <v>130</v>
      </c>
      <c r="CC924" s="0" t="s">
        <v>130</v>
      </c>
      <c r="CD924" s="0" t="s">
        <v>130</v>
      </c>
      <c r="CE924" s="0" t="s">
        <v>130</v>
      </c>
      <c r="CF924" s="0" t="s">
        <v>130</v>
      </c>
      <c r="CG924" s="0" t="s">
        <v>130</v>
      </c>
      <c r="CH924" s="0" t="s">
        <v>130</v>
      </c>
      <c r="CI924" s="0" t="s">
        <v>130</v>
      </c>
      <c r="CJ924" s="0" t="s">
        <v>130</v>
      </c>
      <c r="CK924" s="0" t="s">
        <v>130</v>
      </c>
      <c r="CL924" s="0" t="s">
        <v>130</v>
      </c>
      <c r="CM924" s="0" t="s">
        <v>130</v>
      </c>
      <c r="CN924" s="0" t="s">
        <v>130</v>
      </c>
      <c r="CO924" s="0" t="s">
        <v>130</v>
      </c>
      <c r="CP924" s="0" t="s">
        <v>130</v>
      </c>
      <c r="CQ924" s="0" t="s">
        <v>130</v>
      </c>
      <c r="CR924" s="0" t="s">
        <v>130</v>
      </c>
      <c r="CS924" s="0" t="s">
        <v>130</v>
      </c>
      <c r="CT924" s="0" t="s">
        <v>2835</v>
      </c>
    </row>
    <row r="925">
      <c r="A925" s="14">
        <v>117400</v>
      </c>
      <c r="B925" s="0" t="s">
        <v>2831</v>
      </c>
      <c r="C925" s="16">
        <f>HYPERLINK("https://eosportal.federatedhermes.com/companies/Q29tcGFueQppNzE3MDY=", "Alpha Services and Holdings SA")</f>
      </c>
      <c r="D925" s="0" t="s">
        <v>23</v>
      </c>
      <c r="E925" s="0" t="s">
        <v>2836</v>
      </c>
      <c r="F925" s="16">
        <f>HYPERLINK("https://eosportal.federatedhermes.com/engagements/RW5nYWdlbWVudAppMjI5Mzk=", "Provide Class-Leading Sustainable Finance Strategy, Targets &amp; Disclosure")</f>
      </c>
      <c r="G925" s="14" t="s">
        <v>2837</v>
      </c>
      <c r="H925" s="0" t="s">
        <v>130</v>
      </c>
      <c r="I925" s="14" t="s">
        <v>131</v>
      </c>
      <c r="J925" s="0" t="s">
        <v>132</v>
      </c>
      <c r="K925" s="0" t="s">
        <v>133</v>
      </c>
      <c r="L925" s="0" t="s">
        <v>160</v>
      </c>
      <c r="M925" s="0" t="s">
        <v>378</v>
      </c>
      <c r="N925" s="0" t="s">
        <v>2834</v>
      </c>
      <c r="O925" s="0" t="s">
        <v>238</v>
      </c>
      <c r="Q925" s="0" t="s">
        <v>141</v>
      </c>
      <c r="R925" s="0" t="s">
        <v>141</v>
      </c>
      <c r="S925" s="14">
        <v>1</v>
      </c>
      <c r="T925" s="0" t="s">
        <v>583</v>
      </c>
      <c r="U925" s="0" t="s">
        <v>221</v>
      </c>
      <c r="V925" s="14" t="s">
        <v>583</v>
      </c>
      <c r="W925" s="0" t="s">
        <v>221</v>
      </c>
      <c r="X925" s="14" t="s">
        <v>2629</v>
      </c>
      <c r="Y925" s="0" t="s">
        <v>221</v>
      </c>
      <c r="Z925" s="14" t="s">
        <v>446</v>
      </c>
      <c r="AA925" s="0" t="s">
        <v>221</v>
      </c>
      <c r="AB925" s="14" t="s">
        <v>361</v>
      </c>
      <c r="AC925" s="0" t="s">
        <v>20</v>
      </c>
      <c r="AD925" s="0" t="s">
        <v>362</v>
      </c>
      <c r="AE925" s="0" t="s">
        <v>363</v>
      </c>
      <c r="AF925" s="0">
        <v>1</v>
      </c>
      <c r="AG925" s="0">
        <v>0</v>
      </c>
      <c r="AH925" s="0" t="s">
        <v>140</v>
      </c>
      <c r="AI925" s="0" t="s">
        <v>221</v>
      </c>
      <c r="AJ925" s="0" t="s">
        <v>577</v>
      </c>
      <c r="AK925" s="0" t="s">
        <v>1668</v>
      </c>
      <c r="AL925" s="14" t="s">
        <v>2838</v>
      </c>
      <c r="AM925" s="0" t="s">
        <v>580</v>
      </c>
      <c r="AN925" s="14"/>
      <c r="AQ925" s="0" t="s">
        <v>130</v>
      </c>
      <c r="AR925" s="0" t="s">
        <v>130</v>
      </c>
      <c r="AS925" s="0" t="s">
        <v>130</v>
      </c>
      <c r="AT925" s="0" t="s">
        <v>130</v>
      </c>
      <c r="AU925" s="0" t="s">
        <v>130</v>
      </c>
      <c r="AV925" s="0" t="s">
        <v>130</v>
      </c>
      <c r="AW925" s="0" t="s">
        <v>130</v>
      </c>
      <c r="AX925" s="0" t="s">
        <v>130</v>
      </c>
      <c r="AY925" s="0" t="s">
        <v>130</v>
      </c>
      <c r="AZ925" s="0" t="s">
        <v>130</v>
      </c>
      <c r="BA925" s="0" t="s">
        <v>130</v>
      </c>
      <c r="BB925" s="0" t="s">
        <v>130</v>
      </c>
      <c r="BC925" s="0" t="s">
        <v>130</v>
      </c>
      <c r="BD925" s="0" t="s">
        <v>130</v>
      </c>
      <c r="BE925" s="0" t="s">
        <v>130</v>
      </c>
      <c r="BF925" s="0" t="s">
        <v>130</v>
      </c>
      <c r="BG925" s="0" t="s">
        <v>130</v>
      </c>
      <c r="BH925" s="0" t="s">
        <v>130</v>
      </c>
      <c r="BI925" s="0" t="s">
        <v>130</v>
      </c>
      <c r="BJ925" s="0" t="s">
        <v>130</v>
      </c>
      <c r="BK925" s="0" t="s">
        <v>130</v>
      </c>
      <c r="BL925" s="0" t="s">
        <v>130</v>
      </c>
      <c r="BM925" s="0" t="s">
        <v>130</v>
      </c>
      <c r="BN925" s="0" t="s">
        <v>130</v>
      </c>
      <c r="BO925" s="0" t="s">
        <v>130</v>
      </c>
      <c r="BP925" s="0" t="s">
        <v>130</v>
      </c>
      <c r="BQ925" s="0" t="s">
        <v>130</v>
      </c>
      <c r="BR925" s="0" t="s">
        <v>130</v>
      </c>
      <c r="BS925" s="0" t="s">
        <v>130</v>
      </c>
      <c r="BT925" s="0" t="s">
        <v>130</v>
      </c>
      <c r="BU925" s="0" t="s">
        <v>130</v>
      </c>
      <c r="BV925" s="0" t="s">
        <v>130</v>
      </c>
      <c r="BW925" s="0" t="s">
        <v>130</v>
      </c>
      <c r="BX925" s="0" t="s">
        <v>130</v>
      </c>
      <c r="BY925" s="0" t="s">
        <v>130</v>
      </c>
      <c r="BZ925" s="0" t="s">
        <v>130</v>
      </c>
      <c r="CA925" s="0" t="s">
        <v>130</v>
      </c>
      <c r="CB925" s="0" t="s">
        <v>130</v>
      </c>
      <c r="CC925" s="0" t="s">
        <v>130</v>
      </c>
      <c r="CD925" s="0" t="s">
        <v>130</v>
      </c>
      <c r="CE925" s="0" t="s">
        <v>130</v>
      </c>
      <c r="CF925" s="0" t="s">
        <v>130</v>
      </c>
      <c r="CG925" s="0" t="s">
        <v>130</v>
      </c>
      <c r="CH925" s="0" t="s">
        <v>130</v>
      </c>
      <c r="CI925" s="0" t="s">
        <v>130</v>
      </c>
      <c r="CJ925" s="0" t="s">
        <v>130</v>
      </c>
      <c r="CK925" s="0" t="s">
        <v>130</v>
      </c>
      <c r="CL925" s="0" t="s">
        <v>130</v>
      </c>
      <c r="CM925" s="0" t="s">
        <v>130</v>
      </c>
      <c r="CN925" s="0" t="s">
        <v>130</v>
      </c>
      <c r="CO925" s="0" t="s">
        <v>130</v>
      </c>
      <c r="CP925" s="0" t="s">
        <v>130</v>
      </c>
      <c r="CQ925" s="0" t="s">
        <v>130</v>
      </c>
      <c r="CR925" s="0" t="s">
        <v>130</v>
      </c>
      <c r="CS925" s="0" t="s">
        <v>130</v>
      </c>
      <c r="CT925" s="0" t="s">
        <v>2839</v>
      </c>
    </row>
    <row r="926">
      <c r="A926" s="14">
        <v>117400</v>
      </c>
      <c r="B926" s="0" t="s">
        <v>2831</v>
      </c>
      <c r="C926" s="16">
        <f>HYPERLINK("https://eosportal.federatedhermes.com/companies/Q29tcGFueQppNzE3MDY=", "Alpha Services and Holdings SA")</f>
      </c>
      <c r="D926" s="0" t="s">
        <v>23</v>
      </c>
      <c r="E926" s="0" t="s">
        <v>2840</v>
      </c>
      <c r="F926" s="16">
        <f>HYPERLINK("https://eosportal.federatedhermes.com/engagements/RW5nYWdlbWVudAppMjI5NDA=", "Set &amp; Validate Science-Based Targets Including Portfolio Emissions (Scope 3)")</f>
      </c>
      <c r="G926" s="14" t="s">
        <v>2841</v>
      </c>
      <c r="H926" s="0" t="s">
        <v>130</v>
      </c>
      <c r="I926" s="14" t="s">
        <v>131</v>
      </c>
      <c r="J926" s="0" t="s">
        <v>197</v>
      </c>
      <c r="K926" s="0" t="s">
        <v>198</v>
      </c>
      <c r="L926" s="0" t="s">
        <v>216</v>
      </c>
      <c r="M926" s="0" t="s">
        <v>378</v>
      </c>
      <c r="N926" s="0" t="s">
        <v>2834</v>
      </c>
      <c r="O926" s="0" t="s">
        <v>238</v>
      </c>
      <c r="Q926" s="0" t="s">
        <v>141</v>
      </c>
      <c r="R926" s="0" t="s">
        <v>130</v>
      </c>
      <c r="S926" s="14">
        <v>1</v>
      </c>
      <c r="T926" s="0" t="s">
        <v>583</v>
      </c>
      <c r="U926" s="0" t="s">
        <v>221</v>
      </c>
      <c r="V926" s="14" t="s">
        <v>583</v>
      </c>
      <c r="W926" s="0" t="s">
        <v>221</v>
      </c>
      <c r="X926" s="14" t="s">
        <v>2629</v>
      </c>
      <c r="Y926" s="0" t="s">
        <v>221</v>
      </c>
      <c r="Z926" s="14" t="s">
        <v>2842</v>
      </c>
      <c r="AA926" s="0" t="s">
        <v>223</v>
      </c>
      <c r="AB926" s="14" t="s">
        <v>138</v>
      </c>
      <c r="AD926" s="0" t="s">
        <v>20</v>
      </c>
      <c r="AF926" s="0">
        <v>0</v>
      </c>
      <c r="AG926" s="0">
        <v>0</v>
      </c>
      <c r="AH926" s="0" t="s">
        <v>140</v>
      </c>
      <c r="AI926" s="0" t="s">
        <v>479</v>
      </c>
      <c r="AK926" s="0" t="s">
        <v>1668</v>
      </c>
      <c r="AL926" s="14"/>
      <c r="AN926" s="14"/>
      <c r="AQ926" s="0" t="s">
        <v>130</v>
      </c>
      <c r="AR926" s="0" t="s">
        <v>130</v>
      </c>
      <c r="AS926" s="0" t="s">
        <v>130</v>
      </c>
      <c r="AT926" s="0" t="s">
        <v>130</v>
      </c>
      <c r="AU926" s="0" t="s">
        <v>130</v>
      </c>
      <c r="AV926" s="0" t="s">
        <v>130</v>
      </c>
      <c r="AW926" s="0" t="s">
        <v>141</v>
      </c>
      <c r="AX926" s="0" t="s">
        <v>130</v>
      </c>
      <c r="AY926" s="0" t="s">
        <v>130</v>
      </c>
      <c r="AZ926" s="0" t="s">
        <v>130</v>
      </c>
      <c r="BA926" s="0" t="s">
        <v>130</v>
      </c>
      <c r="BB926" s="0" t="s">
        <v>130</v>
      </c>
      <c r="BC926" s="0" t="s">
        <v>141</v>
      </c>
      <c r="BD926" s="0" t="s">
        <v>130</v>
      </c>
      <c r="BE926" s="0" t="s">
        <v>130</v>
      </c>
      <c r="BF926" s="0" t="s">
        <v>130</v>
      </c>
      <c r="BG926" s="0" t="s">
        <v>130</v>
      </c>
      <c r="BH926" s="0" t="s">
        <v>141</v>
      </c>
      <c r="BI926" s="0" t="s">
        <v>141</v>
      </c>
      <c r="BJ926" s="0" t="s">
        <v>141</v>
      </c>
      <c r="BK926" s="0" t="s">
        <v>130</v>
      </c>
      <c r="BL926" s="0" t="s">
        <v>130</v>
      </c>
      <c r="BM926" s="0" t="s">
        <v>130</v>
      </c>
      <c r="BN926" s="0" t="s">
        <v>130</v>
      </c>
      <c r="BO926" s="0" t="s">
        <v>130</v>
      </c>
      <c r="BP926" s="0" t="s">
        <v>130</v>
      </c>
      <c r="BQ926" s="0" t="s">
        <v>130</v>
      </c>
      <c r="BR926" s="0" t="s">
        <v>130</v>
      </c>
      <c r="BS926" s="0" t="s">
        <v>130</v>
      </c>
      <c r="BT926" s="0" t="s">
        <v>130</v>
      </c>
      <c r="BU926" s="0" t="s">
        <v>130</v>
      </c>
      <c r="BV926" s="0" t="s">
        <v>141</v>
      </c>
      <c r="BW926" s="0" t="s">
        <v>141</v>
      </c>
      <c r="BX926" s="0" t="s">
        <v>130</v>
      </c>
      <c r="BY926" s="0" t="s">
        <v>130</v>
      </c>
      <c r="BZ926" s="0" t="s">
        <v>130</v>
      </c>
      <c r="CA926" s="0" t="s">
        <v>130</v>
      </c>
      <c r="CB926" s="0" t="s">
        <v>130</v>
      </c>
      <c r="CC926" s="0" t="s">
        <v>130</v>
      </c>
      <c r="CD926" s="0" t="s">
        <v>130</v>
      </c>
      <c r="CE926" s="0" t="s">
        <v>130</v>
      </c>
      <c r="CF926" s="0" t="s">
        <v>130</v>
      </c>
      <c r="CG926" s="0" t="s">
        <v>130</v>
      </c>
      <c r="CH926" s="0" t="s">
        <v>130</v>
      </c>
      <c r="CI926" s="0" t="s">
        <v>130</v>
      </c>
      <c r="CJ926" s="0" t="s">
        <v>130</v>
      </c>
      <c r="CK926" s="0" t="s">
        <v>130</v>
      </c>
      <c r="CL926" s="0" t="s">
        <v>130</v>
      </c>
      <c r="CM926" s="0" t="s">
        <v>130</v>
      </c>
      <c r="CN926" s="0" t="s">
        <v>130</v>
      </c>
      <c r="CO926" s="0" t="s">
        <v>130</v>
      </c>
      <c r="CP926" s="0" t="s">
        <v>130</v>
      </c>
      <c r="CQ926" s="0" t="s">
        <v>130</v>
      </c>
      <c r="CR926" s="0" t="s">
        <v>130</v>
      </c>
      <c r="CS926" s="0" t="s">
        <v>130</v>
      </c>
      <c r="CT926" s="0" t="s">
        <v>2843</v>
      </c>
    </row>
    <row r="927">
      <c r="A927" s="14">
        <v>117400</v>
      </c>
      <c r="B927" s="0" t="s">
        <v>2831</v>
      </c>
      <c r="C927" s="16">
        <f>HYPERLINK("https://eosportal.federatedhermes.com/companies/Q29tcGFueQppNzE3MDY=", "Alpha Services and Holdings SA")</f>
      </c>
      <c r="D927" s="0" t="s">
        <v>23</v>
      </c>
      <c r="E927" s="0" t="s">
        <v>2844</v>
      </c>
      <c r="F927" s="16">
        <f>HYPERLINK("https://eosportal.federatedhermes.com/engagements/RW5nYWdlbWVudAppMjI5NDE=", "Publish Key ESG Risk Policies, with Phaseouts &amp; Exclusions Defined")</f>
      </c>
      <c r="G927" s="14" t="s">
        <v>2845</v>
      </c>
      <c r="H927" s="0" t="s">
        <v>130</v>
      </c>
      <c r="I927" s="14" t="s">
        <v>131</v>
      </c>
      <c r="J927" s="0" t="s">
        <v>132</v>
      </c>
      <c r="K927" s="0" t="s">
        <v>260</v>
      </c>
      <c r="L927" s="0" t="s">
        <v>261</v>
      </c>
      <c r="M927" s="0" t="s">
        <v>378</v>
      </c>
      <c r="N927" s="0" t="s">
        <v>2834</v>
      </c>
      <c r="O927" s="0" t="s">
        <v>238</v>
      </c>
      <c r="Q927" s="0" t="s">
        <v>130</v>
      </c>
      <c r="R927" s="0" t="s">
        <v>130</v>
      </c>
      <c r="S927" s="14">
        <v>0</v>
      </c>
      <c r="T927" s="0" t="s">
        <v>583</v>
      </c>
      <c r="U927" s="0" t="s">
        <v>221</v>
      </c>
      <c r="V927" s="14" t="s">
        <v>583</v>
      </c>
      <c r="W927" s="0" t="s">
        <v>221</v>
      </c>
      <c r="X927" s="14" t="s">
        <v>2629</v>
      </c>
      <c r="Y927" s="0" t="s">
        <v>223</v>
      </c>
      <c r="Z927" s="14" t="s">
        <v>138</v>
      </c>
      <c r="AA927" s="0" t="s">
        <v>224</v>
      </c>
      <c r="AB927" s="14" t="s">
        <v>138</v>
      </c>
      <c r="AD927" s="0" t="s">
        <v>17</v>
      </c>
      <c r="AF927" s="0">
        <v>0</v>
      </c>
      <c r="AG927" s="0">
        <v>0</v>
      </c>
      <c r="AH927" s="0" t="s">
        <v>140</v>
      </c>
      <c r="AI927" s="0" t="s">
        <v>232</v>
      </c>
      <c r="AL927" s="14"/>
      <c r="AN927" s="14"/>
      <c r="AQ927" s="0" t="s">
        <v>130</v>
      </c>
      <c r="AR927" s="0" t="s">
        <v>130</v>
      </c>
      <c r="AS927" s="0" t="s">
        <v>130</v>
      </c>
      <c r="AT927" s="0" t="s">
        <v>130</v>
      </c>
      <c r="AU927" s="0" t="s">
        <v>130</v>
      </c>
      <c r="AV927" s="0" t="s">
        <v>130</v>
      </c>
      <c r="AW927" s="0" t="s">
        <v>130</v>
      </c>
      <c r="AX927" s="0" t="s">
        <v>130</v>
      </c>
      <c r="AY927" s="0" t="s">
        <v>130</v>
      </c>
      <c r="AZ927" s="0" t="s">
        <v>130</v>
      </c>
      <c r="BA927" s="0" t="s">
        <v>130</v>
      </c>
      <c r="BB927" s="0" t="s">
        <v>130</v>
      </c>
      <c r="BC927" s="0" t="s">
        <v>130</v>
      </c>
      <c r="BD927" s="0" t="s">
        <v>130</v>
      </c>
      <c r="BE927" s="0" t="s">
        <v>130</v>
      </c>
      <c r="BF927" s="0" t="s">
        <v>130</v>
      </c>
      <c r="BG927" s="0" t="s">
        <v>130</v>
      </c>
      <c r="BH927" s="0" t="s">
        <v>130</v>
      </c>
      <c r="BI927" s="0" t="s">
        <v>130</v>
      </c>
      <c r="BJ927" s="0" t="s">
        <v>130</v>
      </c>
      <c r="BK927" s="0" t="s">
        <v>130</v>
      </c>
      <c r="BL927" s="0" t="s">
        <v>130</v>
      </c>
      <c r="BM927" s="0" t="s">
        <v>130</v>
      </c>
      <c r="BN927" s="0" t="s">
        <v>130</v>
      </c>
      <c r="BO927" s="0" t="s">
        <v>130</v>
      </c>
      <c r="BP927" s="0" t="s">
        <v>130</v>
      </c>
      <c r="BQ927" s="0" t="s">
        <v>130</v>
      </c>
      <c r="BR927" s="0" t="s">
        <v>130</v>
      </c>
      <c r="BS927" s="0" t="s">
        <v>130</v>
      </c>
      <c r="BT927" s="0" t="s">
        <v>130</v>
      </c>
      <c r="BU927" s="0" t="s">
        <v>130</v>
      </c>
      <c r="BV927" s="0" t="s">
        <v>130</v>
      </c>
      <c r="BW927" s="0" t="s">
        <v>130</v>
      </c>
      <c r="BX927" s="0" t="s">
        <v>130</v>
      </c>
      <c r="BY927" s="0" t="s">
        <v>130</v>
      </c>
      <c r="BZ927" s="0" t="s">
        <v>130</v>
      </c>
      <c r="CA927" s="0" t="s">
        <v>130</v>
      </c>
      <c r="CB927" s="0" t="s">
        <v>130</v>
      </c>
      <c r="CC927" s="0" t="s">
        <v>130</v>
      </c>
      <c r="CD927" s="0" t="s">
        <v>130</v>
      </c>
      <c r="CE927" s="0" t="s">
        <v>130</v>
      </c>
      <c r="CF927" s="0" t="s">
        <v>130</v>
      </c>
      <c r="CG927" s="0" t="s">
        <v>130</v>
      </c>
      <c r="CH927" s="0" t="s">
        <v>130</v>
      </c>
      <c r="CI927" s="0" t="s">
        <v>130</v>
      </c>
      <c r="CJ927" s="0" t="s">
        <v>130</v>
      </c>
      <c r="CK927" s="0" t="s">
        <v>130</v>
      </c>
      <c r="CL927" s="0" t="s">
        <v>130</v>
      </c>
      <c r="CM927" s="0" t="s">
        <v>130</v>
      </c>
      <c r="CN927" s="0" t="s">
        <v>130</v>
      </c>
      <c r="CO927" s="0" t="s">
        <v>130</v>
      </c>
      <c r="CP927" s="0" t="s">
        <v>130</v>
      </c>
      <c r="CQ927" s="0" t="s">
        <v>130</v>
      </c>
      <c r="CR927" s="0" t="s">
        <v>130</v>
      </c>
      <c r="CS927" s="0" t="s">
        <v>130</v>
      </c>
      <c r="CT927" s="0" t="s">
        <v>2846</v>
      </c>
    </row>
    <row r="928">
      <c r="A928" s="14">
        <v>117400</v>
      </c>
      <c r="B928" s="0" t="s">
        <v>2831</v>
      </c>
      <c r="C928" s="16">
        <f>HYPERLINK("https://eosportal.federatedhermes.com/companies/Q29tcGFueQppNzE3MDY=", "Alpha Services and Holdings SA")</f>
      </c>
      <c r="D928" s="0" t="s">
        <v>25</v>
      </c>
      <c r="E928" s="0" t="s">
        <v>2847</v>
      </c>
      <c r="F928" s="16">
        <f>HYPERLINK("https://eosportal.federatedhermes.com/engagements/RW5nYWdlbWVudAppMjI5NDQ=", "Environmental &amp; Social Risk Policy &amp; Integration")</f>
      </c>
      <c r="G928" s="14" t="s">
        <v>2848</v>
      </c>
      <c r="H928" s="0" t="s">
        <v>130</v>
      </c>
      <c r="I928" s="14" t="s">
        <v>131</v>
      </c>
      <c r="J928" s="0" t="s">
        <v>132</v>
      </c>
      <c r="K928" s="0" t="s">
        <v>133</v>
      </c>
      <c r="L928" s="0" t="s">
        <v>160</v>
      </c>
      <c r="M928" s="0" t="s">
        <v>378</v>
      </c>
      <c r="N928" s="0" t="s">
        <v>2834</v>
      </c>
      <c r="O928" s="0" t="s">
        <v>238</v>
      </c>
      <c r="Q928" s="0" t="s">
        <v>130</v>
      </c>
      <c r="R928" s="0" t="s">
        <v>138</v>
      </c>
      <c r="S928" s="14">
        <v>0</v>
      </c>
      <c r="T928" s="0" t="s">
        <v>230</v>
      </c>
      <c r="U928" s="0" t="s">
        <v>138</v>
      </c>
      <c r="V928" s="14" t="s">
        <v>138</v>
      </c>
      <c r="W928" s="0" t="s">
        <v>138</v>
      </c>
      <c r="X928" s="14" t="s">
        <v>138</v>
      </c>
      <c r="Y928" s="0" t="s">
        <v>138</v>
      </c>
      <c r="Z928" s="14" t="s">
        <v>138</v>
      </c>
      <c r="AA928" s="0" t="s">
        <v>138</v>
      </c>
      <c r="AB928" s="14" t="s">
        <v>138</v>
      </c>
      <c r="AD928" s="0" t="s">
        <v>138</v>
      </c>
      <c r="AF928" s="0">
        <v>0</v>
      </c>
      <c r="AG928" s="0">
        <v>0</v>
      </c>
      <c r="AH928" s="0" t="s">
        <v>140</v>
      </c>
      <c r="AI928" s="0" t="s">
        <v>138</v>
      </c>
      <c r="AL928" s="14"/>
      <c r="AN928" s="14"/>
      <c r="AQ928" s="0" t="s">
        <v>130</v>
      </c>
      <c r="AR928" s="0" t="s">
        <v>130</v>
      </c>
      <c r="AS928" s="0" t="s">
        <v>130</v>
      </c>
      <c r="AT928" s="0" t="s">
        <v>130</v>
      </c>
      <c r="AU928" s="0" t="s">
        <v>130</v>
      </c>
      <c r="AV928" s="0" t="s">
        <v>130</v>
      </c>
      <c r="AW928" s="0" t="s">
        <v>130</v>
      </c>
      <c r="AX928" s="0" t="s">
        <v>130</v>
      </c>
      <c r="AY928" s="0" t="s">
        <v>130</v>
      </c>
      <c r="AZ928" s="0" t="s">
        <v>130</v>
      </c>
      <c r="BA928" s="0" t="s">
        <v>130</v>
      </c>
      <c r="BB928" s="0" t="s">
        <v>130</v>
      </c>
      <c r="BC928" s="0" t="s">
        <v>141</v>
      </c>
      <c r="BD928" s="0" t="s">
        <v>130</v>
      </c>
      <c r="BE928" s="0" t="s">
        <v>130</v>
      </c>
      <c r="BF928" s="0" t="s">
        <v>130</v>
      </c>
      <c r="BG928" s="0" t="s">
        <v>130</v>
      </c>
      <c r="BH928" s="0" t="s">
        <v>130</v>
      </c>
      <c r="BI928" s="0" t="s">
        <v>130</v>
      </c>
      <c r="BJ928" s="0" t="s">
        <v>130</v>
      </c>
      <c r="BK928" s="0" t="s">
        <v>130</v>
      </c>
      <c r="BL928" s="0" t="s">
        <v>130</v>
      </c>
      <c r="BM928" s="0" t="s">
        <v>130</v>
      </c>
      <c r="BN928" s="0" t="s">
        <v>130</v>
      </c>
      <c r="BO928" s="0" t="s">
        <v>130</v>
      </c>
      <c r="BP928" s="0" t="s">
        <v>130</v>
      </c>
      <c r="BQ928" s="0" t="s">
        <v>130</v>
      </c>
      <c r="BR928" s="0" t="s">
        <v>130</v>
      </c>
      <c r="BS928" s="0" t="s">
        <v>130</v>
      </c>
      <c r="BT928" s="0" t="s">
        <v>130</v>
      </c>
      <c r="BU928" s="0" t="s">
        <v>130</v>
      </c>
      <c r="BV928" s="0" t="s">
        <v>130</v>
      </c>
      <c r="BW928" s="0" t="s">
        <v>130</v>
      </c>
      <c r="BX928" s="0" t="s">
        <v>130</v>
      </c>
      <c r="BY928" s="0" t="s">
        <v>130</v>
      </c>
      <c r="BZ928" s="0" t="s">
        <v>130</v>
      </c>
      <c r="CA928" s="0" t="s">
        <v>130</v>
      </c>
      <c r="CB928" s="0" t="s">
        <v>130</v>
      </c>
      <c r="CC928" s="0" t="s">
        <v>130</v>
      </c>
      <c r="CD928" s="0" t="s">
        <v>130</v>
      </c>
      <c r="CE928" s="0" t="s">
        <v>130</v>
      </c>
      <c r="CF928" s="0" t="s">
        <v>130</v>
      </c>
      <c r="CG928" s="0" t="s">
        <v>130</v>
      </c>
      <c r="CH928" s="0" t="s">
        <v>130</v>
      </c>
      <c r="CI928" s="0" t="s">
        <v>130</v>
      </c>
      <c r="CJ928" s="0" t="s">
        <v>130</v>
      </c>
      <c r="CK928" s="0" t="s">
        <v>130</v>
      </c>
      <c r="CL928" s="0" t="s">
        <v>130</v>
      </c>
      <c r="CM928" s="0" t="s">
        <v>130</v>
      </c>
      <c r="CN928" s="0" t="s">
        <v>130</v>
      </c>
      <c r="CO928" s="0" t="s">
        <v>130</v>
      </c>
      <c r="CP928" s="0" t="s">
        <v>130</v>
      </c>
      <c r="CQ928" s="0" t="s">
        <v>130</v>
      </c>
      <c r="CR928" s="0" t="s">
        <v>130</v>
      </c>
      <c r="CS928" s="0" t="s">
        <v>130</v>
      </c>
      <c r="CT928" s="0" t="s">
        <v>2849</v>
      </c>
    </row>
    <row r="929">
      <c r="A929" s="14">
        <v>117400</v>
      </c>
      <c r="B929" s="0" t="s">
        <v>2831</v>
      </c>
      <c r="C929" s="16">
        <f>HYPERLINK("https://eosportal.federatedhermes.com/companies/Q29tcGFueQppNzE3MDY=", "Alpha Services and Holdings SA")</f>
      </c>
      <c r="D929" s="0" t="s">
        <v>25</v>
      </c>
      <c r="E929" s="0" t="s">
        <v>2850</v>
      </c>
      <c r="F929" s="16">
        <f>HYPERLINK("https://eosportal.federatedhermes.com/engagements/RW5nYWdlbWVudAppMjI5NDU=", "Science-Based Emissions Reduction Targets in Financing")</f>
      </c>
      <c r="G929" s="14" t="s">
        <v>2851</v>
      </c>
      <c r="H929" s="0" t="s">
        <v>130</v>
      </c>
      <c r="I929" s="14" t="s">
        <v>131</v>
      </c>
      <c r="J929" s="0" t="s">
        <v>197</v>
      </c>
      <c r="K929" s="0" t="s">
        <v>198</v>
      </c>
      <c r="L929" s="0" t="s">
        <v>216</v>
      </c>
      <c r="M929" s="0" t="s">
        <v>378</v>
      </c>
      <c r="N929" s="0" t="s">
        <v>2834</v>
      </c>
      <c r="O929" s="0" t="s">
        <v>238</v>
      </c>
      <c r="Q929" s="0" t="s">
        <v>130</v>
      </c>
      <c r="R929" s="0" t="s">
        <v>138</v>
      </c>
      <c r="S929" s="14">
        <v>0</v>
      </c>
      <c r="T929" s="0" t="s">
        <v>230</v>
      </c>
      <c r="U929" s="0" t="s">
        <v>138</v>
      </c>
      <c r="V929" s="14" t="s">
        <v>138</v>
      </c>
      <c r="W929" s="0" t="s">
        <v>138</v>
      </c>
      <c r="X929" s="14" t="s">
        <v>138</v>
      </c>
      <c r="Y929" s="0" t="s">
        <v>138</v>
      </c>
      <c r="Z929" s="14" t="s">
        <v>138</v>
      </c>
      <c r="AA929" s="0" t="s">
        <v>138</v>
      </c>
      <c r="AB929" s="14" t="s">
        <v>138</v>
      </c>
      <c r="AD929" s="0" t="s">
        <v>138</v>
      </c>
      <c r="AF929" s="0">
        <v>0</v>
      </c>
      <c r="AG929" s="0">
        <v>0</v>
      </c>
      <c r="AH929" s="0" t="s">
        <v>140</v>
      </c>
      <c r="AI929" s="0" t="s">
        <v>138</v>
      </c>
      <c r="AL929" s="14"/>
      <c r="AN929" s="14"/>
      <c r="AQ929" s="0" t="s">
        <v>130</v>
      </c>
      <c r="AR929" s="0" t="s">
        <v>130</v>
      </c>
      <c r="AS929" s="0" t="s">
        <v>130</v>
      </c>
      <c r="AT929" s="0" t="s">
        <v>130</v>
      </c>
      <c r="AU929" s="0" t="s">
        <v>130</v>
      </c>
      <c r="AV929" s="0" t="s">
        <v>130</v>
      </c>
      <c r="AW929" s="0" t="s">
        <v>141</v>
      </c>
      <c r="AX929" s="0" t="s">
        <v>130</v>
      </c>
      <c r="AY929" s="0" t="s">
        <v>130</v>
      </c>
      <c r="AZ929" s="0" t="s">
        <v>130</v>
      </c>
      <c r="BA929" s="0" t="s">
        <v>130</v>
      </c>
      <c r="BB929" s="0" t="s">
        <v>130</v>
      </c>
      <c r="BC929" s="0" t="s">
        <v>141</v>
      </c>
      <c r="BD929" s="0" t="s">
        <v>130</v>
      </c>
      <c r="BE929" s="0" t="s">
        <v>130</v>
      </c>
      <c r="BF929" s="0" t="s">
        <v>130</v>
      </c>
      <c r="BG929" s="0" t="s">
        <v>130</v>
      </c>
      <c r="BH929" s="0" t="s">
        <v>141</v>
      </c>
      <c r="BI929" s="0" t="s">
        <v>141</v>
      </c>
      <c r="BJ929" s="0" t="s">
        <v>141</v>
      </c>
      <c r="BK929" s="0" t="s">
        <v>130</v>
      </c>
      <c r="BL929" s="0" t="s">
        <v>130</v>
      </c>
      <c r="BM929" s="0" t="s">
        <v>130</v>
      </c>
      <c r="BN929" s="0" t="s">
        <v>130</v>
      </c>
      <c r="BO929" s="0" t="s">
        <v>130</v>
      </c>
      <c r="BP929" s="0" t="s">
        <v>130</v>
      </c>
      <c r="BQ929" s="0" t="s">
        <v>130</v>
      </c>
      <c r="BR929" s="0" t="s">
        <v>130</v>
      </c>
      <c r="BS929" s="0" t="s">
        <v>130</v>
      </c>
      <c r="BT929" s="0" t="s">
        <v>130</v>
      </c>
      <c r="BU929" s="0" t="s">
        <v>130</v>
      </c>
      <c r="BV929" s="0" t="s">
        <v>141</v>
      </c>
      <c r="BW929" s="0" t="s">
        <v>141</v>
      </c>
      <c r="BX929" s="0" t="s">
        <v>130</v>
      </c>
      <c r="BY929" s="0" t="s">
        <v>130</v>
      </c>
      <c r="BZ929" s="0" t="s">
        <v>130</v>
      </c>
      <c r="CA929" s="0" t="s">
        <v>130</v>
      </c>
      <c r="CB929" s="0" t="s">
        <v>130</v>
      </c>
      <c r="CC929" s="0" t="s">
        <v>130</v>
      </c>
      <c r="CD929" s="0" t="s">
        <v>130</v>
      </c>
      <c r="CE929" s="0" t="s">
        <v>130</v>
      </c>
      <c r="CF929" s="0" t="s">
        <v>130</v>
      </c>
      <c r="CG929" s="0" t="s">
        <v>130</v>
      </c>
      <c r="CH929" s="0" t="s">
        <v>130</v>
      </c>
      <c r="CI929" s="0" t="s">
        <v>130</v>
      </c>
      <c r="CJ929" s="0" t="s">
        <v>130</v>
      </c>
      <c r="CK929" s="0" t="s">
        <v>130</v>
      </c>
      <c r="CL929" s="0" t="s">
        <v>130</v>
      </c>
      <c r="CM929" s="0" t="s">
        <v>130</v>
      </c>
      <c r="CN929" s="0" t="s">
        <v>130</v>
      </c>
      <c r="CO929" s="0" t="s">
        <v>130</v>
      </c>
      <c r="CP929" s="0" t="s">
        <v>130</v>
      </c>
      <c r="CQ929" s="0" t="s">
        <v>130</v>
      </c>
      <c r="CR929" s="0" t="s">
        <v>130</v>
      </c>
      <c r="CS929" s="0" t="s">
        <v>130</v>
      </c>
      <c r="CT929" s="0" t="s">
        <v>2852</v>
      </c>
    </row>
    <row r="930">
      <c r="A930" s="14">
        <v>117312</v>
      </c>
      <c r="B930" s="0" t="s">
        <v>2853</v>
      </c>
      <c r="C930" s="16">
        <f>HYPERLINK("https://eosportal.federatedhermes.com/companies/Q29tcGFueQppNDc1NDI=", "Royal Caribbean Cruises Ltd")</f>
      </c>
      <c r="D930" s="0" t="s">
        <v>25</v>
      </c>
      <c r="E930" s="0" t="s">
        <v>2854</v>
      </c>
      <c r="F930" s="16">
        <f>HYPERLINK("https://eosportal.federatedhermes.com/engagements/RW5nYWdlbWVudAppMjI5NDY=", "ESG Strategy and target setting")</f>
      </c>
      <c r="G930" s="14" t="s">
        <v>2855</v>
      </c>
      <c r="H930" s="0" t="s">
        <v>130</v>
      </c>
      <c r="I930" s="14" t="s">
        <v>131</v>
      </c>
      <c r="J930" s="0" t="s">
        <v>132</v>
      </c>
      <c r="K930" s="0" t="s">
        <v>170</v>
      </c>
      <c r="L930" s="0" t="s">
        <v>171</v>
      </c>
      <c r="M930" s="0" t="s">
        <v>135</v>
      </c>
      <c r="N930" s="0" t="s">
        <v>136</v>
      </c>
      <c r="O930" s="0" t="s">
        <v>643</v>
      </c>
      <c r="Q930" s="0" t="s">
        <v>141</v>
      </c>
      <c r="R930" s="0" t="s">
        <v>138</v>
      </c>
      <c r="S930" s="14">
        <v>1</v>
      </c>
      <c r="T930" s="0" t="s">
        <v>327</v>
      </c>
      <c r="U930" s="0" t="s">
        <v>138</v>
      </c>
      <c r="V930" s="14" t="s">
        <v>138</v>
      </c>
      <c r="W930" s="0" t="s">
        <v>138</v>
      </c>
      <c r="X930" s="14" t="s">
        <v>138</v>
      </c>
      <c r="Y930" s="0" t="s">
        <v>138</v>
      </c>
      <c r="Z930" s="14" t="s">
        <v>138</v>
      </c>
      <c r="AA930" s="0" t="s">
        <v>138</v>
      </c>
      <c r="AB930" s="14" t="s">
        <v>138</v>
      </c>
      <c r="AD930" s="0" t="s">
        <v>138</v>
      </c>
      <c r="AF930" s="0">
        <v>0</v>
      </c>
      <c r="AG930" s="0">
        <v>0</v>
      </c>
      <c r="AH930" s="0" t="s">
        <v>140</v>
      </c>
      <c r="AI930" s="0" t="s">
        <v>138</v>
      </c>
      <c r="AK930" s="0" t="s">
        <v>1950</v>
      </c>
      <c r="AL930" s="14"/>
      <c r="AN930" s="14"/>
      <c r="AQ930" s="0" t="s">
        <v>130</v>
      </c>
      <c r="AR930" s="0" t="s">
        <v>130</v>
      </c>
      <c r="AS930" s="0" t="s">
        <v>130</v>
      </c>
      <c r="AT930" s="0" t="s">
        <v>130</v>
      </c>
      <c r="AU930" s="0" t="s">
        <v>130</v>
      </c>
      <c r="AV930" s="0" t="s">
        <v>130</v>
      </c>
      <c r="AW930" s="0" t="s">
        <v>130</v>
      </c>
      <c r="AX930" s="0" t="s">
        <v>130</v>
      </c>
      <c r="AY930" s="0" t="s">
        <v>130</v>
      </c>
      <c r="AZ930" s="0" t="s">
        <v>130</v>
      </c>
      <c r="BA930" s="0" t="s">
        <v>130</v>
      </c>
      <c r="BB930" s="0" t="s">
        <v>141</v>
      </c>
      <c r="BC930" s="0" t="s">
        <v>130</v>
      </c>
      <c r="BD930" s="0" t="s">
        <v>130</v>
      </c>
      <c r="BE930" s="0" t="s">
        <v>130</v>
      </c>
      <c r="BF930" s="0" t="s">
        <v>130</v>
      </c>
      <c r="BG930" s="0" t="s">
        <v>130</v>
      </c>
      <c r="BH930" s="0" t="s">
        <v>130</v>
      </c>
      <c r="BI930" s="0" t="s">
        <v>130</v>
      </c>
      <c r="BJ930" s="0" t="s">
        <v>130</v>
      </c>
      <c r="BK930" s="0" t="s">
        <v>130</v>
      </c>
      <c r="BL930" s="0" t="s">
        <v>130</v>
      </c>
      <c r="BM930" s="0" t="s">
        <v>130</v>
      </c>
      <c r="BN930" s="0" t="s">
        <v>130</v>
      </c>
      <c r="BO930" s="0" t="s">
        <v>130</v>
      </c>
      <c r="BP930" s="0" t="s">
        <v>130</v>
      </c>
      <c r="BQ930" s="0" t="s">
        <v>130</v>
      </c>
      <c r="BR930" s="0" t="s">
        <v>130</v>
      </c>
      <c r="BS930" s="0" t="s">
        <v>130</v>
      </c>
      <c r="BT930" s="0" t="s">
        <v>130</v>
      </c>
      <c r="BU930" s="0" t="s">
        <v>130</v>
      </c>
      <c r="BV930" s="0" t="s">
        <v>130</v>
      </c>
      <c r="BW930" s="0" t="s">
        <v>130</v>
      </c>
      <c r="BX930" s="0" t="s">
        <v>130</v>
      </c>
      <c r="BY930" s="0" t="s">
        <v>130</v>
      </c>
      <c r="BZ930" s="0" t="s">
        <v>130</v>
      </c>
      <c r="CA930" s="0" t="s">
        <v>130</v>
      </c>
      <c r="CB930" s="0" t="s">
        <v>130</v>
      </c>
      <c r="CC930" s="0" t="s">
        <v>130</v>
      </c>
      <c r="CD930" s="0" t="s">
        <v>130</v>
      </c>
      <c r="CE930" s="0" t="s">
        <v>130</v>
      </c>
      <c r="CF930" s="0" t="s">
        <v>130</v>
      </c>
      <c r="CG930" s="0" t="s">
        <v>130</v>
      </c>
      <c r="CH930" s="0" t="s">
        <v>130</v>
      </c>
      <c r="CI930" s="0" t="s">
        <v>130</v>
      </c>
      <c r="CJ930" s="0" t="s">
        <v>130</v>
      </c>
      <c r="CK930" s="0" t="s">
        <v>130</v>
      </c>
      <c r="CL930" s="0" t="s">
        <v>130</v>
      </c>
      <c r="CM930" s="0" t="s">
        <v>130</v>
      </c>
      <c r="CN930" s="0" t="s">
        <v>130</v>
      </c>
      <c r="CO930" s="0" t="s">
        <v>130</v>
      </c>
      <c r="CP930" s="0" t="s">
        <v>130</v>
      </c>
      <c r="CQ930" s="0" t="s">
        <v>130</v>
      </c>
      <c r="CR930" s="0" t="s">
        <v>130</v>
      </c>
      <c r="CS930" s="0" t="s">
        <v>130</v>
      </c>
      <c r="CT930" s="0" t="s">
        <v>2856</v>
      </c>
    </row>
    <row r="931">
      <c r="A931" s="14">
        <v>117312</v>
      </c>
      <c r="B931" s="0" t="s">
        <v>2853</v>
      </c>
      <c r="C931" s="16">
        <f>HYPERLINK("https://eosportal.federatedhermes.com/companies/Q29tcGFueQppNDc1NDI=", "Royal Caribbean Cruises Ltd")</f>
      </c>
      <c r="D931" s="0" t="s">
        <v>25</v>
      </c>
      <c r="E931" s="0" t="s">
        <v>729</v>
      </c>
      <c r="F931" s="16">
        <f>HYPERLINK("https://eosportal.federatedhermes.com/engagements/RW5nYWdlbWVudAppMjI5NDc=", "Board diversity")</f>
      </c>
      <c r="G931" s="14" t="s">
        <v>2857</v>
      </c>
      <c r="H931" s="0" t="s">
        <v>130</v>
      </c>
      <c r="I931" s="14" t="s">
        <v>131</v>
      </c>
      <c r="J931" s="0" t="s">
        <v>145</v>
      </c>
      <c r="K931" s="0" t="s">
        <v>164</v>
      </c>
      <c r="L931" s="0" t="s">
        <v>165</v>
      </c>
      <c r="M931" s="0" t="s">
        <v>135</v>
      </c>
      <c r="N931" s="0" t="s">
        <v>136</v>
      </c>
      <c r="O931" s="0" t="s">
        <v>643</v>
      </c>
      <c r="Q931" s="0" t="s">
        <v>130</v>
      </c>
      <c r="R931" s="0" t="s">
        <v>138</v>
      </c>
      <c r="S931" s="14">
        <v>0</v>
      </c>
      <c r="T931" s="0" t="s">
        <v>166</v>
      </c>
      <c r="U931" s="0" t="s">
        <v>138</v>
      </c>
      <c r="V931" s="14" t="s">
        <v>138</v>
      </c>
      <c r="W931" s="0" t="s">
        <v>138</v>
      </c>
      <c r="X931" s="14" t="s">
        <v>138</v>
      </c>
      <c r="Y931" s="0" t="s">
        <v>138</v>
      </c>
      <c r="Z931" s="14" t="s">
        <v>138</v>
      </c>
      <c r="AA931" s="0" t="s">
        <v>138</v>
      </c>
      <c r="AB931" s="14" t="s">
        <v>138</v>
      </c>
      <c r="AD931" s="0" t="s">
        <v>138</v>
      </c>
      <c r="AF931" s="0">
        <v>0</v>
      </c>
      <c r="AG931" s="0">
        <v>0</v>
      </c>
      <c r="AH931" s="0" t="s">
        <v>140</v>
      </c>
      <c r="AI931" s="0" t="s">
        <v>138</v>
      </c>
      <c r="AL931" s="14"/>
      <c r="AN931" s="14"/>
      <c r="AQ931" s="0" t="s">
        <v>130</v>
      </c>
      <c r="AR931" s="0" t="s">
        <v>130</v>
      </c>
      <c r="AS931" s="0" t="s">
        <v>130</v>
      </c>
      <c r="AT931" s="0" t="s">
        <v>130</v>
      </c>
      <c r="AU931" s="0" t="s">
        <v>141</v>
      </c>
      <c r="AV931" s="0" t="s">
        <v>130</v>
      </c>
      <c r="AW931" s="0" t="s">
        <v>130</v>
      </c>
      <c r="AX931" s="0" t="s">
        <v>130</v>
      </c>
      <c r="AY931" s="0" t="s">
        <v>130</v>
      </c>
      <c r="AZ931" s="0" t="s">
        <v>130</v>
      </c>
      <c r="BA931" s="0" t="s">
        <v>130</v>
      </c>
      <c r="BB931" s="0" t="s">
        <v>130</v>
      </c>
      <c r="BC931" s="0" t="s">
        <v>130</v>
      </c>
      <c r="BD931" s="0" t="s">
        <v>130</v>
      </c>
      <c r="BE931" s="0" t="s">
        <v>130</v>
      </c>
      <c r="BF931" s="0" t="s">
        <v>130</v>
      </c>
      <c r="BG931" s="0" t="s">
        <v>130</v>
      </c>
      <c r="BH931" s="0" t="s">
        <v>130</v>
      </c>
      <c r="BI931" s="0" t="s">
        <v>130</v>
      </c>
      <c r="BJ931" s="0" t="s">
        <v>130</v>
      </c>
      <c r="BK931" s="0" t="s">
        <v>130</v>
      </c>
      <c r="BL931" s="0" t="s">
        <v>130</v>
      </c>
      <c r="BM931" s="0" t="s">
        <v>130</v>
      </c>
      <c r="BN931" s="0" t="s">
        <v>130</v>
      </c>
      <c r="BO931" s="0" t="s">
        <v>130</v>
      </c>
      <c r="BP931" s="0" t="s">
        <v>130</v>
      </c>
      <c r="BQ931" s="0" t="s">
        <v>130</v>
      </c>
      <c r="BR931" s="0" t="s">
        <v>130</v>
      </c>
      <c r="BS931" s="0" t="s">
        <v>130</v>
      </c>
      <c r="BT931" s="0" t="s">
        <v>130</v>
      </c>
      <c r="BU931" s="0" t="s">
        <v>130</v>
      </c>
      <c r="BV931" s="0" t="s">
        <v>130</v>
      </c>
      <c r="BW931" s="0" t="s">
        <v>130</v>
      </c>
      <c r="BX931" s="0" t="s">
        <v>130</v>
      </c>
      <c r="BY931" s="0" t="s">
        <v>130</v>
      </c>
      <c r="BZ931" s="0" t="s">
        <v>130</v>
      </c>
      <c r="CA931" s="0" t="s">
        <v>130</v>
      </c>
      <c r="CB931" s="0" t="s">
        <v>130</v>
      </c>
      <c r="CC931" s="0" t="s">
        <v>130</v>
      </c>
      <c r="CD931" s="0" t="s">
        <v>130</v>
      </c>
      <c r="CE931" s="0" t="s">
        <v>130</v>
      </c>
      <c r="CF931" s="0" t="s">
        <v>130</v>
      </c>
      <c r="CG931" s="0" t="s">
        <v>130</v>
      </c>
      <c r="CH931" s="0" t="s">
        <v>130</v>
      </c>
      <c r="CI931" s="0" t="s">
        <v>130</v>
      </c>
      <c r="CJ931" s="0" t="s">
        <v>130</v>
      </c>
      <c r="CK931" s="0" t="s">
        <v>130</v>
      </c>
      <c r="CL931" s="0" t="s">
        <v>130</v>
      </c>
      <c r="CM931" s="0" t="s">
        <v>130</v>
      </c>
      <c r="CN931" s="0" t="s">
        <v>130</v>
      </c>
      <c r="CO931" s="0" t="s">
        <v>130</v>
      </c>
      <c r="CP931" s="0" t="s">
        <v>130</v>
      </c>
      <c r="CQ931" s="0" t="s">
        <v>130</v>
      </c>
      <c r="CR931" s="0" t="s">
        <v>130</v>
      </c>
      <c r="CS931" s="0" t="s">
        <v>130</v>
      </c>
      <c r="CT931" s="0" t="s">
        <v>2858</v>
      </c>
    </row>
    <row r="932">
      <c r="A932" s="14">
        <v>117312</v>
      </c>
      <c r="B932" s="0" t="s">
        <v>2853</v>
      </c>
      <c r="C932" s="16">
        <f>HYPERLINK("https://eosportal.federatedhermes.com/companies/Q29tcGFueQppNDc1NDI=", "Royal Caribbean Cruises Ltd")</f>
      </c>
      <c r="D932" s="0" t="s">
        <v>25</v>
      </c>
      <c r="E932" s="0" t="s">
        <v>2859</v>
      </c>
      <c r="F932" s="16">
        <f>HYPERLINK("https://eosportal.federatedhermes.com/engagements/RW5nYWdlbWVudAppMjI5NDg=", "Pandemic Response Protocols")</f>
      </c>
      <c r="G932" s="14" t="s">
        <v>2860</v>
      </c>
      <c r="H932" s="0" t="s">
        <v>130</v>
      </c>
      <c r="I932" s="14" t="s">
        <v>131</v>
      </c>
      <c r="J932" s="0" t="s">
        <v>153</v>
      </c>
      <c r="K932" s="0" t="s">
        <v>154</v>
      </c>
      <c r="L932" s="0" t="s">
        <v>155</v>
      </c>
      <c r="M932" s="0" t="s">
        <v>135</v>
      </c>
      <c r="N932" s="0" t="s">
        <v>136</v>
      </c>
      <c r="O932" s="0" t="s">
        <v>643</v>
      </c>
      <c r="Q932" s="0" t="s">
        <v>130</v>
      </c>
      <c r="R932" s="0" t="s">
        <v>138</v>
      </c>
      <c r="S932" s="14">
        <v>0</v>
      </c>
      <c r="T932" s="0" t="s">
        <v>327</v>
      </c>
      <c r="U932" s="0" t="s">
        <v>138</v>
      </c>
      <c r="V932" s="14" t="s">
        <v>138</v>
      </c>
      <c r="W932" s="0" t="s">
        <v>138</v>
      </c>
      <c r="X932" s="14" t="s">
        <v>138</v>
      </c>
      <c r="Y932" s="0" t="s">
        <v>138</v>
      </c>
      <c r="Z932" s="14" t="s">
        <v>138</v>
      </c>
      <c r="AA932" s="0" t="s">
        <v>138</v>
      </c>
      <c r="AB932" s="14" t="s">
        <v>138</v>
      </c>
      <c r="AD932" s="0" t="s">
        <v>138</v>
      </c>
      <c r="AF932" s="0">
        <v>0</v>
      </c>
      <c r="AG932" s="0">
        <v>0</v>
      </c>
      <c r="AH932" s="0" t="s">
        <v>140</v>
      </c>
      <c r="AI932" s="0" t="s">
        <v>138</v>
      </c>
      <c r="AL932" s="14"/>
      <c r="AN932" s="14"/>
      <c r="AQ932" s="0" t="s">
        <v>130</v>
      </c>
      <c r="AR932" s="0" t="s">
        <v>130</v>
      </c>
      <c r="AS932" s="0" t="s">
        <v>141</v>
      </c>
      <c r="AT932" s="0" t="s">
        <v>130</v>
      </c>
      <c r="AU932" s="0" t="s">
        <v>130</v>
      </c>
      <c r="AV932" s="0" t="s">
        <v>130</v>
      </c>
      <c r="AW932" s="0" t="s">
        <v>130</v>
      </c>
      <c r="AX932" s="0" t="s">
        <v>130</v>
      </c>
      <c r="AY932" s="0" t="s">
        <v>130</v>
      </c>
      <c r="AZ932" s="0" t="s">
        <v>130</v>
      </c>
      <c r="BA932" s="0" t="s">
        <v>130</v>
      </c>
      <c r="BB932" s="0" t="s">
        <v>130</v>
      </c>
      <c r="BC932" s="0" t="s">
        <v>130</v>
      </c>
      <c r="BD932" s="0" t="s">
        <v>130</v>
      </c>
      <c r="BE932" s="0" t="s">
        <v>130</v>
      </c>
      <c r="BF932" s="0" t="s">
        <v>130</v>
      </c>
      <c r="BG932" s="0" t="s">
        <v>130</v>
      </c>
      <c r="BH932" s="0" t="s">
        <v>130</v>
      </c>
      <c r="BI932" s="0" t="s">
        <v>130</v>
      </c>
      <c r="BJ932" s="0" t="s">
        <v>130</v>
      </c>
      <c r="BK932" s="0" t="s">
        <v>130</v>
      </c>
      <c r="BL932" s="0" t="s">
        <v>130</v>
      </c>
      <c r="BM932" s="0" t="s">
        <v>130</v>
      </c>
      <c r="BN932" s="0" t="s">
        <v>130</v>
      </c>
      <c r="BO932" s="0" t="s">
        <v>130</v>
      </c>
      <c r="BP932" s="0" t="s">
        <v>130</v>
      </c>
      <c r="BQ932" s="0" t="s">
        <v>130</v>
      </c>
      <c r="BR932" s="0" t="s">
        <v>130</v>
      </c>
      <c r="BS932" s="0" t="s">
        <v>130</v>
      </c>
      <c r="BT932" s="0" t="s">
        <v>130</v>
      </c>
      <c r="BU932" s="0" t="s">
        <v>130</v>
      </c>
      <c r="BV932" s="0" t="s">
        <v>130</v>
      </c>
      <c r="BW932" s="0" t="s">
        <v>130</v>
      </c>
      <c r="BX932" s="0" t="s">
        <v>130</v>
      </c>
      <c r="BY932" s="0" t="s">
        <v>130</v>
      </c>
      <c r="BZ932" s="0" t="s">
        <v>130</v>
      </c>
      <c r="CA932" s="0" t="s">
        <v>130</v>
      </c>
      <c r="CB932" s="0" t="s">
        <v>130</v>
      </c>
      <c r="CC932" s="0" t="s">
        <v>130</v>
      </c>
      <c r="CD932" s="0" t="s">
        <v>130</v>
      </c>
      <c r="CE932" s="0" t="s">
        <v>130</v>
      </c>
      <c r="CF932" s="0" t="s">
        <v>130</v>
      </c>
      <c r="CG932" s="0" t="s">
        <v>130</v>
      </c>
      <c r="CH932" s="0" t="s">
        <v>130</v>
      </c>
      <c r="CI932" s="0" t="s">
        <v>141</v>
      </c>
      <c r="CJ932" s="0" t="s">
        <v>130</v>
      </c>
      <c r="CK932" s="0" t="s">
        <v>130</v>
      </c>
      <c r="CL932" s="0" t="s">
        <v>130</v>
      </c>
      <c r="CM932" s="0" t="s">
        <v>130</v>
      </c>
      <c r="CN932" s="0" t="s">
        <v>130</v>
      </c>
      <c r="CO932" s="0" t="s">
        <v>130</v>
      </c>
      <c r="CP932" s="0" t="s">
        <v>130</v>
      </c>
      <c r="CQ932" s="0" t="s">
        <v>130</v>
      </c>
      <c r="CR932" s="0" t="s">
        <v>130</v>
      </c>
      <c r="CS932" s="0" t="s">
        <v>130</v>
      </c>
      <c r="CT932" s="0" t="s">
        <v>2861</v>
      </c>
    </row>
    <row r="933">
      <c r="A933" s="14">
        <v>117621</v>
      </c>
      <c r="B933" s="0" t="s">
        <v>2862</v>
      </c>
      <c r="C933" s="16">
        <f>HYPERLINK("https://eosportal.federatedhermes.com/companies/Q29tcGFueQppNjc3Mzc=", "Hyundai Motor Co")</f>
      </c>
      <c r="D933" s="0" t="s">
        <v>25</v>
      </c>
      <c r="E933" s="0" t="s">
        <v>2798</v>
      </c>
      <c r="F933" s="16">
        <f>HYPERLINK("https://eosportal.federatedhermes.com/engagements/RW5nYWdlbWVudAppMjMwNTY=", "Lack of gender diversity on the board")</f>
      </c>
      <c r="G933" s="14" t="s">
        <v>2799</v>
      </c>
      <c r="H933" s="0" t="s">
        <v>141</v>
      </c>
      <c r="I933" s="14" t="s">
        <v>191</v>
      </c>
      <c r="J933" s="0" t="s">
        <v>145</v>
      </c>
      <c r="K933" s="0" t="s">
        <v>164</v>
      </c>
      <c r="L933" s="0" t="s">
        <v>165</v>
      </c>
      <c r="M933" s="0" t="s">
        <v>802</v>
      </c>
      <c r="N933" s="0" t="s">
        <v>2800</v>
      </c>
      <c r="O933" s="0" t="s">
        <v>425</v>
      </c>
      <c r="Q933" s="0" t="s">
        <v>130</v>
      </c>
      <c r="R933" s="0" t="s">
        <v>138</v>
      </c>
      <c r="S933" s="14">
        <v>0</v>
      </c>
      <c r="T933" s="0" t="s">
        <v>288</v>
      </c>
      <c r="U933" s="0" t="s">
        <v>138</v>
      </c>
      <c r="V933" s="14" t="s">
        <v>138</v>
      </c>
      <c r="W933" s="0" t="s">
        <v>138</v>
      </c>
      <c r="X933" s="14" t="s">
        <v>138</v>
      </c>
      <c r="Y933" s="0" t="s">
        <v>138</v>
      </c>
      <c r="Z933" s="14" t="s">
        <v>138</v>
      </c>
      <c r="AA933" s="0" t="s">
        <v>138</v>
      </c>
      <c r="AB933" s="14" t="s">
        <v>138</v>
      </c>
      <c r="AD933" s="0" t="s">
        <v>138</v>
      </c>
      <c r="AF933" s="0">
        <v>0</v>
      </c>
      <c r="AG933" s="0">
        <v>0</v>
      </c>
      <c r="AH933" s="0" t="s">
        <v>140</v>
      </c>
      <c r="AI933" s="0" t="s">
        <v>138</v>
      </c>
      <c r="AL933" s="14"/>
      <c r="AN933" s="14"/>
      <c r="AQ933" s="0" t="s">
        <v>130</v>
      </c>
      <c r="AR933" s="0" t="s">
        <v>130</v>
      </c>
      <c r="AS933" s="0" t="s">
        <v>130</v>
      </c>
      <c r="AT933" s="0" t="s">
        <v>130</v>
      </c>
      <c r="AU933" s="0" t="s">
        <v>141</v>
      </c>
      <c r="AV933" s="0" t="s">
        <v>130</v>
      </c>
      <c r="AW933" s="0" t="s">
        <v>130</v>
      </c>
      <c r="AX933" s="0" t="s">
        <v>130</v>
      </c>
      <c r="AY933" s="0" t="s">
        <v>130</v>
      </c>
      <c r="AZ933" s="0" t="s">
        <v>130</v>
      </c>
      <c r="BA933" s="0" t="s">
        <v>130</v>
      </c>
      <c r="BB933" s="0" t="s">
        <v>130</v>
      </c>
      <c r="BC933" s="0" t="s">
        <v>130</v>
      </c>
      <c r="BD933" s="0" t="s">
        <v>130</v>
      </c>
      <c r="BE933" s="0" t="s">
        <v>130</v>
      </c>
      <c r="BF933" s="0" t="s">
        <v>130</v>
      </c>
      <c r="BG933" s="0" t="s">
        <v>130</v>
      </c>
      <c r="BH933" s="0" t="s">
        <v>130</v>
      </c>
      <c r="BI933" s="0" t="s">
        <v>130</v>
      </c>
      <c r="BJ933" s="0" t="s">
        <v>130</v>
      </c>
      <c r="BK933" s="0" t="s">
        <v>130</v>
      </c>
      <c r="BL933" s="0" t="s">
        <v>130</v>
      </c>
      <c r="BM933" s="0" t="s">
        <v>130</v>
      </c>
      <c r="BN933" s="0" t="s">
        <v>130</v>
      </c>
      <c r="BO933" s="0" t="s">
        <v>130</v>
      </c>
      <c r="BP933" s="0" t="s">
        <v>130</v>
      </c>
      <c r="BQ933" s="0" t="s">
        <v>130</v>
      </c>
      <c r="BR933" s="0" t="s">
        <v>130</v>
      </c>
      <c r="BS933" s="0" t="s">
        <v>130</v>
      </c>
      <c r="BT933" s="0" t="s">
        <v>130</v>
      </c>
      <c r="BU933" s="0" t="s">
        <v>130</v>
      </c>
      <c r="BV933" s="0" t="s">
        <v>130</v>
      </c>
      <c r="BW933" s="0" t="s">
        <v>130</v>
      </c>
      <c r="BX933" s="0" t="s">
        <v>130</v>
      </c>
      <c r="BY933" s="0" t="s">
        <v>130</v>
      </c>
      <c r="BZ933" s="0" t="s">
        <v>130</v>
      </c>
      <c r="CA933" s="0" t="s">
        <v>130</v>
      </c>
      <c r="CB933" s="0" t="s">
        <v>130</v>
      </c>
      <c r="CC933" s="0" t="s">
        <v>130</v>
      </c>
      <c r="CD933" s="0" t="s">
        <v>130</v>
      </c>
      <c r="CE933" s="0" t="s">
        <v>130</v>
      </c>
      <c r="CF933" s="0" t="s">
        <v>130</v>
      </c>
      <c r="CG933" s="0" t="s">
        <v>130</v>
      </c>
      <c r="CH933" s="0" t="s">
        <v>130</v>
      </c>
      <c r="CI933" s="0" t="s">
        <v>130</v>
      </c>
      <c r="CJ933" s="0" t="s">
        <v>130</v>
      </c>
      <c r="CK933" s="0" t="s">
        <v>130</v>
      </c>
      <c r="CL933" s="0" t="s">
        <v>130</v>
      </c>
      <c r="CM933" s="0" t="s">
        <v>130</v>
      </c>
      <c r="CN933" s="0" t="s">
        <v>130</v>
      </c>
      <c r="CO933" s="0" t="s">
        <v>130</v>
      </c>
      <c r="CP933" s="0" t="s">
        <v>130</v>
      </c>
      <c r="CQ933" s="0" t="s">
        <v>130</v>
      </c>
      <c r="CR933" s="0" t="s">
        <v>130</v>
      </c>
      <c r="CS933" s="0" t="s">
        <v>130</v>
      </c>
      <c r="CT933" s="0" t="s">
        <v>2863</v>
      </c>
    </row>
    <row r="934">
      <c r="A934" s="14">
        <v>117621</v>
      </c>
      <c r="B934" s="0" t="s">
        <v>2862</v>
      </c>
      <c r="C934" s="16">
        <f>HYPERLINK("https://eosportal.federatedhermes.com/companies/Q29tcGFueQppNjc3Mzc=", "Hyundai Motor Co")</f>
      </c>
      <c r="D934" s="0" t="s">
        <v>23</v>
      </c>
      <c r="E934" s="0" t="s">
        <v>2864</v>
      </c>
      <c r="F934" s="16">
        <f>HYPERLINK("https://eosportal.federatedhermes.com/engagements/RW5nYWdlbWVudAppMjMwNjM=", "NOX emissions control")</f>
      </c>
      <c r="G934" s="14" t="s">
        <v>2865</v>
      </c>
      <c r="H934" s="0" t="s">
        <v>141</v>
      </c>
      <c r="I934" s="14" t="s">
        <v>191</v>
      </c>
      <c r="J934" s="0" t="s">
        <v>197</v>
      </c>
      <c r="K934" s="0" t="s">
        <v>348</v>
      </c>
      <c r="L934" s="0" t="s">
        <v>650</v>
      </c>
      <c r="M934" s="0" t="s">
        <v>802</v>
      </c>
      <c r="N934" s="0" t="s">
        <v>2800</v>
      </c>
      <c r="O934" s="0" t="s">
        <v>425</v>
      </c>
      <c r="Q934" s="0" t="s">
        <v>141</v>
      </c>
      <c r="R934" s="0" t="s">
        <v>130</v>
      </c>
      <c r="S934" s="14">
        <v>1</v>
      </c>
      <c r="T934" s="0" t="s">
        <v>239</v>
      </c>
      <c r="U934" s="0" t="s">
        <v>221</v>
      </c>
      <c r="V934" s="14" t="s">
        <v>239</v>
      </c>
      <c r="W934" s="0" t="s">
        <v>221</v>
      </c>
      <c r="X934" s="14" t="s">
        <v>288</v>
      </c>
      <c r="Y934" s="0" t="s">
        <v>223</v>
      </c>
      <c r="Z934" s="14" t="s">
        <v>138</v>
      </c>
      <c r="AA934" s="0" t="s">
        <v>224</v>
      </c>
      <c r="AB934" s="14" t="s">
        <v>138</v>
      </c>
      <c r="AD934" s="0" t="s">
        <v>17</v>
      </c>
      <c r="AF934" s="0">
        <v>0</v>
      </c>
      <c r="AG934" s="0">
        <v>0</v>
      </c>
      <c r="AH934" s="0" t="s">
        <v>140</v>
      </c>
      <c r="AI934" s="0" t="s">
        <v>225</v>
      </c>
      <c r="AK934" s="0" t="s">
        <v>2866</v>
      </c>
      <c r="AL934" s="14"/>
      <c r="AN934" s="14"/>
      <c r="AQ934" s="0" t="s">
        <v>130</v>
      </c>
      <c r="AR934" s="0" t="s">
        <v>130</v>
      </c>
      <c r="AS934" s="0" t="s">
        <v>141</v>
      </c>
      <c r="AT934" s="0" t="s">
        <v>130</v>
      </c>
      <c r="AU934" s="0" t="s">
        <v>130</v>
      </c>
      <c r="AV934" s="0" t="s">
        <v>130</v>
      </c>
      <c r="AW934" s="0" t="s">
        <v>130</v>
      </c>
      <c r="AX934" s="0" t="s">
        <v>130</v>
      </c>
      <c r="AY934" s="0" t="s">
        <v>130</v>
      </c>
      <c r="AZ934" s="0" t="s">
        <v>130</v>
      </c>
      <c r="BA934" s="0" t="s">
        <v>130</v>
      </c>
      <c r="BB934" s="0" t="s">
        <v>141</v>
      </c>
      <c r="BC934" s="0" t="s">
        <v>130</v>
      </c>
      <c r="BD934" s="0" t="s">
        <v>130</v>
      </c>
      <c r="BE934" s="0" t="s">
        <v>130</v>
      </c>
      <c r="BF934" s="0" t="s">
        <v>130</v>
      </c>
      <c r="BG934" s="0" t="s">
        <v>130</v>
      </c>
      <c r="BH934" s="0" t="s">
        <v>130</v>
      </c>
      <c r="BI934" s="0" t="s">
        <v>130</v>
      </c>
      <c r="BJ934" s="0" t="s">
        <v>130</v>
      </c>
      <c r="BK934" s="0" t="s">
        <v>130</v>
      </c>
      <c r="BL934" s="0" t="s">
        <v>130</v>
      </c>
      <c r="BM934" s="0" t="s">
        <v>130</v>
      </c>
      <c r="BN934" s="0" t="s">
        <v>130</v>
      </c>
      <c r="BO934" s="0" t="s">
        <v>130</v>
      </c>
      <c r="BP934" s="0" t="s">
        <v>130</v>
      </c>
      <c r="BQ934" s="0" t="s">
        <v>130</v>
      </c>
      <c r="BR934" s="0" t="s">
        <v>130</v>
      </c>
      <c r="BS934" s="0" t="s">
        <v>130</v>
      </c>
      <c r="BT934" s="0" t="s">
        <v>130</v>
      </c>
      <c r="BU934" s="0" t="s">
        <v>130</v>
      </c>
      <c r="BV934" s="0" t="s">
        <v>130</v>
      </c>
      <c r="BW934" s="0" t="s">
        <v>130</v>
      </c>
      <c r="BX934" s="0" t="s">
        <v>130</v>
      </c>
      <c r="BY934" s="0" t="s">
        <v>130</v>
      </c>
      <c r="BZ934" s="0" t="s">
        <v>130</v>
      </c>
      <c r="CA934" s="0" t="s">
        <v>130</v>
      </c>
      <c r="CB934" s="0" t="s">
        <v>130</v>
      </c>
      <c r="CC934" s="0" t="s">
        <v>130</v>
      </c>
      <c r="CD934" s="0" t="s">
        <v>130</v>
      </c>
      <c r="CE934" s="0" t="s">
        <v>130</v>
      </c>
      <c r="CF934" s="0" t="s">
        <v>130</v>
      </c>
      <c r="CG934" s="0" t="s">
        <v>130</v>
      </c>
      <c r="CH934" s="0" t="s">
        <v>130</v>
      </c>
      <c r="CI934" s="0" t="s">
        <v>130</v>
      </c>
      <c r="CJ934" s="0" t="s">
        <v>130</v>
      </c>
      <c r="CK934" s="0" t="s">
        <v>130</v>
      </c>
      <c r="CL934" s="0" t="s">
        <v>130</v>
      </c>
      <c r="CM934" s="0" t="s">
        <v>130</v>
      </c>
      <c r="CN934" s="0" t="s">
        <v>130</v>
      </c>
      <c r="CO934" s="0" t="s">
        <v>130</v>
      </c>
      <c r="CP934" s="0" t="s">
        <v>130</v>
      </c>
      <c r="CQ934" s="0" t="s">
        <v>130</v>
      </c>
      <c r="CR934" s="0" t="s">
        <v>130</v>
      </c>
      <c r="CS934" s="0" t="s">
        <v>130</v>
      </c>
      <c r="CT934" s="0" t="s">
        <v>2867</v>
      </c>
    </row>
    <row r="935">
      <c r="A935" s="14">
        <v>117621</v>
      </c>
      <c r="B935" s="0" t="s">
        <v>2862</v>
      </c>
      <c r="C935" s="16">
        <f>HYPERLINK("https://eosportal.federatedhermes.com/companies/Q29tcGFueQppNjc3Mzc=", "Hyundai Motor Co")</f>
      </c>
      <c r="D935" s="0" t="s">
        <v>25</v>
      </c>
      <c r="E935" s="0" t="s">
        <v>2868</v>
      </c>
      <c r="F935" s="16">
        <f>HYPERLINK("https://eosportal.federatedhermes.com/engagements/RW5nYWdlbWVudAppMjMwNjY=", "Bribery and Corruption")</f>
      </c>
      <c r="G935" s="14" t="s">
        <v>2868</v>
      </c>
      <c r="H935" s="0" t="s">
        <v>141</v>
      </c>
      <c r="I935" s="14" t="s">
        <v>191</v>
      </c>
      <c r="J935" s="0" t="s">
        <v>153</v>
      </c>
      <c r="K935" s="0" t="s">
        <v>185</v>
      </c>
      <c r="L935" s="0" t="s">
        <v>186</v>
      </c>
      <c r="M935" s="0" t="s">
        <v>802</v>
      </c>
      <c r="N935" s="0" t="s">
        <v>2800</v>
      </c>
      <c r="O935" s="0" t="s">
        <v>425</v>
      </c>
      <c r="Q935" s="0" t="s">
        <v>130</v>
      </c>
      <c r="R935" s="0" t="s">
        <v>138</v>
      </c>
      <c r="S935" s="14">
        <v>0</v>
      </c>
      <c r="T935" s="0" t="s">
        <v>390</v>
      </c>
      <c r="U935" s="0" t="s">
        <v>138</v>
      </c>
      <c r="V935" s="14" t="s">
        <v>138</v>
      </c>
      <c r="W935" s="0" t="s">
        <v>138</v>
      </c>
      <c r="X935" s="14" t="s">
        <v>138</v>
      </c>
      <c r="Y935" s="0" t="s">
        <v>138</v>
      </c>
      <c r="Z935" s="14" t="s">
        <v>138</v>
      </c>
      <c r="AA935" s="0" t="s">
        <v>138</v>
      </c>
      <c r="AB935" s="14" t="s">
        <v>138</v>
      </c>
      <c r="AD935" s="0" t="s">
        <v>138</v>
      </c>
      <c r="AF935" s="0">
        <v>0</v>
      </c>
      <c r="AG935" s="0">
        <v>0</v>
      </c>
      <c r="AH935" s="0" t="s">
        <v>140</v>
      </c>
      <c r="AI935" s="0" t="s">
        <v>138</v>
      </c>
      <c r="AL935" s="14"/>
      <c r="AN935" s="14"/>
      <c r="AQ935" s="0" t="s">
        <v>130</v>
      </c>
      <c r="AR935" s="0" t="s">
        <v>130</v>
      </c>
      <c r="AS935" s="0" t="s">
        <v>130</v>
      </c>
      <c r="AT935" s="0" t="s">
        <v>130</v>
      </c>
      <c r="AU935" s="0" t="s">
        <v>130</v>
      </c>
      <c r="AV935" s="0" t="s">
        <v>130</v>
      </c>
      <c r="AW935" s="0" t="s">
        <v>130</v>
      </c>
      <c r="AX935" s="0" t="s">
        <v>130</v>
      </c>
      <c r="AY935" s="0" t="s">
        <v>130</v>
      </c>
      <c r="AZ935" s="0" t="s">
        <v>130</v>
      </c>
      <c r="BA935" s="0" t="s">
        <v>130</v>
      </c>
      <c r="BB935" s="0" t="s">
        <v>130</v>
      </c>
      <c r="BC935" s="0" t="s">
        <v>130</v>
      </c>
      <c r="BD935" s="0" t="s">
        <v>130</v>
      </c>
      <c r="BE935" s="0" t="s">
        <v>130</v>
      </c>
      <c r="BF935" s="0" t="s">
        <v>141</v>
      </c>
      <c r="BG935" s="0" t="s">
        <v>130</v>
      </c>
      <c r="BH935" s="0" t="s">
        <v>130</v>
      </c>
      <c r="BI935" s="0" t="s">
        <v>130</v>
      </c>
      <c r="BJ935" s="0" t="s">
        <v>130</v>
      </c>
      <c r="BK935" s="0" t="s">
        <v>130</v>
      </c>
      <c r="BL935" s="0" t="s">
        <v>130</v>
      </c>
      <c r="BM935" s="0" t="s">
        <v>130</v>
      </c>
      <c r="BN935" s="0" t="s">
        <v>130</v>
      </c>
      <c r="BO935" s="0" t="s">
        <v>130</v>
      </c>
      <c r="BP935" s="0" t="s">
        <v>130</v>
      </c>
      <c r="BQ935" s="0" t="s">
        <v>130</v>
      </c>
      <c r="BR935" s="0" t="s">
        <v>130</v>
      </c>
      <c r="BS935" s="0" t="s">
        <v>130</v>
      </c>
      <c r="BT935" s="0" t="s">
        <v>130</v>
      </c>
      <c r="BU935" s="0" t="s">
        <v>130</v>
      </c>
      <c r="BV935" s="0" t="s">
        <v>130</v>
      </c>
      <c r="BW935" s="0" t="s">
        <v>130</v>
      </c>
      <c r="BX935" s="0" t="s">
        <v>130</v>
      </c>
      <c r="BY935" s="0" t="s">
        <v>130</v>
      </c>
      <c r="BZ935" s="0" t="s">
        <v>130</v>
      </c>
      <c r="CA935" s="0" t="s">
        <v>130</v>
      </c>
      <c r="CB935" s="0" t="s">
        <v>130</v>
      </c>
      <c r="CC935" s="0" t="s">
        <v>130</v>
      </c>
      <c r="CD935" s="0" t="s">
        <v>130</v>
      </c>
      <c r="CE935" s="0" t="s">
        <v>130</v>
      </c>
      <c r="CF935" s="0" t="s">
        <v>130</v>
      </c>
      <c r="CG935" s="0" t="s">
        <v>130</v>
      </c>
      <c r="CH935" s="0" t="s">
        <v>130</v>
      </c>
      <c r="CI935" s="0" t="s">
        <v>130</v>
      </c>
      <c r="CJ935" s="0" t="s">
        <v>130</v>
      </c>
      <c r="CK935" s="0" t="s">
        <v>130</v>
      </c>
      <c r="CL935" s="0" t="s">
        <v>130</v>
      </c>
      <c r="CM935" s="0" t="s">
        <v>130</v>
      </c>
      <c r="CN935" s="0" t="s">
        <v>130</v>
      </c>
      <c r="CO935" s="0" t="s">
        <v>130</v>
      </c>
      <c r="CP935" s="0" t="s">
        <v>130</v>
      </c>
      <c r="CQ935" s="0" t="s">
        <v>130</v>
      </c>
      <c r="CR935" s="0" t="s">
        <v>130</v>
      </c>
      <c r="CS935" s="0" t="s">
        <v>130</v>
      </c>
      <c r="CT935" s="0" t="s">
        <v>2869</v>
      </c>
    </row>
    <row r="936">
      <c r="A936" s="14">
        <v>117621</v>
      </c>
      <c r="B936" s="0" t="s">
        <v>2862</v>
      </c>
      <c r="C936" s="16">
        <f>HYPERLINK("https://eosportal.federatedhermes.com/companies/Q29tcGFueQppNjc3Mzc=", "Hyundai Motor Co")</f>
      </c>
      <c r="D936" s="0" t="s">
        <v>25</v>
      </c>
      <c r="E936" s="0" t="s">
        <v>2870</v>
      </c>
      <c r="F936" s="16">
        <f>HYPERLINK("https://eosportal.federatedhermes.com/engagements/RW5nYWdlbWVudAppMjMwNjc=", "Environmental Policy")</f>
      </c>
      <c r="G936" s="14" t="s">
        <v>2870</v>
      </c>
      <c r="H936" s="0" t="s">
        <v>141</v>
      </c>
      <c r="I936" s="14" t="s">
        <v>191</v>
      </c>
      <c r="J936" s="0" t="s">
        <v>197</v>
      </c>
      <c r="K936" s="0" t="s">
        <v>198</v>
      </c>
      <c r="L936" s="0" t="s">
        <v>199</v>
      </c>
      <c r="M936" s="0" t="s">
        <v>802</v>
      </c>
      <c r="N936" s="0" t="s">
        <v>2800</v>
      </c>
      <c r="O936" s="0" t="s">
        <v>425</v>
      </c>
      <c r="Q936" s="0" t="s">
        <v>130</v>
      </c>
      <c r="R936" s="0" t="s">
        <v>138</v>
      </c>
      <c r="S936" s="14">
        <v>0</v>
      </c>
      <c r="T936" s="0" t="s">
        <v>1243</v>
      </c>
      <c r="U936" s="0" t="s">
        <v>138</v>
      </c>
      <c r="V936" s="14" t="s">
        <v>138</v>
      </c>
      <c r="W936" s="0" t="s">
        <v>138</v>
      </c>
      <c r="X936" s="14" t="s">
        <v>138</v>
      </c>
      <c r="Y936" s="0" t="s">
        <v>138</v>
      </c>
      <c r="Z936" s="14" t="s">
        <v>138</v>
      </c>
      <c r="AA936" s="0" t="s">
        <v>138</v>
      </c>
      <c r="AB936" s="14" t="s">
        <v>138</v>
      </c>
      <c r="AD936" s="0" t="s">
        <v>138</v>
      </c>
      <c r="AF936" s="0">
        <v>0</v>
      </c>
      <c r="AG936" s="0">
        <v>0</v>
      </c>
      <c r="AH936" s="0" t="s">
        <v>140</v>
      </c>
      <c r="AI936" s="0" t="s">
        <v>138</v>
      </c>
      <c r="AL936" s="14"/>
      <c r="AN936" s="14"/>
      <c r="AQ936" s="0" t="s">
        <v>130</v>
      </c>
      <c r="AR936" s="0" t="s">
        <v>130</v>
      </c>
      <c r="AS936" s="0" t="s">
        <v>130</v>
      </c>
      <c r="AT936" s="0" t="s">
        <v>130</v>
      </c>
      <c r="AU936" s="0" t="s">
        <v>130</v>
      </c>
      <c r="AV936" s="0" t="s">
        <v>130</v>
      </c>
      <c r="AW936" s="0" t="s">
        <v>141</v>
      </c>
      <c r="AX936" s="0" t="s">
        <v>130</v>
      </c>
      <c r="AY936" s="0" t="s">
        <v>130</v>
      </c>
      <c r="AZ936" s="0" t="s">
        <v>130</v>
      </c>
      <c r="BA936" s="0" t="s">
        <v>130</v>
      </c>
      <c r="BB936" s="0" t="s">
        <v>141</v>
      </c>
      <c r="BC936" s="0" t="s">
        <v>141</v>
      </c>
      <c r="BD936" s="0" t="s">
        <v>130</v>
      </c>
      <c r="BE936" s="0" t="s">
        <v>130</v>
      </c>
      <c r="BF936" s="0" t="s">
        <v>130</v>
      </c>
      <c r="BG936" s="0" t="s">
        <v>130</v>
      </c>
      <c r="BH936" s="0" t="s">
        <v>130</v>
      </c>
      <c r="BI936" s="0" t="s">
        <v>130</v>
      </c>
      <c r="BJ936" s="0" t="s">
        <v>130</v>
      </c>
      <c r="BK936" s="0" t="s">
        <v>130</v>
      </c>
      <c r="BL936" s="0" t="s">
        <v>130</v>
      </c>
      <c r="BM936" s="0" t="s">
        <v>130</v>
      </c>
      <c r="BN936" s="0" t="s">
        <v>130</v>
      </c>
      <c r="BO936" s="0" t="s">
        <v>130</v>
      </c>
      <c r="BP936" s="0" t="s">
        <v>130</v>
      </c>
      <c r="BQ936" s="0" t="s">
        <v>130</v>
      </c>
      <c r="BR936" s="0" t="s">
        <v>130</v>
      </c>
      <c r="BS936" s="0" t="s">
        <v>130</v>
      </c>
      <c r="BT936" s="0" t="s">
        <v>130</v>
      </c>
      <c r="BU936" s="0" t="s">
        <v>130</v>
      </c>
      <c r="BV936" s="0" t="s">
        <v>130</v>
      </c>
      <c r="BW936" s="0" t="s">
        <v>130</v>
      </c>
      <c r="BX936" s="0" t="s">
        <v>130</v>
      </c>
      <c r="BY936" s="0" t="s">
        <v>130</v>
      </c>
      <c r="BZ936" s="0" t="s">
        <v>130</v>
      </c>
      <c r="CA936" s="0" t="s">
        <v>130</v>
      </c>
      <c r="CB936" s="0" t="s">
        <v>130</v>
      </c>
      <c r="CC936" s="0" t="s">
        <v>130</v>
      </c>
      <c r="CD936" s="0" t="s">
        <v>130</v>
      </c>
      <c r="CE936" s="0" t="s">
        <v>130</v>
      </c>
      <c r="CF936" s="0" t="s">
        <v>130</v>
      </c>
      <c r="CG936" s="0" t="s">
        <v>130</v>
      </c>
      <c r="CH936" s="0" t="s">
        <v>130</v>
      </c>
      <c r="CI936" s="0" t="s">
        <v>130</v>
      </c>
      <c r="CJ936" s="0" t="s">
        <v>130</v>
      </c>
      <c r="CK936" s="0" t="s">
        <v>130</v>
      </c>
      <c r="CL936" s="0" t="s">
        <v>130</v>
      </c>
      <c r="CM936" s="0" t="s">
        <v>130</v>
      </c>
      <c r="CN936" s="0" t="s">
        <v>130</v>
      </c>
      <c r="CO936" s="0" t="s">
        <v>130</v>
      </c>
      <c r="CP936" s="0" t="s">
        <v>130</v>
      </c>
      <c r="CQ936" s="0" t="s">
        <v>130</v>
      </c>
      <c r="CR936" s="0" t="s">
        <v>130</v>
      </c>
      <c r="CS936" s="0" t="s">
        <v>130</v>
      </c>
      <c r="CT936" s="0" t="s">
        <v>2871</v>
      </c>
    </row>
    <row r="937">
      <c r="A937" s="14">
        <v>117621</v>
      </c>
      <c r="B937" s="0" t="s">
        <v>2862</v>
      </c>
      <c r="C937" s="16">
        <f>HYPERLINK("https://eosportal.federatedhermes.com/companies/Q29tcGFueQppNjc3Mzc=", "Hyundai Motor Co")</f>
      </c>
      <c r="D937" s="0" t="s">
        <v>25</v>
      </c>
      <c r="E937" s="0" t="s">
        <v>2872</v>
      </c>
      <c r="F937" s="16">
        <f>HYPERLINK("https://eosportal.federatedhermes.com/engagements/RW5nYWdlbWVudAppMjMwNjg=", "Financial statements at AGM")</f>
      </c>
      <c r="G937" s="14" t="s">
        <v>2873</v>
      </c>
      <c r="H937" s="0" t="s">
        <v>141</v>
      </c>
      <c r="I937" s="14" t="s">
        <v>191</v>
      </c>
      <c r="J937" s="0" t="s">
        <v>132</v>
      </c>
      <c r="K937" s="0" t="s">
        <v>170</v>
      </c>
      <c r="L937" s="0" t="s">
        <v>310</v>
      </c>
      <c r="M937" s="0" t="s">
        <v>802</v>
      </c>
      <c r="N937" s="0" t="s">
        <v>2800</v>
      </c>
      <c r="O937" s="0" t="s">
        <v>425</v>
      </c>
      <c r="Q937" s="0" t="s">
        <v>130</v>
      </c>
      <c r="R937" s="0" t="s">
        <v>138</v>
      </c>
      <c r="S937" s="14">
        <v>0</v>
      </c>
      <c r="T937" s="0" t="s">
        <v>387</v>
      </c>
      <c r="U937" s="0" t="s">
        <v>138</v>
      </c>
      <c r="V937" s="14" t="s">
        <v>138</v>
      </c>
      <c r="W937" s="0" t="s">
        <v>138</v>
      </c>
      <c r="X937" s="14" t="s">
        <v>138</v>
      </c>
      <c r="Y937" s="0" t="s">
        <v>138</v>
      </c>
      <c r="Z937" s="14" t="s">
        <v>138</v>
      </c>
      <c r="AA937" s="0" t="s">
        <v>138</v>
      </c>
      <c r="AB937" s="14" t="s">
        <v>138</v>
      </c>
      <c r="AD937" s="0" t="s">
        <v>138</v>
      </c>
      <c r="AF937" s="0">
        <v>0</v>
      </c>
      <c r="AG937" s="0">
        <v>0</v>
      </c>
      <c r="AH937" s="0" t="s">
        <v>140</v>
      </c>
      <c r="AI937" s="0" t="s">
        <v>138</v>
      </c>
      <c r="AL937" s="14"/>
      <c r="AN937" s="14"/>
      <c r="AQ937" s="0" t="s">
        <v>130</v>
      </c>
      <c r="AR937" s="0" t="s">
        <v>130</v>
      </c>
      <c r="AS937" s="0" t="s">
        <v>130</v>
      </c>
      <c r="AT937" s="0" t="s">
        <v>130</v>
      </c>
      <c r="AU937" s="0" t="s">
        <v>130</v>
      </c>
      <c r="AV937" s="0" t="s">
        <v>130</v>
      </c>
      <c r="AW937" s="0" t="s">
        <v>130</v>
      </c>
      <c r="AX937" s="0" t="s">
        <v>130</v>
      </c>
      <c r="AY937" s="0" t="s">
        <v>130</v>
      </c>
      <c r="AZ937" s="0" t="s">
        <v>130</v>
      </c>
      <c r="BA937" s="0" t="s">
        <v>130</v>
      </c>
      <c r="BB937" s="0" t="s">
        <v>130</v>
      </c>
      <c r="BC937" s="0" t="s">
        <v>130</v>
      </c>
      <c r="BD937" s="0" t="s">
        <v>130</v>
      </c>
      <c r="BE937" s="0" t="s">
        <v>130</v>
      </c>
      <c r="BF937" s="0" t="s">
        <v>130</v>
      </c>
      <c r="BG937" s="0" t="s">
        <v>130</v>
      </c>
      <c r="BH937" s="0" t="s">
        <v>130</v>
      </c>
      <c r="BI937" s="0" t="s">
        <v>130</v>
      </c>
      <c r="BJ937" s="0" t="s">
        <v>130</v>
      </c>
      <c r="BK937" s="0" t="s">
        <v>130</v>
      </c>
      <c r="BL937" s="0" t="s">
        <v>130</v>
      </c>
      <c r="BM937" s="0" t="s">
        <v>130</v>
      </c>
      <c r="BN937" s="0" t="s">
        <v>130</v>
      </c>
      <c r="BO937" s="0" t="s">
        <v>130</v>
      </c>
      <c r="BP937" s="0" t="s">
        <v>130</v>
      </c>
      <c r="BQ937" s="0" t="s">
        <v>130</v>
      </c>
      <c r="BR937" s="0" t="s">
        <v>130</v>
      </c>
      <c r="BS937" s="0" t="s">
        <v>130</v>
      </c>
      <c r="BT937" s="0" t="s">
        <v>130</v>
      </c>
      <c r="BU937" s="0" t="s">
        <v>130</v>
      </c>
      <c r="BV937" s="0" t="s">
        <v>130</v>
      </c>
      <c r="BW937" s="0" t="s">
        <v>130</v>
      </c>
      <c r="BX937" s="0" t="s">
        <v>130</v>
      </c>
      <c r="BY937" s="0" t="s">
        <v>130</v>
      </c>
      <c r="BZ937" s="0" t="s">
        <v>130</v>
      </c>
      <c r="CA937" s="0" t="s">
        <v>130</v>
      </c>
      <c r="CB937" s="0" t="s">
        <v>130</v>
      </c>
      <c r="CC937" s="0" t="s">
        <v>130</v>
      </c>
      <c r="CD937" s="0" t="s">
        <v>130</v>
      </c>
      <c r="CE937" s="0" t="s">
        <v>130</v>
      </c>
      <c r="CF937" s="0" t="s">
        <v>130</v>
      </c>
      <c r="CG937" s="0" t="s">
        <v>130</v>
      </c>
      <c r="CH937" s="0" t="s">
        <v>130</v>
      </c>
      <c r="CI937" s="0" t="s">
        <v>130</v>
      </c>
      <c r="CJ937" s="0" t="s">
        <v>130</v>
      </c>
      <c r="CK937" s="0" t="s">
        <v>130</v>
      </c>
      <c r="CL937" s="0" t="s">
        <v>130</v>
      </c>
      <c r="CM937" s="0" t="s">
        <v>130</v>
      </c>
      <c r="CN937" s="0" t="s">
        <v>130</v>
      </c>
      <c r="CO937" s="0" t="s">
        <v>130</v>
      </c>
      <c r="CP937" s="0" t="s">
        <v>130</v>
      </c>
      <c r="CQ937" s="0" t="s">
        <v>130</v>
      </c>
      <c r="CR937" s="0" t="s">
        <v>130</v>
      </c>
      <c r="CS937" s="0" t="s">
        <v>130</v>
      </c>
      <c r="CT937" s="0" t="s">
        <v>2874</v>
      </c>
    </row>
    <row r="938">
      <c r="A938" s="14">
        <v>117621</v>
      </c>
      <c r="B938" s="0" t="s">
        <v>2862</v>
      </c>
      <c r="C938" s="16">
        <f>HYPERLINK("https://eosportal.federatedhermes.com/companies/Q29tcGFueQppNjc3Mzc=", "Hyundai Motor Co")</f>
      </c>
      <c r="D938" s="0" t="s">
        <v>25</v>
      </c>
      <c r="E938" s="0" t="s">
        <v>2875</v>
      </c>
      <c r="F938" s="16">
        <f>HYPERLINK("https://eosportal.federatedhermes.com/engagements/RW5nYWdlbWVudAppMjMwNjk=", "Corporate structure")</f>
      </c>
      <c r="G938" s="14" t="s">
        <v>2876</v>
      </c>
      <c r="H938" s="0" t="s">
        <v>141</v>
      </c>
      <c r="I938" s="14" t="s">
        <v>191</v>
      </c>
      <c r="J938" s="0" t="s">
        <v>153</v>
      </c>
      <c r="K938" s="0" t="s">
        <v>243</v>
      </c>
      <c r="L938" s="0" t="s">
        <v>244</v>
      </c>
      <c r="M938" s="0" t="s">
        <v>802</v>
      </c>
      <c r="N938" s="0" t="s">
        <v>2800</v>
      </c>
      <c r="O938" s="0" t="s">
        <v>425</v>
      </c>
      <c r="Q938" s="0" t="s">
        <v>130</v>
      </c>
      <c r="R938" s="0" t="s">
        <v>138</v>
      </c>
      <c r="S938" s="14">
        <v>0</v>
      </c>
      <c r="T938" s="0" t="s">
        <v>390</v>
      </c>
      <c r="U938" s="0" t="s">
        <v>138</v>
      </c>
      <c r="V938" s="14" t="s">
        <v>138</v>
      </c>
      <c r="W938" s="0" t="s">
        <v>138</v>
      </c>
      <c r="X938" s="14" t="s">
        <v>138</v>
      </c>
      <c r="Y938" s="0" t="s">
        <v>138</v>
      </c>
      <c r="Z938" s="14" t="s">
        <v>138</v>
      </c>
      <c r="AA938" s="0" t="s">
        <v>138</v>
      </c>
      <c r="AB938" s="14" t="s">
        <v>138</v>
      </c>
      <c r="AD938" s="0" t="s">
        <v>138</v>
      </c>
      <c r="AF938" s="0">
        <v>0</v>
      </c>
      <c r="AG938" s="0">
        <v>0</v>
      </c>
      <c r="AH938" s="0" t="s">
        <v>140</v>
      </c>
      <c r="AI938" s="0" t="s">
        <v>138</v>
      </c>
      <c r="AL938" s="14"/>
      <c r="AN938" s="14"/>
      <c r="AQ938" s="0" t="s">
        <v>130</v>
      </c>
      <c r="AR938" s="0" t="s">
        <v>130</v>
      </c>
      <c r="AS938" s="0" t="s">
        <v>130</v>
      </c>
      <c r="AT938" s="0" t="s">
        <v>130</v>
      </c>
      <c r="AU938" s="0" t="s">
        <v>130</v>
      </c>
      <c r="AV938" s="0" t="s">
        <v>130</v>
      </c>
      <c r="AW938" s="0" t="s">
        <v>130</v>
      </c>
      <c r="AX938" s="0" t="s">
        <v>130</v>
      </c>
      <c r="AY938" s="0" t="s">
        <v>130</v>
      </c>
      <c r="AZ938" s="0" t="s">
        <v>130</v>
      </c>
      <c r="BA938" s="0" t="s">
        <v>130</v>
      </c>
      <c r="BB938" s="0" t="s">
        <v>130</v>
      </c>
      <c r="BC938" s="0" t="s">
        <v>130</v>
      </c>
      <c r="BD938" s="0" t="s">
        <v>130</v>
      </c>
      <c r="BE938" s="0" t="s">
        <v>130</v>
      </c>
      <c r="BF938" s="0" t="s">
        <v>130</v>
      </c>
      <c r="BG938" s="0" t="s">
        <v>130</v>
      </c>
      <c r="BH938" s="0" t="s">
        <v>130</v>
      </c>
      <c r="BI938" s="0" t="s">
        <v>130</v>
      </c>
      <c r="BJ938" s="0" t="s">
        <v>130</v>
      </c>
      <c r="BK938" s="0" t="s">
        <v>130</v>
      </c>
      <c r="BL938" s="0" t="s">
        <v>130</v>
      </c>
      <c r="BM938" s="0" t="s">
        <v>130</v>
      </c>
      <c r="BN938" s="0" t="s">
        <v>130</v>
      </c>
      <c r="BO938" s="0" t="s">
        <v>130</v>
      </c>
      <c r="BP938" s="0" t="s">
        <v>130</v>
      </c>
      <c r="BQ938" s="0" t="s">
        <v>130</v>
      </c>
      <c r="BR938" s="0" t="s">
        <v>130</v>
      </c>
      <c r="BS938" s="0" t="s">
        <v>130</v>
      </c>
      <c r="BT938" s="0" t="s">
        <v>130</v>
      </c>
      <c r="BU938" s="0" t="s">
        <v>130</v>
      </c>
      <c r="BV938" s="0" t="s">
        <v>130</v>
      </c>
      <c r="BW938" s="0" t="s">
        <v>130</v>
      </c>
      <c r="BX938" s="0" t="s">
        <v>130</v>
      </c>
      <c r="BY938" s="0" t="s">
        <v>130</v>
      </c>
      <c r="BZ938" s="0" t="s">
        <v>130</v>
      </c>
      <c r="CA938" s="0" t="s">
        <v>130</v>
      </c>
      <c r="CB938" s="0" t="s">
        <v>130</v>
      </c>
      <c r="CC938" s="0" t="s">
        <v>130</v>
      </c>
      <c r="CD938" s="0" t="s">
        <v>130</v>
      </c>
      <c r="CE938" s="0" t="s">
        <v>130</v>
      </c>
      <c r="CF938" s="0" t="s">
        <v>130</v>
      </c>
      <c r="CG938" s="0" t="s">
        <v>130</v>
      </c>
      <c r="CH938" s="0" t="s">
        <v>130</v>
      </c>
      <c r="CI938" s="0" t="s">
        <v>130</v>
      </c>
      <c r="CJ938" s="0" t="s">
        <v>130</v>
      </c>
      <c r="CK938" s="0" t="s">
        <v>130</v>
      </c>
      <c r="CL938" s="0" t="s">
        <v>130</v>
      </c>
      <c r="CM938" s="0" t="s">
        <v>130</v>
      </c>
      <c r="CN938" s="0" t="s">
        <v>130</v>
      </c>
      <c r="CO938" s="0" t="s">
        <v>130</v>
      </c>
      <c r="CP938" s="0" t="s">
        <v>130</v>
      </c>
      <c r="CQ938" s="0" t="s">
        <v>130</v>
      </c>
      <c r="CR938" s="0" t="s">
        <v>130</v>
      </c>
      <c r="CS938" s="0" t="s">
        <v>130</v>
      </c>
      <c r="CT938" s="0" t="s">
        <v>2877</v>
      </c>
    </row>
    <row r="939">
      <c r="A939" s="14">
        <v>117621</v>
      </c>
      <c r="B939" s="0" t="s">
        <v>2862</v>
      </c>
      <c r="C939" s="16">
        <f>HYPERLINK("https://eosportal.federatedhermes.com/companies/Q29tcGFueQppNjc3Mzc=", "Hyundai Motor Co")</f>
      </c>
      <c r="D939" s="0" t="s">
        <v>25</v>
      </c>
      <c r="E939" s="0" t="s">
        <v>2878</v>
      </c>
      <c r="F939" s="16">
        <f>HYPERLINK("https://eosportal.federatedhermes.com/engagements/RW5nYWdlbWVudAppMjMwNzA=", "Transparency and shareholder communications")</f>
      </c>
      <c r="G939" s="14" t="s">
        <v>2879</v>
      </c>
      <c r="H939" s="0" t="s">
        <v>141</v>
      </c>
      <c r="I939" s="14" t="s">
        <v>191</v>
      </c>
      <c r="J939" s="0" t="s">
        <v>132</v>
      </c>
      <c r="K939" s="0" t="s">
        <v>170</v>
      </c>
      <c r="L939" s="0" t="s">
        <v>171</v>
      </c>
      <c r="M939" s="0" t="s">
        <v>802</v>
      </c>
      <c r="N939" s="0" t="s">
        <v>2800</v>
      </c>
      <c r="O939" s="0" t="s">
        <v>425</v>
      </c>
      <c r="Q939" s="0" t="s">
        <v>130</v>
      </c>
      <c r="R939" s="0" t="s">
        <v>138</v>
      </c>
      <c r="S939" s="14">
        <v>0</v>
      </c>
      <c r="T939" s="0" t="s">
        <v>825</v>
      </c>
      <c r="U939" s="0" t="s">
        <v>138</v>
      </c>
      <c r="V939" s="14" t="s">
        <v>138</v>
      </c>
      <c r="W939" s="0" t="s">
        <v>138</v>
      </c>
      <c r="X939" s="14" t="s">
        <v>138</v>
      </c>
      <c r="Y939" s="0" t="s">
        <v>138</v>
      </c>
      <c r="Z939" s="14" t="s">
        <v>138</v>
      </c>
      <c r="AA939" s="0" t="s">
        <v>138</v>
      </c>
      <c r="AB939" s="14" t="s">
        <v>138</v>
      </c>
      <c r="AD939" s="0" t="s">
        <v>138</v>
      </c>
      <c r="AF939" s="0">
        <v>0</v>
      </c>
      <c r="AG939" s="0">
        <v>0</v>
      </c>
      <c r="AH939" s="0" t="s">
        <v>140</v>
      </c>
      <c r="AI939" s="0" t="s">
        <v>138</v>
      </c>
      <c r="AL939" s="14"/>
      <c r="AN939" s="14"/>
      <c r="AQ939" s="0" t="s">
        <v>130</v>
      </c>
      <c r="AR939" s="0" t="s">
        <v>130</v>
      </c>
      <c r="AS939" s="0" t="s">
        <v>130</v>
      </c>
      <c r="AT939" s="0" t="s">
        <v>130</v>
      </c>
      <c r="AU939" s="0" t="s">
        <v>130</v>
      </c>
      <c r="AV939" s="0" t="s">
        <v>130</v>
      </c>
      <c r="AW939" s="0" t="s">
        <v>130</v>
      </c>
      <c r="AX939" s="0" t="s">
        <v>130</v>
      </c>
      <c r="AY939" s="0" t="s">
        <v>130</v>
      </c>
      <c r="AZ939" s="0" t="s">
        <v>130</v>
      </c>
      <c r="BA939" s="0" t="s">
        <v>130</v>
      </c>
      <c r="BB939" s="0" t="s">
        <v>130</v>
      </c>
      <c r="BC939" s="0" t="s">
        <v>130</v>
      </c>
      <c r="BD939" s="0" t="s">
        <v>130</v>
      </c>
      <c r="BE939" s="0" t="s">
        <v>130</v>
      </c>
      <c r="BF939" s="0" t="s">
        <v>130</v>
      </c>
      <c r="BG939" s="0" t="s">
        <v>130</v>
      </c>
      <c r="BH939" s="0" t="s">
        <v>130</v>
      </c>
      <c r="BI939" s="0" t="s">
        <v>130</v>
      </c>
      <c r="BJ939" s="0" t="s">
        <v>130</v>
      </c>
      <c r="BK939" s="0" t="s">
        <v>130</v>
      </c>
      <c r="BL939" s="0" t="s">
        <v>130</v>
      </c>
      <c r="BM939" s="0" t="s">
        <v>130</v>
      </c>
      <c r="BN939" s="0" t="s">
        <v>130</v>
      </c>
      <c r="BO939" s="0" t="s">
        <v>130</v>
      </c>
      <c r="BP939" s="0" t="s">
        <v>130</v>
      </c>
      <c r="BQ939" s="0" t="s">
        <v>130</v>
      </c>
      <c r="BR939" s="0" t="s">
        <v>130</v>
      </c>
      <c r="BS939" s="0" t="s">
        <v>130</v>
      </c>
      <c r="BT939" s="0" t="s">
        <v>130</v>
      </c>
      <c r="BU939" s="0" t="s">
        <v>130</v>
      </c>
      <c r="BV939" s="0" t="s">
        <v>130</v>
      </c>
      <c r="BW939" s="0" t="s">
        <v>130</v>
      </c>
      <c r="BX939" s="0" t="s">
        <v>130</v>
      </c>
      <c r="BY939" s="0" t="s">
        <v>130</v>
      </c>
      <c r="BZ939" s="0" t="s">
        <v>130</v>
      </c>
      <c r="CA939" s="0" t="s">
        <v>130</v>
      </c>
      <c r="CB939" s="0" t="s">
        <v>130</v>
      </c>
      <c r="CC939" s="0" t="s">
        <v>130</v>
      </c>
      <c r="CD939" s="0" t="s">
        <v>130</v>
      </c>
      <c r="CE939" s="0" t="s">
        <v>130</v>
      </c>
      <c r="CF939" s="0" t="s">
        <v>130</v>
      </c>
      <c r="CG939" s="0" t="s">
        <v>130</v>
      </c>
      <c r="CH939" s="0" t="s">
        <v>130</v>
      </c>
      <c r="CI939" s="0" t="s">
        <v>130</v>
      </c>
      <c r="CJ939" s="0" t="s">
        <v>130</v>
      </c>
      <c r="CK939" s="0" t="s">
        <v>130</v>
      </c>
      <c r="CL939" s="0" t="s">
        <v>130</v>
      </c>
      <c r="CM939" s="0" t="s">
        <v>130</v>
      </c>
      <c r="CN939" s="0" t="s">
        <v>130</v>
      </c>
      <c r="CO939" s="0" t="s">
        <v>130</v>
      </c>
      <c r="CP939" s="0" t="s">
        <v>130</v>
      </c>
      <c r="CQ939" s="0" t="s">
        <v>130</v>
      </c>
      <c r="CR939" s="0" t="s">
        <v>130</v>
      </c>
      <c r="CS939" s="0" t="s">
        <v>130</v>
      </c>
      <c r="CT939" s="0" t="s">
        <v>2880</v>
      </c>
    </row>
    <row r="940">
      <c r="A940" s="14">
        <v>117621</v>
      </c>
      <c r="B940" s="0" t="s">
        <v>2862</v>
      </c>
      <c r="C940" s="16">
        <f>HYPERLINK("https://eosportal.federatedhermes.com/companies/Q29tcGFueQppNjc3Mzc=", "Hyundai Motor Co")</f>
      </c>
      <c r="D940" s="0" t="s">
        <v>25</v>
      </c>
      <c r="E940" s="0" t="s">
        <v>260</v>
      </c>
      <c r="F940" s="16">
        <f>HYPERLINK("https://eosportal.federatedhermes.com/engagements/RW5nYWdlbWVudAppMjMwNzE=", "Risk Management")</f>
      </c>
      <c r="G940" s="14" t="s">
        <v>2881</v>
      </c>
      <c r="H940" s="0" t="s">
        <v>141</v>
      </c>
      <c r="I940" s="14" t="s">
        <v>191</v>
      </c>
      <c r="J940" s="0" t="s">
        <v>153</v>
      </c>
      <c r="K940" s="0" t="s">
        <v>185</v>
      </c>
      <c r="L940" s="0" t="s">
        <v>186</v>
      </c>
      <c r="M940" s="0" t="s">
        <v>802</v>
      </c>
      <c r="N940" s="0" t="s">
        <v>2800</v>
      </c>
      <c r="O940" s="0" t="s">
        <v>425</v>
      </c>
      <c r="Q940" s="0" t="s">
        <v>130</v>
      </c>
      <c r="R940" s="0" t="s">
        <v>138</v>
      </c>
      <c r="S940" s="14">
        <v>0</v>
      </c>
      <c r="T940" s="0" t="s">
        <v>874</v>
      </c>
      <c r="U940" s="0" t="s">
        <v>138</v>
      </c>
      <c r="V940" s="14" t="s">
        <v>138</v>
      </c>
      <c r="W940" s="0" t="s">
        <v>138</v>
      </c>
      <c r="X940" s="14" t="s">
        <v>138</v>
      </c>
      <c r="Y940" s="0" t="s">
        <v>138</v>
      </c>
      <c r="Z940" s="14" t="s">
        <v>138</v>
      </c>
      <c r="AA940" s="0" t="s">
        <v>138</v>
      </c>
      <c r="AB940" s="14" t="s">
        <v>138</v>
      </c>
      <c r="AD940" s="0" t="s">
        <v>138</v>
      </c>
      <c r="AF940" s="0">
        <v>0</v>
      </c>
      <c r="AG940" s="0">
        <v>0</v>
      </c>
      <c r="AH940" s="0" t="s">
        <v>140</v>
      </c>
      <c r="AI940" s="0" t="s">
        <v>138</v>
      </c>
      <c r="AL940" s="14"/>
      <c r="AN940" s="14"/>
      <c r="AQ940" s="0" t="s">
        <v>130</v>
      </c>
      <c r="AR940" s="0" t="s">
        <v>130</v>
      </c>
      <c r="AS940" s="0" t="s">
        <v>130</v>
      </c>
      <c r="AT940" s="0" t="s">
        <v>130</v>
      </c>
      <c r="AU940" s="0" t="s">
        <v>130</v>
      </c>
      <c r="AV940" s="0" t="s">
        <v>130</v>
      </c>
      <c r="AW940" s="0" t="s">
        <v>130</v>
      </c>
      <c r="AX940" s="0" t="s">
        <v>130</v>
      </c>
      <c r="AY940" s="0" t="s">
        <v>130</v>
      </c>
      <c r="AZ940" s="0" t="s">
        <v>130</v>
      </c>
      <c r="BA940" s="0" t="s">
        <v>130</v>
      </c>
      <c r="BB940" s="0" t="s">
        <v>130</v>
      </c>
      <c r="BC940" s="0" t="s">
        <v>130</v>
      </c>
      <c r="BD940" s="0" t="s">
        <v>130</v>
      </c>
      <c r="BE940" s="0" t="s">
        <v>130</v>
      </c>
      <c r="BF940" s="0" t="s">
        <v>130</v>
      </c>
      <c r="BG940" s="0" t="s">
        <v>130</v>
      </c>
      <c r="BH940" s="0" t="s">
        <v>130</v>
      </c>
      <c r="BI940" s="0" t="s">
        <v>130</v>
      </c>
      <c r="BJ940" s="0" t="s">
        <v>130</v>
      </c>
      <c r="BK940" s="0" t="s">
        <v>130</v>
      </c>
      <c r="BL940" s="0" t="s">
        <v>130</v>
      </c>
      <c r="BM940" s="0" t="s">
        <v>130</v>
      </c>
      <c r="BN940" s="0" t="s">
        <v>130</v>
      </c>
      <c r="BO940" s="0" t="s">
        <v>130</v>
      </c>
      <c r="BP940" s="0" t="s">
        <v>130</v>
      </c>
      <c r="BQ940" s="0" t="s">
        <v>130</v>
      </c>
      <c r="BR940" s="0" t="s">
        <v>130</v>
      </c>
      <c r="BS940" s="0" t="s">
        <v>130</v>
      </c>
      <c r="BT940" s="0" t="s">
        <v>130</v>
      </c>
      <c r="BU940" s="0" t="s">
        <v>130</v>
      </c>
      <c r="BV940" s="0" t="s">
        <v>130</v>
      </c>
      <c r="BW940" s="0" t="s">
        <v>130</v>
      </c>
      <c r="BX940" s="0" t="s">
        <v>130</v>
      </c>
      <c r="BY940" s="0" t="s">
        <v>130</v>
      </c>
      <c r="BZ940" s="0" t="s">
        <v>130</v>
      </c>
      <c r="CA940" s="0" t="s">
        <v>130</v>
      </c>
      <c r="CB940" s="0" t="s">
        <v>130</v>
      </c>
      <c r="CC940" s="0" t="s">
        <v>130</v>
      </c>
      <c r="CD940" s="0" t="s">
        <v>130</v>
      </c>
      <c r="CE940" s="0" t="s">
        <v>130</v>
      </c>
      <c r="CF940" s="0" t="s">
        <v>130</v>
      </c>
      <c r="CG940" s="0" t="s">
        <v>130</v>
      </c>
      <c r="CH940" s="0" t="s">
        <v>130</v>
      </c>
      <c r="CI940" s="0" t="s">
        <v>130</v>
      </c>
      <c r="CJ940" s="0" t="s">
        <v>130</v>
      </c>
      <c r="CK940" s="0" t="s">
        <v>130</v>
      </c>
      <c r="CL940" s="0" t="s">
        <v>130</v>
      </c>
      <c r="CM940" s="0" t="s">
        <v>130</v>
      </c>
      <c r="CN940" s="0" t="s">
        <v>130</v>
      </c>
      <c r="CO940" s="0" t="s">
        <v>130</v>
      </c>
      <c r="CP940" s="0" t="s">
        <v>130</v>
      </c>
      <c r="CQ940" s="0" t="s">
        <v>130</v>
      </c>
      <c r="CR940" s="0" t="s">
        <v>130</v>
      </c>
      <c r="CS940" s="0" t="s">
        <v>130</v>
      </c>
      <c r="CT940" s="0" t="s">
        <v>2882</v>
      </c>
    </row>
    <row r="941">
      <c r="A941" s="14">
        <v>117621</v>
      </c>
      <c r="B941" s="0" t="s">
        <v>2862</v>
      </c>
      <c r="C941" s="16">
        <f>HYPERLINK("https://eosportal.federatedhermes.com/companies/Q29tcGFueQppNjc3Mzc=", "Hyundai Motor Co")</f>
      </c>
      <c r="D941" s="0" t="s">
        <v>25</v>
      </c>
      <c r="E941" s="0" t="s">
        <v>2883</v>
      </c>
      <c r="F941" s="16">
        <f>HYPERLINK("https://eosportal.federatedhermes.com/engagements/RW5nYWdlbWVudAppMjMwNzI=", "Sustainable leather for luxury cars")</f>
      </c>
      <c r="G941" s="14" t="s">
        <v>2884</v>
      </c>
      <c r="H941" s="0" t="s">
        <v>141</v>
      </c>
      <c r="I941" s="14" t="s">
        <v>191</v>
      </c>
      <c r="J941" s="0" t="s">
        <v>197</v>
      </c>
      <c r="K941" s="0" t="s">
        <v>337</v>
      </c>
      <c r="L941" s="0" t="s">
        <v>576</v>
      </c>
      <c r="M941" s="0" t="s">
        <v>802</v>
      </c>
      <c r="N941" s="0" t="s">
        <v>2800</v>
      </c>
      <c r="O941" s="0" t="s">
        <v>425</v>
      </c>
      <c r="Q941" s="0" t="s">
        <v>130</v>
      </c>
      <c r="R941" s="0" t="s">
        <v>138</v>
      </c>
      <c r="S941" s="14">
        <v>0</v>
      </c>
      <c r="T941" s="0" t="s">
        <v>139</v>
      </c>
      <c r="U941" s="0" t="s">
        <v>138</v>
      </c>
      <c r="V941" s="14" t="s">
        <v>138</v>
      </c>
      <c r="W941" s="0" t="s">
        <v>138</v>
      </c>
      <c r="X941" s="14" t="s">
        <v>138</v>
      </c>
      <c r="Y941" s="0" t="s">
        <v>138</v>
      </c>
      <c r="Z941" s="14" t="s">
        <v>138</v>
      </c>
      <c r="AA941" s="0" t="s">
        <v>138</v>
      </c>
      <c r="AB941" s="14" t="s">
        <v>138</v>
      </c>
      <c r="AD941" s="0" t="s">
        <v>138</v>
      </c>
      <c r="AF941" s="0">
        <v>0</v>
      </c>
      <c r="AG941" s="0">
        <v>0</v>
      </c>
      <c r="AH941" s="0" t="s">
        <v>140</v>
      </c>
      <c r="AI941" s="0" t="s">
        <v>138</v>
      </c>
      <c r="AL941" s="14"/>
      <c r="AN941" s="14"/>
      <c r="AQ941" s="0" t="s">
        <v>130</v>
      </c>
      <c r="AR941" s="0" t="s">
        <v>130</v>
      </c>
      <c r="AS941" s="0" t="s">
        <v>130</v>
      </c>
      <c r="AT941" s="0" t="s">
        <v>130</v>
      </c>
      <c r="AU941" s="0" t="s">
        <v>130</v>
      </c>
      <c r="AV941" s="0" t="s">
        <v>130</v>
      </c>
      <c r="AW941" s="0" t="s">
        <v>130</v>
      </c>
      <c r="AX941" s="0" t="s">
        <v>130</v>
      </c>
      <c r="AY941" s="0" t="s">
        <v>130</v>
      </c>
      <c r="AZ941" s="0" t="s">
        <v>130</v>
      </c>
      <c r="BA941" s="0" t="s">
        <v>130</v>
      </c>
      <c r="BB941" s="0" t="s">
        <v>141</v>
      </c>
      <c r="BC941" s="0" t="s">
        <v>130</v>
      </c>
      <c r="BD941" s="0" t="s">
        <v>130</v>
      </c>
      <c r="BE941" s="0" t="s">
        <v>141</v>
      </c>
      <c r="BF941" s="0" t="s">
        <v>130</v>
      </c>
      <c r="BG941" s="0" t="s">
        <v>130</v>
      </c>
      <c r="BH941" s="0" t="s">
        <v>130</v>
      </c>
      <c r="BI941" s="0" t="s">
        <v>130</v>
      </c>
      <c r="BJ941" s="0" t="s">
        <v>130</v>
      </c>
      <c r="BK941" s="0" t="s">
        <v>130</v>
      </c>
      <c r="BL941" s="0" t="s">
        <v>130</v>
      </c>
      <c r="BM941" s="0" t="s">
        <v>130</v>
      </c>
      <c r="BN941" s="0" t="s">
        <v>130</v>
      </c>
      <c r="BO941" s="0" t="s">
        <v>130</v>
      </c>
      <c r="BP941" s="0" t="s">
        <v>130</v>
      </c>
      <c r="BQ941" s="0" t="s">
        <v>130</v>
      </c>
      <c r="BR941" s="0" t="s">
        <v>130</v>
      </c>
      <c r="BS941" s="0" t="s">
        <v>130</v>
      </c>
      <c r="BT941" s="0" t="s">
        <v>130</v>
      </c>
      <c r="BU941" s="0" t="s">
        <v>130</v>
      </c>
      <c r="BV941" s="0" t="s">
        <v>130</v>
      </c>
      <c r="BW941" s="0" t="s">
        <v>130</v>
      </c>
      <c r="BX941" s="0" t="s">
        <v>130</v>
      </c>
      <c r="BY941" s="0" t="s">
        <v>130</v>
      </c>
      <c r="BZ941" s="0" t="s">
        <v>130</v>
      </c>
      <c r="CA941" s="0" t="s">
        <v>130</v>
      </c>
      <c r="CB941" s="0" t="s">
        <v>130</v>
      </c>
      <c r="CC941" s="0" t="s">
        <v>130</v>
      </c>
      <c r="CD941" s="0" t="s">
        <v>130</v>
      </c>
      <c r="CE941" s="0" t="s">
        <v>130</v>
      </c>
      <c r="CF941" s="0" t="s">
        <v>130</v>
      </c>
      <c r="CG941" s="0" t="s">
        <v>130</v>
      </c>
      <c r="CH941" s="0" t="s">
        <v>130</v>
      </c>
      <c r="CI941" s="0" t="s">
        <v>130</v>
      </c>
      <c r="CJ941" s="0" t="s">
        <v>130</v>
      </c>
      <c r="CK941" s="0" t="s">
        <v>130</v>
      </c>
      <c r="CL941" s="0" t="s">
        <v>130</v>
      </c>
      <c r="CM941" s="0" t="s">
        <v>130</v>
      </c>
      <c r="CN941" s="0" t="s">
        <v>130</v>
      </c>
      <c r="CO941" s="0" t="s">
        <v>130</v>
      </c>
      <c r="CP941" s="0" t="s">
        <v>130</v>
      </c>
      <c r="CQ941" s="0" t="s">
        <v>130</v>
      </c>
      <c r="CR941" s="0" t="s">
        <v>130</v>
      </c>
      <c r="CS941" s="0" t="s">
        <v>130</v>
      </c>
      <c r="CT941" s="0" t="s">
        <v>2885</v>
      </c>
    </row>
    <row r="942">
      <c r="A942" s="14">
        <v>117621</v>
      </c>
      <c r="B942" s="0" t="s">
        <v>2862</v>
      </c>
      <c r="C942" s="16">
        <f>HYPERLINK("https://eosportal.federatedhermes.com/companies/Q29tcGFueQppNjc3Mzc=", "Hyundai Motor Co")</f>
      </c>
      <c r="D942" s="0" t="s">
        <v>25</v>
      </c>
      <c r="E942" s="0" t="s">
        <v>2886</v>
      </c>
      <c r="F942" s="16">
        <f>HYPERLINK("https://eosportal.federatedhermes.com/engagements/RW5nYWdlbWVudAppMjMwNzM=", "Family influence and succession")</f>
      </c>
      <c r="G942" s="14" t="s">
        <v>2887</v>
      </c>
      <c r="H942" s="0" t="s">
        <v>141</v>
      </c>
      <c r="I942" s="14" t="s">
        <v>191</v>
      </c>
      <c r="J942" s="0" t="s">
        <v>145</v>
      </c>
      <c r="K942" s="0" t="s">
        <v>164</v>
      </c>
      <c r="L942" s="0" t="s">
        <v>165</v>
      </c>
      <c r="M942" s="0" t="s">
        <v>802</v>
      </c>
      <c r="N942" s="0" t="s">
        <v>2800</v>
      </c>
      <c r="O942" s="0" t="s">
        <v>425</v>
      </c>
      <c r="Q942" s="0" t="s">
        <v>130</v>
      </c>
      <c r="R942" s="0" t="s">
        <v>138</v>
      </c>
      <c r="S942" s="14">
        <v>0</v>
      </c>
      <c r="T942" s="0" t="s">
        <v>390</v>
      </c>
      <c r="U942" s="0" t="s">
        <v>138</v>
      </c>
      <c r="V942" s="14" t="s">
        <v>138</v>
      </c>
      <c r="W942" s="0" t="s">
        <v>138</v>
      </c>
      <c r="X942" s="14" t="s">
        <v>138</v>
      </c>
      <c r="Y942" s="0" t="s">
        <v>138</v>
      </c>
      <c r="Z942" s="14" t="s">
        <v>138</v>
      </c>
      <c r="AA942" s="0" t="s">
        <v>138</v>
      </c>
      <c r="AB942" s="14" t="s">
        <v>138</v>
      </c>
      <c r="AD942" s="0" t="s">
        <v>138</v>
      </c>
      <c r="AF942" s="0">
        <v>0</v>
      </c>
      <c r="AG942" s="0">
        <v>0</v>
      </c>
      <c r="AH942" s="0" t="s">
        <v>140</v>
      </c>
      <c r="AI942" s="0" t="s">
        <v>138</v>
      </c>
      <c r="AL942" s="14"/>
      <c r="AN942" s="14"/>
      <c r="AQ942" s="0" t="s">
        <v>130</v>
      </c>
      <c r="AR942" s="0" t="s">
        <v>130</v>
      </c>
      <c r="AS942" s="0" t="s">
        <v>130</v>
      </c>
      <c r="AT942" s="0" t="s">
        <v>130</v>
      </c>
      <c r="AU942" s="0" t="s">
        <v>130</v>
      </c>
      <c r="AV942" s="0" t="s">
        <v>130</v>
      </c>
      <c r="AW942" s="0" t="s">
        <v>130</v>
      </c>
      <c r="AX942" s="0" t="s">
        <v>130</v>
      </c>
      <c r="AY942" s="0" t="s">
        <v>130</v>
      </c>
      <c r="AZ942" s="0" t="s">
        <v>130</v>
      </c>
      <c r="BA942" s="0" t="s">
        <v>130</v>
      </c>
      <c r="BB942" s="0" t="s">
        <v>130</v>
      </c>
      <c r="BC942" s="0" t="s">
        <v>130</v>
      </c>
      <c r="BD942" s="0" t="s">
        <v>130</v>
      </c>
      <c r="BE942" s="0" t="s">
        <v>130</v>
      </c>
      <c r="BF942" s="0" t="s">
        <v>130</v>
      </c>
      <c r="BG942" s="0" t="s">
        <v>130</v>
      </c>
      <c r="BH942" s="0" t="s">
        <v>130</v>
      </c>
      <c r="BI942" s="0" t="s">
        <v>130</v>
      </c>
      <c r="BJ942" s="0" t="s">
        <v>130</v>
      </c>
      <c r="BK942" s="0" t="s">
        <v>130</v>
      </c>
      <c r="BL942" s="0" t="s">
        <v>130</v>
      </c>
      <c r="BM942" s="0" t="s">
        <v>130</v>
      </c>
      <c r="BN942" s="0" t="s">
        <v>130</v>
      </c>
      <c r="BO942" s="0" t="s">
        <v>130</v>
      </c>
      <c r="BP942" s="0" t="s">
        <v>130</v>
      </c>
      <c r="BQ942" s="0" t="s">
        <v>130</v>
      </c>
      <c r="BR942" s="0" t="s">
        <v>130</v>
      </c>
      <c r="BS942" s="0" t="s">
        <v>130</v>
      </c>
      <c r="BT942" s="0" t="s">
        <v>130</v>
      </c>
      <c r="BU942" s="0" t="s">
        <v>130</v>
      </c>
      <c r="BV942" s="0" t="s">
        <v>130</v>
      </c>
      <c r="BW942" s="0" t="s">
        <v>130</v>
      </c>
      <c r="BX942" s="0" t="s">
        <v>130</v>
      </c>
      <c r="BY942" s="0" t="s">
        <v>130</v>
      </c>
      <c r="BZ942" s="0" t="s">
        <v>130</v>
      </c>
      <c r="CA942" s="0" t="s">
        <v>130</v>
      </c>
      <c r="CB942" s="0" t="s">
        <v>130</v>
      </c>
      <c r="CC942" s="0" t="s">
        <v>130</v>
      </c>
      <c r="CD942" s="0" t="s">
        <v>130</v>
      </c>
      <c r="CE942" s="0" t="s">
        <v>130</v>
      </c>
      <c r="CF942" s="0" t="s">
        <v>130</v>
      </c>
      <c r="CG942" s="0" t="s">
        <v>130</v>
      </c>
      <c r="CH942" s="0" t="s">
        <v>130</v>
      </c>
      <c r="CI942" s="0" t="s">
        <v>130</v>
      </c>
      <c r="CJ942" s="0" t="s">
        <v>130</v>
      </c>
      <c r="CK942" s="0" t="s">
        <v>130</v>
      </c>
      <c r="CL942" s="0" t="s">
        <v>130</v>
      </c>
      <c r="CM942" s="0" t="s">
        <v>130</v>
      </c>
      <c r="CN942" s="0" t="s">
        <v>130</v>
      </c>
      <c r="CO942" s="0" t="s">
        <v>130</v>
      </c>
      <c r="CP942" s="0" t="s">
        <v>130</v>
      </c>
      <c r="CQ942" s="0" t="s">
        <v>130</v>
      </c>
      <c r="CR942" s="0" t="s">
        <v>130</v>
      </c>
      <c r="CS942" s="0" t="s">
        <v>130</v>
      </c>
      <c r="CT942" s="0" t="s">
        <v>2888</v>
      </c>
    </row>
    <row r="943">
      <c r="A943" s="14">
        <v>117621</v>
      </c>
      <c r="B943" s="0" t="s">
        <v>2862</v>
      </c>
      <c r="C943" s="16">
        <f>HYPERLINK("https://eosportal.federatedhermes.com/companies/Q29tcGFueQppNjc3Mzc=", "Hyundai Motor Co")</f>
      </c>
      <c r="D943" s="0" t="s">
        <v>25</v>
      </c>
      <c r="E943" s="0" t="s">
        <v>2889</v>
      </c>
      <c r="F943" s="16">
        <f>HYPERLINK("https://eosportal.federatedhermes.com/engagements/RW5nYWdlbWVudAppMjMwNzQ=", "Commit to renewable energy sourcing or RE100")</f>
      </c>
      <c r="G943" s="14" t="s">
        <v>2890</v>
      </c>
      <c r="H943" s="0" t="s">
        <v>141</v>
      </c>
      <c r="I943" s="14" t="s">
        <v>191</v>
      </c>
      <c r="J943" s="0" t="s">
        <v>197</v>
      </c>
      <c r="K943" s="0" t="s">
        <v>348</v>
      </c>
      <c r="L943" s="0" t="s">
        <v>650</v>
      </c>
      <c r="M943" s="0" t="s">
        <v>802</v>
      </c>
      <c r="N943" s="0" t="s">
        <v>2800</v>
      </c>
      <c r="O943" s="0" t="s">
        <v>425</v>
      </c>
      <c r="Q943" s="0" t="s">
        <v>130</v>
      </c>
      <c r="R943" s="0" t="s">
        <v>138</v>
      </c>
      <c r="S943" s="14">
        <v>0</v>
      </c>
      <c r="T943" s="0" t="s">
        <v>156</v>
      </c>
      <c r="U943" s="0" t="s">
        <v>138</v>
      </c>
      <c r="V943" s="14" t="s">
        <v>138</v>
      </c>
      <c r="W943" s="0" t="s">
        <v>138</v>
      </c>
      <c r="X943" s="14" t="s">
        <v>138</v>
      </c>
      <c r="Y943" s="0" t="s">
        <v>138</v>
      </c>
      <c r="Z943" s="14" t="s">
        <v>138</v>
      </c>
      <c r="AA943" s="0" t="s">
        <v>138</v>
      </c>
      <c r="AB943" s="14" t="s">
        <v>138</v>
      </c>
      <c r="AD943" s="0" t="s">
        <v>138</v>
      </c>
      <c r="AF943" s="0">
        <v>0</v>
      </c>
      <c r="AG943" s="0">
        <v>0</v>
      </c>
      <c r="AH943" s="0" t="s">
        <v>140</v>
      </c>
      <c r="AI943" s="0" t="s">
        <v>138</v>
      </c>
      <c r="AL943" s="14"/>
      <c r="AN943" s="14"/>
      <c r="AQ943" s="0" t="s">
        <v>130</v>
      </c>
      <c r="AR943" s="0" t="s">
        <v>130</v>
      </c>
      <c r="AS943" s="0" t="s">
        <v>130</v>
      </c>
      <c r="AT943" s="0" t="s">
        <v>130</v>
      </c>
      <c r="AU943" s="0" t="s">
        <v>130</v>
      </c>
      <c r="AV943" s="0" t="s">
        <v>130</v>
      </c>
      <c r="AW943" s="0" t="s">
        <v>130</v>
      </c>
      <c r="AX943" s="0" t="s">
        <v>130</v>
      </c>
      <c r="AY943" s="0" t="s">
        <v>130</v>
      </c>
      <c r="AZ943" s="0" t="s">
        <v>130</v>
      </c>
      <c r="BA943" s="0" t="s">
        <v>130</v>
      </c>
      <c r="BB943" s="0" t="s">
        <v>130</v>
      </c>
      <c r="BC943" s="0" t="s">
        <v>141</v>
      </c>
      <c r="BD943" s="0" t="s">
        <v>130</v>
      </c>
      <c r="BE943" s="0" t="s">
        <v>130</v>
      </c>
      <c r="BF943" s="0" t="s">
        <v>130</v>
      </c>
      <c r="BG943" s="0" t="s">
        <v>130</v>
      </c>
      <c r="BH943" s="0" t="s">
        <v>130</v>
      </c>
      <c r="BI943" s="0" t="s">
        <v>130</v>
      </c>
      <c r="BJ943" s="0" t="s">
        <v>130</v>
      </c>
      <c r="BK943" s="0" t="s">
        <v>130</v>
      </c>
      <c r="BL943" s="0" t="s">
        <v>130</v>
      </c>
      <c r="BM943" s="0" t="s">
        <v>130</v>
      </c>
      <c r="BN943" s="0" t="s">
        <v>130</v>
      </c>
      <c r="BO943" s="0" t="s">
        <v>130</v>
      </c>
      <c r="BP943" s="0" t="s">
        <v>130</v>
      </c>
      <c r="BQ943" s="0" t="s">
        <v>130</v>
      </c>
      <c r="BR943" s="0" t="s">
        <v>130</v>
      </c>
      <c r="BS943" s="0" t="s">
        <v>130</v>
      </c>
      <c r="BT943" s="0" t="s">
        <v>130</v>
      </c>
      <c r="BU943" s="0" t="s">
        <v>130</v>
      </c>
      <c r="BV943" s="0" t="s">
        <v>130</v>
      </c>
      <c r="BW943" s="0" t="s">
        <v>130</v>
      </c>
      <c r="BX943" s="0" t="s">
        <v>130</v>
      </c>
      <c r="BY943" s="0" t="s">
        <v>130</v>
      </c>
      <c r="BZ943" s="0" t="s">
        <v>130</v>
      </c>
      <c r="CA943" s="0" t="s">
        <v>130</v>
      </c>
      <c r="CB943" s="0" t="s">
        <v>130</v>
      </c>
      <c r="CC943" s="0" t="s">
        <v>130</v>
      </c>
      <c r="CD943" s="0" t="s">
        <v>130</v>
      </c>
      <c r="CE943" s="0" t="s">
        <v>130</v>
      </c>
      <c r="CF943" s="0" t="s">
        <v>130</v>
      </c>
      <c r="CG943" s="0" t="s">
        <v>130</v>
      </c>
      <c r="CH943" s="0" t="s">
        <v>130</v>
      </c>
      <c r="CI943" s="0" t="s">
        <v>130</v>
      </c>
      <c r="CJ943" s="0" t="s">
        <v>130</v>
      </c>
      <c r="CK943" s="0" t="s">
        <v>130</v>
      </c>
      <c r="CL943" s="0" t="s">
        <v>130</v>
      </c>
      <c r="CM943" s="0" t="s">
        <v>130</v>
      </c>
      <c r="CN943" s="0" t="s">
        <v>130</v>
      </c>
      <c r="CO943" s="0" t="s">
        <v>130</v>
      </c>
      <c r="CP943" s="0" t="s">
        <v>130</v>
      </c>
      <c r="CQ943" s="0" t="s">
        <v>130</v>
      </c>
      <c r="CR943" s="0" t="s">
        <v>130</v>
      </c>
      <c r="CS943" s="0" t="s">
        <v>130</v>
      </c>
      <c r="CT943" s="0" t="s">
        <v>2891</v>
      </c>
    </row>
    <row r="944">
      <c r="A944" s="14">
        <v>117621</v>
      </c>
      <c r="B944" s="0" t="s">
        <v>2862</v>
      </c>
      <c r="C944" s="16">
        <f>HYPERLINK("https://eosportal.federatedhermes.com/companies/Q29tcGFueQppNjc3Mzc=", "Hyundai Motor Co")</f>
      </c>
      <c r="D944" s="0" t="s">
        <v>25</v>
      </c>
      <c r="E944" s="0" t="s">
        <v>2892</v>
      </c>
      <c r="F944" s="16">
        <f>HYPERLINK("https://eosportal.federatedhermes.com/engagements/RW5nYWdlbWVudAppMjMwNzU=", "Alleged water theft and illegal sewage dumping")</f>
      </c>
      <c r="G944" s="14" t="s">
        <v>2893</v>
      </c>
      <c r="H944" s="0" t="s">
        <v>141</v>
      </c>
      <c r="I944" s="14" t="s">
        <v>191</v>
      </c>
      <c r="J944" s="0" t="s">
        <v>197</v>
      </c>
      <c r="K944" s="0" t="s">
        <v>337</v>
      </c>
      <c r="L944" s="0" t="s">
        <v>338</v>
      </c>
      <c r="M944" s="0" t="s">
        <v>802</v>
      </c>
      <c r="N944" s="0" t="s">
        <v>2800</v>
      </c>
      <c r="O944" s="0" t="s">
        <v>425</v>
      </c>
      <c r="Q944" s="0" t="s">
        <v>130</v>
      </c>
      <c r="R944" s="0" t="s">
        <v>138</v>
      </c>
      <c r="S944" s="14">
        <v>0</v>
      </c>
      <c r="T944" s="0" t="s">
        <v>148</v>
      </c>
      <c r="U944" s="0" t="s">
        <v>138</v>
      </c>
      <c r="V944" s="14" t="s">
        <v>138</v>
      </c>
      <c r="W944" s="0" t="s">
        <v>138</v>
      </c>
      <c r="X944" s="14" t="s">
        <v>138</v>
      </c>
      <c r="Y944" s="0" t="s">
        <v>138</v>
      </c>
      <c r="Z944" s="14" t="s">
        <v>138</v>
      </c>
      <c r="AA944" s="0" t="s">
        <v>138</v>
      </c>
      <c r="AB944" s="14" t="s">
        <v>138</v>
      </c>
      <c r="AD944" s="0" t="s">
        <v>138</v>
      </c>
      <c r="AF944" s="0">
        <v>0</v>
      </c>
      <c r="AG944" s="0">
        <v>0</v>
      </c>
      <c r="AH944" s="0" t="s">
        <v>140</v>
      </c>
      <c r="AI944" s="0" t="s">
        <v>138</v>
      </c>
      <c r="AL944" s="14"/>
      <c r="AN944" s="14"/>
      <c r="AQ944" s="0" t="s">
        <v>130</v>
      </c>
      <c r="AR944" s="0" t="s">
        <v>130</v>
      </c>
      <c r="AS944" s="0" t="s">
        <v>130</v>
      </c>
      <c r="AT944" s="0" t="s">
        <v>130</v>
      </c>
      <c r="AU944" s="0" t="s">
        <v>130</v>
      </c>
      <c r="AV944" s="0" t="s">
        <v>141</v>
      </c>
      <c r="AW944" s="0" t="s">
        <v>130</v>
      </c>
      <c r="AX944" s="0" t="s">
        <v>130</v>
      </c>
      <c r="AY944" s="0" t="s">
        <v>130</v>
      </c>
      <c r="AZ944" s="0" t="s">
        <v>130</v>
      </c>
      <c r="BA944" s="0" t="s">
        <v>130</v>
      </c>
      <c r="BB944" s="0" t="s">
        <v>130</v>
      </c>
      <c r="BC944" s="0" t="s">
        <v>130</v>
      </c>
      <c r="BD944" s="0" t="s">
        <v>130</v>
      </c>
      <c r="BE944" s="0" t="s">
        <v>130</v>
      </c>
      <c r="BF944" s="0" t="s">
        <v>130</v>
      </c>
      <c r="BG944" s="0" t="s">
        <v>130</v>
      </c>
      <c r="BH944" s="0" t="s">
        <v>130</v>
      </c>
      <c r="BI944" s="0" t="s">
        <v>130</v>
      </c>
      <c r="BJ944" s="0" t="s">
        <v>130</v>
      </c>
      <c r="BK944" s="0" t="s">
        <v>130</v>
      </c>
      <c r="BL944" s="0" t="s">
        <v>130</v>
      </c>
      <c r="BM944" s="0" t="s">
        <v>130</v>
      </c>
      <c r="BN944" s="0" t="s">
        <v>130</v>
      </c>
      <c r="BO944" s="0" t="s">
        <v>130</v>
      </c>
      <c r="BP944" s="0" t="s">
        <v>130</v>
      </c>
      <c r="BQ944" s="0" t="s">
        <v>130</v>
      </c>
      <c r="BR944" s="0" t="s">
        <v>130</v>
      </c>
      <c r="BS944" s="0" t="s">
        <v>130</v>
      </c>
      <c r="BT944" s="0" t="s">
        <v>130</v>
      </c>
      <c r="BU944" s="0" t="s">
        <v>130</v>
      </c>
      <c r="BV944" s="0" t="s">
        <v>130</v>
      </c>
      <c r="BW944" s="0" t="s">
        <v>130</v>
      </c>
      <c r="BX944" s="0" t="s">
        <v>141</v>
      </c>
      <c r="BY944" s="0" t="s">
        <v>130</v>
      </c>
      <c r="BZ944" s="0" t="s">
        <v>130</v>
      </c>
      <c r="CA944" s="0" t="s">
        <v>130</v>
      </c>
      <c r="CB944" s="0" t="s">
        <v>130</v>
      </c>
      <c r="CC944" s="0" t="s">
        <v>130</v>
      </c>
      <c r="CD944" s="0" t="s">
        <v>130</v>
      </c>
      <c r="CE944" s="0" t="s">
        <v>130</v>
      </c>
      <c r="CF944" s="0" t="s">
        <v>130</v>
      </c>
      <c r="CG944" s="0" t="s">
        <v>130</v>
      </c>
      <c r="CH944" s="0" t="s">
        <v>130</v>
      </c>
      <c r="CI944" s="0" t="s">
        <v>130</v>
      </c>
      <c r="CJ944" s="0" t="s">
        <v>130</v>
      </c>
      <c r="CK944" s="0" t="s">
        <v>130</v>
      </c>
      <c r="CL944" s="0" t="s">
        <v>130</v>
      </c>
      <c r="CM944" s="0" t="s">
        <v>130</v>
      </c>
      <c r="CN944" s="0" t="s">
        <v>130</v>
      </c>
      <c r="CO944" s="0" t="s">
        <v>130</v>
      </c>
      <c r="CP944" s="0" t="s">
        <v>130</v>
      </c>
      <c r="CQ944" s="0" t="s">
        <v>130</v>
      </c>
      <c r="CR944" s="0" t="s">
        <v>130</v>
      </c>
      <c r="CS944" s="0" t="s">
        <v>130</v>
      </c>
      <c r="CT944" s="0" t="s">
        <v>2894</v>
      </c>
    </row>
    <row r="945">
      <c r="A945" s="14">
        <v>118130</v>
      </c>
      <c r="B945" s="0" t="s">
        <v>2895</v>
      </c>
      <c r="C945" s="16">
        <f>HYPERLINK("https://eosportal.federatedhermes.com/companies/Q29tcGFueQppNjI0ODA=", "Unipol Assicurazioni SPA")</f>
      </c>
      <c r="D945" s="0" t="s">
        <v>25</v>
      </c>
      <c r="E945" s="0" t="s">
        <v>2896</v>
      </c>
      <c r="F945" s="16">
        <f>HYPERLINK("https://eosportal.federatedhermes.com/engagements/RW5nYWdlbWVudAppMjMxODE=", "Corporate governance principles")</f>
      </c>
      <c r="G945" s="14" t="s">
        <v>2897</v>
      </c>
      <c r="H945" s="0" t="s">
        <v>130</v>
      </c>
      <c r="I945" s="14" t="s">
        <v>131</v>
      </c>
      <c r="J945" s="0" t="s">
        <v>145</v>
      </c>
      <c r="K945" s="0" t="s">
        <v>400</v>
      </c>
      <c r="L945" s="0" t="s">
        <v>507</v>
      </c>
      <c r="M945" s="0" t="s">
        <v>378</v>
      </c>
      <c r="N945" s="0" t="s">
        <v>2898</v>
      </c>
      <c r="O945" s="0" t="s">
        <v>238</v>
      </c>
      <c r="Q945" s="0" t="s">
        <v>130</v>
      </c>
      <c r="R945" s="0" t="s">
        <v>138</v>
      </c>
      <c r="S945" s="14">
        <v>0</v>
      </c>
      <c r="T945" s="0" t="s">
        <v>206</v>
      </c>
      <c r="U945" s="0" t="s">
        <v>138</v>
      </c>
      <c r="V945" s="14" t="s">
        <v>138</v>
      </c>
      <c r="W945" s="0" t="s">
        <v>138</v>
      </c>
      <c r="X945" s="14" t="s">
        <v>138</v>
      </c>
      <c r="Y945" s="0" t="s">
        <v>138</v>
      </c>
      <c r="Z945" s="14" t="s">
        <v>138</v>
      </c>
      <c r="AA945" s="0" t="s">
        <v>138</v>
      </c>
      <c r="AB945" s="14" t="s">
        <v>138</v>
      </c>
      <c r="AD945" s="0" t="s">
        <v>138</v>
      </c>
      <c r="AF945" s="0">
        <v>0</v>
      </c>
      <c r="AG945" s="0">
        <v>0</v>
      </c>
      <c r="AH945" s="0" t="s">
        <v>140</v>
      </c>
      <c r="AI945" s="0" t="s">
        <v>138</v>
      </c>
      <c r="AL945" s="14"/>
      <c r="AN945" s="14"/>
      <c r="AQ945" s="0" t="s">
        <v>130</v>
      </c>
      <c r="AR945" s="0" t="s">
        <v>130</v>
      </c>
      <c r="AS945" s="0" t="s">
        <v>130</v>
      </c>
      <c r="AT945" s="0" t="s">
        <v>130</v>
      </c>
      <c r="AU945" s="0" t="s">
        <v>130</v>
      </c>
      <c r="AV945" s="0" t="s">
        <v>130</v>
      </c>
      <c r="AW945" s="0" t="s">
        <v>130</v>
      </c>
      <c r="AX945" s="0" t="s">
        <v>130</v>
      </c>
      <c r="AY945" s="0" t="s">
        <v>130</v>
      </c>
      <c r="AZ945" s="0" t="s">
        <v>130</v>
      </c>
      <c r="BA945" s="0" t="s">
        <v>130</v>
      </c>
      <c r="BB945" s="0" t="s">
        <v>130</v>
      </c>
      <c r="BC945" s="0" t="s">
        <v>130</v>
      </c>
      <c r="BD945" s="0" t="s">
        <v>130</v>
      </c>
      <c r="BE945" s="0" t="s">
        <v>130</v>
      </c>
      <c r="BF945" s="0" t="s">
        <v>130</v>
      </c>
      <c r="BG945" s="0" t="s">
        <v>130</v>
      </c>
      <c r="BH945" s="0" t="s">
        <v>130</v>
      </c>
      <c r="BI945" s="0" t="s">
        <v>130</v>
      </c>
      <c r="BJ945" s="0" t="s">
        <v>130</v>
      </c>
      <c r="BK945" s="0" t="s">
        <v>130</v>
      </c>
      <c r="BL945" s="0" t="s">
        <v>130</v>
      </c>
      <c r="BM945" s="0" t="s">
        <v>130</v>
      </c>
      <c r="BN945" s="0" t="s">
        <v>130</v>
      </c>
      <c r="BO945" s="0" t="s">
        <v>130</v>
      </c>
      <c r="BP945" s="0" t="s">
        <v>130</v>
      </c>
      <c r="BQ945" s="0" t="s">
        <v>130</v>
      </c>
      <c r="BR945" s="0" t="s">
        <v>130</v>
      </c>
      <c r="BS945" s="0" t="s">
        <v>130</v>
      </c>
      <c r="BT945" s="0" t="s">
        <v>130</v>
      </c>
      <c r="BU945" s="0" t="s">
        <v>130</v>
      </c>
      <c r="BV945" s="0" t="s">
        <v>130</v>
      </c>
      <c r="BW945" s="0" t="s">
        <v>130</v>
      </c>
      <c r="BX945" s="0" t="s">
        <v>130</v>
      </c>
      <c r="BY945" s="0" t="s">
        <v>130</v>
      </c>
      <c r="BZ945" s="0" t="s">
        <v>130</v>
      </c>
      <c r="CA945" s="0" t="s">
        <v>130</v>
      </c>
      <c r="CB945" s="0" t="s">
        <v>130</v>
      </c>
      <c r="CC945" s="0" t="s">
        <v>130</v>
      </c>
      <c r="CD945" s="0" t="s">
        <v>130</v>
      </c>
      <c r="CE945" s="0" t="s">
        <v>130</v>
      </c>
      <c r="CF945" s="0" t="s">
        <v>130</v>
      </c>
      <c r="CG945" s="0" t="s">
        <v>130</v>
      </c>
      <c r="CH945" s="0" t="s">
        <v>130</v>
      </c>
      <c r="CI945" s="0" t="s">
        <v>130</v>
      </c>
      <c r="CJ945" s="0" t="s">
        <v>130</v>
      </c>
      <c r="CK945" s="0" t="s">
        <v>130</v>
      </c>
      <c r="CL945" s="0" t="s">
        <v>130</v>
      </c>
      <c r="CM945" s="0" t="s">
        <v>130</v>
      </c>
      <c r="CN945" s="0" t="s">
        <v>130</v>
      </c>
      <c r="CO945" s="0" t="s">
        <v>130</v>
      </c>
      <c r="CP945" s="0" t="s">
        <v>130</v>
      </c>
      <c r="CQ945" s="0" t="s">
        <v>130</v>
      </c>
      <c r="CR945" s="0" t="s">
        <v>130</v>
      </c>
      <c r="CS945" s="0" t="s">
        <v>130</v>
      </c>
      <c r="CT945" s="0" t="s">
        <v>2899</v>
      </c>
    </row>
    <row r="946">
      <c r="A946" s="14">
        <v>118130</v>
      </c>
      <c r="B946" s="0" t="s">
        <v>2895</v>
      </c>
      <c r="C946" s="16">
        <f>HYPERLINK("https://eosportal.federatedhermes.com/companies/Q29tcGFueQppNjI0ODA=", "Unipol Assicurazioni SPA")</f>
      </c>
      <c r="D946" s="0" t="s">
        <v>25</v>
      </c>
      <c r="E946" s="0" t="s">
        <v>2900</v>
      </c>
      <c r="F946" s="16">
        <f>HYPERLINK("https://eosportal.federatedhermes.com/engagements/RW5nYWdlbWVudAppMjMxODI=", "Responsible investment")</f>
      </c>
      <c r="G946" s="14" t="s">
        <v>2901</v>
      </c>
      <c r="H946" s="0" t="s">
        <v>130</v>
      </c>
      <c r="I946" s="14" t="s">
        <v>131</v>
      </c>
      <c r="J946" s="0" t="s">
        <v>153</v>
      </c>
      <c r="K946" s="0" t="s">
        <v>154</v>
      </c>
      <c r="L946" s="0" t="s">
        <v>306</v>
      </c>
      <c r="M946" s="0" t="s">
        <v>378</v>
      </c>
      <c r="N946" s="0" t="s">
        <v>2898</v>
      </c>
      <c r="O946" s="0" t="s">
        <v>238</v>
      </c>
      <c r="Q946" s="0" t="s">
        <v>130</v>
      </c>
      <c r="R946" s="0" t="s">
        <v>138</v>
      </c>
      <c r="S946" s="14">
        <v>0</v>
      </c>
      <c r="T946" s="0" t="s">
        <v>139</v>
      </c>
      <c r="U946" s="0" t="s">
        <v>138</v>
      </c>
      <c r="V946" s="14" t="s">
        <v>138</v>
      </c>
      <c r="W946" s="0" t="s">
        <v>138</v>
      </c>
      <c r="X946" s="14" t="s">
        <v>138</v>
      </c>
      <c r="Y946" s="0" t="s">
        <v>138</v>
      </c>
      <c r="Z946" s="14" t="s">
        <v>138</v>
      </c>
      <c r="AA946" s="0" t="s">
        <v>138</v>
      </c>
      <c r="AB946" s="14" t="s">
        <v>138</v>
      </c>
      <c r="AD946" s="0" t="s">
        <v>138</v>
      </c>
      <c r="AF946" s="0">
        <v>0</v>
      </c>
      <c r="AG946" s="0">
        <v>0</v>
      </c>
      <c r="AH946" s="0" t="s">
        <v>140</v>
      </c>
      <c r="AI946" s="0" t="s">
        <v>138</v>
      </c>
      <c r="AL946" s="14"/>
      <c r="AN946" s="14"/>
      <c r="AQ946" s="0" t="s">
        <v>130</v>
      </c>
      <c r="AR946" s="0" t="s">
        <v>130</v>
      </c>
      <c r="AS946" s="0" t="s">
        <v>130</v>
      </c>
      <c r="AT946" s="0" t="s">
        <v>130</v>
      </c>
      <c r="AU946" s="0" t="s">
        <v>130</v>
      </c>
      <c r="AV946" s="0" t="s">
        <v>130</v>
      </c>
      <c r="AW946" s="0" t="s">
        <v>130</v>
      </c>
      <c r="AX946" s="0" t="s">
        <v>130</v>
      </c>
      <c r="AY946" s="0" t="s">
        <v>130</v>
      </c>
      <c r="AZ946" s="0" t="s">
        <v>130</v>
      </c>
      <c r="BA946" s="0" t="s">
        <v>130</v>
      </c>
      <c r="BB946" s="0" t="s">
        <v>130</v>
      </c>
      <c r="BC946" s="0" t="s">
        <v>130</v>
      </c>
      <c r="BD946" s="0" t="s">
        <v>130</v>
      </c>
      <c r="BE946" s="0" t="s">
        <v>130</v>
      </c>
      <c r="BF946" s="0" t="s">
        <v>130</v>
      </c>
      <c r="BG946" s="0" t="s">
        <v>130</v>
      </c>
      <c r="BH946" s="0" t="s">
        <v>130</v>
      </c>
      <c r="BI946" s="0" t="s">
        <v>130</v>
      </c>
      <c r="BJ946" s="0" t="s">
        <v>130</v>
      </c>
      <c r="BK946" s="0" t="s">
        <v>130</v>
      </c>
      <c r="BL946" s="0" t="s">
        <v>130</v>
      </c>
      <c r="BM946" s="0" t="s">
        <v>130</v>
      </c>
      <c r="BN946" s="0" t="s">
        <v>130</v>
      </c>
      <c r="BO946" s="0" t="s">
        <v>130</v>
      </c>
      <c r="BP946" s="0" t="s">
        <v>130</v>
      </c>
      <c r="BQ946" s="0" t="s">
        <v>130</v>
      </c>
      <c r="BR946" s="0" t="s">
        <v>130</v>
      </c>
      <c r="BS946" s="0" t="s">
        <v>130</v>
      </c>
      <c r="BT946" s="0" t="s">
        <v>130</v>
      </c>
      <c r="BU946" s="0" t="s">
        <v>130</v>
      </c>
      <c r="BV946" s="0" t="s">
        <v>130</v>
      </c>
      <c r="BW946" s="0" t="s">
        <v>130</v>
      </c>
      <c r="BX946" s="0" t="s">
        <v>130</v>
      </c>
      <c r="BY946" s="0" t="s">
        <v>130</v>
      </c>
      <c r="BZ946" s="0" t="s">
        <v>130</v>
      </c>
      <c r="CA946" s="0" t="s">
        <v>130</v>
      </c>
      <c r="CB946" s="0" t="s">
        <v>130</v>
      </c>
      <c r="CC946" s="0" t="s">
        <v>130</v>
      </c>
      <c r="CD946" s="0" t="s">
        <v>130</v>
      </c>
      <c r="CE946" s="0" t="s">
        <v>130</v>
      </c>
      <c r="CF946" s="0" t="s">
        <v>130</v>
      </c>
      <c r="CG946" s="0" t="s">
        <v>130</v>
      </c>
      <c r="CH946" s="0" t="s">
        <v>130</v>
      </c>
      <c r="CI946" s="0" t="s">
        <v>130</v>
      </c>
      <c r="CJ946" s="0" t="s">
        <v>130</v>
      </c>
      <c r="CK946" s="0" t="s">
        <v>130</v>
      </c>
      <c r="CL946" s="0" t="s">
        <v>130</v>
      </c>
      <c r="CM946" s="0" t="s">
        <v>130</v>
      </c>
      <c r="CN946" s="0" t="s">
        <v>130</v>
      </c>
      <c r="CO946" s="0" t="s">
        <v>130</v>
      </c>
      <c r="CP946" s="0" t="s">
        <v>130</v>
      </c>
      <c r="CQ946" s="0" t="s">
        <v>130</v>
      </c>
      <c r="CR946" s="0" t="s">
        <v>130</v>
      </c>
      <c r="CS946" s="0" t="s">
        <v>130</v>
      </c>
      <c r="CT946" s="0" t="s">
        <v>2902</v>
      </c>
    </row>
    <row r="947">
      <c r="A947" s="14">
        <v>118130</v>
      </c>
      <c r="B947" s="0" t="s">
        <v>2895</v>
      </c>
      <c r="C947" s="16">
        <f>HYPERLINK("https://eosportal.federatedhermes.com/companies/Q29tcGFueQppNjI0ODA=", "Unipol Assicurazioni SPA")</f>
      </c>
      <c r="D947" s="0" t="s">
        <v>25</v>
      </c>
      <c r="E947" s="0" t="s">
        <v>2903</v>
      </c>
      <c r="F947" s="16">
        <f>HYPERLINK("https://eosportal.federatedhermes.com/engagements/RW5nYWdlbWVudAppMjMxODM=", "Products with environmental and social benefits")</f>
      </c>
      <c r="G947" s="14" t="s">
        <v>2904</v>
      </c>
      <c r="H947" s="0" t="s">
        <v>130</v>
      </c>
      <c r="I947" s="14" t="s">
        <v>131</v>
      </c>
      <c r="J947" s="0" t="s">
        <v>132</v>
      </c>
      <c r="K947" s="0" t="s">
        <v>133</v>
      </c>
      <c r="L947" s="0" t="s">
        <v>160</v>
      </c>
      <c r="M947" s="0" t="s">
        <v>378</v>
      </c>
      <c r="N947" s="0" t="s">
        <v>2898</v>
      </c>
      <c r="O947" s="0" t="s">
        <v>238</v>
      </c>
      <c r="Q947" s="0" t="s">
        <v>130</v>
      </c>
      <c r="R947" s="0" t="s">
        <v>138</v>
      </c>
      <c r="S947" s="14">
        <v>0</v>
      </c>
      <c r="T947" s="0" t="s">
        <v>139</v>
      </c>
      <c r="U947" s="0" t="s">
        <v>138</v>
      </c>
      <c r="V947" s="14" t="s">
        <v>138</v>
      </c>
      <c r="W947" s="0" t="s">
        <v>138</v>
      </c>
      <c r="X947" s="14" t="s">
        <v>138</v>
      </c>
      <c r="Y947" s="0" t="s">
        <v>138</v>
      </c>
      <c r="Z947" s="14" t="s">
        <v>138</v>
      </c>
      <c r="AA947" s="0" t="s">
        <v>138</v>
      </c>
      <c r="AB947" s="14" t="s">
        <v>138</v>
      </c>
      <c r="AD947" s="0" t="s">
        <v>138</v>
      </c>
      <c r="AF947" s="0">
        <v>0</v>
      </c>
      <c r="AG947" s="0">
        <v>0</v>
      </c>
      <c r="AH947" s="0" t="s">
        <v>140</v>
      </c>
      <c r="AI947" s="0" t="s">
        <v>138</v>
      </c>
      <c r="AL947" s="14"/>
      <c r="AN947" s="14"/>
      <c r="AQ947" s="0" t="s">
        <v>130</v>
      </c>
      <c r="AR947" s="0" t="s">
        <v>130</v>
      </c>
      <c r="AS947" s="0" t="s">
        <v>130</v>
      </c>
      <c r="AT947" s="0" t="s">
        <v>130</v>
      </c>
      <c r="AU947" s="0" t="s">
        <v>130</v>
      </c>
      <c r="AV947" s="0" t="s">
        <v>130</v>
      </c>
      <c r="AW947" s="0" t="s">
        <v>130</v>
      </c>
      <c r="AX947" s="0" t="s">
        <v>141</v>
      </c>
      <c r="AY947" s="0" t="s">
        <v>130</v>
      </c>
      <c r="AZ947" s="0" t="s">
        <v>130</v>
      </c>
      <c r="BA947" s="0" t="s">
        <v>130</v>
      </c>
      <c r="BB947" s="0" t="s">
        <v>130</v>
      </c>
      <c r="BC947" s="0" t="s">
        <v>130</v>
      </c>
      <c r="BD947" s="0" t="s">
        <v>130</v>
      </c>
      <c r="BE947" s="0" t="s">
        <v>130</v>
      </c>
      <c r="BF947" s="0" t="s">
        <v>130</v>
      </c>
      <c r="BG947" s="0" t="s">
        <v>130</v>
      </c>
      <c r="BH947" s="0" t="s">
        <v>130</v>
      </c>
      <c r="BI947" s="0" t="s">
        <v>130</v>
      </c>
      <c r="BJ947" s="0" t="s">
        <v>130</v>
      </c>
      <c r="BK947" s="0" t="s">
        <v>130</v>
      </c>
      <c r="BL947" s="0" t="s">
        <v>130</v>
      </c>
      <c r="BM947" s="0" t="s">
        <v>130</v>
      </c>
      <c r="BN947" s="0" t="s">
        <v>130</v>
      </c>
      <c r="BO947" s="0" t="s">
        <v>130</v>
      </c>
      <c r="BP947" s="0" t="s">
        <v>130</v>
      </c>
      <c r="BQ947" s="0" t="s">
        <v>130</v>
      </c>
      <c r="BR947" s="0" t="s">
        <v>130</v>
      </c>
      <c r="BS947" s="0" t="s">
        <v>130</v>
      </c>
      <c r="BT947" s="0" t="s">
        <v>130</v>
      </c>
      <c r="BU947" s="0" t="s">
        <v>130</v>
      </c>
      <c r="BV947" s="0" t="s">
        <v>130</v>
      </c>
      <c r="BW947" s="0" t="s">
        <v>130</v>
      </c>
      <c r="BX947" s="0" t="s">
        <v>130</v>
      </c>
      <c r="BY947" s="0" t="s">
        <v>130</v>
      </c>
      <c r="BZ947" s="0" t="s">
        <v>130</v>
      </c>
      <c r="CA947" s="0" t="s">
        <v>130</v>
      </c>
      <c r="CB947" s="0" t="s">
        <v>130</v>
      </c>
      <c r="CC947" s="0" t="s">
        <v>130</v>
      </c>
      <c r="CD947" s="0" t="s">
        <v>130</v>
      </c>
      <c r="CE947" s="0" t="s">
        <v>130</v>
      </c>
      <c r="CF947" s="0" t="s">
        <v>130</v>
      </c>
      <c r="CG947" s="0" t="s">
        <v>130</v>
      </c>
      <c r="CH947" s="0" t="s">
        <v>130</v>
      </c>
      <c r="CI947" s="0" t="s">
        <v>130</v>
      </c>
      <c r="CJ947" s="0" t="s">
        <v>130</v>
      </c>
      <c r="CK947" s="0" t="s">
        <v>130</v>
      </c>
      <c r="CL947" s="0" t="s">
        <v>130</v>
      </c>
      <c r="CM947" s="0" t="s">
        <v>130</v>
      </c>
      <c r="CN947" s="0" t="s">
        <v>130</v>
      </c>
      <c r="CO947" s="0" t="s">
        <v>130</v>
      </c>
      <c r="CP947" s="0" t="s">
        <v>130</v>
      </c>
      <c r="CQ947" s="0" t="s">
        <v>130</v>
      </c>
      <c r="CR947" s="0" t="s">
        <v>130</v>
      </c>
      <c r="CS947" s="0" t="s">
        <v>130</v>
      </c>
      <c r="CT947" s="0" t="s">
        <v>2905</v>
      </c>
    </row>
    <row r="948">
      <c r="A948" s="14">
        <v>118130</v>
      </c>
      <c r="B948" s="0" t="s">
        <v>2895</v>
      </c>
      <c r="C948" s="16">
        <f>HYPERLINK("https://eosportal.federatedhermes.com/companies/Q29tcGFueQppNjI0ODA=", "Unipol Assicurazioni SPA")</f>
      </c>
      <c r="D948" s="0" t="s">
        <v>25</v>
      </c>
      <c r="E948" s="0" t="s">
        <v>907</v>
      </c>
      <c r="F948" s="16">
        <f>HYPERLINK("https://eosportal.federatedhermes.com/engagements/RW5nYWdlbWVudAppMjMxODQ=", "Climate change")</f>
      </c>
      <c r="G948" s="14" t="s">
        <v>2906</v>
      </c>
      <c r="H948" s="0" t="s">
        <v>130</v>
      </c>
      <c r="I948" s="14" t="s">
        <v>131</v>
      </c>
      <c r="J948" s="0" t="s">
        <v>132</v>
      </c>
      <c r="K948" s="0" t="s">
        <v>133</v>
      </c>
      <c r="L948" s="0" t="s">
        <v>160</v>
      </c>
      <c r="M948" s="0" t="s">
        <v>378</v>
      </c>
      <c r="N948" s="0" t="s">
        <v>2898</v>
      </c>
      <c r="O948" s="0" t="s">
        <v>238</v>
      </c>
      <c r="Q948" s="0" t="s">
        <v>130</v>
      </c>
      <c r="R948" s="0" t="s">
        <v>138</v>
      </c>
      <c r="S948" s="14">
        <v>0</v>
      </c>
      <c r="T948" s="0" t="s">
        <v>139</v>
      </c>
      <c r="U948" s="0" t="s">
        <v>138</v>
      </c>
      <c r="V948" s="14" t="s">
        <v>138</v>
      </c>
      <c r="W948" s="0" t="s">
        <v>138</v>
      </c>
      <c r="X948" s="14" t="s">
        <v>138</v>
      </c>
      <c r="Y948" s="0" t="s">
        <v>138</v>
      </c>
      <c r="Z948" s="14" t="s">
        <v>138</v>
      </c>
      <c r="AA948" s="0" t="s">
        <v>138</v>
      </c>
      <c r="AB948" s="14" t="s">
        <v>138</v>
      </c>
      <c r="AD948" s="0" t="s">
        <v>138</v>
      </c>
      <c r="AF948" s="0">
        <v>0</v>
      </c>
      <c r="AG948" s="0">
        <v>0</v>
      </c>
      <c r="AH948" s="0" t="s">
        <v>140</v>
      </c>
      <c r="AI948" s="0" t="s">
        <v>138</v>
      </c>
      <c r="AL948" s="14"/>
      <c r="AN948" s="14"/>
      <c r="AQ948" s="0" t="s">
        <v>130</v>
      </c>
      <c r="AR948" s="0" t="s">
        <v>130</v>
      </c>
      <c r="AS948" s="0" t="s">
        <v>130</v>
      </c>
      <c r="AT948" s="0" t="s">
        <v>130</v>
      </c>
      <c r="AU948" s="0" t="s">
        <v>130</v>
      </c>
      <c r="AV948" s="0" t="s">
        <v>130</v>
      </c>
      <c r="AW948" s="0" t="s">
        <v>130</v>
      </c>
      <c r="AX948" s="0" t="s">
        <v>130</v>
      </c>
      <c r="AY948" s="0" t="s">
        <v>130</v>
      </c>
      <c r="AZ948" s="0" t="s">
        <v>130</v>
      </c>
      <c r="BA948" s="0" t="s">
        <v>130</v>
      </c>
      <c r="BB948" s="0" t="s">
        <v>130</v>
      </c>
      <c r="BC948" s="0" t="s">
        <v>141</v>
      </c>
      <c r="BD948" s="0" t="s">
        <v>130</v>
      </c>
      <c r="BE948" s="0" t="s">
        <v>130</v>
      </c>
      <c r="BF948" s="0" t="s">
        <v>130</v>
      </c>
      <c r="BG948" s="0" t="s">
        <v>130</v>
      </c>
      <c r="BH948" s="0" t="s">
        <v>130</v>
      </c>
      <c r="BI948" s="0" t="s">
        <v>130</v>
      </c>
      <c r="BJ948" s="0" t="s">
        <v>130</v>
      </c>
      <c r="BK948" s="0" t="s">
        <v>130</v>
      </c>
      <c r="BL948" s="0" t="s">
        <v>130</v>
      </c>
      <c r="BM948" s="0" t="s">
        <v>130</v>
      </c>
      <c r="BN948" s="0" t="s">
        <v>130</v>
      </c>
      <c r="BO948" s="0" t="s">
        <v>130</v>
      </c>
      <c r="BP948" s="0" t="s">
        <v>130</v>
      </c>
      <c r="BQ948" s="0" t="s">
        <v>130</v>
      </c>
      <c r="BR948" s="0" t="s">
        <v>130</v>
      </c>
      <c r="BS948" s="0" t="s">
        <v>130</v>
      </c>
      <c r="BT948" s="0" t="s">
        <v>130</v>
      </c>
      <c r="BU948" s="0" t="s">
        <v>130</v>
      </c>
      <c r="BV948" s="0" t="s">
        <v>130</v>
      </c>
      <c r="BW948" s="0" t="s">
        <v>130</v>
      </c>
      <c r="BX948" s="0" t="s">
        <v>130</v>
      </c>
      <c r="BY948" s="0" t="s">
        <v>130</v>
      </c>
      <c r="BZ948" s="0" t="s">
        <v>130</v>
      </c>
      <c r="CA948" s="0" t="s">
        <v>130</v>
      </c>
      <c r="CB948" s="0" t="s">
        <v>130</v>
      </c>
      <c r="CC948" s="0" t="s">
        <v>130</v>
      </c>
      <c r="CD948" s="0" t="s">
        <v>130</v>
      </c>
      <c r="CE948" s="0" t="s">
        <v>130</v>
      </c>
      <c r="CF948" s="0" t="s">
        <v>130</v>
      </c>
      <c r="CG948" s="0" t="s">
        <v>130</v>
      </c>
      <c r="CH948" s="0" t="s">
        <v>130</v>
      </c>
      <c r="CI948" s="0" t="s">
        <v>130</v>
      </c>
      <c r="CJ948" s="0" t="s">
        <v>130</v>
      </c>
      <c r="CK948" s="0" t="s">
        <v>130</v>
      </c>
      <c r="CL948" s="0" t="s">
        <v>130</v>
      </c>
      <c r="CM948" s="0" t="s">
        <v>130</v>
      </c>
      <c r="CN948" s="0" t="s">
        <v>130</v>
      </c>
      <c r="CO948" s="0" t="s">
        <v>130</v>
      </c>
      <c r="CP948" s="0" t="s">
        <v>130</v>
      </c>
      <c r="CQ948" s="0" t="s">
        <v>130</v>
      </c>
      <c r="CR948" s="0" t="s">
        <v>130</v>
      </c>
      <c r="CS948" s="0" t="s">
        <v>130</v>
      </c>
      <c r="CT948" s="0" t="s">
        <v>2907</v>
      </c>
    </row>
    <row r="949">
      <c r="A949" s="14">
        <v>118130</v>
      </c>
      <c r="B949" s="0" t="s">
        <v>2895</v>
      </c>
      <c r="C949" s="16">
        <f>HYPERLINK("https://eosportal.federatedhermes.com/companies/Q29tcGFueQppNjI0ODA=", "Unipol Assicurazioni SPA")</f>
      </c>
      <c r="D949" s="0" t="s">
        <v>25</v>
      </c>
      <c r="E949" s="0" t="s">
        <v>317</v>
      </c>
      <c r="F949" s="16">
        <f>HYPERLINK("https://eosportal.federatedhermes.com/engagements/RW5nYWdlbWVudAppMjMxODU=", "Remuneration policy")</f>
      </c>
      <c r="G949" s="14" t="s">
        <v>2908</v>
      </c>
      <c r="H949" s="0" t="s">
        <v>130</v>
      </c>
      <c r="I949" s="14" t="s">
        <v>131</v>
      </c>
      <c r="J949" s="0" t="s">
        <v>145</v>
      </c>
      <c r="K949" s="0" t="s">
        <v>146</v>
      </c>
      <c r="L949" s="0" t="s">
        <v>147</v>
      </c>
      <c r="M949" s="0" t="s">
        <v>378</v>
      </c>
      <c r="N949" s="0" t="s">
        <v>2898</v>
      </c>
      <c r="O949" s="0" t="s">
        <v>238</v>
      </c>
      <c r="Q949" s="0" t="s">
        <v>130</v>
      </c>
      <c r="R949" s="0" t="s">
        <v>138</v>
      </c>
      <c r="S949" s="14">
        <v>0</v>
      </c>
      <c r="T949" s="0" t="s">
        <v>355</v>
      </c>
      <c r="U949" s="0" t="s">
        <v>138</v>
      </c>
      <c r="V949" s="14" t="s">
        <v>138</v>
      </c>
      <c r="W949" s="0" t="s">
        <v>138</v>
      </c>
      <c r="X949" s="14" t="s">
        <v>138</v>
      </c>
      <c r="Y949" s="0" t="s">
        <v>138</v>
      </c>
      <c r="Z949" s="14" t="s">
        <v>138</v>
      </c>
      <c r="AA949" s="0" t="s">
        <v>138</v>
      </c>
      <c r="AB949" s="14" t="s">
        <v>138</v>
      </c>
      <c r="AD949" s="0" t="s">
        <v>138</v>
      </c>
      <c r="AF949" s="0">
        <v>0</v>
      </c>
      <c r="AG949" s="0">
        <v>0</v>
      </c>
      <c r="AH949" s="0" t="s">
        <v>140</v>
      </c>
      <c r="AI949" s="0" t="s">
        <v>138</v>
      </c>
      <c r="AL949" s="14"/>
      <c r="AN949" s="14"/>
      <c r="AQ949" s="0" t="s">
        <v>130</v>
      </c>
      <c r="AR949" s="0" t="s">
        <v>130</v>
      </c>
      <c r="AS949" s="0" t="s">
        <v>130</v>
      </c>
      <c r="AT949" s="0" t="s">
        <v>130</v>
      </c>
      <c r="AU949" s="0" t="s">
        <v>130</v>
      </c>
      <c r="AV949" s="0" t="s">
        <v>130</v>
      </c>
      <c r="AW949" s="0" t="s">
        <v>130</v>
      </c>
      <c r="AX949" s="0" t="s">
        <v>130</v>
      </c>
      <c r="AY949" s="0" t="s">
        <v>130</v>
      </c>
      <c r="AZ949" s="0" t="s">
        <v>130</v>
      </c>
      <c r="BA949" s="0" t="s">
        <v>130</v>
      </c>
      <c r="BB949" s="0" t="s">
        <v>130</v>
      </c>
      <c r="BC949" s="0" t="s">
        <v>130</v>
      </c>
      <c r="BD949" s="0" t="s">
        <v>130</v>
      </c>
      <c r="BE949" s="0" t="s">
        <v>130</v>
      </c>
      <c r="BF949" s="0" t="s">
        <v>130</v>
      </c>
      <c r="BG949" s="0" t="s">
        <v>130</v>
      </c>
      <c r="BH949" s="0" t="s">
        <v>130</v>
      </c>
      <c r="BI949" s="0" t="s">
        <v>130</v>
      </c>
      <c r="BJ949" s="0" t="s">
        <v>130</v>
      </c>
      <c r="BK949" s="0" t="s">
        <v>130</v>
      </c>
      <c r="BL949" s="0" t="s">
        <v>130</v>
      </c>
      <c r="BM949" s="0" t="s">
        <v>130</v>
      </c>
      <c r="BN949" s="0" t="s">
        <v>130</v>
      </c>
      <c r="BO949" s="0" t="s">
        <v>130</v>
      </c>
      <c r="BP949" s="0" t="s">
        <v>130</v>
      </c>
      <c r="BQ949" s="0" t="s">
        <v>130</v>
      </c>
      <c r="BR949" s="0" t="s">
        <v>130</v>
      </c>
      <c r="BS949" s="0" t="s">
        <v>130</v>
      </c>
      <c r="BT949" s="0" t="s">
        <v>130</v>
      </c>
      <c r="BU949" s="0" t="s">
        <v>130</v>
      </c>
      <c r="BV949" s="0" t="s">
        <v>130</v>
      </c>
      <c r="BW949" s="0" t="s">
        <v>130</v>
      </c>
      <c r="BX949" s="0" t="s">
        <v>130</v>
      </c>
      <c r="BY949" s="0" t="s">
        <v>130</v>
      </c>
      <c r="BZ949" s="0" t="s">
        <v>130</v>
      </c>
      <c r="CA949" s="0" t="s">
        <v>130</v>
      </c>
      <c r="CB949" s="0" t="s">
        <v>130</v>
      </c>
      <c r="CC949" s="0" t="s">
        <v>130</v>
      </c>
      <c r="CD949" s="0" t="s">
        <v>130</v>
      </c>
      <c r="CE949" s="0" t="s">
        <v>130</v>
      </c>
      <c r="CF949" s="0" t="s">
        <v>130</v>
      </c>
      <c r="CG949" s="0" t="s">
        <v>130</v>
      </c>
      <c r="CH949" s="0" t="s">
        <v>130</v>
      </c>
      <c r="CI949" s="0" t="s">
        <v>130</v>
      </c>
      <c r="CJ949" s="0" t="s">
        <v>130</v>
      </c>
      <c r="CK949" s="0" t="s">
        <v>130</v>
      </c>
      <c r="CL949" s="0" t="s">
        <v>130</v>
      </c>
      <c r="CM949" s="0" t="s">
        <v>130</v>
      </c>
      <c r="CN949" s="0" t="s">
        <v>130</v>
      </c>
      <c r="CO949" s="0" t="s">
        <v>130</v>
      </c>
      <c r="CP949" s="0" t="s">
        <v>130</v>
      </c>
      <c r="CQ949" s="0" t="s">
        <v>130</v>
      </c>
      <c r="CR949" s="0" t="s">
        <v>130</v>
      </c>
      <c r="CS949" s="0" t="s">
        <v>130</v>
      </c>
      <c r="CT949" s="0" t="s">
        <v>2909</v>
      </c>
    </row>
    <row r="950">
      <c r="A950" s="14">
        <v>118130</v>
      </c>
      <c r="B950" s="0" t="s">
        <v>2895</v>
      </c>
      <c r="C950" s="16">
        <f>HYPERLINK("https://eosportal.federatedhermes.com/companies/Q29tcGFueQppNjI0ODA=", "Unipol Assicurazioni SPA")</f>
      </c>
      <c r="D950" s="0" t="s">
        <v>25</v>
      </c>
      <c r="E950" s="0" t="s">
        <v>2896</v>
      </c>
      <c r="F950" s="16">
        <f>HYPERLINK("https://eosportal.federatedhermes.com/engagements/RW5nYWdlbWVudAppMjMxODY=", "Corporate governance principles")</f>
      </c>
      <c r="G950" s="14" t="s">
        <v>2910</v>
      </c>
      <c r="H950" s="0" t="s">
        <v>130</v>
      </c>
      <c r="I950" s="14" t="s">
        <v>131</v>
      </c>
      <c r="J950" s="0" t="s">
        <v>145</v>
      </c>
      <c r="K950" s="0" t="s">
        <v>400</v>
      </c>
      <c r="L950" s="0" t="s">
        <v>507</v>
      </c>
      <c r="M950" s="0" t="s">
        <v>378</v>
      </c>
      <c r="N950" s="0" t="s">
        <v>2898</v>
      </c>
      <c r="O950" s="0" t="s">
        <v>238</v>
      </c>
      <c r="Q950" s="0" t="s">
        <v>130</v>
      </c>
      <c r="R950" s="0" t="s">
        <v>138</v>
      </c>
      <c r="S950" s="14">
        <v>0</v>
      </c>
      <c r="T950" s="0" t="s">
        <v>206</v>
      </c>
      <c r="U950" s="0" t="s">
        <v>138</v>
      </c>
      <c r="V950" s="14" t="s">
        <v>138</v>
      </c>
      <c r="W950" s="0" t="s">
        <v>138</v>
      </c>
      <c r="X950" s="14" t="s">
        <v>138</v>
      </c>
      <c r="Y950" s="0" t="s">
        <v>138</v>
      </c>
      <c r="Z950" s="14" t="s">
        <v>138</v>
      </c>
      <c r="AA950" s="0" t="s">
        <v>138</v>
      </c>
      <c r="AB950" s="14" t="s">
        <v>138</v>
      </c>
      <c r="AD950" s="0" t="s">
        <v>138</v>
      </c>
      <c r="AF950" s="0">
        <v>0</v>
      </c>
      <c r="AG950" s="0">
        <v>0</v>
      </c>
      <c r="AH950" s="0" t="s">
        <v>140</v>
      </c>
      <c r="AI950" s="0" t="s">
        <v>138</v>
      </c>
      <c r="AL950" s="14"/>
      <c r="AN950" s="14"/>
      <c r="AQ950" s="0" t="s">
        <v>130</v>
      </c>
      <c r="AR950" s="0" t="s">
        <v>130</v>
      </c>
      <c r="AS950" s="0" t="s">
        <v>130</v>
      </c>
      <c r="AT950" s="0" t="s">
        <v>130</v>
      </c>
      <c r="AU950" s="0" t="s">
        <v>130</v>
      </c>
      <c r="AV950" s="0" t="s">
        <v>130</v>
      </c>
      <c r="AW950" s="0" t="s">
        <v>130</v>
      </c>
      <c r="AX950" s="0" t="s">
        <v>130</v>
      </c>
      <c r="AY950" s="0" t="s">
        <v>130</v>
      </c>
      <c r="AZ950" s="0" t="s">
        <v>130</v>
      </c>
      <c r="BA950" s="0" t="s">
        <v>130</v>
      </c>
      <c r="BB950" s="0" t="s">
        <v>130</v>
      </c>
      <c r="BC950" s="0" t="s">
        <v>130</v>
      </c>
      <c r="BD950" s="0" t="s">
        <v>130</v>
      </c>
      <c r="BE950" s="0" t="s">
        <v>130</v>
      </c>
      <c r="BF950" s="0" t="s">
        <v>130</v>
      </c>
      <c r="BG950" s="0" t="s">
        <v>130</v>
      </c>
      <c r="BH950" s="0" t="s">
        <v>130</v>
      </c>
      <c r="BI950" s="0" t="s">
        <v>130</v>
      </c>
      <c r="BJ950" s="0" t="s">
        <v>130</v>
      </c>
      <c r="BK950" s="0" t="s">
        <v>130</v>
      </c>
      <c r="BL950" s="0" t="s">
        <v>130</v>
      </c>
      <c r="BM950" s="0" t="s">
        <v>130</v>
      </c>
      <c r="BN950" s="0" t="s">
        <v>130</v>
      </c>
      <c r="BO950" s="0" t="s">
        <v>130</v>
      </c>
      <c r="BP950" s="0" t="s">
        <v>130</v>
      </c>
      <c r="BQ950" s="0" t="s">
        <v>130</v>
      </c>
      <c r="BR950" s="0" t="s">
        <v>130</v>
      </c>
      <c r="BS950" s="0" t="s">
        <v>130</v>
      </c>
      <c r="BT950" s="0" t="s">
        <v>130</v>
      </c>
      <c r="BU950" s="0" t="s">
        <v>130</v>
      </c>
      <c r="BV950" s="0" t="s">
        <v>130</v>
      </c>
      <c r="BW950" s="0" t="s">
        <v>130</v>
      </c>
      <c r="BX950" s="0" t="s">
        <v>130</v>
      </c>
      <c r="BY950" s="0" t="s">
        <v>130</v>
      </c>
      <c r="BZ950" s="0" t="s">
        <v>130</v>
      </c>
      <c r="CA950" s="0" t="s">
        <v>130</v>
      </c>
      <c r="CB950" s="0" t="s">
        <v>130</v>
      </c>
      <c r="CC950" s="0" t="s">
        <v>130</v>
      </c>
      <c r="CD950" s="0" t="s">
        <v>130</v>
      </c>
      <c r="CE950" s="0" t="s">
        <v>130</v>
      </c>
      <c r="CF950" s="0" t="s">
        <v>130</v>
      </c>
      <c r="CG950" s="0" t="s">
        <v>130</v>
      </c>
      <c r="CH950" s="0" t="s">
        <v>130</v>
      </c>
      <c r="CI950" s="0" t="s">
        <v>130</v>
      </c>
      <c r="CJ950" s="0" t="s">
        <v>130</v>
      </c>
      <c r="CK950" s="0" t="s">
        <v>130</v>
      </c>
      <c r="CL950" s="0" t="s">
        <v>130</v>
      </c>
      <c r="CM950" s="0" t="s">
        <v>130</v>
      </c>
      <c r="CN950" s="0" t="s">
        <v>130</v>
      </c>
      <c r="CO950" s="0" t="s">
        <v>130</v>
      </c>
      <c r="CP950" s="0" t="s">
        <v>130</v>
      </c>
      <c r="CQ950" s="0" t="s">
        <v>130</v>
      </c>
      <c r="CR950" s="0" t="s">
        <v>130</v>
      </c>
      <c r="CS950" s="0" t="s">
        <v>130</v>
      </c>
      <c r="CT950" s="0" t="s">
        <v>2911</v>
      </c>
    </row>
    <row r="951">
      <c r="A951" s="14">
        <v>153205</v>
      </c>
      <c r="B951" s="0" t="s">
        <v>2912</v>
      </c>
      <c r="C951" s="16">
        <f>HYPERLINK("https://eosportal.federatedhermes.com/companies/Q29tcGFueQppNDQzNzI=", "Japan Tobacco Inc")</f>
      </c>
      <c r="D951" s="0" t="s">
        <v>25</v>
      </c>
      <c r="E951" s="0" t="s">
        <v>1729</v>
      </c>
      <c r="F951" s="16">
        <f>HYPERLINK("https://eosportal.federatedhermes.com/engagements/RW5nYWdlbWVudAppMjMyNTQ=", "Business strategy")</f>
      </c>
      <c r="G951" s="14" t="s">
        <v>2913</v>
      </c>
      <c r="H951" s="0" t="s">
        <v>130</v>
      </c>
      <c r="I951" s="14" t="s">
        <v>319</v>
      </c>
      <c r="J951" s="0" t="s">
        <v>153</v>
      </c>
      <c r="K951" s="0" t="s">
        <v>243</v>
      </c>
      <c r="L951" s="0" t="s">
        <v>244</v>
      </c>
      <c r="M951" s="0" t="s">
        <v>802</v>
      </c>
      <c r="N951" s="0" t="s">
        <v>952</v>
      </c>
      <c r="O951" s="0" t="s">
        <v>332</v>
      </c>
      <c r="Q951" s="0" t="s">
        <v>141</v>
      </c>
      <c r="R951" s="0" t="s">
        <v>138</v>
      </c>
      <c r="S951" s="14">
        <v>1</v>
      </c>
      <c r="T951" s="0" t="s">
        <v>2480</v>
      </c>
      <c r="U951" s="0" t="s">
        <v>138</v>
      </c>
      <c r="V951" s="14" t="s">
        <v>138</v>
      </c>
      <c r="W951" s="0" t="s">
        <v>138</v>
      </c>
      <c r="X951" s="14" t="s">
        <v>138</v>
      </c>
      <c r="Y951" s="0" t="s">
        <v>138</v>
      </c>
      <c r="Z951" s="14" t="s">
        <v>138</v>
      </c>
      <c r="AA951" s="0" t="s">
        <v>138</v>
      </c>
      <c r="AB951" s="14" t="s">
        <v>138</v>
      </c>
      <c r="AD951" s="0" t="s">
        <v>138</v>
      </c>
      <c r="AF951" s="0">
        <v>0</v>
      </c>
      <c r="AG951" s="0">
        <v>0</v>
      </c>
      <c r="AH951" s="0" t="s">
        <v>140</v>
      </c>
      <c r="AI951" s="0" t="s">
        <v>138</v>
      </c>
      <c r="AK951" s="0" t="s">
        <v>1853</v>
      </c>
      <c r="AL951" s="14"/>
      <c r="AN951" s="14"/>
      <c r="AQ951" s="0" t="s">
        <v>130</v>
      </c>
      <c r="AR951" s="0" t="s">
        <v>130</v>
      </c>
      <c r="AS951" s="0" t="s">
        <v>130</v>
      </c>
      <c r="AT951" s="0" t="s">
        <v>130</v>
      </c>
      <c r="AU951" s="0" t="s">
        <v>130</v>
      </c>
      <c r="AV951" s="0" t="s">
        <v>130</v>
      </c>
      <c r="AW951" s="0" t="s">
        <v>130</v>
      </c>
      <c r="AX951" s="0" t="s">
        <v>130</v>
      </c>
      <c r="AY951" s="0" t="s">
        <v>130</v>
      </c>
      <c r="AZ951" s="0" t="s">
        <v>130</v>
      </c>
      <c r="BA951" s="0" t="s">
        <v>130</v>
      </c>
      <c r="BB951" s="0" t="s">
        <v>130</v>
      </c>
      <c r="BC951" s="0" t="s">
        <v>130</v>
      </c>
      <c r="BD951" s="0" t="s">
        <v>130</v>
      </c>
      <c r="BE951" s="0" t="s">
        <v>130</v>
      </c>
      <c r="BF951" s="0" t="s">
        <v>130</v>
      </c>
      <c r="BG951" s="0" t="s">
        <v>130</v>
      </c>
      <c r="BH951" s="0" t="s">
        <v>130</v>
      </c>
      <c r="BI951" s="0" t="s">
        <v>130</v>
      </c>
      <c r="BJ951" s="0" t="s">
        <v>130</v>
      </c>
      <c r="BK951" s="0" t="s">
        <v>130</v>
      </c>
      <c r="BL951" s="0" t="s">
        <v>130</v>
      </c>
      <c r="BM951" s="0" t="s">
        <v>130</v>
      </c>
      <c r="BN951" s="0" t="s">
        <v>130</v>
      </c>
      <c r="BO951" s="0" t="s">
        <v>130</v>
      </c>
      <c r="BP951" s="0" t="s">
        <v>130</v>
      </c>
      <c r="BQ951" s="0" t="s">
        <v>130</v>
      </c>
      <c r="BR951" s="0" t="s">
        <v>130</v>
      </c>
      <c r="BS951" s="0" t="s">
        <v>130</v>
      </c>
      <c r="BT951" s="0" t="s">
        <v>130</v>
      </c>
      <c r="BU951" s="0" t="s">
        <v>130</v>
      </c>
      <c r="BV951" s="0" t="s">
        <v>130</v>
      </c>
      <c r="BW951" s="0" t="s">
        <v>130</v>
      </c>
      <c r="BX951" s="0" t="s">
        <v>130</v>
      </c>
      <c r="BY951" s="0" t="s">
        <v>130</v>
      </c>
      <c r="BZ951" s="0" t="s">
        <v>130</v>
      </c>
      <c r="CA951" s="0" t="s">
        <v>130</v>
      </c>
      <c r="CB951" s="0" t="s">
        <v>130</v>
      </c>
      <c r="CC951" s="0" t="s">
        <v>130</v>
      </c>
      <c r="CD951" s="0" t="s">
        <v>130</v>
      </c>
      <c r="CE951" s="0" t="s">
        <v>130</v>
      </c>
      <c r="CF951" s="0" t="s">
        <v>130</v>
      </c>
      <c r="CG951" s="0" t="s">
        <v>130</v>
      </c>
      <c r="CH951" s="0" t="s">
        <v>130</v>
      </c>
      <c r="CI951" s="0" t="s">
        <v>130</v>
      </c>
      <c r="CJ951" s="0" t="s">
        <v>130</v>
      </c>
      <c r="CK951" s="0" t="s">
        <v>130</v>
      </c>
      <c r="CL951" s="0" t="s">
        <v>130</v>
      </c>
      <c r="CM951" s="0" t="s">
        <v>130</v>
      </c>
      <c r="CN951" s="0" t="s">
        <v>130</v>
      </c>
      <c r="CO951" s="0" t="s">
        <v>130</v>
      </c>
      <c r="CP951" s="0" t="s">
        <v>130</v>
      </c>
      <c r="CQ951" s="0" t="s">
        <v>130</v>
      </c>
      <c r="CR951" s="0" t="s">
        <v>130</v>
      </c>
      <c r="CS951" s="0" t="s">
        <v>130</v>
      </c>
      <c r="CT951" s="0" t="s">
        <v>2914</v>
      </c>
    </row>
    <row r="952">
      <c r="A952" s="14">
        <v>153205</v>
      </c>
      <c r="B952" s="0" t="s">
        <v>2912</v>
      </c>
      <c r="C952" s="16">
        <f>HYPERLINK("https://eosportal.federatedhermes.com/companies/Q29tcGFueQppNDQzNzI=", "Japan Tobacco Inc")</f>
      </c>
      <c r="D952" s="0" t="s">
        <v>25</v>
      </c>
      <c r="E952" s="0" t="s">
        <v>1069</v>
      </c>
      <c r="F952" s="16">
        <f>HYPERLINK("https://eosportal.federatedhermes.com/engagements/RW5nYWdlbWVudAppMjMyNTU=", "Water management")</f>
      </c>
      <c r="G952" s="14" t="s">
        <v>2915</v>
      </c>
      <c r="H952" s="0" t="s">
        <v>130</v>
      </c>
      <c r="I952" s="14" t="s">
        <v>319</v>
      </c>
      <c r="J952" s="0" t="s">
        <v>197</v>
      </c>
      <c r="K952" s="0" t="s">
        <v>337</v>
      </c>
      <c r="L952" s="0" t="s">
        <v>338</v>
      </c>
      <c r="M952" s="0" t="s">
        <v>802</v>
      </c>
      <c r="N952" s="0" t="s">
        <v>952</v>
      </c>
      <c r="O952" s="0" t="s">
        <v>332</v>
      </c>
      <c r="Q952" s="0" t="s">
        <v>130</v>
      </c>
      <c r="R952" s="0" t="s">
        <v>138</v>
      </c>
      <c r="S952" s="14">
        <v>0</v>
      </c>
      <c r="T952" s="0" t="s">
        <v>1145</v>
      </c>
      <c r="U952" s="0" t="s">
        <v>138</v>
      </c>
      <c r="V952" s="14" t="s">
        <v>138</v>
      </c>
      <c r="W952" s="0" t="s">
        <v>138</v>
      </c>
      <c r="X952" s="14" t="s">
        <v>138</v>
      </c>
      <c r="Y952" s="0" t="s">
        <v>138</v>
      </c>
      <c r="Z952" s="14" t="s">
        <v>138</v>
      </c>
      <c r="AA952" s="0" t="s">
        <v>138</v>
      </c>
      <c r="AB952" s="14" t="s">
        <v>138</v>
      </c>
      <c r="AD952" s="0" t="s">
        <v>138</v>
      </c>
      <c r="AF952" s="0">
        <v>0</v>
      </c>
      <c r="AG952" s="0">
        <v>0</v>
      </c>
      <c r="AH952" s="0" t="s">
        <v>140</v>
      </c>
      <c r="AI952" s="0" t="s">
        <v>138</v>
      </c>
      <c r="AL952" s="14"/>
      <c r="AN952" s="14"/>
      <c r="AQ952" s="0" t="s">
        <v>130</v>
      </c>
      <c r="AR952" s="0" t="s">
        <v>130</v>
      </c>
      <c r="AS952" s="0" t="s">
        <v>130</v>
      </c>
      <c r="AT952" s="0" t="s">
        <v>130</v>
      </c>
      <c r="AU952" s="0" t="s">
        <v>130</v>
      </c>
      <c r="AV952" s="0" t="s">
        <v>141</v>
      </c>
      <c r="AW952" s="0" t="s">
        <v>130</v>
      </c>
      <c r="AX952" s="0" t="s">
        <v>130</v>
      </c>
      <c r="AY952" s="0" t="s">
        <v>130</v>
      </c>
      <c r="AZ952" s="0" t="s">
        <v>130</v>
      </c>
      <c r="BA952" s="0" t="s">
        <v>130</v>
      </c>
      <c r="BB952" s="0" t="s">
        <v>130</v>
      </c>
      <c r="BC952" s="0" t="s">
        <v>130</v>
      </c>
      <c r="BD952" s="0" t="s">
        <v>130</v>
      </c>
      <c r="BE952" s="0" t="s">
        <v>130</v>
      </c>
      <c r="BF952" s="0" t="s">
        <v>130</v>
      </c>
      <c r="BG952" s="0" t="s">
        <v>130</v>
      </c>
      <c r="BH952" s="0" t="s">
        <v>130</v>
      </c>
      <c r="BI952" s="0" t="s">
        <v>130</v>
      </c>
      <c r="BJ952" s="0" t="s">
        <v>130</v>
      </c>
      <c r="BK952" s="0" t="s">
        <v>130</v>
      </c>
      <c r="BL952" s="0" t="s">
        <v>130</v>
      </c>
      <c r="BM952" s="0" t="s">
        <v>130</v>
      </c>
      <c r="BN952" s="0" t="s">
        <v>130</v>
      </c>
      <c r="BO952" s="0" t="s">
        <v>130</v>
      </c>
      <c r="BP952" s="0" t="s">
        <v>130</v>
      </c>
      <c r="BQ952" s="0" t="s">
        <v>130</v>
      </c>
      <c r="BR952" s="0" t="s">
        <v>130</v>
      </c>
      <c r="BS952" s="0" t="s">
        <v>130</v>
      </c>
      <c r="BT952" s="0" t="s">
        <v>130</v>
      </c>
      <c r="BU952" s="0" t="s">
        <v>130</v>
      </c>
      <c r="BV952" s="0" t="s">
        <v>130</v>
      </c>
      <c r="BW952" s="0" t="s">
        <v>130</v>
      </c>
      <c r="BX952" s="0" t="s">
        <v>141</v>
      </c>
      <c r="BY952" s="0" t="s">
        <v>130</v>
      </c>
      <c r="BZ952" s="0" t="s">
        <v>130</v>
      </c>
      <c r="CA952" s="0" t="s">
        <v>130</v>
      </c>
      <c r="CB952" s="0" t="s">
        <v>130</v>
      </c>
      <c r="CC952" s="0" t="s">
        <v>130</v>
      </c>
      <c r="CD952" s="0" t="s">
        <v>130</v>
      </c>
      <c r="CE952" s="0" t="s">
        <v>130</v>
      </c>
      <c r="CF952" s="0" t="s">
        <v>130</v>
      </c>
      <c r="CG952" s="0" t="s">
        <v>130</v>
      </c>
      <c r="CH952" s="0" t="s">
        <v>130</v>
      </c>
      <c r="CI952" s="0" t="s">
        <v>130</v>
      </c>
      <c r="CJ952" s="0" t="s">
        <v>130</v>
      </c>
      <c r="CK952" s="0" t="s">
        <v>130</v>
      </c>
      <c r="CL952" s="0" t="s">
        <v>130</v>
      </c>
      <c r="CM952" s="0" t="s">
        <v>130</v>
      </c>
      <c r="CN952" s="0" t="s">
        <v>130</v>
      </c>
      <c r="CO952" s="0" t="s">
        <v>130</v>
      </c>
      <c r="CP952" s="0" t="s">
        <v>130</v>
      </c>
      <c r="CQ952" s="0" t="s">
        <v>130</v>
      </c>
      <c r="CR952" s="0" t="s">
        <v>130</v>
      </c>
      <c r="CS952" s="0" t="s">
        <v>130</v>
      </c>
      <c r="CT952" s="0" t="s">
        <v>2916</v>
      </c>
    </row>
    <row r="953">
      <c r="A953" s="14">
        <v>153205</v>
      </c>
      <c r="B953" s="0" t="s">
        <v>2912</v>
      </c>
      <c r="C953" s="16">
        <f>HYPERLINK("https://eosportal.federatedhermes.com/companies/Q29tcGFueQppNDQzNzI=", "Japan Tobacco Inc")</f>
      </c>
      <c r="D953" s="0" t="s">
        <v>25</v>
      </c>
      <c r="E953" s="0" t="s">
        <v>341</v>
      </c>
      <c r="F953" s="16">
        <f>HYPERLINK("https://eosportal.federatedhermes.com/engagements/RW5nYWdlbWVudAppMjMyNTY=", "Remuneration")</f>
      </c>
      <c r="G953" s="14" t="s">
        <v>2917</v>
      </c>
      <c r="H953" s="0" t="s">
        <v>130</v>
      </c>
      <c r="I953" s="14" t="s">
        <v>319</v>
      </c>
      <c r="J953" s="0" t="s">
        <v>145</v>
      </c>
      <c r="K953" s="0" t="s">
        <v>146</v>
      </c>
      <c r="L953" s="0" t="s">
        <v>147</v>
      </c>
      <c r="M953" s="0" t="s">
        <v>802</v>
      </c>
      <c r="N953" s="0" t="s">
        <v>952</v>
      </c>
      <c r="O953" s="0" t="s">
        <v>332</v>
      </c>
      <c r="Q953" s="0" t="s">
        <v>141</v>
      </c>
      <c r="R953" s="0" t="s">
        <v>138</v>
      </c>
      <c r="S953" s="14">
        <v>1</v>
      </c>
      <c r="T953" s="0" t="s">
        <v>288</v>
      </c>
      <c r="U953" s="0" t="s">
        <v>138</v>
      </c>
      <c r="V953" s="14" t="s">
        <v>138</v>
      </c>
      <c r="W953" s="0" t="s">
        <v>138</v>
      </c>
      <c r="X953" s="14" t="s">
        <v>138</v>
      </c>
      <c r="Y953" s="0" t="s">
        <v>138</v>
      </c>
      <c r="Z953" s="14" t="s">
        <v>138</v>
      </c>
      <c r="AA953" s="0" t="s">
        <v>138</v>
      </c>
      <c r="AB953" s="14" t="s">
        <v>138</v>
      </c>
      <c r="AD953" s="0" t="s">
        <v>138</v>
      </c>
      <c r="AF953" s="0">
        <v>0</v>
      </c>
      <c r="AG953" s="0">
        <v>0</v>
      </c>
      <c r="AH953" s="0" t="s">
        <v>140</v>
      </c>
      <c r="AI953" s="0" t="s">
        <v>138</v>
      </c>
      <c r="AK953" s="0" t="s">
        <v>1853</v>
      </c>
      <c r="AL953" s="14"/>
      <c r="AN953" s="14"/>
      <c r="AQ953" s="0" t="s">
        <v>130</v>
      </c>
      <c r="AR953" s="0" t="s">
        <v>130</v>
      </c>
      <c r="AS953" s="0" t="s">
        <v>130</v>
      </c>
      <c r="AT953" s="0" t="s">
        <v>130</v>
      </c>
      <c r="AU953" s="0" t="s">
        <v>130</v>
      </c>
      <c r="AV953" s="0" t="s">
        <v>130</v>
      </c>
      <c r="AW953" s="0" t="s">
        <v>130</v>
      </c>
      <c r="AX953" s="0" t="s">
        <v>130</v>
      </c>
      <c r="AY953" s="0" t="s">
        <v>130</v>
      </c>
      <c r="AZ953" s="0" t="s">
        <v>130</v>
      </c>
      <c r="BA953" s="0" t="s">
        <v>130</v>
      </c>
      <c r="BB953" s="0" t="s">
        <v>130</v>
      </c>
      <c r="BC953" s="0" t="s">
        <v>130</v>
      </c>
      <c r="BD953" s="0" t="s">
        <v>130</v>
      </c>
      <c r="BE953" s="0" t="s">
        <v>130</v>
      </c>
      <c r="BF953" s="0" t="s">
        <v>130</v>
      </c>
      <c r="BG953" s="0" t="s">
        <v>130</v>
      </c>
      <c r="BH953" s="0" t="s">
        <v>130</v>
      </c>
      <c r="BI953" s="0" t="s">
        <v>130</v>
      </c>
      <c r="BJ953" s="0" t="s">
        <v>130</v>
      </c>
      <c r="BK953" s="0" t="s">
        <v>130</v>
      </c>
      <c r="BL953" s="0" t="s">
        <v>130</v>
      </c>
      <c r="BM953" s="0" t="s">
        <v>130</v>
      </c>
      <c r="BN953" s="0" t="s">
        <v>130</v>
      </c>
      <c r="BO953" s="0" t="s">
        <v>130</v>
      </c>
      <c r="BP953" s="0" t="s">
        <v>130</v>
      </c>
      <c r="BQ953" s="0" t="s">
        <v>130</v>
      </c>
      <c r="BR953" s="0" t="s">
        <v>130</v>
      </c>
      <c r="BS953" s="0" t="s">
        <v>130</v>
      </c>
      <c r="BT953" s="0" t="s">
        <v>130</v>
      </c>
      <c r="BU953" s="0" t="s">
        <v>130</v>
      </c>
      <c r="BV953" s="0" t="s">
        <v>130</v>
      </c>
      <c r="BW953" s="0" t="s">
        <v>130</v>
      </c>
      <c r="BX953" s="0" t="s">
        <v>130</v>
      </c>
      <c r="BY953" s="0" t="s">
        <v>130</v>
      </c>
      <c r="BZ953" s="0" t="s">
        <v>130</v>
      </c>
      <c r="CA953" s="0" t="s">
        <v>130</v>
      </c>
      <c r="CB953" s="0" t="s">
        <v>130</v>
      </c>
      <c r="CC953" s="0" t="s">
        <v>130</v>
      </c>
      <c r="CD953" s="0" t="s">
        <v>130</v>
      </c>
      <c r="CE953" s="0" t="s">
        <v>130</v>
      </c>
      <c r="CF953" s="0" t="s">
        <v>130</v>
      </c>
      <c r="CG953" s="0" t="s">
        <v>130</v>
      </c>
      <c r="CH953" s="0" t="s">
        <v>130</v>
      </c>
      <c r="CI953" s="0" t="s">
        <v>130</v>
      </c>
      <c r="CJ953" s="0" t="s">
        <v>130</v>
      </c>
      <c r="CK953" s="0" t="s">
        <v>130</v>
      </c>
      <c r="CL953" s="0" t="s">
        <v>130</v>
      </c>
      <c r="CM953" s="0" t="s">
        <v>130</v>
      </c>
      <c r="CN953" s="0" t="s">
        <v>130</v>
      </c>
      <c r="CO953" s="0" t="s">
        <v>130</v>
      </c>
      <c r="CP953" s="0" t="s">
        <v>130</v>
      </c>
      <c r="CQ953" s="0" t="s">
        <v>130</v>
      </c>
      <c r="CR953" s="0" t="s">
        <v>130</v>
      </c>
      <c r="CS953" s="0" t="s">
        <v>130</v>
      </c>
      <c r="CT953" s="0" t="s">
        <v>2918</v>
      </c>
    </row>
    <row r="954">
      <c r="A954" s="14">
        <v>153205</v>
      </c>
      <c r="B954" s="0" t="s">
        <v>2912</v>
      </c>
      <c r="C954" s="16">
        <f>HYPERLINK("https://eosportal.federatedhermes.com/companies/Q29tcGFueQppNDQzNzI=", "Japan Tobacco Inc")</f>
      </c>
      <c r="D954" s="0" t="s">
        <v>25</v>
      </c>
      <c r="E954" s="0" t="s">
        <v>295</v>
      </c>
      <c r="F954" s="16">
        <f>HYPERLINK("https://eosportal.federatedhermes.com/engagements/RW5nYWdlbWVudAppMjMyNjM=", "Board structure")</f>
      </c>
      <c r="G954" s="14" t="s">
        <v>295</v>
      </c>
      <c r="H954" s="0" t="s">
        <v>130</v>
      </c>
      <c r="I954" s="14" t="s">
        <v>319</v>
      </c>
      <c r="J954" s="0" t="s">
        <v>145</v>
      </c>
      <c r="K954" s="0" t="s">
        <v>164</v>
      </c>
      <c r="L954" s="0" t="s">
        <v>165</v>
      </c>
      <c r="M954" s="0" t="s">
        <v>802</v>
      </c>
      <c r="N954" s="0" t="s">
        <v>952</v>
      </c>
      <c r="O954" s="0" t="s">
        <v>332</v>
      </c>
      <c r="Q954" s="0" t="s">
        <v>141</v>
      </c>
      <c r="R954" s="0" t="s">
        <v>138</v>
      </c>
      <c r="S954" s="14">
        <v>1</v>
      </c>
      <c r="T954" s="0" t="s">
        <v>181</v>
      </c>
      <c r="U954" s="0" t="s">
        <v>138</v>
      </c>
      <c r="V954" s="14" t="s">
        <v>138</v>
      </c>
      <c r="W954" s="0" t="s">
        <v>138</v>
      </c>
      <c r="X954" s="14" t="s">
        <v>138</v>
      </c>
      <c r="Y954" s="0" t="s">
        <v>138</v>
      </c>
      <c r="Z954" s="14" t="s">
        <v>138</v>
      </c>
      <c r="AA954" s="0" t="s">
        <v>138</v>
      </c>
      <c r="AB954" s="14" t="s">
        <v>138</v>
      </c>
      <c r="AD954" s="0" t="s">
        <v>138</v>
      </c>
      <c r="AF954" s="0">
        <v>0</v>
      </c>
      <c r="AG954" s="0">
        <v>0</v>
      </c>
      <c r="AH954" s="0" t="s">
        <v>140</v>
      </c>
      <c r="AI954" s="0" t="s">
        <v>138</v>
      </c>
      <c r="AK954" s="0" t="s">
        <v>1853</v>
      </c>
      <c r="AL954" s="14"/>
      <c r="AN954" s="14"/>
      <c r="AQ954" s="0" t="s">
        <v>130</v>
      </c>
      <c r="AR954" s="0" t="s">
        <v>130</v>
      </c>
      <c r="AS954" s="0" t="s">
        <v>130</v>
      </c>
      <c r="AT954" s="0" t="s">
        <v>130</v>
      </c>
      <c r="AU954" s="0" t="s">
        <v>130</v>
      </c>
      <c r="AV954" s="0" t="s">
        <v>130</v>
      </c>
      <c r="AW954" s="0" t="s">
        <v>130</v>
      </c>
      <c r="AX954" s="0" t="s">
        <v>130</v>
      </c>
      <c r="AY954" s="0" t="s">
        <v>130</v>
      </c>
      <c r="AZ954" s="0" t="s">
        <v>130</v>
      </c>
      <c r="BA954" s="0" t="s">
        <v>130</v>
      </c>
      <c r="BB954" s="0" t="s">
        <v>130</v>
      </c>
      <c r="BC954" s="0" t="s">
        <v>130</v>
      </c>
      <c r="BD954" s="0" t="s">
        <v>130</v>
      </c>
      <c r="BE954" s="0" t="s">
        <v>130</v>
      </c>
      <c r="BF954" s="0" t="s">
        <v>130</v>
      </c>
      <c r="BG954" s="0" t="s">
        <v>130</v>
      </c>
      <c r="BH954" s="0" t="s">
        <v>130</v>
      </c>
      <c r="BI954" s="0" t="s">
        <v>130</v>
      </c>
      <c r="BJ954" s="0" t="s">
        <v>130</v>
      </c>
      <c r="BK954" s="0" t="s">
        <v>130</v>
      </c>
      <c r="BL954" s="0" t="s">
        <v>130</v>
      </c>
      <c r="BM954" s="0" t="s">
        <v>130</v>
      </c>
      <c r="BN954" s="0" t="s">
        <v>130</v>
      </c>
      <c r="BO954" s="0" t="s">
        <v>130</v>
      </c>
      <c r="BP954" s="0" t="s">
        <v>130</v>
      </c>
      <c r="BQ954" s="0" t="s">
        <v>130</v>
      </c>
      <c r="BR954" s="0" t="s">
        <v>130</v>
      </c>
      <c r="BS954" s="0" t="s">
        <v>130</v>
      </c>
      <c r="BT954" s="0" t="s">
        <v>130</v>
      </c>
      <c r="BU954" s="0" t="s">
        <v>130</v>
      </c>
      <c r="BV954" s="0" t="s">
        <v>130</v>
      </c>
      <c r="BW954" s="0" t="s">
        <v>130</v>
      </c>
      <c r="BX954" s="0" t="s">
        <v>130</v>
      </c>
      <c r="BY954" s="0" t="s">
        <v>130</v>
      </c>
      <c r="BZ954" s="0" t="s">
        <v>130</v>
      </c>
      <c r="CA954" s="0" t="s">
        <v>130</v>
      </c>
      <c r="CB954" s="0" t="s">
        <v>130</v>
      </c>
      <c r="CC954" s="0" t="s">
        <v>130</v>
      </c>
      <c r="CD954" s="0" t="s">
        <v>130</v>
      </c>
      <c r="CE954" s="0" t="s">
        <v>130</v>
      </c>
      <c r="CF954" s="0" t="s">
        <v>130</v>
      </c>
      <c r="CG954" s="0" t="s">
        <v>130</v>
      </c>
      <c r="CH954" s="0" t="s">
        <v>130</v>
      </c>
      <c r="CI954" s="0" t="s">
        <v>130</v>
      </c>
      <c r="CJ954" s="0" t="s">
        <v>130</v>
      </c>
      <c r="CK954" s="0" t="s">
        <v>130</v>
      </c>
      <c r="CL954" s="0" t="s">
        <v>130</v>
      </c>
      <c r="CM954" s="0" t="s">
        <v>130</v>
      </c>
      <c r="CN954" s="0" t="s">
        <v>130</v>
      </c>
      <c r="CO954" s="0" t="s">
        <v>130</v>
      </c>
      <c r="CP954" s="0" t="s">
        <v>130</v>
      </c>
      <c r="CQ954" s="0" t="s">
        <v>130</v>
      </c>
      <c r="CR954" s="0" t="s">
        <v>130</v>
      </c>
      <c r="CS954" s="0" t="s">
        <v>130</v>
      </c>
      <c r="CT954" s="0" t="s">
        <v>2919</v>
      </c>
    </row>
    <row r="955">
      <c r="A955" s="14">
        <v>153693</v>
      </c>
      <c r="B955" s="0" t="s">
        <v>2920</v>
      </c>
      <c r="C955" s="16">
        <f>HYPERLINK("https://eosportal.federatedhermes.com/companies/Q29tcGFueQppNDYwMzI=", "Fortescue Ltd")</f>
      </c>
      <c r="D955" s="0" t="s">
        <v>25</v>
      </c>
      <c r="E955" s="0" t="s">
        <v>341</v>
      </c>
      <c r="F955" s="16">
        <f>HYPERLINK("https://eosportal.federatedhermes.com/engagements/RW5nYWdlbWVudAppMjMyNjc=", "Remuneration")</f>
      </c>
      <c r="G955" s="14" t="s">
        <v>2696</v>
      </c>
      <c r="H955" s="0" t="s">
        <v>130</v>
      </c>
      <c r="I955" s="14" t="s">
        <v>131</v>
      </c>
      <c r="J955" s="0" t="s">
        <v>145</v>
      </c>
      <c r="K955" s="0" t="s">
        <v>146</v>
      </c>
      <c r="L955" s="0" t="s">
        <v>147</v>
      </c>
      <c r="M955" s="0" t="s">
        <v>371</v>
      </c>
      <c r="N955" s="0" t="s">
        <v>372</v>
      </c>
      <c r="O955" s="0" t="s">
        <v>373</v>
      </c>
      <c r="Q955" s="0" t="s">
        <v>130</v>
      </c>
      <c r="R955" s="0" t="s">
        <v>138</v>
      </c>
      <c r="S955" s="14">
        <v>0</v>
      </c>
      <c r="T955" s="0" t="s">
        <v>193</v>
      </c>
      <c r="U955" s="0" t="s">
        <v>138</v>
      </c>
      <c r="V955" s="14" t="s">
        <v>138</v>
      </c>
      <c r="W955" s="0" t="s">
        <v>138</v>
      </c>
      <c r="X955" s="14" t="s">
        <v>138</v>
      </c>
      <c r="Y955" s="0" t="s">
        <v>138</v>
      </c>
      <c r="Z955" s="14" t="s">
        <v>138</v>
      </c>
      <c r="AA955" s="0" t="s">
        <v>138</v>
      </c>
      <c r="AB955" s="14" t="s">
        <v>138</v>
      </c>
      <c r="AD955" s="0" t="s">
        <v>138</v>
      </c>
      <c r="AF955" s="0">
        <v>0</v>
      </c>
      <c r="AG955" s="0">
        <v>0</v>
      </c>
      <c r="AH955" s="0" t="s">
        <v>140</v>
      </c>
      <c r="AI955" s="0" t="s">
        <v>138</v>
      </c>
      <c r="AL955" s="14"/>
      <c r="AN955" s="14"/>
      <c r="AQ955" s="0" t="s">
        <v>130</v>
      </c>
      <c r="AR955" s="0" t="s">
        <v>130</v>
      </c>
      <c r="AS955" s="0" t="s">
        <v>130</v>
      </c>
      <c r="AT955" s="0" t="s">
        <v>130</v>
      </c>
      <c r="AU955" s="0" t="s">
        <v>130</v>
      </c>
      <c r="AV955" s="0" t="s">
        <v>130</v>
      </c>
      <c r="AW955" s="0" t="s">
        <v>130</v>
      </c>
      <c r="AX955" s="0" t="s">
        <v>130</v>
      </c>
      <c r="AY955" s="0" t="s">
        <v>130</v>
      </c>
      <c r="AZ955" s="0" t="s">
        <v>130</v>
      </c>
      <c r="BA955" s="0" t="s">
        <v>130</v>
      </c>
      <c r="BB955" s="0" t="s">
        <v>130</v>
      </c>
      <c r="BC955" s="0" t="s">
        <v>130</v>
      </c>
      <c r="BD955" s="0" t="s">
        <v>130</v>
      </c>
      <c r="BE955" s="0" t="s">
        <v>130</v>
      </c>
      <c r="BF955" s="0" t="s">
        <v>130</v>
      </c>
      <c r="BG955" s="0" t="s">
        <v>130</v>
      </c>
      <c r="BH955" s="0" t="s">
        <v>130</v>
      </c>
      <c r="BI955" s="0" t="s">
        <v>130</v>
      </c>
      <c r="BJ955" s="0" t="s">
        <v>130</v>
      </c>
      <c r="BK955" s="0" t="s">
        <v>130</v>
      </c>
      <c r="BL955" s="0" t="s">
        <v>130</v>
      </c>
      <c r="BM955" s="0" t="s">
        <v>130</v>
      </c>
      <c r="BN955" s="0" t="s">
        <v>130</v>
      </c>
      <c r="BO955" s="0" t="s">
        <v>130</v>
      </c>
      <c r="BP955" s="0" t="s">
        <v>130</v>
      </c>
      <c r="BQ955" s="0" t="s">
        <v>130</v>
      </c>
      <c r="BR955" s="0" t="s">
        <v>130</v>
      </c>
      <c r="BS955" s="0" t="s">
        <v>130</v>
      </c>
      <c r="BT955" s="0" t="s">
        <v>130</v>
      </c>
      <c r="BU955" s="0" t="s">
        <v>130</v>
      </c>
      <c r="BV955" s="0" t="s">
        <v>130</v>
      </c>
      <c r="BW955" s="0" t="s">
        <v>130</v>
      </c>
      <c r="BX955" s="0" t="s">
        <v>130</v>
      </c>
      <c r="BY955" s="0" t="s">
        <v>130</v>
      </c>
      <c r="BZ955" s="0" t="s">
        <v>130</v>
      </c>
      <c r="CA955" s="0" t="s">
        <v>130</v>
      </c>
      <c r="CB955" s="0" t="s">
        <v>130</v>
      </c>
      <c r="CC955" s="0" t="s">
        <v>130</v>
      </c>
      <c r="CD955" s="0" t="s">
        <v>130</v>
      </c>
      <c r="CE955" s="0" t="s">
        <v>130</v>
      </c>
      <c r="CF955" s="0" t="s">
        <v>130</v>
      </c>
      <c r="CG955" s="0" t="s">
        <v>130</v>
      </c>
      <c r="CH955" s="0" t="s">
        <v>130</v>
      </c>
      <c r="CI955" s="0" t="s">
        <v>130</v>
      </c>
      <c r="CJ955" s="0" t="s">
        <v>130</v>
      </c>
      <c r="CK955" s="0" t="s">
        <v>130</v>
      </c>
      <c r="CL955" s="0" t="s">
        <v>130</v>
      </c>
      <c r="CM955" s="0" t="s">
        <v>130</v>
      </c>
      <c r="CN955" s="0" t="s">
        <v>130</v>
      </c>
      <c r="CO955" s="0" t="s">
        <v>130</v>
      </c>
      <c r="CP955" s="0" t="s">
        <v>130</v>
      </c>
      <c r="CQ955" s="0" t="s">
        <v>130</v>
      </c>
      <c r="CR955" s="0" t="s">
        <v>130</v>
      </c>
      <c r="CS955" s="0" t="s">
        <v>130</v>
      </c>
      <c r="CT955" s="0" t="s">
        <v>2921</v>
      </c>
    </row>
    <row r="956">
      <c r="A956" s="14">
        <v>153693</v>
      </c>
      <c r="B956" s="0" t="s">
        <v>2920</v>
      </c>
      <c r="C956" s="16">
        <f>HYPERLINK("https://eosportal.federatedhermes.com/companies/Q29tcGFueQppNDYwMzI=", "Fortescue Ltd")</f>
      </c>
      <c r="D956" s="0" t="s">
        <v>25</v>
      </c>
      <c r="E956" s="0" t="s">
        <v>2922</v>
      </c>
      <c r="F956" s="16">
        <f>HYPERLINK("https://eosportal.federatedhermes.com/engagements/RW5nYWdlbWVudAppMjMyNjg=", "Regnan engagement activity on succession planning")</f>
      </c>
      <c r="G956" s="14" t="s">
        <v>2922</v>
      </c>
      <c r="H956" s="0" t="s">
        <v>130</v>
      </c>
      <c r="I956" s="14" t="s">
        <v>131</v>
      </c>
      <c r="J956" s="0" t="s">
        <v>145</v>
      </c>
      <c r="K956" s="0" t="s">
        <v>164</v>
      </c>
      <c r="L956" s="0" t="s">
        <v>277</v>
      </c>
      <c r="M956" s="0" t="s">
        <v>371</v>
      </c>
      <c r="N956" s="0" t="s">
        <v>372</v>
      </c>
      <c r="O956" s="0" t="s">
        <v>373</v>
      </c>
      <c r="Q956" s="0" t="s">
        <v>130</v>
      </c>
      <c r="R956" s="0" t="s">
        <v>138</v>
      </c>
      <c r="S956" s="14">
        <v>0</v>
      </c>
      <c r="T956" s="0" t="s">
        <v>435</v>
      </c>
      <c r="U956" s="0" t="s">
        <v>138</v>
      </c>
      <c r="V956" s="14" t="s">
        <v>138</v>
      </c>
      <c r="W956" s="0" t="s">
        <v>138</v>
      </c>
      <c r="X956" s="14" t="s">
        <v>138</v>
      </c>
      <c r="Y956" s="0" t="s">
        <v>138</v>
      </c>
      <c r="Z956" s="14" t="s">
        <v>138</v>
      </c>
      <c r="AA956" s="0" t="s">
        <v>138</v>
      </c>
      <c r="AB956" s="14" t="s">
        <v>138</v>
      </c>
      <c r="AD956" s="0" t="s">
        <v>138</v>
      </c>
      <c r="AF956" s="0">
        <v>0</v>
      </c>
      <c r="AG956" s="0">
        <v>0</v>
      </c>
      <c r="AH956" s="0" t="s">
        <v>140</v>
      </c>
      <c r="AI956" s="0" t="s">
        <v>138</v>
      </c>
      <c r="AL956" s="14"/>
      <c r="AN956" s="14"/>
      <c r="AQ956" s="0" t="s">
        <v>130</v>
      </c>
      <c r="AR956" s="0" t="s">
        <v>130</v>
      </c>
      <c r="AS956" s="0" t="s">
        <v>130</v>
      </c>
      <c r="AT956" s="0" t="s">
        <v>130</v>
      </c>
      <c r="AU956" s="0" t="s">
        <v>130</v>
      </c>
      <c r="AV956" s="0" t="s">
        <v>130</v>
      </c>
      <c r="AW956" s="0" t="s">
        <v>130</v>
      </c>
      <c r="AX956" s="0" t="s">
        <v>130</v>
      </c>
      <c r="AY956" s="0" t="s">
        <v>130</v>
      </c>
      <c r="AZ956" s="0" t="s">
        <v>130</v>
      </c>
      <c r="BA956" s="0" t="s">
        <v>130</v>
      </c>
      <c r="BB956" s="0" t="s">
        <v>130</v>
      </c>
      <c r="BC956" s="0" t="s">
        <v>130</v>
      </c>
      <c r="BD956" s="0" t="s">
        <v>130</v>
      </c>
      <c r="BE956" s="0" t="s">
        <v>130</v>
      </c>
      <c r="BF956" s="0" t="s">
        <v>130</v>
      </c>
      <c r="BG956" s="0" t="s">
        <v>130</v>
      </c>
      <c r="BH956" s="0" t="s">
        <v>130</v>
      </c>
      <c r="BI956" s="0" t="s">
        <v>130</v>
      </c>
      <c r="BJ956" s="0" t="s">
        <v>130</v>
      </c>
      <c r="BK956" s="0" t="s">
        <v>130</v>
      </c>
      <c r="BL956" s="0" t="s">
        <v>130</v>
      </c>
      <c r="BM956" s="0" t="s">
        <v>130</v>
      </c>
      <c r="BN956" s="0" t="s">
        <v>130</v>
      </c>
      <c r="BO956" s="0" t="s">
        <v>130</v>
      </c>
      <c r="BP956" s="0" t="s">
        <v>130</v>
      </c>
      <c r="BQ956" s="0" t="s">
        <v>130</v>
      </c>
      <c r="BR956" s="0" t="s">
        <v>130</v>
      </c>
      <c r="BS956" s="0" t="s">
        <v>130</v>
      </c>
      <c r="BT956" s="0" t="s">
        <v>130</v>
      </c>
      <c r="BU956" s="0" t="s">
        <v>130</v>
      </c>
      <c r="BV956" s="0" t="s">
        <v>130</v>
      </c>
      <c r="BW956" s="0" t="s">
        <v>130</v>
      </c>
      <c r="BX956" s="0" t="s">
        <v>130</v>
      </c>
      <c r="BY956" s="0" t="s">
        <v>130</v>
      </c>
      <c r="BZ956" s="0" t="s">
        <v>130</v>
      </c>
      <c r="CA956" s="0" t="s">
        <v>130</v>
      </c>
      <c r="CB956" s="0" t="s">
        <v>130</v>
      </c>
      <c r="CC956" s="0" t="s">
        <v>130</v>
      </c>
      <c r="CD956" s="0" t="s">
        <v>130</v>
      </c>
      <c r="CE956" s="0" t="s">
        <v>130</v>
      </c>
      <c r="CF956" s="0" t="s">
        <v>130</v>
      </c>
      <c r="CG956" s="0" t="s">
        <v>130</v>
      </c>
      <c r="CH956" s="0" t="s">
        <v>130</v>
      </c>
      <c r="CI956" s="0" t="s">
        <v>130</v>
      </c>
      <c r="CJ956" s="0" t="s">
        <v>130</v>
      </c>
      <c r="CK956" s="0" t="s">
        <v>130</v>
      </c>
      <c r="CL956" s="0" t="s">
        <v>130</v>
      </c>
      <c r="CM956" s="0" t="s">
        <v>130</v>
      </c>
      <c r="CN956" s="0" t="s">
        <v>130</v>
      </c>
      <c r="CO956" s="0" t="s">
        <v>130</v>
      </c>
      <c r="CP956" s="0" t="s">
        <v>130</v>
      </c>
      <c r="CQ956" s="0" t="s">
        <v>130</v>
      </c>
      <c r="CR956" s="0" t="s">
        <v>130</v>
      </c>
      <c r="CS956" s="0" t="s">
        <v>130</v>
      </c>
      <c r="CT956" s="0" t="s">
        <v>2923</v>
      </c>
    </row>
    <row r="957">
      <c r="A957" s="14">
        <v>153693</v>
      </c>
      <c r="B957" s="0" t="s">
        <v>2920</v>
      </c>
      <c r="C957" s="16">
        <f>HYPERLINK("https://eosportal.federatedhermes.com/companies/Q29tcGFueQppNDYwMzI=", "Fortescue Ltd")</f>
      </c>
      <c r="D957" s="0" t="s">
        <v>25</v>
      </c>
      <c r="E957" s="0" t="s">
        <v>2924</v>
      </c>
      <c r="F957" s="16">
        <f>HYPERLINK("https://eosportal.federatedhermes.com/engagements/RW5nYWdlbWVudAppMjMyNjk=", "Regnan Engagement Activity on indigenous relations")</f>
      </c>
      <c r="G957" s="14" t="s">
        <v>1002</v>
      </c>
      <c r="H957" s="0" t="s">
        <v>130</v>
      </c>
      <c r="I957" s="14" t="s">
        <v>131</v>
      </c>
      <c r="J957" s="0" t="s">
        <v>153</v>
      </c>
      <c r="K957" s="0" t="s">
        <v>243</v>
      </c>
      <c r="L957" s="0" t="s">
        <v>571</v>
      </c>
      <c r="M957" s="0" t="s">
        <v>371</v>
      </c>
      <c r="N957" s="0" t="s">
        <v>372</v>
      </c>
      <c r="O957" s="0" t="s">
        <v>373</v>
      </c>
      <c r="Q957" s="0" t="s">
        <v>130</v>
      </c>
      <c r="R957" s="0" t="s">
        <v>138</v>
      </c>
      <c r="S957" s="14">
        <v>0</v>
      </c>
      <c r="T957" s="0" t="s">
        <v>920</v>
      </c>
      <c r="U957" s="0" t="s">
        <v>138</v>
      </c>
      <c r="V957" s="14" t="s">
        <v>138</v>
      </c>
      <c r="W957" s="0" t="s">
        <v>138</v>
      </c>
      <c r="X957" s="14" t="s">
        <v>138</v>
      </c>
      <c r="Y957" s="0" t="s">
        <v>138</v>
      </c>
      <c r="Z957" s="14" t="s">
        <v>138</v>
      </c>
      <c r="AA957" s="0" t="s">
        <v>138</v>
      </c>
      <c r="AB957" s="14" t="s">
        <v>138</v>
      </c>
      <c r="AD957" s="0" t="s">
        <v>138</v>
      </c>
      <c r="AF957" s="0">
        <v>0</v>
      </c>
      <c r="AG957" s="0">
        <v>0</v>
      </c>
      <c r="AH957" s="0" t="s">
        <v>140</v>
      </c>
      <c r="AI957" s="0" t="s">
        <v>138</v>
      </c>
      <c r="AL957" s="14"/>
      <c r="AN957" s="14"/>
      <c r="AQ957" s="0" t="s">
        <v>130</v>
      </c>
      <c r="AR957" s="0" t="s">
        <v>130</v>
      </c>
      <c r="AS957" s="0" t="s">
        <v>130</v>
      </c>
      <c r="AT957" s="0" t="s">
        <v>130</v>
      </c>
      <c r="AU957" s="0" t="s">
        <v>130</v>
      </c>
      <c r="AV957" s="0" t="s">
        <v>130</v>
      </c>
      <c r="AW957" s="0" t="s">
        <v>130</v>
      </c>
      <c r="AX957" s="0" t="s">
        <v>130</v>
      </c>
      <c r="AY957" s="0" t="s">
        <v>130</v>
      </c>
      <c r="AZ957" s="0" t="s">
        <v>130</v>
      </c>
      <c r="BA957" s="0" t="s">
        <v>130</v>
      </c>
      <c r="BB957" s="0" t="s">
        <v>130</v>
      </c>
      <c r="BC957" s="0" t="s">
        <v>130</v>
      </c>
      <c r="BD957" s="0" t="s">
        <v>130</v>
      </c>
      <c r="BE957" s="0" t="s">
        <v>130</v>
      </c>
      <c r="BF957" s="0" t="s">
        <v>130</v>
      </c>
      <c r="BG957" s="0" t="s">
        <v>130</v>
      </c>
      <c r="BH957" s="0" t="s">
        <v>130</v>
      </c>
      <c r="BI957" s="0" t="s">
        <v>130</v>
      </c>
      <c r="BJ957" s="0" t="s">
        <v>130</v>
      </c>
      <c r="BK957" s="0" t="s">
        <v>130</v>
      </c>
      <c r="BL957" s="0" t="s">
        <v>130</v>
      </c>
      <c r="BM957" s="0" t="s">
        <v>130</v>
      </c>
      <c r="BN957" s="0" t="s">
        <v>130</v>
      </c>
      <c r="BO957" s="0" t="s">
        <v>130</v>
      </c>
      <c r="BP957" s="0" t="s">
        <v>130</v>
      </c>
      <c r="BQ957" s="0" t="s">
        <v>130</v>
      </c>
      <c r="BR957" s="0" t="s">
        <v>130</v>
      </c>
      <c r="BS957" s="0" t="s">
        <v>130</v>
      </c>
      <c r="BT957" s="0" t="s">
        <v>130</v>
      </c>
      <c r="BU957" s="0" t="s">
        <v>130</v>
      </c>
      <c r="BV957" s="0" t="s">
        <v>130</v>
      </c>
      <c r="BW957" s="0" t="s">
        <v>130</v>
      </c>
      <c r="BX957" s="0" t="s">
        <v>130</v>
      </c>
      <c r="BY957" s="0" t="s">
        <v>130</v>
      </c>
      <c r="BZ957" s="0" t="s">
        <v>130</v>
      </c>
      <c r="CA957" s="0" t="s">
        <v>130</v>
      </c>
      <c r="CB957" s="0" t="s">
        <v>130</v>
      </c>
      <c r="CC957" s="0" t="s">
        <v>130</v>
      </c>
      <c r="CD957" s="0" t="s">
        <v>130</v>
      </c>
      <c r="CE957" s="0" t="s">
        <v>130</v>
      </c>
      <c r="CF957" s="0" t="s">
        <v>130</v>
      </c>
      <c r="CG957" s="0" t="s">
        <v>130</v>
      </c>
      <c r="CH957" s="0" t="s">
        <v>130</v>
      </c>
      <c r="CI957" s="0" t="s">
        <v>130</v>
      </c>
      <c r="CJ957" s="0" t="s">
        <v>130</v>
      </c>
      <c r="CK957" s="0" t="s">
        <v>130</v>
      </c>
      <c r="CL957" s="0" t="s">
        <v>130</v>
      </c>
      <c r="CM957" s="0" t="s">
        <v>130</v>
      </c>
      <c r="CN957" s="0" t="s">
        <v>130</v>
      </c>
      <c r="CO957" s="0" t="s">
        <v>130</v>
      </c>
      <c r="CP957" s="0" t="s">
        <v>130</v>
      </c>
      <c r="CQ957" s="0" t="s">
        <v>130</v>
      </c>
      <c r="CR957" s="0" t="s">
        <v>130</v>
      </c>
      <c r="CS957" s="0" t="s">
        <v>130</v>
      </c>
      <c r="CT957" s="0" t="s">
        <v>2925</v>
      </c>
    </row>
    <row r="958">
      <c r="A958" s="14">
        <v>153693</v>
      </c>
      <c r="B958" s="0" t="s">
        <v>2920</v>
      </c>
      <c r="C958" s="16">
        <f>HYPERLINK("https://eosportal.federatedhermes.com/companies/Q29tcGFueQppNDYwMzI=", "Fortescue Ltd")</f>
      </c>
      <c r="D958" s="0" t="s">
        <v>25</v>
      </c>
      <c r="E958" s="0" t="s">
        <v>2926</v>
      </c>
      <c r="F958" s="16">
        <f>HYPERLINK("https://eosportal.federatedhermes.com/engagements/RW5nYWdlbWVudAppMjMyNzA=", "Regnan engagement activity on Other G – Independence and effective functioning")</f>
      </c>
      <c r="G958" s="14" t="s">
        <v>2926</v>
      </c>
      <c r="H958" s="0" t="s">
        <v>130</v>
      </c>
      <c r="I958" s="14" t="s">
        <v>131</v>
      </c>
      <c r="J958" s="0" t="s">
        <v>145</v>
      </c>
      <c r="K958" s="0" t="s">
        <v>164</v>
      </c>
      <c r="L958" s="0" t="s">
        <v>165</v>
      </c>
      <c r="M958" s="0" t="s">
        <v>371</v>
      </c>
      <c r="N958" s="0" t="s">
        <v>372</v>
      </c>
      <c r="O958" s="0" t="s">
        <v>373</v>
      </c>
      <c r="Q958" s="0" t="s">
        <v>130</v>
      </c>
      <c r="R958" s="0" t="s">
        <v>138</v>
      </c>
      <c r="S958" s="14">
        <v>0</v>
      </c>
      <c r="T958" s="0" t="s">
        <v>181</v>
      </c>
      <c r="U958" s="0" t="s">
        <v>138</v>
      </c>
      <c r="V958" s="14" t="s">
        <v>138</v>
      </c>
      <c r="W958" s="0" t="s">
        <v>138</v>
      </c>
      <c r="X958" s="14" t="s">
        <v>138</v>
      </c>
      <c r="Y958" s="0" t="s">
        <v>138</v>
      </c>
      <c r="Z958" s="14" t="s">
        <v>138</v>
      </c>
      <c r="AA958" s="0" t="s">
        <v>138</v>
      </c>
      <c r="AB958" s="14" t="s">
        <v>138</v>
      </c>
      <c r="AD958" s="0" t="s">
        <v>138</v>
      </c>
      <c r="AF958" s="0">
        <v>0</v>
      </c>
      <c r="AG958" s="0">
        <v>0</v>
      </c>
      <c r="AH958" s="0" t="s">
        <v>140</v>
      </c>
      <c r="AI958" s="0" t="s">
        <v>138</v>
      </c>
      <c r="AL958" s="14"/>
      <c r="AN958" s="14"/>
      <c r="AQ958" s="0" t="s">
        <v>130</v>
      </c>
      <c r="AR958" s="0" t="s">
        <v>130</v>
      </c>
      <c r="AS958" s="0" t="s">
        <v>130</v>
      </c>
      <c r="AT958" s="0" t="s">
        <v>130</v>
      </c>
      <c r="AU958" s="0" t="s">
        <v>130</v>
      </c>
      <c r="AV958" s="0" t="s">
        <v>130</v>
      </c>
      <c r="AW958" s="0" t="s">
        <v>130</v>
      </c>
      <c r="AX958" s="0" t="s">
        <v>130</v>
      </c>
      <c r="AY958" s="0" t="s">
        <v>130</v>
      </c>
      <c r="AZ958" s="0" t="s">
        <v>130</v>
      </c>
      <c r="BA958" s="0" t="s">
        <v>130</v>
      </c>
      <c r="BB958" s="0" t="s">
        <v>130</v>
      </c>
      <c r="BC958" s="0" t="s">
        <v>130</v>
      </c>
      <c r="BD958" s="0" t="s">
        <v>130</v>
      </c>
      <c r="BE958" s="0" t="s">
        <v>130</v>
      </c>
      <c r="BF958" s="0" t="s">
        <v>130</v>
      </c>
      <c r="BG958" s="0" t="s">
        <v>130</v>
      </c>
      <c r="BH958" s="0" t="s">
        <v>130</v>
      </c>
      <c r="BI958" s="0" t="s">
        <v>130</v>
      </c>
      <c r="BJ958" s="0" t="s">
        <v>130</v>
      </c>
      <c r="BK958" s="0" t="s">
        <v>130</v>
      </c>
      <c r="BL958" s="0" t="s">
        <v>130</v>
      </c>
      <c r="BM958" s="0" t="s">
        <v>130</v>
      </c>
      <c r="BN958" s="0" t="s">
        <v>130</v>
      </c>
      <c r="BO958" s="0" t="s">
        <v>130</v>
      </c>
      <c r="BP958" s="0" t="s">
        <v>130</v>
      </c>
      <c r="BQ958" s="0" t="s">
        <v>130</v>
      </c>
      <c r="BR958" s="0" t="s">
        <v>130</v>
      </c>
      <c r="BS958" s="0" t="s">
        <v>130</v>
      </c>
      <c r="BT958" s="0" t="s">
        <v>130</v>
      </c>
      <c r="BU958" s="0" t="s">
        <v>130</v>
      </c>
      <c r="BV958" s="0" t="s">
        <v>130</v>
      </c>
      <c r="BW958" s="0" t="s">
        <v>130</v>
      </c>
      <c r="BX958" s="0" t="s">
        <v>130</v>
      </c>
      <c r="BY958" s="0" t="s">
        <v>130</v>
      </c>
      <c r="BZ958" s="0" t="s">
        <v>130</v>
      </c>
      <c r="CA958" s="0" t="s">
        <v>130</v>
      </c>
      <c r="CB958" s="0" t="s">
        <v>130</v>
      </c>
      <c r="CC958" s="0" t="s">
        <v>130</v>
      </c>
      <c r="CD958" s="0" t="s">
        <v>130</v>
      </c>
      <c r="CE958" s="0" t="s">
        <v>130</v>
      </c>
      <c r="CF958" s="0" t="s">
        <v>130</v>
      </c>
      <c r="CG958" s="0" t="s">
        <v>130</v>
      </c>
      <c r="CH958" s="0" t="s">
        <v>130</v>
      </c>
      <c r="CI958" s="0" t="s">
        <v>130</v>
      </c>
      <c r="CJ958" s="0" t="s">
        <v>130</v>
      </c>
      <c r="CK958" s="0" t="s">
        <v>130</v>
      </c>
      <c r="CL958" s="0" t="s">
        <v>130</v>
      </c>
      <c r="CM958" s="0" t="s">
        <v>130</v>
      </c>
      <c r="CN958" s="0" t="s">
        <v>130</v>
      </c>
      <c r="CO958" s="0" t="s">
        <v>130</v>
      </c>
      <c r="CP958" s="0" t="s">
        <v>130</v>
      </c>
      <c r="CQ958" s="0" t="s">
        <v>130</v>
      </c>
      <c r="CR958" s="0" t="s">
        <v>130</v>
      </c>
      <c r="CS958" s="0" t="s">
        <v>130</v>
      </c>
      <c r="CT958" s="0" t="s">
        <v>2927</v>
      </c>
    </row>
    <row r="959">
      <c r="A959" s="14">
        <v>153693</v>
      </c>
      <c r="B959" s="0" t="s">
        <v>2920</v>
      </c>
      <c r="C959" s="16">
        <f>HYPERLINK("https://eosportal.federatedhermes.com/companies/Q29tcGFueQppNDYwMzI=", "Fortescue Ltd")</f>
      </c>
      <c r="D959" s="0" t="s">
        <v>25</v>
      </c>
      <c r="E959" s="0" t="s">
        <v>2928</v>
      </c>
      <c r="F959" s="16">
        <f>HYPERLINK("https://eosportal.federatedhermes.com/engagements/RW5nYWdlbWVudAppMjMyNzE=", "Regnan engagement activity on Remuneration")</f>
      </c>
      <c r="G959" s="14" t="s">
        <v>2928</v>
      </c>
      <c r="H959" s="0" t="s">
        <v>130</v>
      </c>
      <c r="I959" s="14" t="s">
        <v>131</v>
      </c>
      <c r="J959" s="0" t="s">
        <v>145</v>
      </c>
      <c r="K959" s="0" t="s">
        <v>146</v>
      </c>
      <c r="L959" s="0" t="s">
        <v>147</v>
      </c>
      <c r="M959" s="0" t="s">
        <v>371</v>
      </c>
      <c r="N959" s="0" t="s">
        <v>372</v>
      </c>
      <c r="O959" s="0" t="s">
        <v>373</v>
      </c>
      <c r="Q959" s="0" t="s">
        <v>130</v>
      </c>
      <c r="R959" s="0" t="s">
        <v>138</v>
      </c>
      <c r="S959" s="14">
        <v>0</v>
      </c>
      <c r="T959" s="0" t="s">
        <v>181</v>
      </c>
      <c r="U959" s="0" t="s">
        <v>138</v>
      </c>
      <c r="V959" s="14" t="s">
        <v>138</v>
      </c>
      <c r="W959" s="0" t="s">
        <v>138</v>
      </c>
      <c r="X959" s="14" t="s">
        <v>138</v>
      </c>
      <c r="Y959" s="0" t="s">
        <v>138</v>
      </c>
      <c r="Z959" s="14" t="s">
        <v>138</v>
      </c>
      <c r="AA959" s="0" t="s">
        <v>138</v>
      </c>
      <c r="AB959" s="14" t="s">
        <v>138</v>
      </c>
      <c r="AD959" s="0" t="s">
        <v>138</v>
      </c>
      <c r="AF959" s="0">
        <v>0</v>
      </c>
      <c r="AG959" s="0">
        <v>0</v>
      </c>
      <c r="AH959" s="0" t="s">
        <v>140</v>
      </c>
      <c r="AI959" s="0" t="s">
        <v>138</v>
      </c>
      <c r="AL959" s="14"/>
      <c r="AN959" s="14"/>
      <c r="AQ959" s="0" t="s">
        <v>130</v>
      </c>
      <c r="AR959" s="0" t="s">
        <v>130</v>
      </c>
      <c r="AS959" s="0" t="s">
        <v>130</v>
      </c>
      <c r="AT959" s="0" t="s">
        <v>130</v>
      </c>
      <c r="AU959" s="0" t="s">
        <v>130</v>
      </c>
      <c r="AV959" s="0" t="s">
        <v>130</v>
      </c>
      <c r="AW959" s="0" t="s">
        <v>130</v>
      </c>
      <c r="AX959" s="0" t="s">
        <v>130</v>
      </c>
      <c r="AY959" s="0" t="s">
        <v>130</v>
      </c>
      <c r="AZ959" s="0" t="s">
        <v>130</v>
      </c>
      <c r="BA959" s="0" t="s">
        <v>130</v>
      </c>
      <c r="BB959" s="0" t="s">
        <v>130</v>
      </c>
      <c r="BC959" s="0" t="s">
        <v>130</v>
      </c>
      <c r="BD959" s="0" t="s">
        <v>130</v>
      </c>
      <c r="BE959" s="0" t="s">
        <v>130</v>
      </c>
      <c r="BF959" s="0" t="s">
        <v>130</v>
      </c>
      <c r="BG959" s="0" t="s">
        <v>130</v>
      </c>
      <c r="BH959" s="0" t="s">
        <v>130</v>
      </c>
      <c r="BI959" s="0" t="s">
        <v>130</v>
      </c>
      <c r="BJ959" s="0" t="s">
        <v>130</v>
      </c>
      <c r="BK959" s="0" t="s">
        <v>130</v>
      </c>
      <c r="BL959" s="0" t="s">
        <v>130</v>
      </c>
      <c r="BM959" s="0" t="s">
        <v>130</v>
      </c>
      <c r="BN959" s="0" t="s">
        <v>130</v>
      </c>
      <c r="BO959" s="0" t="s">
        <v>130</v>
      </c>
      <c r="BP959" s="0" t="s">
        <v>130</v>
      </c>
      <c r="BQ959" s="0" t="s">
        <v>130</v>
      </c>
      <c r="BR959" s="0" t="s">
        <v>130</v>
      </c>
      <c r="BS959" s="0" t="s">
        <v>130</v>
      </c>
      <c r="BT959" s="0" t="s">
        <v>130</v>
      </c>
      <c r="BU959" s="0" t="s">
        <v>130</v>
      </c>
      <c r="BV959" s="0" t="s">
        <v>130</v>
      </c>
      <c r="BW959" s="0" t="s">
        <v>130</v>
      </c>
      <c r="BX959" s="0" t="s">
        <v>130</v>
      </c>
      <c r="BY959" s="0" t="s">
        <v>130</v>
      </c>
      <c r="BZ959" s="0" t="s">
        <v>130</v>
      </c>
      <c r="CA959" s="0" t="s">
        <v>130</v>
      </c>
      <c r="CB959" s="0" t="s">
        <v>130</v>
      </c>
      <c r="CC959" s="0" t="s">
        <v>130</v>
      </c>
      <c r="CD959" s="0" t="s">
        <v>130</v>
      </c>
      <c r="CE959" s="0" t="s">
        <v>130</v>
      </c>
      <c r="CF959" s="0" t="s">
        <v>130</v>
      </c>
      <c r="CG959" s="0" t="s">
        <v>130</v>
      </c>
      <c r="CH959" s="0" t="s">
        <v>130</v>
      </c>
      <c r="CI959" s="0" t="s">
        <v>130</v>
      </c>
      <c r="CJ959" s="0" t="s">
        <v>130</v>
      </c>
      <c r="CK959" s="0" t="s">
        <v>130</v>
      </c>
      <c r="CL959" s="0" t="s">
        <v>130</v>
      </c>
      <c r="CM959" s="0" t="s">
        <v>130</v>
      </c>
      <c r="CN959" s="0" t="s">
        <v>130</v>
      </c>
      <c r="CO959" s="0" t="s">
        <v>130</v>
      </c>
      <c r="CP959" s="0" t="s">
        <v>130</v>
      </c>
      <c r="CQ959" s="0" t="s">
        <v>130</v>
      </c>
      <c r="CR959" s="0" t="s">
        <v>130</v>
      </c>
      <c r="CS959" s="0" t="s">
        <v>130</v>
      </c>
      <c r="CT959" s="0" t="s">
        <v>2929</v>
      </c>
    </row>
    <row r="960">
      <c r="A960" s="14">
        <v>153693</v>
      </c>
      <c r="B960" s="0" t="s">
        <v>2920</v>
      </c>
      <c r="C960" s="16">
        <f>HYPERLINK("https://eosportal.federatedhermes.com/companies/Q29tcGFueQppNDYwMzI=", "Fortescue Ltd")</f>
      </c>
      <c r="D960" s="0" t="s">
        <v>25</v>
      </c>
      <c r="E960" s="0" t="s">
        <v>2930</v>
      </c>
      <c r="F960" s="16">
        <f>HYPERLINK("https://eosportal.federatedhermes.com/engagements/RW5nYWdlbWVudAppMjMyNzI=", "Regnan engagement activity on Workplace Health &amp; Safety")</f>
      </c>
      <c r="G960" s="14" t="s">
        <v>2930</v>
      </c>
      <c r="H960" s="0" t="s">
        <v>130</v>
      </c>
      <c r="I960" s="14" t="s">
        <v>131</v>
      </c>
      <c r="J960" s="0" t="s">
        <v>153</v>
      </c>
      <c r="K960" s="0" t="s">
        <v>154</v>
      </c>
      <c r="L960" s="0" t="s">
        <v>306</v>
      </c>
      <c r="M960" s="0" t="s">
        <v>371</v>
      </c>
      <c r="N960" s="0" t="s">
        <v>372</v>
      </c>
      <c r="O960" s="0" t="s">
        <v>373</v>
      </c>
      <c r="Q960" s="0" t="s">
        <v>130</v>
      </c>
      <c r="R960" s="0" t="s">
        <v>138</v>
      </c>
      <c r="S960" s="14">
        <v>0</v>
      </c>
      <c r="T960" s="0" t="s">
        <v>181</v>
      </c>
      <c r="U960" s="0" t="s">
        <v>138</v>
      </c>
      <c r="V960" s="14" t="s">
        <v>138</v>
      </c>
      <c r="W960" s="0" t="s">
        <v>138</v>
      </c>
      <c r="X960" s="14" t="s">
        <v>138</v>
      </c>
      <c r="Y960" s="0" t="s">
        <v>138</v>
      </c>
      <c r="Z960" s="14" t="s">
        <v>138</v>
      </c>
      <c r="AA960" s="0" t="s">
        <v>138</v>
      </c>
      <c r="AB960" s="14" t="s">
        <v>138</v>
      </c>
      <c r="AD960" s="0" t="s">
        <v>138</v>
      </c>
      <c r="AF960" s="0">
        <v>0</v>
      </c>
      <c r="AG960" s="0">
        <v>0</v>
      </c>
      <c r="AH960" s="0" t="s">
        <v>140</v>
      </c>
      <c r="AI960" s="0" t="s">
        <v>138</v>
      </c>
      <c r="AL960" s="14"/>
      <c r="AN960" s="14"/>
      <c r="AQ960" s="0" t="s">
        <v>130</v>
      </c>
      <c r="AR960" s="0" t="s">
        <v>130</v>
      </c>
      <c r="AS960" s="0" t="s">
        <v>130</v>
      </c>
      <c r="AT960" s="0" t="s">
        <v>130</v>
      </c>
      <c r="AU960" s="0" t="s">
        <v>130</v>
      </c>
      <c r="AV960" s="0" t="s">
        <v>130</v>
      </c>
      <c r="AW960" s="0" t="s">
        <v>130</v>
      </c>
      <c r="AX960" s="0" t="s">
        <v>130</v>
      </c>
      <c r="AY960" s="0" t="s">
        <v>130</v>
      </c>
      <c r="AZ960" s="0" t="s">
        <v>130</v>
      </c>
      <c r="BA960" s="0" t="s">
        <v>130</v>
      </c>
      <c r="BB960" s="0" t="s">
        <v>130</v>
      </c>
      <c r="BC960" s="0" t="s">
        <v>130</v>
      </c>
      <c r="BD960" s="0" t="s">
        <v>130</v>
      </c>
      <c r="BE960" s="0" t="s">
        <v>130</v>
      </c>
      <c r="BF960" s="0" t="s">
        <v>130</v>
      </c>
      <c r="BG960" s="0" t="s">
        <v>130</v>
      </c>
      <c r="BH960" s="0" t="s">
        <v>130</v>
      </c>
      <c r="BI960" s="0" t="s">
        <v>130</v>
      </c>
      <c r="BJ960" s="0" t="s">
        <v>130</v>
      </c>
      <c r="BK960" s="0" t="s">
        <v>130</v>
      </c>
      <c r="BL960" s="0" t="s">
        <v>130</v>
      </c>
      <c r="BM960" s="0" t="s">
        <v>130</v>
      </c>
      <c r="BN960" s="0" t="s">
        <v>130</v>
      </c>
      <c r="BO960" s="0" t="s">
        <v>130</v>
      </c>
      <c r="BP960" s="0" t="s">
        <v>130</v>
      </c>
      <c r="BQ960" s="0" t="s">
        <v>130</v>
      </c>
      <c r="BR960" s="0" t="s">
        <v>130</v>
      </c>
      <c r="BS960" s="0" t="s">
        <v>130</v>
      </c>
      <c r="BT960" s="0" t="s">
        <v>130</v>
      </c>
      <c r="BU960" s="0" t="s">
        <v>130</v>
      </c>
      <c r="BV960" s="0" t="s">
        <v>130</v>
      </c>
      <c r="BW960" s="0" t="s">
        <v>130</v>
      </c>
      <c r="BX960" s="0" t="s">
        <v>130</v>
      </c>
      <c r="BY960" s="0" t="s">
        <v>130</v>
      </c>
      <c r="BZ960" s="0" t="s">
        <v>130</v>
      </c>
      <c r="CA960" s="0" t="s">
        <v>130</v>
      </c>
      <c r="CB960" s="0" t="s">
        <v>130</v>
      </c>
      <c r="CC960" s="0" t="s">
        <v>130</v>
      </c>
      <c r="CD960" s="0" t="s">
        <v>130</v>
      </c>
      <c r="CE960" s="0" t="s">
        <v>130</v>
      </c>
      <c r="CF960" s="0" t="s">
        <v>130</v>
      </c>
      <c r="CG960" s="0" t="s">
        <v>130</v>
      </c>
      <c r="CH960" s="0" t="s">
        <v>130</v>
      </c>
      <c r="CI960" s="0" t="s">
        <v>130</v>
      </c>
      <c r="CJ960" s="0" t="s">
        <v>130</v>
      </c>
      <c r="CK960" s="0" t="s">
        <v>130</v>
      </c>
      <c r="CL960" s="0" t="s">
        <v>130</v>
      </c>
      <c r="CM960" s="0" t="s">
        <v>130</v>
      </c>
      <c r="CN960" s="0" t="s">
        <v>130</v>
      </c>
      <c r="CO960" s="0" t="s">
        <v>130</v>
      </c>
      <c r="CP960" s="0" t="s">
        <v>130</v>
      </c>
      <c r="CQ960" s="0" t="s">
        <v>130</v>
      </c>
      <c r="CR960" s="0" t="s">
        <v>130</v>
      </c>
      <c r="CS960" s="0" t="s">
        <v>130</v>
      </c>
      <c r="CT960" s="0" t="s">
        <v>2931</v>
      </c>
    </row>
    <row r="961">
      <c r="A961" s="14">
        <v>153693</v>
      </c>
      <c r="B961" s="0" t="s">
        <v>2920</v>
      </c>
      <c r="C961" s="16">
        <f>HYPERLINK("https://eosportal.federatedhermes.com/companies/Q29tcGFueQppNDYwMzI=", "Fortescue Ltd")</f>
      </c>
      <c r="D961" s="0" t="s">
        <v>25</v>
      </c>
      <c r="E961" s="0" t="s">
        <v>2932</v>
      </c>
      <c r="F961" s="16">
        <f>HYPERLINK("https://eosportal.federatedhermes.com/engagements/RW5nYWdlbWVudAppMjMyNzM=", "Regnan engagement activity on Board Structure")</f>
      </c>
      <c r="G961" s="14" t="s">
        <v>2932</v>
      </c>
      <c r="H961" s="0" t="s">
        <v>130</v>
      </c>
      <c r="I961" s="14" t="s">
        <v>131</v>
      </c>
      <c r="J961" s="0" t="s">
        <v>145</v>
      </c>
      <c r="K961" s="0" t="s">
        <v>164</v>
      </c>
      <c r="L961" s="0" t="s">
        <v>165</v>
      </c>
      <c r="M961" s="0" t="s">
        <v>371</v>
      </c>
      <c r="N961" s="0" t="s">
        <v>372</v>
      </c>
      <c r="O961" s="0" t="s">
        <v>373</v>
      </c>
      <c r="Q961" s="0" t="s">
        <v>130</v>
      </c>
      <c r="R961" s="0" t="s">
        <v>138</v>
      </c>
      <c r="S961" s="14">
        <v>0</v>
      </c>
      <c r="T961" s="0" t="s">
        <v>181</v>
      </c>
      <c r="U961" s="0" t="s">
        <v>138</v>
      </c>
      <c r="V961" s="14" t="s">
        <v>138</v>
      </c>
      <c r="W961" s="0" t="s">
        <v>138</v>
      </c>
      <c r="X961" s="14" t="s">
        <v>138</v>
      </c>
      <c r="Y961" s="0" t="s">
        <v>138</v>
      </c>
      <c r="Z961" s="14" t="s">
        <v>138</v>
      </c>
      <c r="AA961" s="0" t="s">
        <v>138</v>
      </c>
      <c r="AB961" s="14" t="s">
        <v>138</v>
      </c>
      <c r="AD961" s="0" t="s">
        <v>138</v>
      </c>
      <c r="AF961" s="0">
        <v>0</v>
      </c>
      <c r="AG961" s="0">
        <v>0</v>
      </c>
      <c r="AH961" s="0" t="s">
        <v>140</v>
      </c>
      <c r="AI961" s="0" t="s">
        <v>138</v>
      </c>
      <c r="AL961" s="14"/>
      <c r="AN961" s="14"/>
      <c r="AQ961" s="0" t="s">
        <v>130</v>
      </c>
      <c r="AR961" s="0" t="s">
        <v>130</v>
      </c>
      <c r="AS961" s="0" t="s">
        <v>130</v>
      </c>
      <c r="AT961" s="0" t="s">
        <v>130</v>
      </c>
      <c r="AU961" s="0" t="s">
        <v>130</v>
      </c>
      <c r="AV961" s="0" t="s">
        <v>130</v>
      </c>
      <c r="AW961" s="0" t="s">
        <v>130</v>
      </c>
      <c r="AX961" s="0" t="s">
        <v>130</v>
      </c>
      <c r="AY961" s="0" t="s">
        <v>130</v>
      </c>
      <c r="AZ961" s="0" t="s">
        <v>130</v>
      </c>
      <c r="BA961" s="0" t="s">
        <v>130</v>
      </c>
      <c r="BB961" s="0" t="s">
        <v>130</v>
      </c>
      <c r="BC961" s="0" t="s">
        <v>130</v>
      </c>
      <c r="BD961" s="0" t="s">
        <v>130</v>
      </c>
      <c r="BE961" s="0" t="s">
        <v>130</v>
      </c>
      <c r="BF961" s="0" t="s">
        <v>130</v>
      </c>
      <c r="BG961" s="0" t="s">
        <v>130</v>
      </c>
      <c r="BH961" s="0" t="s">
        <v>130</v>
      </c>
      <c r="BI961" s="0" t="s">
        <v>130</v>
      </c>
      <c r="BJ961" s="0" t="s">
        <v>130</v>
      </c>
      <c r="BK961" s="0" t="s">
        <v>130</v>
      </c>
      <c r="BL961" s="0" t="s">
        <v>130</v>
      </c>
      <c r="BM961" s="0" t="s">
        <v>130</v>
      </c>
      <c r="BN961" s="0" t="s">
        <v>130</v>
      </c>
      <c r="BO961" s="0" t="s">
        <v>130</v>
      </c>
      <c r="BP961" s="0" t="s">
        <v>130</v>
      </c>
      <c r="BQ961" s="0" t="s">
        <v>130</v>
      </c>
      <c r="BR961" s="0" t="s">
        <v>130</v>
      </c>
      <c r="BS961" s="0" t="s">
        <v>130</v>
      </c>
      <c r="BT961" s="0" t="s">
        <v>130</v>
      </c>
      <c r="BU961" s="0" t="s">
        <v>130</v>
      </c>
      <c r="BV961" s="0" t="s">
        <v>130</v>
      </c>
      <c r="BW961" s="0" t="s">
        <v>130</v>
      </c>
      <c r="BX961" s="0" t="s">
        <v>130</v>
      </c>
      <c r="BY961" s="0" t="s">
        <v>130</v>
      </c>
      <c r="BZ961" s="0" t="s">
        <v>130</v>
      </c>
      <c r="CA961" s="0" t="s">
        <v>130</v>
      </c>
      <c r="CB961" s="0" t="s">
        <v>130</v>
      </c>
      <c r="CC961" s="0" t="s">
        <v>130</v>
      </c>
      <c r="CD961" s="0" t="s">
        <v>130</v>
      </c>
      <c r="CE961" s="0" t="s">
        <v>130</v>
      </c>
      <c r="CF961" s="0" t="s">
        <v>130</v>
      </c>
      <c r="CG961" s="0" t="s">
        <v>130</v>
      </c>
      <c r="CH961" s="0" t="s">
        <v>130</v>
      </c>
      <c r="CI961" s="0" t="s">
        <v>130</v>
      </c>
      <c r="CJ961" s="0" t="s">
        <v>130</v>
      </c>
      <c r="CK961" s="0" t="s">
        <v>130</v>
      </c>
      <c r="CL961" s="0" t="s">
        <v>130</v>
      </c>
      <c r="CM961" s="0" t="s">
        <v>130</v>
      </c>
      <c r="CN961" s="0" t="s">
        <v>130</v>
      </c>
      <c r="CO961" s="0" t="s">
        <v>130</v>
      </c>
      <c r="CP961" s="0" t="s">
        <v>130</v>
      </c>
      <c r="CQ961" s="0" t="s">
        <v>130</v>
      </c>
      <c r="CR961" s="0" t="s">
        <v>130</v>
      </c>
      <c r="CS961" s="0" t="s">
        <v>130</v>
      </c>
      <c r="CT961" s="0" t="s">
        <v>2933</v>
      </c>
    </row>
    <row r="962">
      <c r="A962" s="14">
        <v>153693</v>
      </c>
      <c r="B962" s="0" t="s">
        <v>2920</v>
      </c>
      <c r="C962" s="16">
        <f>HYPERLINK("https://eosportal.federatedhermes.com/companies/Q29tcGFueQppNDYwMzI=", "Fortescue Ltd")</f>
      </c>
      <c r="D962" s="0" t="s">
        <v>25</v>
      </c>
      <c r="E962" s="0" t="s">
        <v>1766</v>
      </c>
      <c r="F962" s="16">
        <f>HYPERLINK("https://eosportal.federatedhermes.com/engagements/RW5nYWdlbWVudAppMjMyNzQ=", "Regnan engagement activity on climate change")</f>
      </c>
      <c r="G962" s="14" t="s">
        <v>1766</v>
      </c>
      <c r="H962" s="0" t="s">
        <v>130</v>
      </c>
      <c r="I962" s="14" t="s">
        <v>131</v>
      </c>
      <c r="J962" s="0" t="s">
        <v>197</v>
      </c>
      <c r="K962" s="0" t="s">
        <v>198</v>
      </c>
      <c r="L962" s="0" t="s">
        <v>216</v>
      </c>
      <c r="M962" s="0" t="s">
        <v>371</v>
      </c>
      <c r="N962" s="0" t="s">
        <v>372</v>
      </c>
      <c r="O962" s="0" t="s">
        <v>373</v>
      </c>
      <c r="Q962" s="0" t="s">
        <v>130</v>
      </c>
      <c r="R962" s="0" t="s">
        <v>138</v>
      </c>
      <c r="S962" s="14">
        <v>0</v>
      </c>
      <c r="T962" s="0" t="s">
        <v>435</v>
      </c>
      <c r="U962" s="0" t="s">
        <v>138</v>
      </c>
      <c r="V962" s="14" t="s">
        <v>138</v>
      </c>
      <c r="W962" s="0" t="s">
        <v>138</v>
      </c>
      <c r="X962" s="14" t="s">
        <v>138</v>
      </c>
      <c r="Y962" s="0" t="s">
        <v>138</v>
      </c>
      <c r="Z962" s="14" t="s">
        <v>138</v>
      </c>
      <c r="AA962" s="0" t="s">
        <v>138</v>
      </c>
      <c r="AB962" s="14" t="s">
        <v>138</v>
      </c>
      <c r="AD962" s="0" t="s">
        <v>138</v>
      </c>
      <c r="AF962" s="0">
        <v>0</v>
      </c>
      <c r="AG962" s="0">
        <v>0</v>
      </c>
      <c r="AH962" s="0" t="s">
        <v>140</v>
      </c>
      <c r="AI962" s="0" t="s">
        <v>138</v>
      </c>
      <c r="AL962" s="14"/>
      <c r="AN962" s="14"/>
      <c r="AQ962" s="0" t="s">
        <v>130</v>
      </c>
      <c r="AR962" s="0" t="s">
        <v>130</v>
      </c>
      <c r="AS962" s="0" t="s">
        <v>130</v>
      </c>
      <c r="AT962" s="0" t="s">
        <v>130</v>
      </c>
      <c r="AU962" s="0" t="s">
        <v>130</v>
      </c>
      <c r="AV962" s="0" t="s">
        <v>130</v>
      </c>
      <c r="AW962" s="0" t="s">
        <v>141</v>
      </c>
      <c r="AX962" s="0" t="s">
        <v>130</v>
      </c>
      <c r="AY962" s="0" t="s">
        <v>130</v>
      </c>
      <c r="AZ962" s="0" t="s">
        <v>130</v>
      </c>
      <c r="BA962" s="0" t="s">
        <v>130</v>
      </c>
      <c r="BB962" s="0" t="s">
        <v>141</v>
      </c>
      <c r="BC962" s="0" t="s">
        <v>141</v>
      </c>
      <c r="BD962" s="0" t="s">
        <v>130</v>
      </c>
      <c r="BE962" s="0" t="s">
        <v>130</v>
      </c>
      <c r="BF962" s="0" t="s">
        <v>130</v>
      </c>
      <c r="BG962" s="0" t="s">
        <v>130</v>
      </c>
      <c r="BH962" s="0" t="s">
        <v>141</v>
      </c>
      <c r="BI962" s="0" t="s">
        <v>141</v>
      </c>
      <c r="BJ962" s="0" t="s">
        <v>141</v>
      </c>
      <c r="BK962" s="0" t="s">
        <v>130</v>
      </c>
      <c r="BL962" s="0" t="s">
        <v>130</v>
      </c>
      <c r="BM962" s="0" t="s">
        <v>130</v>
      </c>
      <c r="BN962" s="0" t="s">
        <v>130</v>
      </c>
      <c r="BO962" s="0" t="s">
        <v>130</v>
      </c>
      <c r="BP962" s="0" t="s">
        <v>130</v>
      </c>
      <c r="BQ962" s="0" t="s">
        <v>130</v>
      </c>
      <c r="BR962" s="0" t="s">
        <v>130</v>
      </c>
      <c r="BS962" s="0" t="s">
        <v>130</v>
      </c>
      <c r="BT962" s="0" t="s">
        <v>130</v>
      </c>
      <c r="BU962" s="0" t="s">
        <v>130</v>
      </c>
      <c r="BV962" s="0" t="s">
        <v>141</v>
      </c>
      <c r="BW962" s="0" t="s">
        <v>141</v>
      </c>
      <c r="BX962" s="0" t="s">
        <v>130</v>
      </c>
      <c r="BY962" s="0" t="s">
        <v>130</v>
      </c>
      <c r="BZ962" s="0" t="s">
        <v>130</v>
      </c>
      <c r="CA962" s="0" t="s">
        <v>130</v>
      </c>
      <c r="CB962" s="0" t="s">
        <v>130</v>
      </c>
      <c r="CC962" s="0" t="s">
        <v>130</v>
      </c>
      <c r="CD962" s="0" t="s">
        <v>130</v>
      </c>
      <c r="CE962" s="0" t="s">
        <v>130</v>
      </c>
      <c r="CF962" s="0" t="s">
        <v>130</v>
      </c>
      <c r="CG962" s="0" t="s">
        <v>130</v>
      </c>
      <c r="CH962" s="0" t="s">
        <v>130</v>
      </c>
      <c r="CI962" s="0" t="s">
        <v>130</v>
      </c>
      <c r="CJ962" s="0" t="s">
        <v>130</v>
      </c>
      <c r="CK962" s="0" t="s">
        <v>130</v>
      </c>
      <c r="CL962" s="0" t="s">
        <v>130</v>
      </c>
      <c r="CM962" s="0" t="s">
        <v>130</v>
      </c>
      <c r="CN962" s="0" t="s">
        <v>130</v>
      </c>
      <c r="CO962" s="0" t="s">
        <v>130</v>
      </c>
      <c r="CP962" s="0" t="s">
        <v>130</v>
      </c>
      <c r="CQ962" s="0" t="s">
        <v>130</v>
      </c>
      <c r="CR962" s="0" t="s">
        <v>130</v>
      </c>
      <c r="CS962" s="0" t="s">
        <v>130</v>
      </c>
      <c r="CT962" s="0" t="s">
        <v>2934</v>
      </c>
    </row>
    <row r="963">
      <c r="A963" s="14">
        <v>153693</v>
      </c>
      <c r="B963" s="0" t="s">
        <v>2920</v>
      </c>
      <c r="C963" s="16">
        <f>HYPERLINK("https://eosportal.federatedhermes.com/companies/Q29tcGFueQppNDYwMzI=", "Fortescue Ltd")</f>
      </c>
      <c r="D963" s="0" t="s">
        <v>25</v>
      </c>
      <c r="E963" s="0" t="s">
        <v>2935</v>
      </c>
      <c r="F963" s="16">
        <f>HYPERLINK("https://eosportal.federatedhermes.com/engagements/RW5nYWdlbWVudAppMjMyNzU=", "Regnan engagement activity on ESG Disclosure")</f>
      </c>
      <c r="G963" s="14" t="s">
        <v>2935</v>
      </c>
      <c r="H963" s="0" t="s">
        <v>130</v>
      </c>
      <c r="I963" s="14" t="s">
        <v>131</v>
      </c>
      <c r="J963" s="0" t="s">
        <v>132</v>
      </c>
      <c r="K963" s="0" t="s">
        <v>170</v>
      </c>
      <c r="L963" s="0" t="s">
        <v>171</v>
      </c>
      <c r="M963" s="0" t="s">
        <v>371</v>
      </c>
      <c r="N963" s="0" t="s">
        <v>372</v>
      </c>
      <c r="O963" s="0" t="s">
        <v>373</v>
      </c>
      <c r="Q963" s="0" t="s">
        <v>130</v>
      </c>
      <c r="R963" s="0" t="s">
        <v>138</v>
      </c>
      <c r="S963" s="14">
        <v>0</v>
      </c>
      <c r="T963" s="0" t="s">
        <v>181</v>
      </c>
      <c r="U963" s="0" t="s">
        <v>138</v>
      </c>
      <c r="V963" s="14" t="s">
        <v>138</v>
      </c>
      <c r="W963" s="0" t="s">
        <v>138</v>
      </c>
      <c r="X963" s="14" t="s">
        <v>138</v>
      </c>
      <c r="Y963" s="0" t="s">
        <v>138</v>
      </c>
      <c r="Z963" s="14" t="s">
        <v>138</v>
      </c>
      <c r="AA963" s="0" t="s">
        <v>138</v>
      </c>
      <c r="AB963" s="14" t="s">
        <v>138</v>
      </c>
      <c r="AD963" s="0" t="s">
        <v>138</v>
      </c>
      <c r="AF963" s="0">
        <v>0</v>
      </c>
      <c r="AG963" s="0">
        <v>0</v>
      </c>
      <c r="AH963" s="0" t="s">
        <v>140</v>
      </c>
      <c r="AI963" s="0" t="s">
        <v>138</v>
      </c>
      <c r="AL963" s="14"/>
      <c r="AN963" s="14"/>
      <c r="AQ963" s="0" t="s">
        <v>130</v>
      </c>
      <c r="AR963" s="0" t="s">
        <v>130</v>
      </c>
      <c r="AS963" s="0" t="s">
        <v>130</v>
      </c>
      <c r="AT963" s="0" t="s">
        <v>130</v>
      </c>
      <c r="AU963" s="0" t="s">
        <v>130</v>
      </c>
      <c r="AV963" s="0" t="s">
        <v>130</v>
      </c>
      <c r="AW963" s="0" t="s">
        <v>130</v>
      </c>
      <c r="AX963" s="0" t="s">
        <v>130</v>
      </c>
      <c r="AY963" s="0" t="s">
        <v>130</v>
      </c>
      <c r="AZ963" s="0" t="s">
        <v>130</v>
      </c>
      <c r="BA963" s="0" t="s">
        <v>130</v>
      </c>
      <c r="BB963" s="0" t="s">
        <v>130</v>
      </c>
      <c r="BC963" s="0" t="s">
        <v>130</v>
      </c>
      <c r="BD963" s="0" t="s">
        <v>130</v>
      </c>
      <c r="BE963" s="0" t="s">
        <v>130</v>
      </c>
      <c r="BF963" s="0" t="s">
        <v>130</v>
      </c>
      <c r="BG963" s="0" t="s">
        <v>130</v>
      </c>
      <c r="BH963" s="0" t="s">
        <v>130</v>
      </c>
      <c r="BI963" s="0" t="s">
        <v>130</v>
      </c>
      <c r="BJ963" s="0" t="s">
        <v>130</v>
      </c>
      <c r="BK963" s="0" t="s">
        <v>130</v>
      </c>
      <c r="BL963" s="0" t="s">
        <v>130</v>
      </c>
      <c r="BM963" s="0" t="s">
        <v>130</v>
      </c>
      <c r="BN963" s="0" t="s">
        <v>130</v>
      </c>
      <c r="BO963" s="0" t="s">
        <v>130</v>
      </c>
      <c r="BP963" s="0" t="s">
        <v>130</v>
      </c>
      <c r="BQ963" s="0" t="s">
        <v>130</v>
      </c>
      <c r="BR963" s="0" t="s">
        <v>130</v>
      </c>
      <c r="BS963" s="0" t="s">
        <v>130</v>
      </c>
      <c r="BT963" s="0" t="s">
        <v>130</v>
      </c>
      <c r="BU963" s="0" t="s">
        <v>130</v>
      </c>
      <c r="BV963" s="0" t="s">
        <v>130</v>
      </c>
      <c r="BW963" s="0" t="s">
        <v>130</v>
      </c>
      <c r="BX963" s="0" t="s">
        <v>130</v>
      </c>
      <c r="BY963" s="0" t="s">
        <v>130</v>
      </c>
      <c r="BZ963" s="0" t="s">
        <v>130</v>
      </c>
      <c r="CA963" s="0" t="s">
        <v>130</v>
      </c>
      <c r="CB963" s="0" t="s">
        <v>130</v>
      </c>
      <c r="CC963" s="0" t="s">
        <v>130</v>
      </c>
      <c r="CD963" s="0" t="s">
        <v>130</v>
      </c>
      <c r="CE963" s="0" t="s">
        <v>130</v>
      </c>
      <c r="CF963" s="0" t="s">
        <v>130</v>
      </c>
      <c r="CG963" s="0" t="s">
        <v>130</v>
      </c>
      <c r="CH963" s="0" t="s">
        <v>130</v>
      </c>
      <c r="CI963" s="0" t="s">
        <v>130</v>
      </c>
      <c r="CJ963" s="0" t="s">
        <v>130</v>
      </c>
      <c r="CK963" s="0" t="s">
        <v>130</v>
      </c>
      <c r="CL963" s="0" t="s">
        <v>130</v>
      </c>
      <c r="CM963" s="0" t="s">
        <v>130</v>
      </c>
      <c r="CN963" s="0" t="s">
        <v>130</v>
      </c>
      <c r="CO963" s="0" t="s">
        <v>130</v>
      </c>
      <c r="CP963" s="0" t="s">
        <v>130</v>
      </c>
      <c r="CQ963" s="0" t="s">
        <v>130</v>
      </c>
      <c r="CR963" s="0" t="s">
        <v>130</v>
      </c>
      <c r="CS963" s="0" t="s">
        <v>130</v>
      </c>
      <c r="CT963" s="0" t="s">
        <v>2936</v>
      </c>
    </row>
    <row r="964">
      <c r="A964" s="14">
        <v>153693</v>
      </c>
      <c r="B964" s="0" t="s">
        <v>2920</v>
      </c>
      <c r="C964" s="16">
        <f>HYPERLINK("https://eosportal.federatedhermes.com/companies/Q29tcGFueQppNDYwMzI=", "Fortescue Ltd")</f>
      </c>
      <c r="D964" s="0" t="s">
        <v>25</v>
      </c>
      <c r="E964" s="0" t="s">
        <v>2937</v>
      </c>
      <c r="F964" s="16">
        <f>HYPERLINK("https://eosportal.federatedhermes.com/engagements/RW5nYWdlbWVudAppMjMyNzY=", "Regnan engagement activity on Licence to operate")</f>
      </c>
      <c r="G964" s="14" t="s">
        <v>2937</v>
      </c>
      <c r="H964" s="0" t="s">
        <v>130</v>
      </c>
      <c r="I964" s="14" t="s">
        <v>131</v>
      </c>
      <c r="J964" s="0" t="s">
        <v>153</v>
      </c>
      <c r="K964" s="0" t="s">
        <v>243</v>
      </c>
      <c r="L964" s="0" t="s">
        <v>571</v>
      </c>
      <c r="M964" s="0" t="s">
        <v>371</v>
      </c>
      <c r="N964" s="0" t="s">
        <v>372</v>
      </c>
      <c r="O964" s="0" t="s">
        <v>373</v>
      </c>
      <c r="Q964" s="0" t="s">
        <v>130</v>
      </c>
      <c r="R964" s="0" t="s">
        <v>138</v>
      </c>
      <c r="S964" s="14">
        <v>0</v>
      </c>
      <c r="T964" s="0" t="s">
        <v>181</v>
      </c>
      <c r="U964" s="0" t="s">
        <v>138</v>
      </c>
      <c r="V964" s="14" t="s">
        <v>138</v>
      </c>
      <c r="W964" s="0" t="s">
        <v>138</v>
      </c>
      <c r="X964" s="14" t="s">
        <v>138</v>
      </c>
      <c r="Y964" s="0" t="s">
        <v>138</v>
      </c>
      <c r="Z964" s="14" t="s">
        <v>138</v>
      </c>
      <c r="AA964" s="0" t="s">
        <v>138</v>
      </c>
      <c r="AB964" s="14" t="s">
        <v>138</v>
      </c>
      <c r="AD964" s="0" t="s">
        <v>138</v>
      </c>
      <c r="AF964" s="0">
        <v>0</v>
      </c>
      <c r="AG964" s="0">
        <v>0</v>
      </c>
      <c r="AH964" s="0" t="s">
        <v>140</v>
      </c>
      <c r="AI964" s="0" t="s">
        <v>138</v>
      </c>
      <c r="AL964" s="14"/>
      <c r="AN964" s="14"/>
      <c r="AQ964" s="0" t="s">
        <v>130</v>
      </c>
      <c r="AR964" s="0" t="s">
        <v>130</v>
      </c>
      <c r="AS964" s="0" t="s">
        <v>130</v>
      </c>
      <c r="AT964" s="0" t="s">
        <v>130</v>
      </c>
      <c r="AU964" s="0" t="s">
        <v>130</v>
      </c>
      <c r="AV964" s="0" t="s">
        <v>130</v>
      </c>
      <c r="AW964" s="0" t="s">
        <v>130</v>
      </c>
      <c r="AX964" s="0" t="s">
        <v>130</v>
      </c>
      <c r="AY964" s="0" t="s">
        <v>130</v>
      </c>
      <c r="AZ964" s="0" t="s">
        <v>130</v>
      </c>
      <c r="BA964" s="0" t="s">
        <v>130</v>
      </c>
      <c r="BB964" s="0" t="s">
        <v>130</v>
      </c>
      <c r="BC964" s="0" t="s">
        <v>130</v>
      </c>
      <c r="BD964" s="0" t="s">
        <v>130</v>
      </c>
      <c r="BE964" s="0" t="s">
        <v>130</v>
      </c>
      <c r="BF964" s="0" t="s">
        <v>130</v>
      </c>
      <c r="BG964" s="0" t="s">
        <v>130</v>
      </c>
      <c r="BH964" s="0" t="s">
        <v>130</v>
      </c>
      <c r="BI964" s="0" t="s">
        <v>130</v>
      </c>
      <c r="BJ964" s="0" t="s">
        <v>130</v>
      </c>
      <c r="BK964" s="0" t="s">
        <v>130</v>
      </c>
      <c r="BL964" s="0" t="s">
        <v>130</v>
      </c>
      <c r="BM964" s="0" t="s">
        <v>130</v>
      </c>
      <c r="BN964" s="0" t="s">
        <v>130</v>
      </c>
      <c r="BO964" s="0" t="s">
        <v>130</v>
      </c>
      <c r="BP964" s="0" t="s">
        <v>130</v>
      </c>
      <c r="BQ964" s="0" t="s">
        <v>130</v>
      </c>
      <c r="BR964" s="0" t="s">
        <v>130</v>
      </c>
      <c r="BS964" s="0" t="s">
        <v>130</v>
      </c>
      <c r="BT964" s="0" t="s">
        <v>130</v>
      </c>
      <c r="BU964" s="0" t="s">
        <v>130</v>
      </c>
      <c r="BV964" s="0" t="s">
        <v>130</v>
      </c>
      <c r="BW964" s="0" t="s">
        <v>130</v>
      </c>
      <c r="BX964" s="0" t="s">
        <v>130</v>
      </c>
      <c r="BY964" s="0" t="s">
        <v>130</v>
      </c>
      <c r="BZ964" s="0" t="s">
        <v>130</v>
      </c>
      <c r="CA964" s="0" t="s">
        <v>130</v>
      </c>
      <c r="CB964" s="0" t="s">
        <v>130</v>
      </c>
      <c r="CC964" s="0" t="s">
        <v>130</v>
      </c>
      <c r="CD964" s="0" t="s">
        <v>130</v>
      </c>
      <c r="CE964" s="0" t="s">
        <v>130</v>
      </c>
      <c r="CF964" s="0" t="s">
        <v>130</v>
      </c>
      <c r="CG964" s="0" t="s">
        <v>130</v>
      </c>
      <c r="CH964" s="0" t="s">
        <v>130</v>
      </c>
      <c r="CI964" s="0" t="s">
        <v>130</v>
      </c>
      <c r="CJ964" s="0" t="s">
        <v>130</v>
      </c>
      <c r="CK964" s="0" t="s">
        <v>130</v>
      </c>
      <c r="CL964" s="0" t="s">
        <v>130</v>
      </c>
      <c r="CM964" s="0" t="s">
        <v>130</v>
      </c>
      <c r="CN964" s="0" t="s">
        <v>130</v>
      </c>
      <c r="CO964" s="0" t="s">
        <v>130</v>
      </c>
      <c r="CP964" s="0" t="s">
        <v>130</v>
      </c>
      <c r="CQ964" s="0" t="s">
        <v>130</v>
      </c>
      <c r="CR964" s="0" t="s">
        <v>130</v>
      </c>
      <c r="CS964" s="0" t="s">
        <v>130</v>
      </c>
      <c r="CT964" s="0" t="s">
        <v>2938</v>
      </c>
    </row>
    <row r="965">
      <c r="A965" s="14">
        <v>153737</v>
      </c>
      <c r="B965" s="0" t="s">
        <v>2939</v>
      </c>
      <c r="C965" s="16">
        <f>HYPERLINK("https://eosportal.federatedhermes.com/companies/Q29tcGFueQppNDc5OTI=", "Taiwan Semiconductor Manufacturing Co Ltd")</f>
      </c>
      <c r="D965" s="0" t="s">
        <v>25</v>
      </c>
      <c r="E965" s="0" t="s">
        <v>1034</v>
      </c>
      <c r="F965" s="16">
        <f>HYPERLINK("https://eosportal.federatedhermes.com/engagements/RW5nYWdlbWVudAppMjMyODE=", "Board composition")</f>
      </c>
      <c r="G965" s="14" t="s">
        <v>2940</v>
      </c>
      <c r="H965" s="0" t="s">
        <v>141</v>
      </c>
      <c r="I965" s="14" t="s">
        <v>131</v>
      </c>
      <c r="J965" s="0" t="s">
        <v>145</v>
      </c>
      <c r="K965" s="0" t="s">
        <v>164</v>
      </c>
      <c r="L965" s="0" t="s">
        <v>165</v>
      </c>
      <c r="M965" s="0" t="s">
        <v>802</v>
      </c>
      <c r="N965" s="0" t="s">
        <v>2941</v>
      </c>
      <c r="O965" s="0" t="s">
        <v>1125</v>
      </c>
      <c r="Q965" s="0" t="s">
        <v>130</v>
      </c>
      <c r="R965" s="0" t="s">
        <v>138</v>
      </c>
      <c r="S965" s="14">
        <v>0</v>
      </c>
      <c r="T965" s="0" t="s">
        <v>355</v>
      </c>
      <c r="U965" s="0" t="s">
        <v>138</v>
      </c>
      <c r="V965" s="14" t="s">
        <v>138</v>
      </c>
      <c r="W965" s="0" t="s">
        <v>138</v>
      </c>
      <c r="X965" s="14" t="s">
        <v>138</v>
      </c>
      <c r="Y965" s="0" t="s">
        <v>138</v>
      </c>
      <c r="Z965" s="14" t="s">
        <v>138</v>
      </c>
      <c r="AA965" s="0" t="s">
        <v>138</v>
      </c>
      <c r="AB965" s="14" t="s">
        <v>138</v>
      </c>
      <c r="AD965" s="0" t="s">
        <v>138</v>
      </c>
      <c r="AF965" s="0">
        <v>0</v>
      </c>
      <c r="AG965" s="0">
        <v>0</v>
      </c>
      <c r="AH965" s="0" t="s">
        <v>140</v>
      </c>
      <c r="AI965" s="0" t="s">
        <v>138</v>
      </c>
      <c r="AL965" s="14"/>
      <c r="AN965" s="14"/>
      <c r="AQ965" s="0" t="s">
        <v>130</v>
      </c>
      <c r="AR965" s="0" t="s">
        <v>130</v>
      </c>
      <c r="AS965" s="0" t="s">
        <v>130</v>
      </c>
      <c r="AT965" s="0" t="s">
        <v>130</v>
      </c>
      <c r="AU965" s="0" t="s">
        <v>141</v>
      </c>
      <c r="AV965" s="0" t="s">
        <v>130</v>
      </c>
      <c r="AW965" s="0" t="s">
        <v>130</v>
      </c>
      <c r="AX965" s="0" t="s">
        <v>130</v>
      </c>
      <c r="AY965" s="0" t="s">
        <v>130</v>
      </c>
      <c r="AZ965" s="0" t="s">
        <v>130</v>
      </c>
      <c r="BA965" s="0" t="s">
        <v>130</v>
      </c>
      <c r="BB965" s="0" t="s">
        <v>130</v>
      </c>
      <c r="BC965" s="0" t="s">
        <v>130</v>
      </c>
      <c r="BD965" s="0" t="s">
        <v>130</v>
      </c>
      <c r="BE965" s="0" t="s">
        <v>130</v>
      </c>
      <c r="BF965" s="0" t="s">
        <v>130</v>
      </c>
      <c r="BG965" s="0" t="s">
        <v>130</v>
      </c>
      <c r="BH965" s="0" t="s">
        <v>130</v>
      </c>
      <c r="BI965" s="0" t="s">
        <v>130</v>
      </c>
      <c r="BJ965" s="0" t="s">
        <v>130</v>
      </c>
      <c r="BK965" s="0" t="s">
        <v>130</v>
      </c>
      <c r="BL965" s="0" t="s">
        <v>130</v>
      </c>
      <c r="BM965" s="0" t="s">
        <v>130</v>
      </c>
      <c r="BN965" s="0" t="s">
        <v>130</v>
      </c>
      <c r="BO965" s="0" t="s">
        <v>130</v>
      </c>
      <c r="BP965" s="0" t="s">
        <v>130</v>
      </c>
      <c r="BQ965" s="0" t="s">
        <v>130</v>
      </c>
      <c r="BR965" s="0" t="s">
        <v>130</v>
      </c>
      <c r="BS965" s="0" t="s">
        <v>130</v>
      </c>
      <c r="BT965" s="0" t="s">
        <v>130</v>
      </c>
      <c r="BU965" s="0" t="s">
        <v>130</v>
      </c>
      <c r="BV965" s="0" t="s">
        <v>130</v>
      </c>
      <c r="BW965" s="0" t="s">
        <v>130</v>
      </c>
      <c r="BX965" s="0" t="s">
        <v>130</v>
      </c>
      <c r="BY965" s="0" t="s">
        <v>130</v>
      </c>
      <c r="BZ965" s="0" t="s">
        <v>130</v>
      </c>
      <c r="CA965" s="0" t="s">
        <v>130</v>
      </c>
      <c r="CB965" s="0" t="s">
        <v>130</v>
      </c>
      <c r="CC965" s="0" t="s">
        <v>130</v>
      </c>
      <c r="CD965" s="0" t="s">
        <v>130</v>
      </c>
      <c r="CE965" s="0" t="s">
        <v>130</v>
      </c>
      <c r="CF965" s="0" t="s">
        <v>130</v>
      </c>
      <c r="CG965" s="0" t="s">
        <v>130</v>
      </c>
      <c r="CH965" s="0" t="s">
        <v>130</v>
      </c>
      <c r="CI965" s="0" t="s">
        <v>130</v>
      </c>
      <c r="CJ965" s="0" t="s">
        <v>130</v>
      </c>
      <c r="CK965" s="0" t="s">
        <v>130</v>
      </c>
      <c r="CL965" s="0" t="s">
        <v>130</v>
      </c>
      <c r="CM965" s="0" t="s">
        <v>130</v>
      </c>
      <c r="CN965" s="0" t="s">
        <v>130</v>
      </c>
      <c r="CO965" s="0" t="s">
        <v>130</v>
      </c>
      <c r="CP965" s="0" t="s">
        <v>130</v>
      </c>
      <c r="CQ965" s="0" t="s">
        <v>130</v>
      </c>
      <c r="CR965" s="0" t="s">
        <v>130</v>
      </c>
      <c r="CS965" s="0" t="s">
        <v>130</v>
      </c>
      <c r="CT965" s="0" t="s">
        <v>2942</v>
      </c>
    </row>
    <row r="966">
      <c r="A966" s="14">
        <v>153737</v>
      </c>
      <c r="B966" s="0" t="s">
        <v>2939</v>
      </c>
      <c r="C966" s="16">
        <f>HYPERLINK("https://eosportal.federatedhermes.com/companies/Q29tcGFueQppNDc5OTI=", "Taiwan Semiconductor Manufacturing Co Ltd")</f>
      </c>
      <c r="D966" s="0" t="s">
        <v>25</v>
      </c>
      <c r="E966" s="0" t="s">
        <v>721</v>
      </c>
      <c r="F966" s="16">
        <f>HYPERLINK("https://eosportal.federatedhermes.com/engagements/RW5nYWdlbWVudAppMjMyODI=", "Water stewardship")</f>
      </c>
      <c r="G966" s="14" t="s">
        <v>2943</v>
      </c>
      <c r="H966" s="0" t="s">
        <v>141</v>
      </c>
      <c r="I966" s="14" t="s">
        <v>131</v>
      </c>
      <c r="J966" s="0" t="s">
        <v>197</v>
      </c>
      <c r="K966" s="0" t="s">
        <v>337</v>
      </c>
      <c r="L966" s="0" t="s">
        <v>338</v>
      </c>
      <c r="M966" s="0" t="s">
        <v>802</v>
      </c>
      <c r="N966" s="0" t="s">
        <v>2941</v>
      </c>
      <c r="O966" s="0" t="s">
        <v>1125</v>
      </c>
      <c r="Q966" s="0" t="s">
        <v>141</v>
      </c>
      <c r="R966" s="0" t="s">
        <v>138</v>
      </c>
      <c r="S966" s="14">
        <v>1</v>
      </c>
      <c r="T966" s="0" t="s">
        <v>487</v>
      </c>
      <c r="U966" s="0" t="s">
        <v>138</v>
      </c>
      <c r="V966" s="14" t="s">
        <v>138</v>
      </c>
      <c r="W966" s="0" t="s">
        <v>138</v>
      </c>
      <c r="X966" s="14" t="s">
        <v>138</v>
      </c>
      <c r="Y966" s="0" t="s">
        <v>138</v>
      </c>
      <c r="Z966" s="14" t="s">
        <v>138</v>
      </c>
      <c r="AA966" s="0" t="s">
        <v>138</v>
      </c>
      <c r="AB966" s="14" t="s">
        <v>138</v>
      </c>
      <c r="AD966" s="0" t="s">
        <v>138</v>
      </c>
      <c r="AF966" s="0">
        <v>0</v>
      </c>
      <c r="AG966" s="0">
        <v>0</v>
      </c>
      <c r="AH966" s="0" t="s">
        <v>140</v>
      </c>
      <c r="AI966" s="0" t="s">
        <v>138</v>
      </c>
      <c r="AK966" s="0" t="s">
        <v>587</v>
      </c>
      <c r="AL966" s="14"/>
      <c r="AN966" s="14"/>
      <c r="AQ966" s="0" t="s">
        <v>130</v>
      </c>
      <c r="AR966" s="0" t="s">
        <v>130</v>
      </c>
      <c r="AS966" s="0" t="s">
        <v>130</v>
      </c>
      <c r="AT966" s="0" t="s">
        <v>130</v>
      </c>
      <c r="AU966" s="0" t="s">
        <v>130</v>
      </c>
      <c r="AV966" s="0" t="s">
        <v>141</v>
      </c>
      <c r="AW966" s="0" t="s">
        <v>130</v>
      </c>
      <c r="AX966" s="0" t="s">
        <v>130</v>
      </c>
      <c r="AY966" s="0" t="s">
        <v>130</v>
      </c>
      <c r="AZ966" s="0" t="s">
        <v>130</v>
      </c>
      <c r="BA966" s="0" t="s">
        <v>130</v>
      </c>
      <c r="BB966" s="0" t="s">
        <v>130</v>
      </c>
      <c r="BC966" s="0" t="s">
        <v>130</v>
      </c>
      <c r="BD966" s="0" t="s">
        <v>130</v>
      </c>
      <c r="BE966" s="0" t="s">
        <v>130</v>
      </c>
      <c r="BF966" s="0" t="s">
        <v>130</v>
      </c>
      <c r="BG966" s="0" t="s">
        <v>130</v>
      </c>
      <c r="BH966" s="0" t="s">
        <v>130</v>
      </c>
      <c r="BI966" s="0" t="s">
        <v>130</v>
      </c>
      <c r="BJ966" s="0" t="s">
        <v>130</v>
      </c>
      <c r="BK966" s="0" t="s">
        <v>130</v>
      </c>
      <c r="BL966" s="0" t="s">
        <v>130</v>
      </c>
      <c r="BM966" s="0" t="s">
        <v>130</v>
      </c>
      <c r="BN966" s="0" t="s">
        <v>130</v>
      </c>
      <c r="BO966" s="0" t="s">
        <v>130</v>
      </c>
      <c r="BP966" s="0" t="s">
        <v>130</v>
      </c>
      <c r="BQ966" s="0" t="s">
        <v>130</v>
      </c>
      <c r="BR966" s="0" t="s">
        <v>130</v>
      </c>
      <c r="BS966" s="0" t="s">
        <v>130</v>
      </c>
      <c r="BT966" s="0" t="s">
        <v>130</v>
      </c>
      <c r="BU966" s="0" t="s">
        <v>130</v>
      </c>
      <c r="BV966" s="0" t="s">
        <v>130</v>
      </c>
      <c r="BW966" s="0" t="s">
        <v>130</v>
      </c>
      <c r="BX966" s="0" t="s">
        <v>141</v>
      </c>
      <c r="BY966" s="0" t="s">
        <v>130</v>
      </c>
      <c r="BZ966" s="0" t="s">
        <v>130</v>
      </c>
      <c r="CA966" s="0" t="s">
        <v>130</v>
      </c>
      <c r="CB966" s="0" t="s">
        <v>130</v>
      </c>
      <c r="CC966" s="0" t="s">
        <v>130</v>
      </c>
      <c r="CD966" s="0" t="s">
        <v>130</v>
      </c>
      <c r="CE966" s="0" t="s">
        <v>130</v>
      </c>
      <c r="CF966" s="0" t="s">
        <v>130</v>
      </c>
      <c r="CG966" s="0" t="s">
        <v>130</v>
      </c>
      <c r="CH966" s="0" t="s">
        <v>130</v>
      </c>
      <c r="CI966" s="0" t="s">
        <v>130</v>
      </c>
      <c r="CJ966" s="0" t="s">
        <v>130</v>
      </c>
      <c r="CK966" s="0" t="s">
        <v>130</v>
      </c>
      <c r="CL966" s="0" t="s">
        <v>130</v>
      </c>
      <c r="CM966" s="0" t="s">
        <v>130</v>
      </c>
      <c r="CN966" s="0" t="s">
        <v>130</v>
      </c>
      <c r="CO966" s="0" t="s">
        <v>130</v>
      </c>
      <c r="CP966" s="0" t="s">
        <v>130</v>
      </c>
      <c r="CQ966" s="0" t="s">
        <v>130</v>
      </c>
      <c r="CR966" s="0" t="s">
        <v>130</v>
      </c>
      <c r="CS966" s="0" t="s">
        <v>130</v>
      </c>
      <c r="CT966" s="0" t="s">
        <v>2944</v>
      </c>
    </row>
    <row r="967">
      <c r="A967" s="14">
        <v>153737</v>
      </c>
      <c r="B967" s="0" t="s">
        <v>2939</v>
      </c>
      <c r="C967" s="16">
        <f>HYPERLINK("https://eosportal.federatedhermes.com/companies/Q29tcGFueQppNDc5OTI=", "Taiwan Semiconductor Manufacturing Co Ltd")</f>
      </c>
      <c r="D967" s="0" t="s">
        <v>25</v>
      </c>
      <c r="E967" s="0" t="s">
        <v>912</v>
      </c>
      <c r="F967" s="16">
        <f>HYPERLINK("https://eosportal.federatedhermes.com/engagements/RW5nYWdlbWVudAppMjMyODM=", "Executive remuneration")</f>
      </c>
      <c r="G967" s="14" t="s">
        <v>2945</v>
      </c>
      <c r="H967" s="0" t="s">
        <v>141</v>
      </c>
      <c r="I967" s="14" t="s">
        <v>131</v>
      </c>
      <c r="J967" s="0" t="s">
        <v>145</v>
      </c>
      <c r="K967" s="0" t="s">
        <v>146</v>
      </c>
      <c r="L967" s="0" t="s">
        <v>147</v>
      </c>
      <c r="M967" s="0" t="s">
        <v>802</v>
      </c>
      <c r="N967" s="0" t="s">
        <v>2941</v>
      </c>
      <c r="O967" s="0" t="s">
        <v>1125</v>
      </c>
      <c r="Q967" s="0" t="s">
        <v>130</v>
      </c>
      <c r="R967" s="0" t="s">
        <v>138</v>
      </c>
      <c r="S967" s="14">
        <v>0</v>
      </c>
      <c r="T967" s="0" t="s">
        <v>148</v>
      </c>
      <c r="U967" s="0" t="s">
        <v>138</v>
      </c>
      <c r="V967" s="14" t="s">
        <v>138</v>
      </c>
      <c r="W967" s="0" t="s">
        <v>138</v>
      </c>
      <c r="X967" s="14" t="s">
        <v>138</v>
      </c>
      <c r="Y967" s="0" t="s">
        <v>138</v>
      </c>
      <c r="Z967" s="14" t="s">
        <v>138</v>
      </c>
      <c r="AA967" s="0" t="s">
        <v>138</v>
      </c>
      <c r="AB967" s="14" t="s">
        <v>138</v>
      </c>
      <c r="AD967" s="0" t="s">
        <v>138</v>
      </c>
      <c r="AF967" s="0">
        <v>0</v>
      </c>
      <c r="AG967" s="0">
        <v>0</v>
      </c>
      <c r="AH967" s="0" t="s">
        <v>140</v>
      </c>
      <c r="AI967" s="0" t="s">
        <v>138</v>
      </c>
      <c r="AL967" s="14"/>
      <c r="AN967" s="14"/>
      <c r="AQ967" s="0" t="s">
        <v>130</v>
      </c>
      <c r="AR967" s="0" t="s">
        <v>130</v>
      </c>
      <c r="AS967" s="0" t="s">
        <v>130</v>
      </c>
      <c r="AT967" s="0" t="s">
        <v>130</v>
      </c>
      <c r="AU967" s="0" t="s">
        <v>130</v>
      </c>
      <c r="AV967" s="0" t="s">
        <v>130</v>
      </c>
      <c r="AW967" s="0" t="s">
        <v>130</v>
      </c>
      <c r="AX967" s="0" t="s">
        <v>130</v>
      </c>
      <c r="AY967" s="0" t="s">
        <v>130</v>
      </c>
      <c r="AZ967" s="0" t="s">
        <v>130</v>
      </c>
      <c r="BA967" s="0" t="s">
        <v>130</v>
      </c>
      <c r="BB967" s="0" t="s">
        <v>130</v>
      </c>
      <c r="BC967" s="0" t="s">
        <v>130</v>
      </c>
      <c r="BD967" s="0" t="s">
        <v>130</v>
      </c>
      <c r="BE967" s="0" t="s">
        <v>130</v>
      </c>
      <c r="BF967" s="0" t="s">
        <v>130</v>
      </c>
      <c r="BG967" s="0" t="s">
        <v>130</v>
      </c>
      <c r="BH967" s="0" t="s">
        <v>130</v>
      </c>
      <c r="BI967" s="0" t="s">
        <v>130</v>
      </c>
      <c r="BJ967" s="0" t="s">
        <v>130</v>
      </c>
      <c r="BK967" s="0" t="s">
        <v>130</v>
      </c>
      <c r="BL967" s="0" t="s">
        <v>130</v>
      </c>
      <c r="BM967" s="0" t="s">
        <v>130</v>
      </c>
      <c r="BN967" s="0" t="s">
        <v>130</v>
      </c>
      <c r="BO967" s="0" t="s">
        <v>130</v>
      </c>
      <c r="BP967" s="0" t="s">
        <v>130</v>
      </c>
      <c r="BQ967" s="0" t="s">
        <v>130</v>
      </c>
      <c r="BR967" s="0" t="s">
        <v>130</v>
      </c>
      <c r="BS967" s="0" t="s">
        <v>130</v>
      </c>
      <c r="BT967" s="0" t="s">
        <v>130</v>
      </c>
      <c r="BU967" s="0" t="s">
        <v>130</v>
      </c>
      <c r="BV967" s="0" t="s">
        <v>130</v>
      </c>
      <c r="BW967" s="0" t="s">
        <v>130</v>
      </c>
      <c r="BX967" s="0" t="s">
        <v>130</v>
      </c>
      <c r="BY967" s="0" t="s">
        <v>130</v>
      </c>
      <c r="BZ967" s="0" t="s">
        <v>130</v>
      </c>
      <c r="CA967" s="0" t="s">
        <v>130</v>
      </c>
      <c r="CB967" s="0" t="s">
        <v>130</v>
      </c>
      <c r="CC967" s="0" t="s">
        <v>130</v>
      </c>
      <c r="CD967" s="0" t="s">
        <v>130</v>
      </c>
      <c r="CE967" s="0" t="s">
        <v>130</v>
      </c>
      <c r="CF967" s="0" t="s">
        <v>130</v>
      </c>
      <c r="CG967" s="0" t="s">
        <v>130</v>
      </c>
      <c r="CH967" s="0" t="s">
        <v>130</v>
      </c>
      <c r="CI967" s="0" t="s">
        <v>130</v>
      </c>
      <c r="CJ967" s="0" t="s">
        <v>130</v>
      </c>
      <c r="CK967" s="0" t="s">
        <v>130</v>
      </c>
      <c r="CL967" s="0" t="s">
        <v>130</v>
      </c>
      <c r="CM967" s="0" t="s">
        <v>130</v>
      </c>
      <c r="CN967" s="0" t="s">
        <v>130</v>
      </c>
      <c r="CO967" s="0" t="s">
        <v>130</v>
      </c>
      <c r="CP967" s="0" t="s">
        <v>130</v>
      </c>
      <c r="CQ967" s="0" t="s">
        <v>130</v>
      </c>
      <c r="CR967" s="0" t="s">
        <v>130</v>
      </c>
      <c r="CS967" s="0" t="s">
        <v>130</v>
      </c>
      <c r="CT967" s="0" t="s">
        <v>2946</v>
      </c>
    </row>
    <row r="968">
      <c r="A968" s="14">
        <v>153737</v>
      </c>
      <c r="B968" s="0" t="s">
        <v>2939</v>
      </c>
      <c r="C968" s="16">
        <f>HYPERLINK("https://eosportal.federatedhermes.com/companies/Q29tcGFueQppNDc5OTI=", "Taiwan Semiconductor Manufacturing Co Ltd")</f>
      </c>
      <c r="D968" s="0" t="s">
        <v>25</v>
      </c>
      <c r="E968" s="0" t="s">
        <v>2947</v>
      </c>
      <c r="F968" s="16">
        <f>HYPERLINK("https://eosportal.federatedhermes.com/engagements/RW5nYWdlbWVudAppMjMyODQ=", "Climate Change Policy")</f>
      </c>
      <c r="G968" s="14" t="s">
        <v>2948</v>
      </c>
      <c r="H968" s="0" t="s">
        <v>141</v>
      </c>
      <c r="I968" s="14" t="s">
        <v>131</v>
      </c>
      <c r="J968" s="0" t="s">
        <v>197</v>
      </c>
      <c r="K968" s="0" t="s">
        <v>198</v>
      </c>
      <c r="L968" s="0" t="s">
        <v>199</v>
      </c>
      <c r="M968" s="0" t="s">
        <v>802</v>
      </c>
      <c r="N968" s="0" t="s">
        <v>2941</v>
      </c>
      <c r="O968" s="0" t="s">
        <v>1125</v>
      </c>
      <c r="Q968" s="0" t="s">
        <v>141</v>
      </c>
      <c r="R968" s="0" t="s">
        <v>138</v>
      </c>
      <c r="S968" s="14">
        <v>1</v>
      </c>
      <c r="T968" s="0" t="s">
        <v>320</v>
      </c>
      <c r="U968" s="0" t="s">
        <v>138</v>
      </c>
      <c r="V968" s="14" t="s">
        <v>138</v>
      </c>
      <c r="W968" s="0" t="s">
        <v>138</v>
      </c>
      <c r="X968" s="14" t="s">
        <v>138</v>
      </c>
      <c r="Y968" s="0" t="s">
        <v>138</v>
      </c>
      <c r="Z968" s="14" t="s">
        <v>138</v>
      </c>
      <c r="AA968" s="0" t="s">
        <v>138</v>
      </c>
      <c r="AB968" s="14" t="s">
        <v>138</v>
      </c>
      <c r="AD968" s="0" t="s">
        <v>138</v>
      </c>
      <c r="AF968" s="0">
        <v>0</v>
      </c>
      <c r="AG968" s="0">
        <v>0</v>
      </c>
      <c r="AH968" s="0" t="s">
        <v>140</v>
      </c>
      <c r="AI968" s="0" t="s">
        <v>138</v>
      </c>
      <c r="AK968" s="0" t="s">
        <v>587</v>
      </c>
      <c r="AL968" s="14"/>
      <c r="AN968" s="14"/>
      <c r="AQ968" s="0" t="s">
        <v>130</v>
      </c>
      <c r="AR968" s="0" t="s">
        <v>130</v>
      </c>
      <c r="AS968" s="0" t="s">
        <v>130</v>
      </c>
      <c r="AT968" s="0" t="s">
        <v>130</v>
      </c>
      <c r="AU968" s="0" t="s">
        <v>130</v>
      </c>
      <c r="AV968" s="0" t="s">
        <v>130</v>
      </c>
      <c r="AW968" s="0" t="s">
        <v>130</v>
      </c>
      <c r="AX968" s="0" t="s">
        <v>130</v>
      </c>
      <c r="AY968" s="0" t="s">
        <v>130</v>
      </c>
      <c r="AZ968" s="0" t="s">
        <v>130</v>
      </c>
      <c r="BA968" s="0" t="s">
        <v>130</v>
      </c>
      <c r="BB968" s="0" t="s">
        <v>141</v>
      </c>
      <c r="BC968" s="0" t="s">
        <v>130</v>
      </c>
      <c r="BD968" s="0" t="s">
        <v>130</v>
      </c>
      <c r="BE968" s="0" t="s">
        <v>130</v>
      </c>
      <c r="BF968" s="0" t="s">
        <v>130</v>
      </c>
      <c r="BG968" s="0" t="s">
        <v>130</v>
      </c>
      <c r="BH968" s="0" t="s">
        <v>130</v>
      </c>
      <c r="BI968" s="0" t="s">
        <v>130</v>
      </c>
      <c r="BJ968" s="0" t="s">
        <v>130</v>
      </c>
      <c r="BK968" s="0" t="s">
        <v>130</v>
      </c>
      <c r="BL968" s="0" t="s">
        <v>130</v>
      </c>
      <c r="BM968" s="0" t="s">
        <v>130</v>
      </c>
      <c r="BN968" s="0" t="s">
        <v>130</v>
      </c>
      <c r="BO968" s="0" t="s">
        <v>130</v>
      </c>
      <c r="BP968" s="0" t="s">
        <v>130</v>
      </c>
      <c r="BQ968" s="0" t="s">
        <v>130</v>
      </c>
      <c r="BR968" s="0" t="s">
        <v>130</v>
      </c>
      <c r="BS968" s="0" t="s">
        <v>130</v>
      </c>
      <c r="BT968" s="0" t="s">
        <v>130</v>
      </c>
      <c r="BU968" s="0" t="s">
        <v>130</v>
      </c>
      <c r="BV968" s="0" t="s">
        <v>130</v>
      </c>
      <c r="BW968" s="0" t="s">
        <v>130</v>
      </c>
      <c r="BX968" s="0" t="s">
        <v>130</v>
      </c>
      <c r="BY968" s="0" t="s">
        <v>130</v>
      </c>
      <c r="BZ968" s="0" t="s">
        <v>130</v>
      </c>
      <c r="CA968" s="0" t="s">
        <v>130</v>
      </c>
      <c r="CB968" s="0" t="s">
        <v>130</v>
      </c>
      <c r="CC968" s="0" t="s">
        <v>130</v>
      </c>
      <c r="CD968" s="0" t="s">
        <v>130</v>
      </c>
      <c r="CE968" s="0" t="s">
        <v>130</v>
      </c>
      <c r="CF968" s="0" t="s">
        <v>130</v>
      </c>
      <c r="CG968" s="0" t="s">
        <v>130</v>
      </c>
      <c r="CH968" s="0" t="s">
        <v>130</v>
      </c>
      <c r="CI968" s="0" t="s">
        <v>130</v>
      </c>
      <c r="CJ968" s="0" t="s">
        <v>130</v>
      </c>
      <c r="CK968" s="0" t="s">
        <v>130</v>
      </c>
      <c r="CL968" s="0" t="s">
        <v>130</v>
      </c>
      <c r="CM968" s="0" t="s">
        <v>130</v>
      </c>
      <c r="CN968" s="0" t="s">
        <v>130</v>
      </c>
      <c r="CO968" s="0" t="s">
        <v>130</v>
      </c>
      <c r="CP968" s="0" t="s">
        <v>130</v>
      </c>
      <c r="CQ968" s="0" t="s">
        <v>130</v>
      </c>
      <c r="CR968" s="0" t="s">
        <v>130</v>
      </c>
      <c r="CS968" s="0" t="s">
        <v>130</v>
      </c>
      <c r="CT968" s="0" t="s">
        <v>2949</v>
      </c>
    </row>
    <row r="969">
      <c r="A969" s="14">
        <v>153737</v>
      </c>
      <c r="B969" s="0" t="s">
        <v>2939</v>
      </c>
      <c r="C969" s="16">
        <f>HYPERLINK("https://eosportal.federatedhermes.com/companies/Q29tcGFueQppNDc5OTI=", "Taiwan Semiconductor Manufacturing Co Ltd")</f>
      </c>
      <c r="D969" s="0" t="s">
        <v>25</v>
      </c>
      <c r="E969" s="0" t="s">
        <v>2950</v>
      </c>
      <c r="F969" s="16">
        <f>HYPERLINK("https://eosportal.federatedhermes.com/engagements/RW5nYWdlbWVudAppMjMyODg=", "Energy efficient products")</f>
      </c>
      <c r="G969" s="14" t="s">
        <v>2951</v>
      </c>
      <c r="H969" s="0" t="s">
        <v>141</v>
      </c>
      <c r="I969" s="14" t="s">
        <v>131</v>
      </c>
      <c r="J969" s="0" t="s">
        <v>197</v>
      </c>
      <c r="K969" s="0" t="s">
        <v>198</v>
      </c>
      <c r="L969" s="0" t="s">
        <v>216</v>
      </c>
      <c r="M969" s="0" t="s">
        <v>802</v>
      </c>
      <c r="N969" s="0" t="s">
        <v>2941</v>
      </c>
      <c r="O969" s="0" t="s">
        <v>1125</v>
      </c>
      <c r="Q969" s="0" t="s">
        <v>130</v>
      </c>
      <c r="R969" s="0" t="s">
        <v>138</v>
      </c>
      <c r="S969" s="14">
        <v>0</v>
      </c>
      <c r="T969" s="0" t="s">
        <v>320</v>
      </c>
      <c r="U969" s="0" t="s">
        <v>138</v>
      </c>
      <c r="V969" s="14" t="s">
        <v>138</v>
      </c>
      <c r="W969" s="0" t="s">
        <v>138</v>
      </c>
      <c r="X969" s="14" t="s">
        <v>138</v>
      </c>
      <c r="Y969" s="0" t="s">
        <v>138</v>
      </c>
      <c r="Z969" s="14" t="s">
        <v>138</v>
      </c>
      <c r="AA969" s="0" t="s">
        <v>138</v>
      </c>
      <c r="AB969" s="14" t="s">
        <v>138</v>
      </c>
      <c r="AD969" s="0" t="s">
        <v>138</v>
      </c>
      <c r="AF969" s="0">
        <v>0</v>
      </c>
      <c r="AG969" s="0">
        <v>0</v>
      </c>
      <c r="AH969" s="0" t="s">
        <v>140</v>
      </c>
      <c r="AI969" s="0" t="s">
        <v>138</v>
      </c>
      <c r="AL969" s="14"/>
      <c r="AN969" s="14"/>
      <c r="AQ969" s="0" t="s">
        <v>130</v>
      </c>
      <c r="AR969" s="0" t="s">
        <v>130</v>
      </c>
      <c r="AS969" s="0" t="s">
        <v>130</v>
      </c>
      <c r="AT969" s="0" t="s">
        <v>130</v>
      </c>
      <c r="AU969" s="0" t="s">
        <v>130</v>
      </c>
      <c r="AV969" s="0" t="s">
        <v>130</v>
      </c>
      <c r="AW969" s="0" t="s">
        <v>141</v>
      </c>
      <c r="AX969" s="0" t="s">
        <v>130</v>
      </c>
      <c r="AY969" s="0" t="s">
        <v>130</v>
      </c>
      <c r="AZ969" s="0" t="s">
        <v>130</v>
      </c>
      <c r="BA969" s="0" t="s">
        <v>130</v>
      </c>
      <c r="BB969" s="0" t="s">
        <v>141</v>
      </c>
      <c r="BC969" s="0" t="s">
        <v>141</v>
      </c>
      <c r="BD969" s="0" t="s">
        <v>130</v>
      </c>
      <c r="BE969" s="0" t="s">
        <v>130</v>
      </c>
      <c r="BF969" s="0" t="s">
        <v>130</v>
      </c>
      <c r="BG969" s="0" t="s">
        <v>130</v>
      </c>
      <c r="BH969" s="0" t="s">
        <v>141</v>
      </c>
      <c r="BI969" s="0" t="s">
        <v>141</v>
      </c>
      <c r="BJ969" s="0" t="s">
        <v>141</v>
      </c>
      <c r="BK969" s="0" t="s">
        <v>130</v>
      </c>
      <c r="BL969" s="0" t="s">
        <v>130</v>
      </c>
      <c r="BM969" s="0" t="s">
        <v>130</v>
      </c>
      <c r="BN969" s="0" t="s">
        <v>130</v>
      </c>
      <c r="BO969" s="0" t="s">
        <v>130</v>
      </c>
      <c r="BP969" s="0" t="s">
        <v>130</v>
      </c>
      <c r="BQ969" s="0" t="s">
        <v>130</v>
      </c>
      <c r="BR969" s="0" t="s">
        <v>130</v>
      </c>
      <c r="BS969" s="0" t="s">
        <v>130</v>
      </c>
      <c r="BT969" s="0" t="s">
        <v>130</v>
      </c>
      <c r="BU969" s="0" t="s">
        <v>130</v>
      </c>
      <c r="BV969" s="0" t="s">
        <v>141</v>
      </c>
      <c r="BW969" s="0" t="s">
        <v>141</v>
      </c>
      <c r="BX969" s="0" t="s">
        <v>130</v>
      </c>
      <c r="BY969" s="0" t="s">
        <v>130</v>
      </c>
      <c r="BZ969" s="0" t="s">
        <v>130</v>
      </c>
      <c r="CA969" s="0" t="s">
        <v>130</v>
      </c>
      <c r="CB969" s="0" t="s">
        <v>130</v>
      </c>
      <c r="CC969" s="0" t="s">
        <v>130</v>
      </c>
      <c r="CD969" s="0" t="s">
        <v>130</v>
      </c>
      <c r="CE969" s="0" t="s">
        <v>130</v>
      </c>
      <c r="CF969" s="0" t="s">
        <v>130</v>
      </c>
      <c r="CG969" s="0" t="s">
        <v>130</v>
      </c>
      <c r="CH969" s="0" t="s">
        <v>130</v>
      </c>
      <c r="CI969" s="0" t="s">
        <v>130</v>
      </c>
      <c r="CJ969" s="0" t="s">
        <v>130</v>
      </c>
      <c r="CK969" s="0" t="s">
        <v>130</v>
      </c>
      <c r="CL969" s="0" t="s">
        <v>130</v>
      </c>
      <c r="CM969" s="0" t="s">
        <v>130</v>
      </c>
      <c r="CN969" s="0" t="s">
        <v>130</v>
      </c>
      <c r="CO969" s="0" t="s">
        <v>130</v>
      </c>
      <c r="CP969" s="0" t="s">
        <v>130</v>
      </c>
      <c r="CQ969" s="0" t="s">
        <v>130</v>
      </c>
      <c r="CR969" s="0" t="s">
        <v>130</v>
      </c>
      <c r="CS969" s="0" t="s">
        <v>130</v>
      </c>
      <c r="CT969" s="0" t="s">
        <v>2952</v>
      </c>
    </row>
    <row r="970">
      <c r="A970" s="14">
        <v>153737</v>
      </c>
      <c r="B970" s="0" t="s">
        <v>2939</v>
      </c>
      <c r="C970" s="16">
        <f>HYPERLINK("https://eosportal.federatedhermes.com/companies/Q29tcGFueQppNDc5OTI=", "Taiwan Semiconductor Manufacturing Co Ltd")</f>
      </c>
      <c r="D970" s="0" t="s">
        <v>25</v>
      </c>
      <c r="E970" s="0" t="s">
        <v>2953</v>
      </c>
      <c r="F970" s="16">
        <f>HYPERLINK("https://eosportal.federatedhermes.com/engagements/RW5nYWdlbWVudAppMjMyODk=", "Board dynamics")</f>
      </c>
      <c r="G970" s="14" t="s">
        <v>2954</v>
      </c>
      <c r="H970" s="0" t="s">
        <v>141</v>
      </c>
      <c r="I970" s="14" t="s">
        <v>131</v>
      </c>
      <c r="J970" s="0" t="s">
        <v>145</v>
      </c>
      <c r="K970" s="0" t="s">
        <v>164</v>
      </c>
      <c r="L970" s="0" t="s">
        <v>970</v>
      </c>
      <c r="M970" s="0" t="s">
        <v>802</v>
      </c>
      <c r="N970" s="0" t="s">
        <v>2941</v>
      </c>
      <c r="O970" s="0" t="s">
        <v>1125</v>
      </c>
      <c r="Q970" s="0" t="s">
        <v>141</v>
      </c>
      <c r="R970" s="0" t="s">
        <v>138</v>
      </c>
      <c r="S970" s="14">
        <v>1</v>
      </c>
      <c r="T970" s="0" t="s">
        <v>303</v>
      </c>
      <c r="U970" s="0" t="s">
        <v>138</v>
      </c>
      <c r="V970" s="14" t="s">
        <v>138</v>
      </c>
      <c r="W970" s="0" t="s">
        <v>138</v>
      </c>
      <c r="X970" s="14" t="s">
        <v>138</v>
      </c>
      <c r="Y970" s="0" t="s">
        <v>138</v>
      </c>
      <c r="Z970" s="14" t="s">
        <v>138</v>
      </c>
      <c r="AA970" s="0" t="s">
        <v>138</v>
      </c>
      <c r="AB970" s="14" t="s">
        <v>138</v>
      </c>
      <c r="AD970" s="0" t="s">
        <v>138</v>
      </c>
      <c r="AF970" s="0">
        <v>0</v>
      </c>
      <c r="AG970" s="0">
        <v>0</v>
      </c>
      <c r="AH970" s="0" t="s">
        <v>140</v>
      </c>
      <c r="AI970" s="0" t="s">
        <v>138</v>
      </c>
      <c r="AK970" s="0" t="s">
        <v>587</v>
      </c>
      <c r="AL970" s="14"/>
      <c r="AN970" s="14"/>
      <c r="AQ970" s="0" t="s">
        <v>130</v>
      </c>
      <c r="AR970" s="0" t="s">
        <v>130</v>
      </c>
      <c r="AS970" s="0" t="s">
        <v>130</v>
      </c>
      <c r="AT970" s="0" t="s">
        <v>130</v>
      </c>
      <c r="AU970" s="0" t="s">
        <v>130</v>
      </c>
      <c r="AV970" s="0" t="s">
        <v>130</v>
      </c>
      <c r="AW970" s="0" t="s">
        <v>130</v>
      </c>
      <c r="AX970" s="0" t="s">
        <v>130</v>
      </c>
      <c r="AY970" s="0" t="s">
        <v>130</v>
      </c>
      <c r="AZ970" s="0" t="s">
        <v>130</v>
      </c>
      <c r="BA970" s="0" t="s">
        <v>130</v>
      </c>
      <c r="BB970" s="0" t="s">
        <v>130</v>
      </c>
      <c r="BC970" s="0" t="s">
        <v>130</v>
      </c>
      <c r="BD970" s="0" t="s">
        <v>130</v>
      </c>
      <c r="BE970" s="0" t="s">
        <v>130</v>
      </c>
      <c r="BF970" s="0" t="s">
        <v>130</v>
      </c>
      <c r="BG970" s="0" t="s">
        <v>130</v>
      </c>
      <c r="BH970" s="0" t="s">
        <v>130</v>
      </c>
      <c r="BI970" s="0" t="s">
        <v>130</v>
      </c>
      <c r="BJ970" s="0" t="s">
        <v>130</v>
      </c>
      <c r="BK970" s="0" t="s">
        <v>130</v>
      </c>
      <c r="BL970" s="0" t="s">
        <v>130</v>
      </c>
      <c r="BM970" s="0" t="s">
        <v>130</v>
      </c>
      <c r="BN970" s="0" t="s">
        <v>130</v>
      </c>
      <c r="BO970" s="0" t="s">
        <v>130</v>
      </c>
      <c r="BP970" s="0" t="s">
        <v>130</v>
      </c>
      <c r="BQ970" s="0" t="s">
        <v>130</v>
      </c>
      <c r="BR970" s="0" t="s">
        <v>130</v>
      </c>
      <c r="BS970" s="0" t="s">
        <v>130</v>
      </c>
      <c r="BT970" s="0" t="s">
        <v>130</v>
      </c>
      <c r="BU970" s="0" t="s">
        <v>130</v>
      </c>
      <c r="BV970" s="0" t="s">
        <v>130</v>
      </c>
      <c r="BW970" s="0" t="s">
        <v>130</v>
      </c>
      <c r="BX970" s="0" t="s">
        <v>130</v>
      </c>
      <c r="BY970" s="0" t="s">
        <v>130</v>
      </c>
      <c r="BZ970" s="0" t="s">
        <v>130</v>
      </c>
      <c r="CA970" s="0" t="s">
        <v>130</v>
      </c>
      <c r="CB970" s="0" t="s">
        <v>130</v>
      </c>
      <c r="CC970" s="0" t="s">
        <v>130</v>
      </c>
      <c r="CD970" s="0" t="s">
        <v>130</v>
      </c>
      <c r="CE970" s="0" t="s">
        <v>130</v>
      </c>
      <c r="CF970" s="0" t="s">
        <v>130</v>
      </c>
      <c r="CG970" s="0" t="s">
        <v>130</v>
      </c>
      <c r="CH970" s="0" t="s">
        <v>130</v>
      </c>
      <c r="CI970" s="0" t="s">
        <v>130</v>
      </c>
      <c r="CJ970" s="0" t="s">
        <v>130</v>
      </c>
      <c r="CK970" s="0" t="s">
        <v>130</v>
      </c>
      <c r="CL970" s="0" t="s">
        <v>130</v>
      </c>
      <c r="CM970" s="0" t="s">
        <v>130</v>
      </c>
      <c r="CN970" s="0" t="s">
        <v>130</v>
      </c>
      <c r="CO970" s="0" t="s">
        <v>130</v>
      </c>
      <c r="CP970" s="0" t="s">
        <v>130</v>
      </c>
      <c r="CQ970" s="0" t="s">
        <v>130</v>
      </c>
      <c r="CR970" s="0" t="s">
        <v>130</v>
      </c>
      <c r="CS970" s="0" t="s">
        <v>130</v>
      </c>
      <c r="CT970" s="0" t="s">
        <v>2955</v>
      </c>
    </row>
    <row r="971">
      <c r="A971" s="14">
        <v>153737</v>
      </c>
      <c r="B971" s="0" t="s">
        <v>2939</v>
      </c>
      <c r="C971" s="16">
        <f>HYPERLINK("https://eosportal.federatedhermes.com/companies/Q29tcGFueQppNDc5OTI=", "Taiwan Semiconductor Manufacturing Co Ltd")</f>
      </c>
      <c r="D971" s="0" t="s">
        <v>25</v>
      </c>
      <c r="E971" s="0" t="s">
        <v>276</v>
      </c>
      <c r="F971" s="16">
        <f>HYPERLINK("https://eosportal.federatedhermes.com/engagements/RW5nYWdlbWVudAppMjMyOTA=", "Succession planning")</f>
      </c>
      <c r="G971" s="14" t="s">
        <v>2956</v>
      </c>
      <c r="H971" s="0" t="s">
        <v>141</v>
      </c>
      <c r="I971" s="14" t="s">
        <v>131</v>
      </c>
      <c r="J971" s="0" t="s">
        <v>145</v>
      </c>
      <c r="K971" s="0" t="s">
        <v>164</v>
      </c>
      <c r="L971" s="0" t="s">
        <v>277</v>
      </c>
      <c r="M971" s="0" t="s">
        <v>802</v>
      </c>
      <c r="N971" s="0" t="s">
        <v>2941</v>
      </c>
      <c r="O971" s="0" t="s">
        <v>1125</v>
      </c>
      <c r="Q971" s="0" t="s">
        <v>130</v>
      </c>
      <c r="R971" s="0" t="s">
        <v>138</v>
      </c>
      <c r="S971" s="14">
        <v>0</v>
      </c>
      <c r="T971" s="0" t="s">
        <v>390</v>
      </c>
      <c r="U971" s="0" t="s">
        <v>138</v>
      </c>
      <c r="V971" s="14" t="s">
        <v>138</v>
      </c>
      <c r="W971" s="0" t="s">
        <v>138</v>
      </c>
      <c r="X971" s="14" t="s">
        <v>138</v>
      </c>
      <c r="Y971" s="0" t="s">
        <v>138</v>
      </c>
      <c r="Z971" s="14" t="s">
        <v>138</v>
      </c>
      <c r="AA971" s="0" t="s">
        <v>138</v>
      </c>
      <c r="AB971" s="14" t="s">
        <v>138</v>
      </c>
      <c r="AD971" s="0" t="s">
        <v>138</v>
      </c>
      <c r="AF971" s="0">
        <v>0</v>
      </c>
      <c r="AG971" s="0">
        <v>0</v>
      </c>
      <c r="AH971" s="0" t="s">
        <v>140</v>
      </c>
      <c r="AI971" s="0" t="s">
        <v>138</v>
      </c>
      <c r="AL971" s="14"/>
      <c r="AN971" s="14"/>
      <c r="AQ971" s="0" t="s">
        <v>130</v>
      </c>
      <c r="AR971" s="0" t="s">
        <v>130</v>
      </c>
      <c r="AS971" s="0" t="s">
        <v>130</v>
      </c>
      <c r="AT971" s="0" t="s">
        <v>130</v>
      </c>
      <c r="AU971" s="0" t="s">
        <v>130</v>
      </c>
      <c r="AV971" s="0" t="s">
        <v>130</v>
      </c>
      <c r="AW971" s="0" t="s">
        <v>130</v>
      </c>
      <c r="AX971" s="0" t="s">
        <v>130</v>
      </c>
      <c r="AY971" s="0" t="s">
        <v>130</v>
      </c>
      <c r="AZ971" s="0" t="s">
        <v>130</v>
      </c>
      <c r="BA971" s="0" t="s">
        <v>130</v>
      </c>
      <c r="BB971" s="0" t="s">
        <v>130</v>
      </c>
      <c r="BC971" s="0" t="s">
        <v>130</v>
      </c>
      <c r="BD971" s="0" t="s">
        <v>130</v>
      </c>
      <c r="BE971" s="0" t="s">
        <v>130</v>
      </c>
      <c r="BF971" s="0" t="s">
        <v>130</v>
      </c>
      <c r="BG971" s="0" t="s">
        <v>130</v>
      </c>
      <c r="BH971" s="0" t="s">
        <v>130</v>
      </c>
      <c r="BI971" s="0" t="s">
        <v>130</v>
      </c>
      <c r="BJ971" s="0" t="s">
        <v>130</v>
      </c>
      <c r="BK971" s="0" t="s">
        <v>130</v>
      </c>
      <c r="BL971" s="0" t="s">
        <v>130</v>
      </c>
      <c r="BM971" s="0" t="s">
        <v>130</v>
      </c>
      <c r="BN971" s="0" t="s">
        <v>130</v>
      </c>
      <c r="BO971" s="0" t="s">
        <v>130</v>
      </c>
      <c r="BP971" s="0" t="s">
        <v>130</v>
      </c>
      <c r="BQ971" s="0" t="s">
        <v>130</v>
      </c>
      <c r="BR971" s="0" t="s">
        <v>130</v>
      </c>
      <c r="BS971" s="0" t="s">
        <v>130</v>
      </c>
      <c r="BT971" s="0" t="s">
        <v>130</v>
      </c>
      <c r="BU971" s="0" t="s">
        <v>130</v>
      </c>
      <c r="BV971" s="0" t="s">
        <v>130</v>
      </c>
      <c r="BW971" s="0" t="s">
        <v>130</v>
      </c>
      <c r="BX971" s="0" t="s">
        <v>130</v>
      </c>
      <c r="BY971" s="0" t="s">
        <v>130</v>
      </c>
      <c r="BZ971" s="0" t="s">
        <v>130</v>
      </c>
      <c r="CA971" s="0" t="s">
        <v>130</v>
      </c>
      <c r="CB971" s="0" t="s">
        <v>130</v>
      </c>
      <c r="CC971" s="0" t="s">
        <v>130</v>
      </c>
      <c r="CD971" s="0" t="s">
        <v>130</v>
      </c>
      <c r="CE971" s="0" t="s">
        <v>130</v>
      </c>
      <c r="CF971" s="0" t="s">
        <v>130</v>
      </c>
      <c r="CG971" s="0" t="s">
        <v>130</v>
      </c>
      <c r="CH971" s="0" t="s">
        <v>130</v>
      </c>
      <c r="CI971" s="0" t="s">
        <v>130</v>
      </c>
      <c r="CJ971" s="0" t="s">
        <v>130</v>
      </c>
      <c r="CK971" s="0" t="s">
        <v>130</v>
      </c>
      <c r="CL971" s="0" t="s">
        <v>130</v>
      </c>
      <c r="CM971" s="0" t="s">
        <v>130</v>
      </c>
      <c r="CN971" s="0" t="s">
        <v>130</v>
      </c>
      <c r="CO971" s="0" t="s">
        <v>130</v>
      </c>
      <c r="CP971" s="0" t="s">
        <v>130</v>
      </c>
      <c r="CQ971" s="0" t="s">
        <v>130</v>
      </c>
      <c r="CR971" s="0" t="s">
        <v>130</v>
      </c>
      <c r="CS971" s="0" t="s">
        <v>130</v>
      </c>
      <c r="CT971" s="0" t="s">
        <v>2957</v>
      </c>
    </row>
    <row r="972">
      <c r="A972" s="14">
        <v>153737</v>
      </c>
      <c r="B972" s="0" t="s">
        <v>2939</v>
      </c>
      <c r="C972" s="16">
        <f>HYPERLINK("https://eosportal.federatedhermes.com/companies/Q29tcGFueQppNDc5OTI=", "Taiwan Semiconductor Manufacturing Co Ltd")</f>
      </c>
      <c r="D972" s="0" t="s">
        <v>25</v>
      </c>
      <c r="E972" s="0" t="s">
        <v>2958</v>
      </c>
      <c r="F972" s="16">
        <f>HYPERLINK("https://eosportal.federatedhermes.com/engagements/RW5nYWdlbWVudAppMjMyOTE=", "Information security")</f>
      </c>
      <c r="G972" s="14" t="s">
        <v>2959</v>
      </c>
      <c r="H972" s="0" t="s">
        <v>141</v>
      </c>
      <c r="I972" s="14" t="s">
        <v>131</v>
      </c>
      <c r="J972" s="0" t="s">
        <v>132</v>
      </c>
      <c r="K972" s="0" t="s">
        <v>260</v>
      </c>
      <c r="L972" s="0" t="s">
        <v>743</v>
      </c>
      <c r="M972" s="0" t="s">
        <v>802</v>
      </c>
      <c r="N972" s="0" t="s">
        <v>2941</v>
      </c>
      <c r="O972" s="0" t="s">
        <v>1125</v>
      </c>
      <c r="Q972" s="0" t="s">
        <v>141</v>
      </c>
      <c r="R972" s="0" t="s">
        <v>138</v>
      </c>
      <c r="S972" s="14">
        <v>1</v>
      </c>
      <c r="T972" s="0" t="s">
        <v>333</v>
      </c>
      <c r="U972" s="0" t="s">
        <v>138</v>
      </c>
      <c r="V972" s="14" t="s">
        <v>138</v>
      </c>
      <c r="W972" s="0" t="s">
        <v>138</v>
      </c>
      <c r="X972" s="14" t="s">
        <v>138</v>
      </c>
      <c r="Y972" s="0" t="s">
        <v>138</v>
      </c>
      <c r="Z972" s="14" t="s">
        <v>138</v>
      </c>
      <c r="AA972" s="0" t="s">
        <v>138</v>
      </c>
      <c r="AB972" s="14" t="s">
        <v>138</v>
      </c>
      <c r="AD972" s="0" t="s">
        <v>138</v>
      </c>
      <c r="AF972" s="0">
        <v>0</v>
      </c>
      <c r="AG972" s="0">
        <v>0</v>
      </c>
      <c r="AH972" s="0" t="s">
        <v>140</v>
      </c>
      <c r="AI972" s="0" t="s">
        <v>138</v>
      </c>
      <c r="AK972" s="0" t="s">
        <v>587</v>
      </c>
      <c r="AL972" s="14"/>
      <c r="AN972" s="14"/>
      <c r="AQ972" s="0" t="s">
        <v>130</v>
      </c>
      <c r="AR972" s="0" t="s">
        <v>130</v>
      </c>
      <c r="AS972" s="0" t="s">
        <v>130</v>
      </c>
      <c r="AT972" s="0" t="s">
        <v>130</v>
      </c>
      <c r="AU972" s="0" t="s">
        <v>130</v>
      </c>
      <c r="AV972" s="0" t="s">
        <v>130</v>
      </c>
      <c r="AW972" s="0" t="s">
        <v>130</v>
      </c>
      <c r="AX972" s="0" t="s">
        <v>130</v>
      </c>
      <c r="AY972" s="0" t="s">
        <v>130</v>
      </c>
      <c r="AZ972" s="0" t="s">
        <v>130</v>
      </c>
      <c r="BA972" s="0" t="s">
        <v>130</v>
      </c>
      <c r="BB972" s="0" t="s">
        <v>130</v>
      </c>
      <c r="BC972" s="0" t="s">
        <v>130</v>
      </c>
      <c r="BD972" s="0" t="s">
        <v>130</v>
      </c>
      <c r="BE972" s="0" t="s">
        <v>130</v>
      </c>
      <c r="BF972" s="0" t="s">
        <v>130</v>
      </c>
      <c r="BG972" s="0" t="s">
        <v>130</v>
      </c>
      <c r="BH972" s="0" t="s">
        <v>130</v>
      </c>
      <c r="BI972" s="0" t="s">
        <v>130</v>
      </c>
      <c r="BJ972" s="0" t="s">
        <v>130</v>
      </c>
      <c r="BK972" s="0" t="s">
        <v>130</v>
      </c>
      <c r="BL972" s="0" t="s">
        <v>130</v>
      </c>
      <c r="BM972" s="0" t="s">
        <v>130</v>
      </c>
      <c r="BN972" s="0" t="s">
        <v>130</v>
      </c>
      <c r="BO972" s="0" t="s">
        <v>130</v>
      </c>
      <c r="BP972" s="0" t="s">
        <v>130</v>
      </c>
      <c r="BQ972" s="0" t="s">
        <v>130</v>
      </c>
      <c r="BR972" s="0" t="s">
        <v>130</v>
      </c>
      <c r="BS972" s="0" t="s">
        <v>130</v>
      </c>
      <c r="BT972" s="0" t="s">
        <v>130</v>
      </c>
      <c r="BU972" s="0" t="s">
        <v>130</v>
      </c>
      <c r="BV972" s="0" t="s">
        <v>130</v>
      </c>
      <c r="BW972" s="0" t="s">
        <v>130</v>
      </c>
      <c r="BX972" s="0" t="s">
        <v>130</v>
      </c>
      <c r="BY972" s="0" t="s">
        <v>130</v>
      </c>
      <c r="BZ972" s="0" t="s">
        <v>130</v>
      </c>
      <c r="CA972" s="0" t="s">
        <v>130</v>
      </c>
      <c r="CB972" s="0" t="s">
        <v>130</v>
      </c>
      <c r="CC972" s="0" t="s">
        <v>130</v>
      </c>
      <c r="CD972" s="0" t="s">
        <v>130</v>
      </c>
      <c r="CE972" s="0" t="s">
        <v>130</v>
      </c>
      <c r="CF972" s="0" t="s">
        <v>130</v>
      </c>
      <c r="CG972" s="0" t="s">
        <v>130</v>
      </c>
      <c r="CH972" s="0" t="s">
        <v>130</v>
      </c>
      <c r="CI972" s="0" t="s">
        <v>130</v>
      </c>
      <c r="CJ972" s="0" t="s">
        <v>130</v>
      </c>
      <c r="CK972" s="0" t="s">
        <v>130</v>
      </c>
      <c r="CL972" s="0" t="s">
        <v>130</v>
      </c>
      <c r="CM972" s="0" t="s">
        <v>130</v>
      </c>
      <c r="CN972" s="0" t="s">
        <v>130</v>
      </c>
      <c r="CO972" s="0" t="s">
        <v>130</v>
      </c>
      <c r="CP972" s="0" t="s">
        <v>130</v>
      </c>
      <c r="CQ972" s="0" t="s">
        <v>130</v>
      </c>
      <c r="CR972" s="0" t="s">
        <v>130</v>
      </c>
      <c r="CS972" s="0" t="s">
        <v>130</v>
      </c>
      <c r="CT972" s="0" t="s">
        <v>2960</v>
      </c>
    </row>
    <row r="973">
      <c r="A973" s="14">
        <v>153737</v>
      </c>
      <c r="B973" s="0" t="s">
        <v>2939</v>
      </c>
      <c r="C973" s="16">
        <f>HYPERLINK("https://eosportal.federatedhermes.com/companies/Q29tcGFueQppNDc5OTI=", "Taiwan Semiconductor Manufacturing Co Ltd")</f>
      </c>
      <c r="D973" s="0" t="s">
        <v>25</v>
      </c>
      <c r="E973" s="0" t="s">
        <v>2644</v>
      </c>
      <c r="F973" s="16">
        <f>HYPERLINK("https://eosportal.federatedhermes.com/engagements/RW5nYWdlbWVudAppMjMyOTI=", "Cobalt supply chain")</f>
      </c>
      <c r="G973" s="14" t="s">
        <v>2961</v>
      </c>
      <c r="H973" s="0" t="s">
        <v>141</v>
      </c>
      <c r="I973" s="14" t="s">
        <v>131</v>
      </c>
      <c r="J973" s="0" t="s">
        <v>153</v>
      </c>
      <c r="K973" s="0" t="s">
        <v>243</v>
      </c>
      <c r="L973" s="0" t="s">
        <v>244</v>
      </c>
      <c r="M973" s="0" t="s">
        <v>802</v>
      </c>
      <c r="N973" s="0" t="s">
        <v>2941</v>
      </c>
      <c r="O973" s="0" t="s">
        <v>1125</v>
      </c>
      <c r="Q973" s="0" t="s">
        <v>130</v>
      </c>
      <c r="R973" s="0" t="s">
        <v>138</v>
      </c>
      <c r="S973" s="14">
        <v>0</v>
      </c>
      <c r="T973" s="0" t="s">
        <v>249</v>
      </c>
      <c r="U973" s="0" t="s">
        <v>138</v>
      </c>
      <c r="V973" s="14" t="s">
        <v>138</v>
      </c>
      <c r="W973" s="0" t="s">
        <v>138</v>
      </c>
      <c r="X973" s="14" t="s">
        <v>138</v>
      </c>
      <c r="Y973" s="0" t="s">
        <v>138</v>
      </c>
      <c r="Z973" s="14" t="s">
        <v>138</v>
      </c>
      <c r="AA973" s="0" t="s">
        <v>138</v>
      </c>
      <c r="AB973" s="14" t="s">
        <v>138</v>
      </c>
      <c r="AD973" s="0" t="s">
        <v>138</v>
      </c>
      <c r="AF973" s="0">
        <v>0</v>
      </c>
      <c r="AG973" s="0">
        <v>0</v>
      </c>
      <c r="AH973" s="0" t="s">
        <v>140</v>
      </c>
      <c r="AI973" s="0" t="s">
        <v>138</v>
      </c>
      <c r="AL973" s="14"/>
      <c r="AN973" s="14"/>
      <c r="AQ973" s="0" t="s">
        <v>130</v>
      </c>
      <c r="AR973" s="0" t="s">
        <v>130</v>
      </c>
      <c r="AS973" s="0" t="s">
        <v>130</v>
      </c>
      <c r="AT973" s="0" t="s">
        <v>130</v>
      </c>
      <c r="AU973" s="0" t="s">
        <v>130</v>
      </c>
      <c r="AV973" s="0" t="s">
        <v>130</v>
      </c>
      <c r="AW973" s="0" t="s">
        <v>130</v>
      </c>
      <c r="AX973" s="0" t="s">
        <v>141</v>
      </c>
      <c r="AY973" s="0" t="s">
        <v>130</v>
      </c>
      <c r="AZ973" s="0" t="s">
        <v>130</v>
      </c>
      <c r="BA973" s="0" t="s">
        <v>130</v>
      </c>
      <c r="BB973" s="0" t="s">
        <v>130</v>
      </c>
      <c r="BC973" s="0" t="s">
        <v>130</v>
      </c>
      <c r="BD973" s="0" t="s">
        <v>130</v>
      </c>
      <c r="BE973" s="0" t="s">
        <v>130</v>
      </c>
      <c r="BF973" s="0" t="s">
        <v>130</v>
      </c>
      <c r="BG973" s="0" t="s">
        <v>130</v>
      </c>
      <c r="BH973" s="0" t="s">
        <v>130</v>
      </c>
      <c r="BI973" s="0" t="s">
        <v>130</v>
      </c>
      <c r="BJ973" s="0" t="s">
        <v>130</v>
      </c>
      <c r="BK973" s="0" t="s">
        <v>130</v>
      </c>
      <c r="BL973" s="0" t="s">
        <v>130</v>
      </c>
      <c r="BM973" s="0" t="s">
        <v>130</v>
      </c>
      <c r="BN973" s="0" t="s">
        <v>130</v>
      </c>
      <c r="BO973" s="0" t="s">
        <v>130</v>
      </c>
      <c r="BP973" s="0" t="s">
        <v>130</v>
      </c>
      <c r="BQ973" s="0" t="s">
        <v>130</v>
      </c>
      <c r="BR973" s="0" t="s">
        <v>130</v>
      </c>
      <c r="BS973" s="0" t="s">
        <v>130</v>
      </c>
      <c r="BT973" s="0" t="s">
        <v>130</v>
      </c>
      <c r="BU973" s="0" t="s">
        <v>130</v>
      </c>
      <c r="BV973" s="0" t="s">
        <v>130</v>
      </c>
      <c r="BW973" s="0" t="s">
        <v>130</v>
      </c>
      <c r="BX973" s="0" t="s">
        <v>130</v>
      </c>
      <c r="BY973" s="0" t="s">
        <v>130</v>
      </c>
      <c r="BZ973" s="0" t="s">
        <v>130</v>
      </c>
      <c r="CA973" s="0" t="s">
        <v>130</v>
      </c>
      <c r="CB973" s="0" t="s">
        <v>130</v>
      </c>
      <c r="CC973" s="0" t="s">
        <v>130</v>
      </c>
      <c r="CD973" s="0" t="s">
        <v>130</v>
      </c>
      <c r="CE973" s="0" t="s">
        <v>130</v>
      </c>
      <c r="CF973" s="0" t="s">
        <v>130</v>
      </c>
      <c r="CG973" s="0" t="s">
        <v>130</v>
      </c>
      <c r="CH973" s="0" t="s">
        <v>130</v>
      </c>
      <c r="CI973" s="0" t="s">
        <v>130</v>
      </c>
      <c r="CJ973" s="0" t="s">
        <v>130</v>
      </c>
      <c r="CK973" s="0" t="s">
        <v>130</v>
      </c>
      <c r="CL973" s="0" t="s">
        <v>130</v>
      </c>
      <c r="CM973" s="0" t="s">
        <v>130</v>
      </c>
      <c r="CN973" s="0" t="s">
        <v>130</v>
      </c>
      <c r="CO973" s="0" t="s">
        <v>130</v>
      </c>
      <c r="CP973" s="0" t="s">
        <v>130</v>
      </c>
      <c r="CQ973" s="0" t="s">
        <v>130</v>
      </c>
      <c r="CR973" s="0" t="s">
        <v>130</v>
      </c>
      <c r="CS973" s="0" t="s">
        <v>130</v>
      </c>
      <c r="CT973" s="0" t="s">
        <v>2962</v>
      </c>
    </row>
    <row r="974">
      <c r="A974" s="14">
        <v>153737</v>
      </c>
      <c r="B974" s="0" t="s">
        <v>2939</v>
      </c>
      <c r="C974" s="16">
        <f>HYPERLINK("https://eosportal.federatedhermes.com/companies/Q29tcGFueQppNDc5OTI=", "Taiwan Semiconductor Manufacturing Co Ltd")</f>
      </c>
      <c r="D974" s="0" t="s">
        <v>25</v>
      </c>
      <c r="E974" s="0" t="s">
        <v>2963</v>
      </c>
      <c r="F974" s="16">
        <f>HYPERLINK("https://eosportal.federatedhermes.com/engagements/RW5nYWdlbWVudAppMjMyOTM=", "100% recycled water management")</f>
      </c>
      <c r="G974" s="14" t="s">
        <v>2964</v>
      </c>
      <c r="H974" s="0" t="s">
        <v>141</v>
      </c>
      <c r="I974" s="14" t="s">
        <v>131</v>
      </c>
      <c r="J974" s="0" t="s">
        <v>197</v>
      </c>
      <c r="K974" s="0" t="s">
        <v>337</v>
      </c>
      <c r="L974" s="0" t="s">
        <v>338</v>
      </c>
      <c r="M974" s="0" t="s">
        <v>802</v>
      </c>
      <c r="N974" s="0" t="s">
        <v>2941</v>
      </c>
      <c r="O974" s="0" t="s">
        <v>1125</v>
      </c>
      <c r="Q974" s="0" t="s">
        <v>130</v>
      </c>
      <c r="R974" s="0" t="s">
        <v>138</v>
      </c>
      <c r="S974" s="14">
        <v>0</v>
      </c>
      <c r="T974" s="0" t="s">
        <v>166</v>
      </c>
      <c r="U974" s="0" t="s">
        <v>138</v>
      </c>
      <c r="V974" s="14" t="s">
        <v>138</v>
      </c>
      <c r="W974" s="0" t="s">
        <v>138</v>
      </c>
      <c r="X974" s="14" t="s">
        <v>138</v>
      </c>
      <c r="Y974" s="0" t="s">
        <v>138</v>
      </c>
      <c r="Z974" s="14" t="s">
        <v>138</v>
      </c>
      <c r="AA974" s="0" t="s">
        <v>138</v>
      </c>
      <c r="AB974" s="14" t="s">
        <v>138</v>
      </c>
      <c r="AD974" s="0" t="s">
        <v>138</v>
      </c>
      <c r="AF974" s="0">
        <v>0</v>
      </c>
      <c r="AG974" s="0">
        <v>0</v>
      </c>
      <c r="AH974" s="0" t="s">
        <v>140</v>
      </c>
      <c r="AI974" s="0" t="s">
        <v>138</v>
      </c>
      <c r="AL974" s="14"/>
      <c r="AN974" s="14"/>
      <c r="AQ974" s="0" t="s">
        <v>130</v>
      </c>
      <c r="AR974" s="0" t="s">
        <v>130</v>
      </c>
      <c r="AS974" s="0" t="s">
        <v>130</v>
      </c>
      <c r="AT974" s="0" t="s">
        <v>130</v>
      </c>
      <c r="AU974" s="0" t="s">
        <v>130</v>
      </c>
      <c r="AV974" s="0" t="s">
        <v>141</v>
      </c>
      <c r="AW974" s="0" t="s">
        <v>130</v>
      </c>
      <c r="AX974" s="0" t="s">
        <v>130</v>
      </c>
      <c r="AY974" s="0" t="s">
        <v>130</v>
      </c>
      <c r="AZ974" s="0" t="s">
        <v>130</v>
      </c>
      <c r="BA974" s="0" t="s">
        <v>130</v>
      </c>
      <c r="BB974" s="0" t="s">
        <v>130</v>
      </c>
      <c r="BC974" s="0" t="s">
        <v>130</v>
      </c>
      <c r="BD974" s="0" t="s">
        <v>130</v>
      </c>
      <c r="BE974" s="0" t="s">
        <v>130</v>
      </c>
      <c r="BF974" s="0" t="s">
        <v>130</v>
      </c>
      <c r="BG974" s="0" t="s">
        <v>130</v>
      </c>
      <c r="BH974" s="0" t="s">
        <v>130</v>
      </c>
      <c r="BI974" s="0" t="s">
        <v>130</v>
      </c>
      <c r="BJ974" s="0" t="s">
        <v>130</v>
      </c>
      <c r="BK974" s="0" t="s">
        <v>130</v>
      </c>
      <c r="BL974" s="0" t="s">
        <v>130</v>
      </c>
      <c r="BM974" s="0" t="s">
        <v>130</v>
      </c>
      <c r="BN974" s="0" t="s">
        <v>130</v>
      </c>
      <c r="BO974" s="0" t="s">
        <v>130</v>
      </c>
      <c r="BP974" s="0" t="s">
        <v>130</v>
      </c>
      <c r="BQ974" s="0" t="s">
        <v>130</v>
      </c>
      <c r="BR974" s="0" t="s">
        <v>130</v>
      </c>
      <c r="BS974" s="0" t="s">
        <v>130</v>
      </c>
      <c r="BT974" s="0" t="s">
        <v>130</v>
      </c>
      <c r="BU974" s="0" t="s">
        <v>130</v>
      </c>
      <c r="BV974" s="0" t="s">
        <v>130</v>
      </c>
      <c r="BW974" s="0" t="s">
        <v>130</v>
      </c>
      <c r="BX974" s="0" t="s">
        <v>141</v>
      </c>
      <c r="BY974" s="0" t="s">
        <v>130</v>
      </c>
      <c r="BZ974" s="0" t="s">
        <v>130</v>
      </c>
      <c r="CA974" s="0" t="s">
        <v>130</v>
      </c>
      <c r="CB974" s="0" t="s">
        <v>130</v>
      </c>
      <c r="CC974" s="0" t="s">
        <v>130</v>
      </c>
      <c r="CD974" s="0" t="s">
        <v>130</v>
      </c>
      <c r="CE974" s="0" t="s">
        <v>130</v>
      </c>
      <c r="CF974" s="0" t="s">
        <v>130</v>
      </c>
      <c r="CG974" s="0" t="s">
        <v>130</v>
      </c>
      <c r="CH974" s="0" t="s">
        <v>130</v>
      </c>
      <c r="CI974" s="0" t="s">
        <v>130</v>
      </c>
      <c r="CJ974" s="0" t="s">
        <v>130</v>
      </c>
      <c r="CK974" s="0" t="s">
        <v>130</v>
      </c>
      <c r="CL974" s="0" t="s">
        <v>130</v>
      </c>
      <c r="CM974" s="0" t="s">
        <v>130</v>
      </c>
      <c r="CN974" s="0" t="s">
        <v>130</v>
      </c>
      <c r="CO974" s="0" t="s">
        <v>130</v>
      </c>
      <c r="CP974" s="0" t="s">
        <v>130</v>
      </c>
      <c r="CQ974" s="0" t="s">
        <v>130</v>
      </c>
      <c r="CR974" s="0" t="s">
        <v>130</v>
      </c>
      <c r="CS974" s="0" t="s">
        <v>130</v>
      </c>
      <c r="CT974" s="0" t="s">
        <v>2965</v>
      </c>
    </row>
    <row r="975">
      <c r="A975" s="14">
        <v>154561</v>
      </c>
      <c r="B975" s="0" t="s">
        <v>2966</v>
      </c>
      <c r="C975" s="16">
        <f>HYPERLINK("https://eosportal.federatedhermes.com/companies/Q29tcGFueQppNzU2ODg=", "Tata Steel Ltd")</f>
      </c>
      <c r="D975" s="0" t="s">
        <v>25</v>
      </c>
      <c r="E975" s="0" t="s">
        <v>2967</v>
      </c>
      <c r="F975" s="16">
        <f>HYPERLINK("https://eosportal.federatedhermes.com/engagements/RW5nYWdlbWVudAppMjMzNTQ=", "Environmental issuse")</f>
      </c>
      <c r="G975" s="14" t="s">
        <v>2968</v>
      </c>
      <c r="H975" s="0" t="s">
        <v>141</v>
      </c>
      <c r="I975" s="14" t="s">
        <v>636</v>
      </c>
      <c r="J975" s="0" t="s">
        <v>197</v>
      </c>
      <c r="K975" s="0" t="s">
        <v>337</v>
      </c>
      <c r="L975" s="0" t="s">
        <v>576</v>
      </c>
      <c r="M975" s="0" t="s">
        <v>2807</v>
      </c>
      <c r="N975" s="0" t="s">
        <v>2969</v>
      </c>
      <c r="O975" s="0" t="s">
        <v>373</v>
      </c>
      <c r="Q975" s="0" t="s">
        <v>130</v>
      </c>
      <c r="R975" s="0" t="s">
        <v>138</v>
      </c>
      <c r="S975" s="14">
        <v>0</v>
      </c>
      <c r="T975" s="0" t="s">
        <v>303</v>
      </c>
      <c r="U975" s="0" t="s">
        <v>138</v>
      </c>
      <c r="V975" s="14" t="s">
        <v>138</v>
      </c>
      <c r="W975" s="0" t="s">
        <v>138</v>
      </c>
      <c r="X975" s="14" t="s">
        <v>138</v>
      </c>
      <c r="Y975" s="0" t="s">
        <v>138</v>
      </c>
      <c r="Z975" s="14" t="s">
        <v>138</v>
      </c>
      <c r="AA975" s="0" t="s">
        <v>138</v>
      </c>
      <c r="AB975" s="14" t="s">
        <v>138</v>
      </c>
      <c r="AD975" s="0" t="s">
        <v>138</v>
      </c>
      <c r="AF975" s="0">
        <v>0</v>
      </c>
      <c r="AG975" s="0">
        <v>0</v>
      </c>
      <c r="AH975" s="0" t="s">
        <v>140</v>
      </c>
      <c r="AI975" s="0" t="s">
        <v>138</v>
      </c>
      <c r="AL975" s="14"/>
      <c r="AN975" s="14"/>
      <c r="AQ975" s="0" t="s">
        <v>130</v>
      </c>
      <c r="AR975" s="0" t="s">
        <v>130</v>
      </c>
      <c r="AS975" s="0" t="s">
        <v>130</v>
      </c>
      <c r="AT975" s="0" t="s">
        <v>130</v>
      </c>
      <c r="AU975" s="0" t="s">
        <v>130</v>
      </c>
      <c r="AV975" s="0" t="s">
        <v>130</v>
      </c>
      <c r="AW975" s="0" t="s">
        <v>130</v>
      </c>
      <c r="AX975" s="0" t="s">
        <v>130</v>
      </c>
      <c r="AY975" s="0" t="s">
        <v>130</v>
      </c>
      <c r="AZ975" s="0" t="s">
        <v>130</v>
      </c>
      <c r="BA975" s="0" t="s">
        <v>130</v>
      </c>
      <c r="BB975" s="0" t="s">
        <v>141</v>
      </c>
      <c r="BC975" s="0" t="s">
        <v>130</v>
      </c>
      <c r="BD975" s="0" t="s">
        <v>130</v>
      </c>
      <c r="BE975" s="0" t="s">
        <v>141</v>
      </c>
      <c r="BF975" s="0" t="s">
        <v>130</v>
      </c>
      <c r="BG975" s="0" t="s">
        <v>130</v>
      </c>
      <c r="BH975" s="0" t="s">
        <v>130</v>
      </c>
      <c r="BI975" s="0" t="s">
        <v>130</v>
      </c>
      <c r="BJ975" s="0" t="s">
        <v>130</v>
      </c>
      <c r="BK975" s="0" t="s">
        <v>130</v>
      </c>
      <c r="BL975" s="0" t="s">
        <v>130</v>
      </c>
      <c r="BM975" s="0" t="s">
        <v>130</v>
      </c>
      <c r="BN975" s="0" t="s">
        <v>130</v>
      </c>
      <c r="BO975" s="0" t="s">
        <v>130</v>
      </c>
      <c r="BP975" s="0" t="s">
        <v>130</v>
      </c>
      <c r="BQ975" s="0" t="s">
        <v>130</v>
      </c>
      <c r="BR975" s="0" t="s">
        <v>130</v>
      </c>
      <c r="BS975" s="0" t="s">
        <v>130</v>
      </c>
      <c r="BT975" s="0" t="s">
        <v>130</v>
      </c>
      <c r="BU975" s="0" t="s">
        <v>130</v>
      </c>
      <c r="BV975" s="0" t="s">
        <v>130</v>
      </c>
      <c r="BW975" s="0" t="s">
        <v>130</v>
      </c>
      <c r="BX975" s="0" t="s">
        <v>130</v>
      </c>
      <c r="BY975" s="0" t="s">
        <v>130</v>
      </c>
      <c r="BZ975" s="0" t="s">
        <v>130</v>
      </c>
      <c r="CA975" s="0" t="s">
        <v>130</v>
      </c>
      <c r="CB975" s="0" t="s">
        <v>130</v>
      </c>
      <c r="CC975" s="0" t="s">
        <v>130</v>
      </c>
      <c r="CD975" s="0" t="s">
        <v>130</v>
      </c>
      <c r="CE975" s="0" t="s">
        <v>130</v>
      </c>
      <c r="CF975" s="0" t="s">
        <v>130</v>
      </c>
      <c r="CG975" s="0" t="s">
        <v>130</v>
      </c>
      <c r="CH975" s="0" t="s">
        <v>130</v>
      </c>
      <c r="CI975" s="0" t="s">
        <v>130</v>
      </c>
      <c r="CJ975" s="0" t="s">
        <v>130</v>
      </c>
      <c r="CK975" s="0" t="s">
        <v>130</v>
      </c>
      <c r="CL975" s="0" t="s">
        <v>130</v>
      </c>
      <c r="CM975" s="0" t="s">
        <v>130</v>
      </c>
      <c r="CN975" s="0" t="s">
        <v>130</v>
      </c>
      <c r="CO975" s="0" t="s">
        <v>130</v>
      </c>
      <c r="CP975" s="0" t="s">
        <v>130</v>
      </c>
      <c r="CQ975" s="0" t="s">
        <v>130</v>
      </c>
      <c r="CR975" s="0" t="s">
        <v>130</v>
      </c>
      <c r="CS975" s="0" t="s">
        <v>130</v>
      </c>
      <c r="CT975" s="0" t="s">
        <v>2970</v>
      </c>
    </row>
    <row r="976">
      <c r="A976" s="14">
        <v>154561</v>
      </c>
      <c r="B976" s="0" t="s">
        <v>2966</v>
      </c>
      <c r="C976" s="16">
        <f>HYPERLINK("https://eosportal.federatedhermes.com/companies/Q29tcGFueQppNzU2ODg=", "Tata Steel Ltd")</f>
      </c>
      <c r="D976" s="0" t="s">
        <v>25</v>
      </c>
      <c r="E976" s="0" t="s">
        <v>2734</v>
      </c>
      <c r="F976" s="16">
        <f>HYPERLINK("https://eosportal.federatedhermes.com/engagements/RW5nYWdlbWVudAppMjMzNTU=", "Health and safety")</f>
      </c>
      <c r="G976" s="14" t="s">
        <v>2971</v>
      </c>
      <c r="H976" s="0" t="s">
        <v>141</v>
      </c>
      <c r="I976" s="14" t="s">
        <v>636</v>
      </c>
      <c r="J976" s="0" t="s">
        <v>153</v>
      </c>
      <c r="K976" s="0" t="s">
        <v>154</v>
      </c>
      <c r="L976" s="0" t="s">
        <v>306</v>
      </c>
      <c r="M976" s="0" t="s">
        <v>2807</v>
      </c>
      <c r="N976" s="0" t="s">
        <v>2969</v>
      </c>
      <c r="O976" s="0" t="s">
        <v>373</v>
      </c>
      <c r="Q976" s="0" t="s">
        <v>130</v>
      </c>
      <c r="R976" s="0" t="s">
        <v>138</v>
      </c>
      <c r="S976" s="14">
        <v>0</v>
      </c>
      <c r="T976" s="0" t="s">
        <v>303</v>
      </c>
      <c r="U976" s="0" t="s">
        <v>138</v>
      </c>
      <c r="V976" s="14" t="s">
        <v>138</v>
      </c>
      <c r="W976" s="0" t="s">
        <v>138</v>
      </c>
      <c r="X976" s="14" t="s">
        <v>138</v>
      </c>
      <c r="Y976" s="0" t="s">
        <v>138</v>
      </c>
      <c r="Z976" s="14" t="s">
        <v>138</v>
      </c>
      <c r="AA976" s="0" t="s">
        <v>138</v>
      </c>
      <c r="AB976" s="14" t="s">
        <v>138</v>
      </c>
      <c r="AD976" s="0" t="s">
        <v>138</v>
      </c>
      <c r="AF976" s="0">
        <v>0</v>
      </c>
      <c r="AG976" s="0">
        <v>0</v>
      </c>
      <c r="AH976" s="0" t="s">
        <v>140</v>
      </c>
      <c r="AI976" s="0" t="s">
        <v>138</v>
      </c>
      <c r="AL976" s="14"/>
      <c r="AN976" s="14"/>
      <c r="AQ976" s="0" t="s">
        <v>130</v>
      </c>
      <c r="AR976" s="0" t="s">
        <v>130</v>
      </c>
      <c r="AS976" s="0" t="s">
        <v>130</v>
      </c>
      <c r="AT976" s="0" t="s">
        <v>130</v>
      </c>
      <c r="AU976" s="0" t="s">
        <v>130</v>
      </c>
      <c r="AV976" s="0" t="s">
        <v>130</v>
      </c>
      <c r="AW976" s="0" t="s">
        <v>130</v>
      </c>
      <c r="AX976" s="0" t="s">
        <v>130</v>
      </c>
      <c r="AY976" s="0" t="s">
        <v>130</v>
      </c>
      <c r="AZ976" s="0" t="s">
        <v>130</v>
      </c>
      <c r="BA976" s="0" t="s">
        <v>130</v>
      </c>
      <c r="BB976" s="0" t="s">
        <v>130</v>
      </c>
      <c r="BC976" s="0" t="s">
        <v>130</v>
      </c>
      <c r="BD976" s="0" t="s">
        <v>130</v>
      </c>
      <c r="BE976" s="0" t="s">
        <v>130</v>
      </c>
      <c r="BF976" s="0" t="s">
        <v>130</v>
      </c>
      <c r="BG976" s="0" t="s">
        <v>130</v>
      </c>
      <c r="BH976" s="0" t="s">
        <v>130</v>
      </c>
      <c r="BI976" s="0" t="s">
        <v>130</v>
      </c>
      <c r="BJ976" s="0" t="s">
        <v>130</v>
      </c>
      <c r="BK976" s="0" t="s">
        <v>130</v>
      </c>
      <c r="BL976" s="0" t="s">
        <v>130</v>
      </c>
      <c r="BM976" s="0" t="s">
        <v>130</v>
      </c>
      <c r="BN976" s="0" t="s">
        <v>130</v>
      </c>
      <c r="BO976" s="0" t="s">
        <v>130</v>
      </c>
      <c r="BP976" s="0" t="s">
        <v>130</v>
      </c>
      <c r="BQ976" s="0" t="s">
        <v>130</v>
      </c>
      <c r="BR976" s="0" t="s">
        <v>130</v>
      </c>
      <c r="BS976" s="0" t="s">
        <v>130</v>
      </c>
      <c r="BT976" s="0" t="s">
        <v>130</v>
      </c>
      <c r="BU976" s="0" t="s">
        <v>130</v>
      </c>
      <c r="BV976" s="0" t="s">
        <v>130</v>
      </c>
      <c r="BW976" s="0" t="s">
        <v>130</v>
      </c>
      <c r="BX976" s="0" t="s">
        <v>130</v>
      </c>
      <c r="BY976" s="0" t="s">
        <v>130</v>
      </c>
      <c r="BZ976" s="0" t="s">
        <v>130</v>
      </c>
      <c r="CA976" s="0" t="s">
        <v>130</v>
      </c>
      <c r="CB976" s="0" t="s">
        <v>130</v>
      </c>
      <c r="CC976" s="0" t="s">
        <v>130</v>
      </c>
      <c r="CD976" s="0" t="s">
        <v>130</v>
      </c>
      <c r="CE976" s="0" t="s">
        <v>130</v>
      </c>
      <c r="CF976" s="0" t="s">
        <v>130</v>
      </c>
      <c r="CG976" s="0" t="s">
        <v>130</v>
      </c>
      <c r="CH976" s="0" t="s">
        <v>130</v>
      </c>
      <c r="CI976" s="0" t="s">
        <v>130</v>
      </c>
      <c r="CJ976" s="0" t="s">
        <v>130</v>
      </c>
      <c r="CK976" s="0" t="s">
        <v>130</v>
      </c>
      <c r="CL976" s="0" t="s">
        <v>130</v>
      </c>
      <c r="CM976" s="0" t="s">
        <v>130</v>
      </c>
      <c r="CN976" s="0" t="s">
        <v>130</v>
      </c>
      <c r="CO976" s="0" t="s">
        <v>130</v>
      </c>
      <c r="CP976" s="0" t="s">
        <v>130</v>
      </c>
      <c r="CQ976" s="0" t="s">
        <v>130</v>
      </c>
      <c r="CR976" s="0" t="s">
        <v>130</v>
      </c>
      <c r="CS976" s="0" t="s">
        <v>130</v>
      </c>
      <c r="CT976" s="0" t="s">
        <v>2972</v>
      </c>
    </row>
    <row r="977">
      <c r="A977" s="14">
        <v>119133</v>
      </c>
      <c r="B977" s="0" t="s">
        <v>2973</v>
      </c>
      <c r="C977" s="16">
        <f>HYPERLINK("https://eosportal.federatedhermes.com/companies/Q29tcGFueQppNzU2NjY=", "Hon Hai Precision Industry Co Ltd")</f>
      </c>
      <c r="D977" s="0" t="s">
        <v>25</v>
      </c>
      <c r="E977" s="0" t="s">
        <v>2974</v>
      </c>
      <c r="F977" s="16">
        <f>HYPERLINK("https://eosportal.federatedhermes.com/engagements/RW5nYWdlbWVudAppMjM0Mzg=", "Forced labour in China")</f>
      </c>
      <c r="G977" s="14" t="s">
        <v>2975</v>
      </c>
      <c r="H977" s="0" t="s">
        <v>141</v>
      </c>
      <c r="I977" s="14" t="s">
        <v>191</v>
      </c>
      <c r="J977" s="0" t="s">
        <v>153</v>
      </c>
      <c r="K977" s="0" t="s">
        <v>243</v>
      </c>
      <c r="L977" s="0" t="s">
        <v>456</v>
      </c>
      <c r="M977" s="0" t="s">
        <v>802</v>
      </c>
      <c r="N977" s="0" t="s">
        <v>2941</v>
      </c>
      <c r="O977" s="0" t="s">
        <v>1125</v>
      </c>
      <c r="Q977" s="0" t="s">
        <v>141</v>
      </c>
      <c r="R977" s="0" t="s">
        <v>138</v>
      </c>
      <c r="S977" s="14">
        <v>1</v>
      </c>
      <c r="T977" s="0" t="s">
        <v>394</v>
      </c>
      <c r="U977" s="0" t="s">
        <v>138</v>
      </c>
      <c r="V977" s="14" t="s">
        <v>138</v>
      </c>
      <c r="W977" s="0" t="s">
        <v>138</v>
      </c>
      <c r="X977" s="14" t="s">
        <v>138</v>
      </c>
      <c r="Y977" s="0" t="s">
        <v>138</v>
      </c>
      <c r="Z977" s="14" t="s">
        <v>138</v>
      </c>
      <c r="AA977" s="0" t="s">
        <v>138</v>
      </c>
      <c r="AB977" s="14" t="s">
        <v>138</v>
      </c>
      <c r="AD977" s="0" t="s">
        <v>138</v>
      </c>
      <c r="AF977" s="0">
        <v>0</v>
      </c>
      <c r="AG977" s="0">
        <v>0</v>
      </c>
      <c r="AH977" s="0" t="s">
        <v>140</v>
      </c>
      <c r="AI977" s="0" t="s">
        <v>138</v>
      </c>
      <c r="AK977" s="0" t="s">
        <v>2976</v>
      </c>
      <c r="AL977" s="14"/>
      <c r="AN977" s="14"/>
      <c r="AQ977" s="0" t="s">
        <v>130</v>
      </c>
      <c r="AR977" s="0" t="s">
        <v>130</v>
      </c>
      <c r="AS977" s="0" t="s">
        <v>130</v>
      </c>
      <c r="AT977" s="0" t="s">
        <v>130</v>
      </c>
      <c r="AU977" s="0" t="s">
        <v>130</v>
      </c>
      <c r="AV977" s="0" t="s">
        <v>130</v>
      </c>
      <c r="AW977" s="0" t="s">
        <v>130</v>
      </c>
      <c r="AX977" s="0" t="s">
        <v>141</v>
      </c>
      <c r="AY977" s="0" t="s">
        <v>130</v>
      </c>
      <c r="AZ977" s="0" t="s">
        <v>130</v>
      </c>
      <c r="BA977" s="0" t="s">
        <v>130</v>
      </c>
      <c r="BB977" s="0" t="s">
        <v>130</v>
      </c>
      <c r="BC977" s="0" t="s">
        <v>130</v>
      </c>
      <c r="BD977" s="0" t="s">
        <v>130</v>
      </c>
      <c r="BE977" s="0" t="s">
        <v>130</v>
      </c>
      <c r="BF977" s="0" t="s">
        <v>141</v>
      </c>
      <c r="BG977" s="0" t="s">
        <v>130</v>
      </c>
      <c r="BH977" s="0" t="s">
        <v>130</v>
      </c>
      <c r="BI977" s="0" t="s">
        <v>130</v>
      </c>
      <c r="BJ977" s="0" t="s">
        <v>130</v>
      </c>
      <c r="BK977" s="0" t="s">
        <v>130</v>
      </c>
      <c r="BL977" s="0" t="s">
        <v>130</v>
      </c>
      <c r="BM977" s="0" t="s">
        <v>130</v>
      </c>
      <c r="BN977" s="0" t="s">
        <v>130</v>
      </c>
      <c r="BO977" s="0" t="s">
        <v>130</v>
      </c>
      <c r="BP977" s="0" t="s">
        <v>130</v>
      </c>
      <c r="BQ977" s="0" t="s">
        <v>130</v>
      </c>
      <c r="BR977" s="0" t="s">
        <v>130</v>
      </c>
      <c r="BS977" s="0" t="s">
        <v>130</v>
      </c>
      <c r="BT977" s="0" t="s">
        <v>130</v>
      </c>
      <c r="BU977" s="0" t="s">
        <v>130</v>
      </c>
      <c r="BV977" s="0" t="s">
        <v>130</v>
      </c>
      <c r="BW977" s="0" t="s">
        <v>130</v>
      </c>
      <c r="BX977" s="0" t="s">
        <v>130</v>
      </c>
      <c r="BY977" s="0" t="s">
        <v>130</v>
      </c>
      <c r="BZ977" s="0" t="s">
        <v>130</v>
      </c>
      <c r="CA977" s="0" t="s">
        <v>130</v>
      </c>
      <c r="CB977" s="0" t="s">
        <v>130</v>
      </c>
      <c r="CC977" s="0" t="s">
        <v>130</v>
      </c>
      <c r="CD977" s="0" t="s">
        <v>130</v>
      </c>
      <c r="CE977" s="0" t="s">
        <v>130</v>
      </c>
      <c r="CF977" s="0" t="s">
        <v>130</v>
      </c>
      <c r="CG977" s="0" t="s">
        <v>130</v>
      </c>
      <c r="CH977" s="0" t="s">
        <v>130</v>
      </c>
      <c r="CI977" s="0" t="s">
        <v>130</v>
      </c>
      <c r="CJ977" s="0" t="s">
        <v>130</v>
      </c>
      <c r="CK977" s="0" t="s">
        <v>130</v>
      </c>
      <c r="CL977" s="0" t="s">
        <v>130</v>
      </c>
      <c r="CM977" s="0" t="s">
        <v>130</v>
      </c>
      <c r="CN977" s="0" t="s">
        <v>130</v>
      </c>
      <c r="CO977" s="0" t="s">
        <v>130</v>
      </c>
      <c r="CP977" s="0" t="s">
        <v>130</v>
      </c>
      <c r="CQ977" s="0" t="s">
        <v>130</v>
      </c>
      <c r="CR977" s="0" t="s">
        <v>130</v>
      </c>
      <c r="CS977" s="0" t="s">
        <v>130</v>
      </c>
      <c r="CT977" s="0" t="s">
        <v>2977</v>
      </c>
    </row>
    <row r="978">
      <c r="A978" s="14">
        <v>119133</v>
      </c>
      <c r="B978" s="0" t="s">
        <v>2973</v>
      </c>
      <c r="C978" s="16">
        <f>HYPERLINK("https://eosportal.federatedhermes.com/companies/Q29tcGFueQppNzU2NjY=", "Hon Hai Precision Industry Co Ltd")</f>
      </c>
      <c r="D978" s="0" t="s">
        <v>23</v>
      </c>
      <c r="E978" s="0" t="s">
        <v>2978</v>
      </c>
      <c r="F978" s="16">
        <f>HYPERLINK("https://eosportal.federatedhermes.com/engagements/RW5nYWdlbWVudAppMjM0NDk=", "Lead independent board director")</f>
      </c>
      <c r="G978" s="14" t="s">
        <v>2979</v>
      </c>
      <c r="H978" s="0" t="s">
        <v>141</v>
      </c>
      <c r="I978" s="14" t="s">
        <v>191</v>
      </c>
      <c r="J978" s="0" t="s">
        <v>145</v>
      </c>
      <c r="K978" s="0" t="s">
        <v>164</v>
      </c>
      <c r="L978" s="0" t="s">
        <v>165</v>
      </c>
      <c r="M978" s="0" t="s">
        <v>802</v>
      </c>
      <c r="N978" s="0" t="s">
        <v>2941</v>
      </c>
      <c r="O978" s="0" t="s">
        <v>1125</v>
      </c>
      <c r="Q978" s="0" t="s">
        <v>141</v>
      </c>
      <c r="R978" s="0" t="s">
        <v>130</v>
      </c>
      <c r="S978" s="14">
        <v>1</v>
      </c>
      <c r="T978" s="0" t="s">
        <v>166</v>
      </c>
      <c r="U978" s="0" t="s">
        <v>221</v>
      </c>
      <c r="V978" s="14" t="s">
        <v>166</v>
      </c>
      <c r="W978" s="0" t="s">
        <v>221</v>
      </c>
      <c r="X978" s="14" t="s">
        <v>327</v>
      </c>
      <c r="Y978" s="0" t="s">
        <v>223</v>
      </c>
      <c r="Z978" s="14" t="s">
        <v>138</v>
      </c>
      <c r="AA978" s="0" t="s">
        <v>224</v>
      </c>
      <c r="AB978" s="14" t="s">
        <v>138</v>
      </c>
      <c r="AD978" s="0" t="s">
        <v>17</v>
      </c>
      <c r="AF978" s="0">
        <v>0</v>
      </c>
      <c r="AG978" s="0">
        <v>0</v>
      </c>
      <c r="AH978" s="0" t="s">
        <v>140</v>
      </c>
      <c r="AI978" s="0" t="s">
        <v>225</v>
      </c>
      <c r="AK978" s="0" t="s">
        <v>2976</v>
      </c>
      <c r="AL978" s="14"/>
      <c r="AN978" s="14"/>
      <c r="AQ978" s="0" t="s">
        <v>130</v>
      </c>
      <c r="AR978" s="0" t="s">
        <v>130</v>
      </c>
      <c r="AS978" s="0" t="s">
        <v>130</v>
      </c>
      <c r="AT978" s="0" t="s">
        <v>130</v>
      </c>
      <c r="AU978" s="0" t="s">
        <v>130</v>
      </c>
      <c r="AV978" s="0" t="s">
        <v>130</v>
      </c>
      <c r="AW978" s="0" t="s">
        <v>130</v>
      </c>
      <c r="AX978" s="0" t="s">
        <v>130</v>
      </c>
      <c r="AY978" s="0" t="s">
        <v>130</v>
      </c>
      <c r="AZ978" s="0" t="s">
        <v>130</v>
      </c>
      <c r="BA978" s="0" t="s">
        <v>130</v>
      </c>
      <c r="BB978" s="0" t="s">
        <v>130</v>
      </c>
      <c r="BC978" s="0" t="s">
        <v>130</v>
      </c>
      <c r="BD978" s="0" t="s">
        <v>130</v>
      </c>
      <c r="BE978" s="0" t="s">
        <v>130</v>
      </c>
      <c r="BF978" s="0" t="s">
        <v>130</v>
      </c>
      <c r="BG978" s="0" t="s">
        <v>130</v>
      </c>
      <c r="BH978" s="0" t="s">
        <v>130</v>
      </c>
      <c r="BI978" s="0" t="s">
        <v>130</v>
      </c>
      <c r="BJ978" s="0" t="s">
        <v>130</v>
      </c>
      <c r="BK978" s="0" t="s">
        <v>130</v>
      </c>
      <c r="BL978" s="0" t="s">
        <v>130</v>
      </c>
      <c r="BM978" s="0" t="s">
        <v>130</v>
      </c>
      <c r="BN978" s="0" t="s">
        <v>130</v>
      </c>
      <c r="BO978" s="0" t="s">
        <v>130</v>
      </c>
      <c r="BP978" s="0" t="s">
        <v>130</v>
      </c>
      <c r="BQ978" s="0" t="s">
        <v>130</v>
      </c>
      <c r="BR978" s="0" t="s">
        <v>130</v>
      </c>
      <c r="BS978" s="0" t="s">
        <v>130</v>
      </c>
      <c r="BT978" s="0" t="s">
        <v>130</v>
      </c>
      <c r="BU978" s="0" t="s">
        <v>130</v>
      </c>
      <c r="BV978" s="0" t="s">
        <v>130</v>
      </c>
      <c r="BW978" s="0" t="s">
        <v>130</v>
      </c>
      <c r="BX978" s="0" t="s">
        <v>130</v>
      </c>
      <c r="BY978" s="0" t="s">
        <v>130</v>
      </c>
      <c r="BZ978" s="0" t="s">
        <v>130</v>
      </c>
      <c r="CA978" s="0" t="s">
        <v>130</v>
      </c>
      <c r="CB978" s="0" t="s">
        <v>130</v>
      </c>
      <c r="CC978" s="0" t="s">
        <v>130</v>
      </c>
      <c r="CD978" s="0" t="s">
        <v>130</v>
      </c>
      <c r="CE978" s="0" t="s">
        <v>130</v>
      </c>
      <c r="CF978" s="0" t="s">
        <v>130</v>
      </c>
      <c r="CG978" s="0" t="s">
        <v>130</v>
      </c>
      <c r="CH978" s="0" t="s">
        <v>130</v>
      </c>
      <c r="CI978" s="0" t="s">
        <v>130</v>
      </c>
      <c r="CJ978" s="0" t="s">
        <v>130</v>
      </c>
      <c r="CK978" s="0" t="s">
        <v>130</v>
      </c>
      <c r="CL978" s="0" t="s">
        <v>130</v>
      </c>
      <c r="CM978" s="0" t="s">
        <v>130</v>
      </c>
      <c r="CN978" s="0" t="s">
        <v>130</v>
      </c>
      <c r="CO978" s="0" t="s">
        <v>130</v>
      </c>
      <c r="CP978" s="0" t="s">
        <v>130</v>
      </c>
      <c r="CQ978" s="0" t="s">
        <v>130</v>
      </c>
      <c r="CR978" s="0" t="s">
        <v>130</v>
      </c>
      <c r="CS978" s="0" t="s">
        <v>130</v>
      </c>
      <c r="CT978" s="0" t="s">
        <v>2980</v>
      </c>
    </row>
    <row r="979">
      <c r="A979" s="14">
        <v>163205</v>
      </c>
      <c r="B979" s="0" t="s">
        <v>2981</v>
      </c>
      <c r="C979" s="16">
        <f>HYPERLINK("https://eosportal.federatedhermes.com/companies/Q29tcGFueQppNzcyNzM=", "ASML Holding NV")</f>
      </c>
      <c r="D979" s="0" t="s">
        <v>25</v>
      </c>
      <c r="E979" s="0" t="s">
        <v>2231</v>
      </c>
      <c r="F979" s="16">
        <f>HYPERLINK("https://eosportal.federatedhermes.com/engagements/RW5nYWdlbWVudAppMjM5NDU=", "Integrated Reporting")</f>
      </c>
      <c r="G979" s="14" t="s">
        <v>2982</v>
      </c>
      <c r="H979" s="0" t="s">
        <v>130</v>
      </c>
      <c r="I979" s="14" t="s">
        <v>319</v>
      </c>
      <c r="J979" s="0" t="s">
        <v>132</v>
      </c>
      <c r="K979" s="0" t="s">
        <v>170</v>
      </c>
      <c r="L979" s="0" t="s">
        <v>171</v>
      </c>
      <c r="M979" s="0" t="s">
        <v>378</v>
      </c>
      <c r="N979" s="0" t="s">
        <v>2554</v>
      </c>
      <c r="O979" s="0" t="s">
        <v>1125</v>
      </c>
      <c r="Q979" s="0" t="s">
        <v>130</v>
      </c>
      <c r="R979" s="0" t="s">
        <v>138</v>
      </c>
      <c r="S979" s="14">
        <v>0</v>
      </c>
      <c r="T979" s="0" t="s">
        <v>1145</v>
      </c>
      <c r="U979" s="0" t="s">
        <v>138</v>
      </c>
      <c r="V979" s="14" t="s">
        <v>138</v>
      </c>
      <c r="W979" s="0" t="s">
        <v>138</v>
      </c>
      <c r="X979" s="14" t="s">
        <v>138</v>
      </c>
      <c r="Y979" s="0" t="s">
        <v>138</v>
      </c>
      <c r="Z979" s="14" t="s">
        <v>138</v>
      </c>
      <c r="AA979" s="0" t="s">
        <v>138</v>
      </c>
      <c r="AB979" s="14" t="s">
        <v>138</v>
      </c>
      <c r="AD979" s="0" t="s">
        <v>138</v>
      </c>
      <c r="AF979" s="0">
        <v>0</v>
      </c>
      <c r="AG979" s="0">
        <v>0</v>
      </c>
      <c r="AH979" s="0" t="s">
        <v>140</v>
      </c>
      <c r="AI979" s="0" t="s">
        <v>138</v>
      </c>
      <c r="AL979" s="14"/>
      <c r="AN979" s="14"/>
      <c r="AQ979" s="0" t="s">
        <v>130</v>
      </c>
      <c r="AR979" s="0" t="s">
        <v>130</v>
      </c>
      <c r="AS979" s="0" t="s">
        <v>130</v>
      </c>
      <c r="AT979" s="0" t="s">
        <v>130</v>
      </c>
      <c r="AU979" s="0" t="s">
        <v>130</v>
      </c>
      <c r="AV979" s="0" t="s">
        <v>130</v>
      </c>
      <c r="AW979" s="0" t="s">
        <v>130</v>
      </c>
      <c r="AX979" s="0" t="s">
        <v>130</v>
      </c>
      <c r="AY979" s="0" t="s">
        <v>130</v>
      </c>
      <c r="AZ979" s="0" t="s">
        <v>130</v>
      </c>
      <c r="BA979" s="0" t="s">
        <v>130</v>
      </c>
      <c r="BB979" s="0" t="s">
        <v>130</v>
      </c>
      <c r="BC979" s="0" t="s">
        <v>130</v>
      </c>
      <c r="BD979" s="0" t="s">
        <v>130</v>
      </c>
      <c r="BE979" s="0" t="s">
        <v>130</v>
      </c>
      <c r="BF979" s="0" t="s">
        <v>130</v>
      </c>
      <c r="BG979" s="0" t="s">
        <v>130</v>
      </c>
      <c r="BH979" s="0" t="s">
        <v>130</v>
      </c>
      <c r="BI979" s="0" t="s">
        <v>130</v>
      </c>
      <c r="BJ979" s="0" t="s">
        <v>130</v>
      </c>
      <c r="BK979" s="0" t="s">
        <v>130</v>
      </c>
      <c r="BL979" s="0" t="s">
        <v>130</v>
      </c>
      <c r="BM979" s="0" t="s">
        <v>130</v>
      </c>
      <c r="BN979" s="0" t="s">
        <v>130</v>
      </c>
      <c r="BO979" s="0" t="s">
        <v>130</v>
      </c>
      <c r="BP979" s="0" t="s">
        <v>130</v>
      </c>
      <c r="BQ979" s="0" t="s">
        <v>130</v>
      </c>
      <c r="BR979" s="0" t="s">
        <v>130</v>
      </c>
      <c r="BS979" s="0" t="s">
        <v>130</v>
      </c>
      <c r="BT979" s="0" t="s">
        <v>130</v>
      </c>
      <c r="BU979" s="0" t="s">
        <v>130</v>
      </c>
      <c r="BV979" s="0" t="s">
        <v>130</v>
      </c>
      <c r="BW979" s="0" t="s">
        <v>130</v>
      </c>
      <c r="BX979" s="0" t="s">
        <v>130</v>
      </c>
      <c r="BY979" s="0" t="s">
        <v>130</v>
      </c>
      <c r="BZ979" s="0" t="s">
        <v>130</v>
      </c>
      <c r="CA979" s="0" t="s">
        <v>130</v>
      </c>
      <c r="CB979" s="0" t="s">
        <v>130</v>
      </c>
      <c r="CC979" s="0" t="s">
        <v>130</v>
      </c>
      <c r="CD979" s="0" t="s">
        <v>130</v>
      </c>
      <c r="CE979" s="0" t="s">
        <v>130</v>
      </c>
      <c r="CF979" s="0" t="s">
        <v>130</v>
      </c>
      <c r="CG979" s="0" t="s">
        <v>130</v>
      </c>
      <c r="CH979" s="0" t="s">
        <v>130</v>
      </c>
      <c r="CI979" s="0" t="s">
        <v>130</v>
      </c>
      <c r="CJ979" s="0" t="s">
        <v>130</v>
      </c>
      <c r="CK979" s="0" t="s">
        <v>130</v>
      </c>
      <c r="CL979" s="0" t="s">
        <v>130</v>
      </c>
      <c r="CM979" s="0" t="s">
        <v>130</v>
      </c>
      <c r="CN979" s="0" t="s">
        <v>130</v>
      </c>
      <c r="CO979" s="0" t="s">
        <v>130</v>
      </c>
      <c r="CP979" s="0" t="s">
        <v>130</v>
      </c>
      <c r="CQ979" s="0" t="s">
        <v>130</v>
      </c>
      <c r="CR979" s="0" t="s">
        <v>130</v>
      </c>
      <c r="CS979" s="0" t="s">
        <v>130</v>
      </c>
      <c r="CT979" s="0" t="s">
        <v>2983</v>
      </c>
    </row>
    <row r="980">
      <c r="A980" s="14">
        <v>163205</v>
      </c>
      <c r="B980" s="0" t="s">
        <v>2981</v>
      </c>
      <c r="C980" s="16">
        <f>HYPERLINK("https://eosportal.federatedhermes.com/companies/Q29tcGFueQppNzcyNzM=", "ASML Holding NV")</f>
      </c>
      <c r="D980" s="0" t="s">
        <v>25</v>
      </c>
      <c r="E980" s="0" t="s">
        <v>2984</v>
      </c>
      <c r="F980" s="16">
        <f>HYPERLINK("https://eosportal.federatedhermes.com/engagements/RW5nYWdlbWVudAppMjM5NDY=", "Low effective corporate tax rate")</f>
      </c>
      <c r="G980" s="14" t="s">
        <v>2985</v>
      </c>
      <c r="H980" s="0" t="s">
        <v>130</v>
      </c>
      <c r="I980" s="14" t="s">
        <v>319</v>
      </c>
      <c r="J980" s="0" t="s">
        <v>153</v>
      </c>
      <c r="K980" s="0" t="s">
        <v>185</v>
      </c>
      <c r="L980" s="0" t="s">
        <v>548</v>
      </c>
      <c r="M980" s="0" t="s">
        <v>378</v>
      </c>
      <c r="N980" s="0" t="s">
        <v>2554</v>
      </c>
      <c r="O980" s="0" t="s">
        <v>1125</v>
      </c>
      <c r="Q980" s="0" t="s">
        <v>130</v>
      </c>
      <c r="R980" s="0" t="s">
        <v>138</v>
      </c>
      <c r="S980" s="14">
        <v>0</v>
      </c>
      <c r="T980" s="0" t="s">
        <v>193</v>
      </c>
      <c r="U980" s="0" t="s">
        <v>138</v>
      </c>
      <c r="V980" s="14" t="s">
        <v>138</v>
      </c>
      <c r="W980" s="0" t="s">
        <v>138</v>
      </c>
      <c r="X980" s="14" t="s">
        <v>138</v>
      </c>
      <c r="Y980" s="0" t="s">
        <v>138</v>
      </c>
      <c r="Z980" s="14" t="s">
        <v>138</v>
      </c>
      <c r="AA980" s="0" t="s">
        <v>138</v>
      </c>
      <c r="AB980" s="14" t="s">
        <v>138</v>
      </c>
      <c r="AD980" s="0" t="s">
        <v>138</v>
      </c>
      <c r="AF980" s="0">
        <v>0</v>
      </c>
      <c r="AG980" s="0">
        <v>0</v>
      </c>
      <c r="AH980" s="0" t="s">
        <v>140</v>
      </c>
      <c r="AI980" s="0" t="s">
        <v>138</v>
      </c>
      <c r="AL980" s="14"/>
      <c r="AN980" s="14"/>
      <c r="AQ980" s="0" t="s">
        <v>130</v>
      </c>
      <c r="AR980" s="0" t="s">
        <v>130</v>
      </c>
      <c r="AS980" s="0" t="s">
        <v>130</v>
      </c>
      <c r="AT980" s="0" t="s">
        <v>130</v>
      </c>
      <c r="AU980" s="0" t="s">
        <v>130</v>
      </c>
      <c r="AV980" s="0" t="s">
        <v>130</v>
      </c>
      <c r="AW980" s="0" t="s">
        <v>130</v>
      </c>
      <c r="AX980" s="0" t="s">
        <v>130</v>
      </c>
      <c r="AY980" s="0" t="s">
        <v>130</v>
      </c>
      <c r="AZ980" s="0" t="s">
        <v>130</v>
      </c>
      <c r="BA980" s="0" t="s">
        <v>130</v>
      </c>
      <c r="BB980" s="0" t="s">
        <v>130</v>
      </c>
      <c r="BC980" s="0" t="s">
        <v>130</v>
      </c>
      <c r="BD980" s="0" t="s">
        <v>130</v>
      </c>
      <c r="BE980" s="0" t="s">
        <v>130</v>
      </c>
      <c r="BF980" s="0" t="s">
        <v>130</v>
      </c>
      <c r="BG980" s="0" t="s">
        <v>130</v>
      </c>
      <c r="BH980" s="0" t="s">
        <v>130</v>
      </c>
      <c r="BI980" s="0" t="s">
        <v>130</v>
      </c>
      <c r="BJ980" s="0" t="s">
        <v>130</v>
      </c>
      <c r="BK980" s="0" t="s">
        <v>130</v>
      </c>
      <c r="BL980" s="0" t="s">
        <v>130</v>
      </c>
      <c r="BM980" s="0" t="s">
        <v>130</v>
      </c>
      <c r="BN980" s="0" t="s">
        <v>130</v>
      </c>
      <c r="BO980" s="0" t="s">
        <v>130</v>
      </c>
      <c r="BP980" s="0" t="s">
        <v>130</v>
      </c>
      <c r="BQ980" s="0" t="s">
        <v>130</v>
      </c>
      <c r="BR980" s="0" t="s">
        <v>130</v>
      </c>
      <c r="BS980" s="0" t="s">
        <v>130</v>
      </c>
      <c r="BT980" s="0" t="s">
        <v>130</v>
      </c>
      <c r="BU980" s="0" t="s">
        <v>130</v>
      </c>
      <c r="BV980" s="0" t="s">
        <v>130</v>
      </c>
      <c r="BW980" s="0" t="s">
        <v>130</v>
      </c>
      <c r="BX980" s="0" t="s">
        <v>130</v>
      </c>
      <c r="BY980" s="0" t="s">
        <v>130</v>
      </c>
      <c r="BZ980" s="0" t="s">
        <v>130</v>
      </c>
      <c r="CA980" s="0" t="s">
        <v>130</v>
      </c>
      <c r="CB980" s="0" t="s">
        <v>130</v>
      </c>
      <c r="CC980" s="0" t="s">
        <v>130</v>
      </c>
      <c r="CD980" s="0" t="s">
        <v>130</v>
      </c>
      <c r="CE980" s="0" t="s">
        <v>130</v>
      </c>
      <c r="CF980" s="0" t="s">
        <v>130</v>
      </c>
      <c r="CG980" s="0" t="s">
        <v>130</v>
      </c>
      <c r="CH980" s="0" t="s">
        <v>130</v>
      </c>
      <c r="CI980" s="0" t="s">
        <v>130</v>
      </c>
      <c r="CJ980" s="0" t="s">
        <v>130</v>
      </c>
      <c r="CK980" s="0" t="s">
        <v>130</v>
      </c>
      <c r="CL980" s="0" t="s">
        <v>130</v>
      </c>
      <c r="CM980" s="0" t="s">
        <v>130</v>
      </c>
      <c r="CN980" s="0" t="s">
        <v>130</v>
      </c>
      <c r="CO980" s="0" t="s">
        <v>130</v>
      </c>
      <c r="CP980" s="0" t="s">
        <v>130</v>
      </c>
      <c r="CQ980" s="0" t="s">
        <v>130</v>
      </c>
      <c r="CR980" s="0" t="s">
        <v>130</v>
      </c>
      <c r="CS980" s="0" t="s">
        <v>130</v>
      </c>
      <c r="CT980" s="0" t="s">
        <v>2986</v>
      </c>
    </row>
    <row r="981">
      <c r="A981" s="14">
        <v>163205</v>
      </c>
      <c r="B981" s="0" t="s">
        <v>2981</v>
      </c>
      <c r="C981" s="16">
        <f>HYPERLINK("https://eosportal.federatedhermes.com/companies/Q29tcGFueQppNzcyNzM=", "ASML Holding NV")</f>
      </c>
      <c r="D981" s="0" t="s">
        <v>25</v>
      </c>
      <c r="E981" s="0" t="s">
        <v>2987</v>
      </c>
      <c r="F981" s="16">
        <f>HYPERLINK("https://eosportal.federatedhermes.com/engagements/RW5nYWdlbWVudAppMjM5NDc=", "Executive Remuneration - Vesting of Awards")</f>
      </c>
      <c r="G981" s="14" t="s">
        <v>2988</v>
      </c>
      <c r="H981" s="0" t="s">
        <v>130</v>
      </c>
      <c r="I981" s="14" t="s">
        <v>319</v>
      </c>
      <c r="J981" s="0" t="s">
        <v>145</v>
      </c>
      <c r="K981" s="0" t="s">
        <v>146</v>
      </c>
      <c r="L981" s="0" t="s">
        <v>147</v>
      </c>
      <c r="M981" s="0" t="s">
        <v>378</v>
      </c>
      <c r="N981" s="0" t="s">
        <v>2554</v>
      </c>
      <c r="O981" s="0" t="s">
        <v>1125</v>
      </c>
      <c r="Q981" s="0" t="s">
        <v>141</v>
      </c>
      <c r="R981" s="0" t="s">
        <v>138</v>
      </c>
      <c r="S981" s="14">
        <v>1</v>
      </c>
      <c r="T981" s="0" t="s">
        <v>239</v>
      </c>
      <c r="U981" s="0" t="s">
        <v>138</v>
      </c>
      <c r="V981" s="14" t="s">
        <v>138</v>
      </c>
      <c r="W981" s="0" t="s">
        <v>138</v>
      </c>
      <c r="X981" s="14" t="s">
        <v>138</v>
      </c>
      <c r="Y981" s="0" t="s">
        <v>138</v>
      </c>
      <c r="Z981" s="14" t="s">
        <v>138</v>
      </c>
      <c r="AA981" s="0" t="s">
        <v>138</v>
      </c>
      <c r="AB981" s="14" t="s">
        <v>138</v>
      </c>
      <c r="AD981" s="0" t="s">
        <v>138</v>
      </c>
      <c r="AF981" s="0">
        <v>0</v>
      </c>
      <c r="AG981" s="0">
        <v>0</v>
      </c>
      <c r="AH981" s="0" t="s">
        <v>140</v>
      </c>
      <c r="AI981" s="0" t="s">
        <v>138</v>
      </c>
      <c r="AK981" s="0" t="s">
        <v>2976</v>
      </c>
      <c r="AL981" s="14"/>
      <c r="AN981" s="14"/>
      <c r="AQ981" s="0" t="s">
        <v>130</v>
      </c>
      <c r="AR981" s="0" t="s">
        <v>130</v>
      </c>
      <c r="AS981" s="0" t="s">
        <v>130</v>
      </c>
      <c r="AT981" s="0" t="s">
        <v>130</v>
      </c>
      <c r="AU981" s="0" t="s">
        <v>130</v>
      </c>
      <c r="AV981" s="0" t="s">
        <v>130</v>
      </c>
      <c r="AW981" s="0" t="s">
        <v>130</v>
      </c>
      <c r="AX981" s="0" t="s">
        <v>130</v>
      </c>
      <c r="AY981" s="0" t="s">
        <v>130</v>
      </c>
      <c r="AZ981" s="0" t="s">
        <v>130</v>
      </c>
      <c r="BA981" s="0" t="s">
        <v>130</v>
      </c>
      <c r="BB981" s="0" t="s">
        <v>130</v>
      </c>
      <c r="BC981" s="0" t="s">
        <v>130</v>
      </c>
      <c r="BD981" s="0" t="s">
        <v>130</v>
      </c>
      <c r="BE981" s="0" t="s">
        <v>130</v>
      </c>
      <c r="BF981" s="0" t="s">
        <v>130</v>
      </c>
      <c r="BG981" s="0" t="s">
        <v>130</v>
      </c>
      <c r="BH981" s="0" t="s">
        <v>130</v>
      </c>
      <c r="BI981" s="0" t="s">
        <v>130</v>
      </c>
      <c r="BJ981" s="0" t="s">
        <v>130</v>
      </c>
      <c r="BK981" s="0" t="s">
        <v>130</v>
      </c>
      <c r="BL981" s="0" t="s">
        <v>130</v>
      </c>
      <c r="BM981" s="0" t="s">
        <v>130</v>
      </c>
      <c r="BN981" s="0" t="s">
        <v>130</v>
      </c>
      <c r="BO981" s="0" t="s">
        <v>130</v>
      </c>
      <c r="BP981" s="0" t="s">
        <v>130</v>
      </c>
      <c r="BQ981" s="0" t="s">
        <v>130</v>
      </c>
      <c r="BR981" s="0" t="s">
        <v>130</v>
      </c>
      <c r="BS981" s="0" t="s">
        <v>130</v>
      </c>
      <c r="BT981" s="0" t="s">
        <v>130</v>
      </c>
      <c r="BU981" s="0" t="s">
        <v>130</v>
      </c>
      <c r="BV981" s="0" t="s">
        <v>130</v>
      </c>
      <c r="BW981" s="0" t="s">
        <v>130</v>
      </c>
      <c r="BX981" s="0" t="s">
        <v>130</v>
      </c>
      <c r="BY981" s="0" t="s">
        <v>130</v>
      </c>
      <c r="BZ981" s="0" t="s">
        <v>130</v>
      </c>
      <c r="CA981" s="0" t="s">
        <v>130</v>
      </c>
      <c r="CB981" s="0" t="s">
        <v>130</v>
      </c>
      <c r="CC981" s="0" t="s">
        <v>130</v>
      </c>
      <c r="CD981" s="0" t="s">
        <v>130</v>
      </c>
      <c r="CE981" s="0" t="s">
        <v>130</v>
      </c>
      <c r="CF981" s="0" t="s">
        <v>130</v>
      </c>
      <c r="CG981" s="0" t="s">
        <v>130</v>
      </c>
      <c r="CH981" s="0" t="s">
        <v>130</v>
      </c>
      <c r="CI981" s="0" t="s">
        <v>130</v>
      </c>
      <c r="CJ981" s="0" t="s">
        <v>130</v>
      </c>
      <c r="CK981" s="0" t="s">
        <v>130</v>
      </c>
      <c r="CL981" s="0" t="s">
        <v>130</v>
      </c>
      <c r="CM981" s="0" t="s">
        <v>130</v>
      </c>
      <c r="CN981" s="0" t="s">
        <v>130</v>
      </c>
      <c r="CO981" s="0" t="s">
        <v>130</v>
      </c>
      <c r="CP981" s="0" t="s">
        <v>130</v>
      </c>
      <c r="CQ981" s="0" t="s">
        <v>130</v>
      </c>
      <c r="CR981" s="0" t="s">
        <v>130</v>
      </c>
      <c r="CS981" s="0" t="s">
        <v>130</v>
      </c>
      <c r="CT981" s="0" t="s">
        <v>2989</v>
      </c>
    </row>
    <row r="982">
      <c r="A982" s="14">
        <v>163205</v>
      </c>
      <c r="B982" s="0" t="s">
        <v>2981</v>
      </c>
      <c r="C982" s="16">
        <f>HYPERLINK("https://eosportal.federatedhermes.com/companies/Q29tcGFueQppNzcyNzM=", "ASML Holding NV")</f>
      </c>
      <c r="D982" s="0" t="s">
        <v>25</v>
      </c>
      <c r="E982" s="0" t="s">
        <v>322</v>
      </c>
      <c r="F982" s="16">
        <f>HYPERLINK("https://eosportal.federatedhermes.com/engagements/RW5nYWdlbWVudAppMjM5NDg=", "Gender diversity")</f>
      </c>
      <c r="G982" s="14" t="s">
        <v>2990</v>
      </c>
      <c r="H982" s="0" t="s">
        <v>130</v>
      </c>
      <c r="I982" s="14" t="s">
        <v>319</v>
      </c>
      <c r="J982" s="0" t="s">
        <v>153</v>
      </c>
      <c r="K982" s="0" t="s">
        <v>154</v>
      </c>
      <c r="L982" s="0" t="s">
        <v>268</v>
      </c>
      <c r="M982" s="0" t="s">
        <v>378</v>
      </c>
      <c r="N982" s="0" t="s">
        <v>2554</v>
      </c>
      <c r="O982" s="0" t="s">
        <v>1125</v>
      </c>
      <c r="Q982" s="0" t="s">
        <v>141</v>
      </c>
      <c r="R982" s="0" t="s">
        <v>138</v>
      </c>
      <c r="S982" s="14">
        <v>1</v>
      </c>
      <c r="T982" s="0" t="s">
        <v>193</v>
      </c>
      <c r="U982" s="0" t="s">
        <v>138</v>
      </c>
      <c r="V982" s="14" t="s">
        <v>138</v>
      </c>
      <c r="W982" s="0" t="s">
        <v>138</v>
      </c>
      <c r="X982" s="14" t="s">
        <v>138</v>
      </c>
      <c r="Y982" s="0" t="s">
        <v>138</v>
      </c>
      <c r="Z982" s="14" t="s">
        <v>138</v>
      </c>
      <c r="AA982" s="0" t="s">
        <v>138</v>
      </c>
      <c r="AB982" s="14" t="s">
        <v>138</v>
      </c>
      <c r="AD982" s="0" t="s">
        <v>138</v>
      </c>
      <c r="AF982" s="0">
        <v>0</v>
      </c>
      <c r="AG982" s="0">
        <v>0</v>
      </c>
      <c r="AH982" s="0" t="s">
        <v>140</v>
      </c>
      <c r="AI982" s="0" t="s">
        <v>138</v>
      </c>
      <c r="AK982" s="0" t="s">
        <v>2976</v>
      </c>
      <c r="AL982" s="14"/>
      <c r="AN982" s="14"/>
      <c r="AQ982" s="0" t="s">
        <v>130</v>
      </c>
      <c r="AR982" s="0" t="s">
        <v>130</v>
      </c>
      <c r="AS982" s="0" t="s">
        <v>130</v>
      </c>
      <c r="AT982" s="0" t="s">
        <v>130</v>
      </c>
      <c r="AU982" s="0" t="s">
        <v>141</v>
      </c>
      <c r="AV982" s="0" t="s">
        <v>130</v>
      </c>
      <c r="AW982" s="0" t="s">
        <v>130</v>
      </c>
      <c r="AX982" s="0" t="s">
        <v>130</v>
      </c>
      <c r="AY982" s="0" t="s">
        <v>130</v>
      </c>
      <c r="AZ982" s="0" t="s">
        <v>130</v>
      </c>
      <c r="BA982" s="0" t="s">
        <v>130</v>
      </c>
      <c r="BB982" s="0" t="s">
        <v>130</v>
      </c>
      <c r="BC982" s="0" t="s">
        <v>130</v>
      </c>
      <c r="BD982" s="0" t="s">
        <v>130</v>
      </c>
      <c r="BE982" s="0" t="s">
        <v>130</v>
      </c>
      <c r="BF982" s="0" t="s">
        <v>130</v>
      </c>
      <c r="BG982" s="0" t="s">
        <v>130</v>
      </c>
      <c r="BH982" s="0" t="s">
        <v>130</v>
      </c>
      <c r="BI982" s="0" t="s">
        <v>130</v>
      </c>
      <c r="BJ982" s="0" t="s">
        <v>130</v>
      </c>
      <c r="BK982" s="0" t="s">
        <v>130</v>
      </c>
      <c r="BL982" s="0" t="s">
        <v>130</v>
      </c>
      <c r="BM982" s="0" t="s">
        <v>130</v>
      </c>
      <c r="BN982" s="0" t="s">
        <v>130</v>
      </c>
      <c r="BO982" s="0" t="s">
        <v>130</v>
      </c>
      <c r="BP982" s="0" t="s">
        <v>130</v>
      </c>
      <c r="BQ982" s="0" t="s">
        <v>130</v>
      </c>
      <c r="BR982" s="0" t="s">
        <v>130</v>
      </c>
      <c r="BS982" s="0" t="s">
        <v>130</v>
      </c>
      <c r="BT982" s="0" t="s">
        <v>130</v>
      </c>
      <c r="BU982" s="0" t="s">
        <v>130</v>
      </c>
      <c r="BV982" s="0" t="s">
        <v>130</v>
      </c>
      <c r="BW982" s="0" t="s">
        <v>130</v>
      </c>
      <c r="BX982" s="0" t="s">
        <v>130</v>
      </c>
      <c r="BY982" s="0" t="s">
        <v>130</v>
      </c>
      <c r="BZ982" s="0" t="s">
        <v>130</v>
      </c>
      <c r="CA982" s="0" t="s">
        <v>130</v>
      </c>
      <c r="CB982" s="0" t="s">
        <v>130</v>
      </c>
      <c r="CC982" s="0" t="s">
        <v>130</v>
      </c>
      <c r="CD982" s="0" t="s">
        <v>130</v>
      </c>
      <c r="CE982" s="0" t="s">
        <v>130</v>
      </c>
      <c r="CF982" s="0" t="s">
        <v>130</v>
      </c>
      <c r="CG982" s="0" t="s">
        <v>130</v>
      </c>
      <c r="CH982" s="0" t="s">
        <v>130</v>
      </c>
      <c r="CI982" s="0" t="s">
        <v>130</v>
      </c>
      <c r="CJ982" s="0" t="s">
        <v>130</v>
      </c>
      <c r="CK982" s="0" t="s">
        <v>141</v>
      </c>
      <c r="CL982" s="0" t="s">
        <v>130</v>
      </c>
      <c r="CM982" s="0" t="s">
        <v>130</v>
      </c>
      <c r="CN982" s="0" t="s">
        <v>130</v>
      </c>
      <c r="CO982" s="0" t="s">
        <v>130</v>
      </c>
      <c r="CP982" s="0" t="s">
        <v>130</v>
      </c>
      <c r="CQ982" s="0" t="s">
        <v>130</v>
      </c>
      <c r="CR982" s="0" t="s">
        <v>130</v>
      </c>
      <c r="CS982" s="0" t="s">
        <v>130</v>
      </c>
      <c r="CT982" s="0" t="s">
        <v>2991</v>
      </c>
    </row>
    <row r="983">
      <c r="A983" s="14">
        <v>129309</v>
      </c>
      <c r="B983" s="0" t="s">
        <v>2992</v>
      </c>
      <c r="C983" s="16">
        <f>HYPERLINK("https://eosportal.federatedhermes.com/companies/Q29tcGFueQppNzc5MzY=", "POSCO Holdings Inc")</f>
      </c>
      <c r="D983" s="0" t="s">
        <v>25</v>
      </c>
      <c r="E983" s="0" t="s">
        <v>873</v>
      </c>
      <c r="F983" s="16">
        <f>HYPERLINK("https://eosportal.federatedhermes.com/engagements/RW5nYWdlbWVudAppMjM5NTk=", "Risk management")</f>
      </c>
      <c r="G983" s="14" t="s">
        <v>2993</v>
      </c>
      <c r="H983" s="0" t="s">
        <v>141</v>
      </c>
      <c r="I983" s="14" t="s">
        <v>191</v>
      </c>
      <c r="J983" s="0" t="s">
        <v>132</v>
      </c>
      <c r="K983" s="0" t="s">
        <v>260</v>
      </c>
      <c r="L983" s="0" t="s">
        <v>261</v>
      </c>
      <c r="M983" s="0" t="s">
        <v>802</v>
      </c>
      <c r="N983" s="0" t="s">
        <v>2800</v>
      </c>
      <c r="O983" s="0" t="s">
        <v>373</v>
      </c>
      <c r="Q983" s="0" t="s">
        <v>130</v>
      </c>
      <c r="R983" s="0" t="s">
        <v>138</v>
      </c>
      <c r="S983" s="14">
        <v>0</v>
      </c>
      <c r="T983" s="0" t="s">
        <v>483</v>
      </c>
      <c r="U983" s="0" t="s">
        <v>138</v>
      </c>
      <c r="V983" s="14" t="s">
        <v>138</v>
      </c>
      <c r="W983" s="0" t="s">
        <v>138</v>
      </c>
      <c r="X983" s="14" t="s">
        <v>138</v>
      </c>
      <c r="Y983" s="0" t="s">
        <v>138</v>
      </c>
      <c r="Z983" s="14" t="s">
        <v>138</v>
      </c>
      <c r="AA983" s="0" t="s">
        <v>138</v>
      </c>
      <c r="AB983" s="14" t="s">
        <v>138</v>
      </c>
      <c r="AD983" s="0" t="s">
        <v>138</v>
      </c>
      <c r="AF983" s="0">
        <v>0</v>
      </c>
      <c r="AG983" s="0">
        <v>0</v>
      </c>
      <c r="AH983" s="0" t="s">
        <v>140</v>
      </c>
      <c r="AI983" s="0" t="s">
        <v>138</v>
      </c>
      <c r="AL983" s="14"/>
      <c r="AN983" s="14"/>
      <c r="AQ983" s="0" t="s">
        <v>130</v>
      </c>
      <c r="AR983" s="0" t="s">
        <v>130</v>
      </c>
      <c r="AS983" s="0" t="s">
        <v>130</v>
      </c>
      <c r="AT983" s="0" t="s">
        <v>130</v>
      </c>
      <c r="AU983" s="0" t="s">
        <v>130</v>
      </c>
      <c r="AV983" s="0" t="s">
        <v>130</v>
      </c>
      <c r="AW983" s="0" t="s">
        <v>130</v>
      </c>
      <c r="AX983" s="0" t="s">
        <v>130</v>
      </c>
      <c r="AY983" s="0" t="s">
        <v>130</v>
      </c>
      <c r="AZ983" s="0" t="s">
        <v>130</v>
      </c>
      <c r="BA983" s="0" t="s">
        <v>130</v>
      </c>
      <c r="BB983" s="0" t="s">
        <v>130</v>
      </c>
      <c r="BC983" s="0" t="s">
        <v>130</v>
      </c>
      <c r="BD983" s="0" t="s">
        <v>130</v>
      </c>
      <c r="BE983" s="0" t="s">
        <v>130</v>
      </c>
      <c r="BF983" s="0" t="s">
        <v>130</v>
      </c>
      <c r="BG983" s="0" t="s">
        <v>130</v>
      </c>
      <c r="BH983" s="0" t="s">
        <v>130</v>
      </c>
      <c r="BI983" s="0" t="s">
        <v>130</v>
      </c>
      <c r="BJ983" s="0" t="s">
        <v>130</v>
      </c>
      <c r="BK983" s="0" t="s">
        <v>130</v>
      </c>
      <c r="BL983" s="0" t="s">
        <v>130</v>
      </c>
      <c r="BM983" s="0" t="s">
        <v>130</v>
      </c>
      <c r="BN983" s="0" t="s">
        <v>130</v>
      </c>
      <c r="BO983" s="0" t="s">
        <v>130</v>
      </c>
      <c r="BP983" s="0" t="s">
        <v>130</v>
      </c>
      <c r="BQ983" s="0" t="s">
        <v>130</v>
      </c>
      <c r="BR983" s="0" t="s">
        <v>130</v>
      </c>
      <c r="BS983" s="0" t="s">
        <v>130</v>
      </c>
      <c r="BT983" s="0" t="s">
        <v>130</v>
      </c>
      <c r="BU983" s="0" t="s">
        <v>130</v>
      </c>
      <c r="BV983" s="0" t="s">
        <v>130</v>
      </c>
      <c r="BW983" s="0" t="s">
        <v>130</v>
      </c>
      <c r="BX983" s="0" t="s">
        <v>130</v>
      </c>
      <c r="BY983" s="0" t="s">
        <v>130</v>
      </c>
      <c r="BZ983" s="0" t="s">
        <v>130</v>
      </c>
      <c r="CA983" s="0" t="s">
        <v>130</v>
      </c>
      <c r="CB983" s="0" t="s">
        <v>130</v>
      </c>
      <c r="CC983" s="0" t="s">
        <v>130</v>
      </c>
      <c r="CD983" s="0" t="s">
        <v>130</v>
      </c>
      <c r="CE983" s="0" t="s">
        <v>130</v>
      </c>
      <c r="CF983" s="0" t="s">
        <v>130</v>
      </c>
      <c r="CG983" s="0" t="s">
        <v>130</v>
      </c>
      <c r="CH983" s="0" t="s">
        <v>130</v>
      </c>
      <c r="CI983" s="0" t="s">
        <v>130</v>
      </c>
      <c r="CJ983" s="0" t="s">
        <v>130</v>
      </c>
      <c r="CK983" s="0" t="s">
        <v>130</v>
      </c>
      <c r="CL983" s="0" t="s">
        <v>130</v>
      </c>
      <c r="CM983" s="0" t="s">
        <v>130</v>
      </c>
      <c r="CN983" s="0" t="s">
        <v>130</v>
      </c>
      <c r="CO983" s="0" t="s">
        <v>130</v>
      </c>
      <c r="CP983" s="0" t="s">
        <v>130</v>
      </c>
      <c r="CQ983" s="0" t="s">
        <v>130</v>
      </c>
      <c r="CR983" s="0" t="s">
        <v>130</v>
      </c>
      <c r="CS983" s="0" t="s">
        <v>130</v>
      </c>
      <c r="CT983" s="0" t="s">
        <v>2994</v>
      </c>
    </row>
    <row r="984">
      <c r="A984" s="14">
        <v>129309</v>
      </c>
      <c r="B984" s="0" t="s">
        <v>2992</v>
      </c>
      <c r="C984" s="16">
        <f>HYPERLINK("https://eosportal.federatedhermes.com/companies/Q29tcGFueQppNzc5MzY=", "POSCO Holdings Inc")</f>
      </c>
      <c r="D984" s="0" t="s">
        <v>25</v>
      </c>
      <c r="E984" s="0" t="s">
        <v>1729</v>
      </c>
      <c r="F984" s="16">
        <f>HYPERLINK("https://eosportal.federatedhermes.com/engagements/RW5nYWdlbWVudAppMjM5NjA=", "Business strategy")</f>
      </c>
      <c r="G984" s="14"/>
      <c r="H984" s="0" t="s">
        <v>141</v>
      </c>
      <c r="I984" s="14" t="s">
        <v>191</v>
      </c>
      <c r="J984" s="0" t="s">
        <v>153</v>
      </c>
      <c r="K984" s="0" t="s">
        <v>243</v>
      </c>
      <c r="L984" s="0" t="s">
        <v>244</v>
      </c>
      <c r="M984" s="0" t="s">
        <v>802</v>
      </c>
      <c r="N984" s="0" t="s">
        <v>2800</v>
      </c>
      <c r="O984" s="0" t="s">
        <v>373</v>
      </c>
      <c r="Q984" s="0" t="s">
        <v>130</v>
      </c>
      <c r="R984" s="0" t="s">
        <v>138</v>
      </c>
      <c r="S984" s="14">
        <v>0</v>
      </c>
      <c r="T984" s="0" t="s">
        <v>825</v>
      </c>
      <c r="U984" s="0" t="s">
        <v>138</v>
      </c>
      <c r="V984" s="14" t="s">
        <v>138</v>
      </c>
      <c r="W984" s="0" t="s">
        <v>138</v>
      </c>
      <c r="X984" s="14" t="s">
        <v>138</v>
      </c>
      <c r="Y984" s="0" t="s">
        <v>138</v>
      </c>
      <c r="Z984" s="14" t="s">
        <v>138</v>
      </c>
      <c r="AA984" s="0" t="s">
        <v>138</v>
      </c>
      <c r="AB984" s="14" t="s">
        <v>138</v>
      </c>
      <c r="AD984" s="0" t="s">
        <v>138</v>
      </c>
      <c r="AF984" s="0">
        <v>0</v>
      </c>
      <c r="AG984" s="0">
        <v>0</v>
      </c>
      <c r="AH984" s="0" t="s">
        <v>140</v>
      </c>
      <c r="AI984" s="0" t="s">
        <v>138</v>
      </c>
      <c r="AL984" s="14"/>
      <c r="AN984" s="14"/>
      <c r="AQ984" s="0" t="s">
        <v>130</v>
      </c>
      <c r="AR984" s="0" t="s">
        <v>130</v>
      </c>
      <c r="AS984" s="0" t="s">
        <v>130</v>
      </c>
      <c r="AT984" s="0" t="s">
        <v>130</v>
      </c>
      <c r="AU984" s="0" t="s">
        <v>130</v>
      </c>
      <c r="AV984" s="0" t="s">
        <v>130</v>
      </c>
      <c r="AW984" s="0" t="s">
        <v>130</v>
      </c>
      <c r="AX984" s="0" t="s">
        <v>130</v>
      </c>
      <c r="AY984" s="0" t="s">
        <v>130</v>
      </c>
      <c r="AZ984" s="0" t="s">
        <v>130</v>
      </c>
      <c r="BA984" s="0" t="s">
        <v>130</v>
      </c>
      <c r="BB984" s="0" t="s">
        <v>130</v>
      </c>
      <c r="BC984" s="0" t="s">
        <v>130</v>
      </c>
      <c r="BD984" s="0" t="s">
        <v>130</v>
      </c>
      <c r="BE984" s="0" t="s">
        <v>130</v>
      </c>
      <c r="BF984" s="0" t="s">
        <v>130</v>
      </c>
      <c r="BG984" s="0" t="s">
        <v>130</v>
      </c>
      <c r="BH984" s="0" t="s">
        <v>130</v>
      </c>
      <c r="BI984" s="0" t="s">
        <v>130</v>
      </c>
      <c r="BJ984" s="0" t="s">
        <v>130</v>
      </c>
      <c r="BK984" s="0" t="s">
        <v>130</v>
      </c>
      <c r="BL984" s="0" t="s">
        <v>130</v>
      </c>
      <c r="BM984" s="0" t="s">
        <v>130</v>
      </c>
      <c r="BN984" s="0" t="s">
        <v>130</v>
      </c>
      <c r="BO984" s="0" t="s">
        <v>130</v>
      </c>
      <c r="BP984" s="0" t="s">
        <v>130</v>
      </c>
      <c r="BQ984" s="0" t="s">
        <v>130</v>
      </c>
      <c r="BR984" s="0" t="s">
        <v>130</v>
      </c>
      <c r="BS984" s="0" t="s">
        <v>130</v>
      </c>
      <c r="BT984" s="0" t="s">
        <v>130</v>
      </c>
      <c r="BU984" s="0" t="s">
        <v>130</v>
      </c>
      <c r="BV984" s="0" t="s">
        <v>130</v>
      </c>
      <c r="BW984" s="0" t="s">
        <v>130</v>
      </c>
      <c r="BX984" s="0" t="s">
        <v>130</v>
      </c>
      <c r="BY984" s="0" t="s">
        <v>130</v>
      </c>
      <c r="BZ984" s="0" t="s">
        <v>130</v>
      </c>
      <c r="CA984" s="0" t="s">
        <v>130</v>
      </c>
      <c r="CB984" s="0" t="s">
        <v>130</v>
      </c>
      <c r="CC984" s="0" t="s">
        <v>130</v>
      </c>
      <c r="CD984" s="0" t="s">
        <v>130</v>
      </c>
      <c r="CE984" s="0" t="s">
        <v>130</v>
      </c>
      <c r="CF984" s="0" t="s">
        <v>130</v>
      </c>
      <c r="CG984" s="0" t="s">
        <v>130</v>
      </c>
      <c r="CH984" s="0" t="s">
        <v>130</v>
      </c>
      <c r="CI984" s="0" t="s">
        <v>130</v>
      </c>
      <c r="CJ984" s="0" t="s">
        <v>130</v>
      </c>
      <c r="CK984" s="0" t="s">
        <v>130</v>
      </c>
      <c r="CL984" s="0" t="s">
        <v>130</v>
      </c>
      <c r="CM984" s="0" t="s">
        <v>130</v>
      </c>
      <c r="CN984" s="0" t="s">
        <v>130</v>
      </c>
      <c r="CO984" s="0" t="s">
        <v>130</v>
      </c>
      <c r="CP984" s="0" t="s">
        <v>130</v>
      </c>
      <c r="CQ984" s="0" t="s">
        <v>130</v>
      </c>
      <c r="CR984" s="0" t="s">
        <v>130</v>
      </c>
      <c r="CS984" s="0" t="s">
        <v>130</v>
      </c>
      <c r="CT984" s="0" t="s">
        <v>2995</v>
      </c>
    </row>
    <row r="985">
      <c r="A985" s="14">
        <v>129309</v>
      </c>
      <c r="B985" s="0" t="s">
        <v>2992</v>
      </c>
      <c r="C985" s="16">
        <f>HYPERLINK("https://eosportal.federatedhermes.com/companies/Q29tcGFueQppNzc5MzY=", "POSCO Holdings Inc")</f>
      </c>
      <c r="D985" s="0" t="s">
        <v>25</v>
      </c>
      <c r="E985" s="0" t="s">
        <v>2996</v>
      </c>
      <c r="F985" s="16">
        <f>HYPERLINK("https://eosportal.federatedhermes.com/engagements/RW5nYWdlbWVudAppMjM5NjE=", "CEO succession")</f>
      </c>
      <c r="G985" s="14" t="s">
        <v>2997</v>
      </c>
      <c r="H985" s="0" t="s">
        <v>141</v>
      </c>
      <c r="I985" s="14" t="s">
        <v>191</v>
      </c>
      <c r="J985" s="0" t="s">
        <v>145</v>
      </c>
      <c r="K985" s="0" t="s">
        <v>164</v>
      </c>
      <c r="L985" s="0" t="s">
        <v>277</v>
      </c>
      <c r="M985" s="0" t="s">
        <v>802</v>
      </c>
      <c r="N985" s="0" t="s">
        <v>2800</v>
      </c>
      <c r="O985" s="0" t="s">
        <v>373</v>
      </c>
      <c r="Q985" s="0" t="s">
        <v>130</v>
      </c>
      <c r="R985" s="0" t="s">
        <v>138</v>
      </c>
      <c r="S985" s="14">
        <v>0</v>
      </c>
      <c r="T985" s="0" t="s">
        <v>333</v>
      </c>
      <c r="U985" s="0" t="s">
        <v>138</v>
      </c>
      <c r="V985" s="14" t="s">
        <v>138</v>
      </c>
      <c r="W985" s="0" t="s">
        <v>138</v>
      </c>
      <c r="X985" s="14" t="s">
        <v>138</v>
      </c>
      <c r="Y985" s="0" t="s">
        <v>138</v>
      </c>
      <c r="Z985" s="14" t="s">
        <v>138</v>
      </c>
      <c r="AA985" s="0" t="s">
        <v>138</v>
      </c>
      <c r="AB985" s="14" t="s">
        <v>138</v>
      </c>
      <c r="AD985" s="0" t="s">
        <v>138</v>
      </c>
      <c r="AF985" s="0">
        <v>0</v>
      </c>
      <c r="AG985" s="0">
        <v>0</v>
      </c>
      <c r="AH985" s="0" t="s">
        <v>140</v>
      </c>
      <c r="AI985" s="0" t="s">
        <v>138</v>
      </c>
      <c r="AL985" s="14"/>
      <c r="AN985" s="14"/>
      <c r="AQ985" s="0" t="s">
        <v>130</v>
      </c>
      <c r="AR985" s="0" t="s">
        <v>130</v>
      </c>
      <c r="AS985" s="0" t="s">
        <v>130</v>
      </c>
      <c r="AT985" s="0" t="s">
        <v>130</v>
      </c>
      <c r="AU985" s="0" t="s">
        <v>130</v>
      </c>
      <c r="AV985" s="0" t="s">
        <v>130</v>
      </c>
      <c r="AW985" s="0" t="s">
        <v>130</v>
      </c>
      <c r="AX985" s="0" t="s">
        <v>130</v>
      </c>
      <c r="AY985" s="0" t="s">
        <v>130</v>
      </c>
      <c r="AZ985" s="0" t="s">
        <v>130</v>
      </c>
      <c r="BA985" s="0" t="s">
        <v>130</v>
      </c>
      <c r="BB985" s="0" t="s">
        <v>130</v>
      </c>
      <c r="BC985" s="0" t="s">
        <v>130</v>
      </c>
      <c r="BD985" s="0" t="s">
        <v>130</v>
      </c>
      <c r="BE985" s="0" t="s">
        <v>130</v>
      </c>
      <c r="BF985" s="0" t="s">
        <v>130</v>
      </c>
      <c r="BG985" s="0" t="s">
        <v>130</v>
      </c>
      <c r="BH985" s="0" t="s">
        <v>130</v>
      </c>
      <c r="BI985" s="0" t="s">
        <v>130</v>
      </c>
      <c r="BJ985" s="0" t="s">
        <v>130</v>
      </c>
      <c r="BK985" s="0" t="s">
        <v>130</v>
      </c>
      <c r="BL985" s="0" t="s">
        <v>130</v>
      </c>
      <c r="BM985" s="0" t="s">
        <v>130</v>
      </c>
      <c r="BN985" s="0" t="s">
        <v>130</v>
      </c>
      <c r="BO985" s="0" t="s">
        <v>130</v>
      </c>
      <c r="BP985" s="0" t="s">
        <v>130</v>
      </c>
      <c r="BQ985" s="0" t="s">
        <v>130</v>
      </c>
      <c r="BR985" s="0" t="s">
        <v>130</v>
      </c>
      <c r="BS985" s="0" t="s">
        <v>130</v>
      </c>
      <c r="BT985" s="0" t="s">
        <v>130</v>
      </c>
      <c r="BU985" s="0" t="s">
        <v>130</v>
      </c>
      <c r="BV985" s="0" t="s">
        <v>130</v>
      </c>
      <c r="BW985" s="0" t="s">
        <v>130</v>
      </c>
      <c r="BX985" s="0" t="s">
        <v>130</v>
      </c>
      <c r="BY985" s="0" t="s">
        <v>130</v>
      </c>
      <c r="BZ985" s="0" t="s">
        <v>130</v>
      </c>
      <c r="CA985" s="0" t="s">
        <v>130</v>
      </c>
      <c r="CB985" s="0" t="s">
        <v>130</v>
      </c>
      <c r="CC985" s="0" t="s">
        <v>130</v>
      </c>
      <c r="CD985" s="0" t="s">
        <v>130</v>
      </c>
      <c r="CE985" s="0" t="s">
        <v>130</v>
      </c>
      <c r="CF985" s="0" t="s">
        <v>130</v>
      </c>
      <c r="CG985" s="0" t="s">
        <v>130</v>
      </c>
      <c r="CH985" s="0" t="s">
        <v>130</v>
      </c>
      <c r="CI985" s="0" t="s">
        <v>130</v>
      </c>
      <c r="CJ985" s="0" t="s">
        <v>130</v>
      </c>
      <c r="CK985" s="0" t="s">
        <v>130</v>
      </c>
      <c r="CL985" s="0" t="s">
        <v>130</v>
      </c>
      <c r="CM985" s="0" t="s">
        <v>130</v>
      </c>
      <c r="CN985" s="0" t="s">
        <v>130</v>
      </c>
      <c r="CO985" s="0" t="s">
        <v>130</v>
      </c>
      <c r="CP985" s="0" t="s">
        <v>130</v>
      </c>
      <c r="CQ985" s="0" t="s">
        <v>130</v>
      </c>
      <c r="CR985" s="0" t="s">
        <v>130</v>
      </c>
      <c r="CS985" s="0" t="s">
        <v>130</v>
      </c>
      <c r="CT985" s="0" t="s">
        <v>2998</v>
      </c>
    </row>
    <row r="986">
      <c r="A986" s="14">
        <v>129309</v>
      </c>
      <c r="B986" s="0" t="s">
        <v>2992</v>
      </c>
      <c r="C986" s="16">
        <f>HYPERLINK("https://eosportal.federatedhermes.com/companies/Q29tcGFueQppNzc5MzY=", "POSCO Holdings Inc")</f>
      </c>
      <c r="D986" s="0" t="s">
        <v>25</v>
      </c>
      <c r="E986" s="0" t="s">
        <v>2999</v>
      </c>
      <c r="F986" s="16">
        <f>HYPERLINK("https://eosportal.federatedhermes.com/engagements/RW5nYWdlbWVudAppMjM5NjI=", "Shareholder rights")</f>
      </c>
      <c r="G986" s="14" t="s">
        <v>3000</v>
      </c>
      <c r="H986" s="0" t="s">
        <v>141</v>
      </c>
      <c r="I986" s="14" t="s">
        <v>191</v>
      </c>
      <c r="J986" s="0" t="s">
        <v>145</v>
      </c>
      <c r="K986" s="0" t="s">
        <v>400</v>
      </c>
      <c r="L986" s="0" t="s">
        <v>507</v>
      </c>
      <c r="M986" s="0" t="s">
        <v>802</v>
      </c>
      <c r="N986" s="0" t="s">
        <v>2800</v>
      </c>
      <c r="O986" s="0" t="s">
        <v>373</v>
      </c>
      <c r="Q986" s="0" t="s">
        <v>130</v>
      </c>
      <c r="R986" s="0" t="s">
        <v>138</v>
      </c>
      <c r="S986" s="14">
        <v>0</v>
      </c>
      <c r="T986" s="0" t="s">
        <v>825</v>
      </c>
      <c r="U986" s="0" t="s">
        <v>138</v>
      </c>
      <c r="V986" s="14" t="s">
        <v>138</v>
      </c>
      <c r="W986" s="0" t="s">
        <v>138</v>
      </c>
      <c r="X986" s="14" t="s">
        <v>138</v>
      </c>
      <c r="Y986" s="0" t="s">
        <v>138</v>
      </c>
      <c r="Z986" s="14" t="s">
        <v>138</v>
      </c>
      <c r="AA986" s="0" t="s">
        <v>138</v>
      </c>
      <c r="AB986" s="14" t="s">
        <v>138</v>
      </c>
      <c r="AD986" s="0" t="s">
        <v>138</v>
      </c>
      <c r="AF986" s="0">
        <v>0</v>
      </c>
      <c r="AG986" s="0">
        <v>0</v>
      </c>
      <c r="AH986" s="0" t="s">
        <v>140</v>
      </c>
      <c r="AI986" s="0" t="s">
        <v>138</v>
      </c>
      <c r="AL986" s="14"/>
      <c r="AN986" s="14"/>
      <c r="AQ986" s="0" t="s">
        <v>130</v>
      </c>
      <c r="AR986" s="0" t="s">
        <v>130</v>
      </c>
      <c r="AS986" s="0" t="s">
        <v>130</v>
      </c>
      <c r="AT986" s="0" t="s">
        <v>130</v>
      </c>
      <c r="AU986" s="0" t="s">
        <v>130</v>
      </c>
      <c r="AV986" s="0" t="s">
        <v>130</v>
      </c>
      <c r="AW986" s="0" t="s">
        <v>130</v>
      </c>
      <c r="AX986" s="0" t="s">
        <v>130</v>
      </c>
      <c r="AY986" s="0" t="s">
        <v>130</v>
      </c>
      <c r="AZ986" s="0" t="s">
        <v>130</v>
      </c>
      <c r="BA986" s="0" t="s">
        <v>130</v>
      </c>
      <c r="BB986" s="0" t="s">
        <v>130</v>
      </c>
      <c r="BC986" s="0" t="s">
        <v>130</v>
      </c>
      <c r="BD986" s="0" t="s">
        <v>130</v>
      </c>
      <c r="BE986" s="0" t="s">
        <v>130</v>
      </c>
      <c r="BF986" s="0" t="s">
        <v>130</v>
      </c>
      <c r="BG986" s="0" t="s">
        <v>130</v>
      </c>
      <c r="BH986" s="0" t="s">
        <v>130</v>
      </c>
      <c r="BI986" s="0" t="s">
        <v>130</v>
      </c>
      <c r="BJ986" s="0" t="s">
        <v>130</v>
      </c>
      <c r="BK986" s="0" t="s">
        <v>130</v>
      </c>
      <c r="BL986" s="0" t="s">
        <v>130</v>
      </c>
      <c r="BM986" s="0" t="s">
        <v>130</v>
      </c>
      <c r="BN986" s="0" t="s">
        <v>130</v>
      </c>
      <c r="BO986" s="0" t="s">
        <v>130</v>
      </c>
      <c r="BP986" s="0" t="s">
        <v>130</v>
      </c>
      <c r="BQ986" s="0" t="s">
        <v>130</v>
      </c>
      <c r="BR986" s="0" t="s">
        <v>130</v>
      </c>
      <c r="BS986" s="0" t="s">
        <v>130</v>
      </c>
      <c r="BT986" s="0" t="s">
        <v>130</v>
      </c>
      <c r="BU986" s="0" t="s">
        <v>130</v>
      </c>
      <c r="BV986" s="0" t="s">
        <v>130</v>
      </c>
      <c r="BW986" s="0" t="s">
        <v>130</v>
      </c>
      <c r="BX986" s="0" t="s">
        <v>130</v>
      </c>
      <c r="BY986" s="0" t="s">
        <v>130</v>
      </c>
      <c r="BZ986" s="0" t="s">
        <v>130</v>
      </c>
      <c r="CA986" s="0" t="s">
        <v>130</v>
      </c>
      <c r="CB986" s="0" t="s">
        <v>130</v>
      </c>
      <c r="CC986" s="0" t="s">
        <v>130</v>
      </c>
      <c r="CD986" s="0" t="s">
        <v>130</v>
      </c>
      <c r="CE986" s="0" t="s">
        <v>130</v>
      </c>
      <c r="CF986" s="0" t="s">
        <v>130</v>
      </c>
      <c r="CG986" s="0" t="s">
        <v>130</v>
      </c>
      <c r="CH986" s="0" t="s">
        <v>130</v>
      </c>
      <c r="CI986" s="0" t="s">
        <v>130</v>
      </c>
      <c r="CJ986" s="0" t="s">
        <v>130</v>
      </c>
      <c r="CK986" s="0" t="s">
        <v>130</v>
      </c>
      <c r="CL986" s="0" t="s">
        <v>130</v>
      </c>
      <c r="CM986" s="0" t="s">
        <v>130</v>
      </c>
      <c r="CN986" s="0" t="s">
        <v>130</v>
      </c>
      <c r="CO986" s="0" t="s">
        <v>130</v>
      </c>
      <c r="CP986" s="0" t="s">
        <v>130</v>
      </c>
      <c r="CQ986" s="0" t="s">
        <v>130</v>
      </c>
      <c r="CR986" s="0" t="s">
        <v>130</v>
      </c>
      <c r="CS986" s="0" t="s">
        <v>130</v>
      </c>
      <c r="CT986" s="0" t="s">
        <v>3001</v>
      </c>
    </row>
    <row r="987">
      <c r="A987" s="14">
        <v>129309</v>
      </c>
      <c r="B987" s="0" t="s">
        <v>2992</v>
      </c>
      <c r="C987" s="16">
        <f>HYPERLINK("https://eosportal.federatedhermes.com/companies/Q29tcGFueQppNzc5MzY=", "POSCO Holdings Inc")</f>
      </c>
      <c r="D987" s="0" t="s">
        <v>25</v>
      </c>
      <c r="E987" s="0" t="s">
        <v>2446</v>
      </c>
      <c r="F987" s="16">
        <f>HYPERLINK("https://eosportal.federatedhermes.com/engagements/RW5nYWdlbWVudAppMjM5NjM=", "Bribery and corruption")</f>
      </c>
      <c r="G987" s="14" t="s">
        <v>3002</v>
      </c>
      <c r="H987" s="0" t="s">
        <v>141</v>
      </c>
      <c r="I987" s="14" t="s">
        <v>191</v>
      </c>
      <c r="J987" s="0" t="s">
        <v>153</v>
      </c>
      <c r="K987" s="0" t="s">
        <v>185</v>
      </c>
      <c r="L987" s="0" t="s">
        <v>186</v>
      </c>
      <c r="M987" s="0" t="s">
        <v>802</v>
      </c>
      <c r="N987" s="0" t="s">
        <v>2800</v>
      </c>
      <c r="O987" s="0" t="s">
        <v>373</v>
      </c>
      <c r="Q987" s="0" t="s">
        <v>130</v>
      </c>
      <c r="R987" s="0" t="s">
        <v>138</v>
      </c>
      <c r="S987" s="14">
        <v>0</v>
      </c>
      <c r="T987" s="0" t="s">
        <v>416</v>
      </c>
      <c r="U987" s="0" t="s">
        <v>138</v>
      </c>
      <c r="V987" s="14" t="s">
        <v>138</v>
      </c>
      <c r="W987" s="0" t="s">
        <v>138</v>
      </c>
      <c r="X987" s="14" t="s">
        <v>138</v>
      </c>
      <c r="Y987" s="0" t="s">
        <v>138</v>
      </c>
      <c r="Z987" s="14" t="s">
        <v>138</v>
      </c>
      <c r="AA987" s="0" t="s">
        <v>138</v>
      </c>
      <c r="AB987" s="14" t="s">
        <v>138</v>
      </c>
      <c r="AD987" s="0" t="s">
        <v>138</v>
      </c>
      <c r="AF987" s="0">
        <v>0</v>
      </c>
      <c r="AG987" s="0">
        <v>0</v>
      </c>
      <c r="AH987" s="0" t="s">
        <v>140</v>
      </c>
      <c r="AI987" s="0" t="s">
        <v>138</v>
      </c>
      <c r="AL987" s="14"/>
      <c r="AN987" s="14"/>
      <c r="AQ987" s="0" t="s">
        <v>130</v>
      </c>
      <c r="AR987" s="0" t="s">
        <v>130</v>
      </c>
      <c r="AS987" s="0" t="s">
        <v>130</v>
      </c>
      <c r="AT987" s="0" t="s">
        <v>130</v>
      </c>
      <c r="AU987" s="0" t="s">
        <v>130</v>
      </c>
      <c r="AV987" s="0" t="s">
        <v>130</v>
      </c>
      <c r="AW987" s="0" t="s">
        <v>130</v>
      </c>
      <c r="AX987" s="0" t="s">
        <v>130</v>
      </c>
      <c r="AY987" s="0" t="s">
        <v>130</v>
      </c>
      <c r="AZ987" s="0" t="s">
        <v>130</v>
      </c>
      <c r="BA987" s="0" t="s">
        <v>130</v>
      </c>
      <c r="BB987" s="0" t="s">
        <v>130</v>
      </c>
      <c r="BC987" s="0" t="s">
        <v>130</v>
      </c>
      <c r="BD987" s="0" t="s">
        <v>130</v>
      </c>
      <c r="BE987" s="0" t="s">
        <v>130</v>
      </c>
      <c r="BF987" s="0" t="s">
        <v>141</v>
      </c>
      <c r="BG987" s="0" t="s">
        <v>130</v>
      </c>
      <c r="BH987" s="0" t="s">
        <v>130</v>
      </c>
      <c r="BI987" s="0" t="s">
        <v>130</v>
      </c>
      <c r="BJ987" s="0" t="s">
        <v>130</v>
      </c>
      <c r="BK987" s="0" t="s">
        <v>130</v>
      </c>
      <c r="BL987" s="0" t="s">
        <v>130</v>
      </c>
      <c r="BM987" s="0" t="s">
        <v>130</v>
      </c>
      <c r="BN987" s="0" t="s">
        <v>130</v>
      </c>
      <c r="BO987" s="0" t="s">
        <v>130</v>
      </c>
      <c r="BP987" s="0" t="s">
        <v>130</v>
      </c>
      <c r="BQ987" s="0" t="s">
        <v>130</v>
      </c>
      <c r="BR987" s="0" t="s">
        <v>130</v>
      </c>
      <c r="BS987" s="0" t="s">
        <v>130</v>
      </c>
      <c r="BT987" s="0" t="s">
        <v>130</v>
      </c>
      <c r="BU987" s="0" t="s">
        <v>130</v>
      </c>
      <c r="BV987" s="0" t="s">
        <v>130</v>
      </c>
      <c r="BW987" s="0" t="s">
        <v>130</v>
      </c>
      <c r="BX987" s="0" t="s">
        <v>130</v>
      </c>
      <c r="BY987" s="0" t="s">
        <v>130</v>
      </c>
      <c r="BZ987" s="0" t="s">
        <v>130</v>
      </c>
      <c r="CA987" s="0" t="s">
        <v>130</v>
      </c>
      <c r="CB987" s="0" t="s">
        <v>130</v>
      </c>
      <c r="CC987" s="0" t="s">
        <v>130</v>
      </c>
      <c r="CD987" s="0" t="s">
        <v>130</v>
      </c>
      <c r="CE987" s="0" t="s">
        <v>130</v>
      </c>
      <c r="CF987" s="0" t="s">
        <v>130</v>
      </c>
      <c r="CG987" s="0" t="s">
        <v>130</v>
      </c>
      <c r="CH987" s="0" t="s">
        <v>130</v>
      </c>
      <c r="CI987" s="0" t="s">
        <v>130</v>
      </c>
      <c r="CJ987" s="0" t="s">
        <v>130</v>
      </c>
      <c r="CK987" s="0" t="s">
        <v>130</v>
      </c>
      <c r="CL987" s="0" t="s">
        <v>130</v>
      </c>
      <c r="CM987" s="0" t="s">
        <v>130</v>
      </c>
      <c r="CN987" s="0" t="s">
        <v>130</v>
      </c>
      <c r="CO987" s="0" t="s">
        <v>130</v>
      </c>
      <c r="CP987" s="0" t="s">
        <v>130</v>
      </c>
      <c r="CQ987" s="0" t="s">
        <v>130</v>
      </c>
      <c r="CR987" s="0" t="s">
        <v>130</v>
      </c>
      <c r="CS987" s="0" t="s">
        <v>130</v>
      </c>
      <c r="CT987" s="0" t="s">
        <v>3003</v>
      </c>
    </row>
    <row r="988">
      <c r="A988" s="14">
        <v>129309</v>
      </c>
      <c r="B988" s="0" t="s">
        <v>2992</v>
      </c>
      <c r="C988" s="16">
        <f>HYPERLINK("https://eosportal.federatedhermes.com/companies/Q29tcGFueQppNzc5MzY=", "POSCO Holdings Inc")</f>
      </c>
      <c r="D988" s="0" t="s">
        <v>25</v>
      </c>
      <c r="E988" s="0" t="s">
        <v>298</v>
      </c>
      <c r="F988" s="16">
        <f>HYPERLINK("https://eosportal.federatedhermes.com/engagements/RW5nYWdlbWVudAppMjM5NjQ=", "Corporate culture")</f>
      </c>
      <c r="G988" s="14" t="s">
        <v>3004</v>
      </c>
      <c r="H988" s="0" t="s">
        <v>141</v>
      </c>
      <c r="I988" s="14" t="s">
        <v>191</v>
      </c>
      <c r="J988" s="0" t="s">
        <v>132</v>
      </c>
      <c r="K988" s="0" t="s">
        <v>260</v>
      </c>
      <c r="L988" s="0" t="s">
        <v>261</v>
      </c>
      <c r="M988" s="0" t="s">
        <v>802</v>
      </c>
      <c r="N988" s="0" t="s">
        <v>2800</v>
      </c>
      <c r="O988" s="0" t="s">
        <v>373</v>
      </c>
      <c r="Q988" s="0" t="s">
        <v>130</v>
      </c>
      <c r="R988" s="0" t="s">
        <v>138</v>
      </c>
      <c r="S988" s="14">
        <v>0</v>
      </c>
      <c r="T988" s="0" t="s">
        <v>239</v>
      </c>
      <c r="U988" s="0" t="s">
        <v>138</v>
      </c>
      <c r="V988" s="14" t="s">
        <v>138</v>
      </c>
      <c r="W988" s="0" t="s">
        <v>138</v>
      </c>
      <c r="X988" s="14" t="s">
        <v>138</v>
      </c>
      <c r="Y988" s="0" t="s">
        <v>138</v>
      </c>
      <c r="Z988" s="14" t="s">
        <v>138</v>
      </c>
      <c r="AA988" s="0" t="s">
        <v>138</v>
      </c>
      <c r="AB988" s="14" t="s">
        <v>138</v>
      </c>
      <c r="AD988" s="0" t="s">
        <v>138</v>
      </c>
      <c r="AF988" s="0">
        <v>0</v>
      </c>
      <c r="AG988" s="0">
        <v>0</v>
      </c>
      <c r="AH988" s="0" t="s">
        <v>140</v>
      </c>
      <c r="AI988" s="0" t="s">
        <v>138</v>
      </c>
      <c r="AL988" s="14"/>
      <c r="AN988" s="14"/>
      <c r="AQ988" s="0" t="s">
        <v>130</v>
      </c>
      <c r="AR988" s="0" t="s">
        <v>130</v>
      </c>
      <c r="AS988" s="0" t="s">
        <v>130</v>
      </c>
      <c r="AT988" s="0" t="s">
        <v>130</v>
      </c>
      <c r="AU988" s="0" t="s">
        <v>130</v>
      </c>
      <c r="AV988" s="0" t="s">
        <v>130</v>
      </c>
      <c r="AW988" s="0" t="s">
        <v>130</v>
      </c>
      <c r="AX988" s="0" t="s">
        <v>130</v>
      </c>
      <c r="AY988" s="0" t="s">
        <v>130</v>
      </c>
      <c r="AZ988" s="0" t="s">
        <v>130</v>
      </c>
      <c r="BA988" s="0" t="s">
        <v>130</v>
      </c>
      <c r="BB988" s="0" t="s">
        <v>130</v>
      </c>
      <c r="BC988" s="0" t="s">
        <v>130</v>
      </c>
      <c r="BD988" s="0" t="s">
        <v>130</v>
      </c>
      <c r="BE988" s="0" t="s">
        <v>130</v>
      </c>
      <c r="BF988" s="0" t="s">
        <v>130</v>
      </c>
      <c r="BG988" s="0" t="s">
        <v>130</v>
      </c>
      <c r="BH988" s="0" t="s">
        <v>130</v>
      </c>
      <c r="BI988" s="0" t="s">
        <v>130</v>
      </c>
      <c r="BJ988" s="0" t="s">
        <v>130</v>
      </c>
      <c r="BK988" s="0" t="s">
        <v>130</v>
      </c>
      <c r="BL988" s="0" t="s">
        <v>130</v>
      </c>
      <c r="BM988" s="0" t="s">
        <v>130</v>
      </c>
      <c r="BN988" s="0" t="s">
        <v>130</v>
      </c>
      <c r="BO988" s="0" t="s">
        <v>130</v>
      </c>
      <c r="BP988" s="0" t="s">
        <v>130</v>
      </c>
      <c r="BQ988" s="0" t="s">
        <v>130</v>
      </c>
      <c r="BR988" s="0" t="s">
        <v>130</v>
      </c>
      <c r="BS988" s="0" t="s">
        <v>130</v>
      </c>
      <c r="BT988" s="0" t="s">
        <v>130</v>
      </c>
      <c r="BU988" s="0" t="s">
        <v>130</v>
      </c>
      <c r="BV988" s="0" t="s">
        <v>130</v>
      </c>
      <c r="BW988" s="0" t="s">
        <v>130</v>
      </c>
      <c r="BX988" s="0" t="s">
        <v>130</v>
      </c>
      <c r="BY988" s="0" t="s">
        <v>130</v>
      </c>
      <c r="BZ988" s="0" t="s">
        <v>130</v>
      </c>
      <c r="CA988" s="0" t="s">
        <v>130</v>
      </c>
      <c r="CB988" s="0" t="s">
        <v>130</v>
      </c>
      <c r="CC988" s="0" t="s">
        <v>130</v>
      </c>
      <c r="CD988" s="0" t="s">
        <v>130</v>
      </c>
      <c r="CE988" s="0" t="s">
        <v>130</v>
      </c>
      <c r="CF988" s="0" t="s">
        <v>130</v>
      </c>
      <c r="CG988" s="0" t="s">
        <v>130</v>
      </c>
      <c r="CH988" s="0" t="s">
        <v>130</v>
      </c>
      <c r="CI988" s="0" t="s">
        <v>130</v>
      </c>
      <c r="CJ988" s="0" t="s">
        <v>130</v>
      </c>
      <c r="CK988" s="0" t="s">
        <v>130</v>
      </c>
      <c r="CL988" s="0" t="s">
        <v>130</v>
      </c>
      <c r="CM988" s="0" t="s">
        <v>130</v>
      </c>
      <c r="CN988" s="0" t="s">
        <v>130</v>
      </c>
      <c r="CO988" s="0" t="s">
        <v>130</v>
      </c>
      <c r="CP988" s="0" t="s">
        <v>130</v>
      </c>
      <c r="CQ988" s="0" t="s">
        <v>130</v>
      </c>
      <c r="CR988" s="0" t="s">
        <v>130</v>
      </c>
      <c r="CS988" s="0" t="s">
        <v>130</v>
      </c>
      <c r="CT988" s="0" t="s">
        <v>3005</v>
      </c>
    </row>
    <row r="989">
      <c r="A989" s="14">
        <v>129309</v>
      </c>
      <c r="B989" s="0" t="s">
        <v>2992</v>
      </c>
      <c r="C989" s="16">
        <f>HYPERLINK("https://eosportal.federatedhermes.com/companies/Q29tcGFueQppNzc5MzY=", "POSCO Holdings Inc")</f>
      </c>
      <c r="D989" s="0" t="s">
        <v>25</v>
      </c>
      <c r="E989" s="0" t="s">
        <v>907</v>
      </c>
      <c r="F989" s="16">
        <f>HYPERLINK("https://eosportal.federatedhermes.com/engagements/RW5nYWdlbWVudAppMjM5NjU=", "Climate change")</f>
      </c>
      <c r="G989" s="14" t="s">
        <v>3006</v>
      </c>
      <c r="H989" s="0" t="s">
        <v>141</v>
      </c>
      <c r="I989" s="14" t="s">
        <v>191</v>
      </c>
      <c r="J989" s="0" t="s">
        <v>197</v>
      </c>
      <c r="K989" s="0" t="s">
        <v>198</v>
      </c>
      <c r="L989" s="0" t="s">
        <v>216</v>
      </c>
      <c r="M989" s="0" t="s">
        <v>802</v>
      </c>
      <c r="N989" s="0" t="s">
        <v>2800</v>
      </c>
      <c r="O989" s="0" t="s">
        <v>373</v>
      </c>
      <c r="Q989" s="0" t="s">
        <v>130</v>
      </c>
      <c r="R989" s="0" t="s">
        <v>138</v>
      </c>
      <c r="S989" s="14">
        <v>0</v>
      </c>
      <c r="T989" s="0" t="s">
        <v>487</v>
      </c>
      <c r="U989" s="0" t="s">
        <v>138</v>
      </c>
      <c r="V989" s="14" t="s">
        <v>138</v>
      </c>
      <c r="W989" s="0" t="s">
        <v>138</v>
      </c>
      <c r="X989" s="14" t="s">
        <v>138</v>
      </c>
      <c r="Y989" s="0" t="s">
        <v>138</v>
      </c>
      <c r="Z989" s="14" t="s">
        <v>138</v>
      </c>
      <c r="AA989" s="0" t="s">
        <v>138</v>
      </c>
      <c r="AB989" s="14" t="s">
        <v>138</v>
      </c>
      <c r="AD989" s="0" t="s">
        <v>138</v>
      </c>
      <c r="AF989" s="0">
        <v>0</v>
      </c>
      <c r="AG989" s="0">
        <v>0</v>
      </c>
      <c r="AH989" s="0" t="s">
        <v>140</v>
      </c>
      <c r="AI989" s="0" t="s">
        <v>138</v>
      </c>
      <c r="AL989" s="14"/>
      <c r="AN989" s="14"/>
      <c r="AQ989" s="0" t="s">
        <v>130</v>
      </c>
      <c r="AR989" s="0" t="s">
        <v>130</v>
      </c>
      <c r="AS989" s="0" t="s">
        <v>130</v>
      </c>
      <c r="AT989" s="0" t="s">
        <v>130</v>
      </c>
      <c r="AU989" s="0" t="s">
        <v>130</v>
      </c>
      <c r="AV989" s="0" t="s">
        <v>130</v>
      </c>
      <c r="AW989" s="0" t="s">
        <v>141</v>
      </c>
      <c r="AX989" s="0" t="s">
        <v>130</v>
      </c>
      <c r="AY989" s="0" t="s">
        <v>130</v>
      </c>
      <c r="AZ989" s="0" t="s">
        <v>130</v>
      </c>
      <c r="BA989" s="0" t="s">
        <v>130</v>
      </c>
      <c r="BB989" s="0" t="s">
        <v>130</v>
      </c>
      <c r="BC989" s="0" t="s">
        <v>141</v>
      </c>
      <c r="BD989" s="0" t="s">
        <v>130</v>
      </c>
      <c r="BE989" s="0" t="s">
        <v>130</v>
      </c>
      <c r="BF989" s="0" t="s">
        <v>130</v>
      </c>
      <c r="BG989" s="0" t="s">
        <v>130</v>
      </c>
      <c r="BH989" s="0" t="s">
        <v>141</v>
      </c>
      <c r="BI989" s="0" t="s">
        <v>141</v>
      </c>
      <c r="BJ989" s="0" t="s">
        <v>141</v>
      </c>
      <c r="BK989" s="0" t="s">
        <v>130</v>
      </c>
      <c r="BL989" s="0" t="s">
        <v>130</v>
      </c>
      <c r="BM989" s="0" t="s">
        <v>130</v>
      </c>
      <c r="BN989" s="0" t="s">
        <v>130</v>
      </c>
      <c r="BO989" s="0" t="s">
        <v>130</v>
      </c>
      <c r="BP989" s="0" t="s">
        <v>130</v>
      </c>
      <c r="BQ989" s="0" t="s">
        <v>130</v>
      </c>
      <c r="BR989" s="0" t="s">
        <v>130</v>
      </c>
      <c r="BS989" s="0" t="s">
        <v>130</v>
      </c>
      <c r="BT989" s="0" t="s">
        <v>130</v>
      </c>
      <c r="BU989" s="0" t="s">
        <v>130</v>
      </c>
      <c r="BV989" s="0" t="s">
        <v>141</v>
      </c>
      <c r="BW989" s="0" t="s">
        <v>141</v>
      </c>
      <c r="BX989" s="0" t="s">
        <v>130</v>
      </c>
      <c r="BY989" s="0" t="s">
        <v>130</v>
      </c>
      <c r="BZ989" s="0" t="s">
        <v>130</v>
      </c>
      <c r="CA989" s="0" t="s">
        <v>130</v>
      </c>
      <c r="CB989" s="0" t="s">
        <v>130</v>
      </c>
      <c r="CC989" s="0" t="s">
        <v>130</v>
      </c>
      <c r="CD989" s="0" t="s">
        <v>130</v>
      </c>
      <c r="CE989" s="0" t="s">
        <v>130</v>
      </c>
      <c r="CF989" s="0" t="s">
        <v>130</v>
      </c>
      <c r="CG989" s="0" t="s">
        <v>130</v>
      </c>
      <c r="CH989" s="0" t="s">
        <v>130</v>
      </c>
      <c r="CI989" s="0" t="s">
        <v>130</v>
      </c>
      <c r="CJ989" s="0" t="s">
        <v>130</v>
      </c>
      <c r="CK989" s="0" t="s">
        <v>130</v>
      </c>
      <c r="CL989" s="0" t="s">
        <v>130</v>
      </c>
      <c r="CM989" s="0" t="s">
        <v>130</v>
      </c>
      <c r="CN989" s="0" t="s">
        <v>130</v>
      </c>
      <c r="CO989" s="0" t="s">
        <v>130</v>
      </c>
      <c r="CP989" s="0" t="s">
        <v>130</v>
      </c>
      <c r="CQ989" s="0" t="s">
        <v>130</v>
      </c>
      <c r="CR989" s="0" t="s">
        <v>130</v>
      </c>
      <c r="CS989" s="0" t="s">
        <v>130</v>
      </c>
      <c r="CT989" s="0" t="s">
        <v>3007</v>
      </c>
    </row>
    <row r="990">
      <c r="A990" s="14">
        <v>129309</v>
      </c>
      <c r="B990" s="0" t="s">
        <v>2992</v>
      </c>
      <c r="C990" s="16">
        <f>HYPERLINK("https://eosportal.federatedhermes.com/companies/Q29tcGFueQppNzc5MzY=", "POSCO Holdings Inc")</f>
      </c>
      <c r="D990" s="0" t="s">
        <v>25</v>
      </c>
      <c r="E990" s="0" t="s">
        <v>3008</v>
      </c>
      <c r="F990" s="16">
        <f>HYPERLINK("https://eosportal.federatedhermes.com/engagements/RW5nYWdlbWVudAppMjM5NjY=", "Audit")</f>
      </c>
      <c r="G990" s="14" t="s">
        <v>3009</v>
      </c>
      <c r="H990" s="0" t="s">
        <v>141</v>
      </c>
      <c r="I990" s="14" t="s">
        <v>191</v>
      </c>
      <c r="J990" s="0" t="s">
        <v>132</v>
      </c>
      <c r="K990" s="0" t="s">
        <v>170</v>
      </c>
      <c r="L990" s="0" t="s">
        <v>310</v>
      </c>
      <c r="M990" s="0" t="s">
        <v>802</v>
      </c>
      <c r="N990" s="0" t="s">
        <v>2800</v>
      </c>
      <c r="O990" s="0" t="s">
        <v>373</v>
      </c>
      <c r="Q990" s="0" t="s">
        <v>130</v>
      </c>
      <c r="R990" s="0" t="s">
        <v>138</v>
      </c>
      <c r="S990" s="14">
        <v>0</v>
      </c>
      <c r="T990" s="0" t="s">
        <v>387</v>
      </c>
      <c r="U990" s="0" t="s">
        <v>138</v>
      </c>
      <c r="V990" s="14" t="s">
        <v>138</v>
      </c>
      <c r="W990" s="0" t="s">
        <v>138</v>
      </c>
      <c r="X990" s="14" t="s">
        <v>138</v>
      </c>
      <c r="Y990" s="0" t="s">
        <v>138</v>
      </c>
      <c r="Z990" s="14" t="s">
        <v>138</v>
      </c>
      <c r="AA990" s="0" t="s">
        <v>138</v>
      </c>
      <c r="AB990" s="14" t="s">
        <v>138</v>
      </c>
      <c r="AD990" s="0" t="s">
        <v>138</v>
      </c>
      <c r="AF990" s="0">
        <v>0</v>
      </c>
      <c r="AG990" s="0">
        <v>0</v>
      </c>
      <c r="AH990" s="0" t="s">
        <v>140</v>
      </c>
      <c r="AI990" s="0" t="s">
        <v>138</v>
      </c>
      <c r="AL990" s="14"/>
      <c r="AN990" s="14"/>
      <c r="AQ990" s="0" t="s">
        <v>130</v>
      </c>
      <c r="AR990" s="0" t="s">
        <v>130</v>
      </c>
      <c r="AS990" s="0" t="s">
        <v>130</v>
      </c>
      <c r="AT990" s="0" t="s">
        <v>130</v>
      </c>
      <c r="AU990" s="0" t="s">
        <v>130</v>
      </c>
      <c r="AV990" s="0" t="s">
        <v>130</v>
      </c>
      <c r="AW990" s="0" t="s">
        <v>130</v>
      </c>
      <c r="AX990" s="0" t="s">
        <v>130</v>
      </c>
      <c r="AY990" s="0" t="s">
        <v>130</v>
      </c>
      <c r="AZ990" s="0" t="s">
        <v>130</v>
      </c>
      <c r="BA990" s="0" t="s">
        <v>130</v>
      </c>
      <c r="BB990" s="0" t="s">
        <v>130</v>
      </c>
      <c r="BC990" s="0" t="s">
        <v>130</v>
      </c>
      <c r="BD990" s="0" t="s">
        <v>130</v>
      </c>
      <c r="BE990" s="0" t="s">
        <v>130</v>
      </c>
      <c r="BF990" s="0" t="s">
        <v>130</v>
      </c>
      <c r="BG990" s="0" t="s">
        <v>130</v>
      </c>
      <c r="BH990" s="0" t="s">
        <v>130</v>
      </c>
      <c r="BI990" s="0" t="s">
        <v>130</v>
      </c>
      <c r="BJ990" s="0" t="s">
        <v>130</v>
      </c>
      <c r="BK990" s="0" t="s">
        <v>130</v>
      </c>
      <c r="BL990" s="0" t="s">
        <v>130</v>
      </c>
      <c r="BM990" s="0" t="s">
        <v>130</v>
      </c>
      <c r="BN990" s="0" t="s">
        <v>130</v>
      </c>
      <c r="BO990" s="0" t="s">
        <v>130</v>
      </c>
      <c r="BP990" s="0" t="s">
        <v>130</v>
      </c>
      <c r="BQ990" s="0" t="s">
        <v>130</v>
      </c>
      <c r="BR990" s="0" t="s">
        <v>130</v>
      </c>
      <c r="BS990" s="0" t="s">
        <v>130</v>
      </c>
      <c r="BT990" s="0" t="s">
        <v>130</v>
      </c>
      <c r="BU990" s="0" t="s">
        <v>130</v>
      </c>
      <c r="BV990" s="0" t="s">
        <v>130</v>
      </c>
      <c r="BW990" s="0" t="s">
        <v>130</v>
      </c>
      <c r="BX990" s="0" t="s">
        <v>130</v>
      </c>
      <c r="BY990" s="0" t="s">
        <v>130</v>
      </c>
      <c r="BZ990" s="0" t="s">
        <v>130</v>
      </c>
      <c r="CA990" s="0" t="s">
        <v>130</v>
      </c>
      <c r="CB990" s="0" t="s">
        <v>130</v>
      </c>
      <c r="CC990" s="0" t="s">
        <v>130</v>
      </c>
      <c r="CD990" s="0" t="s">
        <v>130</v>
      </c>
      <c r="CE990" s="0" t="s">
        <v>130</v>
      </c>
      <c r="CF990" s="0" t="s">
        <v>130</v>
      </c>
      <c r="CG990" s="0" t="s">
        <v>130</v>
      </c>
      <c r="CH990" s="0" t="s">
        <v>130</v>
      </c>
      <c r="CI990" s="0" t="s">
        <v>130</v>
      </c>
      <c r="CJ990" s="0" t="s">
        <v>130</v>
      </c>
      <c r="CK990" s="0" t="s">
        <v>130</v>
      </c>
      <c r="CL990" s="0" t="s">
        <v>130</v>
      </c>
      <c r="CM990" s="0" t="s">
        <v>130</v>
      </c>
      <c r="CN990" s="0" t="s">
        <v>130</v>
      </c>
      <c r="CO990" s="0" t="s">
        <v>130</v>
      </c>
      <c r="CP990" s="0" t="s">
        <v>130</v>
      </c>
      <c r="CQ990" s="0" t="s">
        <v>130</v>
      </c>
      <c r="CR990" s="0" t="s">
        <v>130</v>
      </c>
      <c r="CS990" s="0" t="s">
        <v>130</v>
      </c>
      <c r="CT990" s="0" t="s">
        <v>3010</v>
      </c>
    </row>
    <row r="991">
      <c r="A991" s="14">
        <v>129309</v>
      </c>
      <c r="B991" s="0" t="s">
        <v>2992</v>
      </c>
      <c r="C991" s="16">
        <f>HYPERLINK("https://eosportal.federatedhermes.com/companies/Q29tcGFueQppNzc5MzY=", "POSCO Holdings Inc")</f>
      </c>
      <c r="D991" s="0" t="s">
        <v>25</v>
      </c>
      <c r="E991" s="0" t="s">
        <v>3011</v>
      </c>
      <c r="F991" s="16">
        <f>HYPERLINK("https://eosportal.federatedhermes.com/engagements/RW5nYWdlbWVudAppMjM5Njc=", "Indigenous and community rights")</f>
      </c>
      <c r="G991" s="14" t="s">
        <v>3012</v>
      </c>
      <c r="H991" s="0" t="s">
        <v>141</v>
      </c>
      <c r="I991" s="14" t="s">
        <v>191</v>
      </c>
      <c r="J991" s="0" t="s">
        <v>153</v>
      </c>
      <c r="K991" s="0" t="s">
        <v>243</v>
      </c>
      <c r="L991" s="0" t="s">
        <v>571</v>
      </c>
      <c r="M991" s="0" t="s">
        <v>802</v>
      </c>
      <c r="N991" s="0" t="s">
        <v>2800</v>
      </c>
      <c r="O991" s="0" t="s">
        <v>373</v>
      </c>
      <c r="Q991" s="0" t="s">
        <v>141</v>
      </c>
      <c r="R991" s="0" t="s">
        <v>138</v>
      </c>
      <c r="S991" s="14">
        <v>4</v>
      </c>
      <c r="T991" s="0" t="s">
        <v>1011</v>
      </c>
      <c r="U991" s="0" t="s">
        <v>138</v>
      </c>
      <c r="V991" s="14" t="s">
        <v>138</v>
      </c>
      <c r="W991" s="0" t="s">
        <v>138</v>
      </c>
      <c r="X991" s="14" t="s">
        <v>138</v>
      </c>
      <c r="Y991" s="0" t="s">
        <v>138</v>
      </c>
      <c r="Z991" s="14" t="s">
        <v>138</v>
      </c>
      <c r="AA991" s="0" t="s">
        <v>138</v>
      </c>
      <c r="AB991" s="14" t="s">
        <v>138</v>
      </c>
      <c r="AD991" s="0" t="s">
        <v>138</v>
      </c>
      <c r="AF991" s="0">
        <v>0</v>
      </c>
      <c r="AG991" s="0">
        <v>0</v>
      </c>
      <c r="AH991" s="0" t="s">
        <v>140</v>
      </c>
      <c r="AI991" s="0" t="s">
        <v>138</v>
      </c>
      <c r="AK991" s="0" t="s">
        <v>3013</v>
      </c>
      <c r="AL991" s="14"/>
      <c r="AN991" s="14"/>
      <c r="AQ991" s="0" t="s">
        <v>130</v>
      </c>
      <c r="AR991" s="0" t="s">
        <v>130</v>
      </c>
      <c r="AS991" s="0" t="s">
        <v>130</v>
      </c>
      <c r="AT991" s="0" t="s">
        <v>130</v>
      </c>
      <c r="AU991" s="0" t="s">
        <v>130</v>
      </c>
      <c r="AV991" s="0" t="s">
        <v>130</v>
      </c>
      <c r="AW991" s="0" t="s">
        <v>130</v>
      </c>
      <c r="AX991" s="0" t="s">
        <v>130</v>
      </c>
      <c r="AY991" s="0" t="s">
        <v>130</v>
      </c>
      <c r="AZ991" s="0" t="s">
        <v>141</v>
      </c>
      <c r="BA991" s="0" t="s">
        <v>141</v>
      </c>
      <c r="BB991" s="0" t="s">
        <v>130</v>
      </c>
      <c r="BC991" s="0" t="s">
        <v>130</v>
      </c>
      <c r="BD991" s="0" t="s">
        <v>130</v>
      </c>
      <c r="BE991" s="0" t="s">
        <v>130</v>
      </c>
      <c r="BF991" s="0" t="s">
        <v>141</v>
      </c>
      <c r="BG991" s="0" t="s">
        <v>130</v>
      </c>
      <c r="BH991" s="0" t="s">
        <v>130</v>
      </c>
      <c r="BI991" s="0" t="s">
        <v>130</v>
      </c>
      <c r="BJ991" s="0" t="s">
        <v>130</v>
      </c>
      <c r="BK991" s="0" t="s">
        <v>130</v>
      </c>
      <c r="BL991" s="0" t="s">
        <v>130</v>
      </c>
      <c r="BM991" s="0" t="s">
        <v>130</v>
      </c>
      <c r="BN991" s="0" t="s">
        <v>130</v>
      </c>
      <c r="BO991" s="0" t="s">
        <v>130</v>
      </c>
      <c r="BP991" s="0" t="s">
        <v>130</v>
      </c>
      <c r="BQ991" s="0" t="s">
        <v>130</v>
      </c>
      <c r="BR991" s="0" t="s">
        <v>130</v>
      </c>
      <c r="BS991" s="0" t="s">
        <v>130</v>
      </c>
      <c r="BT991" s="0" t="s">
        <v>130</v>
      </c>
      <c r="BU991" s="0" t="s">
        <v>130</v>
      </c>
      <c r="BV991" s="0" t="s">
        <v>130</v>
      </c>
      <c r="BW991" s="0" t="s">
        <v>130</v>
      </c>
      <c r="BX991" s="0" t="s">
        <v>130</v>
      </c>
      <c r="BY991" s="0" t="s">
        <v>130</v>
      </c>
      <c r="BZ991" s="0" t="s">
        <v>130</v>
      </c>
      <c r="CA991" s="0" t="s">
        <v>130</v>
      </c>
      <c r="CB991" s="0" t="s">
        <v>130</v>
      </c>
      <c r="CC991" s="0" t="s">
        <v>130</v>
      </c>
      <c r="CD991" s="0" t="s">
        <v>130</v>
      </c>
      <c r="CE991" s="0" t="s">
        <v>130</v>
      </c>
      <c r="CF991" s="0" t="s">
        <v>130</v>
      </c>
      <c r="CG991" s="0" t="s">
        <v>130</v>
      </c>
      <c r="CH991" s="0" t="s">
        <v>130</v>
      </c>
      <c r="CI991" s="0" t="s">
        <v>130</v>
      </c>
      <c r="CJ991" s="0" t="s">
        <v>130</v>
      </c>
      <c r="CK991" s="0" t="s">
        <v>130</v>
      </c>
      <c r="CL991" s="0" t="s">
        <v>130</v>
      </c>
      <c r="CM991" s="0" t="s">
        <v>130</v>
      </c>
      <c r="CN991" s="0" t="s">
        <v>130</v>
      </c>
      <c r="CO991" s="0" t="s">
        <v>130</v>
      </c>
      <c r="CP991" s="0" t="s">
        <v>130</v>
      </c>
      <c r="CQ991" s="0" t="s">
        <v>130</v>
      </c>
      <c r="CR991" s="0" t="s">
        <v>130</v>
      </c>
      <c r="CS991" s="0" t="s">
        <v>130</v>
      </c>
      <c r="CT991" s="0" t="s">
        <v>3014</v>
      </c>
    </row>
    <row r="992">
      <c r="A992" s="14">
        <v>129309</v>
      </c>
      <c r="B992" s="0" t="s">
        <v>2992</v>
      </c>
      <c r="C992" s="16">
        <f>HYPERLINK("https://eosportal.federatedhermes.com/companies/Q29tcGFueQppNzc5MzY=", "POSCO Holdings Inc")</f>
      </c>
      <c r="D992" s="0" t="s">
        <v>25</v>
      </c>
      <c r="E992" s="0" t="s">
        <v>729</v>
      </c>
      <c r="F992" s="16">
        <f>HYPERLINK("https://eosportal.federatedhermes.com/engagements/RW5nYWdlbWVudAppMjM5NzA=", "Board diversity")</f>
      </c>
      <c r="G992" s="14" t="s">
        <v>3015</v>
      </c>
      <c r="H992" s="0" t="s">
        <v>141</v>
      </c>
      <c r="I992" s="14" t="s">
        <v>191</v>
      </c>
      <c r="J992" s="0" t="s">
        <v>145</v>
      </c>
      <c r="K992" s="0" t="s">
        <v>164</v>
      </c>
      <c r="L992" s="0" t="s">
        <v>165</v>
      </c>
      <c r="M992" s="0" t="s">
        <v>802</v>
      </c>
      <c r="N992" s="0" t="s">
        <v>2800</v>
      </c>
      <c r="O992" s="0" t="s">
        <v>373</v>
      </c>
      <c r="Q992" s="0" t="s">
        <v>130</v>
      </c>
      <c r="R992" s="0" t="s">
        <v>138</v>
      </c>
      <c r="S992" s="14">
        <v>0</v>
      </c>
      <c r="T992" s="0" t="s">
        <v>333</v>
      </c>
      <c r="U992" s="0" t="s">
        <v>138</v>
      </c>
      <c r="V992" s="14" t="s">
        <v>138</v>
      </c>
      <c r="W992" s="0" t="s">
        <v>138</v>
      </c>
      <c r="X992" s="14" t="s">
        <v>138</v>
      </c>
      <c r="Y992" s="0" t="s">
        <v>138</v>
      </c>
      <c r="Z992" s="14" t="s">
        <v>138</v>
      </c>
      <c r="AA992" s="0" t="s">
        <v>138</v>
      </c>
      <c r="AB992" s="14" t="s">
        <v>138</v>
      </c>
      <c r="AD992" s="0" t="s">
        <v>138</v>
      </c>
      <c r="AF992" s="0">
        <v>0</v>
      </c>
      <c r="AG992" s="0">
        <v>0</v>
      </c>
      <c r="AH992" s="0" t="s">
        <v>140</v>
      </c>
      <c r="AI992" s="0" t="s">
        <v>138</v>
      </c>
      <c r="AL992" s="14"/>
      <c r="AN992" s="14"/>
      <c r="AQ992" s="0" t="s">
        <v>130</v>
      </c>
      <c r="AR992" s="0" t="s">
        <v>130</v>
      </c>
      <c r="AS992" s="0" t="s">
        <v>130</v>
      </c>
      <c r="AT992" s="0" t="s">
        <v>130</v>
      </c>
      <c r="AU992" s="0" t="s">
        <v>141</v>
      </c>
      <c r="AV992" s="0" t="s">
        <v>130</v>
      </c>
      <c r="AW992" s="0" t="s">
        <v>130</v>
      </c>
      <c r="AX992" s="0" t="s">
        <v>130</v>
      </c>
      <c r="AY992" s="0" t="s">
        <v>130</v>
      </c>
      <c r="AZ992" s="0" t="s">
        <v>130</v>
      </c>
      <c r="BA992" s="0" t="s">
        <v>130</v>
      </c>
      <c r="BB992" s="0" t="s">
        <v>130</v>
      </c>
      <c r="BC992" s="0" t="s">
        <v>130</v>
      </c>
      <c r="BD992" s="0" t="s">
        <v>130</v>
      </c>
      <c r="BE992" s="0" t="s">
        <v>130</v>
      </c>
      <c r="BF992" s="0" t="s">
        <v>130</v>
      </c>
      <c r="BG992" s="0" t="s">
        <v>130</v>
      </c>
      <c r="BH992" s="0" t="s">
        <v>130</v>
      </c>
      <c r="BI992" s="0" t="s">
        <v>130</v>
      </c>
      <c r="BJ992" s="0" t="s">
        <v>130</v>
      </c>
      <c r="BK992" s="0" t="s">
        <v>130</v>
      </c>
      <c r="BL992" s="0" t="s">
        <v>130</v>
      </c>
      <c r="BM992" s="0" t="s">
        <v>130</v>
      </c>
      <c r="BN992" s="0" t="s">
        <v>130</v>
      </c>
      <c r="BO992" s="0" t="s">
        <v>130</v>
      </c>
      <c r="BP992" s="0" t="s">
        <v>130</v>
      </c>
      <c r="BQ992" s="0" t="s">
        <v>130</v>
      </c>
      <c r="BR992" s="0" t="s">
        <v>130</v>
      </c>
      <c r="BS992" s="0" t="s">
        <v>130</v>
      </c>
      <c r="BT992" s="0" t="s">
        <v>130</v>
      </c>
      <c r="BU992" s="0" t="s">
        <v>130</v>
      </c>
      <c r="BV992" s="0" t="s">
        <v>130</v>
      </c>
      <c r="BW992" s="0" t="s">
        <v>130</v>
      </c>
      <c r="BX992" s="0" t="s">
        <v>130</v>
      </c>
      <c r="BY992" s="0" t="s">
        <v>130</v>
      </c>
      <c r="BZ992" s="0" t="s">
        <v>130</v>
      </c>
      <c r="CA992" s="0" t="s">
        <v>130</v>
      </c>
      <c r="CB992" s="0" t="s">
        <v>130</v>
      </c>
      <c r="CC992" s="0" t="s">
        <v>130</v>
      </c>
      <c r="CD992" s="0" t="s">
        <v>130</v>
      </c>
      <c r="CE992" s="0" t="s">
        <v>130</v>
      </c>
      <c r="CF992" s="0" t="s">
        <v>130</v>
      </c>
      <c r="CG992" s="0" t="s">
        <v>130</v>
      </c>
      <c r="CH992" s="0" t="s">
        <v>130</v>
      </c>
      <c r="CI992" s="0" t="s">
        <v>130</v>
      </c>
      <c r="CJ992" s="0" t="s">
        <v>130</v>
      </c>
      <c r="CK992" s="0" t="s">
        <v>130</v>
      </c>
      <c r="CL992" s="0" t="s">
        <v>130</v>
      </c>
      <c r="CM992" s="0" t="s">
        <v>130</v>
      </c>
      <c r="CN992" s="0" t="s">
        <v>130</v>
      </c>
      <c r="CO992" s="0" t="s">
        <v>130</v>
      </c>
      <c r="CP992" s="0" t="s">
        <v>130</v>
      </c>
      <c r="CQ992" s="0" t="s">
        <v>130</v>
      </c>
      <c r="CR992" s="0" t="s">
        <v>130</v>
      </c>
      <c r="CS992" s="0" t="s">
        <v>130</v>
      </c>
      <c r="CT992" s="0" t="s">
        <v>3016</v>
      </c>
    </row>
    <row r="993">
      <c r="A993" s="14">
        <v>129309</v>
      </c>
      <c r="B993" s="0" t="s">
        <v>2992</v>
      </c>
      <c r="C993" s="16">
        <f>HYPERLINK("https://eosportal.federatedhermes.com/companies/Q29tcGFueQppNzc5MzY=", "POSCO Holdings Inc")</f>
      </c>
      <c r="D993" s="0" t="s">
        <v>25</v>
      </c>
      <c r="E993" s="0" t="s">
        <v>454</v>
      </c>
      <c r="F993" s="16">
        <f>HYPERLINK("https://eosportal.federatedhermes.com/engagements/RW5nYWdlbWVudAppMjM5NzE=", "Controversy linked to UNGC Principle 2: Complicit in human rights abuses")</f>
      </c>
      <c r="G993" s="14" t="s">
        <v>3017</v>
      </c>
      <c r="H993" s="0" t="s">
        <v>141</v>
      </c>
      <c r="I993" s="14" t="s">
        <v>191</v>
      </c>
      <c r="J993" s="0" t="s">
        <v>153</v>
      </c>
      <c r="K993" s="0" t="s">
        <v>243</v>
      </c>
      <c r="L993" s="0" t="s">
        <v>456</v>
      </c>
      <c r="M993" s="0" t="s">
        <v>802</v>
      </c>
      <c r="N993" s="0" t="s">
        <v>2800</v>
      </c>
      <c r="O993" s="0" t="s">
        <v>373</v>
      </c>
      <c r="Q993" s="0" t="s">
        <v>141</v>
      </c>
      <c r="R993" s="0" t="s">
        <v>138</v>
      </c>
      <c r="S993" s="14">
        <v>2</v>
      </c>
      <c r="T993" s="0" t="s">
        <v>206</v>
      </c>
      <c r="U993" s="0" t="s">
        <v>138</v>
      </c>
      <c r="V993" s="14" t="s">
        <v>138</v>
      </c>
      <c r="W993" s="0" t="s">
        <v>138</v>
      </c>
      <c r="X993" s="14" t="s">
        <v>138</v>
      </c>
      <c r="Y993" s="0" t="s">
        <v>138</v>
      </c>
      <c r="Z993" s="14" t="s">
        <v>138</v>
      </c>
      <c r="AA993" s="0" t="s">
        <v>138</v>
      </c>
      <c r="AB993" s="14" t="s">
        <v>138</v>
      </c>
      <c r="AD993" s="0" t="s">
        <v>138</v>
      </c>
      <c r="AF993" s="0">
        <v>0</v>
      </c>
      <c r="AG993" s="0">
        <v>0</v>
      </c>
      <c r="AH993" s="0" t="s">
        <v>140</v>
      </c>
      <c r="AI993" s="0" t="s">
        <v>138</v>
      </c>
      <c r="AK993" s="0" t="s">
        <v>3013</v>
      </c>
      <c r="AL993" s="14"/>
      <c r="AN993" s="14"/>
      <c r="AQ993" s="0" t="s">
        <v>130</v>
      </c>
      <c r="AR993" s="0" t="s">
        <v>130</v>
      </c>
      <c r="AS993" s="0" t="s">
        <v>130</v>
      </c>
      <c r="AT993" s="0" t="s">
        <v>130</v>
      </c>
      <c r="AU993" s="0" t="s">
        <v>130</v>
      </c>
      <c r="AV993" s="0" t="s">
        <v>130</v>
      </c>
      <c r="AW993" s="0" t="s">
        <v>130</v>
      </c>
      <c r="AX993" s="0" t="s">
        <v>141</v>
      </c>
      <c r="AY993" s="0" t="s">
        <v>130</v>
      </c>
      <c r="AZ993" s="0" t="s">
        <v>130</v>
      </c>
      <c r="BA993" s="0" t="s">
        <v>130</v>
      </c>
      <c r="BB993" s="0" t="s">
        <v>130</v>
      </c>
      <c r="BC993" s="0" t="s">
        <v>130</v>
      </c>
      <c r="BD993" s="0" t="s">
        <v>130</v>
      </c>
      <c r="BE993" s="0" t="s">
        <v>130</v>
      </c>
      <c r="BF993" s="0" t="s">
        <v>141</v>
      </c>
      <c r="BG993" s="0" t="s">
        <v>130</v>
      </c>
      <c r="BH993" s="0" t="s">
        <v>130</v>
      </c>
      <c r="BI993" s="0" t="s">
        <v>130</v>
      </c>
      <c r="BJ993" s="0" t="s">
        <v>130</v>
      </c>
      <c r="BK993" s="0" t="s">
        <v>130</v>
      </c>
      <c r="BL993" s="0" t="s">
        <v>130</v>
      </c>
      <c r="BM993" s="0" t="s">
        <v>130</v>
      </c>
      <c r="BN993" s="0" t="s">
        <v>130</v>
      </c>
      <c r="BO993" s="0" t="s">
        <v>130</v>
      </c>
      <c r="BP993" s="0" t="s">
        <v>141</v>
      </c>
      <c r="BQ993" s="0" t="s">
        <v>130</v>
      </c>
      <c r="BR993" s="0" t="s">
        <v>130</v>
      </c>
      <c r="BS993" s="0" t="s">
        <v>130</v>
      </c>
      <c r="BT993" s="0" t="s">
        <v>130</v>
      </c>
      <c r="BU993" s="0" t="s">
        <v>130</v>
      </c>
      <c r="BV993" s="0" t="s">
        <v>130</v>
      </c>
      <c r="BW993" s="0" t="s">
        <v>130</v>
      </c>
      <c r="BX993" s="0" t="s">
        <v>130</v>
      </c>
      <c r="BY993" s="0" t="s">
        <v>130</v>
      </c>
      <c r="BZ993" s="0" t="s">
        <v>130</v>
      </c>
      <c r="CA993" s="0" t="s">
        <v>130</v>
      </c>
      <c r="CB993" s="0" t="s">
        <v>130</v>
      </c>
      <c r="CC993" s="0" t="s">
        <v>130</v>
      </c>
      <c r="CD993" s="0" t="s">
        <v>130</v>
      </c>
      <c r="CE993" s="0" t="s">
        <v>130</v>
      </c>
      <c r="CF993" s="0" t="s">
        <v>130</v>
      </c>
      <c r="CG993" s="0" t="s">
        <v>130</v>
      </c>
      <c r="CH993" s="0" t="s">
        <v>130</v>
      </c>
      <c r="CI993" s="0" t="s">
        <v>130</v>
      </c>
      <c r="CJ993" s="0" t="s">
        <v>130</v>
      </c>
      <c r="CK993" s="0" t="s">
        <v>130</v>
      </c>
      <c r="CL993" s="0" t="s">
        <v>130</v>
      </c>
      <c r="CM993" s="0" t="s">
        <v>130</v>
      </c>
      <c r="CN993" s="0" t="s">
        <v>130</v>
      </c>
      <c r="CO993" s="0" t="s">
        <v>130</v>
      </c>
      <c r="CP993" s="0" t="s">
        <v>130</v>
      </c>
      <c r="CQ993" s="0" t="s">
        <v>130</v>
      </c>
      <c r="CR993" s="0" t="s">
        <v>130</v>
      </c>
      <c r="CS993" s="0" t="s">
        <v>130</v>
      </c>
      <c r="CT993" s="0" t="s">
        <v>3018</v>
      </c>
    </row>
    <row r="994">
      <c r="A994" s="14">
        <v>129309</v>
      </c>
      <c r="B994" s="0" t="s">
        <v>2992</v>
      </c>
      <c r="C994" s="16">
        <f>HYPERLINK("https://eosportal.federatedhermes.com/companies/Q29tcGFueQppNzc5MzY=", "POSCO Holdings Inc")</f>
      </c>
      <c r="D994" s="0" t="s">
        <v>25</v>
      </c>
      <c r="E994" s="0" t="s">
        <v>386</v>
      </c>
      <c r="F994" s="16">
        <f>HYPERLINK("https://eosportal.federatedhermes.com/engagements/RW5nYWdlbWVudAppMjM5NzI=", "Board independence")</f>
      </c>
      <c r="G994" s="14" t="s">
        <v>3019</v>
      </c>
      <c r="H994" s="0" t="s">
        <v>141</v>
      </c>
      <c r="I994" s="14" t="s">
        <v>191</v>
      </c>
      <c r="J994" s="0" t="s">
        <v>145</v>
      </c>
      <c r="K994" s="0" t="s">
        <v>164</v>
      </c>
      <c r="L994" s="0" t="s">
        <v>165</v>
      </c>
      <c r="M994" s="0" t="s">
        <v>802</v>
      </c>
      <c r="N994" s="0" t="s">
        <v>2800</v>
      </c>
      <c r="O994" s="0" t="s">
        <v>373</v>
      </c>
      <c r="Q994" s="0" t="s">
        <v>130</v>
      </c>
      <c r="R994" s="0" t="s">
        <v>138</v>
      </c>
      <c r="S994" s="14">
        <v>0</v>
      </c>
      <c r="T994" s="0" t="s">
        <v>303</v>
      </c>
      <c r="U994" s="0" t="s">
        <v>138</v>
      </c>
      <c r="V994" s="14" t="s">
        <v>138</v>
      </c>
      <c r="W994" s="0" t="s">
        <v>138</v>
      </c>
      <c r="X994" s="14" t="s">
        <v>138</v>
      </c>
      <c r="Y994" s="0" t="s">
        <v>138</v>
      </c>
      <c r="Z994" s="14" t="s">
        <v>138</v>
      </c>
      <c r="AA994" s="0" t="s">
        <v>138</v>
      </c>
      <c r="AB994" s="14" t="s">
        <v>138</v>
      </c>
      <c r="AD994" s="0" t="s">
        <v>138</v>
      </c>
      <c r="AF994" s="0">
        <v>0</v>
      </c>
      <c r="AG994" s="0">
        <v>0</v>
      </c>
      <c r="AH994" s="0" t="s">
        <v>140</v>
      </c>
      <c r="AI994" s="0" t="s">
        <v>138</v>
      </c>
      <c r="AL994" s="14"/>
      <c r="AN994" s="14"/>
      <c r="AQ994" s="0" t="s">
        <v>130</v>
      </c>
      <c r="AR994" s="0" t="s">
        <v>130</v>
      </c>
      <c r="AS994" s="0" t="s">
        <v>130</v>
      </c>
      <c r="AT994" s="0" t="s">
        <v>130</v>
      </c>
      <c r="AU994" s="0" t="s">
        <v>130</v>
      </c>
      <c r="AV994" s="0" t="s">
        <v>130</v>
      </c>
      <c r="AW994" s="0" t="s">
        <v>130</v>
      </c>
      <c r="AX994" s="0" t="s">
        <v>130</v>
      </c>
      <c r="AY994" s="0" t="s">
        <v>130</v>
      </c>
      <c r="AZ994" s="0" t="s">
        <v>130</v>
      </c>
      <c r="BA994" s="0" t="s">
        <v>130</v>
      </c>
      <c r="BB994" s="0" t="s">
        <v>130</v>
      </c>
      <c r="BC994" s="0" t="s">
        <v>130</v>
      </c>
      <c r="BD994" s="0" t="s">
        <v>130</v>
      </c>
      <c r="BE994" s="0" t="s">
        <v>130</v>
      </c>
      <c r="BF994" s="0" t="s">
        <v>130</v>
      </c>
      <c r="BG994" s="0" t="s">
        <v>130</v>
      </c>
      <c r="BH994" s="0" t="s">
        <v>130</v>
      </c>
      <c r="BI994" s="0" t="s">
        <v>130</v>
      </c>
      <c r="BJ994" s="0" t="s">
        <v>130</v>
      </c>
      <c r="BK994" s="0" t="s">
        <v>130</v>
      </c>
      <c r="BL994" s="0" t="s">
        <v>130</v>
      </c>
      <c r="BM994" s="0" t="s">
        <v>130</v>
      </c>
      <c r="BN994" s="0" t="s">
        <v>130</v>
      </c>
      <c r="BO994" s="0" t="s">
        <v>130</v>
      </c>
      <c r="BP994" s="0" t="s">
        <v>130</v>
      </c>
      <c r="BQ994" s="0" t="s">
        <v>130</v>
      </c>
      <c r="BR994" s="0" t="s">
        <v>130</v>
      </c>
      <c r="BS994" s="0" t="s">
        <v>130</v>
      </c>
      <c r="BT994" s="0" t="s">
        <v>130</v>
      </c>
      <c r="BU994" s="0" t="s">
        <v>130</v>
      </c>
      <c r="BV994" s="0" t="s">
        <v>130</v>
      </c>
      <c r="BW994" s="0" t="s">
        <v>130</v>
      </c>
      <c r="BX994" s="0" t="s">
        <v>130</v>
      </c>
      <c r="BY994" s="0" t="s">
        <v>130</v>
      </c>
      <c r="BZ994" s="0" t="s">
        <v>130</v>
      </c>
      <c r="CA994" s="0" t="s">
        <v>130</v>
      </c>
      <c r="CB994" s="0" t="s">
        <v>130</v>
      </c>
      <c r="CC994" s="0" t="s">
        <v>130</v>
      </c>
      <c r="CD994" s="0" t="s">
        <v>130</v>
      </c>
      <c r="CE994" s="0" t="s">
        <v>130</v>
      </c>
      <c r="CF994" s="0" t="s">
        <v>130</v>
      </c>
      <c r="CG994" s="0" t="s">
        <v>130</v>
      </c>
      <c r="CH994" s="0" t="s">
        <v>130</v>
      </c>
      <c r="CI994" s="0" t="s">
        <v>130</v>
      </c>
      <c r="CJ994" s="0" t="s">
        <v>130</v>
      </c>
      <c r="CK994" s="0" t="s">
        <v>130</v>
      </c>
      <c r="CL994" s="0" t="s">
        <v>130</v>
      </c>
      <c r="CM994" s="0" t="s">
        <v>130</v>
      </c>
      <c r="CN994" s="0" t="s">
        <v>130</v>
      </c>
      <c r="CO994" s="0" t="s">
        <v>130</v>
      </c>
      <c r="CP994" s="0" t="s">
        <v>130</v>
      </c>
      <c r="CQ994" s="0" t="s">
        <v>130</v>
      </c>
      <c r="CR994" s="0" t="s">
        <v>130</v>
      </c>
      <c r="CS994" s="0" t="s">
        <v>130</v>
      </c>
      <c r="CT994" s="0" t="s">
        <v>3020</v>
      </c>
    </row>
    <row r="995">
      <c r="A995" s="14">
        <v>169367</v>
      </c>
      <c r="B995" s="0" t="s">
        <v>3021</v>
      </c>
      <c r="C995" s="16">
        <f>HYPERLINK("https://eosportal.federatedhermes.com/companies/Q29tcGFueQppNjE5MDI=", "HDFC Bank Ltd")</f>
      </c>
      <c r="D995" s="0" t="s">
        <v>25</v>
      </c>
      <c r="E995" s="0" t="s">
        <v>3022</v>
      </c>
      <c r="F995" s="16">
        <f>HYPERLINK("https://eosportal.federatedhermes.com/engagements/RW5nYWdlbWVudAppMjM5OTg=", "Auditor concerns")</f>
      </c>
      <c r="G995" s="14" t="s">
        <v>3023</v>
      </c>
      <c r="H995" s="0" t="s">
        <v>141</v>
      </c>
      <c r="I995" s="14" t="s">
        <v>131</v>
      </c>
      <c r="J995" s="0" t="s">
        <v>132</v>
      </c>
      <c r="K995" s="0" t="s">
        <v>170</v>
      </c>
      <c r="L995" s="0" t="s">
        <v>310</v>
      </c>
      <c r="M995" s="0" t="s">
        <v>2807</v>
      </c>
      <c r="N995" s="0" t="s">
        <v>2969</v>
      </c>
      <c r="O995" s="0" t="s">
        <v>238</v>
      </c>
      <c r="Q995" s="0" t="s">
        <v>130</v>
      </c>
      <c r="R995" s="0" t="s">
        <v>138</v>
      </c>
      <c r="S995" s="14">
        <v>0</v>
      </c>
      <c r="T995" s="0" t="s">
        <v>359</v>
      </c>
      <c r="U995" s="0" t="s">
        <v>138</v>
      </c>
      <c r="V995" s="14" t="s">
        <v>138</v>
      </c>
      <c r="W995" s="0" t="s">
        <v>138</v>
      </c>
      <c r="X995" s="14" t="s">
        <v>138</v>
      </c>
      <c r="Y995" s="0" t="s">
        <v>138</v>
      </c>
      <c r="Z995" s="14" t="s">
        <v>138</v>
      </c>
      <c r="AA995" s="0" t="s">
        <v>138</v>
      </c>
      <c r="AB995" s="14" t="s">
        <v>138</v>
      </c>
      <c r="AD995" s="0" t="s">
        <v>138</v>
      </c>
      <c r="AF995" s="0">
        <v>0</v>
      </c>
      <c r="AG995" s="0">
        <v>0</v>
      </c>
      <c r="AH995" s="0" t="s">
        <v>140</v>
      </c>
      <c r="AI995" s="0" t="s">
        <v>138</v>
      </c>
      <c r="AL995" s="14"/>
      <c r="AN995" s="14"/>
      <c r="AQ995" s="0" t="s">
        <v>130</v>
      </c>
      <c r="AR995" s="0" t="s">
        <v>130</v>
      </c>
      <c r="AS995" s="0" t="s">
        <v>130</v>
      </c>
      <c r="AT995" s="0" t="s">
        <v>130</v>
      </c>
      <c r="AU995" s="0" t="s">
        <v>130</v>
      </c>
      <c r="AV995" s="0" t="s">
        <v>130</v>
      </c>
      <c r="AW995" s="0" t="s">
        <v>130</v>
      </c>
      <c r="AX995" s="0" t="s">
        <v>130</v>
      </c>
      <c r="AY995" s="0" t="s">
        <v>130</v>
      </c>
      <c r="AZ995" s="0" t="s">
        <v>130</v>
      </c>
      <c r="BA995" s="0" t="s">
        <v>130</v>
      </c>
      <c r="BB995" s="0" t="s">
        <v>130</v>
      </c>
      <c r="BC995" s="0" t="s">
        <v>130</v>
      </c>
      <c r="BD995" s="0" t="s">
        <v>130</v>
      </c>
      <c r="BE995" s="0" t="s">
        <v>130</v>
      </c>
      <c r="BF995" s="0" t="s">
        <v>130</v>
      </c>
      <c r="BG995" s="0" t="s">
        <v>130</v>
      </c>
      <c r="BH995" s="0" t="s">
        <v>130</v>
      </c>
      <c r="BI995" s="0" t="s">
        <v>130</v>
      </c>
      <c r="BJ995" s="0" t="s">
        <v>130</v>
      </c>
      <c r="BK995" s="0" t="s">
        <v>130</v>
      </c>
      <c r="BL995" s="0" t="s">
        <v>130</v>
      </c>
      <c r="BM995" s="0" t="s">
        <v>130</v>
      </c>
      <c r="BN995" s="0" t="s">
        <v>130</v>
      </c>
      <c r="BO995" s="0" t="s">
        <v>130</v>
      </c>
      <c r="BP995" s="0" t="s">
        <v>130</v>
      </c>
      <c r="BQ995" s="0" t="s">
        <v>130</v>
      </c>
      <c r="BR995" s="0" t="s">
        <v>130</v>
      </c>
      <c r="BS995" s="0" t="s">
        <v>130</v>
      </c>
      <c r="BT995" s="0" t="s">
        <v>130</v>
      </c>
      <c r="BU995" s="0" t="s">
        <v>130</v>
      </c>
      <c r="BV995" s="0" t="s">
        <v>130</v>
      </c>
      <c r="BW995" s="0" t="s">
        <v>130</v>
      </c>
      <c r="BX995" s="0" t="s">
        <v>130</v>
      </c>
      <c r="BY995" s="0" t="s">
        <v>130</v>
      </c>
      <c r="BZ995" s="0" t="s">
        <v>130</v>
      </c>
      <c r="CA995" s="0" t="s">
        <v>130</v>
      </c>
      <c r="CB995" s="0" t="s">
        <v>130</v>
      </c>
      <c r="CC995" s="0" t="s">
        <v>130</v>
      </c>
      <c r="CD995" s="0" t="s">
        <v>130</v>
      </c>
      <c r="CE995" s="0" t="s">
        <v>130</v>
      </c>
      <c r="CF995" s="0" t="s">
        <v>130</v>
      </c>
      <c r="CG995" s="0" t="s">
        <v>130</v>
      </c>
      <c r="CH995" s="0" t="s">
        <v>130</v>
      </c>
      <c r="CI995" s="0" t="s">
        <v>130</v>
      </c>
      <c r="CJ995" s="0" t="s">
        <v>130</v>
      </c>
      <c r="CK995" s="0" t="s">
        <v>130</v>
      </c>
      <c r="CL995" s="0" t="s">
        <v>130</v>
      </c>
      <c r="CM995" s="0" t="s">
        <v>130</v>
      </c>
      <c r="CN995" s="0" t="s">
        <v>130</v>
      </c>
      <c r="CO995" s="0" t="s">
        <v>130</v>
      </c>
      <c r="CP995" s="0" t="s">
        <v>130</v>
      </c>
      <c r="CQ995" s="0" t="s">
        <v>130</v>
      </c>
      <c r="CR995" s="0" t="s">
        <v>130</v>
      </c>
      <c r="CS995" s="0" t="s">
        <v>130</v>
      </c>
      <c r="CT995" s="0" t="s">
        <v>3024</v>
      </c>
    </row>
    <row r="996">
      <c r="A996" s="14">
        <v>169367</v>
      </c>
      <c r="B996" s="0" t="s">
        <v>3021</v>
      </c>
      <c r="C996" s="16">
        <f>HYPERLINK("https://eosportal.federatedhermes.com/companies/Q29tcGFueQppNjE5MDI=", "HDFC Bank Ltd")</f>
      </c>
      <c r="D996" s="0" t="s">
        <v>25</v>
      </c>
      <c r="E996" s="0" t="s">
        <v>145</v>
      </c>
      <c r="F996" s="16">
        <f>HYPERLINK("https://eosportal.federatedhermes.com/engagements/RW5nYWdlbWVudAppMjM5OTk=", "Governance")</f>
      </c>
      <c r="G996" s="14" t="s">
        <v>3025</v>
      </c>
      <c r="H996" s="0" t="s">
        <v>141</v>
      </c>
      <c r="I996" s="14" t="s">
        <v>131</v>
      </c>
      <c r="J996" s="0" t="s">
        <v>145</v>
      </c>
      <c r="K996" s="0" t="s">
        <v>164</v>
      </c>
      <c r="L996" s="0" t="s">
        <v>165</v>
      </c>
      <c r="M996" s="0" t="s">
        <v>2807</v>
      </c>
      <c r="N996" s="0" t="s">
        <v>2969</v>
      </c>
      <c r="O996" s="0" t="s">
        <v>238</v>
      </c>
      <c r="Q996" s="0" t="s">
        <v>130</v>
      </c>
      <c r="R996" s="0" t="s">
        <v>138</v>
      </c>
      <c r="S996" s="14">
        <v>0</v>
      </c>
      <c r="T996" s="0" t="s">
        <v>156</v>
      </c>
      <c r="U996" s="0" t="s">
        <v>138</v>
      </c>
      <c r="V996" s="14" t="s">
        <v>138</v>
      </c>
      <c r="W996" s="0" t="s">
        <v>138</v>
      </c>
      <c r="X996" s="14" t="s">
        <v>138</v>
      </c>
      <c r="Y996" s="0" t="s">
        <v>138</v>
      </c>
      <c r="Z996" s="14" t="s">
        <v>138</v>
      </c>
      <c r="AA996" s="0" t="s">
        <v>138</v>
      </c>
      <c r="AB996" s="14" t="s">
        <v>138</v>
      </c>
      <c r="AD996" s="0" t="s">
        <v>138</v>
      </c>
      <c r="AF996" s="0">
        <v>0</v>
      </c>
      <c r="AG996" s="0">
        <v>0</v>
      </c>
      <c r="AH996" s="0" t="s">
        <v>140</v>
      </c>
      <c r="AI996" s="0" t="s">
        <v>138</v>
      </c>
      <c r="AL996" s="14"/>
      <c r="AN996" s="14"/>
      <c r="AQ996" s="0" t="s">
        <v>130</v>
      </c>
      <c r="AR996" s="0" t="s">
        <v>130</v>
      </c>
      <c r="AS996" s="0" t="s">
        <v>130</v>
      </c>
      <c r="AT996" s="0" t="s">
        <v>130</v>
      </c>
      <c r="AU996" s="0" t="s">
        <v>130</v>
      </c>
      <c r="AV996" s="0" t="s">
        <v>130</v>
      </c>
      <c r="AW996" s="0" t="s">
        <v>130</v>
      </c>
      <c r="AX996" s="0" t="s">
        <v>130</v>
      </c>
      <c r="AY996" s="0" t="s">
        <v>130</v>
      </c>
      <c r="AZ996" s="0" t="s">
        <v>130</v>
      </c>
      <c r="BA996" s="0" t="s">
        <v>130</v>
      </c>
      <c r="BB996" s="0" t="s">
        <v>130</v>
      </c>
      <c r="BC996" s="0" t="s">
        <v>130</v>
      </c>
      <c r="BD996" s="0" t="s">
        <v>130</v>
      </c>
      <c r="BE996" s="0" t="s">
        <v>130</v>
      </c>
      <c r="BF996" s="0" t="s">
        <v>130</v>
      </c>
      <c r="BG996" s="0" t="s">
        <v>130</v>
      </c>
      <c r="BH996" s="0" t="s">
        <v>130</v>
      </c>
      <c r="BI996" s="0" t="s">
        <v>130</v>
      </c>
      <c r="BJ996" s="0" t="s">
        <v>130</v>
      </c>
      <c r="BK996" s="0" t="s">
        <v>130</v>
      </c>
      <c r="BL996" s="0" t="s">
        <v>130</v>
      </c>
      <c r="BM996" s="0" t="s">
        <v>130</v>
      </c>
      <c r="BN996" s="0" t="s">
        <v>130</v>
      </c>
      <c r="BO996" s="0" t="s">
        <v>130</v>
      </c>
      <c r="BP996" s="0" t="s">
        <v>130</v>
      </c>
      <c r="BQ996" s="0" t="s">
        <v>130</v>
      </c>
      <c r="BR996" s="0" t="s">
        <v>130</v>
      </c>
      <c r="BS996" s="0" t="s">
        <v>130</v>
      </c>
      <c r="BT996" s="0" t="s">
        <v>130</v>
      </c>
      <c r="BU996" s="0" t="s">
        <v>130</v>
      </c>
      <c r="BV996" s="0" t="s">
        <v>130</v>
      </c>
      <c r="BW996" s="0" t="s">
        <v>130</v>
      </c>
      <c r="BX996" s="0" t="s">
        <v>130</v>
      </c>
      <c r="BY996" s="0" t="s">
        <v>130</v>
      </c>
      <c r="BZ996" s="0" t="s">
        <v>130</v>
      </c>
      <c r="CA996" s="0" t="s">
        <v>130</v>
      </c>
      <c r="CB996" s="0" t="s">
        <v>130</v>
      </c>
      <c r="CC996" s="0" t="s">
        <v>130</v>
      </c>
      <c r="CD996" s="0" t="s">
        <v>130</v>
      </c>
      <c r="CE996" s="0" t="s">
        <v>130</v>
      </c>
      <c r="CF996" s="0" t="s">
        <v>130</v>
      </c>
      <c r="CG996" s="0" t="s">
        <v>130</v>
      </c>
      <c r="CH996" s="0" t="s">
        <v>130</v>
      </c>
      <c r="CI996" s="0" t="s">
        <v>130</v>
      </c>
      <c r="CJ996" s="0" t="s">
        <v>130</v>
      </c>
      <c r="CK996" s="0" t="s">
        <v>130</v>
      </c>
      <c r="CL996" s="0" t="s">
        <v>130</v>
      </c>
      <c r="CM996" s="0" t="s">
        <v>130</v>
      </c>
      <c r="CN996" s="0" t="s">
        <v>130</v>
      </c>
      <c r="CO996" s="0" t="s">
        <v>130</v>
      </c>
      <c r="CP996" s="0" t="s">
        <v>130</v>
      </c>
      <c r="CQ996" s="0" t="s">
        <v>130</v>
      </c>
      <c r="CR996" s="0" t="s">
        <v>130</v>
      </c>
      <c r="CS996" s="0" t="s">
        <v>130</v>
      </c>
      <c r="CT996" s="0" t="s">
        <v>3026</v>
      </c>
    </row>
    <row r="997">
      <c r="A997" s="14">
        <v>169367</v>
      </c>
      <c r="B997" s="0" t="s">
        <v>3021</v>
      </c>
      <c r="C997" s="16">
        <f>HYPERLINK("https://eosportal.federatedhermes.com/companies/Q29tcGFueQppNjE5MDI=", "HDFC Bank Ltd")</f>
      </c>
      <c r="D997" s="0" t="s">
        <v>25</v>
      </c>
      <c r="E997" s="0" t="s">
        <v>3027</v>
      </c>
      <c r="F997" s="16">
        <f>HYPERLINK("https://eosportal.federatedhermes.com/engagements/RW5nYWdlbWVudAppMjQwMDA=", "Board gender diversity")</f>
      </c>
      <c r="G997" s="14" t="s">
        <v>3028</v>
      </c>
      <c r="H997" s="0" t="s">
        <v>141</v>
      </c>
      <c r="I997" s="14" t="s">
        <v>131</v>
      </c>
      <c r="J997" s="0" t="s">
        <v>145</v>
      </c>
      <c r="K997" s="0" t="s">
        <v>164</v>
      </c>
      <c r="L997" s="0" t="s">
        <v>165</v>
      </c>
      <c r="M997" s="0" t="s">
        <v>2807</v>
      </c>
      <c r="N997" s="0" t="s">
        <v>2969</v>
      </c>
      <c r="O997" s="0" t="s">
        <v>238</v>
      </c>
      <c r="Q997" s="0" t="s">
        <v>130</v>
      </c>
      <c r="R997" s="0" t="s">
        <v>138</v>
      </c>
      <c r="S997" s="14">
        <v>0</v>
      </c>
      <c r="T997" s="0" t="s">
        <v>327</v>
      </c>
      <c r="U997" s="0" t="s">
        <v>138</v>
      </c>
      <c r="V997" s="14" t="s">
        <v>138</v>
      </c>
      <c r="W997" s="0" t="s">
        <v>138</v>
      </c>
      <c r="X997" s="14" t="s">
        <v>138</v>
      </c>
      <c r="Y997" s="0" t="s">
        <v>138</v>
      </c>
      <c r="Z997" s="14" t="s">
        <v>138</v>
      </c>
      <c r="AA997" s="0" t="s">
        <v>138</v>
      </c>
      <c r="AB997" s="14" t="s">
        <v>138</v>
      </c>
      <c r="AD997" s="0" t="s">
        <v>138</v>
      </c>
      <c r="AF997" s="0">
        <v>0</v>
      </c>
      <c r="AG997" s="0">
        <v>0</v>
      </c>
      <c r="AH997" s="0" t="s">
        <v>140</v>
      </c>
      <c r="AI997" s="0" t="s">
        <v>138</v>
      </c>
      <c r="AL997" s="14"/>
      <c r="AN997" s="14"/>
      <c r="AQ997" s="0" t="s">
        <v>130</v>
      </c>
      <c r="AR997" s="0" t="s">
        <v>130</v>
      </c>
      <c r="AS997" s="0" t="s">
        <v>130</v>
      </c>
      <c r="AT997" s="0" t="s">
        <v>130</v>
      </c>
      <c r="AU997" s="0" t="s">
        <v>141</v>
      </c>
      <c r="AV997" s="0" t="s">
        <v>130</v>
      </c>
      <c r="AW997" s="0" t="s">
        <v>130</v>
      </c>
      <c r="AX997" s="0" t="s">
        <v>130</v>
      </c>
      <c r="AY997" s="0" t="s">
        <v>130</v>
      </c>
      <c r="AZ997" s="0" t="s">
        <v>141</v>
      </c>
      <c r="BA997" s="0" t="s">
        <v>130</v>
      </c>
      <c r="BB997" s="0" t="s">
        <v>130</v>
      </c>
      <c r="BC997" s="0" t="s">
        <v>130</v>
      </c>
      <c r="BD997" s="0" t="s">
        <v>130</v>
      </c>
      <c r="BE997" s="0" t="s">
        <v>130</v>
      </c>
      <c r="BF997" s="0" t="s">
        <v>130</v>
      </c>
      <c r="BG997" s="0" t="s">
        <v>130</v>
      </c>
      <c r="BH997" s="0" t="s">
        <v>130</v>
      </c>
      <c r="BI997" s="0" t="s">
        <v>130</v>
      </c>
      <c r="BJ997" s="0" t="s">
        <v>130</v>
      </c>
      <c r="BK997" s="0" t="s">
        <v>130</v>
      </c>
      <c r="BL997" s="0" t="s">
        <v>130</v>
      </c>
      <c r="BM997" s="0" t="s">
        <v>130</v>
      </c>
      <c r="BN997" s="0" t="s">
        <v>130</v>
      </c>
      <c r="BO997" s="0" t="s">
        <v>130</v>
      </c>
      <c r="BP997" s="0" t="s">
        <v>130</v>
      </c>
      <c r="BQ997" s="0" t="s">
        <v>130</v>
      </c>
      <c r="BR997" s="0" t="s">
        <v>130</v>
      </c>
      <c r="BS997" s="0" t="s">
        <v>130</v>
      </c>
      <c r="BT997" s="0" t="s">
        <v>130</v>
      </c>
      <c r="BU997" s="0" t="s">
        <v>130</v>
      </c>
      <c r="BV997" s="0" t="s">
        <v>130</v>
      </c>
      <c r="BW997" s="0" t="s">
        <v>130</v>
      </c>
      <c r="BX997" s="0" t="s">
        <v>130</v>
      </c>
      <c r="BY997" s="0" t="s">
        <v>130</v>
      </c>
      <c r="BZ997" s="0" t="s">
        <v>130</v>
      </c>
      <c r="CA997" s="0" t="s">
        <v>130</v>
      </c>
      <c r="CB997" s="0" t="s">
        <v>130</v>
      </c>
      <c r="CC997" s="0" t="s">
        <v>130</v>
      </c>
      <c r="CD997" s="0" t="s">
        <v>130</v>
      </c>
      <c r="CE997" s="0" t="s">
        <v>130</v>
      </c>
      <c r="CF997" s="0" t="s">
        <v>130</v>
      </c>
      <c r="CG997" s="0" t="s">
        <v>130</v>
      </c>
      <c r="CH997" s="0" t="s">
        <v>130</v>
      </c>
      <c r="CI997" s="0" t="s">
        <v>130</v>
      </c>
      <c r="CJ997" s="0" t="s">
        <v>130</v>
      </c>
      <c r="CK997" s="0" t="s">
        <v>130</v>
      </c>
      <c r="CL997" s="0" t="s">
        <v>130</v>
      </c>
      <c r="CM997" s="0" t="s">
        <v>130</v>
      </c>
      <c r="CN997" s="0" t="s">
        <v>130</v>
      </c>
      <c r="CO997" s="0" t="s">
        <v>130</v>
      </c>
      <c r="CP997" s="0" t="s">
        <v>130</v>
      </c>
      <c r="CQ997" s="0" t="s">
        <v>130</v>
      </c>
      <c r="CR997" s="0" t="s">
        <v>130</v>
      </c>
      <c r="CS997" s="0" t="s">
        <v>130</v>
      </c>
      <c r="CT997" s="0" t="s">
        <v>3029</v>
      </c>
    </row>
    <row r="998">
      <c r="A998" s="14">
        <v>169367</v>
      </c>
      <c r="B998" s="0" t="s">
        <v>3021</v>
      </c>
      <c r="C998" s="16">
        <f>HYPERLINK("https://eosportal.federatedhermes.com/companies/Q29tcGFueQppNjE5MDI=", "HDFC Bank Ltd")</f>
      </c>
      <c r="D998" s="0" t="s">
        <v>25</v>
      </c>
      <c r="E998" s="0" t="s">
        <v>3030</v>
      </c>
      <c r="F998" s="16">
        <f>HYPERLINK("https://eosportal.federatedhermes.com/engagements/RW5nYWdlbWVudAppMjQwMDE=", "Anti-corruption &amp; bribery")</f>
      </c>
      <c r="G998" s="14" t="s">
        <v>3031</v>
      </c>
      <c r="H998" s="0" t="s">
        <v>141</v>
      </c>
      <c r="I998" s="14" t="s">
        <v>131</v>
      </c>
      <c r="J998" s="0" t="s">
        <v>153</v>
      </c>
      <c r="K998" s="0" t="s">
        <v>185</v>
      </c>
      <c r="L998" s="0" t="s">
        <v>186</v>
      </c>
      <c r="M998" s="0" t="s">
        <v>2807</v>
      </c>
      <c r="N998" s="0" t="s">
        <v>2969</v>
      </c>
      <c r="O998" s="0" t="s">
        <v>238</v>
      </c>
      <c r="Q998" s="0" t="s">
        <v>130</v>
      </c>
      <c r="R998" s="0" t="s">
        <v>138</v>
      </c>
      <c r="S998" s="14">
        <v>0</v>
      </c>
      <c r="T998" s="0" t="s">
        <v>804</v>
      </c>
      <c r="U998" s="0" t="s">
        <v>138</v>
      </c>
      <c r="V998" s="14" t="s">
        <v>138</v>
      </c>
      <c r="W998" s="0" t="s">
        <v>138</v>
      </c>
      <c r="X998" s="14" t="s">
        <v>138</v>
      </c>
      <c r="Y998" s="0" t="s">
        <v>138</v>
      </c>
      <c r="Z998" s="14" t="s">
        <v>138</v>
      </c>
      <c r="AA998" s="0" t="s">
        <v>138</v>
      </c>
      <c r="AB998" s="14" t="s">
        <v>138</v>
      </c>
      <c r="AD998" s="0" t="s">
        <v>138</v>
      </c>
      <c r="AF998" s="0">
        <v>0</v>
      </c>
      <c r="AG998" s="0">
        <v>0</v>
      </c>
      <c r="AH998" s="0" t="s">
        <v>140</v>
      </c>
      <c r="AI998" s="0" t="s">
        <v>138</v>
      </c>
      <c r="AL998" s="14"/>
      <c r="AN998" s="14"/>
      <c r="AQ998" s="0" t="s">
        <v>130</v>
      </c>
      <c r="AR998" s="0" t="s">
        <v>130</v>
      </c>
      <c r="AS998" s="0" t="s">
        <v>130</v>
      </c>
      <c r="AT998" s="0" t="s">
        <v>130</v>
      </c>
      <c r="AU998" s="0" t="s">
        <v>130</v>
      </c>
      <c r="AV998" s="0" t="s">
        <v>130</v>
      </c>
      <c r="AW998" s="0" t="s">
        <v>130</v>
      </c>
      <c r="AX998" s="0" t="s">
        <v>130</v>
      </c>
      <c r="AY998" s="0" t="s">
        <v>130</v>
      </c>
      <c r="AZ998" s="0" t="s">
        <v>130</v>
      </c>
      <c r="BA998" s="0" t="s">
        <v>130</v>
      </c>
      <c r="BB998" s="0" t="s">
        <v>130</v>
      </c>
      <c r="BC998" s="0" t="s">
        <v>130</v>
      </c>
      <c r="BD998" s="0" t="s">
        <v>130</v>
      </c>
      <c r="BE998" s="0" t="s">
        <v>130</v>
      </c>
      <c r="BF998" s="0" t="s">
        <v>130</v>
      </c>
      <c r="BG998" s="0" t="s">
        <v>130</v>
      </c>
      <c r="BH998" s="0" t="s">
        <v>130</v>
      </c>
      <c r="BI998" s="0" t="s">
        <v>130</v>
      </c>
      <c r="BJ998" s="0" t="s">
        <v>130</v>
      </c>
      <c r="BK998" s="0" t="s">
        <v>130</v>
      </c>
      <c r="BL998" s="0" t="s">
        <v>130</v>
      </c>
      <c r="BM998" s="0" t="s">
        <v>130</v>
      </c>
      <c r="BN998" s="0" t="s">
        <v>130</v>
      </c>
      <c r="BO998" s="0" t="s">
        <v>130</v>
      </c>
      <c r="BP998" s="0" t="s">
        <v>130</v>
      </c>
      <c r="BQ998" s="0" t="s">
        <v>130</v>
      </c>
      <c r="BR998" s="0" t="s">
        <v>130</v>
      </c>
      <c r="BS998" s="0" t="s">
        <v>130</v>
      </c>
      <c r="BT998" s="0" t="s">
        <v>130</v>
      </c>
      <c r="BU998" s="0" t="s">
        <v>130</v>
      </c>
      <c r="BV998" s="0" t="s">
        <v>130</v>
      </c>
      <c r="BW998" s="0" t="s">
        <v>130</v>
      </c>
      <c r="BX998" s="0" t="s">
        <v>130</v>
      </c>
      <c r="BY998" s="0" t="s">
        <v>130</v>
      </c>
      <c r="BZ998" s="0" t="s">
        <v>130</v>
      </c>
      <c r="CA998" s="0" t="s">
        <v>130</v>
      </c>
      <c r="CB998" s="0" t="s">
        <v>130</v>
      </c>
      <c r="CC998" s="0" t="s">
        <v>130</v>
      </c>
      <c r="CD998" s="0" t="s">
        <v>130</v>
      </c>
      <c r="CE998" s="0" t="s">
        <v>130</v>
      </c>
      <c r="CF998" s="0" t="s">
        <v>130</v>
      </c>
      <c r="CG998" s="0" t="s">
        <v>130</v>
      </c>
      <c r="CH998" s="0" t="s">
        <v>130</v>
      </c>
      <c r="CI998" s="0" t="s">
        <v>130</v>
      </c>
      <c r="CJ998" s="0" t="s">
        <v>130</v>
      </c>
      <c r="CK998" s="0" t="s">
        <v>130</v>
      </c>
      <c r="CL998" s="0" t="s">
        <v>130</v>
      </c>
      <c r="CM998" s="0" t="s">
        <v>130</v>
      </c>
      <c r="CN998" s="0" t="s">
        <v>130</v>
      </c>
      <c r="CO998" s="0" t="s">
        <v>130</v>
      </c>
      <c r="CP998" s="0" t="s">
        <v>130</v>
      </c>
      <c r="CQ998" s="0" t="s">
        <v>130</v>
      </c>
      <c r="CR998" s="0" t="s">
        <v>130</v>
      </c>
      <c r="CS998" s="0" t="s">
        <v>130</v>
      </c>
      <c r="CT998" s="0" t="s">
        <v>3032</v>
      </c>
    </row>
    <row r="999">
      <c r="A999" s="14">
        <v>169367</v>
      </c>
      <c r="B999" s="0" t="s">
        <v>3021</v>
      </c>
      <c r="C999" s="16">
        <f>HYPERLINK("https://eosportal.federatedhermes.com/companies/Q29tcGFueQppNjE5MDI=", "HDFC Bank Ltd")</f>
      </c>
      <c r="D999" s="0" t="s">
        <v>25</v>
      </c>
      <c r="E999" s="0" t="s">
        <v>3033</v>
      </c>
      <c r="F999" s="16">
        <f>HYPERLINK("https://eosportal.federatedhermes.com/engagements/RW5nYWdlbWVudAppMjQwMDI=", "Money laundering")</f>
      </c>
      <c r="G999" s="14" t="s">
        <v>3034</v>
      </c>
      <c r="H999" s="0" t="s">
        <v>141</v>
      </c>
      <c r="I999" s="14" t="s">
        <v>131</v>
      </c>
      <c r="J999" s="0" t="s">
        <v>132</v>
      </c>
      <c r="K999" s="0" t="s">
        <v>260</v>
      </c>
      <c r="L999" s="0" t="s">
        <v>261</v>
      </c>
      <c r="M999" s="0" t="s">
        <v>2807</v>
      </c>
      <c r="N999" s="0" t="s">
        <v>2969</v>
      </c>
      <c r="O999" s="0" t="s">
        <v>238</v>
      </c>
      <c r="Q999" s="0" t="s">
        <v>130</v>
      </c>
      <c r="R999" s="0" t="s">
        <v>138</v>
      </c>
      <c r="S999" s="14">
        <v>0</v>
      </c>
      <c r="T999" s="0" t="s">
        <v>416</v>
      </c>
      <c r="U999" s="0" t="s">
        <v>138</v>
      </c>
      <c r="V999" s="14" t="s">
        <v>138</v>
      </c>
      <c r="W999" s="0" t="s">
        <v>138</v>
      </c>
      <c r="X999" s="14" t="s">
        <v>138</v>
      </c>
      <c r="Y999" s="0" t="s">
        <v>138</v>
      </c>
      <c r="Z999" s="14" t="s">
        <v>138</v>
      </c>
      <c r="AA999" s="0" t="s">
        <v>138</v>
      </c>
      <c r="AB999" s="14" t="s">
        <v>138</v>
      </c>
      <c r="AD999" s="0" t="s">
        <v>138</v>
      </c>
      <c r="AF999" s="0">
        <v>0</v>
      </c>
      <c r="AG999" s="0">
        <v>0</v>
      </c>
      <c r="AH999" s="0" t="s">
        <v>140</v>
      </c>
      <c r="AI999" s="0" t="s">
        <v>138</v>
      </c>
      <c r="AL999" s="14"/>
      <c r="AN999" s="14"/>
      <c r="AQ999" s="0" t="s">
        <v>130</v>
      </c>
      <c r="AR999" s="0" t="s">
        <v>130</v>
      </c>
      <c r="AS999" s="0" t="s">
        <v>130</v>
      </c>
      <c r="AT999" s="0" t="s">
        <v>130</v>
      </c>
      <c r="AU999" s="0" t="s">
        <v>130</v>
      </c>
      <c r="AV999" s="0" t="s">
        <v>130</v>
      </c>
      <c r="AW999" s="0" t="s">
        <v>130</v>
      </c>
      <c r="AX999" s="0" t="s">
        <v>130</v>
      </c>
      <c r="AY999" s="0" t="s">
        <v>130</v>
      </c>
      <c r="AZ999" s="0" t="s">
        <v>130</v>
      </c>
      <c r="BA999" s="0" t="s">
        <v>130</v>
      </c>
      <c r="BB999" s="0" t="s">
        <v>130</v>
      </c>
      <c r="BC999" s="0" t="s">
        <v>130</v>
      </c>
      <c r="BD999" s="0" t="s">
        <v>130</v>
      </c>
      <c r="BE999" s="0" t="s">
        <v>130</v>
      </c>
      <c r="BF999" s="0" t="s">
        <v>130</v>
      </c>
      <c r="BG999" s="0" t="s">
        <v>130</v>
      </c>
      <c r="BH999" s="0" t="s">
        <v>130</v>
      </c>
      <c r="BI999" s="0" t="s">
        <v>130</v>
      </c>
      <c r="BJ999" s="0" t="s">
        <v>130</v>
      </c>
      <c r="BK999" s="0" t="s">
        <v>130</v>
      </c>
      <c r="BL999" s="0" t="s">
        <v>130</v>
      </c>
      <c r="BM999" s="0" t="s">
        <v>130</v>
      </c>
      <c r="BN999" s="0" t="s">
        <v>130</v>
      </c>
      <c r="BO999" s="0" t="s">
        <v>130</v>
      </c>
      <c r="BP999" s="0" t="s">
        <v>130</v>
      </c>
      <c r="BQ999" s="0" t="s">
        <v>130</v>
      </c>
      <c r="BR999" s="0" t="s">
        <v>130</v>
      </c>
      <c r="BS999" s="0" t="s">
        <v>130</v>
      </c>
      <c r="BT999" s="0" t="s">
        <v>130</v>
      </c>
      <c r="BU999" s="0" t="s">
        <v>130</v>
      </c>
      <c r="BV999" s="0" t="s">
        <v>130</v>
      </c>
      <c r="BW999" s="0" t="s">
        <v>130</v>
      </c>
      <c r="BX999" s="0" t="s">
        <v>130</v>
      </c>
      <c r="BY999" s="0" t="s">
        <v>130</v>
      </c>
      <c r="BZ999" s="0" t="s">
        <v>130</v>
      </c>
      <c r="CA999" s="0" t="s">
        <v>130</v>
      </c>
      <c r="CB999" s="0" t="s">
        <v>130</v>
      </c>
      <c r="CC999" s="0" t="s">
        <v>130</v>
      </c>
      <c r="CD999" s="0" t="s">
        <v>130</v>
      </c>
      <c r="CE999" s="0" t="s">
        <v>130</v>
      </c>
      <c r="CF999" s="0" t="s">
        <v>130</v>
      </c>
      <c r="CG999" s="0" t="s">
        <v>130</v>
      </c>
      <c r="CH999" s="0" t="s">
        <v>130</v>
      </c>
      <c r="CI999" s="0" t="s">
        <v>130</v>
      </c>
      <c r="CJ999" s="0" t="s">
        <v>130</v>
      </c>
      <c r="CK999" s="0" t="s">
        <v>130</v>
      </c>
      <c r="CL999" s="0" t="s">
        <v>130</v>
      </c>
      <c r="CM999" s="0" t="s">
        <v>130</v>
      </c>
      <c r="CN999" s="0" t="s">
        <v>130</v>
      </c>
      <c r="CO999" s="0" t="s">
        <v>130</v>
      </c>
      <c r="CP999" s="0" t="s">
        <v>130</v>
      </c>
      <c r="CQ999" s="0" t="s">
        <v>130</v>
      </c>
      <c r="CR999" s="0" t="s">
        <v>130</v>
      </c>
      <c r="CS999" s="0" t="s">
        <v>130</v>
      </c>
      <c r="CT999" s="0" t="s">
        <v>3035</v>
      </c>
    </row>
    <row r="1000">
      <c r="A1000" s="14">
        <v>135887</v>
      </c>
      <c r="B1000" s="0" t="s">
        <v>3036</v>
      </c>
      <c r="C1000" s="16">
        <f>HYPERLINK("https://eosportal.federatedhermes.com/companies/Q29tcGFueQppODQ0ODc=", "Computershare Ltd")</f>
      </c>
      <c r="D1000" s="0" t="s">
        <v>25</v>
      </c>
      <c r="E1000" s="0" t="s">
        <v>341</v>
      </c>
      <c r="F1000" s="16">
        <f>HYPERLINK("https://eosportal.federatedhermes.com/engagements/RW5nYWdlbWVudAppMjQxNzc=", "Remuneration")</f>
      </c>
      <c r="G1000" s="14" t="s">
        <v>642</v>
      </c>
      <c r="H1000" s="0" t="s">
        <v>130</v>
      </c>
      <c r="I1000" s="14" t="s">
        <v>319</v>
      </c>
      <c r="J1000" s="0" t="s">
        <v>145</v>
      </c>
      <c r="K1000" s="0" t="s">
        <v>146</v>
      </c>
      <c r="L1000" s="0" t="s">
        <v>147</v>
      </c>
      <c r="M1000" s="0" t="s">
        <v>371</v>
      </c>
      <c r="N1000" s="0" t="s">
        <v>372</v>
      </c>
      <c r="O1000" s="0" t="s">
        <v>137</v>
      </c>
      <c r="Q1000" s="0" t="s">
        <v>130</v>
      </c>
      <c r="R1000" s="0" t="s">
        <v>138</v>
      </c>
      <c r="S1000" s="14">
        <v>0</v>
      </c>
      <c r="T1000" s="0" t="s">
        <v>193</v>
      </c>
      <c r="U1000" s="0" t="s">
        <v>138</v>
      </c>
      <c r="V1000" s="14" t="s">
        <v>138</v>
      </c>
      <c r="W1000" s="0" t="s">
        <v>138</v>
      </c>
      <c r="X1000" s="14" t="s">
        <v>138</v>
      </c>
      <c r="Y1000" s="0" t="s">
        <v>138</v>
      </c>
      <c r="Z1000" s="14" t="s">
        <v>138</v>
      </c>
      <c r="AA1000" s="0" t="s">
        <v>138</v>
      </c>
      <c r="AB1000" s="14" t="s">
        <v>138</v>
      </c>
      <c r="AD1000" s="0" t="s">
        <v>138</v>
      </c>
      <c r="AF1000" s="0">
        <v>0</v>
      </c>
      <c r="AG1000" s="0">
        <v>0</v>
      </c>
      <c r="AH1000" s="0" t="s">
        <v>140</v>
      </c>
      <c r="AI1000" s="0" t="s">
        <v>138</v>
      </c>
      <c r="AL1000" s="14"/>
      <c r="AN1000" s="14"/>
      <c r="AQ1000" s="0" t="s">
        <v>130</v>
      </c>
      <c r="AR1000" s="0" t="s">
        <v>130</v>
      </c>
      <c r="AS1000" s="0" t="s">
        <v>130</v>
      </c>
      <c r="AT1000" s="0" t="s">
        <v>130</v>
      </c>
      <c r="AU1000" s="0" t="s">
        <v>130</v>
      </c>
      <c r="AV1000" s="0" t="s">
        <v>130</v>
      </c>
      <c r="AW1000" s="0" t="s">
        <v>130</v>
      </c>
      <c r="AX1000" s="0" t="s">
        <v>130</v>
      </c>
      <c r="AY1000" s="0" t="s">
        <v>130</v>
      </c>
      <c r="AZ1000" s="0" t="s">
        <v>130</v>
      </c>
      <c r="BA1000" s="0" t="s">
        <v>130</v>
      </c>
      <c r="BB1000" s="0" t="s">
        <v>130</v>
      </c>
      <c r="BC1000" s="0" t="s">
        <v>130</v>
      </c>
      <c r="BD1000" s="0" t="s">
        <v>130</v>
      </c>
      <c r="BE1000" s="0" t="s">
        <v>130</v>
      </c>
      <c r="BF1000" s="0" t="s">
        <v>130</v>
      </c>
      <c r="BG1000" s="0" t="s">
        <v>130</v>
      </c>
      <c r="BH1000" s="0" t="s">
        <v>130</v>
      </c>
      <c r="BI1000" s="0" t="s">
        <v>130</v>
      </c>
      <c r="BJ1000" s="0" t="s">
        <v>130</v>
      </c>
      <c r="BK1000" s="0" t="s">
        <v>130</v>
      </c>
      <c r="BL1000" s="0" t="s">
        <v>130</v>
      </c>
      <c r="BM1000" s="0" t="s">
        <v>130</v>
      </c>
      <c r="BN1000" s="0" t="s">
        <v>130</v>
      </c>
      <c r="BO1000" s="0" t="s">
        <v>130</v>
      </c>
      <c r="BP1000" s="0" t="s">
        <v>130</v>
      </c>
      <c r="BQ1000" s="0" t="s">
        <v>130</v>
      </c>
      <c r="BR1000" s="0" t="s">
        <v>130</v>
      </c>
      <c r="BS1000" s="0" t="s">
        <v>130</v>
      </c>
      <c r="BT1000" s="0" t="s">
        <v>130</v>
      </c>
      <c r="BU1000" s="0" t="s">
        <v>130</v>
      </c>
      <c r="BV1000" s="0" t="s">
        <v>130</v>
      </c>
      <c r="BW1000" s="0" t="s">
        <v>130</v>
      </c>
      <c r="BX1000" s="0" t="s">
        <v>130</v>
      </c>
      <c r="BY1000" s="0" t="s">
        <v>130</v>
      </c>
      <c r="BZ1000" s="0" t="s">
        <v>130</v>
      </c>
      <c r="CA1000" s="0" t="s">
        <v>130</v>
      </c>
      <c r="CB1000" s="0" t="s">
        <v>130</v>
      </c>
      <c r="CC1000" s="0" t="s">
        <v>130</v>
      </c>
      <c r="CD1000" s="0" t="s">
        <v>130</v>
      </c>
      <c r="CE1000" s="0" t="s">
        <v>130</v>
      </c>
      <c r="CF1000" s="0" t="s">
        <v>130</v>
      </c>
      <c r="CG1000" s="0" t="s">
        <v>130</v>
      </c>
      <c r="CH1000" s="0" t="s">
        <v>130</v>
      </c>
      <c r="CI1000" s="0" t="s">
        <v>130</v>
      </c>
      <c r="CJ1000" s="0" t="s">
        <v>130</v>
      </c>
      <c r="CK1000" s="0" t="s">
        <v>130</v>
      </c>
      <c r="CL1000" s="0" t="s">
        <v>130</v>
      </c>
      <c r="CM1000" s="0" t="s">
        <v>130</v>
      </c>
      <c r="CN1000" s="0" t="s">
        <v>130</v>
      </c>
      <c r="CO1000" s="0" t="s">
        <v>130</v>
      </c>
      <c r="CP1000" s="0" t="s">
        <v>130</v>
      </c>
      <c r="CQ1000" s="0" t="s">
        <v>130</v>
      </c>
      <c r="CR1000" s="0" t="s">
        <v>130</v>
      </c>
      <c r="CS1000" s="0" t="s">
        <v>130</v>
      </c>
      <c r="CT1000" s="0" t="s">
        <v>3037</v>
      </c>
    </row>
    <row r="1001">
      <c r="A1001" s="14">
        <v>136114</v>
      </c>
      <c r="B1001" s="0" t="s">
        <v>3038</v>
      </c>
      <c r="C1001" s="16">
        <f>HYPERLINK("https://eosportal.federatedhermes.com/companies/Q29tcGFueQppNzM3Nzc=", "Petroleo Brasileiro SA - Petrobras")</f>
      </c>
      <c r="D1001" s="0" t="s">
        <v>25</v>
      </c>
      <c r="E1001" s="0" t="s">
        <v>3039</v>
      </c>
      <c r="F1001" s="16">
        <f>HYPERLINK("https://eosportal.federatedhermes.com/engagements/RW5nYWdlbWVudAppMjQyMDg=", "Elect independent minority shareholder representatives to the board")</f>
      </c>
      <c r="G1001" s="14" t="s">
        <v>3040</v>
      </c>
      <c r="H1001" s="0" t="s">
        <v>141</v>
      </c>
      <c r="I1001" s="14" t="s">
        <v>191</v>
      </c>
      <c r="J1001" s="0" t="s">
        <v>145</v>
      </c>
      <c r="K1001" s="0" t="s">
        <v>164</v>
      </c>
      <c r="L1001" s="0" t="s">
        <v>165</v>
      </c>
      <c r="M1001" s="0" t="s">
        <v>2807</v>
      </c>
      <c r="N1001" s="0" t="s">
        <v>3041</v>
      </c>
      <c r="O1001" s="0" t="s">
        <v>542</v>
      </c>
      <c r="Q1001" s="0" t="s">
        <v>141</v>
      </c>
      <c r="R1001" s="0" t="s">
        <v>138</v>
      </c>
      <c r="S1001" s="14">
        <v>1</v>
      </c>
      <c r="T1001" s="0" t="s">
        <v>387</v>
      </c>
      <c r="U1001" s="0" t="s">
        <v>138</v>
      </c>
      <c r="V1001" s="14" t="s">
        <v>138</v>
      </c>
      <c r="W1001" s="0" t="s">
        <v>138</v>
      </c>
      <c r="X1001" s="14" t="s">
        <v>138</v>
      </c>
      <c r="Y1001" s="0" t="s">
        <v>138</v>
      </c>
      <c r="Z1001" s="14" t="s">
        <v>138</v>
      </c>
      <c r="AA1001" s="0" t="s">
        <v>138</v>
      </c>
      <c r="AB1001" s="14" t="s">
        <v>138</v>
      </c>
      <c r="AD1001" s="0" t="s">
        <v>138</v>
      </c>
      <c r="AF1001" s="0">
        <v>0</v>
      </c>
      <c r="AG1001" s="0">
        <v>0</v>
      </c>
      <c r="AH1001" s="0" t="s">
        <v>140</v>
      </c>
      <c r="AI1001" s="0" t="s">
        <v>138</v>
      </c>
      <c r="AK1001" s="0" t="s">
        <v>3042</v>
      </c>
      <c r="AL1001" s="14"/>
      <c r="AN1001" s="14"/>
      <c r="AQ1001" s="0" t="s">
        <v>130</v>
      </c>
      <c r="AR1001" s="0" t="s">
        <v>130</v>
      </c>
      <c r="AS1001" s="0" t="s">
        <v>130</v>
      </c>
      <c r="AT1001" s="0" t="s">
        <v>130</v>
      </c>
      <c r="AU1001" s="0" t="s">
        <v>130</v>
      </c>
      <c r="AV1001" s="0" t="s">
        <v>130</v>
      </c>
      <c r="AW1001" s="0" t="s">
        <v>130</v>
      </c>
      <c r="AX1001" s="0" t="s">
        <v>130</v>
      </c>
      <c r="AY1001" s="0" t="s">
        <v>130</v>
      </c>
      <c r="AZ1001" s="0" t="s">
        <v>130</v>
      </c>
      <c r="BA1001" s="0" t="s">
        <v>130</v>
      </c>
      <c r="BB1001" s="0" t="s">
        <v>130</v>
      </c>
      <c r="BC1001" s="0" t="s">
        <v>130</v>
      </c>
      <c r="BD1001" s="0" t="s">
        <v>130</v>
      </c>
      <c r="BE1001" s="0" t="s">
        <v>130</v>
      </c>
      <c r="BF1001" s="0" t="s">
        <v>130</v>
      </c>
      <c r="BG1001" s="0" t="s">
        <v>130</v>
      </c>
      <c r="BH1001" s="0" t="s">
        <v>130</v>
      </c>
      <c r="BI1001" s="0" t="s">
        <v>130</v>
      </c>
      <c r="BJ1001" s="0" t="s">
        <v>130</v>
      </c>
      <c r="BK1001" s="0" t="s">
        <v>130</v>
      </c>
      <c r="BL1001" s="0" t="s">
        <v>130</v>
      </c>
      <c r="BM1001" s="0" t="s">
        <v>130</v>
      </c>
      <c r="BN1001" s="0" t="s">
        <v>130</v>
      </c>
      <c r="BO1001" s="0" t="s">
        <v>130</v>
      </c>
      <c r="BP1001" s="0" t="s">
        <v>130</v>
      </c>
      <c r="BQ1001" s="0" t="s">
        <v>130</v>
      </c>
      <c r="BR1001" s="0" t="s">
        <v>130</v>
      </c>
      <c r="BS1001" s="0" t="s">
        <v>130</v>
      </c>
      <c r="BT1001" s="0" t="s">
        <v>130</v>
      </c>
      <c r="BU1001" s="0" t="s">
        <v>130</v>
      </c>
      <c r="BV1001" s="0" t="s">
        <v>130</v>
      </c>
      <c r="BW1001" s="0" t="s">
        <v>130</v>
      </c>
      <c r="BX1001" s="0" t="s">
        <v>130</v>
      </c>
      <c r="BY1001" s="0" t="s">
        <v>130</v>
      </c>
      <c r="BZ1001" s="0" t="s">
        <v>130</v>
      </c>
      <c r="CA1001" s="0" t="s">
        <v>130</v>
      </c>
      <c r="CB1001" s="0" t="s">
        <v>130</v>
      </c>
      <c r="CC1001" s="0" t="s">
        <v>130</v>
      </c>
      <c r="CD1001" s="0" t="s">
        <v>130</v>
      </c>
      <c r="CE1001" s="0" t="s">
        <v>130</v>
      </c>
      <c r="CF1001" s="0" t="s">
        <v>130</v>
      </c>
      <c r="CG1001" s="0" t="s">
        <v>130</v>
      </c>
      <c r="CH1001" s="0" t="s">
        <v>130</v>
      </c>
      <c r="CI1001" s="0" t="s">
        <v>130</v>
      </c>
      <c r="CJ1001" s="0" t="s">
        <v>130</v>
      </c>
      <c r="CK1001" s="0" t="s">
        <v>130</v>
      </c>
      <c r="CL1001" s="0" t="s">
        <v>130</v>
      </c>
      <c r="CM1001" s="0" t="s">
        <v>130</v>
      </c>
      <c r="CN1001" s="0" t="s">
        <v>130</v>
      </c>
      <c r="CO1001" s="0" t="s">
        <v>130</v>
      </c>
      <c r="CP1001" s="0" t="s">
        <v>130</v>
      </c>
      <c r="CQ1001" s="0" t="s">
        <v>130</v>
      </c>
      <c r="CR1001" s="0" t="s">
        <v>130</v>
      </c>
      <c r="CS1001" s="0" t="s">
        <v>130</v>
      </c>
      <c r="CT1001" s="0" t="s">
        <v>3043</v>
      </c>
    </row>
    <row r="1002">
      <c r="A1002" s="14">
        <v>136114</v>
      </c>
      <c r="B1002" s="0" t="s">
        <v>3038</v>
      </c>
      <c r="C1002" s="16">
        <f>HYPERLINK("https://eosportal.federatedhermes.com/companies/Q29tcGFueQppNzM3Nzc=", "Petroleo Brasileiro SA - Petrobras")</f>
      </c>
      <c r="D1002" s="0" t="s">
        <v>25</v>
      </c>
      <c r="E1002" s="0" t="s">
        <v>3044</v>
      </c>
      <c r="F1002" s="16">
        <f>HYPERLINK("https://eosportal.federatedhermes.com/engagements/RW5nYWdlbWVudAppMjQyMDk=", "Environmental Strategy")</f>
      </c>
      <c r="G1002" s="14" t="s">
        <v>3044</v>
      </c>
      <c r="H1002" s="0" t="s">
        <v>141</v>
      </c>
      <c r="I1002" s="14" t="s">
        <v>191</v>
      </c>
      <c r="J1002" s="0" t="s">
        <v>153</v>
      </c>
      <c r="K1002" s="0" t="s">
        <v>185</v>
      </c>
      <c r="L1002" s="0" t="s">
        <v>186</v>
      </c>
      <c r="M1002" s="0" t="s">
        <v>2807</v>
      </c>
      <c r="N1002" s="0" t="s">
        <v>3041</v>
      </c>
      <c r="O1002" s="0" t="s">
        <v>542</v>
      </c>
      <c r="Q1002" s="0" t="s">
        <v>130</v>
      </c>
      <c r="R1002" s="0" t="s">
        <v>138</v>
      </c>
      <c r="S1002" s="14">
        <v>0</v>
      </c>
      <c r="T1002" s="0" t="s">
        <v>390</v>
      </c>
      <c r="U1002" s="0" t="s">
        <v>138</v>
      </c>
      <c r="V1002" s="14" t="s">
        <v>138</v>
      </c>
      <c r="W1002" s="0" t="s">
        <v>138</v>
      </c>
      <c r="X1002" s="14" t="s">
        <v>138</v>
      </c>
      <c r="Y1002" s="0" t="s">
        <v>138</v>
      </c>
      <c r="Z1002" s="14" t="s">
        <v>138</v>
      </c>
      <c r="AA1002" s="0" t="s">
        <v>138</v>
      </c>
      <c r="AB1002" s="14" t="s">
        <v>138</v>
      </c>
      <c r="AD1002" s="0" t="s">
        <v>138</v>
      </c>
      <c r="AF1002" s="0">
        <v>0</v>
      </c>
      <c r="AG1002" s="0">
        <v>0</v>
      </c>
      <c r="AH1002" s="0" t="s">
        <v>140</v>
      </c>
      <c r="AI1002" s="0" t="s">
        <v>138</v>
      </c>
      <c r="AL1002" s="14"/>
      <c r="AN1002" s="14"/>
      <c r="AQ1002" s="0" t="s">
        <v>130</v>
      </c>
      <c r="AR1002" s="0" t="s">
        <v>130</v>
      </c>
      <c r="AS1002" s="0" t="s">
        <v>130</v>
      </c>
      <c r="AT1002" s="0" t="s">
        <v>130</v>
      </c>
      <c r="AU1002" s="0" t="s">
        <v>130</v>
      </c>
      <c r="AV1002" s="0" t="s">
        <v>130</v>
      </c>
      <c r="AW1002" s="0" t="s">
        <v>130</v>
      </c>
      <c r="AX1002" s="0" t="s">
        <v>130</v>
      </c>
      <c r="AY1002" s="0" t="s">
        <v>130</v>
      </c>
      <c r="AZ1002" s="0" t="s">
        <v>130</v>
      </c>
      <c r="BA1002" s="0" t="s">
        <v>130</v>
      </c>
      <c r="BB1002" s="0" t="s">
        <v>130</v>
      </c>
      <c r="BC1002" s="0" t="s">
        <v>130</v>
      </c>
      <c r="BD1002" s="0" t="s">
        <v>130</v>
      </c>
      <c r="BE1002" s="0" t="s">
        <v>130</v>
      </c>
      <c r="BF1002" s="0" t="s">
        <v>130</v>
      </c>
      <c r="BG1002" s="0" t="s">
        <v>130</v>
      </c>
      <c r="BH1002" s="0" t="s">
        <v>130</v>
      </c>
      <c r="BI1002" s="0" t="s">
        <v>130</v>
      </c>
      <c r="BJ1002" s="0" t="s">
        <v>130</v>
      </c>
      <c r="BK1002" s="0" t="s">
        <v>130</v>
      </c>
      <c r="BL1002" s="0" t="s">
        <v>130</v>
      </c>
      <c r="BM1002" s="0" t="s">
        <v>130</v>
      </c>
      <c r="BN1002" s="0" t="s">
        <v>130</v>
      </c>
      <c r="BO1002" s="0" t="s">
        <v>130</v>
      </c>
      <c r="BP1002" s="0" t="s">
        <v>130</v>
      </c>
      <c r="BQ1002" s="0" t="s">
        <v>130</v>
      </c>
      <c r="BR1002" s="0" t="s">
        <v>130</v>
      </c>
      <c r="BS1002" s="0" t="s">
        <v>130</v>
      </c>
      <c r="BT1002" s="0" t="s">
        <v>130</v>
      </c>
      <c r="BU1002" s="0" t="s">
        <v>130</v>
      </c>
      <c r="BV1002" s="0" t="s">
        <v>130</v>
      </c>
      <c r="BW1002" s="0" t="s">
        <v>130</v>
      </c>
      <c r="BX1002" s="0" t="s">
        <v>130</v>
      </c>
      <c r="BY1002" s="0" t="s">
        <v>130</v>
      </c>
      <c r="BZ1002" s="0" t="s">
        <v>130</v>
      </c>
      <c r="CA1002" s="0" t="s">
        <v>130</v>
      </c>
      <c r="CB1002" s="0" t="s">
        <v>130</v>
      </c>
      <c r="CC1002" s="0" t="s">
        <v>130</v>
      </c>
      <c r="CD1002" s="0" t="s">
        <v>130</v>
      </c>
      <c r="CE1002" s="0" t="s">
        <v>130</v>
      </c>
      <c r="CF1002" s="0" t="s">
        <v>130</v>
      </c>
      <c r="CG1002" s="0" t="s">
        <v>130</v>
      </c>
      <c r="CH1002" s="0" t="s">
        <v>130</v>
      </c>
      <c r="CI1002" s="0" t="s">
        <v>130</v>
      </c>
      <c r="CJ1002" s="0" t="s">
        <v>130</v>
      </c>
      <c r="CK1002" s="0" t="s">
        <v>130</v>
      </c>
      <c r="CL1002" s="0" t="s">
        <v>130</v>
      </c>
      <c r="CM1002" s="0" t="s">
        <v>130</v>
      </c>
      <c r="CN1002" s="0" t="s">
        <v>130</v>
      </c>
      <c r="CO1002" s="0" t="s">
        <v>130</v>
      </c>
      <c r="CP1002" s="0" t="s">
        <v>130</v>
      </c>
      <c r="CQ1002" s="0" t="s">
        <v>130</v>
      </c>
      <c r="CR1002" s="0" t="s">
        <v>130</v>
      </c>
      <c r="CS1002" s="0" t="s">
        <v>130</v>
      </c>
      <c r="CT1002" s="0" t="s">
        <v>3045</v>
      </c>
    </row>
    <row r="1003">
      <c r="A1003" s="14">
        <v>136114</v>
      </c>
      <c r="B1003" s="0" t="s">
        <v>3038</v>
      </c>
      <c r="C1003" s="16">
        <f>HYPERLINK("https://eosportal.federatedhermes.com/companies/Q29tcGFueQppNzM3Nzc=", "Petroleo Brasileiro SA - Petrobras")</f>
      </c>
      <c r="D1003" s="0" t="s">
        <v>25</v>
      </c>
      <c r="E1003" s="0" t="s">
        <v>3046</v>
      </c>
      <c r="F1003" s="16">
        <f>HYPERLINK("https://eosportal.federatedhermes.com/engagements/RW5nYWdlbWVudAppMjQyMTI=", "Business Plan - Sources and Uses")</f>
      </c>
      <c r="G1003" s="14" t="s">
        <v>3047</v>
      </c>
      <c r="H1003" s="0" t="s">
        <v>141</v>
      </c>
      <c r="I1003" s="14" t="s">
        <v>191</v>
      </c>
      <c r="J1003" s="0" t="s">
        <v>153</v>
      </c>
      <c r="K1003" s="0" t="s">
        <v>185</v>
      </c>
      <c r="L1003" s="0" t="s">
        <v>186</v>
      </c>
      <c r="M1003" s="0" t="s">
        <v>2807</v>
      </c>
      <c r="N1003" s="0" t="s">
        <v>3041</v>
      </c>
      <c r="O1003" s="0" t="s">
        <v>542</v>
      </c>
      <c r="Q1003" s="0" t="s">
        <v>130</v>
      </c>
      <c r="R1003" s="0" t="s">
        <v>138</v>
      </c>
      <c r="S1003" s="14">
        <v>0</v>
      </c>
      <c r="T1003" s="0" t="s">
        <v>591</v>
      </c>
      <c r="U1003" s="0" t="s">
        <v>138</v>
      </c>
      <c r="V1003" s="14" t="s">
        <v>138</v>
      </c>
      <c r="W1003" s="0" t="s">
        <v>138</v>
      </c>
      <c r="X1003" s="14" t="s">
        <v>138</v>
      </c>
      <c r="Y1003" s="0" t="s">
        <v>138</v>
      </c>
      <c r="Z1003" s="14" t="s">
        <v>138</v>
      </c>
      <c r="AA1003" s="0" t="s">
        <v>138</v>
      </c>
      <c r="AB1003" s="14" t="s">
        <v>138</v>
      </c>
      <c r="AD1003" s="0" t="s">
        <v>138</v>
      </c>
      <c r="AF1003" s="0">
        <v>0</v>
      </c>
      <c r="AG1003" s="0">
        <v>0</v>
      </c>
      <c r="AH1003" s="0" t="s">
        <v>140</v>
      </c>
      <c r="AI1003" s="0" t="s">
        <v>138</v>
      </c>
      <c r="AL1003" s="14"/>
      <c r="AN1003" s="14"/>
      <c r="AQ1003" s="0" t="s">
        <v>130</v>
      </c>
      <c r="AR1003" s="0" t="s">
        <v>130</v>
      </c>
      <c r="AS1003" s="0" t="s">
        <v>130</v>
      </c>
      <c r="AT1003" s="0" t="s">
        <v>130</v>
      </c>
      <c r="AU1003" s="0" t="s">
        <v>130</v>
      </c>
      <c r="AV1003" s="0" t="s">
        <v>130</v>
      </c>
      <c r="AW1003" s="0" t="s">
        <v>130</v>
      </c>
      <c r="AX1003" s="0" t="s">
        <v>130</v>
      </c>
      <c r="AY1003" s="0" t="s">
        <v>130</v>
      </c>
      <c r="AZ1003" s="0" t="s">
        <v>130</v>
      </c>
      <c r="BA1003" s="0" t="s">
        <v>130</v>
      </c>
      <c r="BB1003" s="0" t="s">
        <v>130</v>
      </c>
      <c r="BC1003" s="0" t="s">
        <v>130</v>
      </c>
      <c r="BD1003" s="0" t="s">
        <v>130</v>
      </c>
      <c r="BE1003" s="0" t="s">
        <v>130</v>
      </c>
      <c r="BF1003" s="0" t="s">
        <v>130</v>
      </c>
      <c r="BG1003" s="0" t="s">
        <v>130</v>
      </c>
      <c r="BH1003" s="0" t="s">
        <v>130</v>
      </c>
      <c r="BI1003" s="0" t="s">
        <v>130</v>
      </c>
      <c r="BJ1003" s="0" t="s">
        <v>130</v>
      </c>
      <c r="BK1003" s="0" t="s">
        <v>130</v>
      </c>
      <c r="BL1003" s="0" t="s">
        <v>130</v>
      </c>
      <c r="BM1003" s="0" t="s">
        <v>130</v>
      </c>
      <c r="BN1003" s="0" t="s">
        <v>130</v>
      </c>
      <c r="BO1003" s="0" t="s">
        <v>130</v>
      </c>
      <c r="BP1003" s="0" t="s">
        <v>130</v>
      </c>
      <c r="BQ1003" s="0" t="s">
        <v>130</v>
      </c>
      <c r="BR1003" s="0" t="s">
        <v>130</v>
      </c>
      <c r="BS1003" s="0" t="s">
        <v>130</v>
      </c>
      <c r="BT1003" s="0" t="s">
        <v>130</v>
      </c>
      <c r="BU1003" s="0" t="s">
        <v>130</v>
      </c>
      <c r="BV1003" s="0" t="s">
        <v>130</v>
      </c>
      <c r="BW1003" s="0" t="s">
        <v>130</v>
      </c>
      <c r="BX1003" s="0" t="s">
        <v>130</v>
      </c>
      <c r="BY1003" s="0" t="s">
        <v>130</v>
      </c>
      <c r="BZ1003" s="0" t="s">
        <v>130</v>
      </c>
      <c r="CA1003" s="0" t="s">
        <v>130</v>
      </c>
      <c r="CB1003" s="0" t="s">
        <v>130</v>
      </c>
      <c r="CC1003" s="0" t="s">
        <v>130</v>
      </c>
      <c r="CD1003" s="0" t="s">
        <v>130</v>
      </c>
      <c r="CE1003" s="0" t="s">
        <v>130</v>
      </c>
      <c r="CF1003" s="0" t="s">
        <v>130</v>
      </c>
      <c r="CG1003" s="0" t="s">
        <v>130</v>
      </c>
      <c r="CH1003" s="0" t="s">
        <v>130</v>
      </c>
      <c r="CI1003" s="0" t="s">
        <v>130</v>
      </c>
      <c r="CJ1003" s="0" t="s">
        <v>130</v>
      </c>
      <c r="CK1003" s="0" t="s">
        <v>130</v>
      </c>
      <c r="CL1003" s="0" t="s">
        <v>130</v>
      </c>
      <c r="CM1003" s="0" t="s">
        <v>130</v>
      </c>
      <c r="CN1003" s="0" t="s">
        <v>130</v>
      </c>
      <c r="CO1003" s="0" t="s">
        <v>130</v>
      </c>
      <c r="CP1003" s="0" t="s">
        <v>130</v>
      </c>
      <c r="CQ1003" s="0" t="s">
        <v>130</v>
      </c>
      <c r="CR1003" s="0" t="s">
        <v>130</v>
      </c>
      <c r="CS1003" s="0" t="s">
        <v>130</v>
      </c>
      <c r="CT1003" s="0" t="s">
        <v>3048</v>
      </c>
    </row>
    <row r="1004">
      <c r="A1004" s="14">
        <v>136114</v>
      </c>
      <c r="B1004" s="0" t="s">
        <v>3038</v>
      </c>
      <c r="C1004" s="16">
        <f>HYPERLINK("https://eosportal.federatedhermes.com/companies/Q29tcGFueQppNzM3Nzc=", "Petroleo Brasileiro SA - Petrobras")</f>
      </c>
      <c r="D1004" s="0" t="s">
        <v>25</v>
      </c>
      <c r="E1004" s="0" t="s">
        <v>3049</v>
      </c>
      <c r="F1004" s="16">
        <f>HYPERLINK("https://eosportal.federatedhermes.com/engagements/RW5nYWdlbWVudAppMjQyMTQ=", "Board Succession")</f>
      </c>
      <c r="G1004" s="14" t="s">
        <v>3050</v>
      </c>
      <c r="H1004" s="0" t="s">
        <v>141</v>
      </c>
      <c r="I1004" s="14" t="s">
        <v>191</v>
      </c>
      <c r="J1004" s="0" t="s">
        <v>145</v>
      </c>
      <c r="K1004" s="0" t="s">
        <v>164</v>
      </c>
      <c r="L1004" s="0" t="s">
        <v>277</v>
      </c>
      <c r="M1004" s="0" t="s">
        <v>2807</v>
      </c>
      <c r="N1004" s="0" t="s">
        <v>3041</v>
      </c>
      <c r="O1004" s="0" t="s">
        <v>542</v>
      </c>
      <c r="Q1004" s="0" t="s">
        <v>141</v>
      </c>
      <c r="R1004" s="0" t="s">
        <v>138</v>
      </c>
      <c r="S1004" s="14">
        <v>1</v>
      </c>
      <c r="T1004" s="0" t="s">
        <v>288</v>
      </c>
      <c r="U1004" s="0" t="s">
        <v>138</v>
      </c>
      <c r="V1004" s="14" t="s">
        <v>138</v>
      </c>
      <c r="W1004" s="0" t="s">
        <v>138</v>
      </c>
      <c r="X1004" s="14" t="s">
        <v>138</v>
      </c>
      <c r="Y1004" s="0" t="s">
        <v>138</v>
      </c>
      <c r="Z1004" s="14" t="s">
        <v>138</v>
      </c>
      <c r="AA1004" s="0" t="s">
        <v>138</v>
      </c>
      <c r="AB1004" s="14" t="s">
        <v>138</v>
      </c>
      <c r="AD1004" s="0" t="s">
        <v>138</v>
      </c>
      <c r="AF1004" s="0">
        <v>0</v>
      </c>
      <c r="AG1004" s="0">
        <v>0</v>
      </c>
      <c r="AH1004" s="0" t="s">
        <v>140</v>
      </c>
      <c r="AI1004" s="0" t="s">
        <v>138</v>
      </c>
      <c r="AK1004" s="0" t="s">
        <v>3042</v>
      </c>
      <c r="AL1004" s="14"/>
      <c r="AN1004" s="14"/>
      <c r="AQ1004" s="0" t="s">
        <v>130</v>
      </c>
      <c r="AR1004" s="0" t="s">
        <v>130</v>
      </c>
      <c r="AS1004" s="0" t="s">
        <v>130</v>
      </c>
      <c r="AT1004" s="0" t="s">
        <v>130</v>
      </c>
      <c r="AU1004" s="0" t="s">
        <v>130</v>
      </c>
      <c r="AV1004" s="0" t="s">
        <v>130</v>
      </c>
      <c r="AW1004" s="0" t="s">
        <v>130</v>
      </c>
      <c r="AX1004" s="0" t="s">
        <v>130</v>
      </c>
      <c r="AY1004" s="0" t="s">
        <v>130</v>
      </c>
      <c r="AZ1004" s="0" t="s">
        <v>130</v>
      </c>
      <c r="BA1004" s="0" t="s">
        <v>130</v>
      </c>
      <c r="BB1004" s="0" t="s">
        <v>130</v>
      </c>
      <c r="BC1004" s="0" t="s">
        <v>130</v>
      </c>
      <c r="BD1004" s="0" t="s">
        <v>130</v>
      </c>
      <c r="BE1004" s="0" t="s">
        <v>130</v>
      </c>
      <c r="BF1004" s="0" t="s">
        <v>130</v>
      </c>
      <c r="BG1004" s="0" t="s">
        <v>130</v>
      </c>
      <c r="BH1004" s="0" t="s">
        <v>130</v>
      </c>
      <c r="BI1004" s="0" t="s">
        <v>130</v>
      </c>
      <c r="BJ1004" s="0" t="s">
        <v>130</v>
      </c>
      <c r="BK1004" s="0" t="s">
        <v>130</v>
      </c>
      <c r="BL1004" s="0" t="s">
        <v>130</v>
      </c>
      <c r="BM1004" s="0" t="s">
        <v>130</v>
      </c>
      <c r="BN1004" s="0" t="s">
        <v>130</v>
      </c>
      <c r="BO1004" s="0" t="s">
        <v>130</v>
      </c>
      <c r="BP1004" s="0" t="s">
        <v>130</v>
      </c>
      <c r="BQ1004" s="0" t="s">
        <v>130</v>
      </c>
      <c r="BR1004" s="0" t="s">
        <v>130</v>
      </c>
      <c r="BS1004" s="0" t="s">
        <v>130</v>
      </c>
      <c r="BT1004" s="0" t="s">
        <v>130</v>
      </c>
      <c r="BU1004" s="0" t="s">
        <v>130</v>
      </c>
      <c r="BV1004" s="0" t="s">
        <v>130</v>
      </c>
      <c r="BW1004" s="0" t="s">
        <v>130</v>
      </c>
      <c r="BX1004" s="0" t="s">
        <v>130</v>
      </c>
      <c r="BY1004" s="0" t="s">
        <v>130</v>
      </c>
      <c r="BZ1004" s="0" t="s">
        <v>130</v>
      </c>
      <c r="CA1004" s="0" t="s">
        <v>130</v>
      </c>
      <c r="CB1004" s="0" t="s">
        <v>130</v>
      </c>
      <c r="CC1004" s="0" t="s">
        <v>130</v>
      </c>
      <c r="CD1004" s="0" t="s">
        <v>130</v>
      </c>
      <c r="CE1004" s="0" t="s">
        <v>130</v>
      </c>
      <c r="CF1004" s="0" t="s">
        <v>130</v>
      </c>
      <c r="CG1004" s="0" t="s">
        <v>130</v>
      </c>
      <c r="CH1004" s="0" t="s">
        <v>130</v>
      </c>
      <c r="CI1004" s="0" t="s">
        <v>130</v>
      </c>
      <c r="CJ1004" s="0" t="s">
        <v>130</v>
      </c>
      <c r="CK1004" s="0" t="s">
        <v>130</v>
      </c>
      <c r="CL1004" s="0" t="s">
        <v>130</v>
      </c>
      <c r="CM1004" s="0" t="s">
        <v>130</v>
      </c>
      <c r="CN1004" s="0" t="s">
        <v>130</v>
      </c>
      <c r="CO1004" s="0" t="s">
        <v>130</v>
      </c>
      <c r="CP1004" s="0" t="s">
        <v>130</v>
      </c>
      <c r="CQ1004" s="0" t="s">
        <v>130</v>
      </c>
      <c r="CR1004" s="0" t="s">
        <v>130</v>
      </c>
      <c r="CS1004" s="0" t="s">
        <v>130</v>
      </c>
      <c r="CT1004" s="0" t="s">
        <v>3051</v>
      </c>
    </row>
    <row r="1005">
      <c r="A1005" s="14">
        <v>171258</v>
      </c>
      <c r="B1005" s="0" t="s">
        <v>3052</v>
      </c>
      <c r="C1005" s="16">
        <f>HYPERLINK("https://eosportal.federatedhermes.com/companies/Q29tcGFueQppNjc3MzQ=", "Credicorp Ltd")</f>
      </c>
      <c r="D1005" s="0" t="s">
        <v>25</v>
      </c>
      <c r="E1005" s="0" t="s">
        <v>3053</v>
      </c>
      <c r="F1005" s="16">
        <f>HYPERLINK("https://eosportal.federatedhermes.com/engagements/RW5nYWdlbWVudAppMjQyNDk=", "Contributions to Political Campaigns")</f>
      </c>
      <c r="G1005" s="14" t="s">
        <v>3054</v>
      </c>
      <c r="H1005" s="0" t="s">
        <v>130</v>
      </c>
      <c r="I1005" s="14" t="s">
        <v>131</v>
      </c>
      <c r="J1005" s="0" t="s">
        <v>153</v>
      </c>
      <c r="K1005" s="0" t="s">
        <v>185</v>
      </c>
      <c r="L1005" s="0" t="s">
        <v>871</v>
      </c>
      <c r="M1005" s="0" t="s">
        <v>2807</v>
      </c>
      <c r="N1005" s="0" t="s">
        <v>3055</v>
      </c>
      <c r="O1005" s="0" t="s">
        <v>238</v>
      </c>
      <c r="Q1005" s="0" t="s">
        <v>130</v>
      </c>
      <c r="R1005" s="0" t="s">
        <v>138</v>
      </c>
      <c r="S1005" s="14">
        <v>0</v>
      </c>
      <c r="T1005" s="0" t="s">
        <v>394</v>
      </c>
      <c r="U1005" s="0" t="s">
        <v>138</v>
      </c>
      <c r="V1005" s="14" t="s">
        <v>138</v>
      </c>
      <c r="W1005" s="0" t="s">
        <v>138</v>
      </c>
      <c r="X1005" s="14" t="s">
        <v>138</v>
      </c>
      <c r="Y1005" s="0" t="s">
        <v>138</v>
      </c>
      <c r="Z1005" s="14" t="s">
        <v>138</v>
      </c>
      <c r="AA1005" s="0" t="s">
        <v>138</v>
      </c>
      <c r="AB1005" s="14" t="s">
        <v>138</v>
      </c>
      <c r="AD1005" s="0" t="s">
        <v>138</v>
      </c>
      <c r="AF1005" s="0">
        <v>0</v>
      </c>
      <c r="AG1005" s="0">
        <v>0</v>
      </c>
      <c r="AH1005" s="0" t="s">
        <v>140</v>
      </c>
      <c r="AI1005" s="0" t="s">
        <v>138</v>
      </c>
      <c r="AL1005" s="14"/>
      <c r="AN1005" s="14"/>
      <c r="AQ1005" s="0" t="s">
        <v>130</v>
      </c>
      <c r="AR1005" s="0" t="s">
        <v>130</v>
      </c>
      <c r="AS1005" s="0" t="s">
        <v>130</v>
      </c>
      <c r="AT1005" s="0" t="s">
        <v>130</v>
      </c>
      <c r="AU1005" s="0" t="s">
        <v>130</v>
      </c>
      <c r="AV1005" s="0" t="s">
        <v>130</v>
      </c>
      <c r="AW1005" s="0" t="s">
        <v>130</v>
      </c>
      <c r="AX1005" s="0" t="s">
        <v>130</v>
      </c>
      <c r="AY1005" s="0" t="s">
        <v>130</v>
      </c>
      <c r="AZ1005" s="0" t="s">
        <v>130</v>
      </c>
      <c r="BA1005" s="0" t="s">
        <v>130</v>
      </c>
      <c r="BB1005" s="0" t="s">
        <v>130</v>
      </c>
      <c r="BC1005" s="0" t="s">
        <v>130</v>
      </c>
      <c r="BD1005" s="0" t="s">
        <v>130</v>
      </c>
      <c r="BE1005" s="0" t="s">
        <v>130</v>
      </c>
      <c r="BF1005" s="0" t="s">
        <v>130</v>
      </c>
      <c r="BG1005" s="0" t="s">
        <v>130</v>
      </c>
      <c r="BH1005" s="0" t="s">
        <v>130</v>
      </c>
      <c r="BI1005" s="0" t="s">
        <v>130</v>
      </c>
      <c r="BJ1005" s="0" t="s">
        <v>130</v>
      </c>
      <c r="BK1005" s="0" t="s">
        <v>130</v>
      </c>
      <c r="BL1005" s="0" t="s">
        <v>130</v>
      </c>
      <c r="BM1005" s="0" t="s">
        <v>130</v>
      </c>
      <c r="BN1005" s="0" t="s">
        <v>130</v>
      </c>
      <c r="BO1005" s="0" t="s">
        <v>130</v>
      </c>
      <c r="BP1005" s="0" t="s">
        <v>130</v>
      </c>
      <c r="BQ1005" s="0" t="s">
        <v>130</v>
      </c>
      <c r="BR1005" s="0" t="s">
        <v>130</v>
      </c>
      <c r="BS1005" s="0" t="s">
        <v>130</v>
      </c>
      <c r="BT1005" s="0" t="s">
        <v>130</v>
      </c>
      <c r="BU1005" s="0" t="s">
        <v>130</v>
      </c>
      <c r="BV1005" s="0" t="s">
        <v>130</v>
      </c>
      <c r="BW1005" s="0" t="s">
        <v>130</v>
      </c>
      <c r="BX1005" s="0" t="s">
        <v>130</v>
      </c>
      <c r="BY1005" s="0" t="s">
        <v>130</v>
      </c>
      <c r="BZ1005" s="0" t="s">
        <v>130</v>
      </c>
      <c r="CA1005" s="0" t="s">
        <v>130</v>
      </c>
      <c r="CB1005" s="0" t="s">
        <v>130</v>
      </c>
      <c r="CC1005" s="0" t="s">
        <v>130</v>
      </c>
      <c r="CD1005" s="0" t="s">
        <v>130</v>
      </c>
      <c r="CE1005" s="0" t="s">
        <v>130</v>
      </c>
      <c r="CF1005" s="0" t="s">
        <v>130</v>
      </c>
      <c r="CG1005" s="0" t="s">
        <v>130</v>
      </c>
      <c r="CH1005" s="0" t="s">
        <v>130</v>
      </c>
      <c r="CI1005" s="0" t="s">
        <v>130</v>
      </c>
      <c r="CJ1005" s="0" t="s">
        <v>130</v>
      </c>
      <c r="CK1005" s="0" t="s">
        <v>130</v>
      </c>
      <c r="CL1005" s="0" t="s">
        <v>130</v>
      </c>
      <c r="CM1005" s="0" t="s">
        <v>130</v>
      </c>
      <c r="CN1005" s="0" t="s">
        <v>130</v>
      </c>
      <c r="CO1005" s="0" t="s">
        <v>130</v>
      </c>
      <c r="CP1005" s="0" t="s">
        <v>130</v>
      </c>
      <c r="CQ1005" s="0" t="s">
        <v>141</v>
      </c>
      <c r="CR1005" s="0" t="s">
        <v>141</v>
      </c>
      <c r="CS1005" s="0" t="s">
        <v>141</v>
      </c>
      <c r="CT1005" s="0" t="s">
        <v>3056</v>
      </c>
    </row>
    <row r="1006">
      <c r="A1006" s="14">
        <v>171258</v>
      </c>
      <c r="B1006" s="0" t="s">
        <v>3052</v>
      </c>
      <c r="C1006" s="16">
        <f>HYPERLINK("https://eosportal.federatedhermes.com/companies/Q29tcGFueQppNjc3MzQ=", "Credicorp Ltd")</f>
      </c>
      <c r="D1006" s="0" t="s">
        <v>25</v>
      </c>
      <c r="E1006" s="0" t="s">
        <v>3057</v>
      </c>
      <c r="F1006" s="16">
        <f>HYPERLINK("https://eosportal.federatedhermes.com/engagements/RW5nYWdlbWVudAppMjQyNTA=", "Microfinance distribution channels")</f>
      </c>
      <c r="G1006" s="14" t="s">
        <v>3058</v>
      </c>
      <c r="H1006" s="0" t="s">
        <v>130</v>
      </c>
      <c r="I1006" s="14" t="s">
        <v>131</v>
      </c>
      <c r="J1006" s="0" t="s">
        <v>153</v>
      </c>
      <c r="K1006" s="0" t="s">
        <v>243</v>
      </c>
      <c r="L1006" s="0" t="s">
        <v>292</v>
      </c>
      <c r="M1006" s="0" t="s">
        <v>2807</v>
      </c>
      <c r="N1006" s="0" t="s">
        <v>3055</v>
      </c>
      <c r="O1006" s="0" t="s">
        <v>238</v>
      </c>
      <c r="Q1006" s="0" t="s">
        <v>141</v>
      </c>
      <c r="R1006" s="0" t="s">
        <v>138</v>
      </c>
      <c r="S1006" s="14">
        <v>1</v>
      </c>
      <c r="T1006" s="0" t="s">
        <v>355</v>
      </c>
      <c r="U1006" s="0" t="s">
        <v>138</v>
      </c>
      <c r="V1006" s="14" t="s">
        <v>138</v>
      </c>
      <c r="W1006" s="0" t="s">
        <v>138</v>
      </c>
      <c r="X1006" s="14" t="s">
        <v>138</v>
      </c>
      <c r="Y1006" s="0" t="s">
        <v>138</v>
      </c>
      <c r="Z1006" s="14" t="s">
        <v>138</v>
      </c>
      <c r="AA1006" s="0" t="s">
        <v>138</v>
      </c>
      <c r="AB1006" s="14" t="s">
        <v>138</v>
      </c>
      <c r="AD1006" s="0" t="s">
        <v>138</v>
      </c>
      <c r="AF1006" s="0">
        <v>0</v>
      </c>
      <c r="AG1006" s="0">
        <v>0</v>
      </c>
      <c r="AH1006" s="0" t="s">
        <v>140</v>
      </c>
      <c r="AI1006" s="0" t="s">
        <v>138</v>
      </c>
      <c r="AK1006" s="0" t="s">
        <v>2376</v>
      </c>
      <c r="AL1006" s="14"/>
      <c r="AN1006" s="14"/>
      <c r="AQ1006" s="0" t="s">
        <v>141</v>
      </c>
      <c r="AR1006" s="0" t="s">
        <v>130</v>
      </c>
      <c r="AS1006" s="0" t="s">
        <v>130</v>
      </c>
      <c r="AT1006" s="0" t="s">
        <v>130</v>
      </c>
      <c r="AU1006" s="0" t="s">
        <v>141</v>
      </c>
      <c r="AV1006" s="0" t="s">
        <v>130</v>
      </c>
      <c r="AW1006" s="0" t="s">
        <v>130</v>
      </c>
      <c r="AX1006" s="0" t="s">
        <v>141</v>
      </c>
      <c r="AY1006" s="0" t="s">
        <v>130</v>
      </c>
      <c r="AZ1006" s="0" t="s">
        <v>130</v>
      </c>
      <c r="BA1006" s="0" t="s">
        <v>130</v>
      </c>
      <c r="BB1006" s="0" t="s">
        <v>130</v>
      </c>
      <c r="BC1006" s="0" t="s">
        <v>130</v>
      </c>
      <c r="BD1006" s="0" t="s">
        <v>130</v>
      </c>
      <c r="BE1006" s="0" t="s">
        <v>130</v>
      </c>
      <c r="BF1006" s="0" t="s">
        <v>130</v>
      </c>
      <c r="BG1006" s="0" t="s">
        <v>141</v>
      </c>
      <c r="BH1006" s="0" t="s">
        <v>130</v>
      </c>
      <c r="BI1006" s="0" t="s">
        <v>130</v>
      </c>
      <c r="BJ1006" s="0" t="s">
        <v>130</v>
      </c>
      <c r="BK1006" s="0" t="s">
        <v>130</v>
      </c>
      <c r="BL1006" s="0" t="s">
        <v>130</v>
      </c>
      <c r="BM1006" s="0" t="s">
        <v>130</v>
      </c>
      <c r="BN1006" s="0" t="s">
        <v>130</v>
      </c>
      <c r="BO1006" s="0" t="s">
        <v>130</v>
      </c>
      <c r="BP1006" s="0" t="s">
        <v>130</v>
      </c>
      <c r="BQ1006" s="0" t="s">
        <v>130</v>
      </c>
      <c r="BR1006" s="0" t="s">
        <v>130</v>
      </c>
      <c r="BS1006" s="0" t="s">
        <v>130</v>
      </c>
      <c r="BT1006" s="0" t="s">
        <v>130</v>
      </c>
      <c r="BU1006" s="0" t="s">
        <v>130</v>
      </c>
      <c r="BV1006" s="0" t="s">
        <v>130</v>
      </c>
      <c r="BW1006" s="0" t="s">
        <v>130</v>
      </c>
      <c r="BX1006" s="0" t="s">
        <v>130</v>
      </c>
      <c r="BY1006" s="0" t="s">
        <v>130</v>
      </c>
      <c r="BZ1006" s="0" t="s">
        <v>130</v>
      </c>
      <c r="CA1006" s="0" t="s">
        <v>130</v>
      </c>
      <c r="CB1006" s="0" t="s">
        <v>130</v>
      </c>
      <c r="CC1006" s="0" t="s">
        <v>130</v>
      </c>
      <c r="CD1006" s="0" t="s">
        <v>130</v>
      </c>
      <c r="CE1006" s="0" t="s">
        <v>130</v>
      </c>
      <c r="CF1006" s="0" t="s">
        <v>130</v>
      </c>
      <c r="CG1006" s="0" t="s">
        <v>130</v>
      </c>
      <c r="CH1006" s="0" t="s">
        <v>130</v>
      </c>
      <c r="CI1006" s="0" t="s">
        <v>130</v>
      </c>
      <c r="CJ1006" s="0" t="s">
        <v>130</v>
      </c>
      <c r="CK1006" s="0" t="s">
        <v>130</v>
      </c>
      <c r="CL1006" s="0" t="s">
        <v>130</v>
      </c>
      <c r="CM1006" s="0" t="s">
        <v>130</v>
      </c>
      <c r="CN1006" s="0" t="s">
        <v>130</v>
      </c>
      <c r="CO1006" s="0" t="s">
        <v>130</v>
      </c>
      <c r="CP1006" s="0" t="s">
        <v>130</v>
      </c>
      <c r="CQ1006" s="0" t="s">
        <v>130</v>
      </c>
      <c r="CR1006" s="0" t="s">
        <v>130</v>
      </c>
      <c r="CS1006" s="0" t="s">
        <v>130</v>
      </c>
      <c r="CT1006" s="0" t="s">
        <v>3059</v>
      </c>
    </row>
    <row r="1007">
      <c r="A1007" s="14">
        <v>171258</v>
      </c>
      <c r="B1007" s="0" t="s">
        <v>3052</v>
      </c>
      <c r="C1007" s="16">
        <f>HYPERLINK("https://eosportal.federatedhermes.com/companies/Q29tcGFueQppNjc3MzQ=", "Credicorp Ltd")</f>
      </c>
      <c r="D1007" s="0" t="s">
        <v>25</v>
      </c>
      <c r="E1007" s="0" t="s">
        <v>3060</v>
      </c>
      <c r="F1007" s="16">
        <f>HYPERLINK("https://eosportal.federatedhermes.com/engagements/RW5nYWdlbWVudAppMjQyNTE=", "Board composition and succession")</f>
      </c>
      <c r="G1007" s="14" t="s">
        <v>3061</v>
      </c>
      <c r="H1007" s="0" t="s">
        <v>130</v>
      </c>
      <c r="I1007" s="14" t="s">
        <v>131</v>
      </c>
      <c r="J1007" s="0" t="s">
        <v>145</v>
      </c>
      <c r="K1007" s="0" t="s">
        <v>164</v>
      </c>
      <c r="L1007" s="0" t="s">
        <v>277</v>
      </c>
      <c r="M1007" s="0" t="s">
        <v>2807</v>
      </c>
      <c r="N1007" s="0" t="s">
        <v>3055</v>
      </c>
      <c r="O1007" s="0" t="s">
        <v>238</v>
      </c>
      <c r="Q1007" s="0" t="s">
        <v>130</v>
      </c>
      <c r="R1007" s="0" t="s">
        <v>138</v>
      </c>
      <c r="S1007" s="14">
        <v>0</v>
      </c>
      <c r="T1007" s="0" t="s">
        <v>139</v>
      </c>
      <c r="U1007" s="0" t="s">
        <v>138</v>
      </c>
      <c r="V1007" s="14" t="s">
        <v>138</v>
      </c>
      <c r="W1007" s="0" t="s">
        <v>138</v>
      </c>
      <c r="X1007" s="14" t="s">
        <v>138</v>
      </c>
      <c r="Y1007" s="0" t="s">
        <v>138</v>
      </c>
      <c r="Z1007" s="14" t="s">
        <v>138</v>
      </c>
      <c r="AA1007" s="0" t="s">
        <v>138</v>
      </c>
      <c r="AB1007" s="14" t="s">
        <v>138</v>
      </c>
      <c r="AD1007" s="0" t="s">
        <v>138</v>
      </c>
      <c r="AF1007" s="0">
        <v>0</v>
      </c>
      <c r="AG1007" s="0">
        <v>0</v>
      </c>
      <c r="AH1007" s="0" t="s">
        <v>140</v>
      </c>
      <c r="AI1007" s="0" t="s">
        <v>138</v>
      </c>
      <c r="AL1007" s="14"/>
      <c r="AN1007" s="14"/>
      <c r="AQ1007" s="0" t="s">
        <v>130</v>
      </c>
      <c r="AR1007" s="0" t="s">
        <v>130</v>
      </c>
      <c r="AS1007" s="0" t="s">
        <v>130</v>
      </c>
      <c r="AT1007" s="0" t="s">
        <v>130</v>
      </c>
      <c r="AU1007" s="0" t="s">
        <v>130</v>
      </c>
      <c r="AV1007" s="0" t="s">
        <v>130</v>
      </c>
      <c r="AW1007" s="0" t="s">
        <v>130</v>
      </c>
      <c r="AX1007" s="0" t="s">
        <v>130</v>
      </c>
      <c r="AY1007" s="0" t="s">
        <v>130</v>
      </c>
      <c r="AZ1007" s="0" t="s">
        <v>130</v>
      </c>
      <c r="BA1007" s="0" t="s">
        <v>130</v>
      </c>
      <c r="BB1007" s="0" t="s">
        <v>130</v>
      </c>
      <c r="BC1007" s="0" t="s">
        <v>130</v>
      </c>
      <c r="BD1007" s="0" t="s">
        <v>130</v>
      </c>
      <c r="BE1007" s="0" t="s">
        <v>130</v>
      </c>
      <c r="BF1007" s="0" t="s">
        <v>130</v>
      </c>
      <c r="BG1007" s="0" t="s">
        <v>130</v>
      </c>
      <c r="BH1007" s="0" t="s">
        <v>130</v>
      </c>
      <c r="BI1007" s="0" t="s">
        <v>130</v>
      </c>
      <c r="BJ1007" s="0" t="s">
        <v>130</v>
      </c>
      <c r="BK1007" s="0" t="s">
        <v>130</v>
      </c>
      <c r="BL1007" s="0" t="s">
        <v>130</v>
      </c>
      <c r="BM1007" s="0" t="s">
        <v>130</v>
      </c>
      <c r="BN1007" s="0" t="s">
        <v>130</v>
      </c>
      <c r="BO1007" s="0" t="s">
        <v>130</v>
      </c>
      <c r="BP1007" s="0" t="s">
        <v>130</v>
      </c>
      <c r="BQ1007" s="0" t="s">
        <v>130</v>
      </c>
      <c r="BR1007" s="0" t="s">
        <v>130</v>
      </c>
      <c r="BS1007" s="0" t="s">
        <v>130</v>
      </c>
      <c r="BT1007" s="0" t="s">
        <v>130</v>
      </c>
      <c r="BU1007" s="0" t="s">
        <v>130</v>
      </c>
      <c r="BV1007" s="0" t="s">
        <v>130</v>
      </c>
      <c r="BW1007" s="0" t="s">
        <v>130</v>
      </c>
      <c r="BX1007" s="0" t="s">
        <v>130</v>
      </c>
      <c r="BY1007" s="0" t="s">
        <v>130</v>
      </c>
      <c r="BZ1007" s="0" t="s">
        <v>130</v>
      </c>
      <c r="CA1007" s="0" t="s">
        <v>130</v>
      </c>
      <c r="CB1007" s="0" t="s">
        <v>130</v>
      </c>
      <c r="CC1007" s="0" t="s">
        <v>130</v>
      </c>
      <c r="CD1007" s="0" t="s">
        <v>130</v>
      </c>
      <c r="CE1007" s="0" t="s">
        <v>130</v>
      </c>
      <c r="CF1007" s="0" t="s">
        <v>130</v>
      </c>
      <c r="CG1007" s="0" t="s">
        <v>130</v>
      </c>
      <c r="CH1007" s="0" t="s">
        <v>130</v>
      </c>
      <c r="CI1007" s="0" t="s">
        <v>130</v>
      </c>
      <c r="CJ1007" s="0" t="s">
        <v>130</v>
      </c>
      <c r="CK1007" s="0" t="s">
        <v>130</v>
      </c>
      <c r="CL1007" s="0" t="s">
        <v>130</v>
      </c>
      <c r="CM1007" s="0" t="s">
        <v>130</v>
      </c>
      <c r="CN1007" s="0" t="s">
        <v>130</v>
      </c>
      <c r="CO1007" s="0" t="s">
        <v>130</v>
      </c>
      <c r="CP1007" s="0" t="s">
        <v>130</v>
      </c>
      <c r="CQ1007" s="0" t="s">
        <v>130</v>
      </c>
      <c r="CR1007" s="0" t="s">
        <v>130</v>
      </c>
      <c r="CS1007" s="0" t="s">
        <v>130</v>
      </c>
      <c r="CT1007" s="0" t="s">
        <v>3062</v>
      </c>
    </row>
    <row r="1008">
      <c r="A1008" s="14">
        <v>171258</v>
      </c>
      <c r="B1008" s="0" t="s">
        <v>3052</v>
      </c>
      <c r="C1008" s="16">
        <f>HYPERLINK("https://eosportal.federatedhermes.com/companies/Q29tcGFueQppNjc3MzQ=", "Credicorp Ltd")</f>
      </c>
      <c r="D1008" s="0" t="s">
        <v>25</v>
      </c>
      <c r="E1008" s="0" t="s">
        <v>3063</v>
      </c>
      <c r="F1008" s="16">
        <f>HYPERLINK("https://eosportal.federatedhermes.com/engagements/RW5nYWdlbWVudAppMjQyNTI=", "Governance of Subsidiaries")</f>
      </c>
      <c r="G1008" s="14" t="s">
        <v>3064</v>
      </c>
      <c r="H1008" s="0" t="s">
        <v>130</v>
      </c>
      <c r="I1008" s="14" t="s">
        <v>131</v>
      </c>
      <c r="J1008" s="0" t="s">
        <v>145</v>
      </c>
      <c r="K1008" s="0" t="s">
        <v>164</v>
      </c>
      <c r="L1008" s="0" t="s">
        <v>165</v>
      </c>
      <c r="M1008" s="0" t="s">
        <v>2807</v>
      </c>
      <c r="N1008" s="0" t="s">
        <v>3055</v>
      </c>
      <c r="O1008" s="0" t="s">
        <v>238</v>
      </c>
      <c r="Q1008" s="0" t="s">
        <v>130</v>
      </c>
      <c r="R1008" s="0" t="s">
        <v>138</v>
      </c>
      <c r="S1008" s="14">
        <v>0</v>
      </c>
      <c r="T1008" s="0" t="s">
        <v>148</v>
      </c>
      <c r="U1008" s="0" t="s">
        <v>138</v>
      </c>
      <c r="V1008" s="14" t="s">
        <v>138</v>
      </c>
      <c r="W1008" s="0" t="s">
        <v>138</v>
      </c>
      <c r="X1008" s="14" t="s">
        <v>138</v>
      </c>
      <c r="Y1008" s="0" t="s">
        <v>138</v>
      </c>
      <c r="Z1008" s="14" t="s">
        <v>138</v>
      </c>
      <c r="AA1008" s="0" t="s">
        <v>138</v>
      </c>
      <c r="AB1008" s="14" t="s">
        <v>138</v>
      </c>
      <c r="AD1008" s="0" t="s">
        <v>138</v>
      </c>
      <c r="AF1008" s="0">
        <v>0</v>
      </c>
      <c r="AG1008" s="0">
        <v>0</v>
      </c>
      <c r="AH1008" s="0" t="s">
        <v>140</v>
      </c>
      <c r="AI1008" s="0" t="s">
        <v>138</v>
      </c>
      <c r="AL1008" s="14"/>
      <c r="AN1008" s="14"/>
      <c r="AQ1008" s="0" t="s">
        <v>130</v>
      </c>
      <c r="AR1008" s="0" t="s">
        <v>130</v>
      </c>
      <c r="AS1008" s="0" t="s">
        <v>130</v>
      </c>
      <c r="AT1008" s="0" t="s">
        <v>130</v>
      </c>
      <c r="AU1008" s="0" t="s">
        <v>130</v>
      </c>
      <c r="AV1008" s="0" t="s">
        <v>130</v>
      </c>
      <c r="AW1008" s="0" t="s">
        <v>130</v>
      </c>
      <c r="AX1008" s="0" t="s">
        <v>130</v>
      </c>
      <c r="AY1008" s="0" t="s">
        <v>130</v>
      </c>
      <c r="AZ1008" s="0" t="s">
        <v>130</v>
      </c>
      <c r="BA1008" s="0" t="s">
        <v>130</v>
      </c>
      <c r="BB1008" s="0" t="s">
        <v>130</v>
      </c>
      <c r="BC1008" s="0" t="s">
        <v>130</v>
      </c>
      <c r="BD1008" s="0" t="s">
        <v>130</v>
      </c>
      <c r="BE1008" s="0" t="s">
        <v>130</v>
      </c>
      <c r="BF1008" s="0" t="s">
        <v>130</v>
      </c>
      <c r="BG1008" s="0" t="s">
        <v>130</v>
      </c>
      <c r="BH1008" s="0" t="s">
        <v>130</v>
      </c>
      <c r="BI1008" s="0" t="s">
        <v>130</v>
      </c>
      <c r="BJ1008" s="0" t="s">
        <v>130</v>
      </c>
      <c r="BK1008" s="0" t="s">
        <v>130</v>
      </c>
      <c r="BL1008" s="0" t="s">
        <v>130</v>
      </c>
      <c r="BM1008" s="0" t="s">
        <v>130</v>
      </c>
      <c r="BN1008" s="0" t="s">
        <v>130</v>
      </c>
      <c r="BO1008" s="0" t="s">
        <v>130</v>
      </c>
      <c r="BP1008" s="0" t="s">
        <v>130</v>
      </c>
      <c r="BQ1008" s="0" t="s">
        <v>130</v>
      </c>
      <c r="BR1008" s="0" t="s">
        <v>130</v>
      </c>
      <c r="BS1008" s="0" t="s">
        <v>130</v>
      </c>
      <c r="BT1008" s="0" t="s">
        <v>130</v>
      </c>
      <c r="BU1008" s="0" t="s">
        <v>130</v>
      </c>
      <c r="BV1008" s="0" t="s">
        <v>130</v>
      </c>
      <c r="BW1008" s="0" t="s">
        <v>130</v>
      </c>
      <c r="BX1008" s="0" t="s">
        <v>130</v>
      </c>
      <c r="BY1008" s="0" t="s">
        <v>130</v>
      </c>
      <c r="BZ1008" s="0" t="s">
        <v>130</v>
      </c>
      <c r="CA1008" s="0" t="s">
        <v>130</v>
      </c>
      <c r="CB1008" s="0" t="s">
        <v>130</v>
      </c>
      <c r="CC1008" s="0" t="s">
        <v>130</v>
      </c>
      <c r="CD1008" s="0" t="s">
        <v>130</v>
      </c>
      <c r="CE1008" s="0" t="s">
        <v>130</v>
      </c>
      <c r="CF1008" s="0" t="s">
        <v>130</v>
      </c>
      <c r="CG1008" s="0" t="s">
        <v>130</v>
      </c>
      <c r="CH1008" s="0" t="s">
        <v>130</v>
      </c>
      <c r="CI1008" s="0" t="s">
        <v>130</v>
      </c>
      <c r="CJ1008" s="0" t="s">
        <v>130</v>
      </c>
      <c r="CK1008" s="0" t="s">
        <v>130</v>
      </c>
      <c r="CL1008" s="0" t="s">
        <v>130</v>
      </c>
      <c r="CM1008" s="0" t="s">
        <v>130</v>
      </c>
      <c r="CN1008" s="0" t="s">
        <v>130</v>
      </c>
      <c r="CO1008" s="0" t="s">
        <v>130</v>
      </c>
      <c r="CP1008" s="0" t="s">
        <v>130</v>
      </c>
      <c r="CQ1008" s="0" t="s">
        <v>130</v>
      </c>
      <c r="CR1008" s="0" t="s">
        <v>130</v>
      </c>
      <c r="CS1008" s="0" t="s">
        <v>130</v>
      </c>
      <c r="CT1008" s="0" t="s">
        <v>3065</v>
      </c>
    </row>
    <row r="1009">
      <c r="A1009" s="14">
        <v>136124</v>
      </c>
      <c r="B1009" s="0" t="s">
        <v>3066</v>
      </c>
      <c r="C1009" s="16">
        <f>HYPERLINK("https://eosportal.federatedhermes.com/companies/Q29tcGFueQppODQ3NTU=", "AP Moller - Maersk A/S")</f>
      </c>
      <c r="D1009" s="0" t="s">
        <v>25</v>
      </c>
      <c r="E1009" s="0" t="s">
        <v>3067</v>
      </c>
      <c r="F1009" s="16">
        <f>HYPERLINK("https://eosportal.federatedhermes.com/engagements/RW5nYWdlbWVudAppMjQyNzA=", "Dual Class Share Structure")</f>
      </c>
      <c r="G1009" s="14"/>
      <c r="H1009" s="0" t="s">
        <v>141</v>
      </c>
      <c r="I1009" s="14" t="s">
        <v>191</v>
      </c>
      <c r="J1009" s="0" t="s">
        <v>145</v>
      </c>
      <c r="K1009" s="0" t="s">
        <v>400</v>
      </c>
      <c r="L1009" s="0" t="s">
        <v>401</v>
      </c>
      <c r="M1009" s="0" t="s">
        <v>378</v>
      </c>
      <c r="N1009" s="0" t="s">
        <v>1339</v>
      </c>
      <c r="O1009" s="0" t="s">
        <v>425</v>
      </c>
      <c r="Q1009" s="0" t="s">
        <v>130</v>
      </c>
      <c r="R1009" s="0" t="s">
        <v>138</v>
      </c>
      <c r="S1009" s="14">
        <v>0</v>
      </c>
      <c r="T1009" s="0" t="s">
        <v>825</v>
      </c>
      <c r="U1009" s="0" t="s">
        <v>138</v>
      </c>
      <c r="V1009" s="14" t="s">
        <v>138</v>
      </c>
      <c r="W1009" s="0" t="s">
        <v>138</v>
      </c>
      <c r="X1009" s="14" t="s">
        <v>138</v>
      </c>
      <c r="Y1009" s="0" t="s">
        <v>138</v>
      </c>
      <c r="Z1009" s="14" t="s">
        <v>138</v>
      </c>
      <c r="AA1009" s="0" t="s">
        <v>138</v>
      </c>
      <c r="AB1009" s="14" t="s">
        <v>138</v>
      </c>
      <c r="AD1009" s="0" t="s">
        <v>138</v>
      </c>
      <c r="AF1009" s="0">
        <v>0</v>
      </c>
      <c r="AG1009" s="0">
        <v>0</v>
      </c>
      <c r="AH1009" s="0" t="s">
        <v>140</v>
      </c>
      <c r="AI1009" s="0" t="s">
        <v>138</v>
      </c>
      <c r="AL1009" s="14"/>
      <c r="AN1009" s="14"/>
      <c r="AQ1009" s="0" t="s">
        <v>130</v>
      </c>
      <c r="AR1009" s="0" t="s">
        <v>130</v>
      </c>
      <c r="AS1009" s="0" t="s">
        <v>130</v>
      </c>
      <c r="AT1009" s="0" t="s">
        <v>130</v>
      </c>
      <c r="AU1009" s="0" t="s">
        <v>130</v>
      </c>
      <c r="AV1009" s="0" t="s">
        <v>130</v>
      </c>
      <c r="AW1009" s="0" t="s">
        <v>130</v>
      </c>
      <c r="AX1009" s="0" t="s">
        <v>130</v>
      </c>
      <c r="AY1009" s="0" t="s">
        <v>130</v>
      </c>
      <c r="AZ1009" s="0" t="s">
        <v>130</v>
      </c>
      <c r="BA1009" s="0" t="s">
        <v>130</v>
      </c>
      <c r="BB1009" s="0" t="s">
        <v>130</v>
      </c>
      <c r="BC1009" s="0" t="s">
        <v>130</v>
      </c>
      <c r="BD1009" s="0" t="s">
        <v>130</v>
      </c>
      <c r="BE1009" s="0" t="s">
        <v>130</v>
      </c>
      <c r="BF1009" s="0" t="s">
        <v>130</v>
      </c>
      <c r="BG1009" s="0" t="s">
        <v>130</v>
      </c>
      <c r="BH1009" s="0" t="s">
        <v>130</v>
      </c>
      <c r="BI1009" s="0" t="s">
        <v>130</v>
      </c>
      <c r="BJ1009" s="0" t="s">
        <v>130</v>
      </c>
      <c r="BK1009" s="0" t="s">
        <v>130</v>
      </c>
      <c r="BL1009" s="0" t="s">
        <v>130</v>
      </c>
      <c r="BM1009" s="0" t="s">
        <v>130</v>
      </c>
      <c r="BN1009" s="0" t="s">
        <v>130</v>
      </c>
      <c r="BO1009" s="0" t="s">
        <v>130</v>
      </c>
      <c r="BP1009" s="0" t="s">
        <v>130</v>
      </c>
      <c r="BQ1009" s="0" t="s">
        <v>130</v>
      </c>
      <c r="BR1009" s="0" t="s">
        <v>130</v>
      </c>
      <c r="BS1009" s="0" t="s">
        <v>130</v>
      </c>
      <c r="BT1009" s="0" t="s">
        <v>130</v>
      </c>
      <c r="BU1009" s="0" t="s">
        <v>130</v>
      </c>
      <c r="BV1009" s="0" t="s">
        <v>130</v>
      </c>
      <c r="BW1009" s="0" t="s">
        <v>130</v>
      </c>
      <c r="BX1009" s="0" t="s">
        <v>130</v>
      </c>
      <c r="BY1009" s="0" t="s">
        <v>130</v>
      </c>
      <c r="BZ1009" s="0" t="s">
        <v>130</v>
      </c>
      <c r="CA1009" s="0" t="s">
        <v>130</v>
      </c>
      <c r="CB1009" s="0" t="s">
        <v>130</v>
      </c>
      <c r="CC1009" s="0" t="s">
        <v>130</v>
      </c>
      <c r="CD1009" s="0" t="s">
        <v>130</v>
      </c>
      <c r="CE1009" s="0" t="s">
        <v>130</v>
      </c>
      <c r="CF1009" s="0" t="s">
        <v>130</v>
      </c>
      <c r="CG1009" s="0" t="s">
        <v>130</v>
      </c>
      <c r="CH1009" s="0" t="s">
        <v>130</v>
      </c>
      <c r="CI1009" s="0" t="s">
        <v>130</v>
      </c>
      <c r="CJ1009" s="0" t="s">
        <v>130</v>
      </c>
      <c r="CK1009" s="0" t="s">
        <v>130</v>
      </c>
      <c r="CL1009" s="0" t="s">
        <v>130</v>
      </c>
      <c r="CM1009" s="0" t="s">
        <v>130</v>
      </c>
      <c r="CN1009" s="0" t="s">
        <v>130</v>
      </c>
      <c r="CO1009" s="0" t="s">
        <v>130</v>
      </c>
      <c r="CP1009" s="0" t="s">
        <v>130</v>
      </c>
      <c r="CQ1009" s="0" t="s">
        <v>130</v>
      </c>
      <c r="CR1009" s="0" t="s">
        <v>130</v>
      </c>
      <c r="CS1009" s="0" t="s">
        <v>130</v>
      </c>
      <c r="CT1009" s="0" t="s">
        <v>3068</v>
      </c>
    </row>
    <row r="1010">
      <c r="A1010" s="14">
        <v>136124</v>
      </c>
      <c r="B1010" s="0" t="s">
        <v>3066</v>
      </c>
      <c r="C1010" s="16">
        <f>HYPERLINK("https://eosportal.federatedhermes.com/companies/Q29tcGFueQppODQ3NTU=", "AP Moller - Maersk A/S")</f>
      </c>
      <c r="D1010" s="0" t="s">
        <v>25</v>
      </c>
      <c r="E1010" s="0" t="s">
        <v>3069</v>
      </c>
      <c r="F1010" s="16">
        <f>HYPERLINK("https://eosportal.federatedhermes.com/engagements/RW5nYWdlbWVudAppMjQyNzE=", "Base of the Pyramid")</f>
      </c>
      <c r="G1010" s="14"/>
      <c r="H1010" s="0" t="s">
        <v>141</v>
      </c>
      <c r="I1010" s="14" t="s">
        <v>191</v>
      </c>
      <c r="J1010" s="0" t="s">
        <v>153</v>
      </c>
      <c r="K1010" s="0" t="s">
        <v>154</v>
      </c>
      <c r="L1010" s="0" t="s">
        <v>306</v>
      </c>
      <c r="M1010" s="0" t="s">
        <v>378</v>
      </c>
      <c r="N1010" s="0" t="s">
        <v>1339</v>
      </c>
      <c r="O1010" s="0" t="s">
        <v>425</v>
      </c>
      <c r="Q1010" s="0" t="s">
        <v>130</v>
      </c>
      <c r="R1010" s="0" t="s">
        <v>138</v>
      </c>
      <c r="S1010" s="14">
        <v>0</v>
      </c>
      <c r="T1010" s="0" t="s">
        <v>825</v>
      </c>
      <c r="U1010" s="0" t="s">
        <v>138</v>
      </c>
      <c r="V1010" s="14" t="s">
        <v>138</v>
      </c>
      <c r="W1010" s="0" t="s">
        <v>138</v>
      </c>
      <c r="X1010" s="14" t="s">
        <v>138</v>
      </c>
      <c r="Y1010" s="0" t="s">
        <v>138</v>
      </c>
      <c r="Z1010" s="14" t="s">
        <v>138</v>
      </c>
      <c r="AA1010" s="0" t="s">
        <v>138</v>
      </c>
      <c r="AB1010" s="14" t="s">
        <v>138</v>
      </c>
      <c r="AD1010" s="0" t="s">
        <v>138</v>
      </c>
      <c r="AF1010" s="0">
        <v>0</v>
      </c>
      <c r="AG1010" s="0">
        <v>0</v>
      </c>
      <c r="AH1010" s="0" t="s">
        <v>140</v>
      </c>
      <c r="AI1010" s="0" t="s">
        <v>138</v>
      </c>
      <c r="AL1010" s="14"/>
      <c r="AN1010" s="14"/>
      <c r="AQ1010" s="0" t="s">
        <v>130</v>
      </c>
      <c r="AR1010" s="0" t="s">
        <v>130</v>
      </c>
      <c r="AS1010" s="0" t="s">
        <v>130</v>
      </c>
      <c r="AT1010" s="0" t="s">
        <v>130</v>
      </c>
      <c r="AU1010" s="0" t="s">
        <v>130</v>
      </c>
      <c r="AV1010" s="0" t="s">
        <v>130</v>
      </c>
      <c r="AW1010" s="0" t="s">
        <v>130</v>
      </c>
      <c r="AX1010" s="0" t="s">
        <v>130</v>
      </c>
      <c r="AY1010" s="0" t="s">
        <v>130</v>
      </c>
      <c r="AZ1010" s="0" t="s">
        <v>130</v>
      </c>
      <c r="BA1010" s="0" t="s">
        <v>130</v>
      </c>
      <c r="BB1010" s="0" t="s">
        <v>130</v>
      </c>
      <c r="BC1010" s="0" t="s">
        <v>130</v>
      </c>
      <c r="BD1010" s="0" t="s">
        <v>130</v>
      </c>
      <c r="BE1010" s="0" t="s">
        <v>130</v>
      </c>
      <c r="BF1010" s="0" t="s">
        <v>130</v>
      </c>
      <c r="BG1010" s="0" t="s">
        <v>130</v>
      </c>
      <c r="BH1010" s="0" t="s">
        <v>130</v>
      </c>
      <c r="BI1010" s="0" t="s">
        <v>130</v>
      </c>
      <c r="BJ1010" s="0" t="s">
        <v>130</v>
      </c>
      <c r="BK1010" s="0" t="s">
        <v>130</v>
      </c>
      <c r="BL1010" s="0" t="s">
        <v>130</v>
      </c>
      <c r="BM1010" s="0" t="s">
        <v>130</v>
      </c>
      <c r="BN1010" s="0" t="s">
        <v>130</v>
      </c>
      <c r="BO1010" s="0" t="s">
        <v>130</v>
      </c>
      <c r="BP1010" s="0" t="s">
        <v>130</v>
      </c>
      <c r="BQ1010" s="0" t="s">
        <v>130</v>
      </c>
      <c r="BR1010" s="0" t="s">
        <v>130</v>
      </c>
      <c r="BS1010" s="0" t="s">
        <v>130</v>
      </c>
      <c r="BT1010" s="0" t="s">
        <v>130</v>
      </c>
      <c r="BU1010" s="0" t="s">
        <v>130</v>
      </c>
      <c r="BV1010" s="0" t="s">
        <v>130</v>
      </c>
      <c r="BW1010" s="0" t="s">
        <v>130</v>
      </c>
      <c r="BX1010" s="0" t="s">
        <v>130</v>
      </c>
      <c r="BY1010" s="0" t="s">
        <v>130</v>
      </c>
      <c r="BZ1010" s="0" t="s">
        <v>130</v>
      </c>
      <c r="CA1010" s="0" t="s">
        <v>130</v>
      </c>
      <c r="CB1010" s="0" t="s">
        <v>130</v>
      </c>
      <c r="CC1010" s="0" t="s">
        <v>130</v>
      </c>
      <c r="CD1010" s="0" t="s">
        <v>130</v>
      </c>
      <c r="CE1010" s="0" t="s">
        <v>130</v>
      </c>
      <c r="CF1010" s="0" t="s">
        <v>130</v>
      </c>
      <c r="CG1010" s="0" t="s">
        <v>130</v>
      </c>
      <c r="CH1010" s="0" t="s">
        <v>130</v>
      </c>
      <c r="CI1010" s="0" t="s">
        <v>130</v>
      </c>
      <c r="CJ1010" s="0" t="s">
        <v>130</v>
      </c>
      <c r="CK1010" s="0" t="s">
        <v>130</v>
      </c>
      <c r="CL1010" s="0" t="s">
        <v>130</v>
      </c>
      <c r="CM1010" s="0" t="s">
        <v>130</v>
      </c>
      <c r="CN1010" s="0" t="s">
        <v>130</v>
      </c>
      <c r="CO1010" s="0" t="s">
        <v>130</v>
      </c>
      <c r="CP1010" s="0" t="s">
        <v>130</v>
      </c>
      <c r="CQ1010" s="0" t="s">
        <v>130</v>
      </c>
      <c r="CR1010" s="0" t="s">
        <v>130</v>
      </c>
      <c r="CS1010" s="0" t="s">
        <v>130</v>
      </c>
      <c r="CT1010" s="0" t="s">
        <v>3070</v>
      </c>
    </row>
    <row r="1011">
      <c r="A1011" s="14">
        <v>136124</v>
      </c>
      <c r="B1011" s="0" t="s">
        <v>3066</v>
      </c>
      <c r="C1011" s="16">
        <f>HYPERLINK("https://eosportal.federatedhermes.com/companies/Q29tcGFueQppODQ3NTU=", "AP Moller - Maersk A/S")</f>
      </c>
      <c r="D1011" s="0" t="s">
        <v>25</v>
      </c>
      <c r="E1011" s="0" t="s">
        <v>3071</v>
      </c>
      <c r="F1011" s="16">
        <f>HYPERLINK("https://eosportal.federatedhermes.com/engagements/RW5nYWdlbWVudAppMjQyNzI=", "Whistleblower Mechanism - Corporate Culture")</f>
      </c>
      <c r="G1011" s="14"/>
      <c r="H1011" s="0" t="s">
        <v>141</v>
      </c>
      <c r="I1011" s="14" t="s">
        <v>191</v>
      </c>
      <c r="J1011" s="0" t="s">
        <v>153</v>
      </c>
      <c r="K1011" s="0" t="s">
        <v>185</v>
      </c>
      <c r="L1011" s="0" t="s">
        <v>186</v>
      </c>
      <c r="M1011" s="0" t="s">
        <v>378</v>
      </c>
      <c r="N1011" s="0" t="s">
        <v>1339</v>
      </c>
      <c r="O1011" s="0" t="s">
        <v>425</v>
      </c>
      <c r="Q1011" s="0" t="s">
        <v>130</v>
      </c>
      <c r="R1011" s="0" t="s">
        <v>138</v>
      </c>
      <c r="S1011" s="14">
        <v>0</v>
      </c>
      <c r="T1011" s="0" t="s">
        <v>296</v>
      </c>
      <c r="U1011" s="0" t="s">
        <v>138</v>
      </c>
      <c r="V1011" s="14" t="s">
        <v>138</v>
      </c>
      <c r="W1011" s="0" t="s">
        <v>138</v>
      </c>
      <c r="X1011" s="14" t="s">
        <v>138</v>
      </c>
      <c r="Y1011" s="0" t="s">
        <v>138</v>
      </c>
      <c r="Z1011" s="14" t="s">
        <v>138</v>
      </c>
      <c r="AA1011" s="0" t="s">
        <v>138</v>
      </c>
      <c r="AB1011" s="14" t="s">
        <v>138</v>
      </c>
      <c r="AD1011" s="0" t="s">
        <v>138</v>
      </c>
      <c r="AF1011" s="0">
        <v>0</v>
      </c>
      <c r="AG1011" s="0">
        <v>0</v>
      </c>
      <c r="AH1011" s="0" t="s">
        <v>140</v>
      </c>
      <c r="AI1011" s="0" t="s">
        <v>138</v>
      </c>
      <c r="AL1011" s="14"/>
      <c r="AN1011" s="14"/>
      <c r="AQ1011" s="0" t="s">
        <v>130</v>
      </c>
      <c r="AR1011" s="0" t="s">
        <v>130</v>
      </c>
      <c r="AS1011" s="0" t="s">
        <v>130</v>
      </c>
      <c r="AT1011" s="0" t="s">
        <v>130</v>
      </c>
      <c r="AU1011" s="0" t="s">
        <v>130</v>
      </c>
      <c r="AV1011" s="0" t="s">
        <v>130</v>
      </c>
      <c r="AW1011" s="0" t="s">
        <v>130</v>
      </c>
      <c r="AX1011" s="0" t="s">
        <v>130</v>
      </c>
      <c r="AY1011" s="0" t="s">
        <v>130</v>
      </c>
      <c r="AZ1011" s="0" t="s">
        <v>130</v>
      </c>
      <c r="BA1011" s="0" t="s">
        <v>130</v>
      </c>
      <c r="BB1011" s="0" t="s">
        <v>130</v>
      </c>
      <c r="BC1011" s="0" t="s">
        <v>130</v>
      </c>
      <c r="BD1011" s="0" t="s">
        <v>130</v>
      </c>
      <c r="BE1011" s="0" t="s">
        <v>130</v>
      </c>
      <c r="BF1011" s="0" t="s">
        <v>130</v>
      </c>
      <c r="BG1011" s="0" t="s">
        <v>130</v>
      </c>
      <c r="BH1011" s="0" t="s">
        <v>130</v>
      </c>
      <c r="BI1011" s="0" t="s">
        <v>130</v>
      </c>
      <c r="BJ1011" s="0" t="s">
        <v>130</v>
      </c>
      <c r="BK1011" s="0" t="s">
        <v>130</v>
      </c>
      <c r="BL1011" s="0" t="s">
        <v>130</v>
      </c>
      <c r="BM1011" s="0" t="s">
        <v>130</v>
      </c>
      <c r="BN1011" s="0" t="s">
        <v>130</v>
      </c>
      <c r="BO1011" s="0" t="s">
        <v>130</v>
      </c>
      <c r="BP1011" s="0" t="s">
        <v>130</v>
      </c>
      <c r="BQ1011" s="0" t="s">
        <v>130</v>
      </c>
      <c r="BR1011" s="0" t="s">
        <v>130</v>
      </c>
      <c r="BS1011" s="0" t="s">
        <v>130</v>
      </c>
      <c r="BT1011" s="0" t="s">
        <v>130</v>
      </c>
      <c r="BU1011" s="0" t="s">
        <v>130</v>
      </c>
      <c r="BV1011" s="0" t="s">
        <v>130</v>
      </c>
      <c r="BW1011" s="0" t="s">
        <v>130</v>
      </c>
      <c r="BX1011" s="0" t="s">
        <v>130</v>
      </c>
      <c r="BY1011" s="0" t="s">
        <v>130</v>
      </c>
      <c r="BZ1011" s="0" t="s">
        <v>130</v>
      </c>
      <c r="CA1011" s="0" t="s">
        <v>130</v>
      </c>
      <c r="CB1011" s="0" t="s">
        <v>130</v>
      </c>
      <c r="CC1011" s="0" t="s">
        <v>130</v>
      </c>
      <c r="CD1011" s="0" t="s">
        <v>130</v>
      </c>
      <c r="CE1011" s="0" t="s">
        <v>130</v>
      </c>
      <c r="CF1011" s="0" t="s">
        <v>130</v>
      </c>
      <c r="CG1011" s="0" t="s">
        <v>130</v>
      </c>
      <c r="CH1011" s="0" t="s">
        <v>130</v>
      </c>
      <c r="CI1011" s="0" t="s">
        <v>130</v>
      </c>
      <c r="CJ1011" s="0" t="s">
        <v>130</v>
      </c>
      <c r="CK1011" s="0" t="s">
        <v>130</v>
      </c>
      <c r="CL1011" s="0" t="s">
        <v>130</v>
      </c>
      <c r="CM1011" s="0" t="s">
        <v>130</v>
      </c>
      <c r="CN1011" s="0" t="s">
        <v>130</v>
      </c>
      <c r="CO1011" s="0" t="s">
        <v>130</v>
      </c>
      <c r="CP1011" s="0" t="s">
        <v>130</v>
      </c>
      <c r="CQ1011" s="0" t="s">
        <v>130</v>
      </c>
      <c r="CR1011" s="0" t="s">
        <v>130</v>
      </c>
      <c r="CS1011" s="0" t="s">
        <v>130</v>
      </c>
      <c r="CT1011" s="0" t="s">
        <v>3072</v>
      </c>
    </row>
    <row r="1012">
      <c r="A1012" s="14">
        <v>136124</v>
      </c>
      <c r="B1012" s="0" t="s">
        <v>3066</v>
      </c>
      <c r="C1012" s="16">
        <f>HYPERLINK("https://eosportal.federatedhermes.com/companies/Q29tcGFueQppODQ3NTU=", "AP Moller - Maersk A/S")</f>
      </c>
      <c r="D1012" s="0" t="s">
        <v>25</v>
      </c>
      <c r="E1012" s="0" t="s">
        <v>3073</v>
      </c>
      <c r="F1012" s="16">
        <f>HYPERLINK("https://eosportal.federatedhermes.com/engagements/RW5nYWdlbWVudAppMjQyNzM=", "Shareholder communications")</f>
      </c>
      <c r="G1012" s="14" t="s">
        <v>3073</v>
      </c>
      <c r="H1012" s="0" t="s">
        <v>141</v>
      </c>
      <c r="I1012" s="14" t="s">
        <v>191</v>
      </c>
      <c r="J1012" s="0" t="s">
        <v>132</v>
      </c>
      <c r="K1012" s="0" t="s">
        <v>170</v>
      </c>
      <c r="L1012" s="0" t="s">
        <v>171</v>
      </c>
      <c r="M1012" s="0" t="s">
        <v>378</v>
      </c>
      <c r="N1012" s="0" t="s">
        <v>1339</v>
      </c>
      <c r="O1012" s="0" t="s">
        <v>425</v>
      </c>
      <c r="Q1012" s="0" t="s">
        <v>130</v>
      </c>
      <c r="R1012" s="0" t="s">
        <v>138</v>
      </c>
      <c r="S1012" s="14">
        <v>0</v>
      </c>
      <c r="T1012" s="0" t="s">
        <v>181</v>
      </c>
      <c r="U1012" s="0" t="s">
        <v>138</v>
      </c>
      <c r="V1012" s="14" t="s">
        <v>138</v>
      </c>
      <c r="W1012" s="0" t="s">
        <v>138</v>
      </c>
      <c r="X1012" s="14" t="s">
        <v>138</v>
      </c>
      <c r="Y1012" s="0" t="s">
        <v>138</v>
      </c>
      <c r="Z1012" s="14" t="s">
        <v>138</v>
      </c>
      <c r="AA1012" s="0" t="s">
        <v>138</v>
      </c>
      <c r="AB1012" s="14" t="s">
        <v>138</v>
      </c>
      <c r="AD1012" s="0" t="s">
        <v>138</v>
      </c>
      <c r="AF1012" s="0">
        <v>0</v>
      </c>
      <c r="AG1012" s="0">
        <v>0</v>
      </c>
      <c r="AH1012" s="0" t="s">
        <v>140</v>
      </c>
      <c r="AI1012" s="0" t="s">
        <v>138</v>
      </c>
      <c r="AL1012" s="14"/>
      <c r="AN1012" s="14"/>
      <c r="AQ1012" s="0" t="s">
        <v>130</v>
      </c>
      <c r="AR1012" s="0" t="s">
        <v>130</v>
      </c>
      <c r="AS1012" s="0" t="s">
        <v>130</v>
      </c>
      <c r="AT1012" s="0" t="s">
        <v>130</v>
      </c>
      <c r="AU1012" s="0" t="s">
        <v>130</v>
      </c>
      <c r="AV1012" s="0" t="s">
        <v>130</v>
      </c>
      <c r="AW1012" s="0" t="s">
        <v>130</v>
      </c>
      <c r="AX1012" s="0" t="s">
        <v>130</v>
      </c>
      <c r="AY1012" s="0" t="s">
        <v>130</v>
      </c>
      <c r="AZ1012" s="0" t="s">
        <v>130</v>
      </c>
      <c r="BA1012" s="0" t="s">
        <v>130</v>
      </c>
      <c r="BB1012" s="0" t="s">
        <v>130</v>
      </c>
      <c r="BC1012" s="0" t="s">
        <v>130</v>
      </c>
      <c r="BD1012" s="0" t="s">
        <v>130</v>
      </c>
      <c r="BE1012" s="0" t="s">
        <v>130</v>
      </c>
      <c r="BF1012" s="0" t="s">
        <v>130</v>
      </c>
      <c r="BG1012" s="0" t="s">
        <v>130</v>
      </c>
      <c r="BH1012" s="0" t="s">
        <v>130</v>
      </c>
      <c r="BI1012" s="0" t="s">
        <v>130</v>
      </c>
      <c r="BJ1012" s="0" t="s">
        <v>130</v>
      </c>
      <c r="BK1012" s="0" t="s">
        <v>130</v>
      </c>
      <c r="BL1012" s="0" t="s">
        <v>130</v>
      </c>
      <c r="BM1012" s="0" t="s">
        <v>130</v>
      </c>
      <c r="BN1012" s="0" t="s">
        <v>130</v>
      </c>
      <c r="BO1012" s="0" t="s">
        <v>130</v>
      </c>
      <c r="BP1012" s="0" t="s">
        <v>130</v>
      </c>
      <c r="BQ1012" s="0" t="s">
        <v>130</v>
      </c>
      <c r="BR1012" s="0" t="s">
        <v>130</v>
      </c>
      <c r="BS1012" s="0" t="s">
        <v>130</v>
      </c>
      <c r="BT1012" s="0" t="s">
        <v>130</v>
      </c>
      <c r="BU1012" s="0" t="s">
        <v>130</v>
      </c>
      <c r="BV1012" s="0" t="s">
        <v>130</v>
      </c>
      <c r="BW1012" s="0" t="s">
        <v>130</v>
      </c>
      <c r="BX1012" s="0" t="s">
        <v>130</v>
      </c>
      <c r="BY1012" s="0" t="s">
        <v>130</v>
      </c>
      <c r="BZ1012" s="0" t="s">
        <v>130</v>
      </c>
      <c r="CA1012" s="0" t="s">
        <v>130</v>
      </c>
      <c r="CB1012" s="0" t="s">
        <v>130</v>
      </c>
      <c r="CC1012" s="0" t="s">
        <v>130</v>
      </c>
      <c r="CD1012" s="0" t="s">
        <v>130</v>
      </c>
      <c r="CE1012" s="0" t="s">
        <v>130</v>
      </c>
      <c r="CF1012" s="0" t="s">
        <v>130</v>
      </c>
      <c r="CG1012" s="0" t="s">
        <v>130</v>
      </c>
      <c r="CH1012" s="0" t="s">
        <v>130</v>
      </c>
      <c r="CI1012" s="0" t="s">
        <v>130</v>
      </c>
      <c r="CJ1012" s="0" t="s">
        <v>130</v>
      </c>
      <c r="CK1012" s="0" t="s">
        <v>130</v>
      </c>
      <c r="CL1012" s="0" t="s">
        <v>130</v>
      </c>
      <c r="CM1012" s="0" t="s">
        <v>130</v>
      </c>
      <c r="CN1012" s="0" t="s">
        <v>130</v>
      </c>
      <c r="CO1012" s="0" t="s">
        <v>130</v>
      </c>
      <c r="CP1012" s="0" t="s">
        <v>130</v>
      </c>
      <c r="CQ1012" s="0" t="s">
        <v>130</v>
      </c>
      <c r="CR1012" s="0" t="s">
        <v>130</v>
      </c>
      <c r="CS1012" s="0" t="s">
        <v>130</v>
      </c>
      <c r="CT1012" s="0" t="s">
        <v>3074</v>
      </c>
    </row>
    <row r="1013">
      <c r="A1013" s="14">
        <v>136124</v>
      </c>
      <c r="B1013" s="0" t="s">
        <v>3066</v>
      </c>
      <c r="C1013" s="16">
        <f>HYPERLINK("https://eosportal.federatedhermes.com/companies/Q29tcGFueQppODQ3NTU=", "AP Moller - Maersk A/S")</f>
      </c>
      <c r="D1013" s="0" t="s">
        <v>25</v>
      </c>
      <c r="E1013" s="0" t="s">
        <v>3075</v>
      </c>
      <c r="F1013" s="16">
        <f>HYPERLINK("https://eosportal.federatedhermes.com/engagements/RW5nYWdlbWVudAppMjQyNzQ=", "Risk Management - Corporate Restructuring")</f>
      </c>
      <c r="G1013" s="14" t="s">
        <v>3076</v>
      </c>
      <c r="H1013" s="0" t="s">
        <v>141</v>
      </c>
      <c r="I1013" s="14" t="s">
        <v>191</v>
      </c>
      <c r="J1013" s="0" t="s">
        <v>132</v>
      </c>
      <c r="K1013" s="0" t="s">
        <v>260</v>
      </c>
      <c r="L1013" s="0" t="s">
        <v>261</v>
      </c>
      <c r="M1013" s="0" t="s">
        <v>378</v>
      </c>
      <c r="N1013" s="0" t="s">
        <v>1339</v>
      </c>
      <c r="O1013" s="0" t="s">
        <v>425</v>
      </c>
      <c r="Q1013" s="0" t="s">
        <v>130</v>
      </c>
      <c r="R1013" s="0" t="s">
        <v>138</v>
      </c>
      <c r="S1013" s="14">
        <v>0</v>
      </c>
      <c r="T1013" s="0" t="s">
        <v>239</v>
      </c>
      <c r="U1013" s="0" t="s">
        <v>138</v>
      </c>
      <c r="V1013" s="14" t="s">
        <v>138</v>
      </c>
      <c r="W1013" s="0" t="s">
        <v>138</v>
      </c>
      <c r="X1013" s="14" t="s">
        <v>138</v>
      </c>
      <c r="Y1013" s="0" t="s">
        <v>138</v>
      </c>
      <c r="Z1013" s="14" t="s">
        <v>138</v>
      </c>
      <c r="AA1013" s="0" t="s">
        <v>138</v>
      </c>
      <c r="AB1013" s="14" t="s">
        <v>138</v>
      </c>
      <c r="AD1013" s="0" t="s">
        <v>138</v>
      </c>
      <c r="AF1013" s="0">
        <v>0</v>
      </c>
      <c r="AG1013" s="0">
        <v>0</v>
      </c>
      <c r="AH1013" s="0" t="s">
        <v>140</v>
      </c>
      <c r="AI1013" s="0" t="s">
        <v>138</v>
      </c>
      <c r="AL1013" s="14"/>
      <c r="AN1013" s="14"/>
      <c r="AQ1013" s="0" t="s">
        <v>130</v>
      </c>
      <c r="AR1013" s="0" t="s">
        <v>130</v>
      </c>
      <c r="AS1013" s="0" t="s">
        <v>130</v>
      </c>
      <c r="AT1013" s="0" t="s">
        <v>130</v>
      </c>
      <c r="AU1013" s="0" t="s">
        <v>130</v>
      </c>
      <c r="AV1013" s="0" t="s">
        <v>130</v>
      </c>
      <c r="AW1013" s="0" t="s">
        <v>130</v>
      </c>
      <c r="AX1013" s="0" t="s">
        <v>130</v>
      </c>
      <c r="AY1013" s="0" t="s">
        <v>130</v>
      </c>
      <c r="AZ1013" s="0" t="s">
        <v>130</v>
      </c>
      <c r="BA1013" s="0" t="s">
        <v>130</v>
      </c>
      <c r="BB1013" s="0" t="s">
        <v>130</v>
      </c>
      <c r="BC1013" s="0" t="s">
        <v>130</v>
      </c>
      <c r="BD1013" s="0" t="s">
        <v>130</v>
      </c>
      <c r="BE1013" s="0" t="s">
        <v>130</v>
      </c>
      <c r="BF1013" s="0" t="s">
        <v>130</v>
      </c>
      <c r="BG1013" s="0" t="s">
        <v>130</v>
      </c>
      <c r="BH1013" s="0" t="s">
        <v>130</v>
      </c>
      <c r="BI1013" s="0" t="s">
        <v>130</v>
      </c>
      <c r="BJ1013" s="0" t="s">
        <v>130</v>
      </c>
      <c r="BK1013" s="0" t="s">
        <v>130</v>
      </c>
      <c r="BL1013" s="0" t="s">
        <v>130</v>
      </c>
      <c r="BM1013" s="0" t="s">
        <v>130</v>
      </c>
      <c r="BN1013" s="0" t="s">
        <v>130</v>
      </c>
      <c r="BO1013" s="0" t="s">
        <v>130</v>
      </c>
      <c r="BP1013" s="0" t="s">
        <v>130</v>
      </c>
      <c r="BQ1013" s="0" t="s">
        <v>130</v>
      </c>
      <c r="BR1013" s="0" t="s">
        <v>130</v>
      </c>
      <c r="BS1013" s="0" t="s">
        <v>130</v>
      </c>
      <c r="BT1013" s="0" t="s">
        <v>130</v>
      </c>
      <c r="BU1013" s="0" t="s">
        <v>130</v>
      </c>
      <c r="BV1013" s="0" t="s">
        <v>130</v>
      </c>
      <c r="BW1013" s="0" t="s">
        <v>130</v>
      </c>
      <c r="BX1013" s="0" t="s">
        <v>130</v>
      </c>
      <c r="BY1013" s="0" t="s">
        <v>130</v>
      </c>
      <c r="BZ1013" s="0" t="s">
        <v>130</v>
      </c>
      <c r="CA1013" s="0" t="s">
        <v>130</v>
      </c>
      <c r="CB1013" s="0" t="s">
        <v>130</v>
      </c>
      <c r="CC1013" s="0" t="s">
        <v>130</v>
      </c>
      <c r="CD1013" s="0" t="s">
        <v>130</v>
      </c>
      <c r="CE1013" s="0" t="s">
        <v>130</v>
      </c>
      <c r="CF1013" s="0" t="s">
        <v>130</v>
      </c>
      <c r="CG1013" s="0" t="s">
        <v>130</v>
      </c>
      <c r="CH1013" s="0" t="s">
        <v>130</v>
      </c>
      <c r="CI1013" s="0" t="s">
        <v>130</v>
      </c>
      <c r="CJ1013" s="0" t="s">
        <v>130</v>
      </c>
      <c r="CK1013" s="0" t="s">
        <v>130</v>
      </c>
      <c r="CL1013" s="0" t="s">
        <v>130</v>
      </c>
      <c r="CM1013" s="0" t="s">
        <v>130</v>
      </c>
      <c r="CN1013" s="0" t="s">
        <v>130</v>
      </c>
      <c r="CO1013" s="0" t="s">
        <v>130</v>
      </c>
      <c r="CP1013" s="0" t="s">
        <v>130</v>
      </c>
      <c r="CQ1013" s="0" t="s">
        <v>130</v>
      </c>
      <c r="CR1013" s="0" t="s">
        <v>130</v>
      </c>
      <c r="CS1013" s="0" t="s">
        <v>130</v>
      </c>
      <c r="CT1013" s="0" t="s">
        <v>3077</v>
      </c>
    </row>
    <row r="1014">
      <c r="A1014" s="14">
        <v>136124</v>
      </c>
      <c r="B1014" s="0" t="s">
        <v>3066</v>
      </c>
      <c r="C1014" s="16">
        <f>HYPERLINK("https://eosportal.federatedhermes.com/companies/Q29tcGFueQppODQ3NTU=", "AP Moller - Maersk A/S")</f>
      </c>
      <c r="D1014" s="0" t="s">
        <v>25</v>
      </c>
      <c r="E1014" s="0" t="s">
        <v>2179</v>
      </c>
      <c r="F1014" s="16">
        <f>HYPERLINK("https://eosportal.federatedhermes.com/engagements/RW5nYWdlbWVudAppMjQyNzU=", "Business Strategy")</f>
      </c>
      <c r="G1014" s="14"/>
      <c r="H1014" s="0" t="s">
        <v>141</v>
      </c>
      <c r="I1014" s="14" t="s">
        <v>191</v>
      </c>
      <c r="J1014" s="0" t="s">
        <v>132</v>
      </c>
      <c r="K1014" s="0" t="s">
        <v>133</v>
      </c>
      <c r="L1014" s="0" t="s">
        <v>160</v>
      </c>
      <c r="M1014" s="0" t="s">
        <v>378</v>
      </c>
      <c r="N1014" s="0" t="s">
        <v>1339</v>
      </c>
      <c r="O1014" s="0" t="s">
        <v>425</v>
      </c>
      <c r="Q1014" s="0" t="s">
        <v>130</v>
      </c>
      <c r="R1014" s="0" t="s">
        <v>138</v>
      </c>
      <c r="S1014" s="14">
        <v>0</v>
      </c>
      <c r="T1014" s="0" t="s">
        <v>825</v>
      </c>
      <c r="U1014" s="0" t="s">
        <v>138</v>
      </c>
      <c r="V1014" s="14" t="s">
        <v>138</v>
      </c>
      <c r="W1014" s="0" t="s">
        <v>138</v>
      </c>
      <c r="X1014" s="14" t="s">
        <v>138</v>
      </c>
      <c r="Y1014" s="0" t="s">
        <v>138</v>
      </c>
      <c r="Z1014" s="14" t="s">
        <v>138</v>
      </c>
      <c r="AA1014" s="0" t="s">
        <v>138</v>
      </c>
      <c r="AB1014" s="14" t="s">
        <v>138</v>
      </c>
      <c r="AD1014" s="0" t="s">
        <v>138</v>
      </c>
      <c r="AF1014" s="0">
        <v>0</v>
      </c>
      <c r="AG1014" s="0">
        <v>0</v>
      </c>
      <c r="AH1014" s="0" t="s">
        <v>140</v>
      </c>
      <c r="AI1014" s="0" t="s">
        <v>138</v>
      </c>
      <c r="AL1014" s="14"/>
      <c r="AN1014" s="14"/>
      <c r="AQ1014" s="0" t="s">
        <v>130</v>
      </c>
      <c r="AR1014" s="0" t="s">
        <v>130</v>
      </c>
      <c r="AS1014" s="0" t="s">
        <v>130</v>
      </c>
      <c r="AT1014" s="0" t="s">
        <v>130</v>
      </c>
      <c r="AU1014" s="0" t="s">
        <v>130</v>
      </c>
      <c r="AV1014" s="0" t="s">
        <v>130</v>
      </c>
      <c r="AW1014" s="0" t="s">
        <v>130</v>
      </c>
      <c r="AX1014" s="0" t="s">
        <v>130</v>
      </c>
      <c r="AY1014" s="0" t="s">
        <v>130</v>
      </c>
      <c r="AZ1014" s="0" t="s">
        <v>130</v>
      </c>
      <c r="BA1014" s="0" t="s">
        <v>130</v>
      </c>
      <c r="BB1014" s="0" t="s">
        <v>130</v>
      </c>
      <c r="BC1014" s="0" t="s">
        <v>130</v>
      </c>
      <c r="BD1014" s="0" t="s">
        <v>130</v>
      </c>
      <c r="BE1014" s="0" t="s">
        <v>130</v>
      </c>
      <c r="BF1014" s="0" t="s">
        <v>130</v>
      </c>
      <c r="BG1014" s="0" t="s">
        <v>130</v>
      </c>
      <c r="BH1014" s="0" t="s">
        <v>130</v>
      </c>
      <c r="BI1014" s="0" t="s">
        <v>130</v>
      </c>
      <c r="BJ1014" s="0" t="s">
        <v>130</v>
      </c>
      <c r="BK1014" s="0" t="s">
        <v>130</v>
      </c>
      <c r="BL1014" s="0" t="s">
        <v>130</v>
      </c>
      <c r="BM1014" s="0" t="s">
        <v>130</v>
      </c>
      <c r="BN1014" s="0" t="s">
        <v>130</v>
      </c>
      <c r="BO1014" s="0" t="s">
        <v>130</v>
      </c>
      <c r="BP1014" s="0" t="s">
        <v>130</v>
      </c>
      <c r="BQ1014" s="0" t="s">
        <v>130</v>
      </c>
      <c r="BR1014" s="0" t="s">
        <v>130</v>
      </c>
      <c r="BS1014" s="0" t="s">
        <v>130</v>
      </c>
      <c r="BT1014" s="0" t="s">
        <v>130</v>
      </c>
      <c r="BU1014" s="0" t="s">
        <v>130</v>
      </c>
      <c r="BV1014" s="0" t="s">
        <v>130</v>
      </c>
      <c r="BW1014" s="0" t="s">
        <v>130</v>
      </c>
      <c r="BX1014" s="0" t="s">
        <v>130</v>
      </c>
      <c r="BY1014" s="0" t="s">
        <v>130</v>
      </c>
      <c r="BZ1014" s="0" t="s">
        <v>130</v>
      </c>
      <c r="CA1014" s="0" t="s">
        <v>130</v>
      </c>
      <c r="CB1014" s="0" t="s">
        <v>130</v>
      </c>
      <c r="CC1014" s="0" t="s">
        <v>130</v>
      </c>
      <c r="CD1014" s="0" t="s">
        <v>130</v>
      </c>
      <c r="CE1014" s="0" t="s">
        <v>130</v>
      </c>
      <c r="CF1014" s="0" t="s">
        <v>130</v>
      </c>
      <c r="CG1014" s="0" t="s">
        <v>130</v>
      </c>
      <c r="CH1014" s="0" t="s">
        <v>130</v>
      </c>
      <c r="CI1014" s="0" t="s">
        <v>130</v>
      </c>
      <c r="CJ1014" s="0" t="s">
        <v>130</v>
      </c>
      <c r="CK1014" s="0" t="s">
        <v>130</v>
      </c>
      <c r="CL1014" s="0" t="s">
        <v>130</v>
      </c>
      <c r="CM1014" s="0" t="s">
        <v>130</v>
      </c>
      <c r="CN1014" s="0" t="s">
        <v>130</v>
      </c>
      <c r="CO1014" s="0" t="s">
        <v>130</v>
      </c>
      <c r="CP1014" s="0" t="s">
        <v>130</v>
      </c>
      <c r="CQ1014" s="0" t="s">
        <v>130</v>
      </c>
      <c r="CR1014" s="0" t="s">
        <v>130</v>
      </c>
      <c r="CS1014" s="0" t="s">
        <v>130</v>
      </c>
      <c r="CT1014" s="0" t="s">
        <v>3078</v>
      </c>
    </row>
    <row r="1015">
      <c r="A1015" s="14">
        <v>136124</v>
      </c>
      <c r="B1015" s="0" t="s">
        <v>3066</v>
      </c>
      <c r="C1015" s="16">
        <f>HYPERLINK("https://eosportal.federatedhermes.com/companies/Q29tcGFueQppODQ3NTU=", "AP Moller - Maersk A/S")</f>
      </c>
      <c r="D1015" s="0" t="s">
        <v>25</v>
      </c>
      <c r="E1015" s="0" t="s">
        <v>743</v>
      </c>
      <c r="F1015" s="16">
        <f>HYPERLINK("https://eosportal.federatedhermes.com/engagements/RW5nYWdlbWVudAppMjQyNzY=", "Cyber Security")</f>
      </c>
      <c r="G1015" s="14" t="s">
        <v>3079</v>
      </c>
      <c r="H1015" s="0" t="s">
        <v>141</v>
      </c>
      <c r="I1015" s="14" t="s">
        <v>191</v>
      </c>
      <c r="J1015" s="0" t="s">
        <v>132</v>
      </c>
      <c r="K1015" s="0" t="s">
        <v>260</v>
      </c>
      <c r="L1015" s="0" t="s">
        <v>743</v>
      </c>
      <c r="M1015" s="0" t="s">
        <v>378</v>
      </c>
      <c r="N1015" s="0" t="s">
        <v>1339</v>
      </c>
      <c r="O1015" s="0" t="s">
        <v>425</v>
      </c>
      <c r="Q1015" s="0" t="s">
        <v>130</v>
      </c>
      <c r="R1015" s="0" t="s">
        <v>138</v>
      </c>
      <c r="S1015" s="14">
        <v>0</v>
      </c>
      <c r="T1015" s="0" t="s">
        <v>314</v>
      </c>
      <c r="U1015" s="0" t="s">
        <v>138</v>
      </c>
      <c r="V1015" s="14" t="s">
        <v>138</v>
      </c>
      <c r="W1015" s="0" t="s">
        <v>138</v>
      </c>
      <c r="X1015" s="14" t="s">
        <v>138</v>
      </c>
      <c r="Y1015" s="0" t="s">
        <v>138</v>
      </c>
      <c r="Z1015" s="14" t="s">
        <v>138</v>
      </c>
      <c r="AA1015" s="0" t="s">
        <v>138</v>
      </c>
      <c r="AB1015" s="14" t="s">
        <v>138</v>
      </c>
      <c r="AD1015" s="0" t="s">
        <v>138</v>
      </c>
      <c r="AF1015" s="0">
        <v>0</v>
      </c>
      <c r="AG1015" s="0">
        <v>0</v>
      </c>
      <c r="AH1015" s="0" t="s">
        <v>140</v>
      </c>
      <c r="AI1015" s="0" t="s">
        <v>138</v>
      </c>
      <c r="AL1015" s="14"/>
      <c r="AN1015" s="14"/>
      <c r="AQ1015" s="0" t="s">
        <v>130</v>
      </c>
      <c r="AR1015" s="0" t="s">
        <v>130</v>
      </c>
      <c r="AS1015" s="0" t="s">
        <v>130</v>
      </c>
      <c r="AT1015" s="0" t="s">
        <v>130</v>
      </c>
      <c r="AU1015" s="0" t="s">
        <v>130</v>
      </c>
      <c r="AV1015" s="0" t="s">
        <v>130</v>
      </c>
      <c r="AW1015" s="0" t="s">
        <v>130</v>
      </c>
      <c r="AX1015" s="0" t="s">
        <v>130</v>
      </c>
      <c r="AY1015" s="0" t="s">
        <v>141</v>
      </c>
      <c r="AZ1015" s="0" t="s">
        <v>130</v>
      </c>
      <c r="BA1015" s="0" t="s">
        <v>130</v>
      </c>
      <c r="BB1015" s="0" t="s">
        <v>130</v>
      </c>
      <c r="BC1015" s="0" t="s">
        <v>130</v>
      </c>
      <c r="BD1015" s="0" t="s">
        <v>130</v>
      </c>
      <c r="BE1015" s="0" t="s">
        <v>130</v>
      </c>
      <c r="BF1015" s="0" t="s">
        <v>130</v>
      </c>
      <c r="BG1015" s="0" t="s">
        <v>130</v>
      </c>
      <c r="BH1015" s="0" t="s">
        <v>130</v>
      </c>
      <c r="BI1015" s="0" t="s">
        <v>130</v>
      </c>
      <c r="BJ1015" s="0" t="s">
        <v>130</v>
      </c>
      <c r="BK1015" s="0" t="s">
        <v>130</v>
      </c>
      <c r="BL1015" s="0" t="s">
        <v>130</v>
      </c>
      <c r="BM1015" s="0" t="s">
        <v>130</v>
      </c>
      <c r="BN1015" s="0" t="s">
        <v>130</v>
      </c>
      <c r="BO1015" s="0" t="s">
        <v>130</v>
      </c>
      <c r="BP1015" s="0" t="s">
        <v>130</v>
      </c>
      <c r="BQ1015" s="0" t="s">
        <v>130</v>
      </c>
      <c r="BR1015" s="0" t="s">
        <v>130</v>
      </c>
      <c r="BS1015" s="0" t="s">
        <v>130</v>
      </c>
      <c r="BT1015" s="0" t="s">
        <v>130</v>
      </c>
      <c r="BU1015" s="0" t="s">
        <v>130</v>
      </c>
      <c r="BV1015" s="0" t="s">
        <v>130</v>
      </c>
      <c r="BW1015" s="0" t="s">
        <v>130</v>
      </c>
      <c r="BX1015" s="0" t="s">
        <v>130</v>
      </c>
      <c r="BY1015" s="0" t="s">
        <v>130</v>
      </c>
      <c r="BZ1015" s="0" t="s">
        <v>130</v>
      </c>
      <c r="CA1015" s="0" t="s">
        <v>130</v>
      </c>
      <c r="CB1015" s="0" t="s">
        <v>130</v>
      </c>
      <c r="CC1015" s="0" t="s">
        <v>130</v>
      </c>
      <c r="CD1015" s="0" t="s">
        <v>130</v>
      </c>
      <c r="CE1015" s="0" t="s">
        <v>130</v>
      </c>
      <c r="CF1015" s="0" t="s">
        <v>130</v>
      </c>
      <c r="CG1015" s="0" t="s">
        <v>130</v>
      </c>
      <c r="CH1015" s="0" t="s">
        <v>130</v>
      </c>
      <c r="CI1015" s="0" t="s">
        <v>130</v>
      </c>
      <c r="CJ1015" s="0" t="s">
        <v>130</v>
      </c>
      <c r="CK1015" s="0" t="s">
        <v>130</v>
      </c>
      <c r="CL1015" s="0" t="s">
        <v>130</v>
      </c>
      <c r="CM1015" s="0" t="s">
        <v>130</v>
      </c>
      <c r="CN1015" s="0" t="s">
        <v>130</v>
      </c>
      <c r="CO1015" s="0" t="s">
        <v>130</v>
      </c>
      <c r="CP1015" s="0" t="s">
        <v>130</v>
      </c>
      <c r="CQ1015" s="0" t="s">
        <v>130</v>
      </c>
      <c r="CR1015" s="0" t="s">
        <v>130</v>
      </c>
      <c r="CS1015" s="0" t="s">
        <v>130</v>
      </c>
      <c r="CT1015" s="0" t="s">
        <v>3080</v>
      </c>
    </row>
    <row r="1016">
      <c r="A1016" s="14">
        <v>136124</v>
      </c>
      <c r="B1016" s="0" t="s">
        <v>3066</v>
      </c>
      <c r="C1016" s="16">
        <f>HYPERLINK("https://eosportal.federatedhermes.com/companies/Q29tcGFueQppODQ3NTU=", "AP Moller - Maersk A/S")</f>
      </c>
      <c r="D1016" s="0" t="s">
        <v>25</v>
      </c>
      <c r="E1016" s="0" t="s">
        <v>341</v>
      </c>
      <c r="F1016" s="16">
        <f>HYPERLINK("https://eosportal.federatedhermes.com/engagements/RW5nYWdlbWVudAppMjQyNzc=", "Remuneration")</f>
      </c>
      <c r="G1016" s="14" t="s">
        <v>3081</v>
      </c>
      <c r="H1016" s="0" t="s">
        <v>141</v>
      </c>
      <c r="I1016" s="14" t="s">
        <v>191</v>
      </c>
      <c r="J1016" s="0" t="s">
        <v>145</v>
      </c>
      <c r="K1016" s="0" t="s">
        <v>146</v>
      </c>
      <c r="L1016" s="0" t="s">
        <v>147</v>
      </c>
      <c r="M1016" s="0" t="s">
        <v>378</v>
      </c>
      <c r="N1016" s="0" t="s">
        <v>1339</v>
      </c>
      <c r="O1016" s="0" t="s">
        <v>425</v>
      </c>
      <c r="Q1016" s="0" t="s">
        <v>130</v>
      </c>
      <c r="R1016" s="0" t="s">
        <v>138</v>
      </c>
      <c r="S1016" s="14">
        <v>0</v>
      </c>
      <c r="T1016" s="0" t="s">
        <v>320</v>
      </c>
      <c r="U1016" s="0" t="s">
        <v>138</v>
      </c>
      <c r="V1016" s="14" t="s">
        <v>138</v>
      </c>
      <c r="W1016" s="0" t="s">
        <v>138</v>
      </c>
      <c r="X1016" s="14" t="s">
        <v>138</v>
      </c>
      <c r="Y1016" s="0" t="s">
        <v>138</v>
      </c>
      <c r="Z1016" s="14" t="s">
        <v>138</v>
      </c>
      <c r="AA1016" s="0" t="s">
        <v>138</v>
      </c>
      <c r="AB1016" s="14" t="s">
        <v>138</v>
      </c>
      <c r="AD1016" s="0" t="s">
        <v>138</v>
      </c>
      <c r="AF1016" s="0">
        <v>0</v>
      </c>
      <c r="AG1016" s="0">
        <v>0</v>
      </c>
      <c r="AH1016" s="0" t="s">
        <v>140</v>
      </c>
      <c r="AI1016" s="0" t="s">
        <v>138</v>
      </c>
      <c r="AL1016" s="14"/>
      <c r="AN1016" s="14"/>
      <c r="AQ1016" s="0" t="s">
        <v>130</v>
      </c>
      <c r="AR1016" s="0" t="s">
        <v>130</v>
      </c>
      <c r="AS1016" s="0" t="s">
        <v>130</v>
      </c>
      <c r="AT1016" s="0" t="s">
        <v>130</v>
      </c>
      <c r="AU1016" s="0" t="s">
        <v>130</v>
      </c>
      <c r="AV1016" s="0" t="s">
        <v>130</v>
      </c>
      <c r="AW1016" s="0" t="s">
        <v>130</v>
      </c>
      <c r="AX1016" s="0" t="s">
        <v>130</v>
      </c>
      <c r="AY1016" s="0" t="s">
        <v>130</v>
      </c>
      <c r="AZ1016" s="0" t="s">
        <v>130</v>
      </c>
      <c r="BA1016" s="0" t="s">
        <v>130</v>
      </c>
      <c r="BB1016" s="0" t="s">
        <v>130</v>
      </c>
      <c r="BC1016" s="0" t="s">
        <v>130</v>
      </c>
      <c r="BD1016" s="0" t="s">
        <v>130</v>
      </c>
      <c r="BE1016" s="0" t="s">
        <v>130</v>
      </c>
      <c r="BF1016" s="0" t="s">
        <v>130</v>
      </c>
      <c r="BG1016" s="0" t="s">
        <v>130</v>
      </c>
      <c r="BH1016" s="0" t="s">
        <v>130</v>
      </c>
      <c r="BI1016" s="0" t="s">
        <v>130</v>
      </c>
      <c r="BJ1016" s="0" t="s">
        <v>130</v>
      </c>
      <c r="BK1016" s="0" t="s">
        <v>130</v>
      </c>
      <c r="BL1016" s="0" t="s">
        <v>130</v>
      </c>
      <c r="BM1016" s="0" t="s">
        <v>130</v>
      </c>
      <c r="BN1016" s="0" t="s">
        <v>130</v>
      </c>
      <c r="BO1016" s="0" t="s">
        <v>130</v>
      </c>
      <c r="BP1016" s="0" t="s">
        <v>130</v>
      </c>
      <c r="BQ1016" s="0" t="s">
        <v>130</v>
      </c>
      <c r="BR1016" s="0" t="s">
        <v>130</v>
      </c>
      <c r="BS1016" s="0" t="s">
        <v>130</v>
      </c>
      <c r="BT1016" s="0" t="s">
        <v>130</v>
      </c>
      <c r="BU1016" s="0" t="s">
        <v>130</v>
      </c>
      <c r="BV1016" s="0" t="s">
        <v>130</v>
      </c>
      <c r="BW1016" s="0" t="s">
        <v>130</v>
      </c>
      <c r="BX1016" s="0" t="s">
        <v>130</v>
      </c>
      <c r="BY1016" s="0" t="s">
        <v>130</v>
      </c>
      <c r="BZ1016" s="0" t="s">
        <v>130</v>
      </c>
      <c r="CA1016" s="0" t="s">
        <v>130</v>
      </c>
      <c r="CB1016" s="0" t="s">
        <v>130</v>
      </c>
      <c r="CC1016" s="0" t="s">
        <v>130</v>
      </c>
      <c r="CD1016" s="0" t="s">
        <v>130</v>
      </c>
      <c r="CE1016" s="0" t="s">
        <v>130</v>
      </c>
      <c r="CF1016" s="0" t="s">
        <v>130</v>
      </c>
      <c r="CG1016" s="0" t="s">
        <v>130</v>
      </c>
      <c r="CH1016" s="0" t="s">
        <v>130</v>
      </c>
      <c r="CI1016" s="0" t="s">
        <v>130</v>
      </c>
      <c r="CJ1016" s="0" t="s">
        <v>130</v>
      </c>
      <c r="CK1016" s="0" t="s">
        <v>130</v>
      </c>
      <c r="CL1016" s="0" t="s">
        <v>130</v>
      </c>
      <c r="CM1016" s="0" t="s">
        <v>130</v>
      </c>
      <c r="CN1016" s="0" t="s">
        <v>130</v>
      </c>
      <c r="CO1016" s="0" t="s">
        <v>130</v>
      </c>
      <c r="CP1016" s="0" t="s">
        <v>130</v>
      </c>
      <c r="CQ1016" s="0" t="s">
        <v>130</v>
      </c>
      <c r="CR1016" s="0" t="s">
        <v>130</v>
      </c>
      <c r="CS1016" s="0" t="s">
        <v>130</v>
      </c>
      <c r="CT1016" s="0" t="s">
        <v>3082</v>
      </c>
    </row>
    <row r="1017">
      <c r="A1017" s="14">
        <v>136124</v>
      </c>
      <c r="B1017" s="0" t="s">
        <v>3066</v>
      </c>
      <c r="C1017" s="16">
        <f>HYPERLINK("https://eosportal.federatedhermes.com/companies/Q29tcGFueQppODQ3NTU=", "AP Moller - Maersk A/S")</f>
      </c>
      <c r="D1017" s="0" t="s">
        <v>25</v>
      </c>
      <c r="E1017" s="0" t="s">
        <v>3083</v>
      </c>
      <c r="F1017" s="16">
        <f>HYPERLINK("https://eosportal.federatedhermes.com/engagements/RW5nYWdlbWVudAppMjQyODI=", "Net-zero carbon emissions by 2050")</f>
      </c>
      <c r="G1017" s="14" t="s">
        <v>3084</v>
      </c>
      <c r="H1017" s="0" t="s">
        <v>141</v>
      </c>
      <c r="I1017" s="14" t="s">
        <v>191</v>
      </c>
      <c r="J1017" s="0" t="s">
        <v>197</v>
      </c>
      <c r="K1017" s="0" t="s">
        <v>198</v>
      </c>
      <c r="L1017" s="0" t="s">
        <v>216</v>
      </c>
      <c r="M1017" s="0" t="s">
        <v>378</v>
      </c>
      <c r="N1017" s="0" t="s">
        <v>1339</v>
      </c>
      <c r="O1017" s="0" t="s">
        <v>425</v>
      </c>
      <c r="Q1017" s="0" t="s">
        <v>130</v>
      </c>
      <c r="R1017" s="0" t="s">
        <v>138</v>
      </c>
      <c r="S1017" s="14">
        <v>0</v>
      </c>
      <c r="T1017" s="0" t="s">
        <v>1145</v>
      </c>
      <c r="U1017" s="0" t="s">
        <v>138</v>
      </c>
      <c r="V1017" s="14" t="s">
        <v>138</v>
      </c>
      <c r="W1017" s="0" t="s">
        <v>138</v>
      </c>
      <c r="X1017" s="14" t="s">
        <v>138</v>
      </c>
      <c r="Y1017" s="0" t="s">
        <v>138</v>
      </c>
      <c r="Z1017" s="14" t="s">
        <v>138</v>
      </c>
      <c r="AA1017" s="0" t="s">
        <v>138</v>
      </c>
      <c r="AB1017" s="14" t="s">
        <v>138</v>
      </c>
      <c r="AD1017" s="0" t="s">
        <v>138</v>
      </c>
      <c r="AF1017" s="0">
        <v>0</v>
      </c>
      <c r="AG1017" s="0">
        <v>0</v>
      </c>
      <c r="AH1017" s="0" t="s">
        <v>140</v>
      </c>
      <c r="AI1017" s="0" t="s">
        <v>138</v>
      </c>
      <c r="AL1017" s="14"/>
      <c r="AN1017" s="14"/>
      <c r="AQ1017" s="0" t="s">
        <v>130</v>
      </c>
      <c r="AR1017" s="0" t="s">
        <v>130</v>
      </c>
      <c r="AS1017" s="0" t="s">
        <v>130</v>
      </c>
      <c r="AT1017" s="0" t="s">
        <v>130</v>
      </c>
      <c r="AU1017" s="0" t="s">
        <v>130</v>
      </c>
      <c r="AV1017" s="0" t="s">
        <v>130</v>
      </c>
      <c r="AW1017" s="0" t="s">
        <v>141</v>
      </c>
      <c r="AX1017" s="0" t="s">
        <v>130</v>
      </c>
      <c r="AY1017" s="0" t="s">
        <v>130</v>
      </c>
      <c r="AZ1017" s="0" t="s">
        <v>130</v>
      </c>
      <c r="BA1017" s="0" t="s">
        <v>130</v>
      </c>
      <c r="BB1017" s="0" t="s">
        <v>130</v>
      </c>
      <c r="BC1017" s="0" t="s">
        <v>141</v>
      </c>
      <c r="BD1017" s="0" t="s">
        <v>130</v>
      </c>
      <c r="BE1017" s="0" t="s">
        <v>130</v>
      </c>
      <c r="BF1017" s="0" t="s">
        <v>130</v>
      </c>
      <c r="BG1017" s="0" t="s">
        <v>130</v>
      </c>
      <c r="BH1017" s="0" t="s">
        <v>141</v>
      </c>
      <c r="BI1017" s="0" t="s">
        <v>141</v>
      </c>
      <c r="BJ1017" s="0" t="s">
        <v>141</v>
      </c>
      <c r="BK1017" s="0" t="s">
        <v>130</v>
      </c>
      <c r="BL1017" s="0" t="s">
        <v>130</v>
      </c>
      <c r="BM1017" s="0" t="s">
        <v>130</v>
      </c>
      <c r="BN1017" s="0" t="s">
        <v>130</v>
      </c>
      <c r="BO1017" s="0" t="s">
        <v>130</v>
      </c>
      <c r="BP1017" s="0" t="s">
        <v>130</v>
      </c>
      <c r="BQ1017" s="0" t="s">
        <v>130</v>
      </c>
      <c r="BR1017" s="0" t="s">
        <v>130</v>
      </c>
      <c r="BS1017" s="0" t="s">
        <v>130</v>
      </c>
      <c r="BT1017" s="0" t="s">
        <v>130</v>
      </c>
      <c r="BU1017" s="0" t="s">
        <v>130</v>
      </c>
      <c r="BV1017" s="0" t="s">
        <v>141</v>
      </c>
      <c r="BW1017" s="0" t="s">
        <v>141</v>
      </c>
      <c r="BX1017" s="0" t="s">
        <v>130</v>
      </c>
      <c r="BY1017" s="0" t="s">
        <v>130</v>
      </c>
      <c r="BZ1017" s="0" t="s">
        <v>130</v>
      </c>
      <c r="CA1017" s="0" t="s">
        <v>130</v>
      </c>
      <c r="CB1017" s="0" t="s">
        <v>130</v>
      </c>
      <c r="CC1017" s="0" t="s">
        <v>130</v>
      </c>
      <c r="CD1017" s="0" t="s">
        <v>130</v>
      </c>
      <c r="CE1017" s="0" t="s">
        <v>130</v>
      </c>
      <c r="CF1017" s="0" t="s">
        <v>130</v>
      </c>
      <c r="CG1017" s="0" t="s">
        <v>130</v>
      </c>
      <c r="CH1017" s="0" t="s">
        <v>130</v>
      </c>
      <c r="CI1017" s="0" t="s">
        <v>130</v>
      </c>
      <c r="CJ1017" s="0" t="s">
        <v>130</v>
      </c>
      <c r="CK1017" s="0" t="s">
        <v>130</v>
      </c>
      <c r="CL1017" s="0" t="s">
        <v>130</v>
      </c>
      <c r="CM1017" s="0" t="s">
        <v>130</v>
      </c>
      <c r="CN1017" s="0" t="s">
        <v>130</v>
      </c>
      <c r="CO1017" s="0" t="s">
        <v>130</v>
      </c>
      <c r="CP1017" s="0" t="s">
        <v>130</v>
      </c>
      <c r="CQ1017" s="0" t="s">
        <v>130</v>
      </c>
      <c r="CR1017" s="0" t="s">
        <v>130</v>
      </c>
      <c r="CS1017" s="0" t="s">
        <v>130</v>
      </c>
      <c r="CT1017" s="0" t="s">
        <v>3085</v>
      </c>
    </row>
    <row r="1018">
      <c r="A1018" s="14">
        <v>136124</v>
      </c>
      <c r="B1018" s="0" t="s">
        <v>3066</v>
      </c>
      <c r="C1018" s="16">
        <f>HYPERLINK("https://eosportal.federatedhermes.com/companies/Q29tcGFueQppODQ3NTU=", "AP Moller - Maersk A/S")</f>
      </c>
      <c r="D1018" s="0" t="s">
        <v>23</v>
      </c>
      <c r="E1018" s="0" t="s">
        <v>3086</v>
      </c>
      <c r="F1018" s="16">
        <f>HYPERLINK("https://eosportal.federatedhermes.com/engagements/RW5nYWdlbWVudAppMjQyODg=", "Assessment of industry association alignment on climate change")</f>
      </c>
      <c r="G1018" s="14" t="s">
        <v>3087</v>
      </c>
      <c r="H1018" s="0" t="s">
        <v>141</v>
      </c>
      <c r="I1018" s="14" t="s">
        <v>191</v>
      </c>
      <c r="J1018" s="0" t="s">
        <v>197</v>
      </c>
      <c r="K1018" s="0" t="s">
        <v>198</v>
      </c>
      <c r="L1018" s="0" t="s">
        <v>199</v>
      </c>
      <c r="M1018" s="0" t="s">
        <v>378</v>
      </c>
      <c r="N1018" s="0" t="s">
        <v>1339</v>
      </c>
      <c r="O1018" s="0" t="s">
        <v>425</v>
      </c>
      <c r="Q1018" s="0" t="s">
        <v>141</v>
      </c>
      <c r="R1018" s="0" t="s">
        <v>130</v>
      </c>
      <c r="S1018" s="14">
        <v>2</v>
      </c>
      <c r="T1018" s="0" t="s">
        <v>139</v>
      </c>
      <c r="U1018" s="0" t="s">
        <v>221</v>
      </c>
      <c r="V1018" s="14" t="s">
        <v>139</v>
      </c>
      <c r="W1018" s="0" t="s">
        <v>221</v>
      </c>
      <c r="X1018" s="14" t="s">
        <v>139</v>
      </c>
      <c r="Y1018" s="0" t="s">
        <v>221</v>
      </c>
      <c r="Z1018" s="14" t="s">
        <v>355</v>
      </c>
      <c r="AA1018" s="0" t="s">
        <v>223</v>
      </c>
      <c r="AB1018" s="14" t="s">
        <v>138</v>
      </c>
      <c r="AD1018" s="0" t="s">
        <v>20</v>
      </c>
      <c r="AF1018" s="0">
        <v>0</v>
      </c>
      <c r="AG1018" s="0">
        <v>0</v>
      </c>
      <c r="AH1018" s="0" t="s">
        <v>140</v>
      </c>
      <c r="AI1018" s="0" t="s">
        <v>232</v>
      </c>
      <c r="AK1018" s="0" t="s">
        <v>226</v>
      </c>
      <c r="AL1018" s="14"/>
      <c r="AN1018" s="14"/>
      <c r="AQ1018" s="0" t="s">
        <v>130</v>
      </c>
      <c r="AR1018" s="0" t="s">
        <v>130</v>
      </c>
      <c r="AS1018" s="0" t="s">
        <v>130</v>
      </c>
      <c r="AT1018" s="0" t="s">
        <v>130</v>
      </c>
      <c r="AU1018" s="0" t="s">
        <v>130</v>
      </c>
      <c r="AV1018" s="0" t="s">
        <v>130</v>
      </c>
      <c r="AW1018" s="0" t="s">
        <v>130</v>
      </c>
      <c r="AX1018" s="0" t="s">
        <v>130</v>
      </c>
      <c r="AY1018" s="0" t="s">
        <v>130</v>
      </c>
      <c r="AZ1018" s="0" t="s">
        <v>130</v>
      </c>
      <c r="BA1018" s="0" t="s">
        <v>130</v>
      </c>
      <c r="BB1018" s="0" t="s">
        <v>141</v>
      </c>
      <c r="BC1018" s="0" t="s">
        <v>141</v>
      </c>
      <c r="BD1018" s="0" t="s">
        <v>130</v>
      </c>
      <c r="BE1018" s="0" t="s">
        <v>130</v>
      </c>
      <c r="BF1018" s="0" t="s">
        <v>130</v>
      </c>
      <c r="BG1018" s="0" t="s">
        <v>130</v>
      </c>
      <c r="BH1018" s="0" t="s">
        <v>130</v>
      </c>
      <c r="BI1018" s="0" t="s">
        <v>130</v>
      </c>
      <c r="BJ1018" s="0" t="s">
        <v>130</v>
      </c>
      <c r="BK1018" s="0" t="s">
        <v>130</v>
      </c>
      <c r="BL1018" s="0" t="s">
        <v>130</v>
      </c>
      <c r="BM1018" s="0" t="s">
        <v>130</v>
      </c>
      <c r="BN1018" s="0" t="s">
        <v>130</v>
      </c>
      <c r="BO1018" s="0" t="s">
        <v>130</v>
      </c>
      <c r="BP1018" s="0" t="s">
        <v>130</v>
      </c>
      <c r="BQ1018" s="0" t="s">
        <v>130</v>
      </c>
      <c r="BR1018" s="0" t="s">
        <v>130</v>
      </c>
      <c r="BS1018" s="0" t="s">
        <v>130</v>
      </c>
      <c r="BT1018" s="0" t="s">
        <v>130</v>
      </c>
      <c r="BU1018" s="0" t="s">
        <v>130</v>
      </c>
      <c r="BV1018" s="0" t="s">
        <v>130</v>
      </c>
      <c r="BW1018" s="0" t="s">
        <v>130</v>
      </c>
      <c r="BX1018" s="0" t="s">
        <v>130</v>
      </c>
      <c r="BY1018" s="0" t="s">
        <v>130</v>
      </c>
      <c r="BZ1018" s="0" t="s">
        <v>130</v>
      </c>
      <c r="CA1018" s="0" t="s">
        <v>130</v>
      </c>
      <c r="CB1018" s="0" t="s">
        <v>130</v>
      </c>
      <c r="CC1018" s="0" t="s">
        <v>130</v>
      </c>
      <c r="CD1018" s="0" t="s">
        <v>130</v>
      </c>
      <c r="CE1018" s="0" t="s">
        <v>130</v>
      </c>
      <c r="CF1018" s="0" t="s">
        <v>130</v>
      </c>
      <c r="CG1018" s="0" t="s">
        <v>130</v>
      </c>
      <c r="CH1018" s="0" t="s">
        <v>130</v>
      </c>
      <c r="CI1018" s="0" t="s">
        <v>130</v>
      </c>
      <c r="CJ1018" s="0" t="s">
        <v>130</v>
      </c>
      <c r="CK1018" s="0" t="s">
        <v>130</v>
      </c>
      <c r="CL1018" s="0" t="s">
        <v>130</v>
      </c>
      <c r="CM1018" s="0" t="s">
        <v>130</v>
      </c>
      <c r="CN1018" s="0" t="s">
        <v>130</v>
      </c>
      <c r="CO1018" s="0" t="s">
        <v>130</v>
      </c>
      <c r="CP1018" s="0" t="s">
        <v>130</v>
      </c>
      <c r="CQ1018" s="0" t="s">
        <v>130</v>
      </c>
      <c r="CR1018" s="0" t="s">
        <v>130</v>
      </c>
      <c r="CS1018" s="0" t="s">
        <v>130</v>
      </c>
      <c r="CT1018" s="0" t="s">
        <v>3088</v>
      </c>
    </row>
    <row r="1019">
      <c r="A1019" s="14">
        <v>136124</v>
      </c>
      <c r="B1019" s="0" t="s">
        <v>3066</v>
      </c>
      <c r="C1019" s="16">
        <f>HYPERLINK("https://eosportal.federatedhermes.com/companies/Q29tcGFueQppODQ3NTU=", "AP Moller - Maersk A/S")</f>
      </c>
      <c r="D1019" s="0" t="s">
        <v>25</v>
      </c>
      <c r="E1019" s="0" t="s">
        <v>1362</v>
      </c>
      <c r="F1019" s="16">
        <f>HYPERLINK("https://eosportal.federatedhermes.com/engagements/RW5nYWdlbWVudAppMjQyODk=", "Virtual-only meeting")</f>
      </c>
      <c r="G1019" s="14" t="s">
        <v>1363</v>
      </c>
      <c r="H1019" s="0" t="s">
        <v>141</v>
      </c>
      <c r="I1019" s="14" t="s">
        <v>191</v>
      </c>
      <c r="J1019" s="0" t="s">
        <v>145</v>
      </c>
      <c r="K1019" s="0" t="s">
        <v>400</v>
      </c>
      <c r="L1019" s="0" t="s">
        <v>401</v>
      </c>
      <c r="M1019" s="0" t="s">
        <v>378</v>
      </c>
      <c r="N1019" s="0" t="s">
        <v>1339</v>
      </c>
      <c r="O1019" s="0" t="s">
        <v>425</v>
      </c>
      <c r="Q1019" s="0" t="s">
        <v>130</v>
      </c>
      <c r="R1019" s="0" t="s">
        <v>138</v>
      </c>
      <c r="S1019" s="14">
        <v>0</v>
      </c>
      <c r="T1019" s="0" t="s">
        <v>206</v>
      </c>
      <c r="U1019" s="0" t="s">
        <v>138</v>
      </c>
      <c r="V1019" s="14" t="s">
        <v>138</v>
      </c>
      <c r="W1019" s="0" t="s">
        <v>138</v>
      </c>
      <c r="X1019" s="14" t="s">
        <v>138</v>
      </c>
      <c r="Y1019" s="0" t="s">
        <v>138</v>
      </c>
      <c r="Z1019" s="14" t="s">
        <v>138</v>
      </c>
      <c r="AA1019" s="0" t="s">
        <v>138</v>
      </c>
      <c r="AB1019" s="14" t="s">
        <v>138</v>
      </c>
      <c r="AD1019" s="0" t="s">
        <v>138</v>
      </c>
      <c r="AF1019" s="0">
        <v>0</v>
      </c>
      <c r="AG1019" s="0">
        <v>0</v>
      </c>
      <c r="AH1019" s="0" t="s">
        <v>140</v>
      </c>
      <c r="AI1019" s="0" t="s">
        <v>138</v>
      </c>
      <c r="AL1019" s="14"/>
      <c r="AN1019" s="14"/>
      <c r="AQ1019" s="0" t="s">
        <v>130</v>
      </c>
      <c r="AR1019" s="0" t="s">
        <v>130</v>
      </c>
      <c r="AS1019" s="0" t="s">
        <v>130</v>
      </c>
      <c r="AT1019" s="0" t="s">
        <v>130</v>
      </c>
      <c r="AU1019" s="0" t="s">
        <v>130</v>
      </c>
      <c r="AV1019" s="0" t="s">
        <v>130</v>
      </c>
      <c r="AW1019" s="0" t="s">
        <v>130</v>
      </c>
      <c r="AX1019" s="0" t="s">
        <v>130</v>
      </c>
      <c r="AY1019" s="0" t="s">
        <v>130</v>
      </c>
      <c r="AZ1019" s="0" t="s">
        <v>130</v>
      </c>
      <c r="BA1019" s="0" t="s">
        <v>130</v>
      </c>
      <c r="BB1019" s="0" t="s">
        <v>130</v>
      </c>
      <c r="BC1019" s="0" t="s">
        <v>130</v>
      </c>
      <c r="BD1019" s="0" t="s">
        <v>130</v>
      </c>
      <c r="BE1019" s="0" t="s">
        <v>130</v>
      </c>
      <c r="BF1019" s="0" t="s">
        <v>130</v>
      </c>
      <c r="BG1019" s="0" t="s">
        <v>130</v>
      </c>
      <c r="BH1019" s="0" t="s">
        <v>130</v>
      </c>
      <c r="BI1019" s="0" t="s">
        <v>130</v>
      </c>
      <c r="BJ1019" s="0" t="s">
        <v>130</v>
      </c>
      <c r="BK1019" s="0" t="s">
        <v>130</v>
      </c>
      <c r="BL1019" s="0" t="s">
        <v>130</v>
      </c>
      <c r="BM1019" s="0" t="s">
        <v>130</v>
      </c>
      <c r="BN1019" s="0" t="s">
        <v>130</v>
      </c>
      <c r="BO1019" s="0" t="s">
        <v>130</v>
      </c>
      <c r="BP1019" s="0" t="s">
        <v>130</v>
      </c>
      <c r="BQ1019" s="0" t="s">
        <v>130</v>
      </c>
      <c r="BR1019" s="0" t="s">
        <v>130</v>
      </c>
      <c r="BS1019" s="0" t="s">
        <v>130</v>
      </c>
      <c r="BT1019" s="0" t="s">
        <v>130</v>
      </c>
      <c r="BU1019" s="0" t="s">
        <v>130</v>
      </c>
      <c r="BV1019" s="0" t="s">
        <v>130</v>
      </c>
      <c r="BW1019" s="0" t="s">
        <v>130</v>
      </c>
      <c r="BX1019" s="0" t="s">
        <v>130</v>
      </c>
      <c r="BY1019" s="0" t="s">
        <v>130</v>
      </c>
      <c r="BZ1019" s="0" t="s">
        <v>130</v>
      </c>
      <c r="CA1019" s="0" t="s">
        <v>130</v>
      </c>
      <c r="CB1019" s="0" t="s">
        <v>130</v>
      </c>
      <c r="CC1019" s="0" t="s">
        <v>130</v>
      </c>
      <c r="CD1019" s="0" t="s">
        <v>130</v>
      </c>
      <c r="CE1019" s="0" t="s">
        <v>130</v>
      </c>
      <c r="CF1019" s="0" t="s">
        <v>130</v>
      </c>
      <c r="CG1019" s="0" t="s">
        <v>130</v>
      </c>
      <c r="CH1019" s="0" t="s">
        <v>130</v>
      </c>
      <c r="CI1019" s="0" t="s">
        <v>130</v>
      </c>
      <c r="CJ1019" s="0" t="s">
        <v>130</v>
      </c>
      <c r="CK1019" s="0" t="s">
        <v>130</v>
      </c>
      <c r="CL1019" s="0" t="s">
        <v>130</v>
      </c>
      <c r="CM1019" s="0" t="s">
        <v>130</v>
      </c>
      <c r="CN1019" s="0" t="s">
        <v>130</v>
      </c>
      <c r="CO1019" s="0" t="s">
        <v>130</v>
      </c>
      <c r="CP1019" s="0" t="s">
        <v>130</v>
      </c>
      <c r="CQ1019" s="0" t="s">
        <v>130</v>
      </c>
      <c r="CR1019" s="0" t="s">
        <v>130</v>
      </c>
      <c r="CS1019" s="0" t="s">
        <v>130</v>
      </c>
      <c r="CT1019" s="0" t="s">
        <v>3089</v>
      </c>
    </row>
    <row r="1020">
      <c r="A1020" s="14">
        <v>136124</v>
      </c>
      <c r="B1020" s="0" t="s">
        <v>3066</v>
      </c>
      <c r="C1020" s="16">
        <f>HYPERLINK("https://eosportal.federatedhermes.com/companies/Q29tcGFueQppODQ3NTU=", "AP Moller - Maersk A/S")</f>
      </c>
      <c r="D1020" s="0" t="s">
        <v>25</v>
      </c>
      <c r="E1020" s="0" t="s">
        <v>3090</v>
      </c>
      <c r="F1020" s="16">
        <f>HYPERLINK("https://eosportal.federatedhermes.com/engagements/RW5nYWdlbWVudAppMjQyOTA=", "Human capital management including sea farers")</f>
      </c>
      <c r="G1020" s="14" t="s">
        <v>3091</v>
      </c>
      <c r="H1020" s="0" t="s">
        <v>141</v>
      </c>
      <c r="I1020" s="14" t="s">
        <v>191</v>
      </c>
      <c r="J1020" s="0" t="s">
        <v>153</v>
      </c>
      <c r="K1020" s="0" t="s">
        <v>154</v>
      </c>
      <c r="L1020" s="0" t="s">
        <v>155</v>
      </c>
      <c r="M1020" s="0" t="s">
        <v>378</v>
      </c>
      <c r="N1020" s="0" t="s">
        <v>1339</v>
      </c>
      <c r="O1020" s="0" t="s">
        <v>425</v>
      </c>
      <c r="Q1020" s="0" t="s">
        <v>130</v>
      </c>
      <c r="R1020" s="0" t="s">
        <v>138</v>
      </c>
      <c r="S1020" s="14">
        <v>0</v>
      </c>
      <c r="T1020" s="0" t="s">
        <v>206</v>
      </c>
      <c r="U1020" s="0" t="s">
        <v>138</v>
      </c>
      <c r="V1020" s="14" t="s">
        <v>138</v>
      </c>
      <c r="W1020" s="0" t="s">
        <v>138</v>
      </c>
      <c r="X1020" s="14" t="s">
        <v>138</v>
      </c>
      <c r="Y1020" s="0" t="s">
        <v>138</v>
      </c>
      <c r="Z1020" s="14" t="s">
        <v>138</v>
      </c>
      <c r="AA1020" s="0" t="s">
        <v>138</v>
      </c>
      <c r="AB1020" s="14" t="s">
        <v>138</v>
      </c>
      <c r="AD1020" s="0" t="s">
        <v>138</v>
      </c>
      <c r="AF1020" s="0">
        <v>0</v>
      </c>
      <c r="AG1020" s="0">
        <v>0</v>
      </c>
      <c r="AH1020" s="0" t="s">
        <v>140</v>
      </c>
      <c r="AI1020" s="0" t="s">
        <v>138</v>
      </c>
      <c r="AL1020" s="14"/>
      <c r="AN1020" s="14"/>
      <c r="AQ1020" s="0" t="s">
        <v>130</v>
      </c>
      <c r="AR1020" s="0" t="s">
        <v>130</v>
      </c>
      <c r="AS1020" s="0" t="s">
        <v>130</v>
      </c>
      <c r="AT1020" s="0" t="s">
        <v>130</v>
      </c>
      <c r="AU1020" s="0" t="s">
        <v>130</v>
      </c>
      <c r="AV1020" s="0" t="s">
        <v>130</v>
      </c>
      <c r="AW1020" s="0" t="s">
        <v>130</v>
      </c>
      <c r="AX1020" s="0" t="s">
        <v>141</v>
      </c>
      <c r="AY1020" s="0" t="s">
        <v>130</v>
      </c>
      <c r="AZ1020" s="0" t="s">
        <v>130</v>
      </c>
      <c r="BA1020" s="0" t="s">
        <v>130</v>
      </c>
      <c r="BB1020" s="0" t="s">
        <v>130</v>
      </c>
      <c r="BC1020" s="0" t="s">
        <v>130</v>
      </c>
      <c r="BD1020" s="0" t="s">
        <v>130</v>
      </c>
      <c r="BE1020" s="0" t="s">
        <v>130</v>
      </c>
      <c r="BF1020" s="0" t="s">
        <v>130</v>
      </c>
      <c r="BG1020" s="0" t="s">
        <v>130</v>
      </c>
      <c r="BH1020" s="0" t="s">
        <v>130</v>
      </c>
      <c r="BI1020" s="0" t="s">
        <v>130</v>
      </c>
      <c r="BJ1020" s="0" t="s">
        <v>130</v>
      </c>
      <c r="BK1020" s="0" t="s">
        <v>130</v>
      </c>
      <c r="BL1020" s="0" t="s">
        <v>130</v>
      </c>
      <c r="BM1020" s="0" t="s">
        <v>130</v>
      </c>
      <c r="BN1020" s="0" t="s">
        <v>130</v>
      </c>
      <c r="BO1020" s="0" t="s">
        <v>130</v>
      </c>
      <c r="BP1020" s="0" t="s">
        <v>130</v>
      </c>
      <c r="BQ1020" s="0" t="s">
        <v>130</v>
      </c>
      <c r="BR1020" s="0" t="s">
        <v>130</v>
      </c>
      <c r="BS1020" s="0" t="s">
        <v>130</v>
      </c>
      <c r="BT1020" s="0" t="s">
        <v>130</v>
      </c>
      <c r="BU1020" s="0" t="s">
        <v>130</v>
      </c>
      <c r="BV1020" s="0" t="s">
        <v>130</v>
      </c>
      <c r="BW1020" s="0" t="s">
        <v>130</v>
      </c>
      <c r="BX1020" s="0" t="s">
        <v>130</v>
      </c>
      <c r="BY1020" s="0" t="s">
        <v>130</v>
      </c>
      <c r="BZ1020" s="0" t="s">
        <v>130</v>
      </c>
      <c r="CA1020" s="0" t="s">
        <v>130</v>
      </c>
      <c r="CB1020" s="0" t="s">
        <v>130</v>
      </c>
      <c r="CC1020" s="0" t="s">
        <v>130</v>
      </c>
      <c r="CD1020" s="0" t="s">
        <v>130</v>
      </c>
      <c r="CE1020" s="0" t="s">
        <v>130</v>
      </c>
      <c r="CF1020" s="0" t="s">
        <v>130</v>
      </c>
      <c r="CG1020" s="0" t="s">
        <v>130</v>
      </c>
      <c r="CH1020" s="0" t="s">
        <v>130</v>
      </c>
      <c r="CI1020" s="0" t="s">
        <v>141</v>
      </c>
      <c r="CJ1020" s="0" t="s">
        <v>130</v>
      </c>
      <c r="CK1020" s="0" t="s">
        <v>130</v>
      </c>
      <c r="CL1020" s="0" t="s">
        <v>130</v>
      </c>
      <c r="CM1020" s="0" t="s">
        <v>130</v>
      </c>
      <c r="CN1020" s="0" t="s">
        <v>130</v>
      </c>
      <c r="CO1020" s="0" t="s">
        <v>130</v>
      </c>
      <c r="CP1020" s="0" t="s">
        <v>130</v>
      </c>
      <c r="CQ1020" s="0" t="s">
        <v>130</v>
      </c>
      <c r="CR1020" s="0" t="s">
        <v>130</v>
      </c>
      <c r="CS1020" s="0" t="s">
        <v>130</v>
      </c>
      <c r="CT1020" s="0" t="s">
        <v>3092</v>
      </c>
    </row>
    <row r="1021">
      <c r="A1021" s="14">
        <v>136124</v>
      </c>
      <c r="B1021" s="0" t="s">
        <v>3066</v>
      </c>
      <c r="C1021" s="16">
        <f>HYPERLINK("https://eosportal.federatedhermes.com/companies/Q29tcGFueQppODQ3NTU=", "AP Moller - Maersk A/S")</f>
      </c>
      <c r="D1021" s="0" t="s">
        <v>25</v>
      </c>
      <c r="E1021" s="0" t="s">
        <v>1355</v>
      </c>
      <c r="F1021" s="16">
        <f>HYPERLINK("https://eosportal.federatedhermes.com/engagements/RW5nYWdlbWVudAppMjQyOTE=", "Pandemic response")</f>
      </c>
      <c r="G1021" s="14" t="s">
        <v>3093</v>
      </c>
      <c r="H1021" s="0" t="s">
        <v>141</v>
      </c>
      <c r="I1021" s="14" t="s">
        <v>191</v>
      </c>
      <c r="J1021" s="0" t="s">
        <v>132</v>
      </c>
      <c r="K1021" s="0" t="s">
        <v>260</v>
      </c>
      <c r="L1021" s="0" t="s">
        <v>261</v>
      </c>
      <c r="M1021" s="0" t="s">
        <v>378</v>
      </c>
      <c r="N1021" s="0" t="s">
        <v>1339</v>
      </c>
      <c r="O1021" s="0" t="s">
        <v>425</v>
      </c>
      <c r="Q1021" s="0" t="s">
        <v>130</v>
      </c>
      <c r="R1021" s="0" t="s">
        <v>138</v>
      </c>
      <c r="S1021" s="14">
        <v>0</v>
      </c>
      <c r="T1021" s="0" t="s">
        <v>206</v>
      </c>
      <c r="U1021" s="0" t="s">
        <v>138</v>
      </c>
      <c r="V1021" s="14" t="s">
        <v>138</v>
      </c>
      <c r="W1021" s="0" t="s">
        <v>138</v>
      </c>
      <c r="X1021" s="14" t="s">
        <v>138</v>
      </c>
      <c r="Y1021" s="0" t="s">
        <v>138</v>
      </c>
      <c r="Z1021" s="14" t="s">
        <v>138</v>
      </c>
      <c r="AA1021" s="0" t="s">
        <v>138</v>
      </c>
      <c r="AB1021" s="14" t="s">
        <v>138</v>
      </c>
      <c r="AD1021" s="0" t="s">
        <v>138</v>
      </c>
      <c r="AF1021" s="0">
        <v>0</v>
      </c>
      <c r="AG1021" s="0">
        <v>0</v>
      </c>
      <c r="AH1021" s="0" t="s">
        <v>140</v>
      </c>
      <c r="AI1021" s="0" t="s">
        <v>138</v>
      </c>
      <c r="AL1021" s="14"/>
      <c r="AN1021" s="14"/>
      <c r="AQ1021" s="0" t="s">
        <v>130</v>
      </c>
      <c r="AR1021" s="0" t="s">
        <v>130</v>
      </c>
      <c r="AS1021" s="0" t="s">
        <v>141</v>
      </c>
      <c r="AT1021" s="0" t="s">
        <v>130</v>
      </c>
      <c r="AU1021" s="0" t="s">
        <v>130</v>
      </c>
      <c r="AV1021" s="0" t="s">
        <v>130</v>
      </c>
      <c r="AW1021" s="0" t="s">
        <v>130</v>
      </c>
      <c r="AX1021" s="0" t="s">
        <v>141</v>
      </c>
      <c r="AY1021" s="0" t="s">
        <v>130</v>
      </c>
      <c r="AZ1021" s="0" t="s">
        <v>130</v>
      </c>
      <c r="BA1021" s="0" t="s">
        <v>141</v>
      </c>
      <c r="BB1021" s="0" t="s">
        <v>130</v>
      </c>
      <c r="BC1021" s="0" t="s">
        <v>130</v>
      </c>
      <c r="BD1021" s="0" t="s">
        <v>130</v>
      </c>
      <c r="BE1021" s="0" t="s">
        <v>130</v>
      </c>
      <c r="BF1021" s="0" t="s">
        <v>130</v>
      </c>
      <c r="BG1021" s="0" t="s">
        <v>130</v>
      </c>
      <c r="BH1021" s="0" t="s">
        <v>130</v>
      </c>
      <c r="BI1021" s="0" t="s">
        <v>130</v>
      </c>
      <c r="BJ1021" s="0" t="s">
        <v>130</v>
      </c>
      <c r="BK1021" s="0" t="s">
        <v>130</v>
      </c>
      <c r="BL1021" s="0" t="s">
        <v>130</v>
      </c>
      <c r="BM1021" s="0" t="s">
        <v>130</v>
      </c>
      <c r="BN1021" s="0" t="s">
        <v>130</v>
      </c>
      <c r="BO1021" s="0" t="s">
        <v>130</v>
      </c>
      <c r="BP1021" s="0" t="s">
        <v>130</v>
      </c>
      <c r="BQ1021" s="0" t="s">
        <v>130</v>
      </c>
      <c r="BR1021" s="0" t="s">
        <v>130</v>
      </c>
      <c r="BS1021" s="0" t="s">
        <v>130</v>
      </c>
      <c r="BT1021" s="0" t="s">
        <v>130</v>
      </c>
      <c r="BU1021" s="0" t="s">
        <v>130</v>
      </c>
      <c r="BV1021" s="0" t="s">
        <v>130</v>
      </c>
      <c r="BW1021" s="0" t="s">
        <v>130</v>
      </c>
      <c r="BX1021" s="0" t="s">
        <v>130</v>
      </c>
      <c r="BY1021" s="0" t="s">
        <v>130</v>
      </c>
      <c r="BZ1021" s="0" t="s">
        <v>130</v>
      </c>
      <c r="CA1021" s="0" t="s">
        <v>130</v>
      </c>
      <c r="CB1021" s="0" t="s">
        <v>130</v>
      </c>
      <c r="CC1021" s="0" t="s">
        <v>130</v>
      </c>
      <c r="CD1021" s="0" t="s">
        <v>130</v>
      </c>
      <c r="CE1021" s="0" t="s">
        <v>130</v>
      </c>
      <c r="CF1021" s="0" t="s">
        <v>130</v>
      </c>
      <c r="CG1021" s="0" t="s">
        <v>130</v>
      </c>
      <c r="CH1021" s="0" t="s">
        <v>130</v>
      </c>
      <c r="CI1021" s="0" t="s">
        <v>130</v>
      </c>
      <c r="CJ1021" s="0" t="s">
        <v>130</v>
      </c>
      <c r="CK1021" s="0" t="s">
        <v>130</v>
      </c>
      <c r="CL1021" s="0" t="s">
        <v>130</v>
      </c>
      <c r="CM1021" s="0" t="s">
        <v>130</v>
      </c>
      <c r="CN1021" s="0" t="s">
        <v>130</v>
      </c>
      <c r="CO1021" s="0" t="s">
        <v>130</v>
      </c>
      <c r="CP1021" s="0" t="s">
        <v>130</v>
      </c>
      <c r="CQ1021" s="0" t="s">
        <v>130</v>
      </c>
      <c r="CR1021" s="0" t="s">
        <v>130</v>
      </c>
      <c r="CS1021" s="0" t="s">
        <v>130</v>
      </c>
      <c r="CT1021" s="0" t="s">
        <v>3094</v>
      </c>
    </row>
    <row r="1022">
      <c r="A1022" s="14">
        <v>136124</v>
      </c>
      <c r="B1022" s="0" t="s">
        <v>3066</v>
      </c>
      <c r="C1022" s="16">
        <f>HYPERLINK("https://eosportal.federatedhermes.com/companies/Q29tcGFueQppODQ3NTU=", "AP Moller - Maersk A/S")</f>
      </c>
      <c r="D1022" s="0" t="s">
        <v>25</v>
      </c>
      <c r="E1022" s="0" t="s">
        <v>3095</v>
      </c>
      <c r="F1022" s="16">
        <f>HYPERLINK("https://eosportal.federatedhermes.com/engagements/RW5nYWdlbWVudAppMjQyOTI=", "Human rights violations in Myanmar")</f>
      </c>
      <c r="G1022" s="14" t="s">
        <v>3096</v>
      </c>
      <c r="H1022" s="0" t="s">
        <v>141</v>
      </c>
      <c r="I1022" s="14" t="s">
        <v>191</v>
      </c>
      <c r="J1022" s="0" t="s">
        <v>153</v>
      </c>
      <c r="K1022" s="0" t="s">
        <v>243</v>
      </c>
      <c r="L1022" s="0" t="s">
        <v>456</v>
      </c>
      <c r="M1022" s="0" t="s">
        <v>378</v>
      </c>
      <c r="N1022" s="0" t="s">
        <v>1339</v>
      </c>
      <c r="O1022" s="0" t="s">
        <v>425</v>
      </c>
      <c r="Q1022" s="0" t="s">
        <v>130</v>
      </c>
      <c r="R1022" s="0" t="s">
        <v>138</v>
      </c>
      <c r="S1022" s="14">
        <v>0</v>
      </c>
      <c r="T1022" s="0" t="s">
        <v>206</v>
      </c>
      <c r="U1022" s="0" t="s">
        <v>138</v>
      </c>
      <c r="V1022" s="14" t="s">
        <v>138</v>
      </c>
      <c r="W1022" s="0" t="s">
        <v>138</v>
      </c>
      <c r="X1022" s="14" t="s">
        <v>138</v>
      </c>
      <c r="Y1022" s="0" t="s">
        <v>138</v>
      </c>
      <c r="Z1022" s="14" t="s">
        <v>138</v>
      </c>
      <c r="AA1022" s="0" t="s">
        <v>138</v>
      </c>
      <c r="AB1022" s="14" t="s">
        <v>138</v>
      </c>
      <c r="AD1022" s="0" t="s">
        <v>138</v>
      </c>
      <c r="AF1022" s="0">
        <v>0</v>
      </c>
      <c r="AG1022" s="0">
        <v>0</v>
      </c>
      <c r="AH1022" s="0" t="s">
        <v>140</v>
      </c>
      <c r="AI1022" s="0" t="s">
        <v>138</v>
      </c>
      <c r="AL1022" s="14"/>
      <c r="AN1022" s="14"/>
      <c r="AQ1022" s="0" t="s">
        <v>130</v>
      </c>
      <c r="AR1022" s="0" t="s">
        <v>130</v>
      </c>
      <c r="AS1022" s="0" t="s">
        <v>130</v>
      </c>
      <c r="AT1022" s="0" t="s">
        <v>130</v>
      </c>
      <c r="AU1022" s="0" t="s">
        <v>130</v>
      </c>
      <c r="AV1022" s="0" t="s">
        <v>130</v>
      </c>
      <c r="AW1022" s="0" t="s">
        <v>130</v>
      </c>
      <c r="AX1022" s="0" t="s">
        <v>141</v>
      </c>
      <c r="AY1022" s="0" t="s">
        <v>130</v>
      </c>
      <c r="AZ1022" s="0" t="s">
        <v>141</v>
      </c>
      <c r="BA1022" s="0" t="s">
        <v>130</v>
      </c>
      <c r="BB1022" s="0" t="s">
        <v>130</v>
      </c>
      <c r="BC1022" s="0" t="s">
        <v>130</v>
      </c>
      <c r="BD1022" s="0" t="s">
        <v>130</v>
      </c>
      <c r="BE1022" s="0" t="s">
        <v>130</v>
      </c>
      <c r="BF1022" s="0" t="s">
        <v>141</v>
      </c>
      <c r="BG1022" s="0" t="s">
        <v>130</v>
      </c>
      <c r="BH1022" s="0" t="s">
        <v>130</v>
      </c>
      <c r="BI1022" s="0" t="s">
        <v>130</v>
      </c>
      <c r="BJ1022" s="0" t="s">
        <v>130</v>
      </c>
      <c r="BK1022" s="0" t="s">
        <v>130</v>
      </c>
      <c r="BL1022" s="0" t="s">
        <v>130</v>
      </c>
      <c r="BM1022" s="0" t="s">
        <v>130</v>
      </c>
      <c r="BN1022" s="0" t="s">
        <v>130</v>
      </c>
      <c r="BO1022" s="0" t="s">
        <v>130</v>
      </c>
      <c r="BP1022" s="0" t="s">
        <v>130</v>
      </c>
      <c r="BQ1022" s="0" t="s">
        <v>130</v>
      </c>
      <c r="BR1022" s="0" t="s">
        <v>130</v>
      </c>
      <c r="BS1022" s="0" t="s">
        <v>130</v>
      </c>
      <c r="BT1022" s="0" t="s">
        <v>130</v>
      </c>
      <c r="BU1022" s="0" t="s">
        <v>130</v>
      </c>
      <c r="BV1022" s="0" t="s">
        <v>130</v>
      </c>
      <c r="BW1022" s="0" t="s">
        <v>130</v>
      </c>
      <c r="BX1022" s="0" t="s">
        <v>130</v>
      </c>
      <c r="BY1022" s="0" t="s">
        <v>130</v>
      </c>
      <c r="BZ1022" s="0" t="s">
        <v>130</v>
      </c>
      <c r="CA1022" s="0" t="s">
        <v>130</v>
      </c>
      <c r="CB1022" s="0" t="s">
        <v>130</v>
      </c>
      <c r="CC1022" s="0" t="s">
        <v>130</v>
      </c>
      <c r="CD1022" s="0" t="s">
        <v>130</v>
      </c>
      <c r="CE1022" s="0" t="s">
        <v>130</v>
      </c>
      <c r="CF1022" s="0" t="s">
        <v>130</v>
      </c>
      <c r="CG1022" s="0" t="s">
        <v>130</v>
      </c>
      <c r="CH1022" s="0" t="s">
        <v>130</v>
      </c>
      <c r="CI1022" s="0" t="s">
        <v>130</v>
      </c>
      <c r="CJ1022" s="0" t="s">
        <v>130</v>
      </c>
      <c r="CK1022" s="0" t="s">
        <v>130</v>
      </c>
      <c r="CL1022" s="0" t="s">
        <v>130</v>
      </c>
      <c r="CM1022" s="0" t="s">
        <v>130</v>
      </c>
      <c r="CN1022" s="0" t="s">
        <v>130</v>
      </c>
      <c r="CO1022" s="0" t="s">
        <v>130</v>
      </c>
      <c r="CP1022" s="0" t="s">
        <v>130</v>
      </c>
      <c r="CQ1022" s="0" t="s">
        <v>130</v>
      </c>
      <c r="CR1022" s="0" t="s">
        <v>130</v>
      </c>
      <c r="CS1022" s="0" t="s">
        <v>130</v>
      </c>
      <c r="CT1022" s="0" t="s">
        <v>3097</v>
      </c>
    </row>
    <row r="1023">
      <c r="A1023" s="14">
        <v>173055</v>
      </c>
      <c r="B1023" s="0" t="s">
        <v>3098</v>
      </c>
      <c r="C1023" s="16">
        <f>HYPERLINK("https://eosportal.federatedhermes.com/companies/Q29tcGFueQppNzI2OTc=", "WEG SA")</f>
      </c>
      <c r="D1023" s="0" t="s">
        <v>25</v>
      </c>
      <c r="E1023" s="0" t="s">
        <v>3027</v>
      </c>
      <c r="F1023" s="16">
        <f>HYPERLINK("https://eosportal.federatedhermes.com/engagements/RW5nYWdlbWVudAppMjQzODY=", "Board gender diversity")</f>
      </c>
      <c r="G1023" s="14" t="s">
        <v>3099</v>
      </c>
      <c r="H1023" s="0" t="s">
        <v>130</v>
      </c>
      <c r="I1023" s="14" t="s">
        <v>131</v>
      </c>
      <c r="J1023" s="0" t="s">
        <v>145</v>
      </c>
      <c r="K1023" s="0" t="s">
        <v>164</v>
      </c>
      <c r="L1023" s="0" t="s">
        <v>165</v>
      </c>
      <c r="M1023" s="0" t="s">
        <v>2807</v>
      </c>
      <c r="N1023" s="0" t="s">
        <v>3041</v>
      </c>
      <c r="O1023" s="0" t="s">
        <v>176</v>
      </c>
      <c r="Q1023" s="0" t="s">
        <v>130</v>
      </c>
      <c r="R1023" s="0" t="s">
        <v>138</v>
      </c>
      <c r="S1023" s="14">
        <v>0</v>
      </c>
      <c r="T1023" s="0" t="s">
        <v>355</v>
      </c>
      <c r="U1023" s="0" t="s">
        <v>138</v>
      </c>
      <c r="V1023" s="14" t="s">
        <v>138</v>
      </c>
      <c r="W1023" s="0" t="s">
        <v>138</v>
      </c>
      <c r="X1023" s="14" t="s">
        <v>138</v>
      </c>
      <c r="Y1023" s="0" t="s">
        <v>138</v>
      </c>
      <c r="Z1023" s="14" t="s">
        <v>138</v>
      </c>
      <c r="AA1023" s="0" t="s">
        <v>138</v>
      </c>
      <c r="AB1023" s="14" t="s">
        <v>138</v>
      </c>
      <c r="AD1023" s="0" t="s">
        <v>138</v>
      </c>
      <c r="AF1023" s="0">
        <v>0</v>
      </c>
      <c r="AG1023" s="0">
        <v>0</v>
      </c>
      <c r="AH1023" s="0" t="s">
        <v>140</v>
      </c>
      <c r="AI1023" s="0" t="s">
        <v>138</v>
      </c>
      <c r="AL1023" s="14"/>
      <c r="AN1023" s="14"/>
      <c r="AQ1023" s="0" t="s">
        <v>130</v>
      </c>
      <c r="AR1023" s="0" t="s">
        <v>130</v>
      </c>
      <c r="AS1023" s="0" t="s">
        <v>130</v>
      </c>
      <c r="AT1023" s="0" t="s">
        <v>130</v>
      </c>
      <c r="AU1023" s="0" t="s">
        <v>141</v>
      </c>
      <c r="AV1023" s="0" t="s">
        <v>130</v>
      </c>
      <c r="AW1023" s="0" t="s">
        <v>130</v>
      </c>
      <c r="AX1023" s="0" t="s">
        <v>130</v>
      </c>
      <c r="AY1023" s="0" t="s">
        <v>130</v>
      </c>
      <c r="AZ1023" s="0" t="s">
        <v>130</v>
      </c>
      <c r="BA1023" s="0" t="s">
        <v>130</v>
      </c>
      <c r="BB1023" s="0" t="s">
        <v>130</v>
      </c>
      <c r="BC1023" s="0" t="s">
        <v>130</v>
      </c>
      <c r="BD1023" s="0" t="s">
        <v>130</v>
      </c>
      <c r="BE1023" s="0" t="s">
        <v>130</v>
      </c>
      <c r="BF1023" s="0" t="s">
        <v>130</v>
      </c>
      <c r="BG1023" s="0" t="s">
        <v>130</v>
      </c>
      <c r="BH1023" s="0" t="s">
        <v>130</v>
      </c>
      <c r="BI1023" s="0" t="s">
        <v>130</v>
      </c>
      <c r="BJ1023" s="0" t="s">
        <v>130</v>
      </c>
      <c r="BK1023" s="0" t="s">
        <v>130</v>
      </c>
      <c r="BL1023" s="0" t="s">
        <v>130</v>
      </c>
      <c r="BM1023" s="0" t="s">
        <v>130</v>
      </c>
      <c r="BN1023" s="0" t="s">
        <v>130</v>
      </c>
      <c r="BO1023" s="0" t="s">
        <v>130</v>
      </c>
      <c r="BP1023" s="0" t="s">
        <v>130</v>
      </c>
      <c r="BQ1023" s="0" t="s">
        <v>130</v>
      </c>
      <c r="BR1023" s="0" t="s">
        <v>130</v>
      </c>
      <c r="BS1023" s="0" t="s">
        <v>130</v>
      </c>
      <c r="BT1023" s="0" t="s">
        <v>130</v>
      </c>
      <c r="BU1023" s="0" t="s">
        <v>130</v>
      </c>
      <c r="BV1023" s="0" t="s">
        <v>130</v>
      </c>
      <c r="BW1023" s="0" t="s">
        <v>130</v>
      </c>
      <c r="BX1023" s="0" t="s">
        <v>130</v>
      </c>
      <c r="BY1023" s="0" t="s">
        <v>130</v>
      </c>
      <c r="BZ1023" s="0" t="s">
        <v>130</v>
      </c>
      <c r="CA1023" s="0" t="s">
        <v>130</v>
      </c>
      <c r="CB1023" s="0" t="s">
        <v>130</v>
      </c>
      <c r="CC1023" s="0" t="s">
        <v>130</v>
      </c>
      <c r="CD1023" s="0" t="s">
        <v>130</v>
      </c>
      <c r="CE1023" s="0" t="s">
        <v>130</v>
      </c>
      <c r="CF1023" s="0" t="s">
        <v>130</v>
      </c>
      <c r="CG1023" s="0" t="s">
        <v>130</v>
      </c>
      <c r="CH1023" s="0" t="s">
        <v>130</v>
      </c>
      <c r="CI1023" s="0" t="s">
        <v>130</v>
      </c>
      <c r="CJ1023" s="0" t="s">
        <v>130</v>
      </c>
      <c r="CK1023" s="0" t="s">
        <v>130</v>
      </c>
      <c r="CL1023" s="0" t="s">
        <v>130</v>
      </c>
      <c r="CM1023" s="0" t="s">
        <v>130</v>
      </c>
      <c r="CN1023" s="0" t="s">
        <v>130</v>
      </c>
      <c r="CO1023" s="0" t="s">
        <v>130</v>
      </c>
      <c r="CP1023" s="0" t="s">
        <v>130</v>
      </c>
      <c r="CQ1023" s="0" t="s">
        <v>130</v>
      </c>
      <c r="CR1023" s="0" t="s">
        <v>130</v>
      </c>
      <c r="CS1023" s="0" t="s">
        <v>130</v>
      </c>
      <c r="CT1023" s="0" t="s">
        <v>3100</v>
      </c>
    </row>
    <row r="1024">
      <c r="A1024" s="14">
        <v>173055</v>
      </c>
      <c r="B1024" s="0" t="s">
        <v>3098</v>
      </c>
      <c r="C1024" s="16">
        <f>HYPERLINK("https://eosportal.federatedhermes.com/companies/Q29tcGFueQppNzI2OTc=", "WEG SA")</f>
      </c>
      <c r="D1024" s="0" t="s">
        <v>25</v>
      </c>
      <c r="E1024" s="0" t="s">
        <v>3101</v>
      </c>
      <c r="F1024" s="16">
        <f>HYPERLINK("https://eosportal.federatedhermes.com/engagements/RW5nYWdlbWVudAppMjQzOTA=", "Due diligence on the use of forced labour in Xinjiang region")</f>
      </c>
      <c r="G1024" s="14" t="s">
        <v>3102</v>
      </c>
      <c r="H1024" s="0" t="s">
        <v>130</v>
      </c>
      <c r="I1024" s="14" t="s">
        <v>131</v>
      </c>
      <c r="J1024" s="0" t="s">
        <v>153</v>
      </c>
      <c r="K1024" s="0" t="s">
        <v>243</v>
      </c>
      <c r="L1024" s="0" t="s">
        <v>456</v>
      </c>
      <c r="M1024" s="0" t="s">
        <v>2807</v>
      </c>
      <c r="N1024" s="0" t="s">
        <v>3041</v>
      </c>
      <c r="O1024" s="0" t="s">
        <v>176</v>
      </c>
      <c r="Q1024" s="0" t="s">
        <v>130</v>
      </c>
      <c r="R1024" s="0" t="s">
        <v>138</v>
      </c>
      <c r="S1024" s="14">
        <v>0</v>
      </c>
      <c r="T1024" s="0" t="s">
        <v>230</v>
      </c>
      <c r="U1024" s="0" t="s">
        <v>138</v>
      </c>
      <c r="V1024" s="14" t="s">
        <v>138</v>
      </c>
      <c r="W1024" s="0" t="s">
        <v>138</v>
      </c>
      <c r="X1024" s="14" t="s">
        <v>138</v>
      </c>
      <c r="Y1024" s="0" t="s">
        <v>138</v>
      </c>
      <c r="Z1024" s="14" t="s">
        <v>138</v>
      </c>
      <c r="AA1024" s="0" t="s">
        <v>138</v>
      </c>
      <c r="AB1024" s="14" t="s">
        <v>138</v>
      </c>
      <c r="AD1024" s="0" t="s">
        <v>138</v>
      </c>
      <c r="AF1024" s="0">
        <v>0</v>
      </c>
      <c r="AG1024" s="0">
        <v>0</v>
      </c>
      <c r="AH1024" s="0" t="s">
        <v>140</v>
      </c>
      <c r="AI1024" s="0" t="s">
        <v>138</v>
      </c>
      <c r="AL1024" s="14"/>
      <c r="AN1024" s="14"/>
      <c r="AQ1024" s="0" t="s">
        <v>130</v>
      </c>
      <c r="AR1024" s="0" t="s">
        <v>130</v>
      </c>
      <c r="AS1024" s="0" t="s">
        <v>130</v>
      </c>
      <c r="AT1024" s="0" t="s">
        <v>130</v>
      </c>
      <c r="AU1024" s="0" t="s">
        <v>130</v>
      </c>
      <c r="AV1024" s="0" t="s">
        <v>130</v>
      </c>
      <c r="AW1024" s="0" t="s">
        <v>130</v>
      </c>
      <c r="AX1024" s="0" t="s">
        <v>141</v>
      </c>
      <c r="AY1024" s="0" t="s">
        <v>130</v>
      </c>
      <c r="AZ1024" s="0" t="s">
        <v>130</v>
      </c>
      <c r="BA1024" s="0" t="s">
        <v>130</v>
      </c>
      <c r="BB1024" s="0" t="s">
        <v>130</v>
      </c>
      <c r="BC1024" s="0" t="s">
        <v>130</v>
      </c>
      <c r="BD1024" s="0" t="s">
        <v>130</v>
      </c>
      <c r="BE1024" s="0" t="s">
        <v>130</v>
      </c>
      <c r="BF1024" s="0" t="s">
        <v>141</v>
      </c>
      <c r="BG1024" s="0" t="s">
        <v>130</v>
      </c>
      <c r="BH1024" s="0" t="s">
        <v>130</v>
      </c>
      <c r="BI1024" s="0" t="s">
        <v>130</v>
      </c>
      <c r="BJ1024" s="0" t="s">
        <v>130</v>
      </c>
      <c r="BK1024" s="0" t="s">
        <v>130</v>
      </c>
      <c r="BL1024" s="0" t="s">
        <v>130</v>
      </c>
      <c r="BM1024" s="0" t="s">
        <v>130</v>
      </c>
      <c r="BN1024" s="0" t="s">
        <v>130</v>
      </c>
      <c r="BO1024" s="0" t="s">
        <v>130</v>
      </c>
      <c r="BP1024" s="0" t="s">
        <v>130</v>
      </c>
      <c r="BQ1024" s="0" t="s">
        <v>130</v>
      </c>
      <c r="BR1024" s="0" t="s">
        <v>130</v>
      </c>
      <c r="BS1024" s="0" t="s">
        <v>130</v>
      </c>
      <c r="BT1024" s="0" t="s">
        <v>130</v>
      </c>
      <c r="BU1024" s="0" t="s">
        <v>130</v>
      </c>
      <c r="BV1024" s="0" t="s">
        <v>130</v>
      </c>
      <c r="BW1024" s="0" t="s">
        <v>130</v>
      </c>
      <c r="BX1024" s="0" t="s">
        <v>130</v>
      </c>
      <c r="BY1024" s="0" t="s">
        <v>130</v>
      </c>
      <c r="BZ1024" s="0" t="s">
        <v>130</v>
      </c>
      <c r="CA1024" s="0" t="s">
        <v>130</v>
      </c>
      <c r="CB1024" s="0" t="s">
        <v>130</v>
      </c>
      <c r="CC1024" s="0" t="s">
        <v>130</v>
      </c>
      <c r="CD1024" s="0" t="s">
        <v>130</v>
      </c>
      <c r="CE1024" s="0" t="s">
        <v>130</v>
      </c>
      <c r="CF1024" s="0" t="s">
        <v>130</v>
      </c>
      <c r="CG1024" s="0" t="s">
        <v>130</v>
      </c>
      <c r="CH1024" s="0" t="s">
        <v>130</v>
      </c>
      <c r="CI1024" s="0" t="s">
        <v>130</v>
      </c>
      <c r="CJ1024" s="0" t="s">
        <v>130</v>
      </c>
      <c r="CK1024" s="0" t="s">
        <v>130</v>
      </c>
      <c r="CL1024" s="0" t="s">
        <v>130</v>
      </c>
      <c r="CM1024" s="0" t="s">
        <v>130</v>
      </c>
      <c r="CN1024" s="0" t="s">
        <v>130</v>
      </c>
      <c r="CO1024" s="0" t="s">
        <v>130</v>
      </c>
      <c r="CP1024" s="0" t="s">
        <v>130</v>
      </c>
      <c r="CQ1024" s="0" t="s">
        <v>130</v>
      </c>
      <c r="CR1024" s="0" t="s">
        <v>130</v>
      </c>
      <c r="CS1024" s="0" t="s">
        <v>130</v>
      </c>
      <c r="CT1024" s="0" t="s">
        <v>3103</v>
      </c>
    </row>
    <row r="1025">
      <c r="A1025" s="14">
        <v>173487</v>
      </c>
      <c r="B1025" s="0" t="s">
        <v>3104</v>
      </c>
      <c r="C1025" s="16">
        <f>HYPERLINK("https://eosportal.federatedhermes.com/companies/Q29tcGFueQppNzQwNjA=", "Bank Rakyat Indonesia Persero Tbk PT")</f>
      </c>
      <c r="D1025" s="0" t="s">
        <v>25</v>
      </c>
      <c r="E1025" s="0" t="s">
        <v>3105</v>
      </c>
      <c r="F1025" s="16">
        <f>HYPERLINK("https://eosportal.federatedhermes.com/engagements/RW5nYWdlbWVudAppMjQ0MzI=", "Sustainable Finance and TCFD")</f>
      </c>
      <c r="G1025" s="14" t="s">
        <v>3106</v>
      </c>
      <c r="H1025" s="0" t="s">
        <v>130</v>
      </c>
      <c r="I1025" s="14" t="s">
        <v>131</v>
      </c>
      <c r="J1025" s="0" t="s">
        <v>197</v>
      </c>
      <c r="K1025" s="0" t="s">
        <v>198</v>
      </c>
      <c r="L1025" s="0" t="s">
        <v>199</v>
      </c>
      <c r="M1025" s="0" t="s">
        <v>2807</v>
      </c>
      <c r="N1025" s="0" t="s">
        <v>2826</v>
      </c>
      <c r="O1025" s="0" t="s">
        <v>238</v>
      </c>
      <c r="Q1025" s="0" t="s">
        <v>130</v>
      </c>
      <c r="R1025" s="0" t="s">
        <v>138</v>
      </c>
      <c r="S1025" s="14">
        <v>0</v>
      </c>
      <c r="T1025" s="0" t="s">
        <v>1145</v>
      </c>
      <c r="U1025" s="0" t="s">
        <v>138</v>
      </c>
      <c r="V1025" s="14" t="s">
        <v>138</v>
      </c>
      <c r="W1025" s="0" t="s">
        <v>138</v>
      </c>
      <c r="X1025" s="14" t="s">
        <v>138</v>
      </c>
      <c r="Y1025" s="0" t="s">
        <v>138</v>
      </c>
      <c r="Z1025" s="14" t="s">
        <v>138</v>
      </c>
      <c r="AA1025" s="0" t="s">
        <v>138</v>
      </c>
      <c r="AB1025" s="14" t="s">
        <v>138</v>
      </c>
      <c r="AD1025" s="0" t="s">
        <v>138</v>
      </c>
      <c r="AF1025" s="0">
        <v>0</v>
      </c>
      <c r="AG1025" s="0">
        <v>0</v>
      </c>
      <c r="AH1025" s="0" t="s">
        <v>140</v>
      </c>
      <c r="AI1025" s="0" t="s">
        <v>138</v>
      </c>
      <c r="AL1025" s="14"/>
      <c r="AN1025" s="14"/>
      <c r="AQ1025" s="0" t="s">
        <v>130</v>
      </c>
      <c r="AR1025" s="0" t="s">
        <v>130</v>
      </c>
      <c r="AS1025" s="0" t="s">
        <v>130</v>
      </c>
      <c r="AT1025" s="0" t="s">
        <v>130</v>
      </c>
      <c r="AU1025" s="0" t="s">
        <v>130</v>
      </c>
      <c r="AV1025" s="0" t="s">
        <v>130</v>
      </c>
      <c r="AW1025" s="0" t="s">
        <v>130</v>
      </c>
      <c r="AX1025" s="0" t="s">
        <v>130</v>
      </c>
      <c r="AY1025" s="0" t="s">
        <v>130</v>
      </c>
      <c r="AZ1025" s="0" t="s">
        <v>130</v>
      </c>
      <c r="BA1025" s="0" t="s">
        <v>130</v>
      </c>
      <c r="BB1025" s="0" t="s">
        <v>141</v>
      </c>
      <c r="BC1025" s="0" t="s">
        <v>141</v>
      </c>
      <c r="BD1025" s="0" t="s">
        <v>130</v>
      </c>
      <c r="BE1025" s="0" t="s">
        <v>130</v>
      </c>
      <c r="BF1025" s="0" t="s">
        <v>130</v>
      </c>
      <c r="BG1025" s="0" t="s">
        <v>130</v>
      </c>
      <c r="BH1025" s="0" t="s">
        <v>130</v>
      </c>
      <c r="BI1025" s="0" t="s">
        <v>130</v>
      </c>
      <c r="BJ1025" s="0" t="s">
        <v>130</v>
      </c>
      <c r="BK1025" s="0" t="s">
        <v>130</v>
      </c>
      <c r="BL1025" s="0" t="s">
        <v>130</v>
      </c>
      <c r="BM1025" s="0" t="s">
        <v>130</v>
      </c>
      <c r="BN1025" s="0" t="s">
        <v>130</v>
      </c>
      <c r="BO1025" s="0" t="s">
        <v>130</v>
      </c>
      <c r="BP1025" s="0" t="s">
        <v>130</v>
      </c>
      <c r="BQ1025" s="0" t="s">
        <v>130</v>
      </c>
      <c r="BR1025" s="0" t="s">
        <v>130</v>
      </c>
      <c r="BS1025" s="0" t="s">
        <v>130</v>
      </c>
      <c r="BT1025" s="0" t="s">
        <v>130</v>
      </c>
      <c r="BU1025" s="0" t="s">
        <v>130</v>
      </c>
      <c r="BV1025" s="0" t="s">
        <v>130</v>
      </c>
      <c r="BW1025" s="0" t="s">
        <v>130</v>
      </c>
      <c r="BX1025" s="0" t="s">
        <v>130</v>
      </c>
      <c r="BY1025" s="0" t="s">
        <v>130</v>
      </c>
      <c r="BZ1025" s="0" t="s">
        <v>130</v>
      </c>
      <c r="CA1025" s="0" t="s">
        <v>130</v>
      </c>
      <c r="CB1025" s="0" t="s">
        <v>130</v>
      </c>
      <c r="CC1025" s="0" t="s">
        <v>130</v>
      </c>
      <c r="CD1025" s="0" t="s">
        <v>130</v>
      </c>
      <c r="CE1025" s="0" t="s">
        <v>130</v>
      </c>
      <c r="CF1025" s="0" t="s">
        <v>130</v>
      </c>
      <c r="CG1025" s="0" t="s">
        <v>130</v>
      </c>
      <c r="CH1025" s="0" t="s">
        <v>130</v>
      </c>
      <c r="CI1025" s="0" t="s">
        <v>130</v>
      </c>
      <c r="CJ1025" s="0" t="s">
        <v>130</v>
      </c>
      <c r="CK1025" s="0" t="s">
        <v>130</v>
      </c>
      <c r="CL1025" s="0" t="s">
        <v>130</v>
      </c>
      <c r="CM1025" s="0" t="s">
        <v>130</v>
      </c>
      <c r="CN1025" s="0" t="s">
        <v>130</v>
      </c>
      <c r="CO1025" s="0" t="s">
        <v>130</v>
      </c>
      <c r="CP1025" s="0" t="s">
        <v>130</v>
      </c>
      <c r="CQ1025" s="0" t="s">
        <v>130</v>
      </c>
      <c r="CR1025" s="0" t="s">
        <v>130</v>
      </c>
      <c r="CS1025" s="0" t="s">
        <v>130</v>
      </c>
      <c r="CT1025" s="0" t="s">
        <v>3107</v>
      </c>
    </row>
    <row r="1026">
      <c r="A1026" s="14">
        <v>173487</v>
      </c>
      <c r="B1026" s="0" t="s">
        <v>3104</v>
      </c>
      <c r="C1026" s="16">
        <f>HYPERLINK("https://eosportal.federatedhermes.com/companies/Q29tcGFueQppNzQwNjA=", "Bank Rakyat Indonesia Persero Tbk PT")</f>
      </c>
      <c r="D1026" s="0" t="s">
        <v>25</v>
      </c>
      <c r="E1026" s="0" t="s">
        <v>873</v>
      </c>
      <c r="F1026" s="16">
        <f>HYPERLINK("https://eosportal.federatedhermes.com/engagements/RW5nYWdlbWVudAppMjQ0MzM=", "Risk management")</f>
      </c>
      <c r="G1026" s="14" t="s">
        <v>3108</v>
      </c>
      <c r="H1026" s="0" t="s">
        <v>130</v>
      </c>
      <c r="I1026" s="14" t="s">
        <v>131</v>
      </c>
      <c r="J1026" s="0" t="s">
        <v>132</v>
      </c>
      <c r="K1026" s="0" t="s">
        <v>260</v>
      </c>
      <c r="L1026" s="0" t="s">
        <v>261</v>
      </c>
      <c r="M1026" s="0" t="s">
        <v>2807</v>
      </c>
      <c r="N1026" s="0" t="s">
        <v>2826</v>
      </c>
      <c r="O1026" s="0" t="s">
        <v>238</v>
      </c>
      <c r="Q1026" s="0" t="s">
        <v>130</v>
      </c>
      <c r="R1026" s="0" t="s">
        <v>138</v>
      </c>
      <c r="S1026" s="14">
        <v>0</v>
      </c>
      <c r="T1026" s="0" t="s">
        <v>296</v>
      </c>
      <c r="U1026" s="0" t="s">
        <v>138</v>
      </c>
      <c r="V1026" s="14" t="s">
        <v>138</v>
      </c>
      <c r="W1026" s="0" t="s">
        <v>138</v>
      </c>
      <c r="X1026" s="14" t="s">
        <v>138</v>
      </c>
      <c r="Y1026" s="0" t="s">
        <v>138</v>
      </c>
      <c r="Z1026" s="14" t="s">
        <v>138</v>
      </c>
      <c r="AA1026" s="0" t="s">
        <v>138</v>
      </c>
      <c r="AB1026" s="14" t="s">
        <v>138</v>
      </c>
      <c r="AD1026" s="0" t="s">
        <v>138</v>
      </c>
      <c r="AF1026" s="0">
        <v>0</v>
      </c>
      <c r="AG1026" s="0">
        <v>0</v>
      </c>
      <c r="AH1026" s="0" t="s">
        <v>140</v>
      </c>
      <c r="AI1026" s="0" t="s">
        <v>138</v>
      </c>
      <c r="AL1026" s="14"/>
      <c r="AN1026" s="14"/>
      <c r="AQ1026" s="0" t="s">
        <v>130</v>
      </c>
      <c r="AR1026" s="0" t="s">
        <v>130</v>
      </c>
      <c r="AS1026" s="0" t="s">
        <v>130</v>
      </c>
      <c r="AT1026" s="0" t="s">
        <v>130</v>
      </c>
      <c r="AU1026" s="0" t="s">
        <v>130</v>
      </c>
      <c r="AV1026" s="0" t="s">
        <v>130</v>
      </c>
      <c r="AW1026" s="0" t="s">
        <v>130</v>
      </c>
      <c r="AX1026" s="0" t="s">
        <v>130</v>
      </c>
      <c r="AY1026" s="0" t="s">
        <v>130</v>
      </c>
      <c r="AZ1026" s="0" t="s">
        <v>130</v>
      </c>
      <c r="BA1026" s="0" t="s">
        <v>130</v>
      </c>
      <c r="BB1026" s="0" t="s">
        <v>130</v>
      </c>
      <c r="BC1026" s="0" t="s">
        <v>130</v>
      </c>
      <c r="BD1026" s="0" t="s">
        <v>130</v>
      </c>
      <c r="BE1026" s="0" t="s">
        <v>130</v>
      </c>
      <c r="BF1026" s="0" t="s">
        <v>130</v>
      </c>
      <c r="BG1026" s="0" t="s">
        <v>130</v>
      </c>
      <c r="BH1026" s="0" t="s">
        <v>130</v>
      </c>
      <c r="BI1026" s="0" t="s">
        <v>130</v>
      </c>
      <c r="BJ1026" s="0" t="s">
        <v>130</v>
      </c>
      <c r="BK1026" s="0" t="s">
        <v>130</v>
      </c>
      <c r="BL1026" s="0" t="s">
        <v>130</v>
      </c>
      <c r="BM1026" s="0" t="s">
        <v>130</v>
      </c>
      <c r="BN1026" s="0" t="s">
        <v>130</v>
      </c>
      <c r="BO1026" s="0" t="s">
        <v>130</v>
      </c>
      <c r="BP1026" s="0" t="s">
        <v>130</v>
      </c>
      <c r="BQ1026" s="0" t="s">
        <v>130</v>
      </c>
      <c r="BR1026" s="0" t="s">
        <v>130</v>
      </c>
      <c r="BS1026" s="0" t="s">
        <v>130</v>
      </c>
      <c r="BT1026" s="0" t="s">
        <v>130</v>
      </c>
      <c r="BU1026" s="0" t="s">
        <v>130</v>
      </c>
      <c r="BV1026" s="0" t="s">
        <v>130</v>
      </c>
      <c r="BW1026" s="0" t="s">
        <v>130</v>
      </c>
      <c r="BX1026" s="0" t="s">
        <v>130</v>
      </c>
      <c r="BY1026" s="0" t="s">
        <v>130</v>
      </c>
      <c r="BZ1026" s="0" t="s">
        <v>130</v>
      </c>
      <c r="CA1026" s="0" t="s">
        <v>130</v>
      </c>
      <c r="CB1026" s="0" t="s">
        <v>130</v>
      </c>
      <c r="CC1026" s="0" t="s">
        <v>130</v>
      </c>
      <c r="CD1026" s="0" t="s">
        <v>130</v>
      </c>
      <c r="CE1026" s="0" t="s">
        <v>130</v>
      </c>
      <c r="CF1026" s="0" t="s">
        <v>130</v>
      </c>
      <c r="CG1026" s="0" t="s">
        <v>130</v>
      </c>
      <c r="CH1026" s="0" t="s">
        <v>130</v>
      </c>
      <c r="CI1026" s="0" t="s">
        <v>130</v>
      </c>
      <c r="CJ1026" s="0" t="s">
        <v>130</v>
      </c>
      <c r="CK1026" s="0" t="s">
        <v>130</v>
      </c>
      <c r="CL1026" s="0" t="s">
        <v>130</v>
      </c>
      <c r="CM1026" s="0" t="s">
        <v>130</v>
      </c>
      <c r="CN1026" s="0" t="s">
        <v>130</v>
      </c>
      <c r="CO1026" s="0" t="s">
        <v>130</v>
      </c>
      <c r="CP1026" s="0" t="s">
        <v>130</v>
      </c>
      <c r="CQ1026" s="0" t="s">
        <v>130</v>
      </c>
      <c r="CR1026" s="0" t="s">
        <v>130</v>
      </c>
      <c r="CS1026" s="0" t="s">
        <v>130</v>
      </c>
      <c r="CT1026" s="0" t="s">
        <v>3109</v>
      </c>
    </row>
    <row r="1027">
      <c r="A1027" s="14">
        <v>173487</v>
      </c>
      <c r="B1027" s="0" t="s">
        <v>3104</v>
      </c>
      <c r="C1027" s="16">
        <f>HYPERLINK("https://eosportal.federatedhermes.com/companies/Q29tcGFueQppNzQwNjA=", "Bank Rakyat Indonesia Persero Tbk PT")</f>
      </c>
      <c r="D1027" s="0" t="s">
        <v>25</v>
      </c>
      <c r="E1027" s="0" t="s">
        <v>3110</v>
      </c>
      <c r="F1027" s="16">
        <f>HYPERLINK("https://eosportal.federatedhermes.com/engagements/RW5nYWdlbWVudAppMjQ0MzQ=", "Private placement")</f>
      </c>
      <c r="G1027" s="14" t="s">
        <v>3111</v>
      </c>
      <c r="H1027" s="0" t="s">
        <v>130</v>
      </c>
      <c r="I1027" s="14" t="s">
        <v>131</v>
      </c>
      <c r="J1027" s="0" t="s">
        <v>145</v>
      </c>
      <c r="K1027" s="0" t="s">
        <v>400</v>
      </c>
      <c r="L1027" s="0" t="s">
        <v>507</v>
      </c>
      <c r="M1027" s="0" t="s">
        <v>2807</v>
      </c>
      <c r="N1027" s="0" t="s">
        <v>2826</v>
      </c>
      <c r="O1027" s="0" t="s">
        <v>238</v>
      </c>
      <c r="Q1027" s="0" t="s">
        <v>130</v>
      </c>
      <c r="R1027" s="0" t="s">
        <v>138</v>
      </c>
      <c r="S1027" s="14">
        <v>0</v>
      </c>
      <c r="T1027" s="0" t="s">
        <v>457</v>
      </c>
      <c r="U1027" s="0" t="s">
        <v>138</v>
      </c>
      <c r="V1027" s="14" t="s">
        <v>138</v>
      </c>
      <c r="W1027" s="0" t="s">
        <v>138</v>
      </c>
      <c r="X1027" s="14" t="s">
        <v>138</v>
      </c>
      <c r="Y1027" s="0" t="s">
        <v>138</v>
      </c>
      <c r="Z1027" s="14" t="s">
        <v>138</v>
      </c>
      <c r="AA1027" s="0" t="s">
        <v>138</v>
      </c>
      <c r="AB1027" s="14" t="s">
        <v>138</v>
      </c>
      <c r="AD1027" s="0" t="s">
        <v>138</v>
      </c>
      <c r="AF1027" s="0">
        <v>0</v>
      </c>
      <c r="AG1027" s="0">
        <v>0</v>
      </c>
      <c r="AH1027" s="0" t="s">
        <v>140</v>
      </c>
      <c r="AI1027" s="0" t="s">
        <v>138</v>
      </c>
      <c r="AL1027" s="14"/>
      <c r="AN1027" s="14"/>
      <c r="AQ1027" s="0" t="s">
        <v>130</v>
      </c>
      <c r="AR1027" s="0" t="s">
        <v>130</v>
      </c>
      <c r="AS1027" s="0" t="s">
        <v>130</v>
      </c>
      <c r="AT1027" s="0" t="s">
        <v>130</v>
      </c>
      <c r="AU1027" s="0" t="s">
        <v>130</v>
      </c>
      <c r="AV1027" s="0" t="s">
        <v>130</v>
      </c>
      <c r="AW1027" s="0" t="s">
        <v>130</v>
      </c>
      <c r="AX1027" s="0" t="s">
        <v>130</v>
      </c>
      <c r="AY1027" s="0" t="s">
        <v>130</v>
      </c>
      <c r="AZ1027" s="0" t="s">
        <v>130</v>
      </c>
      <c r="BA1027" s="0" t="s">
        <v>130</v>
      </c>
      <c r="BB1027" s="0" t="s">
        <v>130</v>
      </c>
      <c r="BC1027" s="0" t="s">
        <v>130</v>
      </c>
      <c r="BD1027" s="0" t="s">
        <v>130</v>
      </c>
      <c r="BE1027" s="0" t="s">
        <v>130</v>
      </c>
      <c r="BF1027" s="0" t="s">
        <v>130</v>
      </c>
      <c r="BG1027" s="0" t="s">
        <v>130</v>
      </c>
      <c r="BH1027" s="0" t="s">
        <v>130</v>
      </c>
      <c r="BI1027" s="0" t="s">
        <v>130</v>
      </c>
      <c r="BJ1027" s="0" t="s">
        <v>130</v>
      </c>
      <c r="BK1027" s="0" t="s">
        <v>130</v>
      </c>
      <c r="BL1027" s="0" t="s">
        <v>130</v>
      </c>
      <c r="BM1027" s="0" t="s">
        <v>130</v>
      </c>
      <c r="BN1027" s="0" t="s">
        <v>130</v>
      </c>
      <c r="BO1027" s="0" t="s">
        <v>130</v>
      </c>
      <c r="BP1027" s="0" t="s">
        <v>130</v>
      </c>
      <c r="BQ1027" s="0" t="s">
        <v>130</v>
      </c>
      <c r="BR1027" s="0" t="s">
        <v>130</v>
      </c>
      <c r="BS1027" s="0" t="s">
        <v>130</v>
      </c>
      <c r="BT1027" s="0" t="s">
        <v>130</v>
      </c>
      <c r="BU1027" s="0" t="s">
        <v>130</v>
      </c>
      <c r="BV1027" s="0" t="s">
        <v>130</v>
      </c>
      <c r="BW1027" s="0" t="s">
        <v>130</v>
      </c>
      <c r="BX1027" s="0" t="s">
        <v>130</v>
      </c>
      <c r="BY1027" s="0" t="s">
        <v>130</v>
      </c>
      <c r="BZ1027" s="0" t="s">
        <v>130</v>
      </c>
      <c r="CA1027" s="0" t="s">
        <v>130</v>
      </c>
      <c r="CB1027" s="0" t="s">
        <v>130</v>
      </c>
      <c r="CC1027" s="0" t="s">
        <v>130</v>
      </c>
      <c r="CD1027" s="0" t="s">
        <v>130</v>
      </c>
      <c r="CE1027" s="0" t="s">
        <v>130</v>
      </c>
      <c r="CF1027" s="0" t="s">
        <v>130</v>
      </c>
      <c r="CG1027" s="0" t="s">
        <v>130</v>
      </c>
      <c r="CH1027" s="0" t="s">
        <v>130</v>
      </c>
      <c r="CI1027" s="0" t="s">
        <v>130</v>
      </c>
      <c r="CJ1027" s="0" t="s">
        <v>130</v>
      </c>
      <c r="CK1027" s="0" t="s">
        <v>130</v>
      </c>
      <c r="CL1027" s="0" t="s">
        <v>130</v>
      </c>
      <c r="CM1027" s="0" t="s">
        <v>130</v>
      </c>
      <c r="CN1027" s="0" t="s">
        <v>130</v>
      </c>
      <c r="CO1027" s="0" t="s">
        <v>130</v>
      </c>
      <c r="CP1027" s="0" t="s">
        <v>130</v>
      </c>
      <c r="CQ1027" s="0" t="s">
        <v>130</v>
      </c>
      <c r="CR1027" s="0" t="s">
        <v>130</v>
      </c>
      <c r="CS1027" s="0" t="s">
        <v>130</v>
      </c>
      <c r="CT1027" s="0" t="s">
        <v>3112</v>
      </c>
    </row>
    <row r="1028">
      <c r="A1028" s="14">
        <v>173487</v>
      </c>
      <c r="B1028" s="0" t="s">
        <v>3104</v>
      </c>
      <c r="C1028" s="16">
        <f>HYPERLINK("https://eosportal.federatedhermes.com/companies/Q29tcGFueQppNzQwNjA=", "Bank Rakyat Indonesia Persero Tbk PT")</f>
      </c>
      <c r="D1028" s="0" t="s">
        <v>25</v>
      </c>
      <c r="E1028" s="0" t="s">
        <v>341</v>
      </c>
      <c r="F1028" s="16">
        <f>HYPERLINK("https://eosportal.federatedhermes.com/engagements/RW5nYWdlbWVudAppMjQ0MzU=", "Remuneration")</f>
      </c>
      <c r="G1028" s="14" t="s">
        <v>3113</v>
      </c>
      <c r="H1028" s="0" t="s">
        <v>130</v>
      </c>
      <c r="I1028" s="14" t="s">
        <v>131</v>
      </c>
      <c r="J1028" s="0" t="s">
        <v>145</v>
      </c>
      <c r="K1028" s="0" t="s">
        <v>146</v>
      </c>
      <c r="L1028" s="0" t="s">
        <v>147</v>
      </c>
      <c r="M1028" s="0" t="s">
        <v>2807</v>
      </c>
      <c r="N1028" s="0" t="s">
        <v>2826</v>
      </c>
      <c r="O1028" s="0" t="s">
        <v>238</v>
      </c>
      <c r="Q1028" s="0" t="s">
        <v>130</v>
      </c>
      <c r="R1028" s="0" t="s">
        <v>138</v>
      </c>
      <c r="S1028" s="14">
        <v>0</v>
      </c>
      <c r="T1028" s="0" t="s">
        <v>296</v>
      </c>
      <c r="U1028" s="0" t="s">
        <v>138</v>
      </c>
      <c r="V1028" s="14" t="s">
        <v>138</v>
      </c>
      <c r="W1028" s="0" t="s">
        <v>138</v>
      </c>
      <c r="X1028" s="14" t="s">
        <v>138</v>
      </c>
      <c r="Y1028" s="0" t="s">
        <v>138</v>
      </c>
      <c r="Z1028" s="14" t="s">
        <v>138</v>
      </c>
      <c r="AA1028" s="0" t="s">
        <v>138</v>
      </c>
      <c r="AB1028" s="14" t="s">
        <v>138</v>
      </c>
      <c r="AD1028" s="0" t="s">
        <v>138</v>
      </c>
      <c r="AF1028" s="0">
        <v>0</v>
      </c>
      <c r="AG1028" s="0">
        <v>0</v>
      </c>
      <c r="AH1028" s="0" t="s">
        <v>140</v>
      </c>
      <c r="AI1028" s="0" t="s">
        <v>138</v>
      </c>
      <c r="AL1028" s="14"/>
      <c r="AN1028" s="14"/>
      <c r="AQ1028" s="0" t="s">
        <v>130</v>
      </c>
      <c r="AR1028" s="0" t="s">
        <v>130</v>
      </c>
      <c r="AS1028" s="0" t="s">
        <v>130</v>
      </c>
      <c r="AT1028" s="0" t="s">
        <v>130</v>
      </c>
      <c r="AU1028" s="0" t="s">
        <v>130</v>
      </c>
      <c r="AV1028" s="0" t="s">
        <v>130</v>
      </c>
      <c r="AW1028" s="0" t="s">
        <v>130</v>
      </c>
      <c r="AX1028" s="0" t="s">
        <v>130</v>
      </c>
      <c r="AY1028" s="0" t="s">
        <v>130</v>
      </c>
      <c r="AZ1028" s="0" t="s">
        <v>130</v>
      </c>
      <c r="BA1028" s="0" t="s">
        <v>130</v>
      </c>
      <c r="BB1028" s="0" t="s">
        <v>130</v>
      </c>
      <c r="BC1028" s="0" t="s">
        <v>130</v>
      </c>
      <c r="BD1028" s="0" t="s">
        <v>130</v>
      </c>
      <c r="BE1028" s="0" t="s">
        <v>130</v>
      </c>
      <c r="BF1028" s="0" t="s">
        <v>130</v>
      </c>
      <c r="BG1028" s="0" t="s">
        <v>130</v>
      </c>
      <c r="BH1028" s="0" t="s">
        <v>130</v>
      </c>
      <c r="BI1028" s="0" t="s">
        <v>130</v>
      </c>
      <c r="BJ1028" s="0" t="s">
        <v>130</v>
      </c>
      <c r="BK1028" s="0" t="s">
        <v>130</v>
      </c>
      <c r="BL1028" s="0" t="s">
        <v>130</v>
      </c>
      <c r="BM1028" s="0" t="s">
        <v>130</v>
      </c>
      <c r="BN1028" s="0" t="s">
        <v>130</v>
      </c>
      <c r="BO1028" s="0" t="s">
        <v>130</v>
      </c>
      <c r="BP1028" s="0" t="s">
        <v>130</v>
      </c>
      <c r="BQ1028" s="0" t="s">
        <v>130</v>
      </c>
      <c r="BR1028" s="0" t="s">
        <v>130</v>
      </c>
      <c r="BS1028" s="0" t="s">
        <v>130</v>
      </c>
      <c r="BT1028" s="0" t="s">
        <v>130</v>
      </c>
      <c r="BU1028" s="0" t="s">
        <v>130</v>
      </c>
      <c r="BV1028" s="0" t="s">
        <v>130</v>
      </c>
      <c r="BW1028" s="0" t="s">
        <v>130</v>
      </c>
      <c r="BX1028" s="0" t="s">
        <v>130</v>
      </c>
      <c r="BY1028" s="0" t="s">
        <v>130</v>
      </c>
      <c r="BZ1028" s="0" t="s">
        <v>130</v>
      </c>
      <c r="CA1028" s="0" t="s">
        <v>130</v>
      </c>
      <c r="CB1028" s="0" t="s">
        <v>130</v>
      </c>
      <c r="CC1028" s="0" t="s">
        <v>130</v>
      </c>
      <c r="CD1028" s="0" t="s">
        <v>130</v>
      </c>
      <c r="CE1028" s="0" t="s">
        <v>130</v>
      </c>
      <c r="CF1028" s="0" t="s">
        <v>130</v>
      </c>
      <c r="CG1028" s="0" t="s">
        <v>130</v>
      </c>
      <c r="CH1028" s="0" t="s">
        <v>130</v>
      </c>
      <c r="CI1028" s="0" t="s">
        <v>130</v>
      </c>
      <c r="CJ1028" s="0" t="s">
        <v>130</v>
      </c>
      <c r="CK1028" s="0" t="s">
        <v>130</v>
      </c>
      <c r="CL1028" s="0" t="s">
        <v>130</v>
      </c>
      <c r="CM1028" s="0" t="s">
        <v>130</v>
      </c>
      <c r="CN1028" s="0" t="s">
        <v>130</v>
      </c>
      <c r="CO1028" s="0" t="s">
        <v>130</v>
      </c>
      <c r="CP1028" s="0" t="s">
        <v>130</v>
      </c>
      <c r="CQ1028" s="0" t="s">
        <v>130</v>
      </c>
      <c r="CR1028" s="0" t="s">
        <v>130</v>
      </c>
      <c r="CS1028" s="0" t="s">
        <v>130</v>
      </c>
      <c r="CT1028" s="0" t="s">
        <v>3114</v>
      </c>
    </row>
    <row r="1029">
      <c r="A1029" s="14">
        <v>173487</v>
      </c>
      <c r="B1029" s="0" t="s">
        <v>3104</v>
      </c>
      <c r="C1029" s="16">
        <f>HYPERLINK("https://eosportal.federatedhermes.com/companies/Q29tcGFueQppNzQwNjA=", "Bank Rakyat Indonesia Persero Tbk PT")</f>
      </c>
      <c r="D1029" s="0" t="s">
        <v>23</v>
      </c>
      <c r="E1029" s="0" t="s">
        <v>3115</v>
      </c>
      <c r="F1029" s="16">
        <f>HYPERLINK("https://eosportal.federatedhermes.com/engagements/RW5nYWdlbWVudAppMjQ0MzY=", "Social Impact of Microfinance")</f>
      </c>
      <c r="G1029" s="14" t="s">
        <v>3116</v>
      </c>
      <c r="H1029" s="0" t="s">
        <v>130</v>
      </c>
      <c r="I1029" s="14" t="s">
        <v>131</v>
      </c>
      <c r="J1029" s="0" t="s">
        <v>153</v>
      </c>
      <c r="K1029" s="0" t="s">
        <v>243</v>
      </c>
      <c r="L1029" s="0" t="s">
        <v>292</v>
      </c>
      <c r="M1029" s="0" t="s">
        <v>2807</v>
      </c>
      <c r="N1029" s="0" t="s">
        <v>2826</v>
      </c>
      <c r="O1029" s="0" t="s">
        <v>238</v>
      </c>
      <c r="Q1029" s="0" t="s">
        <v>130</v>
      </c>
      <c r="R1029" s="0" t="s">
        <v>130</v>
      </c>
      <c r="S1029" s="14">
        <v>0</v>
      </c>
      <c r="T1029" s="0" t="s">
        <v>355</v>
      </c>
      <c r="U1029" s="0" t="s">
        <v>221</v>
      </c>
      <c r="V1029" s="14" t="s">
        <v>355</v>
      </c>
      <c r="W1029" s="0" t="s">
        <v>221</v>
      </c>
      <c r="X1029" s="14" t="s">
        <v>355</v>
      </c>
      <c r="Y1029" s="0" t="s">
        <v>221</v>
      </c>
      <c r="Z1029" s="14" t="s">
        <v>449</v>
      </c>
      <c r="AA1029" s="0" t="s">
        <v>223</v>
      </c>
      <c r="AB1029" s="14" t="s">
        <v>138</v>
      </c>
      <c r="AD1029" s="0" t="s">
        <v>20</v>
      </c>
      <c r="AF1029" s="0">
        <v>0</v>
      </c>
      <c r="AG1029" s="0">
        <v>0</v>
      </c>
      <c r="AH1029" s="0" t="s">
        <v>140</v>
      </c>
      <c r="AI1029" s="0" t="s">
        <v>232</v>
      </c>
      <c r="AL1029" s="14"/>
      <c r="AN1029" s="14"/>
      <c r="AQ1029" s="0" t="s">
        <v>141</v>
      </c>
      <c r="AR1029" s="0" t="s">
        <v>130</v>
      </c>
      <c r="AS1029" s="0" t="s">
        <v>130</v>
      </c>
      <c r="AT1029" s="0" t="s">
        <v>130</v>
      </c>
      <c r="AU1029" s="0" t="s">
        <v>141</v>
      </c>
      <c r="AV1029" s="0" t="s">
        <v>130</v>
      </c>
      <c r="AW1029" s="0" t="s">
        <v>130</v>
      </c>
      <c r="AX1029" s="0" t="s">
        <v>141</v>
      </c>
      <c r="AY1029" s="0" t="s">
        <v>130</v>
      </c>
      <c r="AZ1029" s="0" t="s">
        <v>141</v>
      </c>
      <c r="BA1029" s="0" t="s">
        <v>130</v>
      </c>
      <c r="BB1029" s="0" t="s">
        <v>130</v>
      </c>
      <c r="BC1029" s="0" t="s">
        <v>130</v>
      </c>
      <c r="BD1029" s="0" t="s">
        <v>130</v>
      </c>
      <c r="BE1029" s="0" t="s">
        <v>130</v>
      </c>
      <c r="BF1029" s="0" t="s">
        <v>130</v>
      </c>
      <c r="BG1029" s="0" t="s">
        <v>130</v>
      </c>
      <c r="BH1029" s="0" t="s">
        <v>130</v>
      </c>
      <c r="BI1029" s="0" t="s">
        <v>130</v>
      </c>
      <c r="BJ1029" s="0" t="s">
        <v>130</v>
      </c>
      <c r="BK1029" s="0" t="s">
        <v>130</v>
      </c>
      <c r="BL1029" s="0" t="s">
        <v>130</v>
      </c>
      <c r="BM1029" s="0" t="s">
        <v>130</v>
      </c>
      <c r="BN1029" s="0" t="s">
        <v>130</v>
      </c>
      <c r="BO1029" s="0" t="s">
        <v>130</v>
      </c>
      <c r="BP1029" s="0" t="s">
        <v>130</v>
      </c>
      <c r="BQ1029" s="0" t="s">
        <v>130</v>
      </c>
      <c r="BR1029" s="0" t="s">
        <v>130</v>
      </c>
      <c r="BS1029" s="0" t="s">
        <v>130</v>
      </c>
      <c r="BT1029" s="0" t="s">
        <v>130</v>
      </c>
      <c r="BU1029" s="0" t="s">
        <v>130</v>
      </c>
      <c r="BV1029" s="0" t="s">
        <v>130</v>
      </c>
      <c r="BW1029" s="0" t="s">
        <v>130</v>
      </c>
      <c r="BX1029" s="0" t="s">
        <v>130</v>
      </c>
      <c r="BY1029" s="0" t="s">
        <v>130</v>
      </c>
      <c r="BZ1029" s="0" t="s">
        <v>130</v>
      </c>
      <c r="CA1029" s="0" t="s">
        <v>130</v>
      </c>
      <c r="CB1029" s="0" t="s">
        <v>130</v>
      </c>
      <c r="CC1029" s="0" t="s">
        <v>130</v>
      </c>
      <c r="CD1029" s="0" t="s">
        <v>130</v>
      </c>
      <c r="CE1029" s="0" t="s">
        <v>130</v>
      </c>
      <c r="CF1029" s="0" t="s">
        <v>130</v>
      </c>
      <c r="CG1029" s="0" t="s">
        <v>130</v>
      </c>
      <c r="CH1029" s="0" t="s">
        <v>130</v>
      </c>
      <c r="CI1029" s="0" t="s">
        <v>130</v>
      </c>
      <c r="CJ1029" s="0" t="s">
        <v>130</v>
      </c>
      <c r="CK1029" s="0" t="s">
        <v>130</v>
      </c>
      <c r="CL1029" s="0" t="s">
        <v>130</v>
      </c>
      <c r="CM1029" s="0" t="s">
        <v>130</v>
      </c>
      <c r="CN1029" s="0" t="s">
        <v>130</v>
      </c>
      <c r="CO1029" s="0" t="s">
        <v>130</v>
      </c>
      <c r="CP1029" s="0" t="s">
        <v>130</v>
      </c>
      <c r="CQ1029" s="0" t="s">
        <v>130</v>
      </c>
      <c r="CR1029" s="0" t="s">
        <v>130</v>
      </c>
      <c r="CS1029" s="0" t="s">
        <v>130</v>
      </c>
      <c r="CT1029" s="0" t="s">
        <v>3117</v>
      </c>
    </row>
    <row r="1030">
      <c r="A1030" s="14">
        <v>173487</v>
      </c>
      <c r="B1030" s="0" t="s">
        <v>3104</v>
      </c>
      <c r="C1030" s="16">
        <f>HYPERLINK("https://eosportal.federatedhermes.com/companies/Q29tcGFueQppNzQwNjA=", "Bank Rakyat Indonesia Persero Tbk PT")</f>
      </c>
      <c r="D1030" s="0" t="s">
        <v>25</v>
      </c>
      <c r="E1030" s="0" t="s">
        <v>3118</v>
      </c>
      <c r="F1030" s="16">
        <f>HYPERLINK("https://eosportal.federatedhermes.com/engagements/RW5nYWdlbWVudAppMjQ0Mzc=", "Disclosure on AGM items")</f>
      </c>
      <c r="G1030" s="14" t="s">
        <v>3119</v>
      </c>
      <c r="H1030" s="0" t="s">
        <v>130</v>
      </c>
      <c r="I1030" s="14" t="s">
        <v>131</v>
      </c>
      <c r="J1030" s="0" t="s">
        <v>132</v>
      </c>
      <c r="K1030" s="0" t="s">
        <v>170</v>
      </c>
      <c r="L1030" s="0" t="s">
        <v>171</v>
      </c>
      <c r="M1030" s="0" t="s">
        <v>2807</v>
      </c>
      <c r="N1030" s="0" t="s">
        <v>2826</v>
      </c>
      <c r="O1030" s="0" t="s">
        <v>238</v>
      </c>
      <c r="Q1030" s="0" t="s">
        <v>130</v>
      </c>
      <c r="R1030" s="0" t="s">
        <v>138</v>
      </c>
      <c r="S1030" s="14">
        <v>0</v>
      </c>
      <c r="T1030" s="0" t="s">
        <v>710</v>
      </c>
      <c r="U1030" s="0" t="s">
        <v>138</v>
      </c>
      <c r="V1030" s="14" t="s">
        <v>138</v>
      </c>
      <c r="W1030" s="0" t="s">
        <v>138</v>
      </c>
      <c r="X1030" s="14" t="s">
        <v>138</v>
      </c>
      <c r="Y1030" s="0" t="s">
        <v>138</v>
      </c>
      <c r="Z1030" s="14" t="s">
        <v>138</v>
      </c>
      <c r="AA1030" s="0" t="s">
        <v>138</v>
      </c>
      <c r="AB1030" s="14" t="s">
        <v>138</v>
      </c>
      <c r="AD1030" s="0" t="s">
        <v>138</v>
      </c>
      <c r="AF1030" s="0">
        <v>0</v>
      </c>
      <c r="AG1030" s="0">
        <v>0</v>
      </c>
      <c r="AH1030" s="0" t="s">
        <v>140</v>
      </c>
      <c r="AI1030" s="0" t="s">
        <v>138</v>
      </c>
      <c r="AL1030" s="14"/>
      <c r="AN1030" s="14"/>
      <c r="AQ1030" s="0" t="s">
        <v>130</v>
      </c>
      <c r="AR1030" s="0" t="s">
        <v>130</v>
      </c>
      <c r="AS1030" s="0" t="s">
        <v>130</v>
      </c>
      <c r="AT1030" s="0" t="s">
        <v>130</v>
      </c>
      <c r="AU1030" s="0" t="s">
        <v>130</v>
      </c>
      <c r="AV1030" s="0" t="s">
        <v>130</v>
      </c>
      <c r="AW1030" s="0" t="s">
        <v>130</v>
      </c>
      <c r="AX1030" s="0" t="s">
        <v>130</v>
      </c>
      <c r="AY1030" s="0" t="s">
        <v>130</v>
      </c>
      <c r="AZ1030" s="0" t="s">
        <v>130</v>
      </c>
      <c r="BA1030" s="0" t="s">
        <v>130</v>
      </c>
      <c r="BB1030" s="0" t="s">
        <v>130</v>
      </c>
      <c r="BC1030" s="0" t="s">
        <v>130</v>
      </c>
      <c r="BD1030" s="0" t="s">
        <v>130</v>
      </c>
      <c r="BE1030" s="0" t="s">
        <v>130</v>
      </c>
      <c r="BF1030" s="0" t="s">
        <v>130</v>
      </c>
      <c r="BG1030" s="0" t="s">
        <v>130</v>
      </c>
      <c r="BH1030" s="0" t="s">
        <v>130</v>
      </c>
      <c r="BI1030" s="0" t="s">
        <v>130</v>
      </c>
      <c r="BJ1030" s="0" t="s">
        <v>130</v>
      </c>
      <c r="BK1030" s="0" t="s">
        <v>130</v>
      </c>
      <c r="BL1030" s="0" t="s">
        <v>130</v>
      </c>
      <c r="BM1030" s="0" t="s">
        <v>130</v>
      </c>
      <c r="BN1030" s="0" t="s">
        <v>130</v>
      </c>
      <c r="BO1030" s="0" t="s">
        <v>130</v>
      </c>
      <c r="BP1030" s="0" t="s">
        <v>130</v>
      </c>
      <c r="BQ1030" s="0" t="s">
        <v>130</v>
      </c>
      <c r="BR1030" s="0" t="s">
        <v>130</v>
      </c>
      <c r="BS1030" s="0" t="s">
        <v>130</v>
      </c>
      <c r="BT1030" s="0" t="s">
        <v>130</v>
      </c>
      <c r="BU1030" s="0" t="s">
        <v>130</v>
      </c>
      <c r="BV1030" s="0" t="s">
        <v>130</v>
      </c>
      <c r="BW1030" s="0" t="s">
        <v>130</v>
      </c>
      <c r="BX1030" s="0" t="s">
        <v>130</v>
      </c>
      <c r="BY1030" s="0" t="s">
        <v>130</v>
      </c>
      <c r="BZ1030" s="0" t="s">
        <v>130</v>
      </c>
      <c r="CA1030" s="0" t="s">
        <v>130</v>
      </c>
      <c r="CB1030" s="0" t="s">
        <v>130</v>
      </c>
      <c r="CC1030" s="0" t="s">
        <v>130</v>
      </c>
      <c r="CD1030" s="0" t="s">
        <v>130</v>
      </c>
      <c r="CE1030" s="0" t="s">
        <v>130</v>
      </c>
      <c r="CF1030" s="0" t="s">
        <v>130</v>
      </c>
      <c r="CG1030" s="0" t="s">
        <v>130</v>
      </c>
      <c r="CH1030" s="0" t="s">
        <v>130</v>
      </c>
      <c r="CI1030" s="0" t="s">
        <v>130</v>
      </c>
      <c r="CJ1030" s="0" t="s">
        <v>130</v>
      </c>
      <c r="CK1030" s="0" t="s">
        <v>130</v>
      </c>
      <c r="CL1030" s="0" t="s">
        <v>130</v>
      </c>
      <c r="CM1030" s="0" t="s">
        <v>130</v>
      </c>
      <c r="CN1030" s="0" t="s">
        <v>130</v>
      </c>
      <c r="CO1030" s="0" t="s">
        <v>130</v>
      </c>
      <c r="CP1030" s="0" t="s">
        <v>130</v>
      </c>
      <c r="CQ1030" s="0" t="s">
        <v>130</v>
      </c>
      <c r="CR1030" s="0" t="s">
        <v>130</v>
      </c>
      <c r="CS1030" s="0" t="s">
        <v>130</v>
      </c>
      <c r="CT1030" s="0" t="s">
        <v>3120</v>
      </c>
    </row>
    <row r="1031">
      <c r="A1031" s="14">
        <v>174545</v>
      </c>
      <c r="B1031" s="0" t="s">
        <v>3121</v>
      </c>
      <c r="C1031" s="16">
        <f>HYPERLINK("https://eosportal.federatedhermes.com/companies/Q29tcGFueQppNjA1MzA=", "Infosys Ltd")</f>
      </c>
      <c r="D1031" s="0" t="s">
        <v>25</v>
      </c>
      <c r="E1031" s="0" t="s">
        <v>3122</v>
      </c>
      <c r="F1031" s="16">
        <f>HYPERLINK("https://eosportal.federatedhermes.com/engagements/RW5nYWdlbWVudAppMjQ0OTQ=", "Infosys Technologies Ltd-Governance-Board Structure")</f>
      </c>
      <c r="G1031" s="14" t="s">
        <v>3123</v>
      </c>
      <c r="H1031" s="0" t="s">
        <v>130</v>
      </c>
      <c r="I1031" s="14" t="s">
        <v>131</v>
      </c>
      <c r="J1031" s="0" t="s">
        <v>145</v>
      </c>
      <c r="K1031" s="0" t="s">
        <v>164</v>
      </c>
      <c r="L1031" s="0" t="s">
        <v>165</v>
      </c>
      <c r="M1031" s="0" t="s">
        <v>2807</v>
      </c>
      <c r="N1031" s="0" t="s">
        <v>2969</v>
      </c>
      <c r="O1031" s="0" t="s">
        <v>137</v>
      </c>
      <c r="Q1031" s="0" t="s">
        <v>130</v>
      </c>
      <c r="R1031" s="0" t="s">
        <v>138</v>
      </c>
      <c r="S1031" s="14">
        <v>0</v>
      </c>
      <c r="T1031" s="0" t="s">
        <v>1321</v>
      </c>
      <c r="U1031" s="0" t="s">
        <v>138</v>
      </c>
      <c r="V1031" s="14" t="s">
        <v>138</v>
      </c>
      <c r="W1031" s="0" t="s">
        <v>138</v>
      </c>
      <c r="X1031" s="14" t="s">
        <v>138</v>
      </c>
      <c r="Y1031" s="0" t="s">
        <v>138</v>
      </c>
      <c r="Z1031" s="14" t="s">
        <v>138</v>
      </c>
      <c r="AA1031" s="0" t="s">
        <v>138</v>
      </c>
      <c r="AB1031" s="14" t="s">
        <v>138</v>
      </c>
      <c r="AD1031" s="0" t="s">
        <v>138</v>
      </c>
      <c r="AF1031" s="0">
        <v>0</v>
      </c>
      <c r="AG1031" s="0">
        <v>0</v>
      </c>
      <c r="AH1031" s="0" t="s">
        <v>140</v>
      </c>
      <c r="AI1031" s="0" t="s">
        <v>138</v>
      </c>
      <c r="AL1031" s="14"/>
      <c r="AN1031" s="14"/>
      <c r="AQ1031" s="0" t="s">
        <v>130</v>
      </c>
      <c r="AR1031" s="0" t="s">
        <v>130</v>
      </c>
      <c r="AS1031" s="0" t="s">
        <v>130</v>
      </c>
      <c r="AT1031" s="0" t="s">
        <v>130</v>
      </c>
      <c r="AU1031" s="0" t="s">
        <v>130</v>
      </c>
      <c r="AV1031" s="0" t="s">
        <v>130</v>
      </c>
      <c r="AW1031" s="0" t="s">
        <v>130</v>
      </c>
      <c r="AX1031" s="0" t="s">
        <v>130</v>
      </c>
      <c r="AY1031" s="0" t="s">
        <v>130</v>
      </c>
      <c r="AZ1031" s="0" t="s">
        <v>130</v>
      </c>
      <c r="BA1031" s="0" t="s">
        <v>130</v>
      </c>
      <c r="BB1031" s="0" t="s">
        <v>130</v>
      </c>
      <c r="BC1031" s="0" t="s">
        <v>130</v>
      </c>
      <c r="BD1031" s="0" t="s">
        <v>130</v>
      </c>
      <c r="BE1031" s="0" t="s">
        <v>130</v>
      </c>
      <c r="BF1031" s="0" t="s">
        <v>130</v>
      </c>
      <c r="BG1031" s="0" t="s">
        <v>130</v>
      </c>
      <c r="BH1031" s="0" t="s">
        <v>130</v>
      </c>
      <c r="BI1031" s="0" t="s">
        <v>130</v>
      </c>
      <c r="BJ1031" s="0" t="s">
        <v>130</v>
      </c>
      <c r="BK1031" s="0" t="s">
        <v>130</v>
      </c>
      <c r="BL1031" s="0" t="s">
        <v>130</v>
      </c>
      <c r="BM1031" s="0" t="s">
        <v>130</v>
      </c>
      <c r="BN1031" s="0" t="s">
        <v>130</v>
      </c>
      <c r="BO1031" s="0" t="s">
        <v>130</v>
      </c>
      <c r="BP1031" s="0" t="s">
        <v>130</v>
      </c>
      <c r="BQ1031" s="0" t="s">
        <v>130</v>
      </c>
      <c r="BR1031" s="0" t="s">
        <v>130</v>
      </c>
      <c r="BS1031" s="0" t="s">
        <v>130</v>
      </c>
      <c r="BT1031" s="0" t="s">
        <v>130</v>
      </c>
      <c r="BU1031" s="0" t="s">
        <v>130</v>
      </c>
      <c r="BV1031" s="0" t="s">
        <v>130</v>
      </c>
      <c r="BW1031" s="0" t="s">
        <v>130</v>
      </c>
      <c r="BX1031" s="0" t="s">
        <v>130</v>
      </c>
      <c r="BY1031" s="0" t="s">
        <v>130</v>
      </c>
      <c r="BZ1031" s="0" t="s">
        <v>130</v>
      </c>
      <c r="CA1031" s="0" t="s">
        <v>130</v>
      </c>
      <c r="CB1031" s="0" t="s">
        <v>130</v>
      </c>
      <c r="CC1031" s="0" t="s">
        <v>130</v>
      </c>
      <c r="CD1031" s="0" t="s">
        <v>130</v>
      </c>
      <c r="CE1031" s="0" t="s">
        <v>130</v>
      </c>
      <c r="CF1031" s="0" t="s">
        <v>130</v>
      </c>
      <c r="CG1031" s="0" t="s">
        <v>130</v>
      </c>
      <c r="CH1031" s="0" t="s">
        <v>130</v>
      </c>
      <c r="CI1031" s="0" t="s">
        <v>130</v>
      </c>
      <c r="CJ1031" s="0" t="s">
        <v>130</v>
      </c>
      <c r="CK1031" s="0" t="s">
        <v>130</v>
      </c>
      <c r="CL1031" s="0" t="s">
        <v>130</v>
      </c>
      <c r="CM1031" s="0" t="s">
        <v>130</v>
      </c>
      <c r="CN1031" s="0" t="s">
        <v>130</v>
      </c>
      <c r="CO1031" s="0" t="s">
        <v>130</v>
      </c>
      <c r="CP1031" s="0" t="s">
        <v>130</v>
      </c>
      <c r="CQ1031" s="0" t="s">
        <v>130</v>
      </c>
      <c r="CR1031" s="0" t="s">
        <v>130</v>
      </c>
      <c r="CS1031" s="0" t="s">
        <v>130</v>
      </c>
      <c r="CT1031" s="0" t="s">
        <v>3124</v>
      </c>
    </row>
    <row r="1032">
      <c r="A1032" s="14">
        <v>174545</v>
      </c>
      <c r="B1032" s="0" t="s">
        <v>3121</v>
      </c>
      <c r="C1032" s="16">
        <f>HYPERLINK("https://eosportal.federatedhermes.com/companies/Q29tcGFueQppNjA1MzA=", "Infosys Ltd")</f>
      </c>
      <c r="D1032" s="0" t="s">
        <v>25</v>
      </c>
      <c r="E1032" s="0" t="s">
        <v>618</v>
      </c>
      <c r="F1032" s="16">
        <f>HYPERLINK("https://eosportal.federatedhermes.com/engagements/RW5nYWdlbWVudAppMjQ0OTU=", "Myanmar")</f>
      </c>
      <c r="G1032" s="14" t="s">
        <v>3125</v>
      </c>
      <c r="H1032" s="0" t="s">
        <v>130</v>
      </c>
      <c r="I1032" s="14" t="s">
        <v>131</v>
      </c>
      <c r="J1032" s="0" t="s">
        <v>153</v>
      </c>
      <c r="K1032" s="0" t="s">
        <v>243</v>
      </c>
      <c r="L1032" s="0" t="s">
        <v>456</v>
      </c>
      <c r="M1032" s="0" t="s">
        <v>2807</v>
      </c>
      <c r="N1032" s="0" t="s">
        <v>2969</v>
      </c>
      <c r="O1032" s="0" t="s">
        <v>137</v>
      </c>
      <c r="Q1032" s="0" t="s">
        <v>130</v>
      </c>
      <c r="R1032" s="0" t="s">
        <v>138</v>
      </c>
      <c r="S1032" s="14">
        <v>0</v>
      </c>
      <c r="T1032" s="0" t="s">
        <v>327</v>
      </c>
      <c r="U1032" s="0" t="s">
        <v>138</v>
      </c>
      <c r="V1032" s="14" t="s">
        <v>138</v>
      </c>
      <c r="W1032" s="0" t="s">
        <v>138</v>
      </c>
      <c r="X1032" s="14" t="s">
        <v>138</v>
      </c>
      <c r="Y1032" s="0" t="s">
        <v>138</v>
      </c>
      <c r="Z1032" s="14" t="s">
        <v>138</v>
      </c>
      <c r="AA1032" s="0" t="s">
        <v>138</v>
      </c>
      <c r="AB1032" s="14" t="s">
        <v>138</v>
      </c>
      <c r="AD1032" s="0" t="s">
        <v>138</v>
      </c>
      <c r="AF1032" s="0">
        <v>0</v>
      </c>
      <c r="AG1032" s="0">
        <v>0</v>
      </c>
      <c r="AH1032" s="0" t="s">
        <v>140</v>
      </c>
      <c r="AI1032" s="0" t="s">
        <v>138</v>
      </c>
      <c r="AL1032" s="14"/>
      <c r="AN1032" s="14"/>
      <c r="AQ1032" s="0" t="s">
        <v>130</v>
      </c>
      <c r="AR1032" s="0" t="s">
        <v>130</v>
      </c>
      <c r="AS1032" s="0" t="s">
        <v>130</v>
      </c>
      <c r="AT1032" s="0" t="s">
        <v>130</v>
      </c>
      <c r="AU1032" s="0" t="s">
        <v>130</v>
      </c>
      <c r="AV1032" s="0" t="s">
        <v>130</v>
      </c>
      <c r="AW1032" s="0" t="s">
        <v>130</v>
      </c>
      <c r="AX1032" s="0" t="s">
        <v>130</v>
      </c>
      <c r="AY1032" s="0" t="s">
        <v>130</v>
      </c>
      <c r="AZ1032" s="0" t="s">
        <v>130</v>
      </c>
      <c r="BA1032" s="0" t="s">
        <v>130</v>
      </c>
      <c r="BB1032" s="0" t="s">
        <v>130</v>
      </c>
      <c r="BC1032" s="0" t="s">
        <v>130</v>
      </c>
      <c r="BD1032" s="0" t="s">
        <v>130</v>
      </c>
      <c r="BE1032" s="0" t="s">
        <v>130</v>
      </c>
      <c r="BF1032" s="0" t="s">
        <v>141</v>
      </c>
      <c r="BG1032" s="0" t="s">
        <v>130</v>
      </c>
      <c r="BH1032" s="0" t="s">
        <v>130</v>
      </c>
      <c r="BI1032" s="0" t="s">
        <v>130</v>
      </c>
      <c r="BJ1032" s="0" t="s">
        <v>130</v>
      </c>
      <c r="BK1032" s="0" t="s">
        <v>130</v>
      </c>
      <c r="BL1032" s="0" t="s">
        <v>130</v>
      </c>
      <c r="BM1032" s="0" t="s">
        <v>130</v>
      </c>
      <c r="BN1032" s="0" t="s">
        <v>130</v>
      </c>
      <c r="BO1032" s="0" t="s">
        <v>130</v>
      </c>
      <c r="BP1032" s="0" t="s">
        <v>130</v>
      </c>
      <c r="BQ1032" s="0" t="s">
        <v>130</v>
      </c>
      <c r="BR1032" s="0" t="s">
        <v>130</v>
      </c>
      <c r="BS1032" s="0" t="s">
        <v>130</v>
      </c>
      <c r="BT1032" s="0" t="s">
        <v>130</v>
      </c>
      <c r="BU1032" s="0" t="s">
        <v>130</v>
      </c>
      <c r="BV1032" s="0" t="s">
        <v>130</v>
      </c>
      <c r="BW1032" s="0" t="s">
        <v>130</v>
      </c>
      <c r="BX1032" s="0" t="s">
        <v>130</v>
      </c>
      <c r="BY1032" s="0" t="s">
        <v>130</v>
      </c>
      <c r="BZ1032" s="0" t="s">
        <v>130</v>
      </c>
      <c r="CA1032" s="0" t="s">
        <v>130</v>
      </c>
      <c r="CB1032" s="0" t="s">
        <v>130</v>
      </c>
      <c r="CC1032" s="0" t="s">
        <v>130</v>
      </c>
      <c r="CD1032" s="0" t="s">
        <v>130</v>
      </c>
      <c r="CE1032" s="0" t="s">
        <v>130</v>
      </c>
      <c r="CF1032" s="0" t="s">
        <v>130</v>
      </c>
      <c r="CG1032" s="0" t="s">
        <v>130</v>
      </c>
      <c r="CH1032" s="0" t="s">
        <v>130</v>
      </c>
      <c r="CI1032" s="0" t="s">
        <v>130</v>
      </c>
      <c r="CJ1032" s="0" t="s">
        <v>130</v>
      </c>
      <c r="CK1032" s="0" t="s">
        <v>130</v>
      </c>
      <c r="CL1032" s="0" t="s">
        <v>130</v>
      </c>
      <c r="CM1032" s="0" t="s">
        <v>130</v>
      </c>
      <c r="CN1032" s="0" t="s">
        <v>130</v>
      </c>
      <c r="CO1032" s="0" t="s">
        <v>130</v>
      </c>
      <c r="CP1032" s="0" t="s">
        <v>130</v>
      </c>
      <c r="CQ1032" s="0" t="s">
        <v>130</v>
      </c>
      <c r="CR1032" s="0" t="s">
        <v>130</v>
      </c>
      <c r="CS1032" s="0" t="s">
        <v>130</v>
      </c>
      <c r="CT1032" s="0" t="s">
        <v>3126</v>
      </c>
    </row>
    <row r="1033">
      <c r="A1033" s="14">
        <v>176795</v>
      </c>
      <c r="B1033" s="0" t="s">
        <v>3127</v>
      </c>
      <c r="C1033" s="16">
        <f>HYPERLINK("https://eosportal.federatedhermes.com/companies/Q29tcGFueQppNjA1NzI=", "Merck KGaA")</f>
      </c>
      <c r="D1033" s="0" t="s">
        <v>25</v>
      </c>
      <c r="E1033" s="0" t="s">
        <v>907</v>
      </c>
      <c r="F1033" s="16">
        <f>HYPERLINK("https://eosportal.federatedhermes.com/engagements/RW5nYWdlbWVudAppMjQ1MDA=", "Climate change")</f>
      </c>
      <c r="G1033" s="14" t="s">
        <v>3128</v>
      </c>
      <c r="H1033" s="0" t="s">
        <v>130</v>
      </c>
      <c r="I1033" s="14" t="s">
        <v>319</v>
      </c>
      <c r="J1033" s="0" t="s">
        <v>197</v>
      </c>
      <c r="K1033" s="0" t="s">
        <v>198</v>
      </c>
      <c r="L1033" s="0" t="s">
        <v>199</v>
      </c>
      <c r="M1033" s="0" t="s">
        <v>378</v>
      </c>
      <c r="N1033" s="0" t="s">
        <v>2485</v>
      </c>
      <c r="O1033" s="0" t="s">
        <v>274</v>
      </c>
      <c r="Q1033" s="0" t="s">
        <v>130</v>
      </c>
      <c r="R1033" s="0" t="s">
        <v>138</v>
      </c>
      <c r="S1033" s="14">
        <v>0</v>
      </c>
      <c r="T1033" s="0" t="s">
        <v>206</v>
      </c>
      <c r="U1033" s="0" t="s">
        <v>138</v>
      </c>
      <c r="V1033" s="14" t="s">
        <v>138</v>
      </c>
      <c r="W1033" s="0" t="s">
        <v>138</v>
      </c>
      <c r="X1033" s="14" t="s">
        <v>138</v>
      </c>
      <c r="Y1033" s="0" t="s">
        <v>138</v>
      </c>
      <c r="Z1033" s="14" t="s">
        <v>138</v>
      </c>
      <c r="AA1033" s="0" t="s">
        <v>138</v>
      </c>
      <c r="AB1033" s="14" t="s">
        <v>138</v>
      </c>
      <c r="AD1033" s="0" t="s">
        <v>138</v>
      </c>
      <c r="AF1033" s="0">
        <v>0</v>
      </c>
      <c r="AG1033" s="0">
        <v>0</v>
      </c>
      <c r="AH1033" s="0" t="s">
        <v>140</v>
      </c>
      <c r="AI1033" s="0" t="s">
        <v>138</v>
      </c>
      <c r="AL1033" s="14"/>
      <c r="AN1033" s="14"/>
      <c r="AQ1033" s="0" t="s">
        <v>130</v>
      </c>
      <c r="AR1033" s="0" t="s">
        <v>130</v>
      </c>
      <c r="AS1033" s="0" t="s">
        <v>130</v>
      </c>
      <c r="AT1033" s="0" t="s">
        <v>130</v>
      </c>
      <c r="AU1033" s="0" t="s">
        <v>130</v>
      </c>
      <c r="AV1033" s="0" t="s">
        <v>130</v>
      </c>
      <c r="AW1033" s="0" t="s">
        <v>130</v>
      </c>
      <c r="AX1033" s="0" t="s">
        <v>130</v>
      </c>
      <c r="AY1033" s="0" t="s">
        <v>130</v>
      </c>
      <c r="AZ1033" s="0" t="s">
        <v>130</v>
      </c>
      <c r="BA1033" s="0" t="s">
        <v>130</v>
      </c>
      <c r="BB1033" s="0" t="s">
        <v>141</v>
      </c>
      <c r="BC1033" s="0" t="s">
        <v>130</v>
      </c>
      <c r="BD1033" s="0" t="s">
        <v>130</v>
      </c>
      <c r="BE1033" s="0" t="s">
        <v>130</v>
      </c>
      <c r="BF1033" s="0" t="s">
        <v>130</v>
      </c>
      <c r="BG1033" s="0" t="s">
        <v>130</v>
      </c>
      <c r="BH1033" s="0" t="s">
        <v>130</v>
      </c>
      <c r="BI1033" s="0" t="s">
        <v>130</v>
      </c>
      <c r="BJ1033" s="0" t="s">
        <v>130</v>
      </c>
      <c r="BK1033" s="0" t="s">
        <v>130</v>
      </c>
      <c r="BL1033" s="0" t="s">
        <v>130</v>
      </c>
      <c r="BM1033" s="0" t="s">
        <v>130</v>
      </c>
      <c r="BN1033" s="0" t="s">
        <v>130</v>
      </c>
      <c r="BO1033" s="0" t="s">
        <v>130</v>
      </c>
      <c r="BP1033" s="0" t="s">
        <v>130</v>
      </c>
      <c r="BQ1033" s="0" t="s">
        <v>130</v>
      </c>
      <c r="BR1033" s="0" t="s">
        <v>130</v>
      </c>
      <c r="BS1033" s="0" t="s">
        <v>130</v>
      </c>
      <c r="BT1033" s="0" t="s">
        <v>130</v>
      </c>
      <c r="BU1033" s="0" t="s">
        <v>130</v>
      </c>
      <c r="BV1033" s="0" t="s">
        <v>130</v>
      </c>
      <c r="BW1033" s="0" t="s">
        <v>130</v>
      </c>
      <c r="BX1033" s="0" t="s">
        <v>130</v>
      </c>
      <c r="BY1033" s="0" t="s">
        <v>130</v>
      </c>
      <c r="BZ1033" s="0" t="s">
        <v>130</v>
      </c>
      <c r="CA1033" s="0" t="s">
        <v>130</v>
      </c>
      <c r="CB1033" s="0" t="s">
        <v>130</v>
      </c>
      <c r="CC1033" s="0" t="s">
        <v>130</v>
      </c>
      <c r="CD1033" s="0" t="s">
        <v>130</v>
      </c>
      <c r="CE1033" s="0" t="s">
        <v>130</v>
      </c>
      <c r="CF1033" s="0" t="s">
        <v>130</v>
      </c>
      <c r="CG1033" s="0" t="s">
        <v>130</v>
      </c>
      <c r="CH1033" s="0" t="s">
        <v>130</v>
      </c>
      <c r="CI1033" s="0" t="s">
        <v>130</v>
      </c>
      <c r="CJ1033" s="0" t="s">
        <v>130</v>
      </c>
      <c r="CK1033" s="0" t="s">
        <v>130</v>
      </c>
      <c r="CL1033" s="0" t="s">
        <v>130</v>
      </c>
      <c r="CM1033" s="0" t="s">
        <v>130</v>
      </c>
      <c r="CN1033" s="0" t="s">
        <v>130</v>
      </c>
      <c r="CO1033" s="0" t="s">
        <v>130</v>
      </c>
      <c r="CP1033" s="0" t="s">
        <v>130</v>
      </c>
      <c r="CQ1033" s="0" t="s">
        <v>130</v>
      </c>
      <c r="CR1033" s="0" t="s">
        <v>130</v>
      </c>
      <c r="CS1033" s="0" t="s">
        <v>130</v>
      </c>
      <c r="CT1033" s="0" t="s">
        <v>3129</v>
      </c>
    </row>
    <row r="1034">
      <c r="A1034" s="14">
        <v>176795</v>
      </c>
      <c r="B1034" s="0" t="s">
        <v>3127</v>
      </c>
      <c r="C1034" s="16">
        <f>HYPERLINK("https://eosportal.federatedhermes.com/companies/Q29tcGFueQppNjA1NzI=", "Merck KGaA")</f>
      </c>
      <c r="D1034" s="0" t="s">
        <v>25</v>
      </c>
      <c r="E1034" s="0" t="s">
        <v>3130</v>
      </c>
      <c r="F1034" s="16">
        <f>HYPERLINK("https://eosportal.federatedhermes.com/engagements/RW5nYWdlbWVudAppMjQ1MDE=", "Executive remuneration policy")</f>
      </c>
      <c r="G1034" s="14" t="s">
        <v>3131</v>
      </c>
      <c r="H1034" s="0" t="s">
        <v>130</v>
      </c>
      <c r="I1034" s="14" t="s">
        <v>319</v>
      </c>
      <c r="J1034" s="0" t="s">
        <v>145</v>
      </c>
      <c r="K1034" s="0" t="s">
        <v>146</v>
      </c>
      <c r="L1034" s="0" t="s">
        <v>147</v>
      </c>
      <c r="M1034" s="0" t="s">
        <v>378</v>
      </c>
      <c r="N1034" s="0" t="s">
        <v>2485</v>
      </c>
      <c r="O1034" s="0" t="s">
        <v>274</v>
      </c>
      <c r="Q1034" s="0" t="s">
        <v>130</v>
      </c>
      <c r="R1034" s="0" t="s">
        <v>138</v>
      </c>
      <c r="S1034" s="14">
        <v>0</v>
      </c>
      <c r="T1034" s="0" t="s">
        <v>239</v>
      </c>
      <c r="U1034" s="0" t="s">
        <v>138</v>
      </c>
      <c r="V1034" s="14" t="s">
        <v>138</v>
      </c>
      <c r="W1034" s="0" t="s">
        <v>138</v>
      </c>
      <c r="X1034" s="14" t="s">
        <v>138</v>
      </c>
      <c r="Y1034" s="0" t="s">
        <v>138</v>
      </c>
      <c r="Z1034" s="14" t="s">
        <v>138</v>
      </c>
      <c r="AA1034" s="0" t="s">
        <v>138</v>
      </c>
      <c r="AB1034" s="14" t="s">
        <v>138</v>
      </c>
      <c r="AD1034" s="0" t="s">
        <v>138</v>
      </c>
      <c r="AF1034" s="0">
        <v>0</v>
      </c>
      <c r="AG1034" s="0">
        <v>0</v>
      </c>
      <c r="AH1034" s="0" t="s">
        <v>140</v>
      </c>
      <c r="AI1034" s="0" t="s">
        <v>138</v>
      </c>
      <c r="AL1034" s="14"/>
      <c r="AN1034" s="14"/>
      <c r="AQ1034" s="0" t="s">
        <v>130</v>
      </c>
      <c r="AR1034" s="0" t="s">
        <v>130</v>
      </c>
      <c r="AS1034" s="0" t="s">
        <v>130</v>
      </c>
      <c r="AT1034" s="0" t="s">
        <v>130</v>
      </c>
      <c r="AU1034" s="0" t="s">
        <v>130</v>
      </c>
      <c r="AV1034" s="0" t="s">
        <v>130</v>
      </c>
      <c r="AW1034" s="0" t="s">
        <v>130</v>
      </c>
      <c r="AX1034" s="0" t="s">
        <v>130</v>
      </c>
      <c r="AY1034" s="0" t="s">
        <v>130</v>
      </c>
      <c r="AZ1034" s="0" t="s">
        <v>130</v>
      </c>
      <c r="BA1034" s="0" t="s">
        <v>130</v>
      </c>
      <c r="BB1034" s="0" t="s">
        <v>130</v>
      </c>
      <c r="BC1034" s="0" t="s">
        <v>130</v>
      </c>
      <c r="BD1034" s="0" t="s">
        <v>130</v>
      </c>
      <c r="BE1034" s="0" t="s">
        <v>130</v>
      </c>
      <c r="BF1034" s="0" t="s">
        <v>130</v>
      </c>
      <c r="BG1034" s="0" t="s">
        <v>130</v>
      </c>
      <c r="BH1034" s="0" t="s">
        <v>130</v>
      </c>
      <c r="BI1034" s="0" t="s">
        <v>130</v>
      </c>
      <c r="BJ1034" s="0" t="s">
        <v>130</v>
      </c>
      <c r="BK1034" s="0" t="s">
        <v>130</v>
      </c>
      <c r="BL1034" s="0" t="s">
        <v>130</v>
      </c>
      <c r="BM1034" s="0" t="s">
        <v>130</v>
      </c>
      <c r="BN1034" s="0" t="s">
        <v>130</v>
      </c>
      <c r="BO1034" s="0" t="s">
        <v>130</v>
      </c>
      <c r="BP1034" s="0" t="s">
        <v>130</v>
      </c>
      <c r="BQ1034" s="0" t="s">
        <v>130</v>
      </c>
      <c r="BR1034" s="0" t="s">
        <v>130</v>
      </c>
      <c r="BS1034" s="0" t="s">
        <v>130</v>
      </c>
      <c r="BT1034" s="0" t="s">
        <v>130</v>
      </c>
      <c r="BU1034" s="0" t="s">
        <v>130</v>
      </c>
      <c r="BV1034" s="0" t="s">
        <v>130</v>
      </c>
      <c r="BW1034" s="0" t="s">
        <v>130</v>
      </c>
      <c r="BX1034" s="0" t="s">
        <v>130</v>
      </c>
      <c r="BY1034" s="0" t="s">
        <v>130</v>
      </c>
      <c r="BZ1034" s="0" t="s">
        <v>130</v>
      </c>
      <c r="CA1034" s="0" t="s">
        <v>130</v>
      </c>
      <c r="CB1034" s="0" t="s">
        <v>130</v>
      </c>
      <c r="CC1034" s="0" t="s">
        <v>130</v>
      </c>
      <c r="CD1034" s="0" t="s">
        <v>130</v>
      </c>
      <c r="CE1034" s="0" t="s">
        <v>130</v>
      </c>
      <c r="CF1034" s="0" t="s">
        <v>130</v>
      </c>
      <c r="CG1034" s="0" t="s">
        <v>130</v>
      </c>
      <c r="CH1034" s="0" t="s">
        <v>130</v>
      </c>
      <c r="CI1034" s="0" t="s">
        <v>130</v>
      </c>
      <c r="CJ1034" s="0" t="s">
        <v>130</v>
      </c>
      <c r="CK1034" s="0" t="s">
        <v>130</v>
      </c>
      <c r="CL1034" s="0" t="s">
        <v>130</v>
      </c>
      <c r="CM1034" s="0" t="s">
        <v>130</v>
      </c>
      <c r="CN1034" s="0" t="s">
        <v>130</v>
      </c>
      <c r="CO1034" s="0" t="s">
        <v>130</v>
      </c>
      <c r="CP1034" s="0" t="s">
        <v>130</v>
      </c>
      <c r="CQ1034" s="0" t="s">
        <v>130</v>
      </c>
      <c r="CR1034" s="0" t="s">
        <v>130</v>
      </c>
      <c r="CS1034" s="0" t="s">
        <v>130</v>
      </c>
      <c r="CT1034" s="0" t="s">
        <v>3132</v>
      </c>
    </row>
    <row r="1035">
      <c r="A1035" s="14">
        <v>176984</v>
      </c>
      <c r="B1035" s="0" t="s">
        <v>3133</v>
      </c>
      <c r="C1035" s="16">
        <f>HYPERLINK("https://eosportal.federatedhermes.com/companies/Q29tcGFueQppNzMzODM=", "Belimo Holding AG")</f>
      </c>
      <c r="D1035" s="0" t="s">
        <v>25</v>
      </c>
      <c r="E1035" s="0" t="s">
        <v>3134</v>
      </c>
      <c r="F1035" s="16">
        <f>HYPERLINK("https://eosportal.federatedhermes.com/engagements/RW5nYWdlbWVudAppMjQ1MTk=", "Gender diversity on the board")</f>
      </c>
      <c r="G1035" s="14" t="s">
        <v>3135</v>
      </c>
      <c r="H1035" s="0" t="s">
        <v>130</v>
      </c>
      <c r="I1035" s="14" t="s">
        <v>131</v>
      </c>
      <c r="J1035" s="0" t="s">
        <v>145</v>
      </c>
      <c r="K1035" s="0" t="s">
        <v>164</v>
      </c>
      <c r="L1035" s="0" t="s">
        <v>165</v>
      </c>
      <c r="M1035" s="0" t="s">
        <v>378</v>
      </c>
      <c r="N1035" s="0" t="s">
        <v>1059</v>
      </c>
      <c r="O1035" s="0" t="s">
        <v>176</v>
      </c>
      <c r="Q1035" s="0" t="s">
        <v>130</v>
      </c>
      <c r="R1035" s="0" t="s">
        <v>138</v>
      </c>
      <c r="S1035" s="14">
        <v>0</v>
      </c>
      <c r="T1035" s="0" t="s">
        <v>394</v>
      </c>
      <c r="U1035" s="0" t="s">
        <v>138</v>
      </c>
      <c r="V1035" s="14" t="s">
        <v>138</v>
      </c>
      <c r="W1035" s="0" t="s">
        <v>138</v>
      </c>
      <c r="X1035" s="14" t="s">
        <v>138</v>
      </c>
      <c r="Y1035" s="0" t="s">
        <v>138</v>
      </c>
      <c r="Z1035" s="14" t="s">
        <v>138</v>
      </c>
      <c r="AA1035" s="0" t="s">
        <v>138</v>
      </c>
      <c r="AB1035" s="14" t="s">
        <v>138</v>
      </c>
      <c r="AD1035" s="0" t="s">
        <v>138</v>
      </c>
      <c r="AF1035" s="0">
        <v>0</v>
      </c>
      <c r="AG1035" s="0">
        <v>0</v>
      </c>
      <c r="AH1035" s="0" t="s">
        <v>140</v>
      </c>
      <c r="AI1035" s="0" t="s">
        <v>138</v>
      </c>
      <c r="AL1035" s="14"/>
      <c r="AN1035" s="14"/>
      <c r="AQ1035" s="0" t="s">
        <v>130</v>
      </c>
      <c r="AR1035" s="0" t="s">
        <v>130</v>
      </c>
      <c r="AS1035" s="0" t="s">
        <v>130</v>
      </c>
      <c r="AT1035" s="0" t="s">
        <v>130</v>
      </c>
      <c r="AU1035" s="0" t="s">
        <v>141</v>
      </c>
      <c r="AV1035" s="0" t="s">
        <v>130</v>
      </c>
      <c r="AW1035" s="0" t="s">
        <v>130</v>
      </c>
      <c r="AX1035" s="0" t="s">
        <v>130</v>
      </c>
      <c r="AY1035" s="0" t="s">
        <v>130</v>
      </c>
      <c r="AZ1035" s="0" t="s">
        <v>130</v>
      </c>
      <c r="BA1035" s="0" t="s">
        <v>130</v>
      </c>
      <c r="BB1035" s="0" t="s">
        <v>130</v>
      </c>
      <c r="BC1035" s="0" t="s">
        <v>130</v>
      </c>
      <c r="BD1035" s="0" t="s">
        <v>130</v>
      </c>
      <c r="BE1035" s="0" t="s">
        <v>130</v>
      </c>
      <c r="BF1035" s="0" t="s">
        <v>130</v>
      </c>
      <c r="BG1035" s="0" t="s">
        <v>130</v>
      </c>
      <c r="BH1035" s="0" t="s">
        <v>130</v>
      </c>
      <c r="BI1035" s="0" t="s">
        <v>130</v>
      </c>
      <c r="BJ1035" s="0" t="s">
        <v>130</v>
      </c>
      <c r="BK1035" s="0" t="s">
        <v>130</v>
      </c>
      <c r="BL1035" s="0" t="s">
        <v>130</v>
      </c>
      <c r="BM1035" s="0" t="s">
        <v>130</v>
      </c>
      <c r="BN1035" s="0" t="s">
        <v>130</v>
      </c>
      <c r="BO1035" s="0" t="s">
        <v>130</v>
      </c>
      <c r="BP1035" s="0" t="s">
        <v>130</v>
      </c>
      <c r="BQ1035" s="0" t="s">
        <v>130</v>
      </c>
      <c r="BR1035" s="0" t="s">
        <v>130</v>
      </c>
      <c r="BS1035" s="0" t="s">
        <v>130</v>
      </c>
      <c r="BT1035" s="0" t="s">
        <v>130</v>
      </c>
      <c r="BU1035" s="0" t="s">
        <v>130</v>
      </c>
      <c r="BV1035" s="0" t="s">
        <v>130</v>
      </c>
      <c r="BW1035" s="0" t="s">
        <v>130</v>
      </c>
      <c r="BX1035" s="0" t="s">
        <v>130</v>
      </c>
      <c r="BY1035" s="0" t="s">
        <v>130</v>
      </c>
      <c r="BZ1035" s="0" t="s">
        <v>130</v>
      </c>
      <c r="CA1035" s="0" t="s">
        <v>130</v>
      </c>
      <c r="CB1035" s="0" t="s">
        <v>130</v>
      </c>
      <c r="CC1035" s="0" t="s">
        <v>130</v>
      </c>
      <c r="CD1035" s="0" t="s">
        <v>130</v>
      </c>
      <c r="CE1035" s="0" t="s">
        <v>130</v>
      </c>
      <c r="CF1035" s="0" t="s">
        <v>130</v>
      </c>
      <c r="CG1035" s="0" t="s">
        <v>130</v>
      </c>
      <c r="CH1035" s="0" t="s">
        <v>130</v>
      </c>
      <c r="CI1035" s="0" t="s">
        <v>130</v>
      </c>
      <c r="CJ1035" s="0" t="s">
        <v>130</v>
      </c>
      <c r="CK1035" s="0" t="s">
        <v>130</v>
      </c>
      <c r="CL1035" s="0" t="s">
        <v>130</v>
      </c>
      <c r="CM1035" s="0" t="s">
        <v>130</v>
      </c>
      <c r="CN1035" s="0" t="s">
        <v>130</v>
      </c>
      <c r="CO1035" s="0" t="s">
        <v>130</v>
      </c>
      <c r="CP1035" s="0" t="s">
        <v>130</v>
      </c>
      <c r="CQ1035" s="0" t="s">
        <v>130</v>
      </c>
      <c r="CR1035" s="0" t="s">
        <v>130</v>
      </c>
      <c r="CS1035" s="0" t="s">
        <v>130</v>
      </c>
      <c r="CT1035" s="0" t="s">
        <v>3136</v>
      </c>
    </row>
    <row r="1036">
      <c r="A1036" s="14">
        <v>180001</v>
      </c>
      <c r="B1036" s="0" t="s">
        <v>3137</v>
      </c>
      <c r="C1036" s="16">
        <f>HYPERLINK("https://eosportal.federatedhermes.com/companies/Q29tcGFueQppNzcwNDM=", "adidas AG")</f>
      </c>
      <c r="D1036" s="0" t="s">
        <v>23</v>
      </c>
      <c r="E1036" s="0" t="s">
        <v>3138</v>
      </c>
      <c r="F1036" s="16">
        <f>HYPERLINK("https://eosportal.federatedhermes.com/engagements/RW5nYWdlbWVudAppMjQ1OTc=", "Zero Hazardous Chemicals")</f>
      </c>
      <c r="G1036" s="14" t="s">
        <v>3139</v>
      </c>
      <c r="H1036" s="0" t="s">
        <v>141</v>
      </c>
      <c r="I1036" s="14" t="s">
        <v>191</v>
      </c>
      <c r="J1036" s="0" t="s">
        <v>197</v>
      </c>
      <c r="K1036" s="0" t="s">
        <v>348</v>
      </c>
      <c r="L1036" s="0" t="s">
        <v>650</v>
      </c>
      <c r="M1036" s="0" t="s">
        <v>378</v>
      </c>
      <c r="N1036" s="0" t="s">
        <v>2485</v>
      </c>
      <c r="O1036" s="0" t="s">
        <v>332</v>
      </c>
      <c r="Q1036" s="0" t="s">
        <v>141</v>
      </c>
      <c r="R1036" s="0" t="s">
        <v>130</v>
      </c>
      <c r="S1036" s="14">
        <v>2</v>
      </c>
      <c r="T1036" s="0" t="s">
        <v>583</v>
      </c>
      <c r="U1036" s="0" t="s">
        <v>221</v>
      </c>
      <c r="V1036" s="14" t="s">
        <v>583</v>
      </c>
      <c r="W1036" s="0" t="s">
        <v>221</v>
      </c>
      <c r="X1036" s="14" t="s">
        <v>2629</v>
      </c>
      <c r="Y1036" s="0" t="s">
        <v>221</v>
      </c>
      <c r="Z1036" s="14" t="s">
        <v>360</v>
      </c>
      <c r="AA1036" s="0" t="s">
        <v>223</v>
      </c>
      <c r="AB1036" s="14" t="s">
        <v>138</v>
      </c>
      <c r="AD1036" s="0" t="s">
        <v>20</v>
      </c>
      <c r="AF1036" s="0">
        <v>0</v>
      </c>
      <c r="AG1036" s="0">
        <v>0</v>
      </c>
      <c r="AH1036" s="0" t="s">
        <v>140</v>
      </c>
      <c r="AI1036" s="0" t="s">
        <v>479</v>
      </c>
      <c r="AK1036" s="0" t="s">
        <v>749</v>
      </c>
      <c r="AL1036" s="14"/>
      <c r="AN1036" s="14"/>
      <c r="AQ1036" s="0" t="s">
        <v>130</v>
      </c>
      <c r="AR1036" s="0" t="s">
        <v>130</v>
      </c>
      <c r="AS1036" s="0" t="s">
        <v>141</v>
      </c>
      <c r="AT1036" s="0" t="s">
        <v>130</v>
      </c>
      <c r="AU1036" s="0" t="s">
        <v>130</v>
      </c>
      <c r="AV1036" s="0" t="s">
        <v>130</v>
      </c>
      <c r="AW1036" s="0" t="s">
        <v>130</v>
      </c>
      <c r="AX1036" s="0" t="s">
        <v>130</v>
      </c>
      <c r="AY1036" s="0" t="s">
        <v>130</v>
      </c>
      <c r="AZ1036" s="0" t="s">
        <v>130</v>
      </c>
      <c r="BA1036" s="0" t="s">
        <v>130</v>
      </c>
      <c r="BB1036" s="0" t="s">
        <v>141</v>
      </c>
      <c r="BC1036" s="0" t="s">
        <v>130</v>
      </c>
      <c r="BD1036" s="0" t="s">
        <v>130</v>
      </c>
      <c r="BE1036" s="0" t="s">
        <v>130</v>
      </c>
      <c r="BF1036" s="0" t="s">
        <v>130</v>
      </c>
      <c r="BG1036" s="0" t="s">
        <v>130</v>
      </c>
      <c r="BH1036" s="0" t="s">
        <v>130</v>
      </c>
      <c r="BI1036" s="0" t="s">
        <v>130</v>
      </c>
      <c r="BJ1036" s="0" t="s">
        <v>130</v>
      </c>
      <c r="BK1036" s="0" t="s">
        <v>130</v>
      </c>
      <c r="BL1036" s="0" t="s">
        <v>130</v>
      </c>
      <c r="BM1036" s="0" t="s">
        <v>130</v>
      </c>
      <c r="BN1036" s="0" t="s">
        <v>130</v>
      </c>
      <c r="BO1036" s="0" t="s">
        <v>130</v>
      </c>
      <c r="BP1036" s="0" t="s">
        <v>130</v>
      </c>
      <c r="BQ1036" s="0" t="s">
        <v>130</v>
      </c>
      <c r="BR1036" s="0" t="s">
        <v>130</v>
      </c>
      <c r="BS1036" s="0" t="s">
        <v>130</v>
      </c>
      <c r="BT1036" s="0" t="s">
        <v>130</v>
      </c>
      <c r="BU1036" s="0" t="s">
        <v>130</v>
      </c>
      <c r="BV1036" s="0" t="s">
        <v>130</v>
      </c>
      <c r="BW1036" s="0" t="s">
        <v>130</v>
      </c>
      <c r="BX1036" s="0" t="s">
        <v>130</v>
      </c>
      <c r="BY1036" s="0" t="s">
        <v>130</v>
      </c>
      <c r="BZ1036" s="0" t="s">
        <v>130</v>
      </c>
      <c r="CA1036" s="0" t="s">
        <v>130</v>
      </c>
      <c r="CB1036" s="0" t="s">
        <v>130</v>
      </c>
      <c r="CC1036" s="0" t="s">
        <v>130</v>
      </c>
      <c r="CD1036" s="0" t="s">
        <v>130</v>
      </c>
      <c r="CE1036" s="0" t="s">
        <v>130</v>
      </c>
      <c r="CF1036" s="0" t="s">
        <v>130</v>
      </c>
      <c r="CG1036" s="0" t="s">
        <v>130</v>
      </c>
      <c r="CH1036" s="0" t="s">
        <v>130</v>
      </c>
      <c r="CI1036" s="0" t="s">
        <v>130</v>
      </c>
      <c r="CJ1036" s="0" t="s">
        <v>130</v>
      </c>
      <c r="CK1036" s="0" t="s">
        <v>130</v>
      </c>
      <c r="CL1036" s="0" t="s">
        <v>130</v>
      </c>
      <c r="CM1036" s="0" t="s">
        <v>130</v>
      </c>
      <c r="CN1036" s="0" t="s">
        <v>130</v>
      </c>
      <c r="CO1036" s="0" t="s">
        <v>130</v>
      </c>
      <c r="CP1036" s="0" t="s">
        <v>130</v>
      </c>
      <c r="CQ1036" s="0" t="s">
        <v>130</v>
      </c>
      <c r="CR1036" s="0" t="s">
        <v>130</v>
      </c>
      <c r="CS1036" s="0" t="s">
        <v>130</v>
      </c>
      <c r="CT1036" s="0" t="s">
        <v>3140</v>
      </c>
    </row>
    <row r="1037">
      <c r="A1037" s="14">
        <v>180001</v>
      </c>
      <c r="B1037" s="0" t="s">
        <v>3137</v>
      </c>
      <c r="C1037" s="16">
        <f>HYPERLINK("https://eosportal.federatedhermes.com/companies/Q29tcGFueQppNzcwNDM=", "adidas AG")</f>
      </c>
      <c r="D1037" s="0" t="s">
        <v>25</v>
      </c>
      <c r="E1037" s="0" t="s">
        <v>2540</v>
      </c>
      <c r="F1037" s="16">
        <f>HYPERLINK("https://eosportal.federatedhermes.com/engagements/RW5nYWdlbWVudAppMjQ1OTk=", "Corporate strategy")</f>
      </c>
      <c r="G1037" s="14" t="s">
        <v>2541</v>
      </c>
      <c r="H1037" s="0" t="s">
        <v>141</v>
      </c>
      <c r="I1037" s="14" t="s">
        <v>191</v>
      </c>
      <c r="J1037" s="0" t="s">
        <v>132</v>
      </c>
      <c r="K1037" s="0" t="s">
        <v>133</v>
      </c>
      <c r="L1037" s="0" t="s">
        <v>160</v>
      </c>
      <c r="M1037" s="0" t="s">
        <v>378</v>
      </c>
      <c r="N1037" s="0" t="s">
        <v>2485</v>
      </c>
      <c r="O1037" s="0" t="s">
        <v>332</v>
      </c>
      <c r="Q1037" s="0" t="s">
        <v>130</v>
      </c>
      <c r="R1037" s="0" t="s">
        <v>138</v>
      </c>
      <c r="S1037" s="14">
        <v>0</v>
      </c>
      <c r="T1037" s="0" t="s">
        <v>457</v>
      </c>
      <c r="U1037" s="0" t="s">
        <v>138</v>
      </c>
      <c r="V1037" s="14" t="s">
        <v>138</v>
      </c>
      <c r="W1037" s="0" t="s">
        <v>138</v>
      </c>
      <c r="X1037" s="14" t="s">
        <v>138</v>
      </c>
      <c r="Y1037" s="0" t="s">
        <v>138</v>
      </c>
      <c r="Z1037" s="14" t="s">
        <v>138</v>
      </c>
      <c r="AA1037" s="0" t="s">
        <v>138</v>
      </c>
      <c r="AB1037" s="14" t="s">
        <v>138</v>
      </c>
      <c r="AD1037" s="0" t="s">
        <v>138</v>
      </c>
      <c r="AF1037" s="0">
        <v>0</v>
      </c>
      <c r="AG1037" s="0">
        <v>0</v>
      </c>
      <c r="AH1037" s="0" t="s">
        <v>140</v>
      </c>
      <c r="AI1037" s="0" t="s">
        <v>138</v>
      </c>
      <c r="AL1037" s="14"/>
      <c r="AN1037" s="14"/>
      <c r="AQ1037" s="0" t="s">
        <v>130</v>
      </c>
      <c r="AR1037" s="0" t="s">
        <v>130</v>
      </c>
      <c r="AS1037" s="0" t="s">
        <v>130</v>
      </c>
      <c r="AT1037" s="0" t="s">
        <v>130</v>
      </c>
      <c r="AU1037" s="0" t="s">
        <v>130</v>
      </c>
      <c r="AV1037" s="0" t="s">
        <v>130</v>
      </c>
      <c r="AW1037" s="0" t="s">
        <v>130</v>
      </c>
      <c r="AX1037" s="0" t="s">
        <v>130</v>
      </c>
      <c r="AY1037" s="0" t="s">
        <v>130</v>
      </c>
      <c r="AZ1037" s="0" t="s">
        <v>130</v>
      </c>
      <c r="BA1037" s="0" t="s">
        <v>130</v>
      </c>
      <c r="BB1037" s="0" t="s">
        <v>130</v>
      </c>
      <c r="BC1037" s="0" t="s">
        <v>130</v>
      </c>
      <c r="BD1037" s="0" t="s">
        <v>130</v>
      </c>
      <c r="BE1037" s="0" t="s">
        <v>130</v>
      </c>
      <c r="BF1037" s="0" t="s">
        <v>130</v>
      </c>
      <c r="BG1037" s="0" t="s">
        <v>130</v>
      </c>
      <c r="BH1037" s="0" t="s">
        <v>130</v>
      </c>
      <c r="BI1037" s="0" t="s">
        <v>130</v>
      </c>
      <c r="BJ1037" s="0" t="s">
        <v>130</v>
      </c>
      <c r="BK1037" s="0" t="s">
        <v>130</v>
      </c>
      <c r="BL1037" s="0" t="s">
        <v>130</v>
      </c>
      <c r="BM1037" s="0" t="s">
        <v>130</v>
      </c>
      <c r="BN1037" s="0" t="s">
        <v>130</v>
      </c>
      <c r="BO1037" s="0" t="s">
        <v>130</v>
      </c>
      <c r="BP1037" s="0" t="s">
        <v>130</v>
      </c>
      <c r="BQ1037" s="0" t="s">
        <v>130</v>
      </c>
      <c r="BR1037" s="0" t="s">
        <v>130</v>
      </c>
      <c r="BS1037" s="0" t="s">
        <v>130</v>
      </c>
      <c r="BT1037" s="0" t="s">
        <v>130</v>
      </c>
      <c r="BU1037" s="0" t="s">
        <v>130</v>
      </c>
      <c r="BV1037" s="0" t="s">
        <v>130</v>
      </c>
      <c r="BW1037" s="0" t="s">
        <v>130</v>
      </c>
      <c r="BX1037" s="0" t="s">
        <v>130</v>
      </c>
      <c r="BY1037" s="0" t="s">
        <v>130</v>
      </c>
      <c r="BZ1037" s="0" t="s">
        <v>130</v>
      </c>
      <c r="CA1037" s="0" t="s">
        <v>130</v>
      </c>
      <c r="CB1037" s="0" t="s">
        <v>130</v>
      </c>
      <c r="CC1037" s="0" t="s">
        <v>130</v>
      </c>
      <c r="CD1037" s="0" t="s">
        <v>130</v>
      </c>
      <c r="CE1037" s="0" t="s">
        <v>130</v>
      </c>
      <c r="CF1037" s="0" t="s">
        <v>130</v>
      </c>
      <c r="CG1037" s="0" t="s">
        <v>130</v>
      </c>
      <c r="CH1037" s="0" t="s">
        <v>130</v>
      </c>
      <c r="CI1037" s="0" t="s">
        <v>130</v>
      </c>
      <c r="CJ1037" s="0" t="s">
        <v>130</v>
      </c>
      <c r="CK1037" s="0" t="s">
        <v>130</v>
      </c>
      <c r="CL1037" s="0" t="s">
        <v>130</v>
      </c>
      <c r="CM1037" s="0" t="s">
        <v>130</v>
      </c>
      <c r="CN1037" s="0" t="s">
        <v>130</v>
      </c>
      <c r="CO1037" s="0" t="s">
        <v>130</v>
      </c>
      <c r="CP1037" s="0" t="s">
        <v>130</v>
      </c>
      <c r="CQ1037" s="0" t="s">
        <v>130</v>
      </c>
      <c r="CR1037" s="0" t="s">
        <v>130</v>
      </c>
      <c r="CS1037" s="0" t="s">
        <v>130</v>
      </c>
      <c r="CT1037" s="0" t="s">
        <v>3141</v>
      </c>
    </row>
    <row r="1038">
      <c r="A1038" s="14">
        <v>180001</v>
      </c>
      <c r="B1038" s="0" t="s">
        <v>3137</v>
      </c>
      <c r="C1038" s="16">
        <f>HYPERLINK("https://eosportal.federatedhermes.com/companies/Q29tcGFueQppNzcwNDM=", "adidas AG")</f>
      </c>
      <c r="D1038" s="0" t="s">
        <v>25</v>
      </c>
      <c r="E1038" s="0" t="s">
        <v>2379</v>
      </c>
      <c r="F1038" s="16">
        <f>HYPERLINK("https://eosportal.federatedhermes.com/engagements/RW5nYWdlbWVudAppMjQ2MDA=", "Human capital reporting")</f>
      </c>
      <c r="G1038" s="14" t="s">
        <v>3142</v>
      </c>
      <c r="H1038" s="0" t="s">
        <v>141</v>
      </c>
      <c r="I1038" s="14" t="s">
        <v>191</v>
      </c>
      <c r="J1038" s="0" t="s">
        <v>153</v>
      </c>
      <c r="K1038" s="0" t="s">
        <v>154</v>
      </c>
      <c r="L1038" s="0" t="s">
        <v>268</v>
      </c>
      <c r="M1038" s="0" t="s">
        <v>378</v>
      </c>
      <c r="N1038" s="0" t="s">
        <v>2485</v>
      </c>
      <c r="O1038" s="0" t="s">
        <v>332</v>
      </c>
      <c r="Q1038" s="0" t="s">
        <v>130</v>
      </c>
      <c r="R1038" s="0" t="s">
        <v>138</v>
      </c>
      <c r="S1038" s="14">
        <v>0</v>
      </c>
      <c r="T1038" s="0" t="s">
        <v>288</v>
      </c>
      <c r="U1038" s="0" t="s">
        <v>138</v>
      </c>
      <c r="V1038" s="14" t="s">
        <v>138</v>
      </c>
      <c r="W1038" s="0" t="s">
        <v>138</v>
      </c>
      <c r="X1038" s="14" t="s">
        <v>138</v>
      </c>
      <c r="Y1038" s="0" t="s">
        <v>138</v>
      </c>
      <c r="Z1038" s="14" t="s">
        <v>138</v>
      </c>
      <c r="AA1038" s="0" t="s">
        <v>138</v>
      </c>
      <c r="AB1038" s="14" t="s">
        <v>138</v>
      </c>
      <c r="AD1038" s="0" t="s">
        <v>138</v>
      </c>
      <c r="AF1038" s="0">
        <v>0</v>
      </c>
      <c r="AG1038" s="0">
        <v>0</v>
      </c>
      <c r="AH1038" s="0" t="s">
        <v>140</v>
      </c>
      <c r="AI1038" s="0" t="s">
        <v>138</v>
      </c>
      <c r="AL1038" s="14"/>
      <c r="AN1038" s="14"/>
      <c r="AQ1038" s="0" t="s">
        <v>130</v>
      </c>
      <c r="AR1038" s="0" t="s">
        <v>130</v>
      </c>
      <c r="AS1038" s="0" t="s">
        <v>130</v>
      </c>
      <c r="AT1038" s="0" t="s">
        <v>130</v>
      </c>
      <c r="AU1038" s="0" t="s">
        <v>141</v>
      </c>
      <c r="AV1038" s="0" t="s">
        <v>130</v>
      </c>
      <c r="AW1038" s="0" t="s">
        <v>130</v>
      </c>
      <c r="AX1038" s="0" t="s">
        <v>130</v>
      </c>
      <c r="AY1038" s="0" t="s">
        <v>130</v>
      </c>
      <c r="AZ1038" s="0" t="s">
        <v>130</v>
      </c>
      <c r="BA1038" s="0" t="s">
        <v>130</v>
      </c>
      <c r="BB1038" s="0" t="s">
        <v>130</v>
      </c>
      <c r="BC1038" s="0" t="s">
        <v>130</v>
      </c>
      <c r="BD1038" s="0" t="s">
        <v>130</v>
      </c>
      <c r="BE1038" s="0" t="s">
        <v>130</v>
      </c>
      <c r="BF1038" s="0" t="s">
        <v>130</v>
      </c>
      <c r="BG1038" s="0" t="s">
        <v>130</v>
      </c>
      <c r="BH1038" s="0" t="s">
        <v>130</v>
      </c>
      <c r="BI1038" s="0" t="s">
        <v>130</v>
      </c>
      <c r="BJ1038" s="0" t="s">
        <v>130</v>
      </c>
      <c r="BK1038" s="0" t="s">
        <v>130</v>
      </c>
      <c r="BL1038" s="0" t="s">
        <v>130</v>
      </c>
      <c r="BM1038" s="0" t="s">
        <v>130</v>
      </c>
      <c r="BN1038" s="0" t="s">
        <v>130</v>
      </c>
      <c r="BO1038" s="0" t="s">
        <v>130</v>
      </c>
      <c r="BP1038" s="0" t="s">
        <v>130</v>
      </c>
      <c r="BQ1038" s="0" t="s">
        <v>130</v>
      </c>
      <c r="BR1038" s="0" t="s">
        <v>130</v>
      </c>
      <c r="BS1038" s="0" t="s">
        <v>130</v>
      </c>
      <c r="BT1038" s="0" t="s">
        <v>130</v>
      </c>
      <c r="BU1038" s="0" t="s">
        <v>130</v>
      </c>
      <c r="BV1038" s="0" t="s">
        <v>130</v>
      </c>
      <c r="BW1038" s="0" t="s">
        <v>130</v>
      </c>
      <c r="BX1038" s="0" t="s">
        <v>130</v>
      </c>
      <c r="BY1038" s="0" t="s">
        <v>130</v>
      </c>
      <c r="BZ1038" s="0" t="s">
        <v>130</v>
      </c>
      <c r="CA1038" s="0" t="s">
        <v>130</v>
      </c>
      <c r="CB1038" s="0" t="s">
        <v>130</v>
      </c>
      <c r="CC1038" s="0" t="s">
        <v>130</v>
      </c>
      <c r="CD1038" s="0" t="s">
        <v>130</v>
      </c>
      <c r="CE1038" s="0" t="s">
        <v>130</v>
      </c>
      <c r="CF1038" s="0" t="s">
        <v>130</v>
      </c>
      <c r="CG1038" s="0" t="s">
        <v>130</v>
      </c>
      <c r="CH1038" s="0" t="s">
        <v>130</v>
      </c>
      <c r="CI1038" s="0" t="s">
        <v>130</v>
      </c>
      <c r="CJ1038" s="0" t="s">
        <v>130</v>
      </c>
      <c r="CK1038" s="0" t="s">
        <v>141</v>
      </c>
      <c r="CL1038" s="0" t="s">
        <v>130</v>
      </c>
      <c r="CM1038" s="0" t="s">
        <v>130</v>
      </c>
      <c r="CN1038" s="0" t="s">
        <v>130</v>
      </c>
      <c r="CO1038" s="0" t="s">
        <v>130</v>
      </c>
      <c r="CP1038" s="0" t="s">
        <v>130</v>
      </c>
      <c r="CQ1038" s="0" t="s">
        <v>130</v>
      </c>
      <c r="CR1038" s="0" t="s">
        <v>130</v>
      </c>
      <c r="CS1038" s="0" t="s">
        <v>130</v>
      </c>
      <c r="CT1038" s="0" t="s">
        <v>3143</v>
      </c>
    </row>
    <row r="1039">
      <c r="A1039" s="14">
        <v>180001</v>
      </c>
      <c r="B1039" s="0" t="s">
        <v>3137</v>
      </c>
      <c r="C1039" s="16">
        <f>HYPERLINK("https://eosportal.federatedhermes.com/companies/Q29tcGFueQppNzcwNDM=", "adidas AG")</f>
      </c>
      <c r="D1039" s="0" t="s">
        <v>23</v>
      </c>
      <c r="E1039" s="0" t="s">
        <v>574</v>
      </c>
      <c r="F1039" s="16">
        <f>HYPERLINK("https://eosportal.federatedhermes.com/engagements/RW5nYWdlbWVudAppMjQ2MDU=", "Biodiversity")</f>
      </c>
      <c r="G1039" s="14" t="s">
        <v>3144</v>
      </c>
      <c r="H1039" s="0" t="s">
        <v>141</v>
      </c>
      <c r="I1039" s="14" t="s">
        <v>191</v>
      </c>
      <c r="J1039" s="0" t="s">
        <v>197</v>
      </c>
      <c r="K1039" s="0" t="s">
        <v>337</v>
      </c>
      <c r="L1039" s="0" t="s">
        <v>576</v>
      </c>
      <c r="M1039" s="0" t="s">
        <v>378</v>
      </c>
      <c r="N1039" s="0" t="s">
        <v>2485</v>
      </c>
      <c r="O1039" s="0" t="s">
        <v>332</v>
      </c>
      <c r="Q1039" s="0" t="s">
        <v>141</v>
      </c>
      <c r="R1039" s="0" t="s">
        <v>141</v>
      </c>
      <c r="S1039" s="14">
        <v>1</v>
      </c>
      <c r="T1039" s="0" t="s">
        <v>231</v>
      </c>
      <c r="U1039" s="0" t="s">
        <v>221</v>
      </c>
      <c r="V1039" s="14" t="s">
        <v>231</v>
      </c>
      <c r="W1039" s="0" t="s">
        <v>221</v>
      </c>
      <c r="X1039" s="14" t="s">
        <v>2270</v>
      </c>
      <c r="Y1039" s="0" t="s">
        <v>221</v>
      </c>
      <c r="Z1039" s="14" t="s">
        <v>360</v>
      </c>
      <c r="AA1039" s="0" t="s">
        <v>221</v>
      </c>
      <c r="AB1039" s="14" t="s">
        <v>361</v>
      </c>
      <c r="AC1039" s="0" t="s">
        <v>20</v>
      </c>
      <c r="AD1039" s="0" t="s">
        <v>362</v>
      </c>
      <c r="AE1039" s="0" t="s">
        <v>363</v>
      </c>
      <c r="AF1039" s="0">
        <v>1</v>
      </c>
      <c r="AG1039" s="0">
        <v>0</v>
      </c>
      <c r="AH1039" s="0" t="s">
        <v>140</v>
      </c>
      <c r="AI1039" s="0" t="s">
        <v>221</v>
      </c>
      <c r="AJ1039" s="0" t="s">
        <v>577</v>
      </c>
      <c r="AK1039" s="0" t="s">
        <v>3145</v>
      </c>
      <c r="AL1039" s="14" t="s">
        <v>3146</v>
      </c>
      <c r="AM1039" s="0" t="s">
        <v>580</v>
      </c>
      <c r="AN1039" s="14"/>
      <c r="AQ1039" s="0" t="s">
        <v>130</v>
      </c>
      <c r="AR1039" s="0" t="s">
        <v>141</v>
      </c>
      <c r="AS1039" s="0" t="s">
        <v>130</v>
      </c>
      <c r="AT1039" s="0" t="s">
        <v>130</v>
      </c>
      <c r="AU1039" s="0" t="s">
        <v>130</v>
      </c>
      <c r="AV1039" s="0" t="s">
        <v>141</v>
      </c>
      <c r="AW1039" s="0" t="s">
        <v>130</v>
      </c>
      <c r="AX1039" s="0" t="s">
        <v>130</v>
      </c>
      <c r="AY1039" s="0" t="s">
        <v>130</v>
      </c>
      <c r="AZ1039" s="0" t="s">
        <v>130</v>
      </c>
      <c r="BA1039" s="0" t="s">
        <v>141</v>
      </c>
      <c r="BB1039" s="0" t="s">
        <v>141</v>
      </c>
      <c r="BC1039" s="0" t="s">
        <v>130</v>
      </c>
      <c r="BD1039" s="0" t="s">
        <v>141</v>
      </c>
      <c r="BE1039" s="0" t="s">
        <v>141</v>
      </c>
      <c r="BF1039" s="0" t="s">
        <v>130</v>
      </c>
      <c r="BG1039" s="0" t="s">
        <v>130</v>
      </c>
      <c r="BH1039" s="0" t="s">
        <v>130</v>
      </c>
      <c r="BI1039" s="0" t="s">
        <v>130</v>
      </c>
      <c r="BJ1039" s="0" t="s">
        <v>130</v>
      </c>
      <c r="BK1039" s="0" t="s">
        <v>130</v>
      </c>
      <c r="BL1039" s="0" t="s">
        <v>130</v>
      </c>
      <c r="BM1039" s="0" t="s">
        <v>130</v>
      </c>
      <c r="BN1039" s="0" t="s">
        <v>130</v>
      </c>
      <c r="BO1039" s="0" t="s">
        <v>130</v>
      </c>
      <c r="BP1039" s="0" t="s">
        <v>130</v>
      </c>
      <c r="BQ1039" s="0" t="s">
        <v>130</v>
      </c>
      <c r="BR1039" s="0" t="s">
        <v>130</v>
      </c>
      <c r="BS1039" s="0" t="s">
        <v>130</v>
      </c>
      <c r="BT1039" s="0" t="s">
        <v>130</v>
      </c>
      <c r="BU1039" s="0" t="s">
        <v>130</v>
      </c>
      <c r="BV1039" s="0" t="s">
        <v>130</v>
      </c>
      <c r="BW1039" s="0" t="s">
        <v>130</v>
      </c>
      <c r="BX1039" s="0" t="s">
        <v>130</v>
      </c>
      <c r="BY1039" s="0" t="s">
        <v>130</v>
      </c>
      <c r="BZ1039" s="0" t="s">
        <v>130</v>
      </c>
      <c r="CA1039" s="0" t="s">
        <v>130</v>
      </c>
      <c r="CB1039" s="0" t="s">
        <v>130</v>
      </c>
      <c r="CC1039" s="0" t="s">
        <v>130</v>
      </c>
      <c r="CD1039" s="0" t="s">
        <v>130</v>
      </c>
      <c r="CE1039" s="0" t="s">
        <v>130</v>
      </c>
      <c r="CF1039" s="0" t="s">
        <v>130</v>
      </c>
      <c r="CG1039" s="0" t="s">
        <v>130</v>
      </c>
      <c r="CH1039" s="0" t="s">
        <v>130</v>
      </c>
      <c r="CI1039" s="0" t="s">
        <v>130</v>
      </c>
      <c r="CJ1039" s="0" t="s">
        <v>130</v>
      </c>
      <c r="CK1039" s="0" t="s">
        <v>130</v>
      </c>
      <c r="CL1039" s="0" t="s">
        <v>130</v>
      </c>
      <c r="CM1039" s="0" t="s">
        <v>130</v>
      </c>
      <c r="CN1039" s="0" t="s">
        <v>130</v>
      </c>
      <c r="CO1039" s="0" t="s">
        <v>130</v>
      </c>
      <c r="CP1039" s="0" t="s">
        <v>130</v>
      </c>
      <c r="CQ1039" s="0" t="s">
        <v>130</v>
      </c>
      <c r="CR1039" s="0" t="s">
        <v>130</v>
      </c>
      <c r="CS1039" s="0" t="s">
        <v>130</v>
      </c>
      <c r="CT1039" s="0" t="s">
        <v>3147</v>
      </c>
    </row>
    <row r="1040">
      <c r="A1040" s="14">
        <v>180001</v>
      </c>
      <c r="B1040" s="0" t="s">
        <v>3137</v>
      </c>
      <c r="C1040" s="16">
        <f>HYPERLINK("https://eosportal.federatedhermes.com/companies/Q29tcGFueQppNzcwNDM=", "adidas AG")</f>
      </c>
      <c r="D1040" s="0" t="s">
        <v>25</v>
      </c>
      <c r="E1040" s="0" t="s">
        <v>341</v>
      </c>
      <c r="F1040" s="16">
        <f>HYPERLINK("https://eosportal.federatedhermes.com/engagements/RW5nYWdlbWVudAppMjQ2MDc=", "Remuneration")</f>
      </c>
      <c r="G1040" s="14" t="s">
        <v>3148</v>
      </c>
      <c r="H1040" s="0" t="s">
        <v>141</v>
      </c>
      <c r="I1040" s="14" t="s">
        <v>191</v>
      </c>
      <c r="J1040" s="0" t="s">
        <v>145</v>
      </c>
      <c r="K1040" s="0" t="s">
        <v>146</v>
      </c>
      <c r="L1040" s="0" t="s">
        <v>147</v>
      </c>
      <c r="M1040" s="0" t="s">
        <v>378</v>
      </c>
      <c r="N1040" s="0" t="s">
        <v>2485</v>
      </c>
      <c r="O1040" s="0" t="s">
        <v>332</v>
      </c>
      <c r="Q1040" s="0" t="s">
        <v>130</v>
      </c>
      <c r="R1040" s="0" t="s">
        <v>138</v>
      </c>
      <c r="S1040" s="14">
        <v>0</v>
      </c>
      <c r="T1040" s="0" t="s">
        <v>1520</v>
      </c>
      <c r="U1040" s="0" t="s">
        <v>138</v>
      </c>
      <c r="V1040" s="14" t="s">
        <v>138</v>
      </c>
      <c r="W1040" s="0" t="s">
        <v>138</v>
      </c>
      <c r="X1040" s="14" t="s">
        <v>138</v>
      </c>
      <c r="Y1040" s="0" t="s">
        <v>138</v>
      </c>
      <c r="Z1040" s="14" t="s">
        <v>138</v>
      </c>
      <c r="AA1040" s="0" t="s">
        <v>138</v>
      </c>
      <c r="AB1040" s="14" t="s">
        <v>138</v>
      </c>
      <c r="AD1040" s="0" t="s">
        <v>138</v>
      </c>
      <c r="AF1040" s="0">
        <v>0</v>
      </c>
      <c r="AG1040" s="0">
        <v>0</v>
      </c>
      <c r="AH1040" s="0" t="s">
        <v>140</v>
      </c>
      <c r="AI1040" s="0" t="s">
        <v>138</v>
      </c>
      <c r="AL1040" s="14"/>
      <c r="AN1040" s="14"/>
      <c r="AQ1040" s="0" t="s">
        <v>130</v>
      </c>
      <c r="AR1040" s="0" t="s">
        <v>130</v>
      </c>
      <c r="AS1040" s="0" t="s">
        <v>130</v>
      </c>
      <c r="AT1040" s="0" t="s">
        <v>130</v>
      </c>
      <c r="AU1040" s="0" t="s">
        <v>130</v>
      </c>
      <c r="AV1040" s="0" t="s">
        <v>130</v>
      </c>
      <c r="AW1040" s="0" t="s">
        <v>130</v>
      </c>
      <c r="AX1040" s="0" t="s">
        <v>130</v>
      </c>
      <c r="AY1040" s="0" t="s">
        <v>130</v>
      </c>
      <c r="AZ1040" s="0" t="s">
        <v>130</v>
      </c>
      <c r="BA1040" s="0" t="s">
        <v>130</v>
      </c>
      <c r="BB1040" s="0" t="s">
        <v>130</v>
      </c>
      <c r="BC1040" s="0" t="s">
        <v>130</v>
      </c>
      <c r="BD1040" s="0" t="s">
        <v>130</v>
      </c>
      <c r="BE1040" s="0" t="s">
        <v>130</v>
      </c>
      <c r="BF1040" s="0" t="s">
        <v>130</v>
      </c>
      <c r="BG1040" s="0" t="s">
        <v>130</v>
      </c>
      <c r="BH1040" s="0" t="s">
        <v>130</v>
      </c>
      <c r="BI1040" s="0" t="s">
        <v>130</v>
      </c>
      <c r="BJ1040" s="0" t="s">
        <v>130</v>
      </c>
      <c r="BK1040" s="0" t="s">
        <v>130</v>
      </c>
      <c r="BL1040" s="0" t="s">
        <v>130</v>
      </c>
      <c r="BM1040" s="0" t="s">
        <v>130</v>
      </c>
      <c r="BN1040" s="0" t="s">
        <v>130</v>
      </c>
      <c r="BO1040" s="0" t="s">
        <v>130</v>
      </c>
      <c r="BP1040" s="0" t="s">
        <v>130</v>
      </c>
      <c r="BQ1040" s="0" t="s">
        <v>130</v>
      </c>
      <c r="BR1040" s="0" t="s">
        <v>130</v>
      </c>
      <c r="BS1040" s="0" t="s">
        <v>130</v>
      </c>
      <c r="BT1040" s="0" t="s">
        <v>130</v>
      </c>
      <c r="BU1040" s="0" t="s">
        <v>130</v>
      </c>
      <c r="BV1040" s="0" t="s">
        <v>130</v>
      </c>
      <c r="BW1040" s="0" t="s">
        <v>130</v>
      </c>
      <c r="BX1040" s="0" t="s">
        <v>130</v>
      </c>
      <c r="BY1040" s="0" t="s">
        <v>130</v>
      </c>
      <c r="BZ1040" s="0" t="s">
        <v>130</v>
      </c>
      <c r="CA1040" s="0" t="s">
        <v>130</v>
      </c>
      <c r="CB1040" s="0" t="s">
        <v>130</v>
      </c>
      <c r="CC1040" s="0" t="s">
        <v>130</v>
      </c>
      <c r="CD1040" s="0" t="s">
        <v>130</v>
      </c>
      <c r="CE1040" s="0" t="s">
        <v>130</v>
      </c>
      <c r="CF1040" s="0" t="s">
        <v>130</v>
      </c>
      <c r="CG1040" s="0" t="s">
        <v>130</v>
      </c>
      <c r="CH1040" s="0" t="s">
        <v>130</v>
      </c>
      <c r="CI1040" s="0" t="s">
        <v>130</v>
      </c>
      <c r="CJ1040" s="0" t="s">
        <v>130</v>
      </c>
      <c r="CK1040" s="0" t="s">
        <v>130</v>
      </c>
      <c r="CL1040" s="0" t="s">
        <v>130</v>
      </c>
      <c r="CM1040" s="0" t="s">
        <v>130</v>
      </c>
      <c r="CN1040" s="0" t="s">
        <v>130</v>
      </c>
      <c r="CO1040" s="0" t="s">
        <v>130</v>
      </c>
      <c r="CP1040" s="0" t="s">
        <v>130</v>
      </c>
      <c r="CQ1040" s="0" t="s">
        <v>130</v>
      </c>
      <c r="CR1040" s="0" t="s">
        <v>130</v>
      </c>
      <c r="CS1040" s="0" t="s">
        <v>130</v>
      </c>
      <c r="CT1040" s="0" t="s">
        <v>3149</v>
      </c>
    </row>
    <row r="1041">
      <c r="A1041" s="14">
        <v>180001</v>
      </c>
      <c r="B1041" s="0" t="s">
        <v>3137</v>
      </c>
      <c r="C1041" s="16">
        <f>HYPERLINK("https://eosportal.federatedhermes.com/companies/Q29tcGFueQppNzcwNDM=", "adidas AG")</f>
      </c>
      <c r="D1041" s="0" t="s">
        <v>25</v>
      </c>
      <c r="E1041" s="0" t="s">
        <v>907</v>
      </c>
      <c r="F1041" s="16">
        <f>HYPERLINK("https://eosportal.federatedhermes.com/engagements/RW5nYWdlbWVudAppMjQ2MTE=", "Climate change")</f>
      </c>
      <c r="G1041" s="14" t="s">
        <v>1190</v>
      </c>
      <c r="H1041" s="0" t="s">
        <v>141</v>
      </c>
      <c r="I1041" s="14" t="s">
        <v>191</v>
      </c>
      <c r="J1041" s="0" t="s">
        <v>197</v>
      </c>
      <c r="K1041" s="0" t="s">
        <v>198</v>
      </c>
      <c r="L1041" s="0" t="s">
        <v>216</v>
      </c>
      <c r="M1041" s="0" t="s">
        <v>378</v>
      </c>
      <c r="N1041" s="0" t="s">
        <v>2485</v>
      </c>
      <c r="O1041" s="0" t="s">
        <v>332</v>
      </c>
      <c r="Q1041" s="0" t="s">
        <v>141</v>
      </c>
      <c r="R1041" s="0" t="s">
        <v>138</v>
      </c>
      <c r="S1041" s="14">
        <v>2</v>
      </c>
      <c r="T1041" s="0" t="s">
        <v>457</v>
      </c>
      <c r="U1041" s="0" t="s">
        <v>138</v>
      </c>
      <c r="V1041" s="14" t="s">
        <v>138</v>
      </c>
      <c r="W1041" s="0" t="s">
        <v>138</v>
      </c>
      <c r="X1041" s="14" t="s">
        <v>138</v>
      </c>
      <c r="Y1041" s="0" t="s">
        <v>138</v>
      </c>
      <c r="Z1041" s="14" t="s">
        <v>138</v>
      </c>
      <c r="AA1041" s="0" t="s">
        <v>138</v>
      </c>
      <c r="AB1041" s="14" t="s">
        <v>138</v>
      </c>
      <c r="AD1041" s="0" t="s">
        <v>138</v>
      </c>
      <c r="AF1041" s="0">
        <v>0</v>
      </c>
      <c r="AG1041" s="0">
        <v>0</v>
      </c>
      <c r="AH1041" s="0" t="s">
        <v>140</v>
      </c>
      <c r="AI1041" s="0" t="s">
        <v>138</v>
      </c>
      <c r="AK1041" s="0" t="s">
        <v>749</v>
      </c>
      <c r="AL1041" s="14"/>
      <c r="AN1041" s="14"/>
      <c r="AQ1041" s="0" t="s">
        <v>130</v>
      </c>
      <c r="AR1041" s="0" t="s">
        <v>130</v>
      </c>
      <c r="AS1041" s="0" t="s">
        <v>130</v>
      </c>
      <c r="AT1041" s="0" t="s">
        <v>130</v>
      </c>
      <c r="AU1041" s="0" t="s">
        <v>130</v>
      </c>
      <c r="AV1041" s="0" t="s">
        <v>130</v>
      </c>
      <c r="AW1041" s="0" t="s">
        <v>141</v>
      </c>
      <c r="AX1041" s="0" t="s">
        <v>130</v>
      </c>
      <c r="AY1041" s="0" t="s">
        <v>130</v>
      </c>
      <c r="AZ1041" s="0" t="s">
        <v>130</v>
      </c>
      <c r="BA1041" s="0" t="s">
        <v>130</v>
      </c>
      <c r="BB1041" s="0" t="s">
        <v>130</v>
      </c>
      <c r="BC1041" s="0" t="s">
        <v>141</v>
      </c>
      <c r="BD1041" s="0" t="s">
        <v>130</v>
      </c>
      <c r="BE1041" s="0" t="s">
        <v>130</v>
      </c>
      <c r="BF1041" s="0" t="s">
        <v>130</v>
      </c>
      <c r="BG1041" s="0" t="s">
        <v>130</v>
      </c>
      <c r="BH1041" s="0" t="s">
        <v>141</v>
      </c>
      <c r="BI1041" s="0" t="s">
        <v>141</v>
      </c>
      <c r="BJ1041" s="0" t="s">
        <v>141</v>
      </c>
      <c r="BK1041" s="0" t="s">
        <v>130</v>
      </c>
      <c r="BL1041" s="0" t="s">
        <v>130</v>
      </c>
      <c r="BM1041" s="0" t="s">
        <v>130</v>
      </c>
      <c r="BN1041" s="0" t="s">
        <v>130</v>
      </c>
      <c r="BO1041" s="0" t="s">
        <v>130</v>
      </c>
      <c r="BP1041" s="0" t="s">
        <v>130</v>
      </c>
      <c r="BQ1041" s="0" t="s">
        <v>130</v>
      </c>
      <c r="BR1041" s="0" t="s">
        <v>130</v>
      </c>
      <c r="BS1041" s="0" t="s">
        <v>130</v>
      </c>
      <c r="BT1041" s="0" t="s">
        <v>130</v>
      </c>
      <c r="BU1041" s="0" t="s">
        <v>130</v>
      </c>
      <c r="BV1041" s="0" t="s">
        <v>141</v>
      </c>
      <c r="BW1041" s="0" t="s">
        <v>141</v>
      </c>
      <c r="BX1041" s="0" t="s">
        <v>130</v>
      </c>
      <c r="BY1041" s="0" t="s">
        <v>130</v>
      </c>
      <c r="BZ1041" s="0" t="s">
        <v>130</v>
      </c>
      <c r="CA1041" s="0" t="s">
        <v>130</v>
      </c>
      <c r="CB1041" s="0" t="s">
        <v>130</v>
      </c>
      <c r="CC1041" s="0" t="s">
        <v>130</v>
      </c>
      <c r="CD1041" s="0" t="s">
        <v>130</v>
      </c>
      <c r="CE1041" s="0" t="s">
        <v>130</v>
      </c>
      <c r="CF1041" s="0" t="s">
        <v>130</v>
      </c>
      <c r="CG1041" s="0" t="s">
        <v>130</v>
      </c>
      <c r="CH1041" s="0" t="s">
        <v>130</v>
      </c>
      <c r="CI1041" s="0" t="s">
        <v>130</v>
      </c>
      <c r="CJ1041" s="0" t="s">
        <v>130</v>
      </c>
      <c r="CK1041" s="0" t="s">
        <v>130</v>
      </c>
      <c r="CL1041" s="0" t="s">
        <v>130</v>
      </c>
      <c r="CM1041" s="0" t="s">
        <v>130</v>
      </c>
      <c r="CN1041" s="0" t="s">
        <v>130</v>
      </c>
      <c r="CO1041" s="0" t="s">
        <v>130</v>
      </c>
      <c r="CP1041" s="0" t="s">
        <v>130</v>
      </c>
      <c r="CQ1041" s="0" t="s">
        <v>130</v>
      </c>
      <c r="CR1041" s="0" t="s">
        <v>130</v>
      </c>
      <c r="CS1041" s="0" t="s">
        <v>130</v>
      </c>
      <c r="CT1041" s="0" t="s">
        <v>3150</v>
      </c>
    </row>
    <row r="1042">
      <c r="A1042" s="14">
        <v>180001</v>
      </c>
      <c r="B1042" s="0" t="s">
        <v>3137</v>
      </c>
      <c r="C1042" s="16">
        <f>HYPERLINK("https://eosportal.federatedhermes.com/companies/Q29tcGFueQppNzcwNDM=", "adidas AG")</f>
      </c>
      <c r="D1042" s="0" t="s">
        <v>25</v>
      </c>
      <c r="E1042" s="0" t="s">
        <v>3151</v>
      </c>
      <c r="F1042" s="16">
        <f>HYPERLINK("https://eosportal.federatedhermes.com/engagements/RW5nYWdlbWVudAppMjQ2MTI=", "Water stress in cotton supply chain")</f>
      </c>
      <c r="G1042" s="14" t="s">
        <v>3152</v>
      </c>
      <c r="H1042" s="0" t="s">
        <v>141</v>
      </c>
      <c r="I1042" s="14" t="s">
        <v>191</v>
      </c>
      <c r="J1042" s="0" t="s">
        <v>197</v>
      </c>
      <c r="K1042" s="0" t="s">
        <v>337</v>
      </c>
      <c r="L1042" s="0" t="s">
        <v>338</v>
      </c>
      <c r="M1042" s="0" t="s">
        <v>378</v>
      </c>
      <c r="N1042" s="0" t="s">
        <v>2485</v>
      </c>
      <c r="O1042" s="0" t="s">
        <v>332</v>
      </c>
      <c r="Q1042" s="0" t="s">
        <v>141</v>
      </c>
      <c r="R1042" s="0" t="s">
        <v>138</v>
      </c>
      <c r="S1042" s="14">
        <v>1</v>
      </c>
      <c r="T1042" s="0" t="s">
        <v>1145</v>
      </c>
      <c r="U1042" s="0" t="s">
        <v>138</v>
      </c>
      <c r="V1042" s="14" t="s">
        <v>138</v>
      </c>
      <c r="W1042" s="0" t="s">
        <v>138</v>
      </c>
      <c r="X1042" s="14" t="s">
        <v>138</v>
      </c>
      <c r="Y1042" s="0" t="s">
        <v>138</v>
      </c>
      <c r="Z1042" s="14" t="s">
        <v>138</v>
      </c>
      <c r="AA1042" s="0" t="s">
        <v>138</v>
      </c>
      <c r="AB1042" s="14" t="s">
        <v>138</v>
      </c>
      <c r="AD1042" s="0" t="s">
        <v>138</v>
      </c>
      <c r="AF1042" s="0">
        <v>0</v>
      </c>
      <c r="AG1042" s="0">
        <v>0</v>
      </c>
      <c r="AH1042" s="0" t="s">
        <v>140</v>
      </c>
      <c r="AI1042" s="0" t="s">
        <v>138</v>
      </c>
      <c r="AK1042" s="0" t="s">
        <v>3145</v>
      </c>
      <c r="AL1042" s="14"/>
      <c r="AN1042" s="14"/>
      <c r="AQ1042" s="0" t="s">
        <v>130</v>
      </c>
      <c r="AR1042" s="0" t="s">
        <v>141</v>
      </c>
      <c r="AS1042" s="0" t="s">
        <v>130</v>
      </c>
      <c r="AT1042" s="0" t="s">
        <v>130</v>
      </c>
      <c r="AU1042" s="0" t="s">
        <v>130</v>
      </c>
      <c r="AV1042" s="0" t="s">
        <v>141</v>
      </c>
      <c r="AW1042" s="0" t="s">
        <v>130</v>
      </c>
      <c r="AX1042" s="0" t="s">
        <v>130</v>
      </c>
      <c r="AY1042" s="0" t="s">
        <v>130</v>
      </c>
      <c r="AZ1042" s="0" t="s">
        <v>130</v>
      </c>
      <c r="BA1042" s="0" t="s">
        <v>130</v>
      </c>
      <c r="BB1042" s="0" t="s">
        <v>130</v>
      </c>
      <c r="BC1042" s="0" t="s">
        <v>130</v>
      </c>
      <c r="BD1042" s="0" t="s">
        <v>130</v>
      </c>
      <c r="BE1042" s="0" t="s">
        <v>130</v>
      </c>
      <c r="BF1042" s="0" t="s">
        <v>130</v>
      </c>
      <c r="BG1042" s="0" t="s">
        <v>130</v>
      </c>
      <c r="BH1042" s="0" t="s">
        <v>130</v>
      </c>
      <c r="BI1042" s="0" t="s">
        <v>130</v>
      </c>
      <c r="BJ1042" s="0" t="s">
        <v>130</v>
      </c>
      <c r="BK1042" s="0" t="s">
        <v>130</v>
      </c>
      <c r="BL1042" s="0" t="s">
        <v>130</v>
      </c>
      <c r="BM1042" s="0" t="s">
        <v>130</v>
      </c>
      <c r="BN1042" s="0" t="s">
        <v>130</v>
      </c>
      <c r="BO1042" s="0" t="s">
        <v>130</v>
      </c>
      <c r="BP1042" s="0" t="s">
        <v>130</v>
      </c>
      <c r="BQ1042" s="0" t="s">
        <v>130</v>
      </c>
      <c r="BR1042" s="0" t="s">
        <v>130</v>
      </c>
      <c r="BS1042" s="0" t="s">
        <v>130</v>
      </c>
      <c r="BT1042" s="0" t="s">
        <v>130</v>
      </c>
      <c r="BU1042" s="0" t="s">
        <v>130</v>
      </c>
      <c r="BV1042" s="0" t="s">
        <v>130</v>
      </c>
      <c r="BW1042" s="0" t="s">
        <v>130</v>
      </c>
      <c r="BX1042" s="0" t="s">
        <v>141</v>
      </c>
      <c r="BY1042" s="0" t="s">
        <v>130</v>
      </c>
      <c r="BZ1042" s="0" t="s">
        <v>130</v>
      </c>
      <c r="CA1042" s="0" t="s">
        <v>130</v>
      </c>
      <c r="CB1042" s="0" t="s">
        <v>130</v>
      </c>
      <c r="CC1042" s="0" t="s">
        <v>130</v>
      </c>
      <c r="CD1042" s="0" t="s">
        <v>130</v>
      </c>
      <c r="CE1042" s="0" t="s">
        <v>130</v>
      </c>
      <c r="CF1042" s="0" t="s">
        <v>130</v>
      </c>
      <c r="CG1042" s="0" t="s">
        <v>130</v>
      </c>
      <c r="CH1042" s="0" t="s">
        <v>130</v>
      </c>
      <c r="CI1042" s="0" t="s">
        <v>130</v>
      </c>
      <c r="CJ1042" s="0" t="s">
        <v>130</v>
      </c>
      <c r="CK1042" s="0" t="s">
        <v>130</v>
      </c>
      <c r="CL1042" s="0" t="s">
        <v>130</v>
      </c>
      <c r="CM1042" s="0" t="s">
        <v>130</v>
      </c>
      <c r="CN1042" s="0" t="s">
        <v>130</v>
      </c>
      <c r="CO1042" s="0" t="s">
        <v>130</v>
      </c>
      <c r="CP1042" s="0" t="s">
        <v>130</v>
      </c>
      <c r="CQ1042" s="0" t="s">
        <v>130</v>
      </c>
      <c r="CR1042" s="0" t="s">
        <v>130</v>
      </c>
      <c r="CS1042" s="0" t="s">
        <v>130</v>
      </c>
      <c r="CT1042" s="0" t="s">
        <v>3153</v>
      </c>
    </row>
    <row r="1043">
      <c r="A1043" s="14">
        <v>180001</v>
      </c>
      <c r="B1043" s="0" t="s">
        <v>3137</v>
      </c>
      <c r="C1043" s="16">
        <f>HYPERLINK("https://eosportal.federatedhermes.com/companies/Q29tcGFueQppNzcwNDM=", "adidas AG")</f>
      </c>
      <c r="D1043" s="0" t="s">
        <v>25</v>
      </c>
      <c r="E1043" s="0" t="s">
        <v>441</v>
      </c>
      <c r="F1043" s="16">
        <f>HYPERLINK("https://eosportal.federatedhermes.com/engagements/RW5nYWdlbWVudAppMjQ2MTU=", "Auditor tenure")</f>
      </c>
      <c r="G1043" s="14" t="s">
        <v>3154</v>
      </c>
      <c r="H1043" s="0" t="s">
        <v>141</v>
      </c>
      <c r="I1043" s="14" t="s">
        <v>191</v>
      </c>
      <c r="J1043" s="0" t="s">
        <v>132</v>
      </c>
      <c r="K1043" s="0" t="s">
        <v>170</v>
      </c>
      <c r="L1043" s="0" t="s">
        <v>310</v>
      </c>
      <c r="M1043" s="0" t="s">
        <v>378</v>
      </c>
      <c r="N1043" s="0" t="s">
        <v>2485</v>
      </c>
      <c r="O1043" s="0" t="s">
        <v>332</v>
      </c>
      <c r="Q1043" s="0" t="s">
        <v>130</v>
      </c>
      <c r="R1043" s="0" t="s">
        <v>138</v>
      </c>
      <c r="S1043" s="14">
        <v>0</v>
      </c>
      <c r="T1043" s="0" t="s">
        <v>166</v>
      </c>
      <c r="U1043" s="0" t="s">
        <v>138</v>
      </c>
      <c r="V1043" s="14" t="s">
        <v>138</v>
      </c>
      <c r="W1043" s="0" t="s">
        <v>138</v>
      </c>
      <c r="X1043" s="14" t="s">
        <v>138</v>
      </c>
      <c r="Y1043" s="0" t="s">
        <v>138</v>
      </c>
      <c r="Z1043" s="14" t="s">
        <v>138</v>
      </c>
      <c r="AA1043" s="0" t="s">
        <v>138</v>
      </c>
      <c r="AB1043" s="14" t="s">
        <v>138</v>
      </c>
      <c r="AD1043" s="0" t="s">
        <v>138</v>
      </c>
      <c r="AF1043" s="0">
        <v>0</v>
      </c>
      <c r="AG1043" s="0">
        <v>0</v>
      </c>
      <c r="AH1043" s="0" t="s">
        <v>140</v>
      </c>
      <c r="AI1043" s="0" t="s">
        <v>138</v>
      </c>
      <c r="AL1043" s="14"/>
      <c r="AN1043" s="14"/>
      <c r="AQ1043" s="0" t="s">
        <v>130</v>
      </c>
      <c r="AR1043" s="0" t="s">
        <v>130</v>
      </c>
      <c r="AS1043" s="0" t="s">
        <v>130</v>
      </c>
      <c r="AT1043" s="0" t="s">
        <v>130</v>
      </c>
      <c r="AU1043" s="0" t="s">
        <v>130</v>
      </c>
      <c r="AV1043" s="0" t="s">
        <v>130</v>
      </c>
      <c r="AW1043" s="0" t="s">
        <v>130</v>
      </c>
      <c r="AX1043" s="0" t="s">
        <v>130</v>
      </c>
      <c r="AY1043" s="0" t="s">
        <v>130</v>
      </c>
      <c r="AZ1043" s="0" t="s">
        <v>130</v>
      </c>
      <c r="BA1043" s="0" t="s">
        <v>130</v>
      </c>
      <c r="BB1043" s="0" t="s">
        <v>130</v>
      </c>
      <c r="BC1043" s="0" t="s">
        <v>130</v>
      </c>
      <c r="BD1043" s="0" t="s">
        <v>130</v>
      </c>
      <c r="BE1043" s="0" t="s">
        <v>130</v>
      </c>
      <c r="BF1043" s="0" t="s">
        <v>130</v>
      </c>
      <c r="BG1043" s="0" t="s">
        <v>130</v>
      </c>
      <c r="BH1043" s="0" t="s">
        <v>130</v>
      </c>
      <c r="BI1043" s="0" t="s">
        <v>130</v>
      </c>
      <c r="BJ1043" s="0" t="s">
        <v>130</v>
      </c>
      <c r="BK1043" s="0" t="s">
        <v>130</v>
      </c>
      <c r="BL1043" s="0" t="s">
        <v>130</v>
      </c>
      <c r="BM1043" s="0" t="s">
        <v>130</v>
      </c>
      <c r="BN1043" s="0" t="s">
        <v>130</v>
      </c>
      <c r="BO1043" s="0" t="s">
        <v>130</v>
      </c>
      <c r="BP1043" s="0" t="s">
        <v>130</v>
      </c>
      <c r="BQ1043" s="0" t="s">
        <v>130</v>
      </c>
      <c r="BR1043" s="0" t="s">
        <v>130</v>
      </c>
      <c r="BS1043" s="0" t="s">
        <v>130</v>
      </c>
      <c r="BT1043" s="0" t="s">
        <v>130</v>
      </c>
      <c r="BU1043" s="0" t="s">
        <v>130</v>
      </c>
      <c r="BV1043" s="0" t="s">
        <v>130</v>
      </c>
      <c r="BW1043" s="0" t="s">
        <v>130</v>
      </c>
      <c r="BX1043" s="0" t="s">
        <v>130</v>
      </c>
      <c r="BY1043" s="0" t="s">
        <v>130</v>
      </c>
      <c r="BZ1043" s="0" t="s">
        <v>130</v>
      </c>
      <c r="CA1043" s="0" t="s">
        <v>130</v>
      </c>
      <c r="CB1043" s="0" t="s">
        <v>130</v>
      </c>
      <c r="CC1043" s="0" t="s">
        <v>130</v>
      </c>
      <c r="CD1043" s="0" t="s">
        <v>130</v>
      </c>
      <c r="CE1043" s="0" t="s">
        <v>130</v>
      </c>
      <c r="CF1043" s="0" t="s">
        <v>130</v>
      </c>
      <c r="CG1043" s="0" t="s">
        <v>130</v>
      </c>
      <c r="CH1043" s="0" t="s">
        <v>130</v>
      </c>
      <c r="CI1043" s="0" t="s">
        <v>130</v>
      </c>
      <c r="CJ1043" s="0" t="s">
        <v>130</v>
      </c>
      <c r="CK1043" s="0" t="s">
        <v>130</v>
      </c>
      <c r="CL1043" s="0" t="s">
        <v>130</v>
      </c>
      <c r="CM1043" s="0" t="s">
        <v>130</v>
      </c>
      <c r="CN1043" s="0" t="s">
        <v>130</v>
      </c>
      <c r="CO1043" s="0" t="s">
        <v>130</v>
      </c>
      <c r="CP1043" s="0" t="s">
        <v>130</v>
      </c>
      <c r="CQ1043" s="0" t="s">
        <v>130</v>
      </c>
      <c r="CR1043" s="0" t="s">
        <v>130</v>
      </c>
      <c r="CS1043" s="0" t="s">
        <v>130</v>
      </c>
      <c r="CT1043" s="0" t="s">
        <v>3155</v>
      </c>
    </row>
    <row r="1044">
      <c r="A1044" s="14">
        <v>180001</v>
      </c>
      <c r="B1044" s="0" t="s">
        <v>3137</v>
      </c>
      <c r="C1044" s="16">
        <f>HYPERLINK("https://eosportal.federatedhermes.com/companies/Q29tcGFueQppNzcwNDM=", "adidas AG")</f>
      </c>
      <c r="D1044" s="0" t="s">
        <v>25</v>
      </c>
      <c r="E1044" s="0" t="s">
        <v>146</v>
      </c>
      <c r="F1044" s="16">
        <f>HYPERLINK("https://eosportal.federatedhermes.com/engagements/RW5nYWdlbWVudAppMjQ2MTc=", "Executive Remuneration")</f>
      </c>
      <c r="G1044" s="14" t="s">
        <v>3156</v>
      </c>
      <c r="H1044" s="0" t="s">
        <v>141</v>
      </c>
      <c r="I1044" s="14" t="s">
        <v>191</v>
      </c>
      <c r="J1044" s="0" t="s">
        <v>145</v>
      </c>
      <c r="K1044" s="0" t="s">
        <v>146</v>
      </c>
      <c r="L1044" s="0" t="s">
        <v>147</v>
      </c>
      <c r="M1044" s="0" t="s">
        <v>378</v>
      </c>
      <c r="N1044" s="0" t="s">
        <v>2485</v>
      </c>
      <c r="O1044" s="0" t="s">
        <v>332</v>
      </c>
      <c r="Q1044" s="0" t="s">
        <v>130</v>
      </c>
      <c r="R1044" s="0" t="s">
        <v>138</v>
      </c>
      <c r="S1044" s="14">
        <v>0</v>
      </c>
      <c r="T1044" s="0" t="s">
        <v>487</v>
      </c>
      <c r="U1044" s="0" t="s">
        <v>138</v>
      </c>
      <c r="V1044" s="14" t="s">
        <v>138</v>
      </c>
      <c r="W1044" s="0" t="s">
        <v>138</v>
      </c>
      <c r="X1044" s="14" t="s">
        <v>138</v>
      </c>
      <c r="Y1044" s="0" t="s">
        <v>138</v>
      </c>
      <c r="Z1044" s="14" t="s">
        <v>138</v>
      </c>
      <c r="AA1044" s="0" t="s">
        <v>138</v>
      </c>
      <c r="AB1044" s="14" t="s">
        <v>138</v>
      </c>
      <c r="AD1044" s="0" t="s">
        <v>138</v>
      </c>
      <c r="AF1044" s="0">
        <v>0</v>
      </c>
      <c r="AG1044" s="0">
        <v>0</v>
      </c>
      <c r="AH1044" s="0" t="s">
        <v>140</v>
      </c>
      <c r="AI1044" s="0" t="s">
        <v>138</v>
      </c>
      <c r="AL1044" s="14"/>
      <c r="AN1044" s="14"/>
      <c r="AQ1044" s="0" t="s">
        <v>130</v>
      </c>
      <c r="AR1044" s="0" t="s">
        <v>130</v>
      </c>
      <c r="AS1044" s="0" t="s">
        <v>130</v>
      </c>
      <c r="AT1044" s="0" t="s">
        <v>130</v>
      </c>
      <c r="AU1044" s="0" t="s">
        <v>130</v>
      </c>
      <c r="AV1044" s="0" t="s">
        <v>130</v>
      </c>
      <c r="AW1044" s="0" t="s">
        <v>130</v>
      </c>
      <c r="AX1044" s="0" t="s">
        <v>130</v>
      </c>
      <c r="AY1044" s="0" t="s">
        <v>130</v>
      </c>
      <c r="AZ1044" s="0" t="s">
        <v>130</v>
      </c>
      <c r="BA1044" s="0" t="s">
        <v>130</v>
      </c>
      <c r="BB1044" s="0" t="s">
        <v>130</v>
      </c>
      <c r="BC1044" s="0" t="s">
        <v>130</v>
      </c>
      <c r="BD1044" s="0" t="s">
        <v>130</v>
      </c>
      <c r="BE1044" s="0" t="s">
        <v>130</v>
      </c>
      <c r="BF1044" s="0" t="s">
        <v>130</v>
      </c>
      <c r="BG1044" s="0" t="s">
        <v>130</v>
      </c>
      <c r="BH1044" s="0" t="s">
        <v>130</v>
      </c>
      <c r="BI1044" s="0" t="s">
        <v>130</v>
      </c>
      <c r="BJ1044" s="0" t="s">
        <v>130</v>
      </c>
      <c r="BK1044" s="0" t="s">
        <v>130</v>
      </c>
      <c r="BL1044" s="0" t="s">
        <v>130</v>
      </c>
      <c r="BM1044" s="0" t="s">
        <v>130</v>
      </c>
      <c r="BN1044" s="0" t="s">
        <v>130</v>
      </c>
      <c r="BO1044" s="0" t="s">
        <v>130</v>
      </c>
      <c r="BP1044" s="0" t="s">
        <v>130</v>
      </c>
      <c r="BQ1044" s="0" t="s">
        <v>130</v>
      </c>
      <c r="BR1044" s="0" t="s">
        <v>130</v>
      </c>
      <c r="BS1044" s="0" t="s">
        <v>130</v>
      </c>
      <c r="BT1044" s="0" t="s">
        <v>130</v>
      </c>
      <c r="BU1044" s="0" t="s">
        <v>130</v>
      </c>
      <c r="BV1044" s="0" t="s">
        <v>130</v>
      </c>
      <c r="BW1044" s="0" t="s">
        <v>130</v>
      </c>
      <c r="BX1044" s="0" t="s">
        <v>130</v>
      </c>
      <c r="BY1044" s="0" t="s">
        <v>130</v>
      </c>
      <c r="BZ1044" s="0" t="s">
        <v>130</v>
      </c>
      <c r="CA1044" s="0" t="s">
        <v>130</v>
      </c>
      <c r="CB1044" s="0" t="s">
        <v>130</v>
      </c>
      <c r="CC1044" s="0" t="s">
        <v>130</v>
      </c>
      <c r="CD1044" s="0" t="s">
        <v>130</v>
      </c>
      <c r="CE1044" s="0" t="s">
        <v>130</v>
      </c>
      <c r="CF1044" s="0" t="s">
        <v>130</v>
      </c>
      <c r="CG1044" s="0" t="s">
        <v>130</v>
      </c>
      <c r="CH1044" s="0" t="s">
        <v>130</v>
      </c>
      <c r="CI1044" s="0" t="s">
        <v>130</v>
      </c>
      <c r="CJ1044" s="0" t="s">
        <v>130</v>
      </c>
      <c r="CK1044" s="0" t="s">
        <v>130</v>
      </c>
      <c r="CL1044" s="0" t="s">
        <v>130</v>
      </c>
      <c r="CM1044" s="0" t="s">
        <v>130</v>
      </c>
      <c r="CN1044" s="0" t="s">
        <v>130</v>
      </c>
      <c r="CO1044" s="0" t="s">
        <v>130</v>
      </c>
      <c r="CP1044" s="0" t="s">
        <v>130</v>
      </c>
      <c r="CQ1044" s="0" t="s">
        <v>130</v>
      </c>
      <c r="CR1044" s="0" t="s">
        <v>130</v>
      </c>
      <c r="CS1044" s="0" t="s">
        <v>130</v>
      </c>
      <c r="CT1044" s="0" t="s">
        <v>3157</v>
      </c>
    </row>
    <row r="1045">
      <c r="A1045" s="14">
        <v>180001</v>
      </c>
      <c r="B1045" s="0" t="s">
        <v>3137</v>
      </c>
      <c r="C1045" s="16">
        <f>HYPERLINK("https://eosportal.federatedhermes.com/companies/Q29tcGFueQppNzcwNDM=", "adidas AG")</f>
      </c>
      <c r="D1045" s="0" t="s">
        <v>25</v>
      </c>
      <c r="E1045" s="0" t="s">
        <v>3158</v>
      </c>
      <c r="F1045" s="16">
        <f>HYPERLINK("https://eosportal.federatedhermes.com/engagements/RW5nYWdlbWVudAppMjQ2MTg=", "Circular Innovation")</f>
      </c>
      <c r="G1045" s="14" t="s">
        <v>3159</v>
      </c>
      <c r="H1045" s="0" t="s">
        <v>141</v>
      </c>
      <c r="I1045" s="14" t="s">
        <v>191</v>
      </c>
      <c r="J1045" s="0" t="s">
        <v>197</v>
      </c>
      <c r="K1045" s="0" t="s">
        <v>348</v>
      </c>
      <c r="L1045" s="0" t="s">
        <v>349</v>
      </c>
      <c r="M1045" s="0" t="s">
        <v>378</v>
      </c>
      <c r="N1045" s="0" t="s">
        <v>2485</v>
      </c>
      <c r="O1045" s="0" t="s">
        <v>332</v>
      </c>
      <c r="Q1045" s="0" t="s">
        <v>141</v>
      </c>
      <c r="R1045" s="0" t="s">
        <v>138</v>
      </c>
      <c r="S1045" s="14">
        <v>1</v>
      </c>
      <c r="T1045" s="0" t="s">
        <v>333</v>
      </c>
      <c r="U1045" s="0" t="s">
        <v>138</v>
      </c>
      <c r="V1045" s="14" t="s">
        <v>138</v>
      </c>
      <c r="W1045" s="0" t="s">
        <v>138</v>
      </c>
      <c r="X1045" s="14" t="s">
        <v>138</v>
      </c>
      <c r="Y1045" s="0" t="s">
        <v>138</v>
      </c>
      <c r="Z1045" s="14" t="s">
        <v>138</v>
      </c>
      <c r="AA1045" s="0" t="s">
        <v>138</v>
      </c>
      <c r="AB1045" s="14" t="s">
        <v>138</v>
      </c>
      <c r="AD1045" s="0" t="s">
        <v>138</v>
      </c>
      <c r="AF1045" s="0">
        <v>0</v>
      </c>
      <c r="AG1045" s="0">
        <v>0</v>
      </c>
      <c r="AH1045" s="0" t="s">
        <v>140</v>
      </c>
      <c r="AI1045" s="0" t="s">
        <v>138</v>
      </c>
      <c r="AK1045" s="0" t="s">
        <v>3145</v>
      </c>
      <c r="AL1045" s="14"/>
      <c r="AN1045" s="14"/>
      <c r="AQ1045" s="0" t="s">
        <v>130</v>
      </c>
      <c r="AR1045" s="0" t="s">
        <v>130</v>
      </c>
      <c r="AS1045" s="0" t="s">
        <v>130</v>
      </c>
      <c r="AT1045" s="0" t="s">
        <v>130</v>
      </c>
      <c r="AU1045" s="0" t="s">
        <v>130</v>
      </c>
      <c r="AV1045" s="0" t="s">
        <v>130</v>
      </c>
      <c r="AW1045" s="0" t="s">
        <v>130</v>
      </c>
      <c r="AX1045" s="0" t="s">
        <v>130</v>
      </c>
      <c r="AY1045" s="0" t="s">
        <v>130</v>
      </c>
      <c r="AZ1045" s="0" t="s">
        <v>130</v>
      </c>
      <c r="BA1045" s="0" t="s">
        <v>130</v>
      </c>
      <c r="BB1045" s="0" t="s">
        <v>141</v>
      </c>
      <c r="BC1045" s="0" t="s">
        <v>130</v>
      </c>
      <c r="BD1045" s="0" t="s">
        <v>130</v>
      </c>
      <c r="BE1045" s="0" t="s">
        <v>130</v>
      </c>
      <c r="BF1045" s="0" t="s">
        <v>130</v>
      </c>
      <c r="BG1045" s="0" t="s">
        <v>130</v>
      </c>
      <c r="BH1045" s="0" t="s">
        <v>130</v>
      </c>
      <c r="BI1045" s="0" t="s">
        <v>130</v>
      </c>
      <c r="BJ1045" s="0" t="s">
        <v>130</v>
      </c>
      <c r="BK1045" s="0" t="s">
        <v>130</v>
      </c>
      <c r="BL1045" s="0" t="s">
        <v>130</v>
      </c>
      <c r="BM1045" s="0" t="s">
        <v>130</v>
      </c>
      <c r="BN1045" s="0" t="s">
        <v>130</v>
      </c>
      <c r="BO1045" s="0" t="s">
        <v>130</v>
      </c>
      <c r="BP1045" s="0" t="s">
        <v>130</v>
      </c>
      <c r="BQ1045" s="0" t="s">
        <v>130</v>
      </c>
      <c r="BR1045" s="0" t="s">
        <v>130</v>
      </c>
      <c r="BS1045" s="0" t="s">
        <v>130</v>
      </c>
      <c r="BT1045" s="0" t="s">
        <v>130</v>
      </c>
      <c r="BU1045" s="0" t="s">
        <v>130</v>
      </c>
      <c r="BV1045" s="0" t="s">
        <v>130</v>
      </c>
      <c r="BW1045" s="0" t="s">
        <v>130</v>
      </c>
      <c r="BX1045" s="0" t="s">
        <v>130</v>
      </c>
      <c r="BY1045" s="0" t="s">
        <v>130</v>
      </c>
      <c r="BZ1045" s="0" t="s">
        <v>130</v>
      </c>
      <c r="CA1045" s="0" t="s">
        <v>130</v>
      </c>
      <c r="CB1045" s="0" t="s">
        <v>130</v>
      </c>
      <c r="CC1045" s="0" t="s">
        <v>130</v>
      </c>
      <c r="CD1045" s="0" t="s">
        <v>141</v>
      </c>
      <c r="CE1045" s="0" t="s">
        <v>130</v>
      </c>
      <c r="CF1045" s="0" t="s">
        <v>130</v>
      </c>
      <c r="CG1045" s="0" t="s">
        <v>130</v>
      </c>
      <c r="CH1045" s="0" t="s">
        <v>130</v>
      </c>
      <c r="CI1045" s="0" t="s">
        <v>130</v>
      </c>
      <c r="CJ1045" s="0" t="s">
        <v>130</v>
      </c>
      <c r="CK1045" s="0" t="s">
        <v>130</v>
      </c>
      <c r="CL1045" s="0" t="s">
        <v>130</v>
      </c>
      <c r="CM1045" s="0" t="s">
        <v>130</v>
      </c>
      <c r="CN1045" s="0" t="s">
        <v>130</v>
      </c>
      <c r="CO1045" s="0" t="s">
        <v>130</v>
      </c>
      <c r="CP1045" s="0" t="s">
        <v>130</v>
      </c>
      <c r="CQ1045" s="0" t="s">
        <v>130</v>
      </c>
      <c r="CR1045" s="0" t="s">
        <v>130</v>
      </c>
      <c r="CS1045" s="0" t="s">
        <v>130</v>
      </c>
      <c r="CT1045" s="0" t="s">
        <v>3160</v>
      </c>
    </row>
    <row r="1046">
      <c r="A1046" s="14">
        <v>180001</v>
      </c>
      <c r="B1046" s="0" t="s">
        <v>3137</v>
      </c>
      <c r="C1046" s="16">
        <f>HYPERLINK("https://eosportal.federatedhermes.com/companies/Q29tcGFueQppNzcwNDM=", "adidas AG")</f>
      </c>
      <c r="D1046" s="0" t="s">
        <v>25</v>
      </c>
      <c r="E1046" s="0" t="s">
        <v>3161</v>
      </c>
      <c r="F1046" s="16">
        <f>HYPERLINK("https://eosportal.federatedhermes.com/engagements/RW5nYWdlbWVudAppMjQ2MTk=", "Labour practices in supply chain")</f>
      </c>
      <c r="G1046" s="14" t="s">
        <v>3162</v>
      </c>
      <c r="H1046" s="0" t="s">
        <v>141</v>
      </c>
      <c r="I1046" s="14" t="s">
        <v>191</v>
      </c>
      <c r="J1046" s="0" t="s">
        <v>153</v>
      </c>
      <c r="K1046" s="0" t="s">
        <v>243</v>
      </c>
      <c r="L1046" s="0" t="s">
        <v>244</v>
      </c>
      <c r="M1046" s="0" t="s">
        <v>378</v>
      </c>
      <c r="N1046" s="0" t="s">
        <v>2485</v>
      </c>
      <c r="O1046" s="0" t="s">
        <v>332</v>
      </c>
      <c r="Q1046" s="0" t="s">
        <v>141</v>
      </c>
      <c r="R1046" s="0" t="s">
        <v>138</v>
      </c>
      <c r="S1046" s="14">
        <v>1</v>
      </c>
      <c r="T1046" s="0" t="s">
        <v>1305</v>
      </c>
      <c r="U1046" s="0" t="s">
        <v>138</v>
      </c>
      <c r="V1046" s="14" t="s">
        <v>138</v>
      </c>
      <c r="W1046" s="0" t="s">
        <v>138</v>
      </c>
      <c r="X1046" s="14" t="s">
        <v>138</v>
      </c>
      <c r="Y1046" s="0" t="s">
        <v>138</v>
      </c>
      <c r="Z1046" s="14" t="s">
        <v>138</v>
      </c>
      <c r="AA1046" s="0" t="s">
        <v>138</v>
      </c>
      <c r="AB1046" s="14" t="s">
        <v>138</v>
      </c>
      <c r="AD1046" s="0" t="s">
        <v>138</v>
      </c>
      <c r="AF1046" s="0">
        <v>0</v>
      </c>
      <c r="AG1046" s="0">
        <v>0</v>
      </c>
      <c r="AH1046" s="0" t="s">
        <v>140</v>
      </c>
      <c r="AI1046" s="0" t="s">
        <v>138</v>
      </c>
      <c r="AK1046" s="0" t="s">
        <v>749</v>
      </c>
      <c r="AL1046" s="14"/>
      <c r="AN1046" s="14"/>
      <c r="AQ1046" s="0" t="s">
        <v>130</v>
      </c>
      <c r="AR1046" s="0" t="s">
        <v>130</v>
      </c>
      <c r="AS1046" s="0" t="s">
        <v>130</v>
      </c>
      <c r="AT1046" s="0" t="s">
        <v>130</v>
      </c>
      <c r="AU1046" s="0" t="s">
        <v>130</v>
      </c>
      <c r="AV1046" s="0" t="s">
        <v>130</v>
      </c>
      <c r="AW1046" s="0" t="s">
        <v>130</v>
      </c>
      <c r="AX1046" s="0" t="s">
        <v>141</v>
      </c>
      <c r="AY1046" s="0" t="s">
        <v>130</v>
      </c>
      <c r="AZ1046" s="0" t="s">
        <v>130</v>
      </c>
      <c r="BA1046" s="0" t="s">
        <v>130</v>
      </c>
      <c r="BB1046" s="0" t="s">
        <v>130</v>
      </c>
      <c r="BC1046" s="0" t="s">
        <v>130</v>
      </c>
      <c r="BD1046" s="0" t="s">
        <v>130</v>
      </c>
      <c r="BE1046" s="0" t="s">
        <v>130</v>
      </c>
      <c r="BF1046" s="0" t="s">
        <v>130</v>
      </c>
      <c r="BG1046" s="0" t="s">
        <v>130</v>
      </c>
      <c r="BH1046" s="0" t="s">
        <v>130</v>
      </c>
      <c r="BI1046" s="0" t="s">
        <v>130</v>
      </c>
      <c r="BJ1046" s="0" t="s">
        <v>130</v>
      </c>
      <c r="BK1046" s="0" t="s">
        <v>130</v>
      </c>
      <c r="BL1046" s="0" t="s">
        <v>130</v>
      </c>
      <c r="BM1046" s="0" t="s">
        <v>130</v>
      </c>
      <c r="BN1046" s="0" t="s">
        <v>130</v>
      </c>
      <c r="BO1046" s="0" t="s">
        <v>130</v>
      </c>
      <c r="BP1046" s="0" t="s">
        <v>130</v>
      </c>
      <c r="BQ1046" s="0" t="s">
        <v>130</v>
      </c>
      <c r="BR1046" s="0" t="s">
        <v>130</v>
      </c>
      <c r="BS1046" s="0" t="s">
        <v>130</v>
      </c>
      <c r="BT1046" s="0" t="s">
        <v>130</v>
      </c>
      <c r="BU1046" s="0" t="s">
        <v>130</v>
      </c>
      <c r="BV1046" s="0" t="s">
        <v>130</v>
      </c>
      <c r="BW1046" s="0" t="s">
        <v>130</v>
      </c>
      <c r="BX1046" s="0" t="s">
        <v>130</v>
      </c>
      <c r="BY1046" s="0" t="s">
        <v>130</v>
      </c>
      <c r="BZ1046" s="0" t="s">
        <v>130</v>
      </c>
      <c r="CA1046" s="0" t="s">
        <v>130</v>
      </c>
      <c r="CB1046" s="0" t="s">
        <v>130</v>
      </c>
      <c r="CC1046" s="0" t="s">
        <v>130</v>
      </c>
      <c r="CD1046" s="0" t="s">
        <v>130</v>
      </c>
      <c r="CE1046" s="0" t="s">
        <v>130</v>
      </c>
      <c r="CF1046" s="0" t="s">
        <v>130</v>
      </c>
      <c r="CG1046" s="0" t="s">
        <v>130</v>
      </c>
      <c r="CH1046" s="0" t="s">
        <v>130</v>
      </c>
      <c r="CI1046" s="0" t="s">
        <v>130</v>
      </c>
      <c r="CJ1046" s="0" t="s">
        <v>130</v>
      </c>
      <c r="CK1046" s="0" t="s">
        <v>130</v>
      </c>
      <c r="CL1046" s="0" t="s">
        <v>130</v>
      </c>
      <c r="CM1046" s="0" t="s">
        <v>130</v>
      </c>
      <c r="CN1046" s="0" t="s">
        <v>130</v>
      </c>
      <c r="CO1046" s="0" t="s">
        <v>130</v>
      </c>
      <c r="CP1046" s="0" t="s">
        <v>130</v>
      </c>
      <c r="CQ1046" s="0" t="s">
        <v>130</v>
      </c>
      <c r="CR1046" s="0" t="s">
        <v>130</v>
      </c>
      <c r="CS1046" s="0" t="s">
        <v>130</v>
      </c>
      <c r="CT1046" s="0" t="s">
        <v>3163</v>
      </c>
    </row>
    <row r="1047">
      <c r="A1047" s="14">
        <v>180001</v>
      </c>
      <c r="B1047" s="0" t="s">
        <v>3137</v>
      </c>
      <c r="C1047" s="16">
        <f>HYPERLINK("https://eosportal.federatedhermes.com/companies/Q29tcGFueQppNzcwNDM=", "adidas AG")</f>
      </c>
      <c r="D1047" s="0" t="s">
        <v>25</v>
      </c>
      <c r="E1047" s="0" t="s">
        <v>3164</v>
      </c>
      <c r="F1047" s="16">
        <f>HYPERLINK("https://eosportal.federatedhermes.com/engagements/RW5nYWdlbWVudAppMjQ2MjA=", "coronavirus repsonse")</f>
      </c>
      <c r="G1047" s="14" t="s">
        <v>3165</v>
      </c>
      <c r="H1047" s="0" t="s">
        <v>141</v>
      </c>
      <c r="I1047" s="14" t="s">
        <v>191</v>
      </c>
      <c r="J1047" s="0" t="s">
        <v>132</v>
      </c>
      <c r="K1047" s="0" t="s">
        <v>260</v>
      </c>
      <c r="L1047" s="0" t="s">
        <v>261</v>
      </c>
      <c r="M1047" s="0" t="s">
        <v>378</v>
      </c>
      <c r="N1047" s="0" t="s">
        <v>2485</v>
      </c>
      <c r="O1047" s="0" t="s">
        <v>332</v>
      </c>
      <c r="Q1047" s="0" t="s">
        <v>130</v>
      </c>
      <c r="R1047" s="0" t="s">
        <v>138</v>
      </c>
      <c r="S1047" s="14">
        <v>0</v>
      </c>
      <c r="T1047" s="0" t="s">
        <v>394</v>
      </c>
      <c r="U1047" s="0" t="s">
        <v>138</v>
      </c>
      <c r="V1047" s="14" t="s">
        <v>138</v>
      </c>
      <c r="W1047" s="0" t="s">
        <v>138</v>
      </c>
      <c r="X1047" s="14" t="s">
        <v>138</v>
      </c>
      <c r="Y1047" s="0" t="s">
        <v>138</v>
      </c>
      <c r="Z1047" s="14" t="s">
        <v>138</v>
      </c>
      <c r="AA1047" s="0" t="s">
        <v>138</v>
      </c>
      <c r="AB1047" s="14" t="s">
        <v>138</v>
      </c>
      <c r="AD1047" s="0" t="s">
        <v>138</v>
      </c>
      <c r="AF1047" s="0">
        <v>0</v>
      </c>
      <c r="AG1047" s="0">
        <v>0</v>
      </c>
      <c r="AH1047" s="0" t="s">
        <v>140</v>
      </c>
      <c r="AI1047" s="0" t="s">
        <v>138</v>
      </c>
      <c r="AL1047" s="14"/>
      <c r="AN1047" s="14"/>
      <c r="AQ1047" s="0" t="s">
        <v>130</v>
      </c>
      <c r="AR1047" s="0" t="s">
        <v>130</v>
      </c>
      <c r="AS1047" s="0" t="s">
        <v>141</v>
      </c>
      <c r="AT1047" s="0" t="s">
        <v>130</v>
      </c>
      <c r="AU1047" s="0" t="s">
        <v>130</v>
      </c>
      <c r="AV1047" s="0" t="s">
        <v>130</v>
      </c>
      <c r="AW1047" s="0" t="s">
        <v>130</v>
      </c>
      <c r="AX1047" s="0" t="s">
        <v>130</v>
      </c>
      <c r="AY1047" s="0" t="s">
        <v>130</v>
      </c>
      <c r="AZ1047" s="0" t="s">
        <v>130</v>
      </c>
      <c r="BA1047" s="0" t="s">
        <v>130</v>
      </c>
      <c r="BB1047" s="0" t="s">
        <v>130</v>
      </c>
      <c r="BC1047" s="0" t="s">
        <v>130</v>
      </c>
      <c r="BD1047" s="0" t="s">
        <v>130</v>
      </c>
      <c r="BE1047" s="0" t="s">
        <v>130</v>
      </c>
      <c r="BF1047" s="0" t="s">
        <v>130</v>
      </c>
      <c r="BG1047" s="0" t="s">
        <v>130</v>
      </c>
      <c r="BH1047" s="0" t="s">
        <v>130</v>
      </c>
      <c r="BI1047" s="0" t="s">
        <v>130</v>
      </c>
      <c r="BJ1047" s="0" t="s">
        <v>130</v>
      </c>
      <c r="BK1047" s="0" t="s">
        <v>130</v>
      </c>
      <c r="BL1047" s="0" t="s">
        <v>130</v>
      </c>
      <c r="BM1047" s="0" t="s">
        <v>130</v>
      </c>
      <c r="BN1047" s="0" t="s">
        <v>130</v>
      </c>
      <c r="BO1047" s="0" t="s">
        <v>130</v>
      </c>
      <c r="BP1047" s="0" t="s">
        <v>130</v>
      </c>
      <c r="BQ1047" s="0" t="s">
        <v>130</v>
      </c>
      <c r="BR1047" s="0" t="s">
        <v>130</v>
      </c>
      <c r="BS1047" s="0" t="s">
        <v>130</v>
      </c>
      <c r="BT1047" s="0" t="s">
        <v>130</v>
      </c>
      <c r="BU1047" s="0" t="s">
        <v>130</v>
      </c>
      <c r="BV1047" s="0" t="s">
        <v>130</v>
      </c>
      <c r="BW1047" s="0" t="s">
        <v>130</v>
      </c>
      <c r="BX1047" s="0" t="s">
        <v>130</v>
      </c>
      <c r="BY1047" s="0" t="s">
        <v>130</v>
      </c>
      <c r="BZ1047" s="0" t="s">
        <v>130</v>
      </c>
      <c r="CA1047" s="0" t="s">
        <v>130</v>
      </c>
      <c r="CB1047" s="0" t="s">
        <v>130</v>
      </c>
      <c r="CC1047" s="0" t="s">
        <v>130</v>
      </c>
      <c r="CD1047" s="0" t="s">
        <v>130</v>
      </c>
      <c r="CE1047" s="0" t="s">
        <v>130</v>
      </c>
      <c r="CF1047" s="0" t="s">
        <v>130</v>
      </c>
      <c r="CG1047" s="0" t="s">
        <v>130</v>
      </c>
      <c r="CH1047" s="0" t="s">
        <v>130</v>
      </c>
      <c r="CI1047" s="0" t="s">
        <v>130</v>
      </c>
      <c r="CJ1047" s="0" t="s">
        <v>130</v>
      </c>
      <c r="CK1047" s="0" t="s">
        <v>130</v>
      </c>
      <c r="CL1047" s="0" t="s">
        <v>130</v>
      </c>
      <c r="CM1047" s="0" t="s">
        <v>130</v>
      </c>
      <c r="CN1047" s="0" t="s">
        <v>130</v>
      </c>
      <c r="CO1047" s="0" t="s">
        <v>130</v>
      </c>
      <c r="CP1047" s="0" t="s">
        <v>130</v>
      </c>
      <c r="CQ1047" s="0" t="s">
        <v>130</v>
      </c>
      <c r="CR1047" s="0" t="s">
        <v>130</v>
      </c>
      <c r="CS1047" s="0" t="s">
        <v>130</v>
      </c>
      <c r="CT1047" s="0" t="s">
        <v>3166</v>
      </c>
    </row>
    <row r="1048">
      <c r="A1048" s="14">
        <v>151843</v>
      </c>
      <c r="B1048" s="0" t="s">
        <v>3167</v>
      </c>
      <c r="C1048" s="16">
        <f>HYPERLINK("https://eosportal.federatedhermes.com/companies/Q29tcGFueQppODU0MTU=", "Fast Retailing Co Ltd")</f>
      </c>
      <c r="D1048" s="0" t="s">
        <v>25</v>
      </c>
      <c r="E1048" s="0" t="s">
        <v>3168</v>
      </c>
      <c r="F1048" s="16">
        <f>HYPERLINK("https://eosportal.federatedhermes.com/engagements/RW5nYWdlbWVudAppMjQ2NDY=", "Plastic use")</f>
      </c>
      <c r="G1048" s="14" t="s">
        <v>3169</v>
      </c>
      <c r="H1048" s="0" t="s">
        <v>141</v>
      </c>
      <c r="I1048" s="14" t="s">
        <v>191</v>
      </c>
      <c r="J1048" s="0" t="s">
        <v>197</v>
      </c>
      <c r="K1048" s="0" t="s">
        <v>348</v>
      </c>
      <c r="L1048" s="0" t="s">
        <v>349</v>
      </c>
      <c r="M1048" s="0" t="s">
        <v>802</v>
      </c>
      <c r="N1048" s="0" t="s">
        <v>952</v>
      </c>
      <c r="O1048" s="0" t="s">
        <v>643</v>
      </c>
      <c r="Q1048" s="0" t="s">
        <v>130</v>
      </c>
      <c r="R1048" s="0" t="s">
        <v>138</v>
      </c>
      <c r="S1048" s="14">
        <v>0</v>
      </c>
      <c r="T1048" s="0" t="s">
        <v>359</v>
      </c>
      <c r="U1048" s="0" t="s">
        <v>138</v>
      </c>
      <c r="V1048" s="14" t="s">
        <v>138</v>
      </c>
      <c r="W1048" s="0" t="s">
        <v>138</v>
      </c>
      <c r="X1048" s="14" t="s">
        <v>138</v>
      </c>
      <c r="Y1048" s="0" t="s">
        <v>138</v>
      </c>
      <c r="Z1048" s="14" t="s">
        <v>138</v>
      </c>
      <c r="AA1048" s="0" t="s">
        <v>138</v>
      </c>
      <c r="AB1048" s="14" t="s">
        <v>138</v>
      </c>
      <c r="AD1048" s="0" t="s">
        <v>138</v>
      </c>
      <c r="AF1048" s="0">
        <v>0</v>
      </c>
      <c r="AG1048" s="0">
        <v>0</v>
      </c>
      <c r="AH1048" s="0" t="s">
        <v>140</v>
      </c>
      <c r="AI1048" s="0" t="s">
        <v>138</v>
      </c>
      <c r="AL1048" s="14"/>
      <c r="AN1048" s="14"/>
      <c r="AQ1048" s="0" t="s">
        <v>130</v>
      </c>
      <c r="AR1048" s="0" t="s">
        <v>130</v>
      </c>
      <c r="AS1048" s="0" t="s">
        <v>130</v>
      </c>
      <c r="AT1048" s="0" t="s">
        <v>130</v>
      </c>
      <c r="AU1048" s="0" t="s">
        <v>130</v>
      </c>
      <c r="AV1048" s="0" t="s">
        <v>130</v>
      </c>
      <c r="AW1048" s="0" t="s">
        <v>130</v>
      </c>
      <c r="AX1048" s="0" t="s">
        <v>130</v>
      </c>
      <c r="AY1048" s="0" t="s">
        <v>130</v>
      </c>
      <c r="AZ1048" s="0" t="s">
        <v>130</v>
      </c>
      <c r="BA1048" s="0" t="s">
        <v>130</v>
      </c>
      <c r="BB1048" s="0" t="s">
        <v>141</v>
      </c>
      <c r="BC1048" s="0" t="s">
        <v>130</v>
      </c>
      <c r="BD1048" s="0" t="s">
        <v>130</v>
      </c>
      <c r="BE1048" s="0" t="s">
        <v>130</v>
      </c>
      <c r="BF1048" s="0" t="s">
        <v>130</v>
      </c>
      <c r="BG1048" s="0" t="s">
        <v>130</v>
      </c>
      <c r="BH1048" s="0" t="s">
        <v>130</v>
      </c>
      <c r="BI1048" s="0" t="s">
        <v>130</v>
      </c>
      <c r="BJ1048" s="0" t="s">
        <v>130</v>
      </c>
      <c r="BK1048" s="0" t="s">
        <v>130</v>
      </c>
      <c r="BL1048" s="0" t="s">
        <v>130</v>
      </c>
      <c r="BM1048" s="0" t="s">
        <v>130</v>
      </c>
      <c r="BN1048" s="0" t="s">
        <v>130</v>
      </c>
      <c r="BO1048" s="0" t="s">
        <v>130</v>
      </c>
      <c r="BP1048" s="0" t="s">
        <v>130</v>
      </c>
      <c r="BQ1048" s="0" t="s">
        <v>130</v>
      </c>
      <c r="BR1048" s="0" t="s">
        <v>130</v>
      </c>
      <c r="BS1048" s="0" t="s">
        <v>130</v>
      </c>
      <c r="BT1048" s="0" t="s">
        <v>130</v>
      </c>
      <c r="BU1048" s="0" t="s">
        <v>130</v>
      </c>
      <c r="BV1048" s="0" t="s">
        <v>130</v>
      </c>
      <c r="BW1048" s="0" t="s">
        <v>130</v>
      </c>
      <c r="BX1048" s="0" t="s">
        <v>130</v>
      </c>
      <c r="BY1048" s="0" t="s">
        <v>130</v>
      </c>
      <c r="BZ1048" s="0" t="s">
        <v>130</v>
      </c>
      <c r="CA1048" s="0" t="s">
        <v>130</v>
      </c>
      <c r="CB1048" s="0" t="s">
        <v>130</v>
      </c>
      <c r="CC1048" s="0" t="s">
        <v>130</v>
      </c>
      <c r="CD1048" s="0" t="s">
        <v>141</v>
      </c>
      <c r="CE1048" s="0" t="s">
        <v>130</v>
      </c>
      <c r="CF1048" s="0" t="s">
        <v>130</v>
      </c>
      <c r="CG1048" s="0" t="s">
        <v>130</v>
      </c>
      <c r="CH1048" s="0" t="s">
        <v>130</v>
      </c>
      <c r="CI1048" s="0" t="s">
        <v>130</v>
      </c>
      <c r="CJ1048" s="0" t="s">
        <v>130</v>
      </c>
      <c r="CK1048" s="0" t="s">
        <v>130</v>
      </c>
      <c r="CL1048" s="0" t="s">
        <v>130</v>
      </c>
      <c r="CM1048" s="0" t="s">
        <v>130</v>
      </c>
      <c r="CN1048" s="0" t="s">
        <v>130</v>
      </c>
      <c r="CO1048" s="0" t="s">
        <v>130</v>
      </c>
      <c r="CP1048" s="0" t="s">
        <v>130</v>
      </c>
      <c r="CQ1048" s="0" t="s">
        <v>130</v>
      </c>
      <c r="CR1048" s="0" t="s">
        <v>130</v>
      </c>
      <c r="CS1048" s="0" t="s">
        <v>130</v>
      </c>
      <c r="CT1048" s="0" t="s">
        <v>3170</v>
      </c>
    </row>
    <row r="1049">
      <c r="A1049" s="14">
        <v>151843</v>
      </c>
      <c r="B1049" s="0" t="s">
        <v>3167</v>
      </c>
      <c r="C1049" s="16">
        <f>HYPERLINK("https://eosportal.federatedhermes.com/companies/Q29tcGFueQppODU0MTU=", "Fast Retailing Co Ltd")</f>
      </c>
      <c r="D1049" s="0" t="s">
        <v>25</v>
      </c>
      <c r="E1049" s="0" t="s">
        <v>3171</v>
      </c>
      <c r="F1049" s="16">
        <f>HYPERLINK("https://eosportal.federatedhermes.com/engagements/RW5nYWdlbWVudAppMjQ2NDc=", "Labour conditions at its manufacturers' sites")</f>
      </c>
      <c r="G1049" s="14" t="s">
        <v>3172</v>
      </c>
      <c r="H1049" s="0" t="s">
        <v>141</v>
      </c>
      <c r="I1049" s="14" t="s">
        <v>191</v>
      </c>
      <c r="J1049" s="0" t="s">
        <v>153</v>
      </c>
      <c r="K1049" s="0" t="s">
        <v>243</v>
      </c>
      <c r="L1049" s="0" t="s">
        <v>244</v>
      </c>
      <c r="M1049" s="0" t="s">
        <v>802</v>
      </c>
      <c r="N1049" s="0" t="s">
        <v>952</v>
      </c>
      <c r="O1049" s="0" t="s">
        <v>643</v>
      </c>
      <c r="Q1049" s="0" t="s">
        <v>130</v>
      </c>
      <c r="R1049" s="0" t="s">
        <v>138</v>
      </c>
      <c r="S1049" s="14">
        <v>0</v>
      </c>
      <c r="T1049" s="0" t="s">
        <v>384</v>
      </c>
      <c r="U1049" s="0" t="s">
        <v>138</v>
      </c>
      <c r="V1049" s="14" t="s">
        <v>138</v>
      </c>
      <c r="W1049" s="0" t="s">
        <v>138</v>
      </c>
      <c r="X1049" s="14" t="s">
        <v>138</v>
      </c>
      <c r="Y1049" s="0" t="s">
        <v>138</v>
      </c>
      <c r="Z1049" s="14" t="s">
        <v>138</v>
      </c>
      <c r="AA1049" s="0" t="s">
        <v>138</v>
      </c>
      <c r="AB1049" s="14" t="s">
        <v>138</v>
      </c>
      <c r="AD1049" s="0" t="s">
        <v>138</v>
      </c>
      <c r="AF1049" s="0">
        <v>0</v>
      </c>
      <c r="AG1049" s="0">
        <v>0</v>
      </c>
      <c r="AH1049" s="0" t="s">
        <v>140</v>
      </c>
      <c r="AI1049" s="0" t="s">
        <v>138</v>
      </c>
      <c r="AL1049" s="14"/>
      <c r="AN1049" s="14"/>
      <c r="AQ1049" s="0" t="s">
        <v>130</v>
      </c>
      <c r="AR1049" s="0" t="s">
        <v>130</v>
      </c>
      <c r="AS1049" s="0" t="s">
        <v>130</v>
      </c>
      <c r="AT1049" s="0" t="s">
        <v>130</v>
      </c>
      <c r="AU1049" s="0" t="s">
        <v>130</v>
      </c>
      <c r="AV1049" s="0" t="s">
        <v>130</v>
      </c>
      <c r="AW1049" s="0" t="s">
        <v>130</v>
      </c>
      <c r="AX1049" s="0" t="s">
        <v>141</v>
      </c>
      <c r="AY1049" s="0" t="s">
        <v>130</v>
      </c>
      <c r="AZ1049" s="0" t="s">
        <v>130</v>
      </c>
      <c r="BA1049" s="0" t="s">
        <v>130</v>
      </c>
      <c r="BB1049" s="0" t="s">
        <v>130</v>
      </c>
      <c r="BC1049" s="0" t="s">
        <v>130</v>
      </c>
      <c r="BD1049" s="0" t="s">
        <v>130</v>
      </c>
      <c r="BE1049" s="0" t="s">
        <v>130</v>
      </c>
      <c r="BF1049" s="0" t="s">
        <v>130</v>
      </c>
      <c r="BG1049" s="0" t="s">
        <v>130</v>
      </c>
      <c r="BH1049" s="0" t="s">
        <v>130</v>
      </c>
      <c r="BI1049" s="0" t="s">
        <v>130</v>
      </c>
      <c r="BJ1049" s="0" t="s">
        <v>130</v>
      </c>
      <c r="BK1049" s="0" t="s">
        <v>130</v>
      </c>
      <c r="BL1049" s="0" t="s">
        <v>130</v>
      </c>
      <c r="BM1049" s="0" t="s">
        <v>130</v>
      </c>
      <c r="BN1049" s="0" t="s">
        <v>130</v>
      </c>
      <c r="BO1049" s="0" t="s">
        <v>130</v>
      </c>
      <c r="BP1049" s="0" t="s">
        <v>130</v>
      </c>
      <c r="BQ1049" s="0" t="s">
        <v>130</v>
      </c>
      <c r="BR1049" s="0" t="s">
        <v>130</v>
      </c>
      <c r="BS1049" s="0" t="s">
        <v>130</v>
      </c>
      <c r="BT1049" s="0" t="s">
        <v>130</v>
      </c>
      <c r="BU1049" s="0" t="s">
        <v>130</v>
      </c>
      <c r="BV1049" s="0" t="s">
        <v>130</v>
      </c>
      <c r="BW1049" s="0" t="s">
        <v>130</v>
      </c>
      <c r="BX1049" s="0" t="s">
        <v>130</v>
      </c>
      <c r="BY1049" s="0" t="s">
        <v>130</v>
      </c>
      <c r="BZ1049" s="0" t="s">
        <v>130</v>
      </c>
      <c r="CA1049" s="0" t="s">
        <v>130</v>
      </c>
      <c r="CB1049" s="0" t="s">
        <v>130</v>
      </c>
      <c r="CC1049" s="0" t="s">
        <v>130</v>
      </c>
      <c r="CD1049" s="0" t="s">
        <v>130</v>
      </c>
      <c r="CE1049" s="0" t="s">
        <v>130</v>
      </c>
      <c r="CF1049" s="0" t="s">
        <v>130</v>
      </c>
      <c r="CG1049" s="0" t="s">
        <v>130</v>
      </c>
      <c r="CH1049" s="0" t="s">
        <v>130</v>
      </c>
      <c r="CI1049" s="0" t="s">
        <v>130</v>
      </c>
      <c r="CJ1049" s="0" t="s">
        <v>130</v>
      </c>
      <c r="CK1049" s="0" t="s">
        <v>130</v>
      </c>
      <c r="CL1049" s="0" t="s">
        <v>130</v>
      </c>
      <c r="CM1049" s="0" t="s">
        <v>130</v>
      </c>
      <c r="CN1049" s="0" t="s">
        <v>130</v>
      </c>
      <c r="CO1049" s="0" t="s">
        <v>130</v>
      </c>
      <c r="CP1049" s="0" t="s">
        <v>130</v>
      </c>
      <c r="CQ1049" s="0" t="s">
        <v>130</v>
      </c>
      <c r="CR1049" s="0" t="s">
        <v>130</v>
      </c>
      <c r="CS1049" s="0" t="s">
        <v>130</v>
      </c>
      <c r="CT1049" s="0" t="s">
        <v>3173</v>
      </c>
    </row>
    <row r="1050">
      <c r="A1050" s="14">
        <v>151843</v>
      </c>
      <c r="B1050" s="0" t="s">
        <v>3167</v>
      </c>
      <c r="C1050" s="16">
        <f>HYPERLINK("https://eosportal.federatedhermes.com/companies/Q29tcGFueQppODU0MTU=", "Fast Retailing Co Ltd")</f>
      </c>
      <c r="D1050" s="0" t="s">
        <v>25</v>
      </c>
      <c r="E1050" s="0" t="s">
        <v>3174</v>
      </c>
      <c r="F1050" s="16">
        <f>HYPERLINK("https://eosportal.federatedhermes.com/engagements/RW5nYWdlbWVudAppMjQ2NTE=", "Supply chain labour management")</f>
      </c>
      <c r="G1050" s="14" t="s">
        <v>3175</v>
      </c>
      <c r="H1050" s="0" t="s">
        <v>141</v>
      </c>
      <c r="I1050" s="14" t="s">
        <v>191</v>
      </c>
      <c r="J1050" s="0" t="s">
        <v>153</v>
      </c>
      <c r="K1050" s="0" t="s">
        <v>243</v>
      </c>
      <c r="L1050" s="0" t="s">
        <v>244</v>
      </c>
      <c r="M1050" s="0" t="s">
        <v>802</v>
      </c>
      <c r="N1050" s="0" t="s">
        <v>952</v>
      </c>
      <c r="O1050" s="0" t="s">
        <v>643</v>
      </c>
      <c r="Q1050" s="0" t="s">
        <v>130</v>
      </c>
      <c r="R1050" s="0" t="s">
        <v>138</v>
      </c>
      <c r="S1050" s="14">
        <v>0</v>
      </c>
      <c r="T1050" s="0" t="s">
        <v>384</v>
      </c>
      <c r="U1050" s="0" t="s">
        <v>138</v>
      </c>
      <c r="V1050" s="14" t="s">
        <v>138</v>
      </c>
      <c r="W1050" s="0" t="s">
        <v>138</v>
      </c>
      <c r="X1050" s="14" t="s">
        <v>138</v>
      </c>
      <c r="Y1050" s="0" t="s">
        <v>138</v>
      </c>
      <c r="Z1050" s="14" t="s">
        <v>138</v>
      </c>
      <c r="AA1050" s="0" t="s">
        <v>138</v>
      </c>
      <c r="AB1050" s="14" t="s">
        <v>138</v>
      </c>
      <c r="AD1050" s="0" t="s">
        <v>138</v>
      </c>
      <c r="AF1050" s="0">
        <v>0</v>
      </c>
      <c r="AG1050" s="0">
        <v>0</v>
      </c>
      <c r="AH1050" s="0" t="s">
        <v>140</v>
      </c>
      <c r="AI1050" s="0" t="s">
        <v>138</v>
      </c>
      <c r="AL1050" s="14"/>
      <c r="AN1050" s="14"/>
      <c r="AQ1050" s="0" t="s">
        <v>130</v>
      </c>
      <c r="AR1050" s="0" t="s">
        <v>130</v>
      </c>
      <c r="AS1050" s="0" t="s">
        <v>130</v>
      </c>
      <c r="AT1050" s="0" t="s">
        <v>130</v>
      </c>
      <c r="AU1050" s="0" t="s">
        <v>130</v>
      </c>
      <c r="AV1050" s="0" t="s">
        <v>130</v>
      </c>
      <c r="AW1050" s="0" t="s">
        <v>130</v>
      </c>
      <c r="AX1050" s="0" t="s">
        <v>141</v>
      </c>
      <c r="AY1050" s="0" t="s">
        <v>130</v>
      </c>
      <c r="AZ1050" s="0" t="s">
        <v>130</v>
      </c>
      <c r="BA1050" s="0" t="s">
        <v>130</v>
      </c>
      <c r="BB1050" s="0" t="s">
        <v>130</v>
      </c>
      <c r="BC1050" s="0" t="s">
        <v>130</v>
      </c>
      <c r="BD1050" s="0" t="s">
        <v>130</v>
      </c>
      <c r="BE1050" s="0" t="s">
        <v>130</v>
      </c>
      <c r="BF1050" s="0" t="s">
        <v>130</v>
      </c>
      <c r="BG1050" s="0" t="s">
        <v>130</v>
      </c>
      <c r="BH1050" s="0" t="s">
        <v>130</v>
      </c>
      <c r="BI1050" s="0" t="s">
        <v>130</v>
      </c>
      <c r="BJ1050" s="0" t="s">
        <v>130</v>
      </c>
      <c r="BK1050" s="0" t="s">
        <v>130</v>
      </c>
      <c r="BL1050" s="0" t="s">
        <v>130</v>
      </c>
      <c r="BM1050" s="0" t="s">
        <v>130</v>
      </c>
      <c r="BN1050" s="0" t="s">
        <v>130</v>
      </c>
      <c r="BO1050" s="0" t="s">
        <v>130</v>
      </c>
      <c r="BP1050" s="0" t="s">
        <v>130</v>
      </c>
      <c r="BQ1050" s="0" t="s">
        <v>130</v>
      </c>
      <c r="BR1050" s="0" t="s">
        <v>130</v>
      </c>
      <c r="BS1050" s="0" t="s">
        <v>130</v>
      </c>
      <c r="BT1050" s="0" t="s">
        <v>130</v>
      </c>
      <c r="BU1050" s="0" t="s">
        <v>130</v>
      </c>
      <c r="BV1050" s="0" t="s">
        <v>130</v>
      </c>
      <c r="BW1050" s="0" t="s">
        <v>130</v>
      </c>
      <c r="BX1050" s="0" t="s">
        <v>130</v>
      </c>
      <c r="BY1050" s="0" t="s">
        <v>130</v>
      </c>
      <c r="BZ1050" s="0" t="s">
        <v>130</v>
      </c>
      <c r="CA1050" s="0" t="s">
        <v>130</v>
      </c>
      <c r="CB1050" s="0" t="s">
        <v>130</v>
      </c>
      <c r="CC1050" s="0" t="s">
        <v>130</v>
      </c>
      <c r="CD1050" s="0" t="s">
        <v>130</v>
      </c>
      <c r="CE1050" s="0" t="s">
        <v>130</v>
      </c>
      <c r="CF1050" s="0" t="s">
        <v>130</v>
      </c>
      <c r="CG1050" s="0" t="s">
        <v>130</v>
      </c>
      <c r="CH1050" s="0" t="s">
        <v>130</v>
      </c>
      <c r="CI1050" s="0" t="s">
        <v>130</v>
      </c>
      <c r="CJ1050" s="0" t="s">
        <v>130</v>
      </c>
      <c r="CK1050" s="0" t="s">
        <v>130</v>
      </c>
      <c r="CL1050" s="0" t="s">
        <v>130</v>
      </c>
      <c r="CM1050" s="0" t="s">
        <v>130</v>
      </c>
      <c r="CN1050" s="0" t="s">
        <v>130</v>
      </c>
      <c r="CO1050" s="0" t="s">
        <v>130</v>
      </c>
      <c r="CP1050" s="0" t="s">
        <v>130</v>
      </c>
      <c r="CQ1050" s="0" t="s">
        <v>130</v>
      </c>
      <c r="CR1050" s="0" t="s">
        <v>130</v>
      </c>
      <c r="CS1050" s="0" t="s">
        <v>130</v>
      </c>
      <c r="CT1050" s="0" t="s">
        <v>3176</v>
      </c>
    </row>
    <row r="1051">
      <c r="A1051" s="14">
        <v>151843</v>
      </c>
      <c r="B1051" s="0" t="s">
        <v>3167</v>
      </c>
      <c r="C1051" s="16">
        <f>HYPERLINK("https://eosportal.federatedhermes.com/companies/Q29tcGFueQppODU0MTU=", "Fast Retailing Co Ltd")</f>
      </c>
      <c r="D1051" s="0" t="s">
        <v>25</v>
      </c>
      <c r="E1051" s="0" t="s">
        <v>295</v>
      </c>
      <c r="F1051" s="16">
        <f>HYPERLINK("https://eosportal.federatedhermes.com/engagements/RW5nYWdlbWVudAppMjQ2NTM=", "Board structure")</f>
      </c>
      <c r="G1051" s="14" t="s">
        <v>3177</v>
      </c>
      <c r="H1051" s="0" t="s">
        <v>141</v>
      </c>
      <c r="I1051" s="14" t="s">
        <v>191</v>
      </c>
      <c r="J1051" s="0" t="s">
        <v>145</v>
      </c>
      <c r="K1051" s="0" t="s">
        <v>164</v>
      </c>
      <c r="L1051" s="0" t="s">
        <v>165</v>
      </c>
      <c r="M1051" s="0" t="s">
        <v>802</v>
      </c>
      <c r="N1051" s="0" t="s">
        <v>952</v>
      </c>
      <c r="O1051" s="0" t="s">
        <v>643</v>
      </c>
      <c r="Q1051" s="0" t="s">
        <v>141</v>
      </c>
      <c r="R1051" s="0" t="s">
        <v>138</v>
      </c>
      <c r="S1051" s="14">
        <v>2</v>
      </c>
      <c r="T1051" s="0" t="s">
        <v>384</v>
      </c>
      <c r="U1051" s="0" t="s">
        <v>138</v>
      </c>
      <c r="V1051" s="14" t="s">
        <v>138</v>
      </c>
      <c r="W1051" s="0" t="s">
        <v>138</v>
      </c>
      <c r="X1051" s="14" t="s">
        <v>138</v>
      </c>
      <c r="Y1051" s="0" t="s">
        <v>138</v>
      </c>
      <c r="Z1051" s="14" t="s">
        <v>138</v>
      </c>
      <c r="AA1051" s="0" t="s">
        <v>138</v>
      </c>
      <c r="AB1051" s="14" t="s">
        <v>138</v>
      </c>
      <c r="AD1051" s="0" t="s">
        <v>138</v>
      </c>
      <c r="AF1051" s="0">
        <v>0</v>
      </c>
      <c r="AG1051" s="0">
        <v>0</v>
      </c>
      <c r="AH1051" s="0" t="s">
        <v>140</v>
      </c>
      <c r="AI1051" s="0" t="s">
        <v>138</v>
      </c>
      <c r="AK1051" s="0" t="s">
        <v>3178</v>
      </c>
      <c r="AL1051" s="14"/>
      <c r="AN1051" s="14"/>
      <c r="AQ1051" s="0" t="s">
        <v>130</v>
      </c>
      <c r="AR1051" s="0" t="s">
        <v>130</v>
      </c>
      <c r="AS1051" s="0" t="s">
        <v>130</v>
      </c>
      <c r="AT1051" s="0" t="s">
        <v>130</v>
      </c>
      <c r="AU1051" s="0" t="s">
        <v>130</v>
      </c>
      <c r="AV1051" s="0" t="s">
        <v>130</v>
      </c>
      <c r="AW1051" s="0" t="s">
        <v>130</v>
      </c>
      <c r="AX1051" s="0" t="s">
        <v>130</v>
      </c>
      <c r="AY1051" s="0" t="s">
        <v>130</v>
      </c>
      <c r="AZ1051" s="0" t="s">
        <v>130</v>
      </c>
      <c r="BA1051" s="0" t="s">
        <v>130</v>
      </c>
      <c r="BB1051" s="0" t="s">
        <v>130</v>
      </c>
      <c r="BC1051" s="0" t="s">
        <v>130</v>
      </c>
      <c r="BD1051" s="0" t="s">
        <v>130</v>
      </c>
      <c r="BE1051" s="0" t="s">
        <v>130</v>
      </c>
      <c r="BF1051" s="0" t="s">
        <v>130</v>
      </c>
      <c r="BG1051" s="0" t="s">
        <v>130</v>
      </c>
      <c r="BH1051" s="0" t="s">
        <v>130</v>
      </c>
      <c r="BI1051" s="0" t="s">
        <v>130</v>
      </c>
      <c r="BJ1051" s="0" t="s">
        <v>130</v>
      </c>
      <c r="BK1051" s="0" t="s">
        <v>130</v>
      </c>
      <c r="BL1051" s="0" t="s">
        <v>130</v>
      </c>
      <c r="BM1051" s="0" t="s">
        <v>130</v>
      </c>
      <c r="BN1051" s="0" t="s">
        <v>130</v>
      </c>
      <c r="BO1051" s="0" t="s">
        <v>130</v>
      </c>
      <c r="BP1051" s="0" t="s">
        <v>130</v>
      </c>
      <c r="BQ1051" s="0" t="s">
        <v>130</v>
      </c>
      <c r="BR1051" s="0" t="s">
        <v>130</v>
      </c>
      <c r="BS1051" s="0" t="s">
        <v>130</v>
      </c>
      <c r="BT1051" s="0" t="s">
        <v>130</v>
      </c>
      <c r="BU1051" s="0" t="s">
        <v>130</v>
      </c>
      <c r="BV1051" s="0" t="s">
        <v>130</v>
      </c>
      <c r="BW1051" s="0" t="s">
        <v>130</v>
      </c>
      <c r="BX1051" s="0" t="s">
        <v>130</v>
      </c>
      <c r="BY1051" s="0" t="s">
        <v>130</v>
      </c>
      <c r="BZ1051" s="0" t="s">
        <v>130</v>
      </c>
      <c r="CA1051" s="0" t="s">
        <v>130</v>
      </c>
      <c r="CB1051" s="0" t="s">
        <v>130</v>
      </c>
      <c r="CC1051" s="0" t="s">
        <v>130</v>
      </c>
      <c r="CD1051" s="0" t="s">
        <v>130</v>
      </c>
      <c r="CE1051" s="0" t="s">
        <v>130</v>
      </c>
      <c r="CF1051" s="0" t="s">
        <v>130</v>
      </c>
      <c r="CG1051" s="0" t="s">
        <v>130</v>
      </c>
      <c r="CH1051" s="0" t="s">
        <v>130</v>
      </c>
      <c r="CI1051" s="0" t="s">
        <v>130</v>
      </c>
      <c r="CJ1051" s="0" t="s">
        <v>130</v>
      </c>
      <c r="CK1051" s="0" t="s">
        <v>130</v>
      </c>
      <c r="CL1051" s="0" t="s">
        <v>130</v>
      </c>
      <c r="CM1051" s="0" t="s">
        <v>130</v>
      </c>
      <c r="CN1051" s="0" t="s">
        <v>130</v>
      </c>
      <c r="CO1051" s="0" t="s">
        <v>130</v>
      </c>
      <c r="CP1051" s="0" t="s">
        <v>130</v>
      </c>
      <c r="CQ1051" s="0" t="s">
        <v>130</v>
      </c>
      <c r="CR1051" s="0" t="s">
        <v>130</v>
      </c>
      <c r="CS1051" s="0" t="s">
        <v>130</v>
      </c>
      <c r="CT1051" s="0" t="s">
        <v>3179</v>
      </c>
    </row>
    <row r="1052">
      <c r="A1052" s="14">
        <v>151843</v>
      </c>
      <c r="B1052" s="0" t="s">
        <v>3167</v>
      </c>
      <c r="C1052" s="16">
        <f>HYPERLINK("https://eosportal.federatedhermes.com/companies/Q29tcGFueQppODU0MTU=", "Fast Retailing Co Ltd")</f>
      </c>
      <c r="D1052" s="0" t="s">
        <v>23</v>
      </c>
      <c r="E1052" s="0" t="s">
        <v>3180</v>
      </c>
      <c r="F1052" s="16">
        <f>HYPERLINK("https://eosportal.federatedhermes.com/engagements/RW5nYWdlbWVudAppMjQ2NTQ=", "Committing to 100% Renewable Electricity for Global Operations (RE100)")</f>
      </c>
      <c r="G1052" s="14" t="s">
        <v>3181</v>
      </c>
      <c r="H1052" s="0" t="s">
        <v>141</v>
      </c>
      <c r="I1052" s="14" t="s">
        <v>191</v>
      </c>
      <c r="J1052" s="0" t="s">
        <v>197</v>
      </c>
      <c r="K1052" s="0" t="s">
        <v>198</v>
      </c>
      <c r="L1052" s="0" t="s">
        <v>216</v>
      </c>
      <c r="M1052" s="0" t="s">
        <v>802</v>
      </c>
      <c r="N1052" s="0" t="s">
        <v>952</v>
      </c>
      <c r="O1052" s="0" t="s">
        <v>643</v>
      </c>
      <c r="Q1052" s="0" t="s">
        <v>130</v>
      </c>
      <c r="R1052" s="0" t="s">
        <v>130</v>
      </c>
      <c r="S1052" s="14">
        <v>0</v>
      </c>
      <c r="T1052" s="0" t="s">
        <v>156</v>
      </c>
      <c r="U1052" s="0" t="s">
        <v>221</v>
      </c>
      <c r="V1052" s="14" t="s">
        <v>156</v>
      </c>
      <c r="W1052" s="0" t="s">
        <v>221</v>
      </c>
      <c r="X1052" s="14" t="s">
        <v>156</v>
      </c>
      <c r="Y1052" s="0" t="s">
        <v>223</v>
      </c>
      <c r="Z1052" s="14" t="s">
        <v>138</v>
      </c>
      <c r="AA1052" s="0" t="s">
        <v>224</v>
      </c>
      <c r="AB1052" s="14" t="s">
        <v>138</v>
      </c>
      <c r="AD1052" s="0" t="s">
        <v>17</v>
      </c>
      <c r="AF1052" s="0">
        <v>0</v>
      </c>
      <c r="AG1052" s="0">
        <v>0</v>
      </c>
      <c r="AH1052" s="0" t="s">
        <v>140</v>
      </c>
      <c r="AI1052" s="0" t="s">
        <v>232</v>
      </c>
      <c r="AL1052" s="14"/>
      <c r="AN1052" s="14"/>
      <c r="AQ1052" s="0" t="s">
        <v>130</v>
      </c>
      <c r="AR1052" s="0" t="s">
        <v>130</v>
      </c>
      <c r="AS1052" s="0" t="s">
        <v>130</v>
      </c>
      <c r="AT1052" s="0" t="s">
        <v>130</v>
      </c>
      <c r="AU1052" s="0" t="s">
        <v>130</v>
      </c>
      <c r="AV1052" s="0" t="s">
        <v>130</v>
      </c>
      <c r="AW1052" s="0" t="s">
        <v>141</v>
      </c>
      <c r="AX1052" s="0" t="s">
        <v>130</v>
      </c>
      <c r="AY1052" s="0" t="s">
        <v>141</v>
      </c>
      <c r="AZ1052" s="0" t="s">
        <v>130</v>
      </c>
      <c r="BA1052" s="0" t="s">
        <v>130</v>
      </c>
      <c r="BB1052" s="0" t="s">
        <v>130</v>
      </c>
      <c r="BC1052" s="0" t="s">
        <v>141</v>
      </c>
      <c r="BD1052" s="0" t="s">
        <v>130</v>
      </c>
      <c r="BE1052" s="0" t="s">
        <v>130</v>
      </c>
      <c r="BF1052" s="0" t="s">
        <v>130</v>
      </c>
      <c r="BG1052" s="0" t="s">
        <v>130</v>
      </c>
      <c r="BH1052" s="0" t="s">
        <v>141</v>
      </c>
      <c r="BI1052" s="0" t="s">
        <v>141</v>
      </c>
      <c r="BJ1052" s="0" t="s">
        <v>141</v>
      </c>
      <c r="BK1052" s="0" t="s">
        <v>130</v>
      </c>
      <c r="BL1052" s="0" t="s">
        <v>130</v>
      </c>
      <c r="BM1052" s="0" t="s">
        <v>130</v>
      </c>
      <c r="BN1052" s="0" t="s">
        <v>130</v>
      </c>
      <c r="BO1052" s="0" t="s">
        <v>130</v>
      </c>
      <c r="BP1052" s="0" t="s">
        <v>130</v>
      </c>
      <c r="BQ1052" s="0" t="s">
        <v>130</v>
      </c>
      <c r="BR1052" s="0" t="s">
        <v>130</v>
      </c>
      <c r="BS1052" s="0" t="s">
        <v>130</v>
      </c>
      <c r="BT1052" s="0" t="s">
        <v>130</v>
      </c>
      <c r="BU1052" s="0" t="s">
        <v>130</v>
      </c>
      <c r="BV1052" s="0" t="s">
        <v>141</v>
      </c>
      <c r="BW1052" s="0" t="s">
        <v>141</v>
      </c>
      <c r="BX1052" s="0" t="s">
        <v>130</v>
      </c>
      <c r="BY1052" s="0" t="s">
        <v>130</v>
      </c>
      <c r="BZ1052" s="0" t="s">
        <v>130</v>
      </c>
      <c r="CA1052" s="0" t="s">
        <v>130</v>
      </c>
      <c r="CB1052" s="0" t="s">
        <v>130</v>
      </c>
      <c r="CC1052" s="0" t="s">
        <v>130</v>
      </c>
      <c r="CD1052" s="0" t="s">
        <v>130</v>
      </c>
      <c r="CE1052" s="0" t="s">
        <v>130</v>
      </c>
      <c r="CF1052" s="0" t="s">
        <v>130</v>
      </c>
      <c r="CG1052" s="0" t="s">
        <v>130</v>
      </c>
      <c r="CH1052" s="0" t="s">
        <v>130</v>
      </c>
      <c r="CI1052" s="0" t="s">
        <v>130</v>
      </c>
      <c r="CJ1052" s="0" t="s">
        <v>130</v>
      </c>
      <c r="CK1052" s="0" t="s">
        <v>130</v>
      </c>
      <c r="CL1052" s="0" t="s">
        <v>130</v>
      </c>
      <c r="CM1052" s="0" t="s">
        <v>130</v>
      </c>
      <c r="CN1052" s="0" t="s">
        <v>130</v>
      </c>
      <c r="CO1052" s="0" t="s">
        <v>130</v>
      </c>
      <c r="CP1052" s="0" t="s">
        <v>130</v>
      </c>
      <c r="CQ1052" s="0" t="s">
        <v>130</v>
      </c>
      <c r="CR1052" s="0" t="s">
        <v>130</v>
      </c>
      <c r="CS1052" s="0" t="s">
        <v>130</v>
      </c>
      <c r="CT1052" s="0" t="s">
        <v>3182</v>
      </c>
    </row>
    <row r="1053">
      <c r="A1053" s="14">
        <v>151843</v>
      </c>
      <c r="B1053" s="0" t="s">
        <v>3167</v>
      </c>
      <c r="C1053" s="16">
        <f>HYPERLINK("https://eosportal.federatedhermes.com/companies/Q29tcGFueQppODU0MTU=", "Fast Retailing Co Ltd")</f>
      </c>
      <c r="D1053" s="0" t="s">
        <v>23</v>
      </c>
      <c r="E1053" s="0" t="s">
        <v>3183</v>
      </c>
      <c r="F1053" s="16">
        <f>HYPERLINK("https://eosportal.federatedhermes.com/engagements/RW5nYWdlbWVudAppMjQ2NTU=", "Improving the board structure and clarifying successor plan")</f>
      </c>
      <c r="G1053" s="14" t="s">
        <v>3184</v>
      </c>
      <c r="H1053" s="0" t="s">
        <v>141</v>
      </c>
      <c r="I1053" s="14" t="s">
        <v>191</v>
      </c>
      <c r="J1053" s="0" t="s">
        <v>145</v>
      </c>
      <c r="K1053" s="0" t="s">
        <v>164</v>
      </c>
      <c r="L1053" s="0" t="s">
        <v>277</v>
      </c>
      <c r="M1053" s="0" t="s">
        <v>802</v>
      </c>
      <c r="N1053" s="0" t="s">
        <v>952</v>
      </c>
      <c r="O1053" s="0" t="s">
        <v>643</v>
      </c>
      <c r="Q1053" s="0" t="s">
        <v>141</v>
      </c>
      <c r="R1053" s="0" t="s">
        <v>130</v>
      </c>
      <c r="S1053" s="14">
        <v>2</v>
      </c>
      <c r="T1053" s="0" t="s">
        <v>156</v>
      </c>
      <c r="U1053" s="0" t="s">
        <v>221</v>
      </c>
      <c r="V1053" s="14" t="s">
        <v>156</v>
      </c>
      <c r="W1053" s="0" t="s">
        <v>221</v>
      </c>
      <c r="X1053" s="14" t="s">
        <v>156</v>
      </c>
      <c r="Y1053" s="0" t="s">
        <v>221</v>
      </c>
      <c r="Z1053" s="14" t="s">
        <v>355</v>
      </c>
      <c r="AA1053" s="0" t="s">
        <v>223</v>
      </c>
      <c r="AB1053" s="14" t="s">
        <v>138</v>
      </c>
      <c r="AD1053" s="0" t="s">
        <v>20</v>
      </c>
      <c r="AF1053" s="0">
        <v>0</v>
      </c>
      <c r="AG1053" s="0">
        <v>0</v>
      </c>
      <c r="AH1053" s="0" t="s">
        <v>140</v>
      </c>
      <c r="AI1053" s="0" t="s">
        <v>232</v>
      </c>
      <c r="AK1053" s="0" t="s">
        <v>3178</v>
      </c>
      <c r="AL1053" s="14"/>
      <c r="AN1053" s="14"/>
      <c r="AQ1053" s="0" t="s">
        <v>130</v>
      </c>
      <c r="AR1053" s="0" t="s">
        <v>130</v>
      </c>
      <c r="AS1053" s="0" t="s">
        <v>130</v>
      </c>
      <c r="AT1053" s="0" t="s">
        <v>130</v>
      </c>
      <c r="AU1053" s="0" t="s">
        <v>130</v>
      </c>
      <c r="AV1053" s="0" t="s">
        <v>130</v>
      </c>
      <c r="AW1053" s="0" t="s">
        <v>130</v>
      </c>
      <c r="AX1053" s="0" t="s">
        <v>130</v>
      </c>
      <c r="AY1053" s="0" t="s">
        <v>130</v>
      </c>
      <c r="AZ1053" s="0" t="s">
        <v>130</v>
      </c>
      <c r="BA1053" s="0" t="s">
        <v>130</v>
      </c>
      <c r="BB1053" s="0" t="s">
        <v>130</v>
      </c>
      <c r="BC1053" s="0" t="s">
        <v>130</v>
      </c>
      <c r="BD1053" s="0" t="s">
        <v>130</v>
      </c>
      <c r="BE1053" s="0" t="s">
        <v>130</v>
      </c>
      <c r="BF1053" s="0" t="s">
        <v>130</v>
      </c>
      <c r="BG1053" s="0" t="s">
        <v>130</v>
      </c>
      <c r="BH1053" s="0" t="s">
        <v>130</v>
      </c>
      <c r="BI1053" s="0" t="s">
        <v>130</v>
      </c>
      <c r="BJ1053" s="0" t="s">
        <v>130</v>
      </c>
      <c r="BK1053" s="0" t="s">
        <v>130</v>
      </c>
      <c r="BL1053" s="0" t="s">
        <v>130</v>
      </c>
      <c r="BM1053" s="0" t="s">
        <v>130</v>
      </c>
      <c r="BN1053" s="0" t="s">
        <v>130</v>
      </c>
      <c r="BO1053" s="0" t="s">
        <v>130</v>
      </c>
      <c r="BP1053" s="0" t="s">
        <v>130</v>
      </c>
      <c r="BQ1053" s="0" t="s">
        <v>130</v>
      </c>
      <c r="BR1053" s="0" t="s">
        <v>130</v>
      </c>
      <c r="BS1053" s="0" t="s">
        <v>130</v>
      </c>
      <c r="BT1053" s="0" t="s">
        <v>130</v>
      </c>
      <c r="BU1053" s="0" t="s">
        <v>130</v>
      </c>
      <c r="BV1053" s="0" t="s">
        <v>130</v>
      </c>
      <c r="BW1053" s="0" t="s">
        <v>130</v>
      </c>
      <c r="BX1053" s="0" t="s">
        <v>130</v>
      </c>
      <c r="BY1053" s="0" t="s">
        <v>130</v>
      </c>
      <c r="BZ1053" s="0" t="s">
        <v>130</v>
      </c>
      <c r="CA1053" s="0" t="s">
        <v>130</v>
      </c>
      <c r="CB1053" s="0" t="s">
        <v>130</v>
      </c>
      <c r="CC1053" s="0" t="s">
        <v>130</v>
      </c>
      <c r="CD1053" s="0" t="s">
        <v>130</v>
      </c>
      <c r="CE1053" s="0" t="s">
        <v>130</v>
      </c>
      <c r="CF1053" s="0" t="s">
        <v>130</v>
      </c>
      <c r="CG1053" s="0" t="s">
        <v>130</v>
      </c>
      <c r="CH1053" s="0" t="s">
        <v>130</v>
      </c>
      <c r="CI1053" s="0" t="s">
        <v>130</v>
      </c>
      <c r="CJ1053" s="0" t="s">
        <v>130</v>
      </c>
      <c r="CK1053" s="0" t="s">
        <v>130</v>
      </c>
      <c r="CL1053" s="0" t="s">
        <v>130</v>
      </c>
      <c r="CM1053" s="0" t="s">
        <v>130</v>
      </c>
      <c r="CN1053" s="0" t="s">
        <v>130</v>
      </c>
      <c r="CO1053" s="0" t="s">
        <v>130</v>
      </c>
      <c r="CP1053" s="0" t="s">
        <v>130</v>
      </c>
      <c r="CQ1053" s="0" t="s">
        <v>130</v>
      </c>
      <c r="CR1053" s="0" t="s">
        <v>130</v>
      </c>
      <c r="CS1053" s="0" t="s">
        <v>130</v>
      </c>
      <c r="CT1053" s="0" t="s">
        <v>3185</v>
      </c>
    </row>
    <row r="1054">
      <c r="A1054" s="14">
        <v>180580</v>
      </c>
      <c r="B1054" s="0" t="s">
        <v>3186</v>
      </c>
      <c r="C1054" s="16">
        <f>HYPERLINK("https://eosportal.federatedhermes.com/companies/Q29tcGFueQppNzYyOTM=", "Novartis AG")</f>
      </c>
      <c r="D1054" s="0" t="s">
        <v>25</v>
      </c>
      <c r="E1054" s="0" t="s">
        <v>3187</v>
      </c>
      <c r="F1054" s="16">
        <f>HYPERLINK("https://eosportal.federatedhermes.com/engagements/RW5nYWdlbWVudAppMjQ2OTc=", "Opioids")</f>
      </c>
      <c r="G1054" s="14" t="s">
        <v>3188</v>
      </c>
      <c r="H1054" s="0" t="s">
        <v>141</v>
      </c>
      <c r="I1054" s="14" t="s">
        <v>636</v>
      </c>
      <c r="J1054" s="0" t="s">
        <v>132</v>
      </c>
      <c r="K1054" s="0" t="s">
        <v>260</v>
      </c>
      <c r="L1054" s="0" t="s">
        <v>261</v>
      </c>
      <c r="M1054" s="0" t="s">
        <v>378</v>
      </c>
      <c r="N1054" s="0" t="s">
        <v>1059</v>
      </c>
      <c r="O1054" s="0" t="s">
        <v>274</v>
      </c>
      <c r="Q1054" s="0" t="s">
        <v>130</v>
      </c>
      <c r="R1054" s="0" t="s">
        <v>138</v>
      </c>
      <c r="S1054" s="14">
        <v>0</v>
      </c>
      <c r="T1054" s="0" t="s">
        <v>355</v>
      </c>
      <c r="U1054" s="0" t="s">
        <v>138</v>
      </c>
      <c r="V1054" s="14" t="s">
        <v>138</v>
      </c>
      <c r="W1054" s="0" t="s">
        <v>138</v>
      </c>
      <c r="X1054" s="14" t="s">
        <v>138</v>
      </c>
      <c r="Y1054" s="0" t="s">
        <v>138</v>
      </c>
      <c r="Z1054" s="14" t="s">
        <v>138</v>
      </c>
      <c r="AA1054" s="0" t="s">
        <v>138</v>
      </c>
      <c r="AB1054" s="14" t="s">
        <v>138</v>
      </c>
      <c r="AD1054" s="0" t="s">
        <v>138</v>
      </c>
      <c r="AF1054" s="0">
        <v>0</v>
      </c>
      <c r="AG1054" s="0">
        <v>0</v>
      </c>
      <c r="AH1054" s="0" t="s">
        <v>140</v>
      </c>
      <c r="AI1054" s="0" t="s">
        <v>138</v>
      </c>
      <c r="AL1054" s="14"/>
      <c r="AN1054" s="14"/>
      <c r="AQ1054" s="0" t="s">
        <v>130</v>
      </c>
      <c r="AR1054" s="0" t="s">
        <v>130</v>
      </c>
      <c r="AS1054" s="0" t="s">
        <v>130</v>
      </c>
      <c r="AT1054" s="0" t="s">
        <v>130</v>
      </c>
      <c r="AU1054" s="0" t="s">
        <v>130</v>
      </c>
      <c r="AV1054" s="0" t="s">
        <v>130</v>
      </c>
      <c r="AW1054" s="0" t="s">
        <v>130</v>
      </c>
      <c r="AX1054" s="0" t="s">
        <v>130</v>
      </c>
      <c r="AY1054" s="0" t="s">
        <v>130</v>
      </c>
      <c r="AZ1054" s="0" t="s">
        <v>130</v>
      </c>
      <c r="BA1054" s="0" t="s">
        <v>130</v>
      </c>
      <c r="BB1054" s="0" t="s">
        <v>130</v>
      </c>
      <c r="BC1054" s="0" t="s">
        <v>130</v>
      </c>
      <c r="BD1054" s="0" t="s">
        <v>130</v>
      </c>
      <c r="BE1054" s="0" t="s">
        <v>130</v>
      </c>
      <c r="BF1054" s="0" t="s">
        <v>130</v>
      </c>
      <c r="BG1054" s="0" t="s">
        <v>130</v>
      </c>
      <c r="BH1054" s="0" t="s">
        <v>130</v>
      </c>
      <c r="BI1054" s="0" t="s">
        <v>130</v>
      </c>
      <c r="BJ1054" s="0" t="s">
        <v>130</v>
      </c>
      <c r="BK1054" s="0" t="s">
        <v>130</v>
      </c>
      <c r="BL1054" s="0" t="s">
        <v>130</v>
      </c>
      <c r="BM1054" s="0" t="s">
        <v>130</v>
      </c>
      <c r="BN1054" s="0" t="s">
        <v>130</v>
      </c>
      <c r="BO1054" s="0" t="s">
        <v>130</v>
      </c>
      <c r="BP1054" s="0" t="s">
        <v>130</v>
      </c>
      <c r="BQ1054" s="0" t="s">
        <v>130</v>
      </c>
      <c r="BR1054" s="0" t="s">
        <v>130</v>
      </c>
      <c r="BS1054" s="0" t="s">
        <v>130</v>
      </c>
      <c r="BT1054" s="0" t="s">
        <v>130</v>
      </c>
      <c r="BU1054" s="0" t="s">
        <v>130</v>
      </c>
      <c r="BV1054" s="0" t="s">
        <v>130</v>
      </c>
      <c r="BW1054" s="0" t="s">
        <v>130</v>
      </c>
      <c r="BX1054" s="0" t="s">
        <v>130</v>
      </c>
      <c r="BY1054" s="0" t="s">
        <v>130</v>
      </c>
      <c r="BZ1054" s="0" t="s">
        <v>130</v>
      </c>
      <c r="CA1054" s="0" t="s">
        <v>130</v>
      </c>
      <c r="CB1054" s="0" t="s">
        <v>130</v>
      </c>
      <c r="CC1054" s="0" t="s">
        <v>130</v>
      </c>
      <c r="CD1054" s="0" t="s">
        <v>130</v>
      </c>
      <c r="CE1054" s="0" t="s">
        <v>130</v>
      </c>
      <c r="CF1054" s="0" t="s">
        <v>130</v>
      </c>
      <c r="CG1054" s="0" t="s">
        <v>130</v>
      </c>
      <c r="CH1054" s="0" t="s">
        <v>130</v>
      </c>
      <c r="CI1054" s="0" t="s">
        <v>130</v>
      </c>
      <c r="CJ1054" s="0" t="s">
        <v>130</v>
      </c>
      <c r="CK1054" s="0" t="s">
        <v>130</v>
      </c>
      <c r="CL1054" s="0" t="s">
        <v>130</v>
      </c>
      <c r="CM1054" s="0" t="s">
        <v>130</v>
      </c>
      <c r="CN1054" s="0" t="s">
        <v>130</v>
      </c>
      <c r="CO1054" s="0" t="s">
        <v>130</v>
      </c>
      <c r="CP1054" s="0" t="s">
        <v>130</v>
      </c>
      <c r="CQ1054" s="0" t="s">
        <v>130</v>
      </c>
      <c r="CR1054" s="0" t="s">
        <v>130</v>
      </c>
      <c r="CS1054" s="0" t="s">
        <v>130</v>
      </c>
      <c r="CT1054" s="0" t="s">
        <v>3189</v>
      </c>
    </row>
    <row r="1055">
      <c r="A1055" s="14">
        <v>180580</v>
      </c>
      <c r="B1055" s="0" t="s">
        <v>3186</v>
      </c>
      <c r="C1055" s="16">
        <f>HYPERLINK("https://eosportal.federatedhermes.com/companies/Q29tcGFueQppNzYyOTM=", "Novartis AG")</f>
      </c>
      <c r="D1055" s="0" t="s">
        <v>25</v>
      </c>
      <c r="E1055" s="0" t="s">
        <v>341</v>
      </c>
      <c r="F1055" s="16">
        <f>HYPERLINK("https://eosportal.federatedhermes.com/engagements/RW5nYWdlbWVudAppMjQ3MTE=", "Remuneration")</f>
      </c>
      <c r="G1055" s="14" t="s">
        <v>2696</v>
      </c>
      <c r="H1055" s="0" t="s">
        <v>141</v>
      </c>
      <c r="I1055" s="14" t="s">
        <v>636</v>
      </c>
      <c r="J1055" s="0" t="s">
        <v>145</v>
      </c>
      <c r="K1055" s="0" t="s">
        <v>146</v>
      </c>
      <c r="L1055" s="0" t="s">
        <v>147</v>
      </c>
      <c r="M1055" s="0" t="s">
        <v>378</v>
      </c>
      <c r="N1055" s="0" t="s">
        <v>1059</v>
      </c>
      <c r="O1055" s="0" t="s">
        <v>274</v>
      </c>
      <c r="Q1055" s="0" t="s">
        <v>141</v>
      </c>
      <c r="R1055" s="0" t="s">
        <v>138</v>
      </c>
      <c r="S1055" s="14">
        <v>1</v>
      </c>
      <c r="T1055" s="0" t="s">
        <v>200</v>
      </c>
      <c r="U1055" s="0" t="s">
        <v>138</v>
      </c>
      <c r="V1055" s="14" t="s">
        <v>138</v>
      </c>
      <c r="W1055" s="0" t="s">
        <v>138</v>
      </c>
      <c r="X1055" s="14" t="s">
        <v>138</v>
      </c>
      <c r="Y1055" s="0" t="s">
        <v>138</v>
      </c>
      <c r="Z1055" s="14" t="s">
        <v>138</v>
      </c>
      <c r="AA1055" s="0" t="s">
        <v>138</v>
      </c>
      <c r="AB1055" s="14" t="s">
        <v>138</v>
      </c>
      <c r="AD1055" s="0" t="s">
        <v>138</v>
      </c>
      <c r="AF1055" s="0">
        <v>0</v>
      </c>
      <c r="AG1055" s="0">
        <v>0</v>
      </c>
      <c r="AH1055" s="0" t="s">
        <v>140</v>
      </c>
      <c r="AI1055" s="0" t="s">
        <v>138</v>
      </c>
      <c r="AK1055" s="0" t="s">
        <v>2569</v>
      </c>
      <c r="AL1055" s="14"/>
      <c r="AN1055" s="14"/>
      <c r="AQ1055" s="0" t="s">
        <v>130</v>
      </c>
      <c r="AR1055" s="0" t="s">
        <v>130</v>
      </c>
      <c r="AS1055" s="0" t="s">
        <v>130</v>
      </c>
      <c r="AT1055" s="0" t="s">
        <v>130</v>
      </c>
      <c r="AU1055" s="0" t="s">
        <v>130</v>
      </c>
      <c r="AV1055" s="0" t="s">
        <v>130</v>
      </c>
      <c r="AW1055" s="0" t="s">
        <v>130</v>
      </c>
      <c r="AX1055" s="0" t="s">
        <v>130</v>
      </c>
      <c r="AY1055" s="0" t="s">
        <v>130</v>
      </c>
      <c r="AZ1055" s="0" t="s">
        <v>130</v>
      </c>
      <c r="BA1055" s="0" t="s">
        <v>130</v>
      </c>
      <c r="BB1055" s="0" t="s">
        <v>130</v>
      </c>
      <c r="BC1055" s="0" t="s">
        <v>130</v>
      </c>
      <c r="BD1055" s="0" t="s">
        <v>130</v>
      </c>
      <c r="BE1055" s="0" t="s">
        <v>130</v>
      </c>
      <c r="BF1055" s="0" t="s">
        <v>130</v>
      </c>
      <c r="BG1055" s="0" t="s">
        <v>130</v>
      </c>
      <c r="BH1055" s="0" t="s">
        <v>130</v>
      </c>
      <c r="BI1055" s="0" t="s">
        <v>130</v>
      </c>
      <c r="BJ1055" s="0" t="s">
        <v>130</v>
      </c>
      <c r="BK1055" s="0" t="s">
        <v>130</v>
      </c>
      <c r="BL1055" s="0" t="s">
        <v>130</v>
      </c>
      <c r="BM1055" s="0" t="s">
        <v>130</v>
      </c>
      <c r="BN1055" s="0" t="s">
        <v>130</v>
      </c>
      <c r="BO1055" s="0" t="s">
        <v>130</v>
      </c>
      <c r="BP1055" s="0" t="s">
        <v>130</v>
      </c>
      <c r="BQ1055" s="0" t="s">
        <v>130</v>
      </c>
      <c r="BR1055" s="0" t="s">
        <v>130</v>
      </c>
      <c r="BS1055" s="0" t="s">
        <v>130</v>
      </c>
      <c r="BT1055" s="0" t="s">
        <v>130</v>
      </c>
      <c r="BU1055" s="0" t="s">
        <v>130</v>
      </c>
      <c r="BV1055" s="0" t="s">
        <v>130</v>
      </c>
      <c r="BW1055" s="0" t="s">
        <v>130</v>
      </c>
      <c r="BX1055" s="0" t="s">
        <v>130</v>
      </c>
      <c r="BY1055" s="0" t="s">
        <v>130</v>
      </c>
      <c r="BZ1055" s="0" t="s">
        <v>130</v>
      </c>
      <c r="CA1055" s="0" t="s">
        <v>130</v>
      </c>
      <c r="CB1055" s="0" t="s">
        <v>130</v>
      </c>
      <c r="CC1055" s="0" t="s">
        <v>130</v>
      </c>
      <c r="CD1055" s="0" t="s">
        <v>130</v>
      </c>
      <c r="CE1055" s="0" t="s">
        <v>130</v>
      </c>
      <c r="CF1055" s="0" t="s">
        <v>130</v>
      </c>
      <c r="CG1055" s="0" t="s">
        <v>130</v>
      </c>
      <c r="CH1055" s="0" t="s">
        <v>130</v>
      </c>
      <c r="CI1055" s="0" t="s">
        <v>130</v>
      </c>
      <c r="CJ1055" s="0" t="s">
        <v>130</v>
      </c>
      <c r="CK1055" s="0" t="s">
        <v>130</v>
      </c>
      <c r="CL1055" s="0" t="s">
        <v>130</v>
      </c>
      <c r="CM1055" s="0" t="s">
        <v>130</v>
      </c>
      <c r="CN1055" s="0" t="s">
        <v>130</v>
      </c>
      <c r="CO1055" s="0" t="s">
        <v>130</v>
      </c>
      <c r="CP1055" s="0" t="s">
        <v>130</v>
      </c>
      <c r="CQ1055" s="0" t="s">
        <v>130</v>
      </c>
      <c r="CR1055" s="0" t="s">
        <v>130</v>
      </c>
      <c r="CS1055" s="0" t="s">
        <v>130</v>
      </c>
      <c r="CT1055" s="0" t="s">
        <v>3190</v>
      </c>
    </row>
    <row r="1056">
      <c r="A1056" s="14">
        <v>180580</v>
      </c>
      <c r="B1056" s="0" t="s">
        <v>3186</v>
      </c>
      <c r="C1056" s="16">
        <f>HYPERLINK("https://eosportal.federatedhermes.com/companies/Q29tcGFueQppNzYyOTM=", "Novartis AG")</f>
      </c>
      <c r="D1056" s="0" t="s">
        <v>25</v>
      </c>
      <c r="E1056" s="0" t="s">
        <v>2237</v>
      </c>
      <c r="F1056" s="16">
        <f>HYPERLINK("https://eosportal.federatedhermes.com/engagements/RW5nYWdlbWVudAppMjQ3MTI=", "Artificial Intelligence")</f>
      </c>
      <c r="G1056" s="14" t="s">
        <v>2382</v>
      </c>
      <c r="H1056" s="0" t="s">
        <v>141</v>
      </c>
      <c r="I1056" s="14" t="s">
        <v>636</v>
      </c>
      <c r="J1056" s="0" t="s">
        <v>153</v>
      </c>
      <c r="K1056" s="0" t="s">
        <v>243</v>
      </c>
      <c r="L1056" s="0" t="s">
        <v>537</v>
      </c>
      <c r="M1056" s="0" t="s">
        <v>378</v>
      </c>
      <c r="N1056" s="0" t="s">
        <v>1059</v>
      </c>
      <c r="O1056" s="0" t="s">
        <v>274</v>
      </c>
      <c r="Q1056" s="0" t="s">
        <v>141</v>
      </c>
      <c r="R1056" s="0" t="s">
        <v>138</v>
      </c>
      <c r="S1056" s="14">
        <v>2</v>
      </c>
      <c r="T1056" s="0" t="s">
        <v>193</v>
      </c>
      <c r="U1056" s="0" t="s">
        <v>138</v>
      </c>
      <c r="V1056" s="14" t="s">
        <v>138</v>
      </c>
      <c r="W1056" s="0" t="s">
        <v>138</v>
      </c>
      <c r="X1056" s="14" t="s">
        <v>138</v>
      </c>
      <c r="Y1056" s="0" t="s">
        <v>138</v>
      </c>
      <c r="Z1056" s="14" t="s">
        <v>138</v>
      </c>
      <c r="AA1056" s="0" t="s">
        <v>138</v>
      </c>
      <c r="AB1056" s="14" t="s">
        <v>138</v>
      </c>
      <c r="AD1056" s="0" t="s">
        <v>138</v>
      </c>
      <c r="AF1056" s="0">
        <v>0</v>
      </c>
      <c r="AG1056" s="0">
        <v>0</v>
      </c>
      <c r="AH1056" s="0" t="s">
        <v>140</v>
      </c>
      <c r="AI1056" s="0" t="s">
        <v>138</v>
      </c>
      <c r="AK1056" s="0" t="s">
        <v>2569</v>
      </c>
      <c r="AL1056" s="14"/>
      <c r="AN1056" s="14"/>
      <c r="AQ1056" s="0" t="s">
        <v>130</v>
      </c>
      <c r="AR1056" s="0" t="s">
        <v>130</v>
      </c>
      <c r="AS1056" s="0" t="s">
        <v>130</v>
      </c>
      <c r="AT1056" s="0" t="s">
        <v>130</v>
      </c>
      <c r="AU1056" s="0" t="s">
        <v>130</v>
      </c>
      <c r="AV1056" s="0" t="s">
        <v>130</v>
      </c>
      <c r="AW1056" s="0" t="s">
        <v>130</v>
      </c>
      <c r="AX1056" s="0" t="s">
        <v>130</v>
      </c>
      <c r="AY1056" s="0" t="s">
        <v>130</v>
      </c>
      <c r="AZ1056" s="0" t="s">
        <v>130</v>
      </c>
      <c r="BA1056" s="0" t="s">
        <v>130</v>
      </c>
      <c r="BB1056" s="0" t="s">
        <v>130</v>
      </c>
      <c r="BC1056" s="0" t="s">
        <v>130</v>
      </c>
      <c r="BD1056" s="0" t="s">
        <v>130</v>
      </c>
      <c r="BE1056" s="0" t="s">
        <v>130</v>
      </c>
      <c r="BF1056" s="0" t="s">
        <v>141</v>
      </c>
      <c r="BG1056" s="0" t="s">
        <v>130</v>
      </c>
      <c r="BH1056" s="0" t="s">
        <v>130</v>
      </c>
      <c r="BI1056" s="0" t="s">
        <v>130</v>
      </c>
      <c r="BJ1056" s="0" t="s">
        <v>130</v>
      </c>
      <c r="BK1056" s="0" t="s">
        <v>130</v>
      </c>
      <c r="BL1056" s="0" t="s">
        <v>130</v>
      </c>
      <c r="BM1056" s="0" t="s">
        <v>130</v>
      </c>
      <c r="BN1056" s="0" t="s">
        <v>130</v>
      </c>
      <c r="BO1056" s="0" t="s">
        <v>130</v>
      </c>
      <c r="BP1056" s="0" t="s">
        <v>130</v>
      </c>
      <c r="BQ1056" s="0" t="s">
        <v>130</v>
      </c>
      <c r="BR1056" s="0" t="s">
        <v>130</v>
      </c>
      <c r="BS1056" s="0" t="s">
        <v>130</v>
      </c>
      <c r="BT1056" s="0" t="s">
        <v>130</v>
      </c>
      <c r="BU1056" s="0" t="s">
        <v>130</v>
      </c>
      <c r="BV1056" s="0" t="s">
        <v>130</v>
      </c>
      <c r="BW1056" s="0" t="s">
        <v>130</v>
      </c>
      <c r="BX1056" s="0" t="s">
        <v>130</v>
      </c>
      <c r="BY1056" s="0" t="s">
        <v>130</v>
      </c>
      <c r="BZ1056" s="0" t="s">
        <v>130</v>
      </c>
      <c r="CA1056" s="0" t="s">
        <v>130</v>
      </c>
      <c r="CB1056" s="0" t="s">
        <v>130</v>
      </c>
      <c r="CC1056" s="0" t="s">
        <v>130</v>
      </c>
      <c r="CD1056" s="0" t="s">
        <v>130</v>
      </c>
      <c r="CE1056" s="0" t="s">
        <v>130</v>
      </c>
      <c r="CF1056" s="0" t="s">
        <v>130</v>
      </c>
      <c r="CG1056" s="0" t="s">
        <v>130</v>
      </c>
      <c r="CH1056" s="0" t="s">
        <v>130</v>
      </c>
      <c r="CI1056" s="0" t="s">
        <v>130</v>
      </c>
      <c r="CJ1056" s="0" t="s">
        <v>130</v>
      </c>
      <c r="CK1056" s="0" t="s">
        <v>130</v>
      </c>
      <c r="CL1056" s="0" t="s">
        <v>130</v>
      </c>
      <c r="CM1056" s="0" t="s">
        <v>130</v>
      </c>
      <c r="CN1056" s="0" t="s">
        <v>130</v>
      </c>
      <c r="CO1056" s="0" t="s">
        <v>130</v>
      </c>
      <c r="CP1056" s="0" t="s">
        <v>130</v>
      </c>
      <c r="CQ1056" s="0" t="s">
        <v>130</v>
      </c>
      <c r="CR1056" s="0" t="s">
        <v>130</v>
      </c>
      <c r="CS1056" s="0" t="s">
        <v>130</v>
      </c>
      <c r="CT1056" s="0" t="s">
        <v>3191</v>
      </c>
    </row>
    <row r="1057">
      <c r="A1057" s="14">
        <v>180580</v>
      </c>
      <c r="B1057" s="0" t="s">
        <v>3186</v>
      </c>
      <c r="C1057" s="16">
        <f>HYPERLINK("https://eosportal.federatedhermes.com/companies/Q29tcGFueQppNzYyOTM=", "Novartis AG")</f>
      </c>
      <c r="D1057" s="0" t="s">
        <v>25</v>
      </c>
      <c r="E1057" s="0" t="s">
        <v>473</v>
      </c>
      <c r="F1057" s="16">
        <f>HYPERLINK("https://eosportal.federatedhermes.com/engagements/RW5nYWdlbWVudAppMjQ3MTM=", "Auditor rotation")</f>
      </c>
      <c r="G1057" s="14" t="s">
        <v>3192</v>
      </c>
      <c r="H1057" s="0" t="s">
        <v>141</v>
      </c>
      <c r="I1057" s="14" t="s">
        <v>636</v>
      </c>
      <c r="J1057" s="0" t="s">
        <v>132</v>
      </c>
      <c r="K1057" s="0" t="s">
        <v>170</v>
      </c>
      <c r="L1057" s="0" t="s">
        <v>310</v>
      </c>
      <c r="M1057" s="0" t="s">
        <v>378</v>
      </c>
      <c r="N1057" s="0" t="s">
        <v>1059</v>
      </c>
      <c r="O1057" s="0" t="s">
        <v>274</v>
      </c>
      <c r="Q1057" s="0" t="s">
        <v>130</v>
      </c>
      <c r="R1057" s="0" t="s">
        <v>138</v>
      </c>
      <c r="S1057" s="14">
        <v>0</v>
      </c>
      <c r="T1057" s="0" t="s">
        <v>359</v>
      </c>
      <c r="U1057" s="0" t="s">
        <v>138</v>
      </c>
      <c r="V1057" s="14" t="s">
        <v>138</v>
      </c>
      <c r="W1057" s="0" t="s">
        <v>138</v>
      </c>
      <c r="X1057" s="14" t="s">
        <v>138</v>
      </c>
      <c r="Y1057" s="0" t="s">
        <v>138</v>
      </c>
      <c r="Z1057" s="14" t="s">
        <v>138</v>
      </c>
      <c r="AA1057" s="0" t="s">
        <v>138</v>
      </c>
      <c r="AB1057" s="14" t="s">
        <v>138</v>
      </c>
      <c r="AD1057" s="0" t="s">
        <v>138</v>
      </c>
      <c r="AF1057" s="0">
        <v>0</v>
      </c>
      <c r="AG1057" s="0">
        <v>0</v>
      </c>
      <c r="AH1057" s="0" t="s">
        <v>140</v>
      </c>
      <c r="AI1057" s="0" t="s">
        <v>138</v>
      </c>
      <c r="AL1057" s="14"/>
      <c r="AN1057" s="14"/>
      <c r="AQ1057" s="0" t="s">
        <v>130</v>
      </c>
      <c r="AR1057" s="0" t="s">
        <v>130</v>
      </c>
      <c r="AS1057" s="0" t="s">
        <v>130</v>
      </c>
      <c r="AT1057" s="0" t="s">
        <v>130</v>
      </c>
      <c r="AU1057" s="0" t="s">
        <v>130</v>
      </c>
      <c r="AV1057" s="0" t="s">
        <v>130</v>
      </c>
      <c r="AW1057" s="0" t="s">
        <v>130</v>
      </c>
      <c r="AX1057" s="0" t="s">
        <v>130</v>
      </c>
      <c r="AY1057" s="0" t="s">
        <v>130</v>
      </c>
      <c r="AZ1057" s="0" t="s">
        <v>130</v>
      </c>
      <c r="BA1057" s="0" t="s">
        <v>130</v>
      </c>
      <c r="BB1057" s="0" t="s">
        <v>130</v>
      </c>
      <c r="BC1057" s="0" t="s">
        <v>130</v>
      </c>
      <c r="BD1057" s="0" t="s">
        <v>130</v>
      </c>
      <c r="BE1057" s="0" t="s">
        <v>130</v>
      </c>
      <c r="BF1057" s="0" t="s">
        <v>130</v>
      </c>
      <c r="BG1057" s="0" t="s">
        <v>130</v>
      </c>
      <c r="BH1057" s="0" t="s">
        <v>130</v>
      </c>
      <c r="BI1057" s="0" t="s">
        <v>130</v>
      </c>
      <c r="BJ1057" s="0" t="s">
        <v>130</v>
      </c>
      <c r="BK1057" s="0" t="s">
        <v>130</v>
      </c>
      <c r="BL1057" s="0" t="s">
        <v>130</v>
      </c>
      <c r="BM1057" s="0" t="s">
        <v>130</v>
      </c>
      <c r="BN1057" s="0" t="s">
        <v>130</v>
      </c>
      <c r="BO1057" s="0" t="s">
        <v>130</v>
      </c>
      <c r="BP1057" s="0" t="s">
        <v>130</v>
      </c>
      <c r="BQ1057" s="0" t="s">
        <v>130</v>
      </c>
      <c r="BR1057" s="0" t="s">
        <v>130</v>
      </c>
      <c r="BS1057" s="0" t="s">
        <v>130</v>
      </c>
      <c r="BT1057" s="0" t="s">
        <v>130</v>
      </c>
      <c r="BU1057" s="0" t="s">
        <v>130</v>
      </c>
      <c r="BV1057" s="0" t="s">
        <v>130</v>
      </c>
      <c r="BW1057" s="0" t="s">
        <v>130</v>
      </c>
      <c r="BX1057" s="0" t="s">
        <v>130</v>
      </c>
      <c r="BY1057" s="0" t="s">
        <v>130</v>
      </c>
      <c r="BZ1057" s="0" t="s">
        <v>130</v>
      </c>
      <c r="CA1057" s="0" t="s">
        <v>130</v>
      </c>
      <c r="CB1057" s="0" t="s">
        <v>130</v>
      </c>
      <c r="CC1057" s="0" t="s">
        <v>130</v>
      </c>
      <c r="CD1057" s="0" t="s">
        <v>130</v>
      </c>
      <c r="CE1057" s="0" t="s">
        <v>130</v>
      </c>
      <c r="CF1057" s="0" t="s">
        <v>130</v>
      </c>
      <c r="CG1057" s="0" t="s">
        <v>130</v>
      </c>
      <c r="CH1057" s="0" t="s">
        <v>130</v>
      </c>
      <c r="CI1057" s="0" t="s">
        <v>130</v>
      </c>
      <c r="CJ1057" s="0" t="s">
        <v>130</v>
      </c>
      <c r="CK1057" s="0" t="s">
        <v>130</v>
      </c>
      <c r="CL1057" s="0" t="s">
        <v>130</v>
      </c>
      <c r="CM1057" s="0" t="s">
        <v>130</v>
      </c>
      <c r="CN1057" s="0" t="s">
        <v>130</v>
      </c>
      <c r="CO1057" s="0" t="s">
        <v>130</v>
      </c>
      <c r="CP1057" s="0" t="s">
        <v>130</v>
      </c>
      <c r="CQ1057" s="0" t="s">
        <v>130</v>
      </c>
      <c r="CR1057" s="0" t="s">
        <v>130</v>
      </c>
      <c r="CS1057" s="0" t="s">
        <v>130</v>
      </c>
      <c r="CT1057" s="0" t="s">
        <v>3193</v>
      </c>
    </row>
    <row r="1058">
      <c r="A1058" s="14">
        <v>180580</v>
      </c>
      <c r="B1058" s="0" t="s">
        <v>3186</v>
      </c>
      <c r="C1058" s="16">
        <f>HYPERLINK("https://eosportal.federatedhermes.com/companies/Q29tcGFueQppNzYyOTM=", "Novartis AG")</f>
      </c>
      <c r="D1058" s="0" t="s">
        <v>25</v>
      </c>
      <c r="E1058" s="0" t="s">
        <v>1341</v>
      </c>
      <c r="F1058" s="16">
        <f>HYPERLINK("https://eosportal.federatedhermes.com/engagements/RW5nYWdlbWVudAppMjQ3MTQ=", "Antimicrobial resistance (AMR)")</f>
      </c>
      <c r="G1058" s="14" t="s">
        <v>3194</v>
      </c>
      <c r="H1058" s="0" t="s">
        <v>141</v>
      </c>
      <c r="I1058" s="14" t="s">
        <v>636</v>
      </c>
      <c r="J1058" s="0" t="s">
        <v>197</v>
      </c>
      <c r="K1058" s="0" t="s">
        <v>337</v>
      </c>
      <c r="L1058" s="0" t="s">
        <v>1222</v>
      </c>
      <c r="M1058" s="0" t="s">
        <v>378</v>
      </c>
      <c r="N1058" s="0" t="s">
        <v>1059</v>
      </c>
      <c r="O1058" s="0" t="s">
        <v>274</v>
      </c>
      <c r="Q1058" s="0" t="s">
        <v>130</v>
      </c>
      <c r="R1058" s="0" t="s">
        <v>138</v>
      </c>
      <c r="S1058" s="14">
        <v>0</v>
      </c>
      <c r="T1058" s="0" t="s">
        <v>156</v>
      </c>
      <c r="U1058" s="0" t="s">
        <v>138</v>
      </c>
      <c r="V1058" s="14" t="s">
        <v>138</v>
      </c>
      <c r="W1058" s="0" t="s">
        <v>138</v>
      </c>
      <c r="X1058" s="14" t="s">
        <v>138</v>
      </c>
      <c r="Y1058" s="0" t="s">
        <v>138</v>
      </c>
      <c r="Z1058" s="14" t="s">
        <v>138</v>
      </c>
      <c r="AA1058" s="0" t="s">
        <v>138</v>
      </c>
      <c r="AB1058" s="14" t="s">
        <v>138</v>
      </c>
      <c r="AD1058" s="0" t="s">
        <v>138</v>
      </c>
      <c r="AF1058" s="0">
        <v>0</v>
      </c>
      <c r="AG1058" s="0">
        <v>0</v>
      </c>
      <c r="AH1058" s="0" t="s">
        <v>140</v>
      </c>
      <c r="AI1058" s="0" t="s">
        <v>138</v>
      </c>
      <c r="AL1058" s="14"/>
      <c r="AN1058" s="14"/>
      <c r="AQ1058" s="0" t="s">
        <v>130</v>
      </c>
      <c r="AR1058" s="0" t="s">
        <v>130</v>
      </c>
      <c r="AS1058" s="0" t="s">
        <v>141</v>
      </c>
      <c r="AT1058" s="0" t="s">
        <v>130</v>
      </c>
      <c r="AU1058" s="0" t="s">
        <v>130</v>
      </c>
      <c r="AV1058" s="0" t="s">
        <v>130</v>
      </c>
      <c r="AW1058" s="0" t="s">
        <v>130</v>
      </c>
      <c r="AX1058" s="0" t="s">
        <v>130</v>
      </c>
      <c r="AY1058" s="0" t="s">
        <v>130</v>
      </c>
      <c r="AZ1058" s="0" t="s">
        <v>130</v>
      </c>
      <c r="BA1058" s="0" t="s">
        <v>130</v>
      </c>
      <c r="BB1058" s="0" t="s">
        <v>141</v>
      </c>
      <c r="BC1058" s="0" t="s">
        <v>130</v>
      </c>
      <c r="BD1058" s="0" t="s">
        <v>130</v>
      </c>
      <c r="BE1058" s="0" t="s">
        <v>130</v>
      </c>
      <c r="BF1058" s="0" t="s">
        <v>130</v>
      </c>
      <c r="BG1058" s="0" t="s">
        <v>130</v>
      </c>
      <c r="BH1058" s="0" t="s">
        <v>130</v>
      </c>
      <c r="BI1058" s="0" t="s">
        <v>130</v>
      </c>
      <c r="BJ1058" s="0" t="s">
        <v>130</v>
      </c>
      <c r="BK1058" s="0" t="s">
        <v>130</v>
      </c>
      <c r="BL1058" s="0" t="s">
        <v>130</v>
      </c>
      <c r="BM1058" s="0" t="s">
        <v>130</v>
      </c>
      <c r="BN1058" s="0" t="s">
        <v>130</v>
      </c>
      <c r="BO1058" s="0" t="s">
        <v>130</v>
      </c>
      <c r="BP1058" s="0" t="s">
        <v>130</v>
      </c>
      <c r="BQ1058" s="0" t="s">
        <v>130</v>
      </c>
      <c r="BR1058" s="0" t="s">
        <v>130</v>
      </c>
      <c r="BS1058" s="0" t="s">
        <v>130</v>
      </c>
      <c r="BT1058" s="0" t="s">
        <v>130</v>
      </c>
      <c r="BU1058" s="0" t="s">
        <v>130</v>
      </c>
      <c r="BV1058" s="0" t="s">
        <v>130</v>
      </c>
      <c r="BW1058" s="0" t="s">
        <v>130</v>
      </c>
      <c r="BX1058" s="0" t="s">
        <v>130</v>
      </c>
      <c r="BY1058" s="0" t="s">
        <v>130</v>
      </c>
      <c r="BZ1058" s="0" t="s">
        <v>130</v>
      </c>
      <c r="CA1058" s="0" t="s">
        <v>130</v>
      </c>
      <c r="CB1058" s="0" t="s">
        <v>130</v>
      </c>
      <c r="CC1058" s="0" t="s">
        <v>130</v>
      </c>
      <c r="CD1058" s="0" t="s">
        <v>130</v>
      </c>
      <c r="CE1058" s="0" t="s">
        <v>130</v>
      </c>
      <c r="CF1058" s="0" t="s">
        <v>130</v>
      </c>
      <c r="CG1058" s="0" t="s">
        <v>130</v>
      </c>
      <c r="CH1058" s="0" t="s">
        <v>130</v>
      </c>
      <c r="CI1058" s="0" t="s">
        <v>130</v>
      </c>
      <c r="CJ1058" s="0" t="s">
        <v>130</v>
      </c>
      <c r="CK1058" s="0" t="s">
        <v>130</v>
      </c>
      <c r="CL1058" s="0" t="s">
        <v>130</v>
      </c>
      <c r="CM1058" s="0" t="s">
        <v>130</v>
      </c>
      <c r="CN1058" s="0" t="s">
        <v>130</v>
      </c>
      <c r="CO1058" s="0" t="s">
        <v>130</v>
      </c>
      <c r="CP1058" s="0" t="s">
        <v>130</v>
      </c>
      <c r="CQ1058" s="0" t="s">
        <v>130</v>
      </c>
      <c r="CR1058" s="0" t="s">
        <v>130</v>
      </c>
      <c r="CS1058" s="0" t="s">
        <v>130</v>
      </c>
      <c r="CT1058" s="0" t="s">
        <v>3195</v>
      </c>
    </row>
    <row r="1059">
      <c r="A1059" s="14">
        <v>180580</v>
      </c>
      <c r="B1059" s="0" t="s">
        <v>3186</v>
      </c>
      <c r="C1059" s="16">
        <f>HYPERLINK("https://eosportal.federatedhermes.com/companies/Q29tcGFueQppNzYyOTM=", "Novartis AG")</f>
      </c>
      <c r="D1059" s="0" t="s">
        <v>25</v>
      </c>
      <c r="E1059" s="0" t="s">
        <v>3196</v>
      </c>
      <c r="F1059" s="16">
        <f>HYPERLINK("https://eosportal.federatedhermes.com/engagements/RW5nYWdlbWVudAppMjQ3MTU=", "Pricing")</f>
      </c>
      <c r="G1059" s="14" t="s">
        <v>3197</v>
      </c>
      <c r="H1059" s="0" t="s">
        <v>141</v>
      </c>
      <c r="I1059" s="14" t="s">
        <v>636</v>
      </c>
      <c r="J1059" s="0" t="s">
        <v>153</v>
      </c>
      <c r="K1059" s="0" t="s">
        <v>154</v>
      </c>
      <c r="L1059" s="0" t="s">
        <v>306</v>
      </c>
      <c r="M1059" s="0" t="s">
        <v>378</v>
      </c>
      <c r="N1059" s="0" t="s">
        <v>1059</v>
      </c>
      <c r="O1059" s="0" t="s">
        <v>274</v>
      </c>
      <c r="Q1059" s="0" t="s">
        <v>130</v>
      </c>
      <c r="R1059" s="0" t="s">
        <v>138</v>
      </c>
      <c r="S1059" s="14">
        <v>0</v>
      </c>
      <c r="T1059" s="0" t="s">
        <v>343</v>
      </c>
      <c r="U1059" s="0" t="s">
        <v>138</v>
      </c>
      <c r="V1059" s="14" t="s">
        <v>138</v>
      </c>
      <c r="W1059" s="0" t="s">
        <v>138</v>
      </c>
      <c r="X1059" s="14" t="s">
        <v>138</v>
      </c>
      <c r="Y1059" s="0" t="s">
        <v>138</v>
      </c>
      <c r="Z1059" s="14" t="s">
        <v>138</v>
      </c>
      <c r="AA1059" s="0" t="s">
        <v>138</v>
      </c>
      <c r="AB1059" s="14" t="s">
        <v>138</v>
      </c>
      <c r="AD1059" s="0" t="s">
        <v>138</v>
      </c>
      <c r="AF1059" s="0">
        <v>0</v>
      </c>
      <c r="AG1059" s="0">
        <v>0</v>
      </c>
      <c r="AH1059" s="0" t="s">
        <v>140</v>
      </c>
      <c r="AI1059" s="0" t="s">
        <v>138</v>
      </c>
      <c r="AL1059" s="14"/>
      <c r="AN1059" s="14"/>
      <c r="AQ1059" s="0" t="s">
        <v>130</v>
      </c>
      <c r="AR1059" s="0" t="s">
        <v>130</v>
      </c>
      <c r="AS1059" s="0" t="s">
        <v>130</v>
      </c>
      <c r="AT1059" s="0" t="s">
        <v>130</v>
      </c>
      <c r="AU1059" s="0" t="s">
        <v>130</v>
      </c>
      <c r="AV1059" s="0" t="s">
        <v>130</v>
      </c>
      <c r="AW1059" s="0" t="s">
        <v>130</v>
      </c>
      <c r="AX1059" s="0" t="s">
        <v>130</v>
      </c>
      <c r="AY1059" s="0" t="s">
        <v>130</v>
      </c>
      <c r="AZ1059" s="0" t="s">
        <v>130</v>
      </c>
      <c r="BA1059" s="0" t="s">
        <v>130</v>
      </c>
      <c r="BB1059" s="0" t="s">
        <v>130</v>
      </c>
      <c r="BC1059" s="0" t="s">
        <v>130</v>
      </c>
      <c r="BD1059" s="0" t="s">
        <v>130</v>
      </c>
      <c r="BE1059" s="0" t="s">
        <v>130</v>
      </c>
      <c r="BF1059" s="0" t="s">
        <v>130</v>
      </c>
      <c r="BG1059" s="0" t="s">
        <v>130</v>
      </c>
      <c r="BH1059" s="0" t="s">
        <v>130</v>
      </c>
      <c r="BI1059" s="0" t="s">
        <v>130</v>
      </c>
      <c r="BJ1059" s="0" t="s">
        <v>130</v>
      </c>
      <c r="BK1059" s="0" t="s">
        <v>130</v>
      </c>
      <c r="BL1059" s="0" t="s">
        <v>130</v>
      </c>
      <c r="BM1059" s="0" t="s">
        <v>130</v>
      </c>
      <c r="BN1059" s="0" t="s">
        <v>130</v>
      </c>
      <c r="BO1059" s="0" t="s">
        <v>130</v>
      </c>
      <c r="BP1059" s="0" t="s">
        <v>130</v>
      </c>
      <c r="BQ1059" s="0" t="s">
        <v>130</v>
      </c>
      <c r="BR1059" s="0" t="s">
        <v>130</v>
      </c>
      <c r="BS1059" s="0" t="s">
        <v>130</v>
      </c>
      <c r="BT1059" s="0" t="s">
        <v>130</v>
      </c>
      <c r="BU1059" s="0" t="s">
        <v>130</v>
      </c>
      <c r="BV1059" s="0" t="s">
        <v>130</v>
      </c>
      <c r="BW1059" s="0" t="s">
        <v>130</v>
      </c>
      <c r="BX1059" s="0" t="s">
        <v>130</v>
      </c>
      <c r="BY1059" s="0" t="s">
        <v>130</v>
      </c>
      <c r="BZ1059" s="0" t="s">
        <v>130</v>
      </c>
      <c r="CA1059" s="0" t="s">
        <v>130</v>
      </c>
      <c r="CB1059" s="0" t="s">
        <v>130</v>
      </c>
      <c r="CC1059" s="0" t="s">
        <v>130</v>
      </c>
      <c r="CD1059" s="0" t="s">
        <v>130</v>
      </c>
      <c r="CE1059" s="0" t="s">
        <v>130</v>
      </c>
      <c r="CF1059" s="0" t="s">
        <v>130</v>
      </c>
      <c r="CG1059" s="0" t="s">
        <v>130</v>
      </c>
      <c r="CH1059" s="0" t="s">
        <v>130</v>
      </c>
      <c r="CI1059" s="0" t="s">
        <v>130</v>
      </c>
      <c r="CJ1059" s="0" t="s">
        <v>130</v>
      </c>
      <c r="CK1059" s="0" t="s">
        <v>130</v>
      </c>
      <c r="CL1059" s="0" t="s">
        <v>130</v>
      </c>
      <c r="CM1059" s="0" t="s">
        <v>130</v>
      </c>
      <c r="CN1059" s="0" t="s">
        <v>130</v>
      </c>
      <c r="CO1059" s="0" t="s">
        <v>130</v>
      </c>
      <c r="CP1059" s="0" t="s">
        <v>130</v>
      </c>
      <c r="CQ1059" s="0" t="s">
        <v>130</v>
      </c>
      <c r="CR1059" s="0" t="s">
        <v>130</v>
      </c>
      <c r="CS1059" s="0" t="s">
        <v>130</v>
      </c>
      <c r="CT1059" s="0" t="s">
        <v>3198</v>
      </c>
    </row>
    <row r="1060">
      <c r="A1060" s="14">
        <v>180580</v>
      </c>
      <c r="B1060" s="0" t="s">
        <v>3186</v>
      </c>
      <c r="C1060" s="16">
        <f>HYPERLINK("https://eosportal.federatedhermes.com/companies/Q29tcGFueQppNzYyOTM=", "Novartis AG")</f>
      </c>
      <c r="D1060" s="0" t="s">
        <v>25</v>
      </c>
      <c r="E1060" s="0" t="s">
        <v>290</v>
      </c>
      <c r="F1060" s="16">
        <f>HYPERLINK("https://eosportal.federatedhermes.com/engagements/RW5nYWdlbWVudAppMjQ3MTY=", "Access to medicines")</f>
      </c>
      <c r="G1060" s="14" t="s">
        <v>3199</v>
      </c>
      <c r="H1060" s="0" t="s">
        <v>141</v>
      </c>
      <c r="I1060" s="14" t="s">
        <v>636</v>
      </c>
      <c r="J1060" s="0" t="s">
        <v>153</v>
      </c>
      <c r="K1060" s="0" t="s">
        <v>243</v>
      </c>
      <c r="L1060" s="0" t="s">
        <v>292</v>
      </c>
      <c r="M1060" s="0" t="s">
        <v>378</v>
      </c>
      <c r="N1060" s="0" t="s">
        <v>1059</v>
      </c>
      <c r="O1060" s="0" t="s">
        <v>274</v>
      </c>
      <c r="Q1060" s="0" t="s">
        <v>130</v>
      </c>
      <c r="R1060" s="0" t="s">
        <v>138</v>
      </c>
      <c r="S1060" s="14">
        <v>0</v>
      </c>
      <c r="T1060" s="0" t="s">
        <v>3200</v>
      </c>
      <c r="U1060" s="0" t="s">
        <v>138</v>
      </c>
      <c r="V1060" s="14" t="s">
        <v>138</v>
      </c>
      <c r="W1060" s="0" t="s">
        <v>138</v>
      </c>
      <c r="X1060" s="14" t="s">
        <v>138</v>
      </c>
      <c r="Y1060" s="0" t="s">
        <v>138</v>
      </c>
      <c r="Z1060" s="14" t="s">
        <v>138</v>
      </c>
      <c r="AA1060" s="0" t="s">
        <v>138</v>
      </c>
      <c r="AB1060" s="14" t="s">
        <v>138</v>
      </c>
      <c r="AD1060" s="0" t="s">
        <v>138</v>
      </c>
      <c r="AF1060" s="0">
        <v>0</v>
      </c>
      <c r="AG1060" s="0">
        <v>0</v>
      </c>
      <c r="AH1060" s="0" t="s">
        <v>140</v>
      </c>
      <c r="AI1060" s="0" t="s">
        <v>138</v>
      </c>
      <c r="AL1060" s="14"/>
      <c r="AN1060" s="14"/>
      <c r="AQ1060" s="0" t="s">
        <v>141</v>
      </c>
      <c r="AR1060" s="0" t="s">
        <v>130</v>
      </c>
      <c r="AS1060" s="0" t="s">
        <v>141</v>
      </c>
      <c r="AT1060" s="0" t="s">
        <v>130</v>
      </c>
      <c r="AU1060" s="0" t="s">
        <v>130</v>
      </c>
      <c r="AV1060" s="0" t="s">
        <v>130</v>
      </c>
      <c r="AW1060" s="0" t="s">
        <v>130</v>
      </c>
      <c r="AX1060" s="0" t="s">
        <v>130</v>
      </c>
      <c r="AY1060" s="0" t="s">
        <v>130</v>
      </c>
      <c r="AZ1060" s="0" t="s">
        <v>130</v>
      </c>
      <c r="BA1060" s="0" t="s">
        <v>130</v>
      </c>
      <c r="BB1060" s="0" t="s">
        <v>130</v>
      </c>
      <c r="BC1060" s="0" t="s">
        <v>130</v>
      </c>
      <c r="BD1060" s="0" t="s">
        <v>130</v>
      </c>
      <c r="BE1060" s="0" t="s">
        <v>130</v>
      </c>
      <c r="BF1060" s="0" t="s">
        <v>130</v>
      </c>
      <c r="BG1060" s="0" t="s">
        <v>130</v>
      </c>
      <c r="BH1060" s="0" t="s">
        <v>130</v>
      </c>
      <c r="BI1060" s="0" t="s">
        <v>130</v>
      </c>
      <c r="BJ1060" s="0" t="s">
        <v>130</v>
      </c>
      <c r="BK1060" s="0" t="s">
        <v>130</v>
      </c>
      <c r="BL1060" s="0" t="s">
        <v>130</v>
      </c>
      <c r="BM1060" s="0" t="s">
        <v>130</v>
      </c>
      <c r="BN1060" s="0" t="s">
        <v>130</v>
      </c>
      <c r="BO1060" s="0" t="s">
        <v>130</v>
      </c>
      <c r="BP1060" s="0" t="s">
        <v>130</v>
      </c>
      <c r="BQ1060" s="0" t="s">
        <v>130</v>
      </c>
      <c r="BR1060" s="0" t="s">
        <v>130</v>
      </c>
      <c r="BS1060" s="0" t="s">
        <v>130</v>
      </c>
      <c r="BT1060" s="0" t="s">
        <v>130</v>
      </c>
      <c r="BU1060" s="0" t="s">
        <v>130</v>
      </c>
      <c r="BV1060" s="0" t="s">
        <v>130</v>
      </c>
      <c r="BW1060" s="0" t="s">
        <v>130</v>
      </c>
      <c r="BX1060" s="0" t="s">
        <v>130</v>
      </c>
      <c r="BY1060" s="0" t="s">
        <v>130</v>
      </c>
      <c r="BZ1060" s="0" t="s">
        <v>130</v>
      </c>
      <c r="CA1060" s="0" t="s">
        <v>130</v>
      </c>
      <c r="CB1060" s="0" t="s">
        <v>130</v>
      </c>
      <c r="CC1060" s="0" t="s">
        <v>130</v>
      </c>
      <c r="CD1060" s="0" t="s">
        <v>130</v>
      </c>
      <c r="CE1060" s="0" t="s">
        <v>130</v>
      </c>
      <c r="CF1060" s="0" t="s">
        <v>130</v>
      </c>
      <c r="CG1060" s="0" t="s">
        <v>130</v>
      </c>
      <c r="CH1060" s="0" t="s">
        <v>130</v>
      </c>
      <c r="CI1060" s="0" t="s">
        <v>130</v>
      </c>
      <c r="CJ1060" s="0" t="s">
        <v>130</v>
      </c>
      <c r="CK1060" s="0" t="s">
        <v>130</v>
      </c>
      <c r="CL1060" s="0" t="s">
        <v>130</v>
      </c>
      <c r="CM1060" s="0" t="s">
        <v>130</v>
      </c>
      <c r="CN1060" s="0" t="s">
        <v>130</v>
      </c>
      <c r="CO1060" s="0" t="s">
        <v>130</v>
      </c>
      <c r="CP1060" s="0" t="s">
        <v>130</v>
      </c>
      <c r="CQ1060" s="0" t="s">
        <v>130</v>
      </c>
      <c r="CR1060" s="0" t="s">
        <v>130</v>
      </c>
      <c r="CS1060" s="0" t="s">
        <v>130</v>
      </c>
      <c r="CT1060" s="0" t="s">
        <v>3201</v>
      </c>
    </row>
    <row r="1061">
      <c r="A1061" s="14">
        <v>180580</v>
      </c>
      <c r="B1061" s="0" t="s">
        <v>3186</v>
      </c>
      <c r="C1061" s="16">
        <f>HYPERLINK("https://eosportal.federatedhermes.com/companies/Q29tcGFueQppNzYyOTM=", "Novartis AG")</f>
      </c>
      <c r="D1061" s="0" t="s">
        <v>25</v>
      </c>
      <c r="E1061" s="0" t="s">
        <v>3202</v>
      </c>
      <c r="F1061" s="16">
        <f>HYPERLINK("https://eosportal.federatedhermes.com/engagements/RW5nYWdlbWVudAppMjQ3MTc=", "Gender diversity on Board")</f>
      </c>
      <c r="G1061" s="14" t="s">
        <v>3203</v>
      </c>
      <c r="H1061" s="0" t="s">
        <v>141</v>
      </c>
      <c r="I1061" s="14" t="s">
        <v>636</v>
      </c>
      <c r="J1061" s="0" t="s">
        <v>145</v>
      </c>
      <c r="K1061" s="0" t="s">
        <v>164</v>
      </c>
      <c r="L1061" s="0" t="s">
        <v>165</v>
      </c>
      <c r="M1061" s="0" t="s">
        <v>378</v>
      </c>
      <c r="N1061" s="0" t="s">
        <v>1059</v>
      </c>
      <c r="O1061" s="0" t="s">
        <v>274</v>
      </c>
      <c r="Q1061" s="0" t="s">
        <v>130</v>
      </c>
      <c r="R1061" s="0" t="s">
        <v>138</v>
      </c>
      <c r="S1061" s="14">
        <v>0</v>
      </c>
      <c r="T1061" s="0" t="s">
        <v>359</v>
      </c>
      <c r="U1061" s="0" t="s">
        <v>138</v>
      </c>
      <c r="V1061" s="14" t="s">
        <v>138</v>
      </c>
      <c r="W1061" s="0" t="s">
        <v>138</v>
      </c>
      <c r="X1061" s="14" t="s">
        <v>138</v>
      </c>
      <c r="Y1061" s="0" t="s">
        <v>138</v>
      </c>
      <c r="Z1061" s="14" t="s">
        <v>138</v>
      </c>
      <c r="AA1061" s="0" t="s">
        <v>138</v>
      </c>
      <c r="AB1061" s="14" t="s">
        <v>138</v>
      </c>
      <c r="AD1061" s="0" t="s">
        <v>138</v>
      </c>
      <c r="AF1061" s="0">
        <v>0</v>
      </c>
      <c r="AG1061" s="0">
        <v>0</v>
      </c>
      <c r="AH1061" s="0" t="s">
        <v>140</v>
      </c>
      <c r="AI1061" s="0" t="s">
        <v>138</v>
      </c>
      <c r="AL1061" s="14"/>
      <c r="AN1061" s="14"/>
      <c r="AQ1061" s="0" t="s">
        <v>130</v>
      </c>
      <c r="AR1061" s="0" t="s">
        <v>130</v>
      </c>
      <c r="AS1061" s="0" t="s">
        <v>130</v>
      </c>
      <c r="AT1061" s="0" t="s">
        <v>130</v>
      </c>
      <c r="AU1061" s="0" t="s">
        <v>141</v>
      </c>
      <c r="AV1061" s="0" t="s">
        <v>130</v>
      </c>
      <c r="AW1061" s="0" t="s">
        <v>130</v>
      </c>
      <c r="AX1061" s="0" t="s">
        <v>130</v>
      </c>
      <c r="AY1061" s="0" t="s">
        <v>130</v>
      </c>
      <c r="AZ1061" s="0" t="s">
        <v>130</v>
      </c>
      <c r="BA1061" s="0" t="s">
        <v>130</v>
      </c>
      <c r="BB1061" s="0" t="s">
        <v>130</v>
      </c>
      <c r="BC1061" s="0" t="s">
        <v>130</v>
      </c>
      <c r="BD1061" s="0" t="s">
        <v>130</v>
      </c>
      <c r="BE1061" s="0" t="s">
        <v>130</v>
      </c>
      <c r="BF1061" s="0" t="s">
        <v>130</v>
      </c>
      <c r="BG1061" s="0" t="s">
        <v>130</v>
      </c>
      <c r="BH1061" s="0" t="s">
        <v>130</v>
      </c>
      <c r="BI1061" s="0" t="s">
        <v>130</v>
      </c>
      <c r="BJ1061" s="0" t="s">
        <v>130</v>
      </c>
      <c r="BK1061" s="0" t="s">
        <v>130</v>
      </c>
      <c r="BL1061" s="0" t="s">
        <v>130</v>
      </c>
      <c r="BM1061" s="0" t="s">
        <v>130</v>
      </c>
      <c r="BN1061" s="0" t="s">
        <v>130</v>
      </c>
      <c r="BO1061" s="0" t="s">
        <v>130</v>
      </c>
      <c r="BP1061" s="0" t="s">
        <v>130</v>
      </c>
      <c r="BQ1061" s="0" t="s">
        <v>130</v>
      </c>
      <c r="BR1061" s="0" t="s">
        <v>130</v>
      </c>
      <c r="BS1061" s="0" t="s">
        <v>130</v>
      </c>
      <c r="BT1061" s="0" t="s">
        <v>130</v>
      </c>
      <c r="BU1061" s="0" t="s">
        <v>130</v>
      </c>
      <c r="BV1061" s="0" t="s">
        <v>130</v>
      </c>
      <c r="BW1061" s="0" t="s">
        <v>130</v>
      </c>
      <c r="BX1061" s="0" t="s">
        <v>130</v>
      </c>
      <c r="BY1061" s="0" t="s">
        <v>130</v>
      </c>
      <c r="BZ1061" s="0" t="s">
        <v>130</v>
      </c>
      <c r="CA1061" s="0" t="s">
        <v>130</v>
      </c>
      <c r="CB1061" s="0" t="s">
        <v>130</v>
      </c>
      <c r="CC1061" s="0" t="s">
        <v>130</v>
      </c>
      <c r="CD1061" s="0" t="s">
        <v>130</v>
      </c>
      <c r="CE1061" s="0" t="s">
        <v>130</v>
      </c>
      <c r="CF1061" s="0" t="s">
        <v>130</v>
      </c>
      <c r="CG1061" s="0" t="s">
        <v>130</v>
      </c>
      <c r="CH1061" s="0" t="s">
        <v>130</v>
      </c>
      <c r="CI1061" s="0" t="s">
        <v>130</v>
      </c>
      <c r="CJ1061" s="0" t="s">
        <v>130</v>
      </c>
      <c r="CK1061" s="0" t="s">
        <v>130</v>
      </c>
      <c r="CL1061" s="0" t="s">
        <v>130</v>
      </c>
      <c r="CM1061" s="0" t="s">
        <v>130</v>
      </c>
      <c r="CN1061" s="0" t="s">
        <v>130</v>
      </c>
      <c r="CO1061" s="0" t="s">
        <v>130</v>
      </c>
      <c r="CP1061" s="0" t="s">
        <v>130</v>
      </c>
      <c r="CQ1061" s="0" t="s">
        <v>130</v>
      </c>
      <c r="CR1061" s="0" t="s">
        <v>130</v>
      </c>
      <c r="CS1061" s="0" t="s">
        <v>130</v>
      </c>
      <c r="CT1061" s="0" t="s">
        <v>3204</v>
      </c>
    </row>
    <row r="1062">
      <c r="A1062" s="14">
        <v>180580</v>
      </c>
      <c r="B1062" s="0" t="s">
        <v>3186</v>
      </c>
      <c r="C1062" s="16">
        <f>HYPERLINK("https://eosportal.federatedhermes.com/companies/Q29tcGFueQppNzYyOTM=", "Novartis AG")</f>
      </c>
      <c r="D1062" s="0" t="s">
        <v>25</v>
      </c>
      <c r="E1062" s="0" t="s">
        <v>3205</v>
      </c>
      <c r="F1062" s="16">
        <f>HYPERLINK("https://eosportal.federatedhermes.com/engagements/RW5nYWdlbWVudAppMjQ3MTg=", "Conduct and Culture")</f>
      </c>
      <c r="G1062" s="14" t="s">
        <v>3206</v>
      </c>
      <c r="H1062" s="0" t="s">
        <v>141</v>
      </c>
      <c r="I1062" s="14" t="s">
        <v>636</v>
      </c>
      <c r="J1062" s="0" t="s">
        <v>153</v>
      </c>
      <c r="K1062" s="0" t="s">
        <v>185</v>
      </c>
      <c r="L1062" s="0" t="s">
        <v>186</v>
      </c>
      <c r="M1062" s="0" t="s">
        <v>378</v>
      </c>
      <c r="N1062" s="0" t="s">
        <v>1059</v>
      </c>
      <c r="O1062" s="0" t="s">
        <v>274</v>
      </c>
      <c r="Q1062" s="0" t="s">
        <v>141</v>
      </c>
      <c r="R1062" s="0" t="s">
        <v>138</v>
      </c>
      <c r="S1062" s="14">
        <v>1</v>
      </c>
      <c r="T1062" s="0" t="s">
        <v>394</v>
      </c>
      <c r="U1062" s="0" t="s">
        <v>138</v>
      </c>
      <c r="V1062" s="14" t="s">
        <v>138</v>
      </c>
      <c r="W1062" s="0" t="s">
        <v>138</v>
      </c>
      <c r="X1062" s="14" t="s">
        <v>138</v>
      </c>
      <c r="Y1062" s="0" t="s">
        <v>138</v>
      </c>
      <c r="Z1062" s="14" t="s">
        <v>138</v>
      </c>
      <c r="AA1062" s="0" t="s">
        <v>138</v>
      </c>
      <c r="AB1062" s="14" t="s">
        <v>138</v>
      </c>
      <c r="AD1062" s="0" t="s">
        <v>138</v>
      </c>
      <c r="AF1062" s="0">
        <v>0</v>
      </c>
      <c r="AG1062" s="0">
        <v>0</v>
      </c>
      <c r="AH1062" s="0" t="s">
        <v>140</v>
      </c>
      <c r="AI1062" s="0" t="s">
        <v>138</v>
      </c>
      <c r="AK1062" s="0" t="s">
        <v>3207</v>
      </c>
      <c r="AL1062" s="14"/>
      <c r="AN1062" s="14"/>
      <c r="AQ1062" s="0" t="s">
        <v>130</v>
      </c>
      <c r="AR1062" s="0" t="s">
        <v>130</v>
      </c>
      <c r="AS1062" s="0" t="s">
        <v>130</v>
      </c>
      <c r="AT1062" s="0" t="s">
        <v>130</v>
      </c>
      <c r="AU1062" s="0" t="s">
        <v>130</v>
      </c>
      <c r="AV1062" s="0" t="s">
        <v>130</v>
      </c>
      <c r="AW1062" s="0" t="s">
        <v>130</v>
      </c>
      <c r="AX1062" s="0" t="s">
        <v>130</v>
      </c>
      <c r="AY1062" s="0" t="s">
        <v>130</v>
      </c>
      <c r="AZ1062" s="0" t="s">
        <v>130</v>
      </c>
      <c r="BA1062" s="0" t="s">
        <v>130</v>
      </c>
      <c r="BB1062" s="0" t="s">
        <v>130</v>
      </c>
      <c r="BC1062" s="0" t="s">
        <v>130</v>
      </c>
      <c r="BD1062" s="0" t="s">
        <v>130</v>
      </c>
      <c r="BE1062" s="0" t="s">
        <v>130</v>
      </c>
      <c r="BF1062" s="0" t="s">
        <v>130</v>
      </c>
      <c r="BG1062" s="0" t="s">
        <v>130</v>
      </c>
      <c r="BH1062" s="0" t="s">
        <v>130</v>
      </c>
      <c r="BI1062" s="0" t="s">
        <v>130</v>
      </c>
      <c r="BJ1062" s="0" t="s">
        <v>130</v>
      </c>
      <c r="BK1062" s="0" t="s">
        <v>130</v>
      </c>
      <c r="BL1062" s="0" t="s">
        <v>130</v>
      </c>
      <c r="BM1062" s="0" t="s">
        <v>130</v>
      </c>
      <c r="BN1062" s="0" t="s">
        <v>130</v>
      </c>
      <c r="BO1062" s="0" t="s">
        <v>130</v>
      </c>
      <c r="BP1062" s="0" t="s">
        <v>130</v>
      </c>
      <c r="BQ1062" s="0" t="s">
        <v>130</v>
      </c>
      <c r="BR1062" s="0" t="s">
        <v>130</v>
      </c>
      <c r="BS1062" s="0" t="s">
        <v>130</v>
      </c>
      <c r="BT1062" s="0" t="s">
        <v>130</v>
      </c>
      <c r="BU1062" s="0" t="s">
        <v>130</v>
      </c>
      <c r="BV1062" s="0" t="s">
        <v>130</v>
      </c>
      <c r="BW1062" s="0" t="s">
        <v>130</v>
      </c>
      <c r="BX1062" s="0" t="s">
        <v>130</v>
      </c>
      <c r="BY1062" s="0" t="s">
        <v>130</v>
      </c>
      <c r="BZ1062" s="0" t="s">
        <v>130</v>
      </c>
      <c r="CA1062" s="0" t="s">
        <v>130</v>
      </c>
      <c r="CB1062" s="0" t="s">
        <v>130</v>
      </c>
      <c r="CC1062" s="0" t="s">
        <v>130</v>
      </c>
      <c r="CD1062" s="0" t="s">
        <v>130</v>
      </c>
      <c r="CE1062" s="0" t="s">
        <v>130</v>
      </c>
      <c r="CF1062" s="0" t="s">
        <v>130</v>
      </c>
      <c r="CG1062" s="0" t="s">
        <v>130</v>
      </c>
      <c r="CH1062" s="0" t="s">
        <v>130</v>
      </c>
      <c r="CI1062" s="0" t="s">
        <v>130</v>
      </c>
      <c r="CJ1062" s="0" t="s">
        <v>130</v>
      </c>
      <c r="CK1062" s="0" t="s">
        <v>130</v>
      </c>
      <c r="CL1062" s="0" t="s">
        <v>130</v>
      </c>
      <c r="CM1062" s="0" t="s">
        <v>130</v>
      </c>
      <c r="CN1062" s="0" t="s">
        <v>130</v>
      </c>
      <c r="CO1062" s="0" t="s">
        <v>130</v>
      </c>
      <c r="CP1062" s="0" t="s">
        <v>130</v>
      </c>
      <c r="CQ1062" s="0" t="s">
        <v>130</v>
      </c>
      <c r="CR1062" s="0" t="s">
        <v>130</v>
      </c>
      <c r="CS1062" s="0" t="s">
        <v>130</v>
      </c>
      <c r="CT1062" s="0" t="s">
        <v>3208</v>
      </c>
    </row>
    <row r="1063">
      <c r="A1063" s="14">
        <v>182074</v>
      </c>
      <c r="B1063" s="0" t="s">
        <v>3209</v>
      </c>
      <c r="C1063" s="16">
        <f>HYPERLINK("https://eosportal.federatedhermes.com/companies/Q29tcGFueQppODU4NzQ=", "Equinor ASA")</f>
      </c>
      <c r="D1063" s="0" t="s">
        <v>25</v>
      </c>
      <c r="E1063" s="0" t="s">
        <v>2179</v>
      </c>
      <c r="F1063" s="16">
        <f>HYPERLINK("https://eosportal.federatedhermes.com/engagements/RW5nYWdlbWVudAppMjQ3NTk=", "Business Strategy")</f>
      </c>
      <c r="G1063" s="14" t="s">
        <v>3210</v>
      </c>
      <c r="H1063" s="0" t="s">
        <v>141</v>
      </c>
      <c r="I1063" s="14" t="s">
        <v>191</v>
      </c>
      <c r="J1063" s="0" t="s">
        <v>132</v>
      </c>
      <c r="K1063" s="0" t="s">
        <v>133</v>
      </c>
      <c r="L1063" s="0" t="s">
        <v>160</v>
      </c>
      <c r="M1063" s="0" t="s">
        <v>378</v>
      </c>
      <c r="N1063" s="0" t="s">
        <v>3211</v>
      </c>
      <c r="O1063" s="0" t="s">
        <v>542</v>
      </c>
      <c r="Q1063" s="0" t="s">
        <v>141</v>
      </c>
      <c r="R1063" s="0" t="s">
        <v>138</v>
      </c>
      <c r="S1063" s="14">
        <v>1</v>
      </c>
      <c r="T1063" s="0" t="s">
        <v>557</v>
      </c>
      <c r="U1063" s="0" t="s">
        <v>138</v>
      </c>
      <c r="V1063" s="14" t="s">
        <v>138</v>
      </c>
      <c r="W1063" s="0" t="s">
        <v>138</v>
      </c>
      <c r="X1063" s="14" t="s">
        <v>138</v>
      </c>
      <c r="Y1063" s="0" t="s">
        <v>138</v>
      </c>
      <c r="Z1063" s="14" t="s">
        <v>138</v>
      </c>
      <c r="AA1063" s="0" t="s">
        <v>138</v>
      </c>
      <c r="AB1063" s="14" t="s">
        <v>138</v>
      </c>
      <c r="AD1063" s="0" t="s">
        <v>138</v>
      </c>
      <c r="AF1063" s="0">
        <v>0</v>
      </c>
      <c r="AG1063" s="0">
        <v>0</v>
      </c>
      <c r="AH1063" s="0" t="s">
        <v>140</v>
      </c>
      <c r="AI1063" s="0" t="s">
        <v>138</v>
      </c>
      <c r="AK1063" s="0" t="s">
        <v>587</v>
      </c>
      <c r="AL1063" s="14"/>
      <c r="AN1063" s="14"/>
      <c r="AQ1063" s="0" t="s">
        <v>130</v>
      </c>
      <c r="AR1063" s="0" t="s">
        <v>130</v>
      </c>
      <c r="AS1063" s="0" t="s">
        <v>130</v>
      </c>
      <c r="AT1063" s="0" t="s">
        <v>130</v>
      </c>
      <c r="AU1063" s="0" t="s">
        <v>130</v>
      </c>
      <c r="AV1063" s="0" t="s">
        <v>130</v>
      </c>
      <c r="AW1063" s="0" t="s">
        <v>130</v>
      </c>
      <c r="AX1063" s="0" t="s">
        <v>130</v>
      </c>
      <c r="AY1063" s="0" t="s">
        <v>130</v>
      </c>
      <c r="AZ1063" s="0" t="s">
        <v>130</v>
      </c>
      <c r="BA1063" s="0" t="s">
        <v>130</v>
      </c>
      <c r="BB1063" s="0" t="s">
        <v>130</v>
      </c>
      <c r="BC1063" s="0" t="s">
        <v>130</v>
      </c>
      <c r="BD1063" s="0" t="s">
        <v>130</v>
      </c>
      <c r="BE1063" s="0" t="s">
        <v>130</v>
      </c>
      <c r="BF1063" s="0" t="s">
        <v>130</v>
      </c>
      <c r="BG1063" s="0" t="s">
        <v>130</v>
      </c>
      <c r="BH1063" s="0" t="s">
        <v>130</v>
      </c>
      <c r="BI1063" s="0" t="s">
        <v>130</v>
      </c>
      <c r="BJ1063" s="0" t="s">
        <v>130</v>
      </c>
      <c r="BK1063" s="0" t="s">
        <v>130</v>
      </c>
      <c r="BL1063" s="0" t="s">
        <v>130</v>
      </c>
      <c r="BM1063" s="0" t="s">
        <v>130</v>
      </c>
      <c r="BN1063" s="0" t="s">
        <v>130</v>
      </c>
      <c r="BO1063" s="0" t="s">
        <v>130</v>
      </c>
      <c r="BP1063" s="0" t="s">
        <v>130</v>
      </c>
      <c r="BQ1063" s="0" t="s">
        <v>130</v>
      </c>
      <c r="BR1063" s="0" t="s">
        <v>130</v>
      </c>
      <c r="BS1063" s="0" t="s">
        <v>130</v>
      </c>
      <c r="BT1063" s="0" t="s">
        <v>130</v>
      </c>
      <c r="BU1063" s="0" t="s">
        <v>130</v>
      </c>
      <c r="BV1063" s="0" t="s">
        <v>130</v>
      </c>
      <c r="BW1063" s="0" t="s">
        <v>130</v>
      </c>
      <c r="BX1063" s="0" t="s">
        <v>130</v>
      </c>
      <c r="BY1063" s="0" t="s">
        <v>130</v>
      </c>
      <c r="BZ1063" s="0" t="s">
        <v>130</v>
      </c>
      <c r="CA1063" s="0" t="s">
        <v>130</v>
      </c>
      <c r="CB1063" s="0" t="s">
        <v>130</v>
      </c>
      <c r="CC1063" s="0" t="s">
        <v>130</v>
      </c>
      <c r="CD1063" s="0" t="s">
        <v>130</v>
      </c>
      <c r="CE1063" s="0" t="s">
        <v>130</v>
      </c>
      <c r="CF1063" s="0" t="s">
        <v>130</v>
      </c>
      <c r="CG1063" s="0" t="s">
        <v>130</v>
      </c>
      <c r="CH1063" s="0" t="s">
        <v>130</v>
      </c>
      <c r="CI1063" s="0" t="s">
        <v>130</v>
      </c>
      <c r="CJ1063" s="0" t="s">
        <v>130</v>
      </c>
      <c r="CK1063" s="0" t="s">
        <v>130</v>
      </c>
      <c r="CL1063" s="0" t="s">
        <v>130</v>
      </c>
      <c r="CM1063" s="0" t="s">
        <v>130</v>
      </c>
      <c r="CN1063" s="0" t="s">
        <v>130</v>
      </c>
      <c r="CO1063" s="0" t="s">
        <v>130</v>
      </c>
      <c r="CP1063" s="0" t="s">
        <v>130</v>
      </c>
      <c r="CQ1063" s="0" t="s">
        <v>130</v>
      </c>
      <c r="CR1063" s="0" t="s">
        <v>130</v>
      </c>
      <c r="CS1063" s="0" t="s">
        <v>130</v>
      </c>
      <c r="CT1063" s="0" t="s">
        <v>3212</v>
      </c>
    </row>
    <row r="1064">
      <c r="A1064" s="14">
        <v>182074</v>
      </c>
      <c r="B1064" s="0" t="s">
        <v>3209</v>
      </c>
      <c r="C1064" s="16">
        <f>HYPERLINK("https://eosportal.federatedhermes.com/companies/Q29tcGFueQppODU4NzQ=", "Equinor ASA")</f>
      </c>
      <c r="D1064" s="0" t="s">
        <v>25</v>
      </c>
      <c r="E1064" s="0" t="s">
        <v>1053</v>
      </c>
      <c r="F1064" s="16">
        <f>HYPERLINK("https://eosportal.federatedhermes.com/engagements/RW5nYWdlbWVudAppMjQ3NjQ=", "Board Composition")</f>
      </c>
      <c r="G1064" s="14"/>
      <c r="H1064" s="0" t="s">
        <v>141</v>
      </c>
      <c r="I1064" s="14" t="s">
        <v>191</v>
      </c>
      <c r="J1064" s="0" t="s">
        <v>145</v>
      </c>
      <c r="K1064" s="0" t="s">
        <v>164</v>
      </c>
      <c r="L1064" s="0" t="s">
        <v>165</v>
      </c>
      <c r="M1064" s="0" t="s">
        <v>378</v>
      </c>
      <c r="N1064" s="0" t="s">
        <v>3211</v>
      </c>
      <c r="O1064" s="0" t="s">
        <v>542</v>
      </c>
      <c r="Q1064" s="0" t="s">
        <v>130</v>
      </c>
      <c r="R1064" s="0" t="s">
        <v>138</v>
      </c>
      <c r="S1064" s="14">
        <v>0</v>
      </c>
      <c r="T1064" s="0" t="s">
        <v>3213</v>
      </c>
      <c r="U1064" s="0" t="s">
        <v>138</v>
      </c>
      <c r="V1064" s="14" t="s">
        <v>138</v>
      </c>
      <c r="W1064" s="0" t="s">
        <v>138</v>
      </c>
      <c r="X1064" s="14" t="s">
        <v>138</v>
      </c>
      <c r="Y1064" s="0" t="s">
        <v>138</v>
      </c>
      <c r="Z1064" s="14" t="s">
        <v>138</v>
      </c>
      <c r="AA1064" s="0" t="s">
        <v>138</v>
      </c>
      <c r="AB1064" s="14" t="s">
        <v>138</v>
      </c>
      <c r="AD1064" s="0" t="s">
        <v>138</v>
      </c>
      <c r="AF1064" s="0">
        <v>0</v>
      </c>
      <c r="AG1064" s="0">
        <v>0</v>
      </c>
      <c r="AH1064" s="0" t="s">
        <v>140</v>
      </c>
      <c r="AI1064" s="0" t="s">
        <v>138</v>
      </c>
      <c r="AL1064" s="14"/>
      <c r="AN1064" s="14"/>
      <c r="AQ1064" s="0" t="s">
        <v>130</v>
      </c>
      <c r="AR1064" s="0" t="s">
        <v>130</v>
      </c>
      <c r="AS1064" s="0" t="s">
        <v>130</v>
      </c>
      <c r="AT1064" s="0" t="s">
        <v>130</v>
      </c>
      <c r="AU1064" s="0" t="s">
        <v>130</v>
      </c>
      <c r="AV1064" s="0" t="s">
        <v>130</v>
      </c>
      <c r="AW1064" s="0" t="s">
        <v>130</v>
      </c>
      <c r="AX1064" s="0" t="s">
        <v>130</v>
      </c>
      <c r="AY1064" s="0" t="s">
        <v>130</v>
      </c>
      <c r="AZ1064" s="0" t="s">
        <v>130</v>
      </c>
      <c r="BA1064" s="0" t="s">
        <v>130</v>
      </c>
      <c r="BB1064" s="0" t="s">
        <v>130</v>
      </c>
      <c r="BC1064" s="0" t="s">
        <v>130</v>
      </c>
      <c r="BD1064" s="0" t="s">
        <v>130</v>
      </c>
      <c r="BE1064" s="0" t="s">
        <v>130</v>
      </c>
      <c r="BF1064" s="0" t="s">
        <v>130</v>
      </c>
      <c r="BG1064" s="0" t="s">
        <v>130</v>
      </c>
      <c r="BH1064" s="0" t="s">
        <v>130</v>
      </c>
      <c r="BI1064" s="0" t="s">
        <v>130</v>
      </c>
      <c r="BJ1064" s="0" t="s">
        <v>130</v>
      </c>
      <c r="BK1064" s="0" t="s">
        <v>130</v>
      </c>
      <c r="BL1064" s="0" t="s">
        <v>130</v>
      </c>
      <c r="BM1064" s="0" t="s">
        <v>130</v>
      </c>
      <c r="BN1064" s="0" t="s">
        <v>130</v>
      </c>
      <c r="BO1064" s="0" t="s">
        <v>130</v>
      </c>
      <c r="BP1064" s="0" t="s">
        <v>130</v>
      </c>
      <c r="BQ1064" s="0" t="s">
        <v>130</v>
      </c>
      <c r="BR1064" s="0" t="s">
        <v>130</v>
      </c>
      <c r="BS1064" s="0" t="s">
        <v>130</v>
      </c>
      <c r="BT1064" s="0" t="s">
        <v>130</v>
      </c>
      <c r="BU1064" s="0" t="s">
        <v>130</v>
      </c>
      <c r="BV1064" s="0" t="s">
        <v>130</v>
      </c>
      <c r="BW1064" s="0" t="s">
        <v>130</v>
      </c>
      <c r="BX1064" s="0" t="s">
        <v>130</v>
      </c>
      <c r="BY1064" s="0" t="s">
        <v>130</v>
      </c>
      <c r="BZ1064" s="0" t="s">
        <v>130</v>
      </c>
      <c r="CA1064" s="0" t="s">
        <v>130</v>
      </c>
      <c r="CB1064" s="0" t="s">
        <v>130</v>
      </c>
      <c r="CC1064" s="0" t="s">
        <v>130</v>
      </c>
      <c r="CD1064" s="0" t="s">
        <v>130</v>
      </c>
      <c r="CE1064" s="0" t="s">
        <v>130</v>
      </c>
      <c r="CF1064" s="0" t="s">
        <v>130</v>
      </c>
      <c r="CG1064" s="0" t="s">
        <v>130</v>
      </c>
      <c r="CH1064" s="0" t="s">
        <v>130</v>
      </c>
      <c r="CI1064" s="0" t="s">
        <v>130</v>
      </c>
      <c r="CJ1064" s="0" t="s">
        <v>130</v>
      </c>
      <c r="CK1064" s="0" t="s">
        <v>130</v>
      </c>
      <c r="CL1064" s="0" t="s">
        <v>130</v>
      </c>
      <c r="CM1064" s="0" t="s">
        <v>130</v>
      </c>
      <c r="CN1064" s="0" t="s">
        <v>130</v>
      </c>
      <c r="CO1064" s="0" t="s">
        <v>130</v>
      </c>
      <c r="CP1064" s="0" t="s">
        <v>130</v>
      </c>
      <c r="CQ1064" s="0" t="s">
        <v>130</v>
      </c>
      <c r="CR1064" s="0" t="s">
        <v>130</v>
      </c>
      <c r="CS1064" s="0" t="s">
        <v>130</v>
      </c>
      <c r="CT1064" s="0" t="s">
        <v>3214</v>
      </c>
    </row>
    <row r="1065">
      <c r="A1065" s="14">
        <v>182074</v>
      </c>
      <c r="B1065" s="0" t="s">
        <v>3209</v>
      </c>
      <c r="C1065" s="16">
        <f>HYPERLINK("https://eosportal.federatedhermes.com/companies/Q29tcGFueQppODU4NzQ=", "Equinor ASA")</f>
      </c>
      <c r="D1065" s="0" t="s">
        <v>25</v>
      </c>
      <c r="E1065" s="0" t="s">
        <v>276</v>
      </c>
      <c r="F1065" s="16">
        <f>HYPERLINK("https://eosportal.federatedhermes.com/engagements/RW5nYWdlbWVudAppMjQ3NjU=", "Succession planning")</f>
      </c>
      <c r="G1065" s="14"/>
      <c r="H1065" s="0" t="s">
        <v>141</v>
      </c>
      <c r="I1065" s="14" t="s">
        <v>191</v>
      </c>
      <c r="J1065" s="0" t="s">
        <v>145</v>
      </c>
      <c r="K1065" s="0" t="s">
        <v>164</v>
      </c>
      <c r="L1065" s="0" t="s">
        <v>277</v>
      </c>
      <c r="M1065" s="0" t="s">
        <v>378</v>
      </c>
      <c r="N1065" s="0" t="s">
        <v>3211</v>
      </c>
      <c r="O1065" s="0" t="s">
        <v>542</v>
      </c>
      <c r="Q1065" s="0" t="s">
        <v>130</v>
      </c>
      <c r="R1065" s="0" t="s">
        <v>138</v>
      </c>
      <c r="S1065" s="14">
        <v>0</v>
      </c>
      <c r="T1065" s="0" t="s">
        <v>3215</v>
      </c>
      <c r="U1065" s="0" t="s">
        <v>138</v>
      </c>
      <c r="V1065" s="14" t="s">
        <v>138</v>
      </c>
      <c r="W1065" s="0" t="s">
        <v>138</v>
      </c>
      <c r="X1065" s="14" t="s">
        <v>138</v>
      </c>
      <c r="Y1065" s="0" t="s">
        <v>138</v>
      </c>
      <c r="Z1065" s="14" t="s">
        <v>138</v>
      </c>
      <c r="AA1065" s="0" t="s">
        <v>138</v>
      </c>
      <c r="AB1065" s="14" t="s">
        <v>138</v>
      </c>
      <c r="AD1065" s="0" t="s">
        <v>138</v>
      </c>
      <c r="AF1065" s="0">
        <v>0</v>
      </c>
      <c r="AG1065" s="0">
        <v>0</v>
      </c>
      <c r="AH1065" s="0" t="s">
        <v>140</v>
      </c>
      <c r="AI1065" s="0" t="s">
        <v>138</v>
      </c>
      <c r="AL1065" s="14"/>
      <c r="AN1065" s="14"/>
      <c r="AQ1065" s="0" t="s">
        <v>130</v>
      </c>
      <c r="AR1065" s="0" t="s">
        <v>130</v>
      </c>
      <c r="AS1065" s="0" t="s">
        <v>130</v>
      </c>
      <c r="AT1065" s="0" t="s">
        <v>130</v>
      </c>
      <c r="AU1065" s="0" t="s">
        <v>130</v>
      </c>
      <c r="AV1065" s="0" t="s">
        <v>130</v>
      </c>
      <c r="AW1065" s="0" t="s">
        <v>130</v>
      </c>
      <c r="AX1065" s="0" t="s">
        <v>130</v>
      </c>
      <c r="AY1065" s="0" t="s">
        <v>130</v>
      </c>
      <c r="AZ1065" s="0" t="s">
        <v>130</v>
      </c>
      <c r="BA1065" s="0" t="s">
        <v>130</v>
      </c>
      <c r="BB1065" s="0" t="s">
        <v>130</v>
      </c>
      <c r="BC1065" s="0" t="s">
        <v>130</v>
      </c>
      <c r="BD1065" s="0" t="s">
        <v>130</v>
      </c>
      <c r="BE1065" s="0" t="s">
        <v>130</v>
      </c>
      <c r="BF1065" s="0" t="s">
        <v>130</v>
      </c>
      <c r="BG1065" s="0" t="s">
        <v>130</v>
      </c>
      <c r="BH1065" s="0" t="s">
        <v>130</v>
      </c>
      <c r="BI1065" s="0" t="s">
        <v>130</v>
      </c>
      <c r="BJ1065" s="0" t="s">
        <v>130</v>
      </c>
      <c r="BK1065" s="0" t="s">
        <v>130</v>
      </c>
      <c r="BL1065" s="0" t="s">
        <v>130</v>
      </c>
      <c r="BM1065" s="0" t="s">
        <v>130</v>
      </c>
      <c r="BN1065" s="0" t="s">
        <v>130</v>
      </c>
      <c r="BO1065" s="0" t="s">
        <v>130</v>
      </c>
      <c r="BP1065" s="0" t="s">
        <v>130</v>
      </c>
      <c r="BQ1065" s="0" t="s">
        <v>130</v>
      </c>
      <c r="BR1065" s="0" t="s">
        <v>130</v>
      </c>
      <c r="BS1065" s="0" t="s">
        <v>130</v>
      </c>
      <c r="BT1065" s="0" t="s">
        <v>130</v>
      </c>
      <c r="BU1065" s="0" t="s">
        <v>130</v>
      </c>
      <c r="BV1065" s="0" t="s">
        <v>130</v>
      </c>
      <c r="BW1065" s="0" t="s">
        <v>130</v>
      </c>
      <c r="BX1065" s="0" t="s">
        <v>130</v>
      </c>
      <c r="BY1065" s="0" t="s">
        <v>130</v>
      </c>
      <c r="BZ1065" s="0" t="s">
        <v>130</v>
      </c>
      <c r="CA1065" s="0" t="s">
        <v>130</v>
      </c>
      <c r="CB1065" s="0" t="s">
        <v>130</v>
      </c>
      <c r="CC1065" s="0" t="s">
        <v>130</v>
      </c>
      <c r="CD1065" s="0" t="s">
        <v>130</v>
      </c>
      <c r="CE1065" s="0" t="s">
        <v>130</v>
      </c>
      <c r="CF1065" s="0" t="s">
        <v>130</v>
      </c>
      <c r="CG1065" s="0" t="s">
        <v>130</v>
      </c>
      <c r="CH1065" s="0" t="s">
        <v>130</v>
      </c>
      <c r="CI1065" s="0" t="s">
        <v>130</v>
      </c>
      <c r="CJ1065" s="0" t="s">
        <v>130</v>
      </c>
      <c r="CK1065" s="0" t="s">
        <v>130</v>
      </c>
      <c r="CL1065" s="0" t="s">
        <v>130</v>
      </c>
      <c r="CM1065" s="0" t="s">
        <v>130</v>
      </c>
      <c r="CN1065" s="0" t="s">
        <v>130</v>
      </c>
      <c r="CO1065" s="0" t="s">
        <v>130</v>
      </c>
      <c r="CP1065" s="0" t="s">
        <v>130</v>
      </c>
      <c r="CQ1065" s="0" t="s">
        <v>130</v>
      </c>
      <c r="CR1065" s="0" t="s">
        <v>130</v>
      </c>
      <c r="CS1065" s="0" t="s">
        <v>130</v>
      </c>
      <c r="CT1065" s="0" t="s">
        <v>3216</v>
      </c>
    </row>
    <row r="1066">
      <c r="A1066" s="14">
        <v>182074</v>
      </c>
      <c r="B1066" s="0" t="s">
        <v>3209</v>
      </c>
      <c r="C1066" s="16">
        <f>HYPERLINK("https://eosportal.federatedhermes.com/companies/Q29tcGFueQppODU4NzQ=", "Equinor ASA")</f>
      </c>
      <c r="D1066" s="0" t="s">
        <v>25</v>
      </c>
      <c r="E1066" s="0" t="s">
        <v>1613</v>
      </c>
      <c r="F1066" s="16">
        <f>HYPERLINK("https://eosportal.federatedhermes.com/engagements/RW5nYWdlbWVudAppMjQ3NjY=", "Bribery &amp; Corruption")</f>
      </c>
      <c r="G1066" s="14"/>
      <c r="H1066" s="0" t="s">
        <v>141</v>
      </c>
      <c r="I1066" s="14" t="s">
        <v>191</v>
      </c>
      <c r="J1066" s="0" t="s">
        <v>153</v>
      </c>
      <c r="K1066" s="0" t="s">
        <v>185</v>
      </c>
      <c r="L1066" s="0" t="s">
        <v>871</v>
      </c>
      <c r="M1066" s="0" t="s">
        <v>378</v>
      </c>
      <c r="N1066" s="0" t="s">
        <v>3211</v>
      </c>
      <c r="O1066" s="0" t="s">
        <v>542</v>
      </c>
      <c r="Q1066" s="0" t="s">
        <v>130</v>
      </c>
      <c r="R1066" s="0" t="s">
        <v>138</v>
      </c>
      <c r="S1066" s="14">
        <v>0</v>
      </c>
      <c r="T1066" s="0" t="s">
        <v>3215</v>
      </c>
      <c r="U1066" s="0" t="s">
        <v>138</v>
      </c>
      <c r="V1066" s="14" t="s">
        <v>138</v>
      </c>
      <c r="W1066" s="0" t="s">
        <v>138</v>
      </c>
      <c r="X1066" s="14" t="s">
        <v>138</v>
      </c>
      <c r="Y1066" s="0" t="s">
        <v>138</v>
      </c>
      <c r="Z1066" s="14" t="s">
        <v>138</v>
      </c>
      <c r="AA1066" s="0" t="s">
        <v>138</v>
      </c>
      <c r="AB1066" s="14" t="s">
        <v>138</v>
      </c>
      <c r="AD1066" s="0" t="s">
        <v>138</v>
      </c>
      <c r="AF1066" s="0">
        <v>0</v>
      </c>
      <c r="AG1066" s="0">
        <v>0</v>
      </c>
      <c r="AH1066" s="0" t="s">
        <v>140</v>
      </c>
      <c r="AI1066" s="0" t="s">
        <v>138</v>
      </c>
      <c r="AL1066" s="14"/>
      <c r="AN1066" s="14"/>
      <c r="AQ1066" s="0" t="s">
        <v>130</v>
      </c>
      <c r="AR1066" s="0" t="s">
        <v>130</v>
      </c>
      <c r="AS1066" s="0" t="s">
        <v>130</v>
      </c>
      <c r="AT1066" s="0" t="s">
        <v>130</v>
      </c>
      <c r="AU1066" s="0" t="s">
        <v>130</v>
      </c>
      <c r="AV1066" s="0" t="s">
        <v>130</v>
      </c>
      <c r="AW1066" s="0" t="s">
        <v>130</v>
      </c>
      <c r="AX1066" s="0" t="s">
        <v>130</v>
      </c>
      <c r="AY1066" s="0" t="s">
        <v>130</v>
      </c>
      <c r="AZ1066" s="0" t="s">
        <v>130</v>
      </c>
      <c r="BA1066" s="0" t="s">
        <v>130</v>
      </c>
      <c r="BB1066" s="0" t="s">
        <v>130</v>
      </c>
      <c r="BC1066" s="0" t="s">
        <v>130</v>
      </c>
      <c r="BD1066" s="0" t="s">
        <v>130</v>
      </c>
      <c r="BE1066" s="0" t="s">
        <v>130</v>
      </c>
      <c r="BF1066" s="0" t="s">
        <v>130</v>
      </c>
      <c r="BG1066" s="0" t="s">
        <v>130</v>
      </c>
      <c r="BH1066" s="0" t="s">
        <v>130</v>
      </c>
      <c r="BI1066" s="0" t="s">
        <v>130</v>
      </c>
      <c r="BJ1066" s="0" t="s">
        <v>130</v>
      </c>
      <c r="BK1066" s="0" t="s">
        <v>130</v>
      </c>
      <c r="BL1066" s="0" t="s">
        <v>130</v>
      </c>
      <c r="BM1066" s="0" t="s">
        <v>130</v>
      </c>
      <c r="BN1066" s="0" t="s">
        <v>130</v>
      </c>
      <c r="BO1066" s="0" t="s">
        <v>130</v>
      </c>
      <c r="BP1066" s="0" t="s">
        <v>130</v>
      </c>
      <c r="BQ1066" s="0" t="s">
        <v>130</v>
      </c>
      <c r="BR1066" s="0" t="s">
        <v>130</v>
      </c>
      <c r="BS1066" s="0" t="s">
        <v>130</v>
      </c>
      <c r="BT1066" s="0" t="s">
        <v>130</v>
      </c>
      <c r="BU1066" s="0" t="s">
        <v>130</v>
      </c>
      <c r="BV1066" s="0" t="s">
        <v>130</v>
      </c>
      <c r="BW1066" s="0" t="s">
        <v>130</v>
      </c>
      <c r="BX1066" s="0" t="s">
        <v>130</v>
      </c>
      <c r="BY1066" s="0" t="s">
        <v>130</v>
      </c>
      <c r="BZ1066" s="0" t="s">
        <v>130</v>
      </c>
      <c r="CA1066" s="0" t="s">
        <v>130</v>
      </c>
      <c r="CB1066" s="0" t="s">
        <v>130</v>
      </c>
      <c r="CC1066" s="0" t="s">
        <v>130</v>
      </c>
      <c r="CD1066" s="0" t="s">
        <v>130</v>
      </c>
      <c r="CE1066" s="0" t="s">
        <v>130</v>
      </c>
      <c r="CF1066" s="0" t="s">
        <v>130</v>
      </c>
      <c r="CG1066" s="0" t="s">
        <v>130</v>
      </c>
      <c r="CH1066" s="0" t="s">
        <v>130</v>
      </c>
      <c r="CI1066" s="0" t="s">
        <v>130</v>
      </c>
      <c r="CJ1066" s="0" t="s">
        <v>130</v>
      </c>
      <c r="CK1066" s="0" t="s">
        <v>130</v>
      </c>
      <c r="CL1066" s="0" t="s">
        <v>130</v>
      </c>
      <c r="CM1066" s="0" t="s">
        <v>130</v>
      </c>
      <c r="CN1066" s="0" t="s">
        <v>130</v>
      </c>
      <c r="CO1066" s="0" t="s">
        <v>130</v>
      </c>
      <c r="CP1066" s="0" t="s">
        <v>130</v>
      </c>
      <c r="CQ1066" s="0" t="s">
        <v>141</v>
      </c>
      <c r="CR1066" s="0" t="s">
        <v>141</v>
      </c>
      <c r="CS1066" s="0" t="s">
        <v>141</v>
      </c>
      <c r="CT1066" s="0" t="s">
        <v>3217</v>
      </c>
    </row>
    <row r="1067">
      <c r="A1067" s="14">
        <v>182074</v>
      </c>
      <c r="B1067" s="0" t="s">
        <v>3209</v>
      </c>
      <c r="C1067" s="16">
        <f>HYPERLINK("https://eosportal.federatedhermes.com/companies/Q29tcGFueQppODU4NzQ=", "Equinor ASA")</f>
      </c>
      <c r="D1067" s="0" t="s">
        <v>25</v>
      </c>
      <c r="E1067" s="0" t="s">
        <v>1982</v>
      </c>
      <c r="F1067" s="16">
        <f>HYPERLINK("https://eosportal.federatedhermes.com/engagements/RW5nYWdlbWVudAppMjQ3Njc=", "Carbon asset risk")</f>
      </c>
      <c r="G1067" s="14" t="s">
        <v>3218</v>
      </c>
      <c r="H1067" s="0" t="s">
        <v>141</v>
      </c>
      <c r="I1067" s="14" t="s">
        <v>191</v>
      </c>
      <c r="J1067" s="0" t="s">
        <v>197</v>
      </c>
      <c r="K1067" s="0" t="s">
        <v>198</v>
      </c>
      <c r="L1067" s="0" t="s">
        <v>199</v>
      </c>
      <c r="M1067" s="0" t="s">
        <v>378</v>
      </c>
      <c r="N1067" s="0" t="s">
        <v>3211</v>
      </c>
      <c r="O1067" s="0" t="s">
        <v>542</v>
      </c>
      <c r="Q1067" s="0" t="s">
        <v>130</v>
      </c>
      <c r="R1067" s="0" t="s">
        <v>138</v>
      </c>
      <c r="S1067" s="14">
        <v>0</v>
      </c>
      <c r="T1067" s="0" t="s">
        <v>1011</v>
      </c>
      <c r="U1067" s="0" t="s">
        <v>138</v>
      </c>
      <c r="V1067" s="14" t="s">
        <v>138</v>
      </c>
      <c r="W1067" s="0" t="s">
        <v>138</v>
      </c>
      <c r="X1067" s="14" t="s">
        <v>138</v>
      </c>
      <c r="Y1067" s="0" t="s">
        <v>138</v>
      </c>
      <c r="Z1067" s="14" t="s">
        <v>138</v>
      </c>
      <c r="AA1067" s="0" t="s">
        <v>138</v>
      </c>
      <c r="AB1067" s="14" t="s">
        <v>138</v>
      </c>
      <c r="AD1067" s="0" t="s">
        <v>138</v>
      </c>
      <c r="AF1067" s="0">
        <v>0</v>
      </c>
      <c r="AG1067" s="0">
        <v>0</v>
      </c>
      <c r="AH1067" s="0" t="s">
        <v>140</v>
      </c>
      <c r="AI1067" s="0" t="s">
        <v>138</v>
      </c>
      <c r="AL1067" s="14"/>
      <c r="AN1067" s="14"/>
      <c r="AQ1067" s="0" t="s">
        <v>130</v>
      </c>
      <c r="AR1067" s="0" t="s">
        <v>130</v>
      </c>
      <c r="AS1067" s="0" t="s">
        <v>130</v>
      </c>
      <c r="AT1067" s="0" t="s">
        <v>130</v>
      </c>
      <c r="AU1067" s="0" t="s">
        <v>130</v>
      </c>
      <c r="AV1067" s="0" t="s">
        <v>130</v>
      </c>
      <c r="AW1067" s="0" t="s">
        <v>130</v>
      </c>
      <c r="AX1067" s="0" t="s">
        <v>130</v>
      </c>
      <c r="AY1067" s="0" t="s">
        <v>130</v>
      </c>
      <c r="AZ1067" s="0" t="s">
        <v>130</v>
      </c>
      <c r="BA1067" s="0" t="s">
        <v>130</v>
      </c>
      <c r="BB1067" s="0" t="s">
        <v>141</v>
      </c>
      <c r="BC1067" s="0" t="s">
        <v>130</v>
      </c>
      <c r="BD1067" s="0" t="s">
        <v>130</v>
      </c>
      <c r="BE1067" s="0" t="s">
        <v>130</v>
      </c>
      <c r="BF1067" s="0" t="s">
        <v>130</v>
      </c>
      <c r="BG1067" s="0" t="s">
        <v>130</v>
      </c>
      <c r="BH1067" s="0" t="s">
        <v>130</v>
      </c>
      <c r="BI1067" s="0" t="s">
        <v>130</v>
      </c>
      <c r="BJ1067" s="0" t="s">
        <v>130</v>
      </c>
      <c r="BK1067" s="0" t="s">
        <v>130</v>
      </c>
      <c r="BL1067" s="0" t="s">
        <v>130</v>
      </c>
      <c r="BM1067" s="0" t="s">
        <v>130</v>
      </c>
      <c r="BN1067" s="0" t="s">
        <v>130</v>
      </c>
      <c r="BO1067" s="0" t="s">
        <v>130</v>
      </c>
      <c r="BP1067" s="0" t="s">
        <v>130</v>
      </c>
      <c r="BQ1067" s="0" t="s">
        <v>130</v>
      </c>
      <c r="BR1067" s="0" t="s">
        <v>130</v>
      </c>
      <c r="BS1067" s="0" t="s">
        <v>130</v>
      </c>
      <c r="BT1067" s="0" t="s">
        <v>130</v>
      </c>
      <c r="BU1067" s="0" t="s">
        <v>130</v>
      </c>
      <c r="BV1067" s="0" t="s">
        <v>130</v>
      </c>
      <c r="BW1067" s="0" t="s">
        <v>130</v>
      </c>
      <c r="BX1067" s="0" t="s">
        <v>130</v>
      </c>
      <c r="BY1067" s="0" t="s">
        <v>130</v>
      </c>
      <c r="BZ1067" s="0" t="s">
        <v>130</v>
      </c>
      <c r="CA1067" s="0" t="s">
        <v>130</v>
      </c>
      <c r="CB1067" s="0" t="s">
        <v>130</v>
      </c>
      <c r="CC1067" s="0" t="s">
        <v>130</v>
      </c>
      <c r="CD1067" s="0" t="s">
        <v>130</v>
      </c>
      <c r="CE1067" s="0" t="s">
        <v>130</v>
      </c>
      <c r="CF1067" s="0" t="s">
        <v>130</v>
      </c>
      <c r="CG1067" s="0" t="s">
        <v>130</v>
      </c>
      <c r="CH1067" s="0" t="s">
        <v>130</v>
      </c>
      <c r="CI1067" s="0" t="s">
        <v>130</v>
      </c>
      <c r="CJ1067" s="0" t="s">
        <v>130</v>
      </c>
      <c r="CK1067" s="0" t="s">
        <v>130</v>
      </c>
      <c r="CL1067" s="0" t="s">
        <v>130</v>
      </c>
      <c r="CM1067" s="0" t="s">
        <v>130</v>
      </c>
      <c r="CN1067" s="0" t="s">
        <v>130</v>
      </c>
      <c r="CO1067" s="0" t="s">
        <v>130</v>
      </c>
      <c r="CP1067" s="0" t="s">
        <v>130</v>
      </c>
      <c r="CQ1067" s="0" t="s">
        <v>130</v>
      </c>
      <c r="CR1067" s="0" t="s">
        <v>130</v>
      </c>
      <c r="CS1067" s="0" t="s">
        <v>130</v>
      </c>
      <c r="CT1067" s="0" t="s">
        <v>3219</v>
      </c>
    </row>
    <row r="1068">
      <c r="A1068" s="14">
        <v>182074</v>
      </c>
      <c r="B1068" s="0" t="s">
        <v>3209</v>
      </c>
      <c r="C1068" s="16">
        <f>HYPERLINK("https://eosportal.federatedhermes.com/companies/Q29tcGFueQppODU4NzQ=", "Equinor ASA")</f>
      </c>
      <c r="D1068" s="0" t="s">
        <v>25</v>
      </c>
      <c r="E1068" s="0" t="s">
        <v>1663</v>
      </c>
      <c r="F1068" s="16">
        <f>HYPERLINK("https://eosportal.federatedhermes.com/engagements/RW5nYWdlbWVudAppMjQ3Njg=", "Stranded assets risk management")</f>
      </c>
      <c r="G1068" s="14" t="s">
        <v>3220</v>
      </c>
      <c r="H1068" s="0" t="s">
        <v>141</v>
      </c>
      <c r="I1068" s="14" t="s">
        <v>191</v>
      </c>
      <c r="J1068" s="0" t="s">
        <v>197</v>
      </c>
      <c r="K1068" s="0" t="s">
        <v>198</v>
      </c>
      <c r="L1068" s="0" t="s">
        <v>199</v>
      </c>
      <c r="M1068" s="0" t="s">
        <v>378</v>
      </c>
      <c r="N1068" s="0" t="s">
        <v>3211</v>
      </c>
      <c r="O1068" s="0" t="s">
        <v>542</v>
      </c>
      <c r="Q1068" s="0" t="s">
        <v>130</v>
      </c>
      <c r="R1068" s="0" t="s">
        <v>138</v>
      </c>
      <c r="S1068" s="14">
        <v>0</v>
      </c>
      <c r="T1068" s="0" t="s">
        <v>591</v>
      </c>
      <c r="U1068" s="0" t="s">
        <v>138</v>
      </c>
      <c r="V1068" s="14" t="s">
        <v>138</v>
      </c>
      <c r="W1068" s="0" t="s">
        <v>138</v>
      </c>
      <c r="X1068" s="14" t="s">
        <v>138</v>
      </c>
      <c r="Y1068" s="0" t="s">
        <v>138</v>
      </c>
      <c r="Z1068" s="14" t="s">
        <v>138</v>
      </c>
      <c r="AA1068" s="0" t="s">
        <v>138</v>
      </c>
      <c r="AB1068" s="14" t="s">
        <v>138</v>
      </c>
      <c r="AD1068" s="0" t="s">
        <v>138</v>
      </c>
      <c r="AF1068" s="0">
        <v>0</v>
      </c>
      <c r="AG1068" s="0">
        <v>0</v>
      </c>
      <c r="AH1068" s="0" t="s">
        <v>140</v>
      </c>
      <c r="AI1068" s="0" t="s">
        <v>138</v>
      </c>
      <c r="AL1068" s="14"/>
      <c r="AN1068" s="14"/>
      <c r="AQ1068" s="0" t="s">
        <v>130</v>
      </c>
      <c r="AR1068" s="0" t="s">
        <v>130</v>
      </c>
      <c r="AS1068" s="0" t="s">
        <v>130</v>
      </c>
      <c r="AT1068" s="0" t="s">
        <v>130</v>
      </c>
      <c r="AU1068" s="0" t="s">
        <v>130</v>
      </c>
      <c r="AV1068" s="0" t="s">
        <v>130</v>
      </c>
      <c r="AW1068" s="0" t="s">
        <v>130</v>
      </c>
      <c r="AX1068" s="0" t="s">
        <v>130</v>
      </c>
      <c r="AY1068" s="0" t="s">
        <v>130</v>
      </c>
      <c r="AZ1068" s="0" t="s">
        <v>130</v>
      </c>
      <c r="BA1068" s="0" t="s">
        <v>130</v>
      </c>
      <c r="BB1068" s="0" t="s">
        <v>141</v>
      </c>
      <c r="BC1068" s="0" t="s">
        <v>130</v>
      </c>
      <c r="BD1068" s="0" t="s">
        <v>130</v>
      </c>
      <c r="BE1068" s="0" t="s">
        <v>130</v>
      </c>
      <c r="BF1068" s="0" t="s">
        <v>130</v>
      </c>
      <c r="BG1068" s="0" t="s">
        <v>130</v>
      </c>
      <c r="BH1068" s="0" t="s">
        <v>130</v>
      </c>
      <c r="BI1068" s="0" t="s">
        <v>130</v>
      </c>
      <c r="BJ1068" s="0" t="s">
        <v>130</v>
      </c>
      <c r="BK1068" s="0" t="s">
        <v>130</v>
      </c>
      <c r="BL1068" s="0" t="s">
        <v>130</v>
      </c>
      <c r="BM1068" s="0" t="s">
        <v>130</v>
      </c>
      <c r="BN1068" s="0" t="s">
        <v>130</v>
      </c>
      <c r="BO1068" s="0" t="s">
        <v>130</v>
      </c>
      <c r="BP1068" s="0" t="s">
        <v>130</v>
      </c>
      <c r="BQ1068" s="0" t="s">
        <v>130</v>
      </c>
      <c r="BR1068" s="0" t="s">
        <v>130</v>
      </c>
      <c r="BS1068" s="0" t="s">
        <v>130</v>
      </c>
      <c r="BT1068" s="0" t="s">
        <v>130</v>
      </c>
      <c r="BU1068" s="0" t="s">
        <v>130</v>
      </c>
      <c r="BV1068" s="0" t="s">
        <v>130</v>
      </c>
      <c r="BW1068" s="0" t="s">
        <v>130</v>
      </c>
      <c r="BX1068" s="0" t="s">
        <v>130</v>
      </c>
      <c r="BY1068" s="0" t="s">
        <v>130</v>
      </c>
      <c r="BZ1068" s="0" t="s">
        <v>130</v>
      </c>
      <c r="CA1068" s="0" t="s">
        <v>130</v>
      </c>
      <c r="CB1068" s="0" t="s">
        <v>130</v>
      </c>
      <c r="CC1068" s="0" t="s">
        <v>130</v>
      </c>
      <c r="CD1068" s="0" t="s">
        <v>130</v>
      </c>
      <c r="CE1068" s="0" t="s">
        <v>130</v>
      </c>
      <c r="CF1068" s="0" t="s">
        <v>130</v>
      </c>
      <c r="CG1068" s="0" t="s">
        <v>130</v>
      </c>
      <c r="CH1068" s="0" t="s">
        <v>130</v>
      </c>
      <c r="CI1068" s="0" t="s">
        <v>130</v>
      </c>
      <c r="CJ1068" s="0" t="s">
        <v>130</v>
      </c>
      <c r="CK1068" s="0" t="s">
        <v>130</v>
      </c>
      <c r="CL1068" s="0" t="s">
        <v>130</v>
      </c>
      <c r="CM1068" s="0" t="s">
        <v>130</v>
      </c>
      <c r="CN1068" s="0" t="s">
        <v>130</v>
      </c>
      <c r="CO1068" s="0" t="s">
        <v>130</v>
      </c>
      <c r="CP1068" s="0" t="s">
        <v>130</v>
      </c>
      <c r="CQ1068" s="0" t="s">
        <v>130</v>
      </c>
      <c r="CR1068" s="0" t="s">
        <v>130</v>
      </c>
      <c r="CS1068" s="0" t="s">
        <v>130</v>
      </c>
      <c r="CT1068" s="0" t="s">
        <v>3221</v>
      </c>
    </row>
    <row r="1069">
      <c r="A1069" s="14">
        <v>183932</v>
      </c>
      <c r="B1069" s="0" t="s">
        <v>3222</v>
      </c>
      <c r="C1069" s="16">
        <f>HYPERLINK("https://eosportal.federatedhermes.com/companies/Q29tcGFueQppNzU5MzI=", "Orsted AS")</f>
      </c>
      <c r="D1069" s="0" t="s">
        <v>25</v>
      </c>
      <c r="E1069" s="0" t="s">
        <v>1053</v>
      </c>
      <c r="F1069" s="16">
        <f>HYPERLINK("https://eosportal.federatedhermes.com/engagements/RW5nYWdlbWVudAppMjQ3ODU=", "Board Composition")</f>
      </c>
      <c r="G1069" s="14" t="s">
        <v>3223</v>
      </c>
      <c r="H1069" s="0" t="s">
        <v>130</v>
      </c>
      <c r="I1069" s="14" t="s">
        <v>131</v>
      </c>
      <c r="J1069" s="0" t="s">
        <v>145</v>
      </c>
      <c r="K1069" s="0" t="s">
        <v>164</v>
      </c>
      <c r="L1069" s="0" t="s">
        <v>165</v>
      </c>
      <c r="M1069" s="0" t="s">
        <v>378</v>
      </c>
      <c r="N1069" s="0" t="s">
        <v>1339</v>
      </c>
      <c r="O1069" s="0" t="s">
        <v>192</v>
      </c>
      <c r="Q1069" s="0" t="s">
        <v>141</v>
      </c>
      <c r="R1069" s="0" t="s">
        <v>138</v>
      </c>
      <c r="S1069" s="14">
        <v>1</v>
      </c>
      <c r="T1069" s="0" t="s">
        <v>249</v>
      </c>
      <c r="U1069" s="0" t="s">
        <v>138</v>
      </c>
      <c r="V1069" s="14" t="s">
        <v>138</v>
      </c>
      <c r="W1069" s="0" t="s">
        <v>138</v>
      </c>
      <c r="X1069" s="14" t="s">
        <v>138</v>
      </c>
      <c r="Y1069" s="0" t="s">
        <v>138</v>
      </c>
      <c r="Z1069" s="14" t="s">
        <v>138</v>
      </c>
      <c r="AA1069" s="0" t="s">
        <v>138</v>
      </c>
      <c r="AB1069" s="14" t="s">
        <v>138</v>
      </c>
      <c r="AD1069" s="0" t="s">
        <v>138</v>
      </c>
      <c r="AF1069" s="0">
        <v>0</v>
      </c>
      <c r="AG1069" s="0">
        <v>0</v>
      </c>
      <c r="AH1069" s="0" t="s">
        <v>140</v>
      </c>
      <c r="AI1069" s="0" t="s">
        <v>138</v>
      </c>
      <c r="AK1069" s="0" t="s">
        <v>3207</v>
      </c>
      <c r="AL1069" s="14"/>
      <c r="AN1069" s="14"/>
      <c r="AQ1069" s="0" t="s">
        <v>130</v>
      </c>
      <c r="AR1069" s="0" t="s">
        <v>130</v>
      </c>
      <c r="AS1069" s="0" t="s">
        <v>130</v>
      </c>
      <c r="AT1069" s="0" t="s">
        <v>130</v>
      </c>
      <c r="AU1069" s="0" t="s">
        <v>130</v>
      </c>
      <c r="AV1069" s="0" t="s">
        <v>130</v>
      </c>
      <c r="AW1069" s="0" t="s">
        <v>130</v>
      </c>
      <c r="AX1069" s="0" t="s">
        <v>130</v>
      </c>
      <c r="AY1069" s="0" t="s">
        <v>130</v>
      </c>
      <c r="AZ1069" s="0" t="s">
        <v>130</v>
      </c>
      <c r="BA1069" s="0" t="s">
        <v>130</v>
      </c>
      <c r="BB1069" s="0" t="s">
        <v>130</v>
      </c>
      <c r="BC1069" s="0" t="s">
        <v>130</v>
      </c>
      <c r="BD1069" s="0" t="s">
        <v>130</v>
      </c>
      <c r="BE1069" s="0" t="s">
        <v>130</v>
      </c>
      <c r="BF1069" s="0" t="s">
        <v>130</v>
      </c>
      <c r="BG1069" s="0" t="s">
        <v>130</v>
      </c>
      <c r="BH1069" s="0" t="s">
        <v>130</v>
      </c>
      <c r="BI1069" s="0" t="s">
        <v>130</v>
      </c>
      <c r="BJ1069" s="0" t="s">
        <v>130</v>
      </c>
      <c r="BK1069" s="0" t="s">
        <v>130</v>
      </c>
      <c r="BL1069" s="0" t="s">
        <v>130</v>
      </c>
      <c r="BM1069" s="0" t="s">
        <v>130</v>
      </c>
      <c r="BN1069" s="0" t="s">
        <v>130</v>
      </c>
      <c r="BO1069" s="0" t="s">
        <v>130</v>
      </c>
      <c r="BP1069" s="0" t="s">
        <v>130</v>
      </c>
      <c r="BQ1069" s="0" t="s">
        <v>130</v>
      </c>
      <c r="BR1069" s="0" t="s">
        <v>130</v>
      </c>
      <c r="BS1069" s="0" t="s">
        <v>130</v>
      </c>
      <c r="BT1069" s="0" t="s">
        <v>130</v>
      </c>
      <c r="BU1069" s="0" t="s">
        <v>130</v>
      </c>
      <c r="BV1069" s="0" t="s">
        <v>130</v>
      </c>
      <c r="BW1069" s="0" t="s">
        <v>130</v>
      </c>
      <c r="BX1069" s="0" t="s">
        <v>130</v>
      </c>
      <c r="BY1069" s="0" t="s">
        <v>130</v>
      </c>
      <c r="BZ1069" s="0" t="s">
        <v>130</v>
      </c>
      <c r="CA1069" s="0" t="s">
        <v>130</v>
      </c>
      <c r="CB1069" s="0" t="s">
        <v>130</v>
      </c>
      <c r="CC1069" s="0" t="s">
        <v>130</v>
      </c>
      <c r="CD1069" s="0" t="s">
        <v>130</v>
      </c>
      <c r="CE1069" s="0" t="s">
        <v>130</v>
      </c>
      <c r="CF1069" s="0" t="s">
        <v>130</v>
      </c>
      <c r="CG1069" s="0" t="s">
        <v>130</v>
      </c>
      <c r="CH1069" s="0" t="s">
        <v>130</v>
      </c>
      <c r="CI1069" s="0" t="s">
        <v>130</v>
      </c>
      <c r="CJ1069" s="0" t="s">
        <v>130</v>
      </c>
      <c r="CK1069" s="0" t="s">
        <v>130</v>
      </c>
      <c r="CL1069" s="0" t="s">
        <v>130</v>
      </c>
      <c r="CM1069" s="0" t="s">
        <v>130</v>
      </c>
      <c r="CN1069" s="0" t="s">
        <v>130</v>
      </c>
      <c r="CO1069" s="0" t="s">
        <v>130</v>
      </c>
      <c r="CP1069" s="0" t="s">
        <v>130</v>
      </c>
      <c r="CQ1069" s="0" t="s">
        <v>130</v>
      </c>
      <c r="CR1069" s="0" t="s">
        <v>130</v>
      </c>
      <c r="CS1069" s="0" t="s">
        <v>130</v>
      </c>
      <c r="CT1069" s="0" t="s">
        <v>3224</v>
      </c>
    </row>
    <row r="1070">
      <c r="A1070" s="14">
        <v>183932</v>
      </c>
      <c r="B1070" s="0" t="s">
        <v>3222</v>
      </c>
      <c r="C1070" s="16">
        <f>HYPERLINK("https://eosportal.federatedhermes.com/companies/Q29tcGFueQppNzU5MzI=", "Orsted AS")</f>
      </c>
      <c r="D1070" s="0" t="s">
        <v>25</v>
      </c>
      <c r="E1070" s="0" t="s">
        <v>3225</v>
      </c>
      <c r="F1070" s="16">
        <f>HYPERLINK("https://eosportal.federatedhermes.com/engagements/RW5nYWdlbWVudAppMjQ3ODY=", "Non-audit fees")</f>
      </c>
      <c r="G1070" s="14" t="s">
        <v>3226</v>
      </c>
      <c r="H1070" s="0" t="s">
        <v>130</v>
      </c>
      <c r="I1070" s="14" t="s">
        <v>131</v>
      </c>
      <c r="J1070" s="0" t="s">
        <v>132</v>
      </c>
      <c r="K1070" s="0" t="s">
        <v>170</v>
      </c>
      <c r="L1070" s="0" t="s">
        <v>310</v>
      </c>
      <c r="M1070" s="0" t="s">
        <v>378</v>
      </c>
      <c r="N1070" s="0" t="s">
        <v>1339</v>
      </c>
      <c r="O1070" s="0" t="s">
        <v>192</v>
      </c>
      <c r="Q1070" s="0" t="s">
        <v>130</v>
      </c>
      <c r="R1070" s="0" t="s">
        <v>138</v>
      </c>
      <c r="S1070" s="14">
        <v>0</v>
      </c>
      <c r="T1070" s="0" t="s">
        <v>288</v>
      </c>
      <c r="U1070" s="0" t="s">
        <v>138</v>
      </c>
      <c r="V1070" s="14" t="s">
        <v>138</v>
      </c>
      <c r="W1070" s="0" t="s">
        <v>138</v>
      </c>
      <c r="X1070" s="14" t="s">
        <v>138</v>
      </c>
      <c r="Y1070" s="0" t="s">
        <v>138</v>
      </c>
      <c r="Z1070" s="14" t="s">
        <v>138</v>
      </c>
      <c r="AA1070" s="0" t="s">
        <v>138</v>
      </c>
      <c r="AB1070" s="14" t="s">
        <v>138</v>
      </c>
      <c r="AD1070" s="0" t="s">
        <v>138</v>
      </c>
      <c r="AF1070" s="0">
        <v>0</v>
      </c>
      <c r="AG1070" s="0">
        <v>0</v>
      </c>
      <c r="AH1070" s="0" t="s">
        <v>140</v>
      </c>
      <c r="AI1070" s="0" t="s">
        <v>138</v>
      </c>
      <c r="AL1070" s="14"/>
      <c r="AN1070" s="14"/>
      <c r="AQ1070" s="0" t="s">
        <v>130</v>
      </c>
      <c r="AR1070" s="0" t="s">
        <v>130</v>
      </c>
      <c r="AS1070" s="0" t="s">
        <v>130</v>
      </c>
      <c r="AT1070" s="0" t="s">
        <v>130</v>
      </c>
      <c r="AU1070" s="0" t="s">
        <v>130</v>
      </c>
      <c r="AV1070" s="0" t="s">
        <v>130</v>
      </c>
      <c r="AW1070" s="0" t="s">
        <v>130</v>
      </c>
      <c r="AX1070" s="0" t="s">
        <v>130</v>
      </c>
      <c r="AY1070" s="0" t="s">
        <v>130</v>
      </c>
      <c r="AZ1070" s="0" t="s">
        <v>130</v>
      </c>
      <c r="BA1070" s="0" t="s">
        <v>130</v>
      </c>
      <c r="BB1070" s="0" t="s">
        <v>130</v>
      </c>
      <c r="BC1070" s="0" t="s">
        <v>130</v>
      </c>
      <c r="BD1070" s="0" t="s">
        <v>130</v>
      </c>
      <c r="BE1070" s="0" t="s">
        <v>130</v>
      </c>
      <c r="BF1070" s="0" t="s">
        <v>130</v>
      </c>
      <c r="BG1070" s="0" t="s">
        <v>130</v>
      </c>
      <c r="BH1070" s="0" t="s">
        <v>130</v>
      </c>
      <c r="BI1070" s="0" t="s">
        <v>130</v>
      </c>
      <c r="BJ1070" s="0" t="s">
        <v>130</v>
      </c>
      <c r="BK1070" s="0" t="s">
        <v>130</v>
      </c>
      <c r="BL1070" s="0" t="s">
        <v>130</v>
      </c>
      <c r="BM1070" s="0" t="s">
        <v>130</v>
      </c>
      <c r="BN1070" s="0" t="s">
        <v>130</v>
      </c>
      <c r="BO1070" s="0" t="s">
        <v>130</v>
      </c>
      <c r="BP1070" s="0" t="s">
        <v>130</v>
      </c>
      <c r="BQ1070" s="0" t="s">
        <v>130</v>
      </c>
      <c r="BR1070" s="0" t="s">
        <v>130</v>
      </c>
      <c r="BS1070" s="0" t="s">
        <v>130</v>
      </c>
      <c r="BT1070" s="0" t="s">
        <v>130</v>
      </c>
      <c r="BU1070" s="0" t="s">
        <v>130</v>
      </c>
      <c r="BV1070" s="0" t="s">
        <v>130</v>
      </c>
      <c r="BW1070" s="0" t="s">
        <v>130</v>
      </c>
      <c r="BX1070" s="0" t="s">
        <v>130</v>
      </c>
      <c r="BY1070" s="0" t="s">
        <v>130</v>
      </c>
      <c r="BZ1070" s="0" t="s">
        <v>130</v>
      </c>
      <c r="CA1070" s="0" t="s">
        <v>130</v>
      </c>
      <c r="CB1070" s="0" t="s">
        <v>130</v>
      </c>
      <c r="CC1070" s="0" t="s">
        <v>130</v>
      </c>
      <c r="CD1070" s="0" t="s">
        <v>130</v>
      </c>
      <c r="CE1070" s="0" t="s">
        <v>130</v>
      </c>
      <c r="CF1070" s="0" t="s">
        <v>130</v>
      </c>
      <c r="CG1070" s="0" t="s">
        <v>130</v>
      </c>
      <c r="CH1070" s="0" t="s">
        <v>130</v>
      </c>
      <c r="CI1070" s="0" t="s">
        <v>130</v>
      </c>
      <c r="CJ1070" s="0" t="s">
        <v>130</v>
      </c>
      <c r="CK1070" s="0" t="s">
        <v>130</v>
      </c>
      <c r="CL1070" s="0" t="s">
        <v>130</v>
      </c>
      <c r="CM1070" s="0" t="s">
        <v>130</v>
      </c>
      <c r="CN1070" s="0" t="s">
        <v>130</v>
      </c>
      <c r="CO1070" s="0" t="s">
        <v>130</v>
      </c>
      <c r="CP1070" s="0" t="s">
        <v>130</v>
      </c>
      <c r="CQ1070" s="0" t="s">
        <v>130</v>
      </c>
      <c r="CR1070" s="0" t="s">
        <v>130</v>
      </c>
      <c r="CS1070" s="0" t="s">
        <v>130</v>
      </c>
      <c r="CT1070" s="0" t="s">
        <v>3227</v>
      </c>
    </row>
    <row r="1071">
      <c r="A1071" s="14">
        <v>183932</v>
      </c>
      <c r="B1071" s="0" t="s">
        <v>3222</v>
      </c>
      <c r="C1071" s="16">
        <f>HYPERLINK("https://eosportal.federatedhermes.com/companies/Q29tcGFueQppNzU5MzI=", "Orsted AS")</f>
      </c>
      <c r="D1071" s="0" t="s">
        <v>25</v>
      </c>
      <c r="E1071" s="0" t="s">
        <v>3228</v>
      </c>
      <c r="F1071" s="16">
        <f>HYPERLINK("https://eosportal.federatedhermes.com/engagements/RW5nYWdlbWVudAppMjQ3ODc=", "Dilution")</f>
      </c>
      <c r="G1071" s="14" t="s">
        <v>3229</v>
      </c>
      <c r="H1071" s="0" t="s">
        <v>130</v>
      </c>
      <c r="I1071" s="14" t="s">
        <v>131</v>
      </c>
      <c r="J1071" s="0" t="s">
        <v>145</v>
      </c>
      <c r="K1071" s="0" t="s">
        <v>400</v>
      </c>
      <c r="L1071" s="0" t="s">
        <v>507</v>
      </c>
      <c r="M1071" s="0" t="s">
        <v>378</v>
      </c>
      <c r="N1071" s="0" t="s">
        <v>1339</v>
      </c>
      <c r="O1071" s="0" t="s">
        <v>192</v>
      </c>
      <c r="Q1071" s="0" t="s">
        <v>130</v>
      </c>
      <c r="R1071" s="0" t="s">
        <v>138</v>
      </c>
      <c r="S1071" s="14">
        <v>0</v>
      </c>
      <c r="T1071" s="0" t="s">
        <v>206</v>
      </c>
      <c r="U1071" s="0" t="s">
        <v>138</v>
      </c>
      <c r="V1071" s="14" t="s">
        <v>138</v>
      </c>
      <c r="W1071" s="0" t="s">
        <v>138</v>
      </c>
      <c r="X1071" s="14" t="s">
        <v>138</v>
      </c>
      <c r="Y1071" s="0" t="s">
        <v>138</v>
      </c>
      <c r="Z1071" s="14" t="s">
        <v>138</v>
      </c>
      <c r="AA1071" s="0" t="s">
        <v>138</v>
      </c>
      <c r="AB1071" s="14" t="s">
        <v>138</v>
      </c>
      <c r="AD1071" s="0" t="s">
        <v>138</v>
      </c>
      <c r="AF1071" s="0">
        <v>0</v>
      </c>
      <c r="AG1071" s="0">
        <v>0</v>
      </c>
      <c r="AH1071" s="0" t="s">
        <v>140</v>
      </c>
      <c r="AI1071" s="0" t="s">
        <v>138</v>
      </c>
      <c r="AL1071" s="14"/>
      <c r="AN1071" s="14"/>
      <c r="AQ1071" s="0" t="s">
        <v>130</v>
      </c>
      <c r="AR1071" s="0" t="s">
        <v>130</v>
      </c>
      <c r="AS1071" s="0" t="s">
        <v>130</v>
      </c>
      <c r="AT1071" s="0" t="s">
        <v>130</v>
      </c>
      <c r="AU1071" s="0" t="s">
        <v>130</v>
      </c>
      <c r="AV1071" s="0" t="s">
        <v>130</v>
      </c>
      <c r="AW1071" s="0" t="s">
        <v>130</v>
      </c>
      <c r="AX1071" s="0" t="s">
        <v>130</v>
      </c>
      <c r="AY1071" s="0" t="s">
        <v>130</v>
      </c>
      <c r="AZ1071" s="0" t="s">
        <v>130</v>
      </c>
      <c r="BA1071" s="0" t="s">
        <v>130</v>
      </c>
      <c r="BB1071" s="0" t="s">
        <v>130</v>
      </c>
      <c r="BC1071" s="0" t="s">
        <v>130</v>
      </c>
      <c r="BD1071" s="0" t="s">
        <v>130</v>
      </c>
      <c r="BE1071" s="0" t="s">
        <v>130</v>
      </c>
      <c r="BF1071" s="0" t="s">
        <v>130</v>
      </c>
      <c r="BG1071" s="0" t="s">
        <v>130</v>
      </c>
      <c r="BH1071" s="0" t="s">
        <v>130</v>
      </c>
      <c r="BI1071" s="0" t="s">
        <v>130</v>
      </c>
      <c r="BJ1071" s="0" t="s">
        <v>130</v>
      </c>
      <c r="BK1071" s="0" t="s">
        <v>130</v>
      </c>
      <c r="BL1071" s="0" t="s">
        <v>130</v>
      </c>
      <c r="BM1071" s="0" t="s">
        <v>130</v>
      </c>
      <c r="BN1071" s="0" t="s">
        <v>130</v>
      </c>
      <c r="BO1071" s="0" t="s">
        <v>130</v>
      </c>
      <c r="BP1071" s="0" t="s">
        <v>130</v>
      </c>
      <c r="BQ1071" s="0" t="s">
        <v>130</v>
      </c>
      <c r="BR1071" s="0" t="s">
        <v>130</v>
      </c>
      <c r="BS1071" s="0" t="s">
        <v>130</v>
      </c>
      <c r="BT1071" s="0" t="s">
        <v>130</v>
      </c>
      <c r="BU1071" s="0" t="s">
        <v>130</v>
      </c>
      <c r="BV1071" s="0" t="s">
        <v>130</v>
      </c>
      <c r="BW1071" s="0" t="s">
        <v>130</v>
      </c>
      <c r="BX1071" s="0" t="s">
        <v>130</v>
      </c>
      <c r="BY1071" s="0" t="s">
        <v>130</v>
      </c>
      <c r="BZ1071" s="0" t="s">
        <v>130</v>
      </c>
      <c r="CA1071" s="0" t="s">
        <v>130</v>
      </c>
      <c r="CB1071" s="0" t="s">
        <v>130</v>
      </c>
      <c r="CC1071" s="0" t="s">
        <v>130</v>
      </c>
      <c r="CD1071" s="0" t="s">
        <v>130</v>
      </c>
      <c r="CE1071" s="0" t="s">
        <v>130</v>
      </c>
      <c r="CF1071" s="0" t="s">
        <v>130</v>
      </c>
      <c r="CG1071" s="0" t="s">
        <v>130</v>
      </c>
      <c r="CH1071" s="0" t="s">
        <v>130</v>
      </c>
      <c r="CI1071" s="0" t="s">
        <v>130</v>
      </c>
      <c r="CJ1071" s="0" t="s">
        <v>130</v>
      </c>
      <c r="CK1071" s="0" t="s">
        <v>130</v>
      </c>
      <c r="CL1071" s="0" t="s">
        <v>130</v>
      </c>
      <c r="CM1071" s="0" t="s">
        <v>130</v>
      </c>
      <c r="CN1071" s="0" t="s">
        <v>130</v>
      </c>
      <c r="CO1071" s="0" t="s">
        <v>130</v>
      </c>
      <c r="CP1071" s="0" t="s">
        <v>130</v>
      </c>
      <c r="CQ1071" s="0" t="s">
        <v>130</v>
      </c>
      <c r="CR1071" s="0" t="s">
        <v>130</v>
      </c>
      <c r="CS1071" s="0" t="s">
        <v>130</v>
      </c>
      <c r="CT1071" s="0" t="s">
        <v>3230</v>
      </c>
    </row>
    <row r="1072">
      <c r="A1072" s="14">
        <v>183932</v>
      </c>
      <c r="B1072" s="0" t="s">
        <v>3222</v>
      </c>
      <c r="C1072" s="16">
        <f>HYPERLINK("https://eosportal.federatedhermes.com/companies/Q29tcGFueQppNzU5MzI=", "Orsted AS")</f>
      </c>
      <c r="D1072" s="0" t="s">
        <v>25</v>
      </c>
      <c r="E1072" s="0" t="s">
        <v>3231</v>
      </c>
      <c r="F1072" s="16">
        <f>HYPERLINK("https://eosportal.federatedhermes.com/engagements/RW5nYWdlbWVudAppMjQ3ODg=", "Human capital")</f>
      </c>
      <c r="G1072" s="14" t="s">
        <v>3232</v>
      </c>
      <c r="H1072" s="0" t="s">
        <v>130</v>
      </c>
      <c r="I1072" s="14" t="s">
        <v>131</v>
      </c>
      <c r="J1072" s="0" t="s">
        <v>153</v>
      </c>
      <c r="K1072" s="0" t="s">
        <v>154</v>
      </c>
      <c r="L1072" s="0" t="s">
        <v>306</v>
      </c>
      <c r="M1072" s="0" t="s">
        <v>378</v>
      </c>
      <c r="N1072" s="0" t="s">
        <v>1339</v>
      </c>
      <c r="O1072" s="0" t="s">
        <v>192</v>
      </c>
      <c r="Q1072" s="0" t="s">
        <v>141</v>
      </c>
      <c r="R1072" s="0" t="s">
        <v>138</v>
      </c>
      <c r="S1072" s="14">
        <v>1</v>
      </c>
      <c r="T1072" s="0" t="s">
        <v>206</v>
      </c>
      <c r="U1072" s="0" t="s">
        <v>138</v>
      </c>
      <c r="V1072" s="14" t="s">
        <v>138</v>
      </c>
      <c r="W1072" s="0" t="s">
        <v>138</v>
      </c>
      <c r="X1072" s="14" t="s">
        <v>138</v>
      </c>
      <c r="Y1072" s="0" t="s">
        <v>138</v>
      </c>
      <c r="Z1072" s="14" t="s">
        <v>138</v>
      </c>
      <c r="AA1072" s="0" t="s">
        <v>138</v>
      </c>
      <c r="AB1072" s="14" t="s">
        <v>138</v>
      </c>
      <c r="AD1072" s="0" t="s">
        <v>138</v>
      </c>
      <c r="AF1072" s="0">
        <v>0</v>
      </c>
      <c r="AG1072" s="0">
        <v>0</v>
      </c>
      <c r="AH1072" s="0" t="s">
        <v>140</v>
      </c>
      <c r="AI1072" s="0" t="s">
        <v>138</v>
      </c>
      <c r="AK1072" s="0" t="s">
        <v>3207</v>
      </c>
      <c r="AL1072" s="14"/>
      <c r="AN1072" s="14"/>
      <c r="AQ1072" s="0" t="s">
        <v>130</v>
      </c>
      <c r="AR1072" s="0" t="s">
        <v>130</v>
      </c>
      <c r="AS1072" s="0" t="s">
        <v>130</v>
      </c>
      <c r="AT1072" s="0" t="s">
        <v>130</v>
      </c>
      <c r="AU1072" s="0" t="s">
        <v>130</v>
      </c>
      <c r="AV1072" s="0" t="s">
        <v>130</v>
      </c>
      <c r="AW1072" s="0" t="s">
        <v>130</v>
      </c>
      <c r="AX1072" s="0" t="s">
        <v>141</v>
      </c>
      <c r="AY1072" s="0" t="s">
        <v>130</v>
      </c>
      <c r="AZ1072" s="0" t="s">
        <v>141</v>
      </c>
      <c r="BA1072" s="0" t="s">
        <v>130</v>
      </c>
      <c r="BB1072" s="0" t="s">
        <v>130</v>
      </c>
      <c r="BC1072" s="0" t="s">
        <v>130</v>
      </c>
      <c r="BD1072" s="0" t="s">
        <v>130</v>
      </c>
      <c r="BE1072" s="0" t="s">
        <v>130</v>
      </c>
      <c r="BF1072" s="0" t="s">
        <v>130</v>
      </c>
      <c r="BG1072" s="0" t="s">
        <v>130</v>
      </c>
      <c r="BH1072" s="0" t="s">
        <v>130</v>
      </c>
      <c r="BI1072" s="0" t="s">
        <v>130</v>
      </c>
      <c r="BJ1072" s="0" t="s">
        <v>130</v>
      </c>
      <c r="BK1072" s="0" t="s">
        <v>130</v>
      </c>
      <c r="BL1072" s="0" t="s">
        <v>130</v>
      </c>
      <c r="BM1072" s="0" t="s">
        <v>130</v>
      </c>
      <c r="BN1072" s="0" t="s">
        <v>130</v>
      </c>
      <c r="BO1072" s="0" t="s">
        <v>130</v>
      </c>
      <c r="BP1072" s="0" t="s">
        <v>130</v>
      </c>
      <c r="BQ1072" s="0" t="s">
        <v>130</v>
      </c>
      <c r="BR1072" s="0" t="s">
        <v>130</v>
      </c>
      <c r="BS1072" s="0" t="s">
        <v>130</v>
      </c>
      <c r="BT1072" s="0" t="s">
        <v>130</v>
      </c>
      <c r="BU1072" s="0" t="s">
        <v>130</v>
      </c>
      <c r="BV1072" s="0" t="s">
        <v>130</v>
      </c>
      <c r="BW1072" s="0" t="s">
        <v>130</v>
      </c>
      <c r="BX1072" s="0" t="s">
        <v>130</v>
      </c>
      <c r="BY1072" s="0" t="s">
        <v>130</v>
      </c>
      <c r="BZ1072" s="0" t="s">
        <v>130</v>
      </c>
      <c r="CA1072" s="0" t="s">
        <v>130</v>
      </c>
      <c r="CB1072" s="0" t="s">
        <v>130</v>
      </c>
      <c r="CC1072" s="0" t="s">
        <v>130</v>
      </c>
      <c r="CD1072" s="0" t="s">
        <v>130</v>
      </c>
      <c r="CE1072" s="0" t="s">
        <v>130</v>
      </c>
      <c r="CF1072" s="0" t="s">
        <v>130</v>
      </c>
      <c r="CG1072" s="0" t="s">
        <v>130</v>
      </c>
      <c r="CH1072" s="0" t="s">
        <v>130</v>
      </c>
      <c r="CI1072" s="0" t="s">
        <v>130</v>
      </c>
      <c r="CJ1072" s="0" t="s">
        <v>130</v>
      </c>
      <c r="CK1072" s="0" t="s">
        <v>130</v>
      </c>
      <c r="CL1072" s="0" t="s">
        <v>130</v>
      </c>
      <c r="CM1072" s="0" t="s">
        <v>130</v>
      </c>
      <c r="CN1072" s="0" t="s">
        <v>130</v>
      </c>
      <c r="CO1072" s="0" t="s">
        <v>130</v>
      </c>
      <c r="CP1072" s="0" t="s">
        <v>130</v>
      </c>
      <c r="CQ1072" s="0" t="s">
        <v>130</v>
      </c>
      <c r="CR1072" s="0" t="s">
        <v>130</v>
      </c>
      <c r="CS1072" s="0" t="s">
        <v>130</v>
      </c>
      <c r="CT1072" s="0" t="s">
        <v>3233</v>
      </c>
    </row>
    <row r="1073">
      <c r="A1073" s="14">
        <v>183932</v>
      </c>
      <c r="B1073" s="0" t="s">
        <v>3222</v>
      </c>
      <c r="C1073" s="16">
        <f>HYPERLINK("https://eosportal.federatedhermes.com/companies/Q29tcGFueQppNzU5MzI=", "Orsted AS")</f>
      </c>
      <c r="D1073" s="0" t="s">
        <v>25</v>
      </c>
      <c r="E1073" s="0" t="s">
        <v>3234</v>
      </c>
      <c r="F1073" s="16">
        <f>HYPERLINK("https://eosportal.federatedhermes.com/engagements/RW5nYWdlbWVudAppMjQ3ODk=", "Social Licence to Operate in New Markets")</f>
      </c>
      <c r="G1073" s="14" t="s">
        <v>3235</v>
      </c>
      <c r="H1073" s="0" t="s">
        <v>130</v>
      </c>
      <c r="I1073" s="14" t="s">
        <v>131</v>
      </c>
      <c r="J1073" s="0" t="s">
        <v>153</v>
      </c>
      <c r="K1073" s="0" t="s">
        <v>243</v>
      </c>
      <c r="L1073" s="0" t="s">
        <v>571</v>
      </c>
      <c r="M1073" s="0" t="s">
        <v>378</v>
      </c>
      <c r="N1073" s="0" t="s">
        <v>1339</v>
      </c>
      <c r="O1073" s="0" t="s">
        <v>192</v>
      </c>
      <c r="Q1073" s="0" t="s">
        <v>130</v>
      </c>
      <c r="R1073" s="0" t="s">
        <v>138</v>
      </c>
      <c r="S1073" s="14">
        <v>0</v>
      </c>
      <c r="T1073" s="0" t="s">
        <v>239</v>
      </c>
      <c r="U1073" s="0" t="s">
        <v>138</v>
      </c>
      <c r="V1073" s="14" t="s">
        <v>138</v>
      </c>
      <c r="W1073" s="0" t="s">
        <v>138</v>
      </c>
      <c r="X1073" s="14" t="s">
        <v>138</v>
      </c>
      <c r="Y1073" s="0" t="s">
        <v>138</v>
      </c>
      <c r="Z1073" s="14" t="s">
        <v>138</v>
      </c>
      <c r="AA1073" s="0" t="s">
        <v>138</v>
      </c>
      <c r="AB1073" s="14" t="s">
        <v>138</v>
      </c>
      <c r="AD1073" s="0" t="s">
        <v>138</v>
      </c>
      <c r="AF1073" s="0">
        <v>0</v>
      </c>
      <c r="AG1073" s="0">
        <v>0</v>
      </c>
      <c r="AH1073" s="0" t="s">
        <v>140</v>
      </c>
      <c r="AI1073" s="0" t="s">
        <v>138</v>
      </c>
      <c r="AL1073" s="14"/>
      <c r="AN1073" s="14"/>
      <c r="AQ1073" s="0" t="s">
        <v>130</v>
      </c>
      <c r="AR1073" s="0" t="s">
        <v>130</v>
      </c>
      <c r="AS1073" s="0" t="s">
        <v>130</v>
      </c>
      <c r="AT1073" s="0" t="s">
        <v>130</v>
      </c>
      <c r="AU1073" s="0" t="s">
        <v>130</v>
      </c>
      <c r="AV1073" s="0" t="s">
        <v>130</v>
      </c>
      <c r="AW1073" s="0" t="s">
        <v>130</v>
      </c>
      <c r="AX1073" s="0" t="s">
        <v>130</v>
      </c>
      <c r="AY1073" s="0" t="s">
        <v>130</v>
      </c>
      <c r="AZ1073" s="0" t="s">
        <v>130</v>
      </c>
      <c r="BA1073" s="0" t="s">
        <v>130</v>
      </c>
      <c r="BB1073" s="0" t="s">
        <v>130</v>
      </c>
      <c r="BC1073" s="0" t="s">
        <v>130</v>
      </c>
      <c r="BD1073" s="0" t="s">
        <v>130</v>
      </c>
      <c r="BE1073" s="0" t="s">
        <v>130</v>
      </c>
      <c r="BF1073" s="0" t="s">
        <v>141</v>
      </c>
      <c r="BG1073" s="0" t="s">
        <v>130</v>
      </c>
      <c r="BH1073" s="0" t="s">
        <v>130</v>
      </c>
      <c r="BI1073" s="0" t="s">
        <v>130</v>
      </c>
      <c r="BJ1073" s="0" t="s">
        <v>130</v>
      </c>
      <c r="BK1073" s="0" t="s">
        <v>130</v>
      </c>
      <c r="BL1073" s="0" t="s">
        <v>130</v>
      </c>
      <c r="BM1073" s="0" t="s">
        <v>130</v>
      </c>
      <c r="BN1073" s="0" t="s">
        <v>130</v>
      </c>
      <c r="BO1073" s="0" t="s">
        <v>130</v>
      </c>
      <c r="BP1073" s="0" t="s">
        <v>130</v>
      </c>
      <c r="BQ1073" s="0" t="s">
        <v>130</v>
      </c>
      <c r="BR1073" s="0" t="s">
        <v>130</v>
      </c>
      <c r="BS1073" s="0" t="s">
        <v>130</v>
      </c>
      <c r="BT1073" s="0" t="s">
        <v>130</v>
      </c>
      <c r="BU1073" s="0" t="s">
        <v>130</v>
      </c>
      <c r="BV1073" s="0" t="s">
        <v>130</v>
      </c>
      <c r="BW1073" s="0" t="s">
        <v>130</v>
      </c>
      <c r="BX1073" s="0" t="s">
        <v>130</v>
      </c>
      <c r="BY1073" s="0" t="s">
        <v>130</v>
      </c>
      <c r="BZ1073" s="0" t="s">
        <v>130</v>
      </c>
      <c r="CA1073" s="0" t="s">
        <v>130</v>
      </c>
      <c r="CB1073" s="0" t="s">
        <v>130</v>
      </c>
      <c r="CC1073" s="0" t="s">
        <v>130</v>
      </c>
      <c r="CD1073" s="0" t="s">
        <v>130</v>
      </c>
      <c r="CE1073" s="0" t="s">
        <v>130</v>
      </c>
      <c r="CF1073" s="0" t="s">
        <v>130</v>
      </c>
      <c r="CG1073" s="0" t="s">
        <v>130</v>
      </c>
      <c r="CH1073" s="0" t="s">
        <v>130</v>
      </c>
      <c r="CI1073" s="0" t="s">
        <v>130</v>
      </c>
      <c r="CJ1073" s="0" t="s">
        <v>130</v>
      </c>
      <c r="CK1073" s="0" t="s">
        <v>130</v>
      </c>
      <c r="CL1073" s="0" t="s">
        <v>130</v>
      </c>
      <c r="CM1073" s="0" t="s">
        <v>130</v>
      </c>
      <c r="CN1073" s="0" t="s">
        <v>130</v>
      </c>
      <c r="CO1073" s="0" t="s">
        <v>130</v>
      </c>
      <c r="CP1073" s="0" t="s">
        <v>130</v>
      </c>
      <c r="CQ1073" s="0" t="s">
        <v>130</v>
      </c>
      <c r="CR1073" s="0" t="s">
        <v>130</v>
      </c>
      <c r="CS1073" s="0" t="s">
        <v>130</v>
      </c>
      <c r="CT1073" s="0" t="s">
        <v>3236</v>
      </c>
    </row>
    <row r="1074">
      <c r="A1074" s="14">
        <v>183932</v>
      </c>
      <c r="B1074" s="0" t="s">
        <v>3222</v>
      </c>
      <c r="C1074" s="16">
        <f>HYPERLINK("https://eosportal.federatedhermes.com/companies/Q29tcGFueQppNzU5MzI=", "Orsted AS")</f>
      </c>
      <c r="D1074" s="0" t="s">
        <v>25</v>
      </c>
      <c r="E1074" s="0" t="s">
        <v>3237</v>
      </c>
      <c r="F1074" s="16">
        <f>HYPERLINK("https://eosportal.federatedhermes.com/engagements/RW5nYWdlbWVudAppMjQ3OTA=", "Contractor Labour Safety Performance")</f>
      </c>
      <c r="G1074" s="14" t="s">
        <v>3238</v>
      </c>
      <c r="H1074" s="0" t="s">
        <v>130</v>
      </c>
      <c r="I1074" s="14" t="s">
        <v>131</v>
      </c>
      <c r="J1074" s="0" t="s">
        <v>153</v>
      </c>
      <c r="K1074" s="0" t="s">
        <v>154</v>
      </c>
      <c r="L1074" s="0" t="s">
        <v>306</v>
      </c>
      <c r="M1074" s="0" t="s">
        <v>378</v>
      </c>
      <c r="N1074" s="0" t="s">
        <v>1339</v>
      </c>
      <c r="O1074" s="0" t="s">
        <v>192</v>
      </c>
      <c r="Q1074" s="0" t="s">
        <v>130</v>
      </c>
      <c r="R1074" s="0" t="s">
        <v>138</v>
      </c>
      <c r="S1074" s="14">
        <v>0</v>
      </c>
      <c r="T1074" s="0" t="s">
        <v>239</v>
      </c>
      <c r="U1074" s="0" t="s">
        <v>138</v>
      </c>
      <c r="V1074" s="14" t="s">
        <v>138</v>
      </c>
      <c r="W1074" s="0" t="s">
        <v>138</v>
      </c>
      <c r="X1074" s="14" t="s">
        <v>138</v>
      </c>
      <c r="Y1074" s="0" t="s">
        <v>138</v>
      </c>
      <c r="Z1074" s="14" t="s">
        <v>138</v>
      </c>
      <c r="AA1074" s="0" t="s">
        <v>138</v>
      </c>
      <c r="AB1074" s="14" t="s">
        <v>138</v>
      </c>
      <c r="AD1074" s="0" t="s">
        <v>138</v>
      </c>
      <c r="AF1074" s="0">
        <v>0</v>
      </c>
      <c r="AG1074" s="0">
        <v>0</v>
      </c>
      <c r="AH1074" s="0" t="s">
        <v>140</v>
      </c>
      <c r="AI1074" s="0" t="s">
        <v>138</v>
      </c>
      <c r="AL1074" s="14"/>
      <c r="AN1074" s="14"/>
      <c r="AQ1074" s="0" t="s">
        <v>130</v>
      </c>
      <c r="AR1074" s="0" t="s">
        <v>130</v>
      </c>
      <c r="AS1074" s="0" t="s">
        <v>130</v>
      </c>
      <c r="AT1074" s="0" t="s">
        <v>130</v>
      </c>
      <c r="AU1074" s="0" t="s">
        <v>130</v>
      </c>
      <c r="AV1074" s="0" t="s">
        <v>130</v>
      </c>
      <c r="AW1074" s="0" t="s">
        <v>130</v>
      </c>
      <c r="AX1074" s="0" t="s">
        <v>141</v>
      </c>
      <c r="AY1074" s="0" t="s">
        <v>130</v>
      </c>
      <c r="AZ1074" s="0" t="s">
        <v>130</v>
      </c>
      <c r="BA1074" s="0" t="s">
        <v>130</v>
      </c>
      <c r="BB1074" s="0" t="s">
        <v>130</v>
      </c>
      <c r="BC1074" s="0" t="s">
        <v>130</v>
      </c>
      <c r="BD1074" s="0" t="s">
        <v>130</v>
      </c>
      <c r="BE1074" s="0" t="s">
        <v>130</v>
      </c>
      <c r="BF1074" s="0" t="s">
        <v>130</v>
      </c>
      <c r="BG1074" s="0" t="s">
        <v>130</v>
      </c>
      <c r="BH1074" s="0" t="s">
        <v>130</v>
      </c>
      <c r="BI1074" s="0" t="s">
        <v>130</v>
      </c>
      <c r="BJ1074" s="0" t="s">
        <v>130</v>
      </c>
      <c r="BK1074" s="0" t="s">
        <v>130</v>
      </c>
      <c r="BL1074" s="0" t="s">
        <v>130</v>
      </c>
      <c r="BM1074" s="0" t="s">
        <v>130</v>
      </c>
      <c r="BN1074" s="0" t="s">
        <v>130</v>
      </c>
      <c r="BO1074" s="0" t="s">
        <v>130</v>
      </c>
      <c r="BP1074" s="0" t="s">
        <v>130</v>
      </c>
      <c r="BQ1074" s="0" t="s">
        <v>130</v>
      </c>
      <c r="BR1074" s="0" t="s">
        <v>130</v>
      </c>
      <c r="BS1074" s="0" t="s">
        <v>130</v>
      </c>
      <c r="BT1074" s="0" t="s">
        <v>130</v>
      </c>
      <c r="BU1074" s="0" t="s">
        <v>130</v>
      </c>
      <c r="BV1074" s="0" t="s">
        <v>130</v>
      </c>
      <c r="BW1074" s="0" t="s">
        <v>130</v>
      </c>
      <c r="BX1074" s="0" t="s">
        <v>130</v>
      </c>
      <c r="BY1074" s="0" t="s">
        <v>130</v>
      </c>
      <c r="BZ1074" s="0" t="s">
        <v>130</v>
      </c>
      <c r="CA1074" s="0" t="s">
        <v>130</v>
      </c>
      <c r="CB1074" s="0" t="s">
        <v>130</v>
      </c>
      <c r="CC1074" s="0" t="s">
        <v>130</v>
      </c>
      <c r="CD1074" s="0" t="s">
        <v>130</v>
      </c>
      <c r="CE1074" s="0" t="s">
        <v>130</v>
      </c>
      <c r="CF1074" s="0" t="s">
        <v>130</v>
      </c>
      <c r="CG1074" s="0" t="s">
        <v>130</v>
      </c>
      <c r="CH1074" s="0" t="s">
        <v>130</v>
      </c>
      <c r="CI1074" s="0" t="s">
        <v>130</v>
      </c>
      <c r="CJ1074" s="0" t="s">
        <v>130</v>
      </c>
      <c r="CK1074" s="0" t="s">
        <v>130</v>
      </c>
      <c r="CL1074" s="0" t="s">
        <v>130</v>
      </c>
      <c r="CM1074" s="0" t="s">
        <v>130</v>
      </c>
      <c r="CN1074" s="0" t="s">
        <v>130</v>
      </c>
      <c r="CO1074" s="0" t="s">
        <v>130</v>
      </c>
      <c r="CP1074" s="0" t="s">
        <v>130</v>
      </c>
      <c r="CQ1074" s="0" t="s">
        <v>130</v>
      </c>
      <c r="CR1074" s="0" t="s">
        <v>130</v>
      </c>
      <c r="CS1074" s="0" t="s">
        <v>130</v>
      </c>
      <c r="CT1074" s="0" t="s">
        <v>3239</v>
      </c>
    </row>
    <row r="1075">
      <c r="A1075" s="14">
        <v>183932</v>
      </c>
      <c r="B1075" s="0" t="s">
        <v>3222</v>
      </c>
      <c r="C1075" s="16">
        <f>HYPERLINK("https://eosportal.federatedhermes.com/companies/Q29tcGFueQppNzU5MzI=", "Orsted AS")</f>
      </c>
      <c r="D1075" s="0" t="s">
        <v>25</v>
      </c>
      <c r="E1075" s="0" t="s">
        <v>3240</v>
      </c>
      <c r="F1075" s="16">
        <f>HYPERLINK("https://eosportal.federatedhermes.com/engagements/RW5nYWdlbWVudAppMjQ3OTE=", "Energy transition")</f>
      </c>
      <c r="G1075" s="14" t="s">
        <v>3241</v>
      </c>
      <c r="H1075" s="0" t="s">
        <v>130</v>
      </c>
      <c r="I1075" s="14" t="s">
        <v>131</v>
      </c>
      <c r="J1075" s="0" t="s">
        <v>197</v>
      </c>
      <c r="K1075" s="0" t="s">
        <v>198</v>
      </c>
      <c r="L1075" s="0" t="s">
        <v>216</v>
      </c>
      <c r="M1075" s="0" t="s">
        <v>378</v>
      </c>
      <c r="N1075" s="0" t="s">
        <v>1339</v>
      </c>
      <c r="O1075" s="0" t="s">
        <v>192</v>
      </c>
      <c r="Q1075" s="0" t="s">
        <v>141</v>
      </c>
      <c r="R1075" s="0" t="s">
        <v>138</v>
      </c>
      <c r="S1075" s="14">
        <v>1</v>
      </c>
      <c r="T1075" s="0" t="s">
        <v>333</v>
      </c>
      <c r="U1075" s="0" t="s">
        <v>138</v>
      </c>
      <c r="V1075" s="14" t="s">
        <v>138</v>
      </c>
      <c r="W1075" s="0" t="s">
        <v>138</v>
      </c>
      <c r="X1075" s="14" t="s">
        <v>138</v>
      </c>
      <c r="Y1075" s="0" t="s">
        <v>138</v>
      </c>
      <c r="Z1075" s="14" t="s">
        <v>138</v>
      </c>
      <c r="AA1075" s="0" t="s">
        <v>138</v>
      </c>
      <c r="AB1075" s="14" t="s">
        <v>138</v>
      </c>
      <c r="AD1075" s="0" t="s">
        <v>138</v>
      </c>
      <c r="AF1075" s="0">
        <v>0</v>
      </c>
      <c r="AG1075" s="0">
        <v>0</v>
      </c>
      <c r="AH1075" s="0" t="s">
        <v>140</v>
      </c>
      <c r="AI1075" s="0" t="s">
        <v>138</v>
      </c>
      <c r="AK1075" s="0" t="s">
        <v>3207</v>
      </c>
      <c r="AL1075" s="14"/>
      <c r="AN1075" s="14"/>
      <c r="AQ1075" s="0" t="s">
        <v>130</v>
      </c>
      <c r="AR1075" s="0" t="s">
        <v>130</v>
      </c>
      <c r="AS1075" s="0" t="s">
        <v>130</v>
      </c>
      <c r="AT1075" s="0" t="s">
        <v>130</v>
      </c>
      <c r="AU1075" s="0" t="s">
        <v>130</v>
      </c>
      <c r="AV1075" s="0" t="s">
        <v>130</v>
      </c>
      <c r="AW1075" s="0" t="s">
        <v>141</v>
      </c>
      <c r="AX1075" s="0" t="s">
        <v>130</v>
      </c>
      <c r="AY1075" s="0" t="s">
        <v>141</v>
      </c>
      <c r="AZ1075" s="0" t="s">
        <v>130</v>
      </c>
      <c r="BA1075" s="0" t="s">
        <v>130</v>
      </c>
      <c r="BB1075" s="0" t="s">
        <v>130</v>
      </c>
      <c r="BC1075" s="0" t="s">
        <v>141</v>
      </c>
      <c r="BD1075" s="0" t="s">
        <v>130</v>
      </c>
      <c r="BE1075" s="0" t="s">
        <v>130</v>
      </c>
      <c r="BF1075" s="0" t="s">
        <v>130</v>
      </c>
      <c r="BG1075" s="0" t="s">
        <v>130</v>
      </c>
      <c r="BH1075" s="0" t="s">
        <v>141</v>
      </c>
      <c r="BI1075" s="0" t="s">
        <v>141</v>
      </c>
      <c r="BJ1075" s="0" t="s">
        <v>141</v>
      </c>
      <c r="BK1075" s="0" t="s">
        <v>130</v>
      </c>
      <c r="BL1075" s="0" t="s">
        <v>130</v>
      </c>
      <c r="BM1075" s="0" t="s">
        <v>130</v>
      </c>
      <c r="BN1075" s="0" t="s">
        <v>130</v>
      </c>
      <c r="BO1075" s="0" t="s">
        <v>130</v>
      </c>
      <c r="BP1075" s="0" t="s">
        <v>130</v>
      </c>
      <c r="BQ1075" s="0" t="s">
        <v>130</v>
      </c>
      <c r="BR1075" s="0" t="s">
        <v>130</v>
      </c>
      <c r="BS1075" s="0" t="s">
        <v>130</v>
      </c>
      <c r="BT1075" s="0" t="s">
        <v>130</v>
      </c>
      <c r="BU1075" s="0" t="s">
        <v>130</v>
      </c>
      <c r="BV1075" s="0" t="s">
        <v>141</v>
      </c>
      <c r="BW1075" s="0" t="s">
        <v>141</v>
      </c>
      <c r="BX1075" s="0" t="s">
        <v>130</v>
      </c>
      <c r="BY1075" s="0" t="s">
        <v>130</v>
      </c>
      <c r="BZ1075" s="0" t="s">
        <v>130</v>
      </c>
      <c r="CA1075" s="0" t="s">
        <v>130</v>
      </c>
      <c r="CB1075" s="0" t="s">
        <v>130</v>
      </c>
      <c r="CC1075" s="0" t="s">
        <v>130</v>
      </c>
      <c r="CD1075" s="0" t="s">
        <v>130</v>
      </c>
      <c r="CE1075" s="0" t="s">
        <v>130</v>
      </c>
      <c r="CF1075" s="0" t="s">
        <v>130</v>
      </c>
      <c r="CG1075" s="0" t="s">
        <v>130</v>
      </c>
      <c r="CH1075" s="0" t="s">
        <v>130</v>
      </c>
      <c r="CI1075" s="0" t="s">
        <v>130</v>
      </c>
      <c r="CJ1075" s="0" t="s">
        <v>130</v>
      </c>
      <c r="CK1075" s="0" t="s">
        <v>130</v>
      </c>
      <c r="CL1075" s="0" t="s">
        <v>130</v>
      </c>
      <c r="CM1075" s="0" t="s">
        <v>130</v>
      </c>
      <c r="CN1075" s="0" t="s">
        <v>130</v>
      </c>
      <c r="CO1075" s="0" t="s">
        <v>130</v>
      </c>
      <c r="CP1075" s="0" t="s">
        <v>130</v>
      </c>
      <c r="CQ1075" s="0" t="s">
        <v>130</v>
      </c>
      <c r="CR1075" s="0" t="s">
        <v>130</v>
      </c>
      <c r="CS1075" s="0" t="s">
        <v>130</v>
      </c>
      <c r="CT1075" s="0" t="s">
        <v>3242</v>
      </c>
    </row>
    <row r="1076">
      <c r="A1076" s="14">
        <v>183932</v>
      </c>
      <c r="B1076" s="0" t="s">
        <v>3222</v>
      </c>
      <c r="C1076" s="16">
        <f>HYPERLINK("https://eosportal.federatedhermes.com/companies/Q29tcGFueQppNzU5MzI=", "Orsted AS")</f>
      </c>
      <c r="D1076" s="0" t="s">
        <v>25</v>
      </c>
      <c r="E1076" s="0" t="s">
        <v>236</v>
      </c>
      <c r="F1076" s="16">
        <f>HYPERLINK("https://eosportal.federatedhermes.com/engagements/RW5nYWdlbWVudAppMjQ3OTI=", "Executive pay")</f>
      </c>
      <c r="G1076" s="14" t="s">
        <v>3243</v>
      </c>
      <c r="H1076" s="0" t="s">
        <v>130</v>
      </c>
      <c r="I1076" s="14" t="s">
        <v>131</v>
      </c>
      <c r="J1076" s="0" t="s">
        <v>145</v>
      </c>
      <c r="K1076" s="0" t="s">
        <v>146</v>
      </c>
      <c r="L1076" s="0" t="s">
        <v>500</v>
      </c>
      <c r="M1076" s="0" t="s">
        <v>378</v>
      </c>
      <c r="N1076" s="0" t="s">
        <v>1339</v>
      </c>
      <c r="O1076" s="0" t="s">
        <v>192</v>
      </c>
      <c r="Q1076" s="0" t="s">
        <v>141</v>
      </c>
      <c r="R1076" s="0" t="s">
        <v>138</v>
      </c>
      <c r="S1076" s="14">
        <v>1</v>
      </c>
      <c r="T1076" s="0" t="s">
        <v>206</v>
      </c>
      <c r="U1076" s="0" t="s">
        <v>138</v>
      </c>
      <c r="V1076" s="14" t="s">
        <v>138</v>
      </c>
      <c r="W1076" s="0" t="s">
        <v>138</v>
      </c>
      <c r="X1076" s="14" t="s">
        <v>138</v>
      </c>
      <c r="Y1076" s="0" t="s">
        <v>138</v>
      </c>
      <c r="Z1076" s="14" t="s">
        <v>138</v>
      </c>
      <c r="AA1076" s="0" t="s">
        <v>138</v>
      </c>
      <c r="AB1076" s="14" t="s">
        <v>138</v>
      </c>
      <c r="AD1076" s="0" t="s">
        <v>138</v>
      </c>
      <c r="AF1076" s="0">
        <v>0</v>
      </c>
      <c r="AG1076" s="0">
        <v>0</v>
      </c>
      <c r="AH1076" s="0" t="s">
        <v>140</v>
      </c>
      <c r="AI1076" s="0" t="s">
        <v>138</v>
      </c>
      <c r="AK1076" s="0" t="s">
        <v>3207</v>
      </c>
      <c r="AL1076" s="14"/>
      <c r="AN1076" s="14"/>
      <c r="AQ1076" s="0" t="s">
        <v>130</v>
      </c>
      <c r="AR1076" s="0" t="s">
        <v>130</v>
      </c>
      <c r="AS1076" s="0" t="s">
        <v>130</v>
      </c>
      <c r="AT1076" s="0" t="s">
        <v>130</v>
      </c>
      <c r="AU1076" s="0" t="s">
        <v>130</v>
      </c>
      <c r="AV1076" s="0" t="s">
        <v>130</v>
      </c>
      <c r="AW1076" s="0" t="s">
        <v>130</v>
      </c>
      <c r="AX1076" s="0" t="s">
        <v>130</v>
      </c>
      <c r="AY1076" s="0" t="s">
        <v>130</v>
      </c>
      <c r="AZ1076" s="0" t="s">
        <v>130</v>
      </c>
      <c r="BA1076" s="0" t="s">
        <v>130</v>
      </c>
      <c r="BB1076" s="0" t="s">
        <v>130</v>
      </c>
      <c r="BC1076" s="0" t="s">
        <v>130</v>
      </c>
      <c r="BD1076" s="0" t="s">
        <v>130</v>
      </c>
      <c r="BE1076" s="0" t="s">
        <v>130</v>
      </c>
      <c r="BF1076" s="0" t="s">
        <v>130</v>
      </c>
      <c r="BG1076" s="0" t="s">
        <v>130</v>
      </c>
      <c r="BH1076" s="0" t="s">
        <v>130</v>
      </c>
      <c r="BI1076" s="0" t="s">
        <v>130</v>
      </c>
      <c r="BJ1076" s="0" t="s">
        <v>130</v>
      </c>
      <c r="BK1076" s="0" t="s">
        <v>130</v>
      </c>
      <c r="BL1076" s="0" t="s">
        <v>130</v>
      </c>
      <c r="BM1076" s="0" t="s">
        <v>130</v>
      </c>
      <c r="BN1076" s="0" t="s">
        <v>130</v>
      </c>
      <c r="BO1076" s="0" t="s">
        <v>130</v>
      </c>
      <c r="BP1076" s="0" t="s">
        <v>130</v>
      </c>
      <c r="BQ1076" s="0" t="s">
        <v>130</v>
      </c>
      <c r="BR1076" s="0" t="s">
        <v>130</v>
      </c>
      <c r="BS1076" s="0" t="s">
        <v>130</v>
      </c>
      <c r="BT1076" s="0" t="s">
        <v>130</v>
      </c>
      <c r="BU1076" s="0" t="s">
        <v>130</v>
      </c>
      <c r="BV1076" s="0" t="s">
        <v>130</v>
      </c>
      <c r="BW1076" s="0" t="s">
        <v>130</v>
      </c>
      <c r="BX1076" s="0" t="s">
        <v>130</v>
      </c>
      <c r="BY1076" s="0" t="s">
        <v>130</v>
      </c>
      <c r="BZ1076" s="0" t="s">
        <v>130</v>
      </c>
      <c r="CA1076" s="0" t="s">
        <v>130</v>
      </c>
      <c r="CB1076" s="0" t="s">
        <v>130</v>
      </c>
      <c r="CC1076" s="0" t="s">
        <v>130</v>
      </c>
      <c r="CD1076" s="0" t="s">
        <v>130</v>
      </c>
      <c r="CE1076" s="0" t="s">
        <v>130</v>
      </c>
      <c r="CF1076" s="0" t="s">
        <v>130</v>
      </c>
      <c r="CG1076" s="0" t="s">
        <v>130</v>
      </c>
      <c r="CH1076" s="0" t="s">
        <v>130</v>
      </c>
      <c r="CI1076" s="0" t="s">
        <v>130</v>
      </c>
      <c r="CJ1076" s="0" t="s">
        <v>130</v>
      </c>
      <c r="CK1076" s="0" t="s">
        <v>130</v>
      </c>
      <c r="CL1076" s="0" t="s">
        <v>130</v>
      </c>
      <c r="CM1076" s="0" t="s">
        <v>130</v>
      </c>
      <c r="CN1076" s="0" t="s">
        <v>130</v>
      </c>
      <c r="CO1076" s="0" t="s">
        <v>130</v>
      </c>
      <c r="CP1076" s="0" t="s">
        <v>130</v>
      </c>
      <c r="CQ1076" s="0" t="s">
        <v>130</v>
      </c>
      <c r="CR1076" s="0" t="s">
        <v>130</v>
      </c>
      <c r="CS1076" s="0" t="s">
        <v>130</v>
      </c>
      <c r="CT1076" s="0" t="s">
        <v>3244</v>
      </c>
    </row>
    <row r="1077">
      <c r="A1077" s="14">
        <v>183932</v>
      </c>
      <c r="B1077" s="0" t="s">
        <v>3222</v>
      </c>
      <c r="C1077" s="16">
        <f>HYPERLINK("https://eosportal.federatedhermes.com/companies/Q29tcGFueQppNzU5MzI=", "Orsted AS")</f>
      </c>
      <c r="D1077" s="0" t="s">
        <v>25</v>
      </c>
      <c r="E1077" s="0" t="s">
        <v>922</v>
      </c>
      <c r="F1077" s="16">
        <f>HYPERLINK("https://eosportal.federatedhermes.com/engagements/RW5nYWdlbWVudAppMjQ3OTM=", "Human rights")</f>
      </c>
      <c r="G1077" s="14" t="s">
        <v>3245</v>
      </c>
      <c r="H1077" s="0" t="s">
        <v>130</v>
      </c>
      <c r="I1077" s="14" t="s">
        <v>131</v>
      </c>
      <c r="J1077" s="0" t="s">
        <v>153</v>
      </c>
      <c r="K1077" s="0" t="s">
        <v>243</v>
      </c>
      <c r="L1077" s="0" t="s">
        <v>244</v>
      </c>
      <c r="M1077" s="0" t="s">
        <v>378</v>
      </c>
      <c r="N1077" s="0" t="s">
        <v>1339</v>
      </c>
      <c r="O1077" s="0" t="s">
        <v>192</v>
      </c>
      <c r="Q1077" s="0" t="s">
        <v>130</v>
      </c>
      <c r="R1077" s="0" t="s">
        <v>138</v>
      </c>
      <c r="S1077" s="14">
        <v>0</v>
      </c>
      <c r="T1077" s="0" t="s">
        <v>206</v>
      </c>
      <c r="U1077" s="0" t="s">
        <v>138</v>
      </c>
      <c r="V1077" s="14" t="s">
        <v>138</v>
      </c>
      <c r="W1077" s="0" t="s">
        <v>138</v>
      </c>
      <c r="X1077" s="14" t="s">
        <v>138</v>
      </c>
      <c r="Y1077" s="0" t="s">
        <v>138</v>
      </c>
      <c r="Z1077" s="14" t="s">
        <v>138</v>
      </c>
      <c r="AA1077" s="0" t="s">
        <v>138</v>
      </c>
      <c r="AB1077" s="14" t="s">
        <v>138</v>
      </c>
      <c r="AD1077" s="0" t="s">
        <v>138</v>
      </c>
      <c r="AF1077" s="0">
        <v>0</v>
      </c>
      <c r="AG1077" s="0">
        <v>0</v>
      </c>
      <c r="AH1077" s="0" t="s">
        <v>140</v>
      </c>
      <c r="AI1077" s="0" t="s">
        <v>138</v>
      </c>
      <c r="AL1077" s="14"/>
      <c r="AN1077" s="14"/>
      <c r="AQ1077" s="0" t="s">
        <v>130</v>
      </c>
      <c r="AR1077" s="0" t="s">
        <v>130</v>
      </c>
      <c r="AS1077" s="0" t="s">
        <v>130</v>
      </c>
      <c r="AT1077" s="0" t="s">
        <v>130</v>
      </c>
      <c r="AU1077" s="0" t="s">
        <v>130</v>
      </c>
      <c r="AV1077" s="0" t="s">
        <v>130</v>
      </c>
      <c r="AW1077" s="0" t="s">
        <v>130</v>
      </c>
      <c r="AX1077" s="0" t="s">
        <v>141</v>
      </c>
      <c r="AY1077" s="0" t="s">
        <v>130</v>
      </c>
      <c r="AZ1077" s="0" t="s">
        <v>130</v>
      </c>
      <c r="BA1077" s="0" t="s">
        <v>130</v>
      </c>
      <c r="BB1077" s="0" t="s">
        <v>130</v>
      </c>
      <c r="BC1077" s="0" t="s">
        <v>130</v>
      </c>
      <c r="BD1077" s="0" t="s">
        <v>130</v>
      </c>
      <c r="BE1077" s="0" t="s">
        <v>130</v>
      </c>
      <c r="BF1077" s="0" t="s">
        <v>130</v>
      </c>
      <c r="BG1077" s="0" t="s">
        <v>130</v>
      </c>
      <c r="BH1077" s="0" t="s">
        <v>130</v>
      </c>
      <c r="BI1077" s="0" t="s">
        <v>130</v>
      </c>
      <c r="BJ1077" s="0" t="s">
        <v>130</v>
      </c>
      <c r="BK1077" s="0" t="s">
        <v>130</v>
      </c>
      <c r="BL1077" s="0" t="s">
        <v>130</v>
      </c>
      <c r="BM1077" s="0" t="s">
        <v>130</v>
      </c>
      <c r="BN1077" s="0" t="s">
        <v>130</v>
      </c>
      <c r="BO1077" s="0" t="s">
        <v>130</v>
      </c>
      <c r="BP1077" s="0" t="s">
        <v>130</v>
      </c>
      <c r="BQ1077" s="0" t="s">
        <v>130</v>
      </c>
      <c r="BR1077" s="0" t="s">
        <v>130</v>
      </c>
      <c r="BS1077" s="0" t="s">
        <v>130</v>
      </c>
      <c r="BT1077" s="0" t="s">
        <v>130</v>
      </c>
      <c r="BU1077" s="0" t="s">
        <v>130</v>
      </c>
      <c r="BV1077" s="0" t="s">
        <v>130</v>
      </c>
      <c r="BW1077" s="0" t="s">
        <v>130</v>
      </c>
      <c r="BX1077" s="0" t="s">
        <v>130</v>
      </c>
      <c r="BY1077" s="0" t="s">
        <v>130</v>
      </c>
      <c r="BZ1077" s="0" t="s">
        <v>130</v>
      </c>
      <c r="CA1077" s="0" t="s">
        <v>130</v>
      </c>
      <c r="CB1077" s="0" t="s">
        <v>130</v>
      </c>
      <c r="CC1077" s="0" t="s">
        <v>130</v>
      </c>
      <c r="CD1077" s="0" t="s">
        <v>130</v>
      </c>
      <c r="CE1077" s="0" t="s">
        <v>130</v>
      </c>
      <c r="CF1077" s="0" t="s">
        <v>130</v>
      </c>
      <c r="CG1077" s="0" t="s">
        <v>130</v>
      </c>
      <c r="CH1077" s="0" t="s">
        <v>130</v>
      </c>
      <c r="CI1077" s="0" t="s">
        <v>130</v>
      </c>
      <c r="CJ1077" s="0" t="s">
        <v>130</v>
      </c>
      <c r="CK1077" s="0" t="s">
        <v>130</v>
      </c>
      <c r="CL1077" s="0" t="s">
        <v>130</v>
      </c>
      <c r="CM1077" s="0" t="s">
        <v>130</v>
      </c>
      <c r="CN1077" s="0" t="s">
        <v>130</v>
      </c>
      <c r="CO1077" s="0" t="s">
        <v>130</v>
      </c>
      <c r="CP1077" s="0" t="s">
        <v>130</v>
      </c>
      <c r="CQ1077" s="0" t="s">
        <v>130</v>
      </c>
      <c r="CR1077" s="0" t="s">
        <v>130</v>
      </c>
      <c r="CS1077" s="0" t="s">
        <v>130</v>
      </c>
      <c r="CT1077" s="0" t="s">
        <v>3246</v>
      </c>
    </row>
    <row r="1078">
      <c r="A1078" s="14">
        <v>186830</v>
      </c>
      <c r="B1078" s="0" t="s">
        <v>3247</v>
      </c>
      <c r="C1078" s="16">
        <f>HYPERLINK("https://eosportal.federatedhermes.com/companies/Q29tcGFueQppNjc3NTE=", "Banco BTG Pactual SA")</f>
      </c>
      <c r="D1078" s="0" t="s">
        <v>25</v>
      </c>
      <c r="E1078" s="0" t="s">
        <v>3248</v>
      </c>
      <c r="F1078" s="16">
        <f>HYPERLINK("https://eosportal.federatedhermes.com/engagements/RW5nYWdlbWVudAppMjQ4MjQ=", "TCFD-Aligned Reporting")</f>
      </c>
      <c r="G1078" s="14" t="s">
        <v>3249</v>
      </c>
      <c r="H1078" s="0" t="s">
        <v>130</v>
      </c>
      <c r="I1078" s="14" t="s">
        <v>131</v>
      </c>
      <c r="J1078" s="0" t="s">
        <v>197</v>
      </c>
      <c r="K1078" s="0" t="s">
        <v>198</v>
      </c>
      <c r="L1078" s="0" t="s">
        <v>199</v>
      </c>
      <c r="M1078" s="0" t="s">
        <v>2807</v>
      </c>
      <c r="N1078" s="0" t="s">
        <v>3041</v>
      </c>
      <c r="O1078" s="0" t="s">
        <v>238</v>
      </c>
      <c r="Q1078" s="0" t="s">
        <v>130</v>
      </c>
      <c r="R1078" s="0" t="s">
        <v>138</v>
      </c>
      <c r="S1078" s="14">
        <v>0</v>
      </c>
      <c r="T1078" s="0" t="s">
        <v>156</v>
      </c>
      <c r="U1078" s="0" t="s">
        <v>138</v>
      </c>
      <c r="V1078" s="14" t="s">
        <v>138</v>
      </c>
      <c r="W1078" s="0" t="s">
        <v>138</v>
      </c>
      <c r="X1078" s="14" t="s">
        <v>138</v>
      </c>
      <c r="Y1078" s="0" t="s">
        <v>138</v>
      </c>
      <c r="Z1078" s="14" t="s">
        <v>138</v>
      </c>
      <c r="AA1078" s="0" t="s">
        <v>138</v>
      </c>
      <c r="AB1078" s="14" t="s">
        <v>138</v>
      </c>
      <c r="AD1078" s="0" t="s">
        <v>138</v>
      </c>
      <c r="AF1078" s="0">
        <v>0</v>
      </c>
      <c r="AG1078" s="0">
        <v>0</v>
      </c>
      <c r="AH1078" s="0" t="s">
        <v>140</v>
      </c>
      <c r="AI1078" s="0" t="s">
        <v>138</v>
      </c>
      <c r="AL1078" s="14"/>
      <c r="AN1078" s="14"/>
      <c r="AQ1078" s="0" t="s">
        <v>130</v>
      </c>
      <c r="AR1078" s="0" t="s">
        <v>130</v>
      </c>
      <c r="AS1078" s="0" t="s">
        <v>130</v>
      </c>
      <c r="AT1078" s="0" t="s">
        <v>130</v>
      </c>
      <c r="AU1078" s="0" t="s">
        <v>130</v>
      </c>
      <c r="AV1078" s="0" t="s">
        <v>130</v>
      </c>
      <c r="AW1078" s="0" t="s">
        <v>130</v>
      </c>
      <c r="AX1078" s="0" t="s">
        <v>130</v>
      </c>
      <c r="AY1078" s="0" t="s">
        <v>130</v>
      </c>
      <c r="AZ1078" s="0" t="s">
        <v>130</v>
      </c>
      <c r="BA1078" s="0" t="s">
        <v>130</v>
      </c>
      <c r="BB1078" s="0" t="s">
        <v>141</v>
      </c>
      <c r="BC1078" s="0" t="s">
        <v>141</v>
      </c>
      <c r="BD1078" s="0" t="s">
        <v>130</v>
      </c>
      <c r="BE1078" s="0" t="s">
        <v>130</v>
      </c>
      <c r="BF1078" s="0" t="s">
        <v>130</v>
      </c>
      <c r="BG1078" s="0" t="s">
        <v>130</v>
      </c>
      <c r="BH1078" s="0" t="s">
        <v>130</v>
      </c>
      <c r="BI1078" s="0" t="s">
        <v>130</v>
      </c>
      <c r="BJ1078" s="0" t="s">
        <v>130</v>
      </c>
      <c r="BK1078" s="0" t="s">
        <v>130</v>
      </c>
      <c r="BL1078" s="0" t="s">
        <v>130</v>
      </c>
      <c r="BM1078" s="0" t="s">
        <v>130</v>
      </c>
      <c r="BN1078" s="0" t="s">
        <v>130</v>
      </c>
      <c r="BO1078" s="0" t="s">
        <v>130</v>
      </c>
      <c r="BP1078" s="0" t="s">
        <v>130</v>
      </c>
      <c r="BQ1078" s="0" t="s">
        <v>130</v>
      </c>
      <c r="BR1078" s="0" t="s">
        <v>130</v>
      </c>
      <c r="BS1078" s="0" t="s">
        <v>130</v>
      </c>
      <c r="BT1078" s="0" t="s">
        <v>130</v>
      </c>
      <c r="BU1078" s="0" t="s">
        <v>130</v>
      </c>
      <c r="BV1078" s="0" t="s">
        <v>130</v>
      </c>
      <c r="BW1078" s="0" t="s">
        <v>130</v>
      </c>
      <c r="BX1078" s="0" t="s">
        <v>130</v>
      </c>
      <c r="BY1078" s="0" t="s">
        <v>130</v>
      </c>
      <c r="BZ1078" s="0" t="s">
        <v>130</v>
      </c>
      <c r="CA1078" s="0" t="s">
        <v>130</v>
      </c>
      <c r="CB1078" s="0" t="s">
        <v>130</v>
      </c>
      <c r="CC1078" s="0" t="s">
        <v>130</v>
      </c>
      <c r="CD1078" s="0" t="s">
        <v>130</v>
      </c>
      <c r="CE1078" s="0" t="s">
        <v>130</v>
      </c>
      <c r="CF1078" s="0" t="s">
        <v>130</v>
      </c>
      <c r="CG1078" s="0" t="s">
        <v>130</v>
      </c>
      <c r="CH1078" s="0" t="s">
        <v>130</v>
      </c>
      <c r="CI1078" s="0" t="s">
        <v>130</v>
      </c>
      <c r="CJ1078" s="0" t="s">
        <v>130</v>
      </c>
      <c r="CK1078" s="0" t="s">
        <v>130</v>
      </c>
      <c r="CL1078" s="0" t="s">
        <v>130</v>
      </c>
      <c r="CM1078" s="0" t="s">
        <v>130</v>
      </c>
      <c r="CN1078" s="0" t="s">
        <v>130</v>
      </c>
      <c r="CO1078" s="0" t="s">
        <v>130</v>
      </c>
      <c r="CP1078" s="0" t="s">
        <v>130</v>
      </c>
      <c r="CQ1078" s="0" t="s">
        <v>130</v>
      </c>
      <c r="CR1078" s="0" t="s">
        <v>130</v>
      </c>
      <c r="CS1078" s="0" t="s">
        <v>130</v>
      </c>
      <c r="CT1078" s="0" t="s">
        <v>3250</v>
      </c>
    </row>
    <row r="1079">
      <c r="A1079" s="14">
        <v>186830</v>
      </c>
      <c r="B1079" s="0" t="s">
        <v>3247</v>
      </c>
      <c r="C1079" s="16">
        <f>HYPERLINK("https://eosportal.federatedhermes.com/companies/Q29tcGFueQppNjc3NTE=", "Banco BTG Pactual SA")</f>
      </c>
      <c r="D1079" s="0" t="s">
        <v>25</v>
      </c>
      <c r="E1079" s="0" t="s">
        <v>3251</v>
      </c>
      <c r="F1079" s="16">
        <f>HYPERLINK("https://eosportal.federatedhermes.com/engagements/RW5nYWdlbWVudAppMjQ4MjU=", "Poor Board Diversity Performance")</f>
      </c>
      <c r="G1079" s="14" t="s">
        <v>3252</v>
      </c>
      <c r="H1079" s="0" t="s">
        <v>130</v>
      </c>
      <c r="I1079" s="14" t="s">
        <v>131</v>
      </c>
      <c r="J1079" s="0" t="s">
        <v>145</v>
      </c>
      <c r="K1079" s="0" t="s">
        <v>164</v>
      </c>
      <c r="L1079" s="0" t="s">
        <v>165</v>
      </c>
      <c r="M1079" s="0" t="s">
        <v>2807</v>
      </c>
      <c r="N1079" s="0" t="s">
        <v>3041</v>
      </c>
      <c r="O1079" s="0" t="s">
        <v>238</v>
      </c>
      <c r="Q1079" s="0" t="s">
        <v>130</v>
      </c>
      <c r="R1079" s="0" t="s">
        <v>138</v>
      </c>
      <c r="S1079" s="14">
        <v>0</v>
      </c>
      <c r="T1079" s="0" t="s">
        <v>148</v>
      </c>
      <c r="U1079" s="0" t="s">
        <v>138</v>
      </c>
      <c r="V1079" s="14" t="s">
        <v>138</v>
      </c>
      <c r="W1079" s="0" t="s">
        <v>138</v>
      </c>
      <c r="X1079" s="14" t="s">
        <v>138</v>
      </c>
      <c r="Y1079" s="0" t="s">
        <v>138</v>
      </c>
      <c r="Z1079" s="14" t="s">
        <v>138</v>
      </c>
      <c r="AA1079" s="0" t="s">
        <v>138</v>
      </c>
      <c r="AB1079" s="14" t="s">
        <v>138</v>
      </c>
      <c r="AD1079" s="0" t="s">
        <v>138</v>
      </c>
      <c r="AF1079" s="0">
        <v>0</v>
      </c>
      <c r="AG1079" s="0">
        <v>0</v>
      </c>
      <c r="AH1079" s="0" t="s">
        <v>140</v>
      </c>
      <c r="AI1079" s="0" t="s">
        <v>138</v>
      </c>
      <c r="AL1079" s="14"/>
      <c r="AN1079" s="14"/>
      <c r="AQ1079" s="0" t="s">
        <v>130</v>
      </c>
      <c r="AR1079" s="0" t="s">
        <v>130</v>
      </c>
      <c r="AS1079" s="0" t="s">
        <v>130</v>
      </c>
      <c r="AT1079" s="0" t="s">
        <v>130</v>
      </c>
      <c r="AU1079" s="0" t="s">
        <v>141</v>
      </c>
      <c r="AV1079" s="0" t="s">
        <v>130</v>
      </c>
      <c r="AW1079" s="0" t="s">
        <v>130</v>
      </c>
      <c r="AX1079" s="0" t="s">
        <v>130</v>
      </c>
      <c r="AY1079" s="0" t="s">
        <v>130</v>
      </c>
      <c r="AZ1079" s="0" t="s">
        <v>130</v>
      </c>
      <c r="BA1079" s="0" t="s">
        <v>130</v>
      </c>
      <c r="BB1079" s="0" t="s">
        <v>130</v>
      </c>
      <c r="BC1079" s="0" t="s">
        <v>130</v>
      </c>
      <c r="BD1079" s="0" t="s">
        <v>130</v>
      </c>
      <c r="BE1079" s="0" t="s">
        <v>130</v>
      </c>
      <c r="BF1079" s="0" t="s">
        <v>130</v>
      </c>
      <c r="BG1079" s="0" t="s">
        <v>130</v>
      </c>
      <c r="BH1079" s="0" t="s">
        <v>130</v>
      </c>
      <c r="BI1079" s="0" t="s">
        <v>130</v>
      </c>
      <c r="BJ1079" s="0" t="s">
        <v>130</v>
      </c>
      <c r="BK1079" s="0" t="s">
        <v>130</v>
      </c>
      <c r="BL1079" s="0" t="s">
        <v>130</v>
      </c>
      <c r="BM1079" s="0" t="s">
        <v>130</v>
      </c>
      <c r="BN1079" s="0" t="s">
        <v>130</v>
      </c>
      <c r="BO1079" s="0" t="s">
        <v>130</v>
      </c>
      <c r="BP1079" s="0" t="s">
        <v>130</v>
      </c>
      <c r="BQ1079" s="0" t="s">
        <v>130</v>
      </c>
      <c r="BR1079" s="0" t="s">
        <v>130</v>
      </c>
      <c r="BS1079" s="0" t="s">
        <v>130</v>
      </c>
      <c r="BT1079" s="0" t="s">
        <v>130</v>
      </c>
      <c r="BU1079" s="0" t="s">
        <v>130</v>
      </c>
      <c r="BV1079" s="0" t="s">
        <v>130</v>
      </c>
      <c r="BW1079" s="0" t="s">
        <v>130</v>
      </c>
      <c r="BX1079" s="0" t="s">
        <v>130</v>
      </c>
      <c r="BY1079" s="0" t="s">
        <v>130</v>
      </c>
      <c r="BZ1079" s="0" t="s">
        <v>130</v>
      </c>
      <c r="CA1079" s="0" t="s">
        <v>130</v>
      </c>
      <c r="CB1079" s="0" t="s">
        <v>130</v>
      </c>
      <c r="CC1079" s="0" t="s">
        <v>130</v>
      </c>
      <c r="CD1079" s="0" t="s">
        <v>130</v>
      </c>
      <c r="CE1079" s="0" t="s">
        <v>130</v>
      </c>
      <c r="CF1079" s="0" t="s">
        <v>130</v>
      </c>
      <c r="CG1079" s="0" t="s">
        <v>130</v>
      </c>
      <c r="CH1079" s="0" t="s">
        <v>130</v>
      </c>
      <c r="CI1079" s="0" t="s">
        <v>130</v>
      </c>
      <c r="CJ1079" s="0" t="s">
        <v>130</v>
      </c>
      <c r="CK1079" s="0" t="s">
        <v>130</v>
      </c>
      <c r="CL1079" s="0" t="s">
        <v>130</v>
      </c>
      <c r="CM1079" s="0" t="s">
        <v>130</v>
      </c>
      <c r="CN1079" s="0" t="s">
        <v>130</v>
      </c>
      <c r="CO1079" s="0" t="s">
        <v>130</v>
      </c>
      <c r="CP1079" s="0" t="s">
        <v>130</v>
      </c>
      <c r="CQ1079" s="0" t="s">
        <v>130</v>
      </c>
      <c r="CR1079" s="0" t="s">
        <v>130</v>
      </c>
      <c r="CS1079" s="0" t="s">
        <v>130</v>
      </c>
      <c r="CT1079" s="0" t="s">
        <v>3253</v>
      </c>
    </row>
    <row r="1080">
      <c r="A1080" s="14">
        <v>186830</v>
      </c>
      <c r="B1080" s="0" t="s">
        <v>3247</v>
      </c>
      <c r="C1080" s="16">
        <f>HYPERLINK("https://eosportal.federatedhermes.com/companies/Q29tcGFueQppNjc3NTE=", "Banco BTG Pactual SA")</f>
      </c>
      <c r="D1080" s="0" t="s">
        <v>25</v>
      </c>
      <c r="E1080" s="0" t="s">
        <v>3254</v>
      </c>
      <c r="F1080" s="16">
        <f>HYPERLINK("https://eosportal.federatedhermes.com/engagements/RW5nYWdlbWVudAppMjQ4MjY=", "Transparency in Remuneration")</f>
      </c>
      <c r="G1080" s="14" t="s">
        <v>3255</v>
      </c>
      <c r="H1080" s="0" t="s">
        <v>130</v>
      </c>
      <c r="I1080" s="14" t="s">
        <v>131</v>
      </c>
      <c r="J1080" s="0" t="s">
        <v>145</v>
      </c>
      <c r="K1080" s="0" t="s">
        <v>146</v>
      </c>
      <c r="L1080" s="0" t="s">
        <v>147</v>
      </c>
      <c r="M1080" s="0" t="s">
        <v>2807</v>
      </c>
      <c r="N1080" s="0" t="s">
        <v>3041</v>
      </c>
      <c r="O1080" s="0" t="s">
        <v>238</v>
      </c>
      <c r="Q1080" s="0" t="s">
        <v>130</v>
      </c>
      <c r="R1080" s="0" t="s">
        <v>138</v>
      </c>
      <c r="S1080" s="14">
        <v>0</v>
      </c>
      <c r="T1080" s="0" t="s">
        <v>148</v>
      </c>
      <c r="U1080" s="0" t="s">
        <v>138</v>
      </c>
      <c r="V1080" s="14" t="s">
        <v>138</v>
      </c>
      <c r="W1080" s="0" t="s">
        <v>138</v>
      </c>
      <c r="X1080" s="14" t="s">
        <v>138</v>
      </c>
      <c r="Y1080" s="0" t="s">
        <v>138</v>
      </c>
      <c r="Z1080" s="14" t="s">
        <v>138</v>
      </c>
      <c r="AA1080" s="0" t="s">
        <v>138</v>
      </c>
      <c r="AB1080" s="14" t="s">
        <v>138</v>
      </c>
      <c r="AD1080" s="0" t="s">
        <v>138</v>
      </c>
      <c r="AF1080" s="0">
        <v>0</v>
      </c>
      <c r="AG1080" s="0">
        <v>0</v>
      </c>
      <c r="AH1080" s="0" t="s">
        <v>140</v>
      </c>
      <c r="AI1080" s="0" t="s">
        <v>138</v>
      </c>
      <c r="AL1080" s="14"/>
      <c r="AN1080" s="14"/>
      <c r="AQ1080" s="0" t="s">
        <v>130</v>
      </c>
      <c r="AR1080" s="0" t="s">
        <v>130</v>
      </c>
      <c r="AS1080" s="0" t="s">
        <v>130</v>
      </c>
      <c r="AT1080" s="0" t="s">
        <v>130</v>
      </c>
      <c r="AU1080" s="0" t="s">
        <v>130</v>
      </c>
      <c r="AV1080" s="0" t="s">
        <v>130</v>
      </c>
      <c r="AW1080" s="0" t="s">
        <v>130</v>
      </c>
      <c r="AX1080" s="0" t="s">
        <v>130</v>
      </c>
      <c r="AY1080" s="0" t="s">
        <v>130</v>
      </c>
      <c r="AZ1080" s="0" t="s">
        <v>130</v>
      </c>
      <c r="BA1080" s="0" t="s">
        <v>130</v>
      </c>
      <c r="BB1080" s="0" t="s">
        <v>130</v>
      </c>
      <c r="BC1080" s="0" t="s">
        <v>130</v>
      </c>
      <c r="BD1080" s="0" t="s">
        <v>130</v>
      </c>
      <c r="BE1080" s="0" t="s">
        <v>130</v>
      </c>
      <c r="BF1080" s="0" t="s">
        <v>130</v>
      </c>
      <c r="BG1080" s="0" t="s">
        <v>130</v>
      </c>
      <c r="BH1080" s="0" t="s">
        <v>130</v>
      </c>
      <c r="BI1080" s="0" t="s">
        <v>130</v>
      </c>
      <c r="BJ1080" s="0" t="s">
        <v>130</v>
      </c>
      <c r="BK1080" s="0" t="s">
        <v>130</v>
      </c>
      <c r="BL1080" s="0" t="s">
        <v>130</v>
      </c>
      <c r="BM1080" s="0" t="s">
        <v>130</v>
      </c>
      <c r="BN1080" s="0" t="s">
        <v>130</v>
      </c>
      <c r="BO1080" s="0" t="s">
        <v>130</v>
      </c>
      <c r="BP1080" s="0" t="s">
        <v>130</v>
      </c>
      <c r="BQ1080" s="0" t="s">
        <v>130</v>
      </c>
      <c r="BR1080" s="0" t="s">
        <v>130</v>
      </c>
      <c r="BS1080" s="0" t="s">
        <v>130</v>
      </c>
      <c r="BT1080" s="0" t="s">
        <v>130</v>
      </c>
      <c r="BU1080" s="0" t="s">
        <v>130</v>
      </c>
      <c r="BV1080" s="0" t="s">
        <v>130</v>
      </c>
      <c r="BW1080" s="0" t="s">
        <v>130</v>
      </c>
      <c r="BX1080" s="0" t="s">
        <v>130</v>
      </c>
      <c r="BY1080" s="0" t="s">
        <v>130</v>
      </c>
      <c r="BZ1080" s="0" t="s">
        <v>130</v>
      </c>
      <c r="CA1080" s="0" t="s">
        <v>130</v>
      </c>
      <c r="CB1080" s="0" t="s">
        <v>130</v>
      </c>
      <c r="CC1080" s="0" t="s">
        <v>130</v>
      </c>
      <c r="CD1080" s="0" t="s">
        <v>130</v>
      </c>
      <c r="CE1080" s="0" t="s">
        <v>130</v>
      </c>
      <c r="CF1080" s="0" t="s">
        <v>130</v>
      </c>
      <c r="CG1080" s="0" t="s">
        <v>130</v>
      </c>
      <c r="CH1080" s="0" t="s">
        <v>130</v>
      </c>
      <c r="CI1080" s="0" t="s">
        <v>130</v>
      </c>
      <c r="CJ1080" s="0" t="s">
        <v>130</v>
      </c>
      <c r="CK1080" s="0" t="s">
        <v>130</v>
      </c>
      <c r="CL1080" s="0" t="s">
        <v>130</v>
      </c>
      <c r="CM1080" s="0" t="s">
        <v>130</v>
      </c>
      <c r="CN1080" s="0" t="s">
        <v>130</v>
      </c>
      <c r="CO1080" s="0" t="s">
        <v>130</v>
      </c>
      <c r="CP1080" s="0" t="s">
        <v>130</v>
      </c>
      <c r="CQ1080" s="0" t="s">
        <v>130</v>
      </c>
      <c r="CR1080" s="0" t="s">
        <v>130</v>
      </c>
      <c r="CS1080" s="0" t="s">
        <v>130</v>
      </c>
      <c r="CT1080" s="0" t="s">
        <v>3256</v>
      </c>
    </row>
    <row r="1081">
      <c r="A1081" s="14">
        <v>186830</v>
      </c>
      <c r="B1081" s="0" t="s">
        <v>3247</v>
      </c>
      <c r="C1081" s="16">
        <f>HYPERLINK("https://eosportal.federatedhermes.com/companies/Q29tcGFueQppNjc3NTE=", "Banco BTG Pactual SA")</f>
      </c>
      <c r="D1081" s="0" t="s">
        <v>25</v>
      </c>
      <c r="E1081" s="0" t="s">
        <v>3257</v>
      </c>
      <c r="F1081" s="16">
        <f>HYPERLINK("https://eosportal.federatedhermes.com/engagements/RW5nYWdlbWVudAppMjQ4Mjc=", "Insufficient Board Independence")</f>
      </c>
      <c r="G1081" s="14" t="s">
        <v>3258</v>
      </c>
      <c r="H1081" s="0" t="s">
        <v>130</v>
      </c>
      <c r="I1081" s="14" t="s">
        <v>131</v>
      </c>
      <c r="J1081" s="0" t="s">
        <v>145</v>
      </c>
      <c r="K1081" s="0" t="s">
        <v>164</v>
      </c>
      <c r="L1081" s="0" t="s">
        <v>165</v>
      </c>
      <c r="M1081" s="0" t="s">
        <v>2807</v>
      </c>
      <c r="N1081" s="0" t="s">
        <v>3041</v>
      </c>
      <c r="O1081" s="0" t="s">
        <v>238</v>
      </c>
      <c r="Q1081" s="0" t="s">
        <v>130</v>
      </c>
      <c r="R1081" s="0" t="s">
        <v>138</v>
      </c>
      <c r="S1081" s="14">
        <v>0</v>
      </c>
      <c r="T1081" s="0" t="s">
        <v>148</v>
      </c>
      <c r="U1081" s="0" t="s">
        <v>138</v>
      </c>
      <c r="V1081" s="14" t="s">
        <v>138</v>
      </c>
      <c r="W1081" s="0" t="s">
        <v>138</v>
      </c>
      <c r="X1081" s="14" t="s">
        <v>138</v>
      </c>
      <c r="Y1081" s="0" t="s">
        <v>138</v>
      </c>
      <c r="Z1081" s="14" t="s">
        <v>138</v>
      </c>
      <c r="AA1081" s="0" t="s">
        <v>138</v>
      </c>
      <c r="AB1081" s="14" t="s">
        <v>138</v>
      </c>
      <c r="AD1081" s="0" t="s">
        <v>138</v>
      </c>
      <c r="AF1081" s="0">
        <v>0</v>
      </c>
      <c r="AG1081" s="0">
        <v>0</v>
      </c>
      <c r="AH1081" s="0" t="s">
        <v>140</v>
      </c>
      <c r="AI1081" s="0" t="s">
        <v>138</v>
      </c>
      <c r="AL1081" s="14"/>
      <c r="AN1081" s="14"/>
      <c r="AQ1081" s="0" t="s">
        <v>130</v>
      </c>
      <c r="AR1081" s="0" t="s">
        <v>130</v>
      </c>
      <c r="AS1081" s="0" t="s">
        <v>130</v>
      </c>
      <c r="AT1081" s="0" t="s">
        <v>130</v>
      </c>
      <c r="AU1081" s="0" t="s">
        <v>130</v>
      </c>
      <c r="AV1081" s="0" t="s">
        <v>130</v>
      </c>
      <c r="AW1081" s="0" t="s">
        <v>130</v>
      </c>
      <c r="AX1081" s="0" t="s">
        <v>130</v>
      </c>
      <c r="AY1081" s="0" t="s">
        <v>130</v>
      </c>
      <c r="AZ1081" s="0" t="s">
        <v>130</v>
      </c>
      <c r="BA1081" s="0" t="s">
        <v>130</v>
      </c>
      <c r="BB1081" s="0" t="s">
        <v>130</v>
      </c>
      <c r="BC1081" s="0" t="s">
        <v>130</v>
      </c>
      <c r="BD1081" s="0" t="s">
        <v>130</v>
      </c>
      <c r="BE1081" s="0" t="s">
        <v>130</v>
      </c>
      <c r="BF1081" s="0" t="s">
        <v>130</v>
      </c>
      <c r="BG1081" s="0" t="s">
        <v>130</v>
      </c>
      <c r="BH1081" s="0" t="s">
        <v>130</v>
      </c>
      <c r="BI1081" s="0" t="s">
        <v>130</v>
      </c>
      <c r="BJ1081" s="0" t="s">
        <v>130</v>
      </c>
      <c r="BK1081" s="0" t="s">
        <v>130</v>
      </c>
      <c r="BL1081" s="0" t="s">
        <v>130</v>
      </c>
      <c r="BM1081" s="0" t="s">
        <v>130</v>
      </c>
      <c r="BN1081" s="0" t="s">
        <v>130</v>
      </c>
      <c r="BO1081" s="0" t="s">
        <v>130</v>
      </c>
      <c r="BP1081" s="0" t="s">
        <v>130</v>
      </c>
      <c r="BQ1081" s="0" t="s">
        <v>130</v>
      </c>
      <c r="BR1081" s="0" t="s">
        <v>130</v>
      </c>
      <c r="BS1081" s="0" t="s">
        <v>130</v>
      </c>
      <c r="BT1081" s="0" t="s">
        <v>130</v>
      </c>
      <c r="BU1081" s="0" t="s">
        <v>130</v>
      </c>
      <c r="BV1081" s="0" t="s">
        <v>130</v>
      </c>
      <c r="BW1081" s="0" t="s">
        <v>130</v>
      </c>
      <c r="BX1081" s="0" t="s">
        <v>130</v>
      </c>
      <c r="BY1081" s="0" t="s">
        <v>130</v>
      </c>
      <c r="BZ1081" s="0" t="s">
        <v>130</v>
      </c>
      <c r="CA1081" s="0" t="s">
        <v>130</v>
      </c>
      <c r="CB1081" s="0" t="s">
        <v>130</v>
      </c>
      <c r="CC1081" s="0" t="s">
        <v>130</v>
      </c>
      <c r="CD1081" s="0" t="s">
        <v>130</v>
      </c>
      <c r="CE1081" s="0" t="s">
        <v>130</v>
      </c>
      <c r="CF1081" s="0" t="s">
        <v>130</v>
      </c>
      <c r="CG1081" s="0" t="s">
        <v>130</v>
      </c>
      <c r="CH1081" s="0" t="s">
        <v>130</v>
      </c>
      <c r="CI1081" s="0" t="s">
        <v>130</v>
      </c>
      <c r="CJ1081" s="0" t="s">
        <v>130</v>
      </c>
      <c r="CK1081" s="0" t="s">
        <v>130</v>
      </c>
      <c r="CL1081" s="0" t="s">
        <v>130</v>
      </c>
      <c r="CM1081" s="0" t="s">
        <v>130</v>
      </c>
      <c r="CN1081" s="0" t="s">
        <v>130</v>
      </c>
      <c r="CO1081" s="0" t="s">
        <v>130</v>
      </c>
      <c r="CP1081" s="0" t="s">
        <v>130</v>
      </c>
      <c r="CQ1081" s="0" t="s">
        <v>130</v>
      </c>
      <c r="CR1081" s="0" t="s">
        <v>130</v>
      </c>
      <c r="CS1081" s="0" t="s">
        <v>130</v>
      </c>
      <c r="CT1081" s="0" t="s">
        <v>3259</v>
      </c>
    </row>
    <row r="1082">
      <c r="A1082" s="14">
        <v>186830</v>
      </c>
      <c r="B1082" s="0" t="s">
        <v>3247</v>
      </c>
      <c r="C1082" s="16">
        <f>HYPERLINK("https://eosportal.federatedhermes.com/companies/Q29tcGFueQppNjc3NTE=", "Banco BTG Pactual SA")</f>
      </c>
      <c r="D1082" s="0" t="s">
        <v>25</v>
      </c>
      <c r="E1082" s="0" t="s">
        <v>3260</v>
      </c>
      <c r="F1082" s="16">
        <f>HYPERLINK("https://eosportal.federatedhermes.com/engagements/RW5nYWdlbWVudAppMjQ4Mjk=", "Sustainable Finance Strategy &amp; Disclosure")</f>
      </c>
      <c r="G1082" s="14" t="s">
        <v>3261</v>
      </c>
      <c r="H1082" s="0" t="s">
        <v>130</v>
      </c>
      <c r="I1082" s="14" t="s">
        <v>131</v>
      </c>
      <c r="J1082" s="0" t="s">
        <v>132</v>
      </c>
      <c r="K1082" s="0" t="s">
        <v>133</v>
      </c>
      <c r="L1082" s="0" t="s">
        <v>160</v>
      </c>
      <c r="M1082" s="0" t="s">
        <v>2807</v>
      </c>
      <c r="N1082" s="0" t="s">
        <v>3041</v>
      </c>
      <c r="O1082" s="0" t="s">
        <v>238</v>
      </c>
      <c r="Q1082" s="0" t="s">
        <v>141</v>
      </c>
      <c r="R1082" s="0" t="s">
        <v>138</v>
      </c>
      <c r="S1082" s="14">
        <v>1</v>
      </c>
      <c r="T1082" s="0" t="s">
        <v>156</v>
      </c>
      <c r="U1082" s="0" t="s">
        <v>138</v>
      </c>
      <c r="V1082" s="14" t="s">
        <v>138</v>
      </c>
      <c r="W1082" s="0" t="s">
        <v>138</v>
      </c>
      <c r="X1082" s="14" t="s">
        <v>138</v>
      </c>
      <c r="Y1082" s="0" t="s">
        <v>138</v>
      </c>
      <c r="Z1082" s="14" t="s">
        <v>138</v>
      </c>
      <c r="AA1082" s="0" t="s">
        <v>138</v>
      </c>
      <c r="AB1082" s="14" t="s">
        <v>138</v>
      </c>
      <c r="AD1082" s="0" t="s">
        <v>138</v>
      </c>
      <c r="AF1082" s="0">
        <v>0</v>
      </c>
      <c r="AG1082" s="0">
        <v>0</v>
      </c>
      <c r="AH1082" s="0" t="s">
        <v>140</v>
      </c>
      <c r="AI1082" s="0" t="s">
        <v>138</v>
      </c>
      <c r="AK1082" s="0" t="s">
        <v>1853</v>
      </c>
      <c r="AL1082" s="14"/>
      <c r="AN1082" s="14"/>
      <c r="AQ1082" s="0" t="s">
        <v>130</v>
      </c>
      <c r="AR1082" s="0" t="s">
        <v>130</v>
      </c>
      <c r="AS1082" s="0" t="s">
        <v>130</v>
      </c>
      <c r="AT1082" s="0" t="s">
        <v>130</v>
      </c>
      <c r="AU1082" s="0" t="s">
        <v>130</v>
      </c>
      <c r="AV1082" s="0" t="s">
        <v>130</v>
      </c>
      <c r="AW1082" s="0" t="s">
        <v>130</v>
      </c>
      <c r="AX1082" s="0" t="s">
        <v>130</v>
      </c>
      <c r="AY1082" s="0" t="s">
        <v>130</v>
      </c>
      <c r="AZ1082" s="0" t="s">
        <v>130</v>
      </c>
      <c r="BA1082" s="0" t="s">
        <v>130</v>
      </c>
      <c r="BB1082" s="0" t="s">
        <v>130</v>
      </c>
      <c r="BC1082" s="0" t="s">
        <v>130</v>
      </c>
      <c r="BD1082" s="0" t="s">
        <v>130</v>
      </c>
      <c r="BE1082" s="0" t="s">
        <v>130</v>
      </c>
      <c r="BF1082" s="0" t="s">
        <v>130</v>
      </c>
      <c r="BG1082" s="0" t="s">
        <v>130</v>
      </c>
      <c r="BH1082" s="0" t="s">
        <v>130</v>
      </c>
      <c r="BI1082" s="0" t="s">
        <v>130</v>
      </c>
      <c r="BJ1082" s="0" t="s">
        <v>130</v>
      </c>
      <c r="BK1082" s="0" t="s">
        <v>130</v>
      </c>
      <c r="BL1082" s="0" t="s">
        <v>130</v>
      </c>
      <c r="BM1082" s="0" t="s">
        <v>130</v>
      </c>
      <c r="BN1082" s="0" t="s">
        <v>130</v>
      </c>
      <c r="BO1082" s="0" t="s">
        <v>130</v>
      </c>
      <c r="BP1082" s="0" t="s">
        <v>130</v>
      </c>
      <c r="BQ1082" s="0" t="s">
        <v>130</v>
      </c>
      <c r="BR1082" s="0" t="s">
        <v>130</v>
      </c>
      <c r="BS1082" s="0" t="s">
        <v>130</v>
      </c>
      <c r="BT1082" s="0" t="s">
        <v>130</v>
      </c>
      <c r="BU1082" s="0" t="s">
        <v>130</v>
      </c>
      <c r="BV1082" s="0" t="s">
        <v>130</v>
      </c>
      <c r="BW1082" s="0" t="s">
        <v>130</v>
      </c>
      <c r="BX1082" s="0" t="s">
        <v>130</v>
      </c>
      <c r="BY1082" s="0" t="s">
        <v>130</v>
      </c>
      <c r="BZ1082" s="0" t="s">
        <v>130</v>
      </c>
      <c r="CA1082" s="0" t="s">
        <v>130</v>
      </c>
      <c r="CB1082" s="0" t="s">
        <v>130</v>
      </c>
      <c r="CC1082" s="0" t="s">
        <v>130</v>
      </c>
      <c r="CD1082" s="0" t="s">
        <v>130</v>
      </c>
      <c r="CE1082" s="0" t="s">
        <v>130</v>
      </c>
      <c r="CF1082" s="0" t="s">
        <v>130</v>
      </c>
      <c r="CG1082" s="0" t="s">
        <v>130</v>
      </c>
      <c r="CH1082" s="0" t="s">
        <v>130</v>
      </c>
      <c r="CI1082" s="0" t="s">
        <v>130</v>
      </c>
      <c r="CJ1082" s="0" t="s">
        <v>130</v>
      </c>
      <c r="CK1082" s="0" t="s">
        <v>130</v>
      </c>
      <c r="CL1082" s="0" t="s">
        <v>130</v>
      </c>
      <c r="CM1082" s="0" t="s">
        <v>130</v>
      </c>
      <c r="CN1082" s="0" t="s">
        <v>130</v>
      </c>
      <c r="CO1082" s="0" t="s">
        <v>130</v>
      </c>
      <c r="CP1082" s="0" t="s">
        <v>130</v>
      </c>
      <c r="CQ1082" s="0" t="s">
        <v>130</v>
      </c>
      <c r="CR1082" s="0" t="s">
        <v>130</v>
      </c>
      <c r="CS1082" s="0" t="s">
        <v>130</v>
      </c>
      <c r="CT1082" s="0" t="s">
        <v>3262</v>
      </c>
    </row>
    <row r="1083">
      <c r="A1083" s="14">
        <v>186830</v>
      </c>
      <c r="B1083" s="0" t="s">
        <v>3247</v>
      </c>
      <c r="C1083" s="16">
        <f>HYPERLINK("https://eosportal.federatedhermes.com/companies/Q29tcGFueQppNjc3NTE=", "Banco BTG Pactual SA")</f>
      </c>
      <c r="D1083" s="0" t="s">
        <v>23</v>
      </c>
      <c r="E1083" s="0" t="s">
        <v>3263</v>
      </c>
      <c r="F1083" s="16">
        <f>HYPERLINK("https://eosportal.federatedhermes.com/engagements/RW5nYWdlbWVudAppMjQ4MzA=", "Enhance Coal &amp; Fossil Fuel Financing Policies for Transition Assets &amp; Phase-Out")</f>
      </c>
      <c r="G1083" s="14" t="s">
        <v>3264</v>
      </c>
      <c r="H1083" s="0" t="s">
        <v>130</v>
      </c>
      <c r="I1083" s="14" t="s">
        <v>131</v>
      </c>
      <c r="J1083" s="0" t="s">
        <v>197</v>
      </c>
      <c r="K1083" s="0" t="s">
        <v>198</v>
      </c>
      <c r="L1083" s="0" t="s">
        <v>199</v>
      </c>
      <c r="M1083" s="0" t="s">
        <v>2807</v>
      </c>
      <c r="N1083" s="0" t="s">
        <v>3041</v>
      </c>
      <c r="O1083" s="0" t="s">
        <v>238</v>
      </c>
      <c r="Q1083" s="0" t="s">
        <v>141</v>
      </c>
      <c r="R1083" s="0" t="s">
        <v>130</v>
      </c>
      <c r="S1083" s="14">
        <v>1</v>
      </c>
      <c r="T1083" s="0" t="s">
        <v>583</v>
      </c>
      <c r="U1083" s="0" t="s">
        <v>221</v>
      </c>
      <c r="V1083" s="14" t="s">
        <v>583</v>
      </c>
      <c r="W1083" s="0" t="s">
        <v>221</v>
      </c>
      <c r="X1083" s="14" t="s">
        <v>3265</v>
      </c>
      <c r="Y1083" s="0" t="s">
        <v>223</v>
      </c>
      <c r="Z1083" s="14" t="s">
        <v>138</v>
      </c>
      <c r="AA1083" s="0" t="s">
        <v>224</v>
      </c>
      <c r="AB1083" s="14" t="s">
        <v>138</v>
      </c>
      <c r="AD1083" s="0" t="s">
        <v>17</v>
      </c>
      <c r="AF1083" s="0">
        <v>0</v>
      </c>
      <c r="AG1083" s="0">
        <v>0</v>
      </c>
      <c r="AH1083" s="0" t="s">
        <v>140</v>
      </c>
      <c r="AI1083" s="0" t="s">
        <v>232</v>
      </c>
      <c r="AK1083" s="0" t="s">
        <v>1853</v>
      </c>
      <c r="AL1083" s="14"/>
      <c r="AN1083" s="14"/>
      <c r="AQ1083" s="0" t="s">
        <v>130</v>
      </c>
      <c r="AR1083" s="0" t="s">
        <v>130</v>
      </c>
      <c r="AS1083" s="0" t="s">
        <v>130</v>
      </c>
      <c r="AT1083" s="0" t="s">
        <v>130</v>
      </c>
      <c r="AU1083" s="0" t="s">
        <v>130</v>
      </c>
      <c r="AV1083" s="0" t="s">
        <v>130</v>
      </c>
      <c r="AW1083" s="0" t="s">
        <v>130</v>
      </c>
      <c r="AX1083" s="0" t="s">
        <v>130</v>
      </c>
      <c r="AY1083" s="0" t="s">
        <v>130</v>
      </c>
      <c r="AZ1083" s="0" t="s">
        <v>130</v>
      </c>
      <c r="BA1083" s="0" t="s">
        <v>130</v>
      </c>
      <c r="BB1083" s="0" t="s">
        <v>141</v>
      </c>
      <c r="BC1083" s="0" t="s">
        <v>130</v>
      </c>
      <c r="BD1083" s="0" t="s">
        <v>130</v>
      </c>
      <c r="BE1083" s="0" t="s">
        <v>130</v>
      </c>
      <c r="BF1083" s="0" t="s">
        <v>130</v>
      </c>
      <c r="BG1083" s="0" t="s">
        <v>130</v>
      </c>
      <c r="BH1083" s="0" t="s">
        <v>130</v>
      </c>
      <c r="BI1083" s="0" t="s">
        <v>130</v>
      </c>
      <c r="BJ1083" s="0" t="s">
        <v>130</v>
      </c>
      <c r="BK1083" s="0" t="s">
        <v>130</v>
      </c>
      <c r="BL1083" s="0" t="s">
        <v>130</v>
      </c>
      <c r="BM1083" s="0" t="s">
        <v>130</v>
      </c>
      <c r="BN1083" s="0" t="s">
        <v>130</v>
      </c>
      <c r="BO1083" s="0" t="s">
        <v>130</v>
      </c>
      <c r="BP1083" s="0" t="s">
        <v>130</v>
      </c>
      <c r="BQ1083" s="0" t="s">
        <v>130</v>
      </c>
      <c r="BR1083" s="0" t="s">
        <v>130</v>
      </c>
      <c r="BS1083" s="0" t="s">
        <v>130</v>
      </c>
      <c r="BT1083" s="0" t="s">
        <v>130</v>
      </c>
      <c r="BU1083" s="0" t="s">
        <v>130</v>
      </c>
      <c r="BV1083" s="0" t="s">
        <v>130</v>
      </c>
      <c r="BW1083" s="0" t="s">
        <v>130</v>
      </c>
      <c r="BX1083" s="0" t="s">
        <v>130</v>
      </c>
      <c r="BY1083" s="0" t="s">
        <v>130</v>
      </c>
      <c r="BZ1083" s="0" t="s">
        <v>130</v>
      </c>
      <c r="CA1083" s="0" t="s">
        <v>130</v>
      </c>
      <c r="CB1083" s="0" t="s">
        <v>130</v>
      </c>
      <c r="CC1083" s="0" t="s">
        <v>130</v>
      </c>
      <c r="CD1083" s="0" t="s">
        <v>130</v>
      </c>
      <c r="CE1083" s="0" t="s">
        <v>130</v>
      </c>
      <c r="CF1083" s="0" t="s">
        <v>130</v>
      </c>
      <c r="CG1083" s="0" t="s">
        <v>130</v>
      </c>
      <c r="CH1083" s="0" t="s">
        <v>130</v>
      </c>
      <c r="CI1083" s="0" t="s">
        <v>130</v>
      </c>
      <c r="CJ1083" s="0" t="s">
        <v>130</v>
      </c>
      <c r="CK1083" s="0" t="s">
        <v>130</v>
      </c>
      <c r="CL1083" s="0" t="s">
        <v>130</v>
      </c>
      <c r="CM1083" s="0" t="s">
        <v>130</v>
      </c>
      <c r="CN1083" s="0" t="s">
        <v>130</v>
      </c>
      <c r="CO1083" s="0" t="s">
        <v>130</v>
      </c>
      <c r="CP1083" s="0" t="s">
        <v>130</v>
      </c>
      <c r="CQ1083" s="0" t="s">
        <v>130</v>
      </c>
      <c r="CR1083" s="0" t="s">
        <v>130</v>
      </c>
      <c r="CS1083" s="0" t="s">
        <v>130</v>
      </c>
      <c r="CT1083" s="0" t="s">
        <v>3266</v>
      </c>
    </row>
    <row r="1084">
      <c r="A1084" s="14">
        <v>186830</v>
      </c>
      <c r="B1084" s="0" t="s">
        <v>3247</v>
      </c>
      <c r="C1084" s="16">
        <f>HYPERLINK("https://eosportal.federatedhermes.com/companies/Q29tcGFueQppNjc3NTE=", "Banco BTG Pactual SA")</f>
      </c>
      <c r="D1084" s="0" t="s">
        <v>23</v>
      </c>
      <c r="E1084" s="0" t="s">
        <v>3267</v>
      </c>
      <c r="F1084" s="16">
        <f>HYPERLINK("https://eosportal.federatedhermes.com/engagements/RW5nYWdlbWVudAppMjQ4MzI=", "Consistent ESG Disclosures &amp; Targets")</f>
      </c>
      <c r="G1084" s="14" t="s">
        <v>3268</v>
      </c>
      <c r="H1084" s="0" t="s">
        <v>130</v>
      </c>
      <c r="I1084" s="14" t="s">
        <v>131</v>
      </c>
      <c r="J1084" s="0" t="s">
        <v>132</v>
      </c>
      <c r="K1084" s="0" t="s">
        <v>170</v>
      </c>
      <c r="L1084" s="0" t="s">
        <v>171</v>
      </c>
      <c r="M1084" s="0" t="s">
        <v>2807</v>
      </c>
      <c r="N1084" s="0" t="s">
        <v>3041</v>
      </c>
      <c r="O1084" s="0" t="s">
        <v>238</v>
      </c>
      <c r="Q1084" s="0" t="s">
        <v>141</v>
      </c>
      <c r="R1084" s="0" t="s">
        <v>130</v>
      </c>
      <c r="S1084" s="14">
        <v>1</v>
      </c>
      <c r="T1084" s="0" t="s">
        <v>156</v>
      </c>
      <c r="U1084" s="0" t="s">
        <v>221</v>
      </c>
      <c r="V1084" s="14" t="s">
        <v>156</v>
      </c>
      <c r="W1084" s="0" t="s">
        <v>221</v>
      </c>
      <c r="X1084" s="14" t="s">
        <v>583</v>
      </c>
      <c r="Y1084" s="0" t="s">
        <v>221</v>
      </c>
      <c r="Z1084" s="14" t="s">
        <v>222</v>
      </c>
      <c r="AA1084" s="0" t="s">
        <v>223</v>
      </c>
      <c r="AB1084" s="14" t="s">
        <v>138</v>
      </c>
      <c r="AD1084" s="0" t="s">
        <v>20</v>
      </c>
      <c r="AF1084" s="0">
        <v>0</v>
      </c>
      <c r="AG1084" s="0">
        <v>0</v>
      </c>
      <c r="AH1084" s="0" t="s">
        <v>140</v>
      </c>
      <c r="AI1084" s="0" t="s">
        <v>232</v>
      </c>
      <c r="AK1084" s="0" t="s">
        <v>1853</v>
      </c>
      <c r="AL1084" s="14"/>
      <c r="AN1084" s="14"/>
      <c r="AQ1084" s="0" t="s">
        <v>130</v>
      </c>
      <c r="AR1084" s="0" t="s">
        <v>130</v>
      </c>
      <c r="AS1084" s="0" t="s">
        <v>130</v>
      </c>
      <c r="AT1084" s="0" t="s">
        <v>130</v>
      </c>
      <c r="AU1084" s="0" t="s">
        <v>130</v>
      </c>
      <c r="AV1084" s="0" t="s">
        <v>130</v>
      </c>
      <c r="AW1084" s="0" t="s">
        <v>130</v>
      </c>
      <c r="AX1084" s="0" t="s">
        <v>130</v>
      </c>
      <c r="AY1084" s="0" t="s">
        <v>130</v>
      </c>
      <c r="AZ1084" s="0" t="s">
        <v>130</v>
      </c>
      <c r="BA1084" s="0" t="s">
        <v>130</v>
      </c>
      <c r="BB1084" s="0" t="s">
        <v>130</v>
      </c>
      <c r="BC1084" s="0" t="s">
        <v>130</v>
      </c>
      <c r="BD1084" s="0" t="s">
        <v>130</v>
      </c>
      <c r="BE1084" s="0" t="s">
        <v>130</v>
      </c>
      <c r="BF1084" s="0" t="s">
        <v>130</v>
      </c>
      <c r="BG1084" s="0" t="s">
        <v>130</v>
      </c>
      <c r="BH1084" s="0" t="s">
        <v>130</v>
      </c>
      <c r="BI1084" s="0" t="s">
        <v>130</v>
      </c>
      <c r="BJ1084" s="0" t="s">
        <v>130</v>
      </c>
      <c r="BK1084" s="0" t="s">
        <v>130</v>
      </c>
      <c r="BL1084" s="0" t="s">
        <v>130</v>
      </c>
      <c r="BM1084" s="0" t="s">
        <v>130</v>
      </c>
      <c r="BN1084" s="0" t="s">
        <v>130</v>
      </c>
      <c r="BO1084" s="0" t="s">
        <v>130</v>
      </c>
      <c r="BP1084" s="0" t="s">
        <v>130</v>
      </c>
      <c r="BQ1084" s="0" t="s">
        <v>130</v>
      </c>
      <c r="BR1084" s="0" t="s">
        <v>130</v>
      </c>
      <c r="BS1084" s="0" t="s">
        <v>130</v>
      </c>
      <c r="BT1084" s="0" t="s">
        <v>130</v>
      </c>
      <c r="BU1084" s="0" t="s">
        <v>130</v>
      </c>
      <c r="BV1084" s="0" t="s">
        <v>130</v>
      </c>
      <c r="BW1084" s="0" t="s">
        <v>130</v>
      </c>
      <c r="BX1084" s="0" t="s">
        <v>130</v>
      </c>
      <c r="BY1084" s="0" t="s">
        <v>130</v>
      </c>
      <c r="BZ1084" s="0" t="s">
        <v>130</v>
      </c>
      <c r="CA1084" s="0" t="s">
        <v>130</v>
      </c>
      <c r="CB1084" s="0" t="s">
        <v>130</v>
      </c>
      <c r="CC1084" s="0" t="s">
        <v>130</v>
      </c>
      <c r="CD1084" s="0" t="s">
        <v>130</v>
      </c>
      <c r="CE1084" s="0" t="s">
        <v>130</v>
      </c>
      <c r="CF1084" s="0" t="s">
        <v>130</v>
      </c>
      <c r="CG1084" s="0" t="s">
        <v>130</v>
      </c>
      <c r="CH1084" s="0" t="s">
        <v>130</v>
      </c>
      <c r="CI1084" s="0" t="s">
        <v>130</v>
      </c>
      <c r="CJ1084" s="0" t="s">
        <v>130</v>
      </c>
      <c r="CK1084" s="0" t="s">
        <v>130</v>
      </c>
      <c r="CL1084" s="0" t="s">
        <v>130</v>
      </c>
      <c r="CM1084" s="0" t="s">
        <v>130</v>
      </c>
      <c r="CN1084" s="0" t="s">
        <v>130</v>
      </c>
      <c r="CO1084" s="0" t="s">
        <v>130</v>
      </c>
      <c r="CP1084" s="0" t="s">
        <v>130</v>
      </c>
      <c r="CQ1084" s="0" t="s">
        <v>130</v>
      </c>
      <c r="CR1084" s="0" t="s">
        <v>130</v>
      </c>
      <c r="CS1084" s="0" t="s">
        <v>130</v>
      </c>
      <c r="CT1084" s="0" t="s">
        <v>3269</v>
      </c>
    </row>
    <row r="1085">
      <c r="A1085" s="14">
        <v>186941</v>
      </c>
      <c r="B1085" s="0" t="s">
        <v>3270</v>
      </c>
      <c r="C1085" s="16">
        <f>HYPERLINK("https://eosportal.federatedhermes.com/companies/Q29tcGFueQppNzc5MzA=", "China Construction Bank Corp")</f>
      </c>
      <c r="D1085" s="0" t="s">
        <v>25</v>
      </c>
      <c r="E1085" s="0" t="s">
        <v>151</v>
      </c>
      <c r="F1085" s="16">
        <f>HYPERLINK("https://eosportal.federatedhermes.com/engagements/RW5nYWdlbWVudAppMjQ4NTk=", "Coronavirus response")</f>
      </c>
      <c r="G1085" s="14" t="s">
        <v>3271</v>
      </c>
      <c r="H1085" s="0" t="s">
        <v>141</v>
      </c>
      <c r="I1085" s="14" t="s">
        <v>131</v>
      </c>
      <c r="J1085" s="0" t="s">
        <v>132</v>
      </c>
      <c r="K1085" s="0" t="s">
        <v>260</v>
      </c>
      <c r="L1085" s="0" t="s">
        <v>261</v>
      </c>
      <c r="M1085" s="0" t="s">
        <v>2807</v>
      </c>
      <c r="N1085" s="0" t="s">
        <v>3272</v>
      </c>
      <c r="O1085" s="0" t="s">
        <v>238</v>
      </c>
      <c r="Q1085" s="0" t="s">
        <v>130</v>
      </c>
      <c r="R1085" s="0" t="s">
        <v>138</v>
      </c>
      <c r="S1085" s="14">
        <v>0</v>
      </c>
      <c r="T1085" s="0" t="s">
        <v>148</v>
      </c>
      <c r="U1085" s="0" t="s">
        <v>138</v>
      </c>
      <c r="V1085" s="14" t="s">
        <v>138</v>
      </c>
      <c r="W1085" s="0" t="s">
        <v>138</v>
      </c>
      <c r="X1085" s="14" t="s">
        <v>138</v>
      </c>
      <c r="Y1085" s="0" t="s">
        <v>138</v>
      </c>
      <c r="Z1085" s="14" t="s">
        <v>138</v>
      </c>
      <c r="AA1085" s="0" t="s">
        <v>138</v>
      </c>
      <c r="AB1085" s="14" t="s">
        <v>138</v>
      </c>
      <c r="AD1085" s="0" t="s">
        <v>138</v>
      </c>
      <c r="AF1085" s="0">
        <v>0</v>
      </c>
      <c r="AG1085" s="0">
        <v>0</v>
      </c>
      <c r="AH1085" s="0" t="s">
        <v>140</v>
      </c>
      <c r="AI1085" s="0" t="s">
        <v>138</v>
      </c>
      <c r="AL1085" s="14"/>
      <c r="AN1085" s="14"/>
      <c r="AQ1085" s="0" t="s">
        <v>130</v>
      </c>
      <c r="AR1085" s="0" t="s">
        <v>130</v>
      </c>
      <c r="AS1085" s="0" t="s">
        <v>130</v>
      </c>
      <c r="AT1085" s="0" t="s">
        <v>130</v>
      </c>
      <c r="AU1085" s="0" t="s">
        <v>130</v>
      </c>
      <c r="AV1085" s="0" t="s">
        <v>130</v>
      </c>
      <c r="AW1085" s="0" t="s">
        <v>130</v>
      </c>
      <c r="AX1085" s="0" t="s">
        <v>130</v>
      </c>
      <c r="AY1085" s="0" t="s">
        <v>130</v>
      </c>
      <c r="AZ1085" s="0" t="s">
        <v>130</v>
      </c>
      <c r="BA1085" s="0" t="s">
        <v>130</v>
      </c>
      <c r="BB1085" s="0" t="s">
        <v>130</v>
      </c>
      <c r="BC1085" s="0" t="s">
        <v>130</v>
      </c>
      <c r="BD1085" s="0" t="s">
        <v>130</v>
      </c>
      <c r="BE1085" s="0" t="s">
        <v>130</v>
      </c>
      <c r="BF1085" s="0" t="s">
        <v>130</v>
      </c>
      <c r="BG1085" s="0" t="s">
        <v>130</v>
      </c>
      <c r="BH1085" s="0" t="s">
        <v>130</v>
      </c>
      <c r="BI1085" s="0" t="s">
        <v>130</v>
      </c>
      <c r="BJ1085" s="0" t="s">
        <v>130</v>
      </c>
      <c r="BK1085" s="0" t="s">
        <v>130</v>
      </c>
      <c r="BL1085" s="0" t="s">
        <v>130</v>
      </c>
      <c r="BM1085" s="0" t="s">
        <v>130</v>
      </c>
      <c r="BN1085" s="0" t="s">
        <v>130</v>
      </c>
      <c r="BO1085" s="0" t="s">
        <v>130</v>
      </c>
      <c r="BP1085" s="0" t="s">
        <v>130</v>
      </c>
      <c r="BQ1085" s="0" t="s">
        <v>130</v>
      </c>
      <c r="BR1085" s="0" t="s">
        <v>130</v>
      </c>
      <c r="BS1085" s="0" t="s">
        <v>130</v>
      </c>
      <c r="BT1085" s="0" t="s">
        <v>130</v>
      </c>
      <c r="BU1085" s="0" t="s">
        <v>130</v>
      </c>
      <c r="BV1085" s="0" t="s">
        <v>130</v>
      </c>
      <c r="BW1085" s="0" t="s">
        <v>130</v>
      </c>
      <c r="BX1085" s="0" t="s">
        <v>130</v>
      </c>
      <c r="BY1085" s="0" t="s">
        <v>130</v>
      </c>
      <c r="BZ1085" s="0" t="s">
        <v>130</v>
      </c>
      <c r="CA1085" s="0" t="s">
        <v>130</v>
      </c>
      <c r="CB1085" s="0" t="s">
        <v>130</v>
      </c>
      <c r="CC1085" s="0" t="s">
        <v>130</v>
      </c>
      <c r="CD1085" s="0" t="s">
        <v>130</v>
      </c>
      <c r="CE1085" s="0" t="s">
        <v>130</v>
      </c>
      <c r="CF1085" s="0" t="s">
        <v>130</v>
      </c>
      <c r="CG1085" s="0" t="s">
        <v>130</v>
      </c>
      <c r="CH1085" s="0" t="s">
        <v>130</v>
      </c>
      <c r="CI1085" s="0" t="s">
        <v>130</v>
      </c>
      <c r="CJ1085" s="0" t="s">
        <v>130</v>
      </c>
      <c r="CK1085" s="0" t="s">
        <v>130</v>
      </c>
      <c r="CL1085" s="0" t="s">
        <v>130</v>
      </c>
      <c r="CM1085" s="0" t="s">
        <v>130</v>
      </c>
      <c r="CN1085" s="0" t="s">
        <v>130</v>
      </c>
      <c r="CO1085" s="0" t="s">
        <v>130</v>
      </c>
      <c r="CP1085" s="0" t="s">
        <v>130</v>
      </c>
      <c r="CQ1085" s="0" t="s">
        <v>130</v>
      </c>
      <c r="CR1085" s="0" t="s">
        <v>130</v>
      </c>
      <c r="CS1085" s="0" t="s">
        <v>130</v>
      </c>
      <c r="CT1085" s="0" t="s">
        <v>3273</v>
      </c>
    </row>
    <row r="1086">
      <c r="A1086" s="14">
        <v>186941</v>
      </c>
      <c r="B1086" s="0" t="s">
        <v>3270</v>
      </c>
      <c r="C1086" s="16">
        <f>HYPERLINK("https://eosportal.federatedhermes.com/companies/Q29tcGFueQppNzc5MzA=", "China Construction Bank Corp")</f>
      </c>
      <c r="D1086" s="0" t="s">
        <v>25</v>
      </c>
      <c r="E1086" s="0" t="s">
        <v>3274</v>
      </c>
      <c r="F1086" s="16">
        <f>HYPERLINK("https://eosportal.federatedhermes.com/engagements/RW5nYWdlbWVudAppMjQ4NjA=", "Ethical AI strategy")</f>
      </c>
      <c r="G1086" s="14" t="s">
        <v>3275</v>
      </c>
      <c r="H1086" s="0" t="s">
        <v>141</v>
      </c>
      <c r="I1086" s="14" t="s">
        <v>131</v>
      </c>
      <c r="J1086" s="0" t="s">
        <v>153</v>
      </c>
      <c r="K1086" s="0" t="s">
        <v>243</v>
      </c>
      <c r="L1086" s="0" t="s">
        <v>537</v>
      </c>
      <c r="M1086" s="0" t="s">
        <v>2807</v>
      </c>
      <c r="N1086" s="0" t="s">
        <v>3272</v>
      </c>
      <c r="O1086" s="0" t="s">
        <v>238</v>
      </c>
      <c r="Q1086" s="0" t="s">
        <v>130</v>
      </c>
      <c r="R1086" s="0" t="s">
        <v>138</v>
      </c>
      <c r="S1086" s="14">
        <v>0</v>
      </c>
      <c r="T1086" s="0" t="s">
        <v>394</v>
      </c>
      <c r="U1086" s="0" t="s">
        <v>138</v>
      </c>
      <c r="V1086" s="14" t="s">
        <v>138</v>
      </c>
      <c r="W1086" s="0" t="s">
        <v>138</v>
      </c>
      <c r="X1086" s="14" t="s">
        <v>138</v>
      </c>
      <c r="Y1086" s="0" t="s">
        <v>138</v>
      </c>
      <c r="Z1086" s="14" t="s">
        <v>138</v>
      </c>
      <c r="AA1086" s="0" t="s">
        <v>138</v>
      </c>
      <c r="AB1086" s="14" t="s">
        <v>138</v>
      </c>
      <c r="AD1086" s="0" t="s">
        <v>138</v>
      </c>
      <c r="AF1086" s="0">
        <v>0</v>
      </c>
      <c r="AG1086" s="0">
        <v>0</v>
      </c>
      <c r="AH1086" s="0" t="s">
        <v>140</v>
      </c>
      <c r="AI1086" s="0" t="s">
        <v>138</v>
      </c>
      <c r="AL1086" s="14"/>
      <c r="AN1086" s="14"/>
      <c r="AQ1086" s="0" t="s">
        <v>130</v>
      </c>
      <c r="AR1086" s="0" t="s">
        <v>130</v>
      </c>
      <c r="AS1086" s="0" t="s">
        <v>130</v>
      </c>
      <c r="AT1086" s="0" t="s">
        <v>130</v>
      </c>
      <c r="AU1086" s="0" t="s">
        <v>130</v>
      </c>
      <c r="AV1086" s="0" t="s">
        <v>130</v>
      </c>
      <c r="AW1086" s="0" t="s">
        <v>130</v>
      </c>
      <c r="AX1086" s="0" t="s">
        <v>130</v>
      </c>
      <c r="AY1086" s="0" t="s">
        <v>130</v>
      </c>
      <c r="AZ1086" s="0" t="s">
        <v>130</v>
      </c>
      <c r="BA1086" s="0" t="s">
        <v>130</v>
      </c>
      <c r="BB1086" s="0" t="s">
        <v>130</v>
      </c>
      <c r="BC1086" s="0" t="s">
        <v>130</v>
      </c>
      <c r="BD1086" s="0" t="s">
        <v>130</v>
      </c>
      <c r="BE1086" s="0" t="s">
        <v>130</v>
      </c>
      <c r="BF1086" s="0" t="s">
        <v>141</v>
      </c>
      <c r="BG1086" s="0" t="s">
        <v>130</v>
      </c>
      <c r="BH1086" s="0" t="s">
        <v>130</v>
      </c>
      <c r="BI1086" s="0" t="s">
        <v>130</v>
      </c>
      <c r="BJ1086" s="0" t="s">
        <v>130</v>
      </c>
      <c r="BK1086" s="0" t="s">
        <v>130</v>
      </c>
      <c r="BL1086" s="0" t="s">
        <v>130</v>
      </c>
      <c r="BM1086" s="0" t="s">
        <v>130</v>
      </c>
      <c r="BN1086" s="0" t="s">
        <v>130</v>
      </c>
      <c r="BO1086" s="0" t="s">
        <v>130</v>
      </c>
      <c r="BP1086" s="0" t="s">
        <v>130</v>
      </c>
      <c r="BQ1086" s="0" t="s">
        <v>130</v>
      </c>
      <c r="BR1086" s="0" t="s">
        <v>130</v>
      </c>
      <c r="BS1086" s="0" t="s">
        <v>130</v>
      </c>
      <c r="BT1086" s="0" t="s">
        <v>130</v>
      </c>
      <c r="BU1086" s="0" t="s">
        <v>130</v>
      </c>
      <c r="BV1086" s="0" t="s">
        <v>130</v>
      </c>
      <c r="BW1086" s="0" t="s">
        <v>130</v>
      </c>
      <c r="BX1086" s="0" t="s">
        <v>130</v>
      </c>
      <c r="BY1086" s="0" t="s">
        <v>130</v>
      </c>
      <c r="BZ1086" s="0" t="s">
        <v>130</v>
      </c>
      <c r="CA1086" s="0" t="s">
        <v>130</v>
      </c>
      <c r="CB1086" s="0" t="s">
        <v>130</v>
      </c>
      <c r="CC1086" s="0" t="s">
        <v>130</v>
      </c>
      <c r="CD1086" s="0" t="s">
        <v>130</v>
      </c>
      <c r="CE1086" s="0" t="s">
        <v>130</v>
      </c>
      <c r="CF1086" s="0" t="s">
        <v>130</v>
      </c>
      <c r="CG1086" s="0" t="s">
        <v>130</v>
      </c>
      <c r="CH1086" s="0" t="s">
        <v>130</v>
      </c>
      <c r="CI1086" s="0" t="s">
        <v>130</v>
      </c>
      <c r="CJ1086" s="0" t="s">
        <v>130</v>
      </c>
      <c r="CK1086" s="0" t="s">
        <v>130</v>
      </c>
      <c r="CL1086" s="0" t="s">
        <v>130</v>
      </c>
      <c r="CM1086" s="0" t="s">
        <v>130</v>
      </c>
      <c r="CN1086" s="0" t="s">
        <v>130</v>
      </c>
      <c r="CO1086" s="0" t="s">
        <v>130</v>
      </c>
      <c r="CP1086" s="0" t="s">
        <v>130</v>
      </c>
      <c r="CQ1086" s="0" t="s">
        <v>130</v>
      </c>
      <c r="CR1086" s="0" t="s">
        <v>130</v>
      </c>
      <c r="CS1086" s="0" t="s">
        <v>130</v>
      </c>
      <c r="CT1086" s="0" t="s">
        <v>3276</v>
      </c>
    </row>
    <row r="1087">
      <c r="A1087" s="14">
        <v>186941</v>
      </c>
      <c r="B1087" s="0" t="s">
        <v>3270</v>
      </c>
      <c r="C1087" s="16">
        <f>HYPERLINK("https://eosportal.federatedhermes.com/companies/Q29tcGFueQppNzc5MzA=", "China Construction Bank Corp")</f>
      </c>
      <c r="D1087" s="0" t="s">
        <v>25</v>
      </c>
      <c r="E1087" s="0" t="s">
        <v>198</v>
      </c>
      <c r="F1087" s="16">
        <f>HYPERLINK("https://eosportal.federatedhermes.com/engagements/RW5nYWdlbWVudAppMjQ4NjY=", "Climate Change")</f>
      </c>
      <c r="G1087" s="14" t="s">
        <v>3277</v>
      </c>
      <c r="H1087" s="0" t="s">
        <v>141</v>
      </c>
      <c r="I1087" s="14" t="s">
        <v>131</v>
      </c>
      <c r="J1087" s="0" t="s">
        <v>197</v>
      </c>
      <c r="K1087" s="0" t="s">
        <v>198</v>
      </c>
      <c r="L1087" s="0" t="s">
        <v>216</v>
      </c>
      <c r="M1087" s="0" t="s">
        <v>2807</v>
      </c>
      <c r="N1087" s="0" t="s">
        <v>3272</v>
      </c>
      <c r="O1087" s="0" t="s">
        <v>238</v>
      </c>
      <c r="Q1087" s="0" t="s">
        <v>141</v>
      </c>
      <c r="R1087" s="0" t="s">
        <v>138</v>
      </c>
      <c r="S1087" s="14">
        <v>1</v>
      </c>
      <c r="T1087" s="0" t="s">
        <v>327</v>
      </c>
      <c r="U1087" s="0" t="s">
        <v>138</v>
      </c>
      <c r="V1087" s="14" t="s">
        <v>138</v>
      </c>
      <c r="W1087" s="0" t="s">
        <v>138</v>
      </c>
      <c r="X1087" s="14" t="s">
        <v>138</v>
      </c>
      <c r="Y1087" s="0" t="s">
        <v>138</v>
      </c>
      <c r="Z1087" s="14" t="s">
        <v>138</v>
      </c>
      <c r="AA1087" s="0" t="s">
        <v>138</v>
      </c>
      <c r="AB1087" s="14" t="s">
        <v>138</v>
      </c>
      <c r="AD1087" s="0" t="s">
        <v>138</v>
      </c>
      <c r="AF1087" s="0">
        <v>0</v>
      </c>
      <c r="AG1087" s="0">
        <v>0</v>
      </c>
      <c r="AH1087" s="0" t="s">
        <v>140</v>
      </c>
      <c r="AI1087" s="0" t="s">
        <v>138</v>
      </c>
      <c r="AK1087" s="0" t="s">
        <v>1834</v>
      </c>
      <c r="AL1087" s="14"/>
      <c r="AN1087" s="14"/>
      <c r="AQ1087" s="0" t="s">
        <v>130</v>
      </c>
      <c r="AR1087" s="0" t="s">
        <v>130</v>
      </c>
      <c r="AS1087" s="0" t="s">
        <v>130</v>
      </c>
      <c r="AT1087" s="0" t="s">
        <v>130</v>
      </c>
      <c r="AU1087" s="0" t="s">
        <v>130</v>
      </c>
      <c r="AV1087" s="0" t="s">
        <v>130</v>
      </c>
      <c r="AW1087" s="0" t="s">
        <v>141</v>
      </c>
      <c r="AX1087" s="0" t="s">
        <v>130</v>
      </c>
      <c r="AY1087" s="0" t="s">
        <v>130</v>
      </c>
      <c r="AZ1087" s="0" t="s">
        <v>130</v>
      </c>
      <c r="BA1087" s="0" t="s">
        <v>130</v>
      </c>
      <c r="BB1087" s="0" t="s">
        <v>130</v>
      </c>
      <c r="BC1087" s="0" t="s">
        <v>141</v>
      </c>
      <c r="BD1087" s="0" t="s">
        <v>130</v>
      </c>
      <c r="BE1087" s="0" t="s">
        <v>130</v>
      </c>
      <c r="BF1087" s="0" t="s">
        <v>130</v>
      </c>
      <c r="BG1087" s="0" t="s">
        <v>130</v>
      </c>
      <c r="BH1087" s="0" t="s">
        <v>141</v>
      </c>
      <c r="BI1087" s="0" t="s">
        <v>141</v>
      </c>
      <c r="BJ1087" s="0" t="s">
        <v>141</v>
      </c>
      <c r="BK1087" s="0" t="s">
        <v>130</v>
      </c>
      <c r="BL1087" s="0" t="s">
        <v>130</v>
      </c>
      <c r="BM1087" s="0" t="s">
        <v>130</v>
      </c>
      <c r="BN1087" s="0" t="s">
        <v>130</v>
      </c>
      <c r="BO1087" s="0" t="s">
        <v>130</v>
      </c>
      <c r="BP1087" s="0" t="s">
        <v>130</v>
      </c>
      <c r="BQ1087" s="0" t="s">
        <v>130</v>
      </c>
      <c r="BR1087" s="0" t="s">
        <v>130</v>
      </c>
      <c r="BS1087" s="0" t="s">
        <v>130</v>
      </c>
      <c r="BT1087" s="0" t="s">
        <v>130</v>
      </c>
      <c r="BU1087" s="0" t="s">
        <v>130</v>
      </c>
      <c r="BV1087" s="0" t="s">
        <v>141</v>
      </c>
      <c r="BW1087" s="0" t="s">
        <v>141</v>
      </c>
      <c r="BX1087" s="0" t="s">
        <v>130</v>
      </c>
      <c r="BY1087" s="0" t="s">
        <v>130</v>
      </c>
      <c r="BZ1087" s="0" t="s">
        <v>130</v>
      </c>
      <c r="CA1087" s="0" t="s">
        <v>130</v>
      </c>
      <c r="CB1087" s="0" t="s">
        <v>130</v>
      </c>
      <c r="CC1087" s="0" t="s">
        <v>130</v>
      </c>
      <c r="CD1087" s="0" t="s">
        <v>130</v>
      </c>
      <c r="CE1087" s="0" t="s">
        <v>130</v>
      </c>
      <c r="CF1087" s="0" t="s">
        <v>130</v>
      </c>
      <c r="CG1087" s="0" t="s">
        <v>130</v>
      </c>
      <c r="CH1087" s="0" t="s">
        <v>130</v>
      </c>
      <c r="CI1087" s="0" t="s">
        <v>130</v>
      </c>
      <c r="CJ1087" s="0" t="s">
        <v>130</v>
      </c>
      <c r="CK1087" s="0" t="s">
        <v>130</v>
      </c>
      <c r="CL1087" s="0" t="s">
        <v>130</v>
      </c>
      <c r="CM1087" s="0" t="s">
        <v>130</v>
      </c>
      <c r="CN1087" s="0" t="s">
        <v>130</v>
      </c>
      <c r="CO1087" s="0" t="s">
        <v>130</v>
      </c>
      <c r="CP1087" s="0" t="s">
        <v>130</v>
      </c>
      <c r="CQ1087" s="0" t="s">
        <v>130</v>
      </c>
      <c r="CR1087" s="0" t="s">
        <v>130</v>
      </c>
      <c r="CS1087" s="0" t="s">
        <v>130</v>
      </c>
      <c r="CT1087" s="0" t="s">
        <v>3278</v>
      </c>
    </row>
    <row r="1088">
      <c r="A1088" s="14">
        <v>186941</v>
      </c>
      <c r="B1088" s="0" t="s">
        <v>3270</v>
      </c>
      <c r="C1088" s="16">
        <f>HYPERLINK("https://eosportal.federatedhermes.com/companies/Q29tcGFueQppNzc5MzA=", "China Construction Bank Corp")</f>
      </c>
      <c r="D1088" s="0" t="s">
        <v>25</v>
      </c>
      <c r="E1088" s="0" t="s">
        <v>3027</v>
      </c>
      <c r="F1088" s="16">
        <f>HYPERLINK("https://eosportal.federatedhermes.com/engagements/RW5nYWdlbWVudAppMjQ4Njc=", "Board gender diversity")</f>
      </c>
      <c r="G1088" s="14" t="s">
        <v>3279</v>
      </c>
      <c r="H1088" s="0" t="s">
        <v>141</v>
      </c>
      <c r="I1088" s="14" t="s">
        <v>131</v>
      </c>
      <c r="J1088" s="0" t="s">
        <v>145</v>
      </c>
      <c r="K1088" s="0" t="s">
        <v>164</v>
      </c>
      <c r="L1088" s="0" t="s">
        <v>165</v>
      </c>
      <c r="M1088" s="0" t="s">
        <v>2807</v>
      </c>
      <c r="N1088" s="0" t="s">
        <v>3272</v>
      </c>
      <c r="O1088" s="0" t="s">
        <v>238</v>
      </c>
      <c r="Q1088" s="0" t="s">
        <v>130</v>
      </c>
      <c r="R1088" s="0" t="s">
        <v>138</v>
      </c>
      <c r="S1088" s="14">
        <v>0</v>
      </c>
      <c r="T1088" s="0" t="s">
        <v>206</v>
      </c>
      <c r="U1088" s="0" t="s">
        <v>138</v>
      </c>
      <c r="V1088" s="14" t="s">
        <v>138</v>
      </c>
      <c r="W1088" s="0" t="s">
        <v>138</v>
      </c>
      <c r="X1088" s="14" t="s">
        <v>138</v>
      </c>
      <c r="Y1088" s="0" t="s">
        <v>138</v>
      </c>
      <c r="Z1088" s="14" t="s">
        <v>138</v>
      </c>
      <c r="AA1088" s="0" t="s">
        <v>138</v>
      </c>
      <c r="AB1088" s="14" t="s">
        <v>138</v>
      </c>
      <c r="AD1088" s="0" t="s">
        <v>138</v>
      </c>
      <c r="AF1088" s="0">
        <v>0</v>
      </c>
      <c r="AG1088" s="0">
        <v>0</v>
      </c>
      <c r="AH1088" s="0" t="s">
        <v>140</v>
      </c>
      <c r="AI1088" s="0" t="s">
        <v>138</v>
      </c>
      <c r="AL1088" s="14"/>
      <c r="AN1088" s="14"/>
      <c r="AQ1088" s="0" t="s">
        <v>130</v>
      </c>
      <c r="AR1088" s="0" t="s">
        <v>130</v>
      </c>
      <c r="AS1088" s="0" t="s">
        <v>130</v>
      </c>
      <c r="AT1088" s="0" t="s">
        <v>130</v>
      </c>
      <c r="AU1088" s="0" t="s">
        <v>141</v>
      </c>
      <c r="AV1088" s="0" t="s">
        <v>130</v>
      </c>
      <c r="AW1088" s="0" t="s">
        <v>130</v>
      </c>
      <c r="AX1088" s="0" t="s">
        <v>130</v>
      </c>
      <c r="AY1088" s="0" t="s">
        <v>130</v>
      </c>
      <c r="AZ1088" s="0" t="s">
        <v>130</v>
      </c>
      <c r="BA1088" s="0" t="s">
        <v>130</v>
      </c>
      <c r="BB1088" s="0" t="s">
        <v>130</v>
      </c>
      <c r="BC1088" s="0" t="s">
        <v>130</v>
      </c>
      <c r="BD1088" s="0" t="s">
        <v>130</v>
      </c>
      <c r="BE1088" s="0" t="s">
        <v>130</v>
      </c>
      <c r="BF1088" s="0" t="s">
        <v>130</v>
      </c>
      <c r="BG1088" s="0" t="s">
        <v>130</v>
      </c>
      <c r="BH1088" s="0" t="s">
        <v>130</v>
      </c>
      <c r="BI1088" s="0" t="s">
        <v>130</v>
      </c>
      <c r="BJ1088" s="0" t="s">
        <v>130</v>
      </c>
      <c r="BK1088" s="0" t="s">
        <v>130</v>
      </c>
      <c r="BL1088" s="0" t="s">
        <v>130</v>
      </c>
      <c r="BM1088" s="0" t="s">
        <v>130</v>
      </c>
      <c r="BN1088" s="0" t="s">
        <v>130</v>
      </c>
      <c r="BO1088" s="0" t="s">
        <v>130</v>
      </c>
      <c r="BP1088" s="0" t="s">
        <v>130</v>
      </c>
      <c r="BQ1088" s="0" t="s">
        <v>130</v>
      </c>
      <c r="BR1088" s="0" t="s">
        <v>130</v>
      </c>
      <c r="BS1088" s="0" t="s">
        <v>130</v>
      </c>
      <c r="BT1088" s="0" t="s">
        <v>130</v>
      </c>
      <c r="BU1088" s="0" t="s">
        <v>130</v>
      </c>
      <c r="BV1088" s="0" t="s">
        <v>130</v>
      </c>
      <c r="BW1088" s="0" t="s">
        <v>130</v>
      </c>
      <c r="BX1088" s="0" t="s">
        <v>130</v>
      </c>
      <c r="BY1088" s="0" t="s">
        <v>130</v>
      </c>
      <c r="BZ1088" s="0" t="s">
        <v>130</v>
      </c>
      <c r="CA1088" s="0" t="s">
        <v>130</v>
      </c>
      <c r="CB1088" s="0" t="s">
        <v>130</v>
      </c>
      <c r="CC1088" s="0" t="s">
        <v>130</v>
      </c>
      <c r="CD1088" s="0" t="s">
        <v>130</v>
      </c>
      <c r="CE1088" s="0" t="s">
        <v>130</v>
      </c>
      <c r="CF1088" s="0" t="s">
        <v>130</v>
      </c>
      <c r="CG1088" s="0" t="s">
        <v>130</v>
      </c>
      <c r="CH1088" s="0" t="s">
        <v>130</v>
      </c>
      <c r="CI1088" s="0" t="s">
        <v>130</v>
      </c>
      <c r="CJ1088" s="0" t="s">
        <v>130</v>
      </c>
      <c r="CK1088" s="0" t="s">
        <v>130</v>
      </c>
      <c r="CL1088" s="0" t="s">
        <v>130</v>
      </c>
      <c r="CM1088" s="0" t="s">
        <v>130</v>
      </c>
      <c r="CN1088" s="0" t="s">
        <v>130</v>
      </c>
      <c r="CO1088" s="0" t="s">
        <v>130</v>
      </c>
      <c r="CP1088" s="0" t="s">
        <v>130</v>
      </c>
      <c r="CQ1088" s="0" t="s">
        <v>130</v>
      </c>
      <c r="CR1088" s="0" t="s">
        <v>130</v>
      </c>
      <c r="CS1088" s="0" t="s">
        <v>130</v>
      </c>
      <c r="CT1088" s="0" t="s">
        <v>3280</v>
      </c>
    </row>
    <row r="1089">
      <c r="A1089" s="14">
        <v>815394</v>
      </c>
      <c r="B1089" s="0" t="s">
        <v>3281</v>
      </c>
      <c r="C1089" s="16">
        <f>HYPERLINK("https://eosportal.federatedhermes.com/companies/Q29tcGFueQppODA0ODY=", "Veolia Environnement SA")</f>
      </c>
      <c r="D1089" s="0" t="s">
        <v>25</v>
      </c>
      <c r="E1089" s="0" t="s">
        <v>3282</v>
      </c>
      <c r="F1089" s="16">
        <f>HYPERLINK("https://eosportal.federatedhermes.com/engagements/RW5nYWdlbWVudAppMjUxMDI=", "Responsible Water &amp; Waste Provisioning")</f>
      </c>
      <c r="G1089" s="14" t="s">
        <v>3283</v>
      </c>
      <c r="H1089" s="0" t="s">
        <v>130</v>
      </c>
      <c r="I1089" s="14" t="s">
        <v>131</v>
      </c>
      <c r="J1089" s="0" t="s">
        <v>197</v>
      </c>
      <c r="K1089" s="0" t="s">
        <v>337</v>
      </c>
      <c r="L1089" s="0" t="s">
        <v>338</v>
      </c>
      <c r="M1089" s="0" t="s">
        <v>378</v>
      </c>
      <c r="N1089" s="0" t="s">
        <v>1646</v>
      </c>
      <c r="O1089" s="0" t="s">
        <v>192</v>
      </c>
      <c r="Q1089" s="0" t="s">
        <v>130</v>
      </c>
      <c r="R1089" s="0" t="s">
        <v>138</v>
      </c>
      <c r="S1089" s="14">
        <v>0</v>
      </c>
      <c r="T1089" s="0" t="s">
        <v>457</v>
      </c>
      <c r="U1089" s="0" t="s">
        <v>138</v>
      </c>
      <c r="V1089" s="14" t="s">
        <v>138</v>
      </c>
      <c r="W1089" s="0" t="s">
        <v>138</v>
      </c>
      <c r="X1089" s="14" t="s">
        <v>138</v>
      </c>
      <c r="Y1089" s="0" t="s">
        <v>138</v>
      </c>
      <c r="Z1089" s="14" t="s">
        <v>138</v>
      </c>
      <c r="AA1089" s="0" t="s">
        <v>138</v>
      </c>
      <c r="AB1089" s="14" t="s">
        <v>138</v>
      </c>
      <c r="AD1089" s="0" t="s">
        <v>138</v>
      </c>
      <c r="AF1089" s="0">
        <v>0</v>
      </c>
      <c r="AG1089" s="0">
        <v>0</v>
      </c>
      <c r="AH1089" s="0" t="s">
        <v>140</v>
      </c>
      <c r="AI1089" s="0" t="s">
        <v>138</v>
      </c>
      <c r="AL1089" s="14"/>
      <c r="AN1089" s="14"/>
      <c r="AQ1089" s="0" t="s">
        <v>130</v>
      </c>
      <c r="AR1089" s="0" t="s">
        <v>130</v>
      </c>
      <c r="AS1089" s="0" t="s">
        <v>130</v>
      </c>
      <c r="AT1089" s="0" t="s">
        <v>130</v>
      </c>
      <c r="AU1089" s="0" t="s">
        <v>130</v>
      </c>
      <c r="AV1089" s="0" t="s">
        <v>141</v>
      </c>
      <c r="AW1089" s="0" t="s">
        <v>130</v>
      </c>
      <c r="AX1089" s="0" t="s">
        <v>130</v>
      </c>
      <c r="AY1089" s="0" t="s">
        <v>130</v>
      </c>
      <c r="AZ1089" s="0" t="s">
        <v>130</v>
      </c>
      <c r="BA1089" s="0" t="s">
        <v>130</v>
      </c>
      <c r="BB1089" s="0" t="s">
        <v>130</v>
      </c>
      <c r="BC1089" s="0" t="s">
        <v>130</v>
      </c>
      <c r="BD1089" s="0" t="s">
        <v>130</v>
      </c>
      <c r="BE1089" s="0" t="s">
        <v>130</v>
      </c>
      <c r="BF1089" s="0" t="s">
        <v>130</v>
      </c>
      <c r="BG1089" s="0" t="s">
        <v>130</v>
      </c>
      <c r="BH1089" s="0" t="s">
        <v>130</v>
      </c>
      <c r="BI1089" s="0" t="s">
        <v>130</v>
      </c>
      <c r="BJ1089" s="0" t="s">
        <v>130</v>
      </c>
      <c r="BK1089" s="0" t="s">
        <v>130</v>
      </c>
      <c r="BL1089" s="0" t="s">
        <v>130</v>
      </c>
      <c r="BM1089" s="0" t="s">
        <v>130</v>
      </c>
      <c r="BN1089" s="0" t="s">
        <v>130</v>
      </c>
      <c r="BO1089" s="0" t="s">
        <v>130</v>
      </c>
      <c r="BP1089" s="0" t="s">
        <v>130</v>
      </c>
      <c r="BQ1089" s="0" t="s">
        <v>130</v>
      </c>
      <c r="BR1089" s="0" t="s">
        <v>130</v>
      </c>
      <c r="BS1089" s="0" t="s">
        <v>130</v>
      </c>
      <c r="BT1089" s="0" t="s">
        <v>130</v>
      </c>
      <c r="BU1089" s="0" t="s">
        <v>130</v>
      </c>
      <c r="BV1089" s="0" t="s">
        <v>130</v>
      </c>
      <c r="BW1089" s="0" t="s">
        <v>130</v>
      </c>
      <c r="BX1089" s="0" t="s">
        <v>141</v>
      </c>
      <c r="BY1089" s="0" t="s">
        <v>130</v>
      </c>
      <c r="BZ1089" s="0" t="s">
        <v>130</v>
      </c>
      <c r="CA1089" s="0" t="s">
        <v>130</v>
      </c>
      <c r="CB1089" s="0" t="s">
        <v>130</v>
      </c>
      <c r="CC1089" s="0" t="s">
        <v>130</v>
      </c>
      <c r="CD1089" s="0" t="s">
        <v>130</v>
      </c>
      <c r="CE1089" s="0" t="s">
        <v>130</v>
      </c>
      <c r="CF1089" s="0" t="s">
        <v>130</v>
      </c>
      <c r="CG1089" s="0" t="s">
        <v>130</v>
      </c>
      <c r="CH1089" s="0" t="s">
        <v>130</v>
      </c>
      <c r="CI1089" s="0" t="s">
        <v>130</v>
      </c>
      <c r="CJ1089" s="0" t="s">
        <v>130</v>
      </c>
      <c r="CK1089" s="0" t="s">
        <v>130</v>
      </c>
      <c r="CL1089" s="0" t="s">
        <v>130</v>
      </c>
      <c r="CM1089" s="0" t="s">
        <v>130</v>
      </c>
      <c r="CN1089" s="0" t="s">
        <v>130</v>
      </c>
      <c r="CO1089" s="0" t="s">
        <v>130</v>
      </c>
      <c r="CP1089" s="0" t="s">
        <v>130</v>
      </c>
      <c r="CQ1089" s="0" t="s">
        <v>130</v>
      </c>
      <c r="CR1089" s="0" t="s">
        <v>130</v>
      </c>
      <c r="CS1089" s="0" t="s">
        <v>130</v>
      </c>
      <c r="CT1089" s="0" t="s">
        <v>3284</v>
      </c>
    </row>
    <row r="1090">
      <c r="A1090" s="14">
        <v>815394</v>
      </c>
      <c r="B1090" s="0" t="s">
        <v>3281</v>
      </c>
      <c r="C1090" s="16">
        <f>HYPERLINK("https://eosportal.federatedhermes.com/companies/Q29tcGFueQppODA0ODY=", "Veolia Environnement SA")</f>
      </c>
      <c r="D1090" s="0" t="s">
        <v>25</v>
      </c>
      <c r="E1090" s="0" t="s">
        <v>3285</v>
      </c>
      <c r="F1090" s="16">
        <f>HYPERLINK("https://eosportal.federatedhermes.com/engagements/RW5nYWdlbWVudAppMjUxMDM=", "Coal Asset Retirement Deadlines")</f>
      </c>
      <c r="G1090" s="14" t="s">
        <v>3286</v>
      </c>
      <c r="H1090" s="0" t="s">
        <v>130</v>
      </c>
      <c r="I1090" s="14" t="s">
        <v>131</v>
      </c>
      <c r="J1090" s="0" t="s">
        <v>197</v>
      </c>
      <c r="K1090" s="0" t="s">
        <v>198</v>
      </c>
      <c r="L1090" s="0" t="s">
        <v>216</v>
      </c>
      <c r="M1090" s="0" t="s">
        <v>378</v>
      </c>
      <c r="N1090" s="0" t="s">
        <v>1646</v>
      </c>
      <c r="O1090" s="0" t="s">
        <v>192</v>
      </c>
      <c r="Q1090" s="0" t="s">
        <v>141</v>
      </c>
      <c r="R1090" s="0" t="s">
        <v>138</v>
      </c>
      <c r="S1090" s="14">
        <v>1</v>
      </c>
      <c r="T1090" s="0" t="s">
        <v>230</v>
      </c>
      <c r="U1090" s="0" t="s">
        <v>138</v>
      </c>
      <c r="V1090" s="14" t="s">
        <v>138</v>
      </c>
      <c r="W1090" s="0" t="s">
        <v>138</v>
      </c>
      <c r="X1090" s="14" t="s">
        <v>138</v>
      </c>
      <c r="Y1090" s="0" t="s">
        <v>138</v>
      </c>
      <c r="Z1090" s="14" t="s">
        <v>138</v>
      </c>
      <c r="AA1090" s="0" t="s">
        <v>138</v>
      </c>
      <c r="AB1090" s="14" t="s">
        <v>138</v>
      </c>
      <c r="AD1090" s="0" t="s">
        <v>138</v>
      </c>
      <c r="AF1090" s="0">
        <v>0</v>
      </c>
      <c r="AG1090" s="0">
        <v>0</v>
      </c>
      <c r="AH1090" s="0" t="s">
        <v>140</v>
      </c>
      <c r="AI1090" s="0" t="s">
        <v>138</v>
      </c>
      <c r="AK1090" s="0" t="s">
        <v>714</v>
      </c>
      <c r="AL1090" s="14"/>
      <c r="AN1090" s="14"/>
      <c r="AQ1090" s="0" t="s">
        <v>130</v>
      </c>
      <c r="AR1090" s="0" t="s">
        <v>130</v>
      </c>
      <c r="AS1090" s="0" t="s">
        <v>130</v>
      </c>
      <c r="AT1090" s="0" t="s">
        <v>130</v>
      </c>
      <c r="AU1090" s="0" t="s">
        <v>130</v>
      </c>
      <c r="AV1090" s="0" t="s">
        <v>130</v>
      </c>
      <c r="AW1090" s="0" t="s">
        <v>141</v>
      </c>
      <c r="AX1090" s="0" t="s">
        <v>130</v>
      </c>
      <c r="AY1090" s="0" t="s">
        <v>130</v>
      </c>
      <c r="AZ1090" s="0" t="s">
        <v>130</v>
      </c>
      <c r="BA1090" s="0" t="s">
        <v>130</v>
      </c>
      <c r="BB1090" s="0" t="s">
        <v>130</v>
      </c>
      <c r="BC1090" s="0" t="s">
        <v>141</v>
      </c>
      <c r="BD1090" s="0" t="s">
        <v>130</v>
      </c>
      <c r="BE1090" s="0" t="s">
        <v>130</v>
      </c>
      <c r="BF1090" s="0" t="s">
        <v>130</v>
      </c>
      <c r="BG1090" s="0" t="s">
        <v>130</v>
      </c>
      <c r="BH1090" s="0" t="s">
        <v>141</v>
      </c>
      <c r="BI1090" s="0" t="s">
        <v>141</v>
      </c>
      <c r="BJ1090" s="0" t="s">
        <v>141</v>
      </c>
      <c r="BK1090" s="0" t="s">
        <v>130</v>
      </c>
      <c r="BL1090" s="0" t="s">
        <v>130</v>
      </c>
      <c r="BM1090" s="0" t="s">
        <v>130</v>
      </c>
      <c r="BN1090" s="0" t="s">
        <v>130</v>
      </c>
      <c r="BO1090" s="0" t="s">
        <v>130</v>
      </c>
      <c r="BP1090" s="0" t="s">
        <v>130</v>
      </c>
      <c r="BQ1090" s="0" t="s">
        <v>130</v>
      </c>
      <c r="BR1090" s="0" t="s">
        <v>130</v>
      </c>
      <c r="BS1090" s="0" t="s">
        <v>130</v>
      </c>
      <c r="BT1090" s="0" t="s">
        <v>130</v>
      </c>
      <c r="BU1090" s="0" t="s">
        <v>130</v>
      </c>
      <c r="BV1090" s="0" t="s">
        <v>141</v>
      </c>
      <c r="BW1090" s="0" t="s">
        <v>141</v>
      </c>
      <c r="BX1090" s="0" t="s">
        <v>130</v>
      </c>
      <c r="BY1090" s="0" t="s">
        <v>130</v>
      </c>
      <c r="BZ1090" s="0" t="s">
        <v>130</v>
      </c>
      <c r="CA1090" s="0" t="s">
        <v>130</v>
      </c>
      <c r="CB1090" s="0" t="s">
        <v>130</v>
      </c>
      <c r="CC1090" s="0" t="s">
        <v>130</v>
      </c>
      <c r="CD1090" s="0" t="s">
        <v>130</v>
      </c>
      <c r="CE1090" s="0" t="s">
        <v>130</v>
      </c>
      <c r="CF1090" s="0" t="s">
        <v>130</v>
      </c>
      <c r="CG1090" s="0" t="s">
        <v>130</v>
      </c>
      <c r="CH1090" s="0" t="s">
        <v>130</v>
      </c>
      <c r="CI1090" s="0" t="s">
        <v>130</v>
      </c>
      <c r="CJ1090" s="0" t="s">
        <v>130</v>
      </c>
      <c r="CK1090" s="0" t="s">
        <v>130</v>
      </c>
      <c r="CL1090" s="0" t="s">
        <v>130</v>
      </c>
      <c r="CM1090" s="0" t="s">
        <v>130</v>
      </c>
      <c r="CN1090" s="0" t="s">
        <v>130</v>
      </c>
      <c r="CO1090" s="0" t="s">
        <v>130</v>
      </c>
      <c r="CP1090" s="0" t="s">
        <v>130</v>
      </c>
      <c r="CQ1090" s="0" t="s">
        <v>130</v>
      </c>
      <c r="CR1090" s="0" t="s">
        <v>130</v>
      </c>
      <c r="CS1090" s="0" t="s">
        <v>130</v>
      </c>
      <c r="CT1090" s="0" t="s">
        <v>3287</v>
      </c>
    </row>
    <row r="1091">
      <c r="A1091" s="14">
        <v>815394</v>
      </c>
      <c r="B1091" s="0" t="s">
        <v>3281</v>
      </c>
      <c r="C1091" s="16">
        <f>HYPERLINK("https://eosportal.federatedhermes.com/companies/Q29tcGFueQppODA0ODY=", "Veolia Environnement SA")</f>
      </c>
      <c r="D1091" s="0" t="s">
        <v>25</v>
      </c>
      <c r="E1091" s="0" t="s">
        <v>729</v>
      </c>
      <c r="F1091" s="16">
        <f>HYPERLINK("https://eosportal.federatedhermes.com/engagements/RW5nYWdlbWVudAppMjUxMDQ=", "Board diversity")</f>
      </c>
      <c r="G1091" s="14" t="s">
        <v>2462</v>
      </c>
      <c r="H1091" s="0" t="s">
        <v>130</v>
      </c>
      <c r="I1091" s="14" t="s">
        <v>131</v>
      </c>
      <c r="J1091" s="0" t="s">
        <v>145</v>
      </c>
      <c r="K1091" s="0" t="s">
        <v>164</v>
      </c>
      <c r="L1091" s="0" t="s">
        <v>165</v>
      </c>
      <c r="M1091" s="0" t="s">
        <v>378</v>
      </c>
      <c r="N1091" s="0" t="s">
        <v>1646</v>
      </c>
      <c r="O1091" s="0" t="s">
        <v>192</v>
      </c>
      <c r="Q1091" s="0" t="s">
        <v>130</v>
      </c>
      <c r="R1091" s="0" t="s">
        <v>138</v>
      </c>
      <c r="S1091" s="14">
        <v>0</v>
      </c>
      <c r="T1091" s="0" t="s">
        <v>457</v>
      </c>
      <c r="U1091" s="0" t="s">
        <v>138</v>
      </c>
      <c r="V1091" s="14" t="s">
        <v>138</v>
      </c>
      <c r="W1091" s="0" t="s">
        <v>138</v>
      </c>
      <c r="X1091" s="14" t="s">
        <v>138</v>
      </c>
      <c r="Y1091" s="0" t="s">
        <v>138</v>
      </c>
      <c r="Z1091" s="14" t="s">
        <v>138</v>
      </c>
      <c r="AA1091" s="0" t="s">
        <v>138</v>
      </c>
      <c r="AB1091" s="14" t="s">
        <v>138</v>
      </c>
      <c r="AD1091" s="0" t="s">
        <v>138</v>
      </c>
      <c r="AF1091" s="0">
        <v>0</v>
      </c>
      <c r="AG1091" s="0">
        <v>0</v>
      </c>
      <c r="AH1091" s="0" t="s">
        <v>140</v>
      </c>
      <c r="AI1091" s="0" t="s">
        <v>138</v>
      </c>
      <c r="AL1091" s="14"/>
      <c r="AN1091" s="14"/>
      <c r="AQ1091" s="0" t="s">
        <v>130</v>
      </c>
      <c r="AR1091" s="0" t="s">
        <v>130</v>
      </c>
      <c r="AS1091" s="0" t="s">
        <v>130</v>
      </c>
      <c r="AT1091" s="0" t="s">
        <v>130</v>
      </c>
      <c r="AU1091" s="0" t="s">
        <v>141</v>
      </c>
      <c r="AV1091" s="0" t="s">
        <v>130</v>
      </c>
      <c r="AW1091" s="0" t="s">
        <v>130</v>
      </c>
      <c r="AX1091" s="0" t="s">
        <v>130</v>
      </c>
      <c r="AY1091" s="0" t="s">
        <v>130</v>
      </c>
      <c r="AZ1091" s="0" t="s">
        <v>141</v>
      </c>
      <c r="BA1091" s="0" t="s">
        <v>130</v>
      </c>
      <c r="BB1091" s="0" t="s">
        <v>130</v>
      </c>
      <c r="BC1091" s="0" t="s">
        <v>130</v>
      </c>
      <c r="BD1091" s="0" t="s">
        <v>130</v>
      </c>
      <c r="BE1091" s="0" t="s">
        <v>130</v>
      </c>
      <c r="BF1091" s="0" t="s">
        <v>130</v>
      </c>
      <c r="BG1091" s="0" t="s">
        <v>130</v>
      </c>
      <c r="BH1091" s="0" t="s">
        <v>130</v>
      </c>
      <c r="BI1091" s="0" t="s">
        <v>130</v>
      </c>
      <c r="BJ1091" s="0" t="s">
        <v>130</v>
      </c>
      <c r="BK1091" s="0" t="s">
        <v>130</v>
      </c>
      <c r="BL1091" s="0" t="s">
        <v>130</v>
      </c>
      <c r="BM1091" s="0" t="s">
        <v>130</v>
      </c>
      <c r="BN1091" s="0" t="s">
        <v>130</v>
      </c>
      <c r="BO1091" s="0" t="s">
        <v>130</v>
      </c>
      <c r="BP1091" s="0" t="s">
        <v>130</v>
      </c>
      <c r="BQ1091" s="0" t="s">
        <v>130</v>
      </c>
      <c r="BR1091" s="0" t="s">
        <v>130</v>
      </c>
      <c r="BS1091" s="0" t="s">
        <v>130</v>
      </c>
      <c r="BT1091" s="0" t="s">
        <v>130</v>
      </c>
      <c r="BU1091" s="0" t="s">
        <v>130</v>
      </c>
      <c r="BV1091" s="0" t="s">
        <v>130</v>
      </c>
      <c r="BW1091" s="0" t="s">
        <v>130</v>
      </c>
      <c r="BX1091" s="0" t="s">
        <v>130</v>
      </c>
      <c r="BY1091" s="0" t="s">
        <v>130</v>
      </c>
      <c r="BZ1091" s="0" t="s">
        <v>130</v>
      </c>
      <c r="CA1091" s="0" t="s">
        <v>130</v>
      </c>
      <c r="CB1091" s="0" t="s">
        <v>130</v>
      </c>
      <c r="CC1091" s="0" t="s">
        <v>130</v>
      </c>
      <c r="CD1091" s="0" t="s">
        <v>130</v>
      </c>
      <c r="CE1091" s="0" t="s">
        <v>130</v>
      </c>
      <c r="CF1091" s="0" t="s">
        <v>130</v>
      </c>
      <c r="CG1091" s="0" t="s">
        <v>130</v>
      </c>
      <c r="CH1091" s="0" t="s">
        <v>130</v>
      </c>
      <c r="CI1091" s="0" t="s">
        <v>130</v>
      </c>
      <c r="CJ1091" s="0" t="s">
        <v>130</v>
      </c>
      <c r="CK1091" s="0" t="s">
        <v>130</v>
      </c>
      <c r="CL1091" s="0" t="s">
        <v>130</v>
      </c>
      <c r="CM1091" s="0" t="s">
        <v>130</v>
      </c>
      <c r="CN1091" s="0" t="s">
        <v>130</v>
      </c>
      <c r="CO1091" s="0" t="s">
        <v>130</v>
      </c>
      <c r="CP1091" s="0" t="s">
        <v>130</v>
      </c>
      <c r="CQ1091" s="0" t="s">
        <v>130</v>
      </c>
      <c r="CR1091" s="0" t="s">
        <v>130</v>
      </c>
      <c r="CS1091" s="0" t="s">
        <v>130</v>
      </c>
      <c r="CT1091" s="0" t="s">
        <v>3288</v>
      </c>
    </row>
    <row r="1092">
      <c r="A1092" s="14">
        <v>815394</v>
      </c>
      <c r="B1092" s="0" t="s">
        <v>3281</v>
      </c>
      <c r="C1092" s="16">
        <f>HYPERLINK("https://eosportal.federatedhermes.com/companies/Q29tcGFueQppODA0ODY=", "Veolia Environnement SA")</f>
      </c>
      <c r="D1092" s="0" t="s">
        <v>23</v>
      </c>
      <c r="E1092" s="0" t="s">
        <v>3289</v>
      </c>
      <c r="F1092" s="16">
        <f>HYPERLINK("https://eosportal.federatedhermes.com/engagements/RW5nYWdlbWVudAppMjUxMDg=", "Post-Merger Carbon &amp; Methane Emissions Targets for the Combined Business")</f>
      </c>
      <c r="G1092" s="14" t="s">
        <v>3290</v>
      </c>
      <c r="H1092" s="0" t="s">
        <v>130</v>
      </c>
      <c r="I1092" s="14" t="s">
        <v>131</v>
      </c>
      <c r="J1092" s="0" t="s">
        <v>197</v>
      </c>
      <c r="K1092" s="0" t="s">
        <v>198</v>
      </c>
      <c r="L1092" s="0" t="s">
        <v>216</v>
      </c>
      <c r="M1092" s="0" t="s">
        <v>378</v>
      </c>
      <c r="N1092" s="0" t="s">
        <v>1646</v>
      </c>
      <c r="O1092" s="0" t="s">
        <v>192</v>
      </c>
      <c r="Q1092" s="0" t="s">
        <v>130</v>
      </c>
      <c r="R1092" s="0" t="s">
        <v>130</v>
      </c>
      <c r="S1092" s="14">
        <v>0</v>
      </c>
      <c r="T1092" s="0" t="s">
        <v>230</v>
      </c>
      <c r="U1092" s="0" t="s">
        <v>221</v>
      </c>
      <c r="V1092" s="14" t="s">
        <v>230</v>
      </c>
      <c r="W1092" s="0" t="s">
        <v>221</v>
      </c>
      <c r="X1092" s="14" t="s">
        <v>597</v>
      </c>
      <c r="Y1092" s="0" t="s">
        <v>223</v>
      </c>
      <c r="Z1092" s="14" t="s">
        <v>138</v>
      </c>
      <c r="AA1092" s="0" t="s">
        <v>224</v>
      </c>
      <c r="AB1092" s="14" t="s">
        <v>138</v>
      </c>
      <c r="AD1092" s="0" t="s">
        <v>17</v>
      </c>
      <c r="AF1092" s="0">
        <v>0</v>
      </c>
      <c r="AG1092" s="0">
        <v>0</v>
      </c>
      <c r="AH1092" s="0" t="s">
        <v>140</v>
      </c>
      <c r="AI1092" s="0" t="s">
        <v>232</v>
      </c>
      <c r="AL1092" s="14"/>
      <c r="AN1092" s="14"/>
      <c r="AQ1092" s="0" t="s">
        <v>130</v>
      </c>
      <c r="AR1092" s="0" t="s">
        <v>130</v>
      </c>
      <c r="AS1092" s="0" t="s">
        <v>130</v>
      </c>
      <c r="AT1092" s="0" t="s">
        <v>130</v>
      </c>
      <c r="AU1092" s="0" t="s">
        <v>130</v>
      </c>
      <c r="AV1092" s="0" t="s">
        <v>130</v>
      </c>
      <c r="AW1092" s="0" t="s">
        <v>141</v>
      </c>
      <c r="AX1092" s="0" t="s">
        <v>130</v>
      </c>
      <c r="AY1092" s="0" t="s">
        <v>141</v>
      </c>
      <c r="AZ1092" s="0" t="s">
        <v>130</v>
      </c>
      <c r="BA1092" s="0" t="s">
        <v>130</v>
      </c>
      <c r="BB1092" s="0" t="s">
        <v>130</v>
      </c>
      <c r="BC1092" s="0" t="s">
        <v>141</v>
      </c>
      <c r="BD1092" s="0" t="s">
        <v>130</v>
      </c>
      <c r="BE1092" s="0" t="s">
        <v>130</v>
      </c>
      <c r="BF1092" s="0" t="s">
        <v>130</v>
      </c>
      <c r="BG1092" s="0" t="s">
        <v>130</v>
      </c>
      <c r="BH1092" s="0" t="s">
        <v>141</v>
      </c>
      <c r="BI1092" s="0" t="s">
        <v>141</v>
      </c>
      <c r="BJ1092" s="0" t="s">
        <v>141</v>
      </c>
      <c r="BK1092" s="0" t="s">
        <v>130</v>
      </c>
      <c r="BL1092" s="0" t="s">
        <v>130</v>
      </c>
      <c r="BM1092" s="0" t="s">
        <v>130</v>
      </c>
      <c r="BN1092" s="0" t="s">
        <v>130</v>
      </c>
      <c r="BO1092" s="0" t="s">
        <v>130</v>
      </c>
      <c r="BP1092" s="0" t="s">
        <v>130</v>
      </c>
      <c r="BQ1092" s="0" t="s">
        <v>130</v>
      </c>
      <c r="BR1092" s="0" t="s">
        <v>130</v>
      </c>
      <c r="BS1092" s="0" t="s">
        <v>130</v>
      </c>
      <c r="BT1092" s="0" t="s">
        <v>130</v>
      </c>
      <c r="BU1092" s="0" t="s">
        <v>130</v>
      </c>
      <c r="BV1092" s="0" t="s">
        <v>141</v>
      </c>
      <c r="BW1092" s="0" t="s">
        <v>141</v>
      </c>
      <c r="BX1092" s="0" t="s">
        <v>130</v>
      </c>
      <c r="BY1092" s="0" t="s">
        <v>130</v>
      </c>
      <c r="BZ1092" s="0" t="s">
        <v>130</v>
      </c>
      <c r="CA1092" s="0" t="s">
        <v>130</v>
      </c>
      <c r="CB1092" s="0" t="s">
        <v>130</v>
      </c>
      <c r="CC1092" s="0" t="s">
        <v>130</v>
      </c>
      <c r="CD1092" s="0" t="s">
        <v>130</v>
      </c>
      <c r="CE1092" s="0" t="s">
        <v>130</v>
      </c>
      <c r="CF1092" s="0" t="s">
        <v>130</v>
      </c>
      <c r="CG1092" s="0" t="s">
        <v>130</v>
      </c>
      <c r="CH1092" s="0" t="s">
        <v>130</v>
      </c>
      <c r="CI1092" s="0" t="s">
        <v>130</v>
      </c>
      <c r="CJ1092" s="0" t="s">
        <v>130</v>
      </c>
      <c r="CK1092" s="0" t="s">
        <v>130</v>
      </c>
      <c r="CL1092" s="0" t="s">
        <v>130</v>
      </c>
      <c r="CM1092" s="0" t="s">
        <v>130</v>
      </c>
      <c r="CN1092" s="0" t="s">
        <v>130</v>
      </c>
      <c r="CO1092" s="0" t="s">
        <v>130</v>
      </c>
      <c r="CP1092" s="0" t="s">
        <v>130</v>
      </c>
      <c r="CQ1092" s="0" t="s">
        <v>130</v>
      </c>
      <c r="CR1092" s="0" t="s">
        <v>130</v>
      </c>
      <c r="CS1092" s="0" t="s">
        <v>130</v>
      </c>
      <c r="CT1092" s="0" t="s">
        <v>3291</v>
      </c>
    </row>
    <row r="1093">
      <c r="A1093" s="14">
        <v>815394</v>
      </c>
      <c r="B1093" s="0" t="s">
        <v>3281</v>
      </c>
      <c r="C1093" s="16">
        <f>HYPERLINK("https://eosportal.federatedhermes.com/companies/Q29tcGFueQppODA0ODY=", "Veolia Environnement SA")</f>
      </c>
      <c r="D1093" s="0" t="s">
        <v>23</v>
      </c>
      <c r="E1093" s="0" t="s">
        <v>3292</v>
      </c>
      <c r="F1093" s="16">
        <f>HYPERLINK("https://eosportal.federatedhermes.com/engagements/RW5nYWdlbWVudAppMjUxMDk=", "Introduce Living Wage &amp; Disclose Benefits")</f>
      </c>
      <c r="G1093" s="14" t="s">
        <v>3293</v>
      </c>
      <c r="H1093" s="0" t="s">
        <v>130</v>
      </c>
      <c r="I1093" s="14" t="s">
        <v>131</v>
      </c>
      <c r="J1093" s="0" t="s">
        <v>153</v>
      </c>
      <c r="K1093" s="0" t="s">
        <v>154</v>
      </c>
      <c r="L1093" s="0" t="s">
        <v>306</v>
      </c>
      <c r="M1093" s="0" t="s">
        <v>378</v>
      </c>
      <c r="N1093" s="0" t="s">
        <v>1646</v>
      </c>
      <c r="O1093" s="0" t="s">
        <v>192</v>
      </c>
      <c r="Q1093" s="0" t="s">
        <v>130</v>
      </c>
      <c r="R1093" s="0" t="s">
        <v>130</v>
      </c>
      <c r="S1093" s="14">
        <v>0</v>
      </c>
      <c r="T1093" s="0" t="s">
        <v>230</v>
      </c>
      <c r="U1093" s="0" t="s">
        <v>221</v>
      </c>
      <c r="V1093" s="14" t="s">
        <v>230</v>
      </c>
      <c r="W1093" s="0" t="s">
        <v>223</v>
      </c>
      <c r="X1093" s="14" t="s">
        <v>138</v>
      </c>
      <c r="Y1093" s="0" t="s">
        <v>224</v>
      </c>
      <c r="Z1093" s="14" t="s">
        <v>138</v>
      </c>
      <c r="AA1093" s="0" t="s">
        <v>224</v>
      </c>
      <c r="AB1093" s="14" t="s">
        <v>138</v>
      </c>
      <c r="AD1093" s="0" t="s">
        <v>14</v>
      </c>
      <c r="AF1093" s="0">
        <v>0</v>
      </c>
      <c r="AG1093" s="0">
        <v>0</v>
      </c>
      <c r="AH1093" s="0" t="s">
        <v>140</v>
      </c>
      <c r="AI1093" s="0" t="s">
        <v>225</v>
      </c>
      <c r="AL1093" s="14"/>
      <c r="AN1093" s="14"/>
      <c r="AQ1093" s="0" t="s">
        <v>141</v>
      </c>
      <c r="AR1093" s="0" t="s">
        <v>130</v>
      </c>
      <c r="AS1093" s="0" t="s">
        <v>130</v>
      </c>
      <c r="AT1093" s="0" t="s">
        <v>130</v>
      </c>
      <c r="AU1093" s="0" t="s">
        <v>130</v>
      </c>
      <c r="AV1093" s="0" t="s">
        <v>130</v>
      </c>
      <c r="AW1093" s="0" t="s">
        <v>130</v>
      </c>
      <c r="AX1093" s="0" t="s">
        <v>141</v>
      </c>
      <c r="AY1093" s="0" t="s">
        <v>130</v>
      </c>
      <c r="AZ1093" s="0" t="s">
        <v>141</v>
      </c>
      <c r="BA1093" s="0" t="s">
        <v>130</v>
      </c>
      <c r="BB1093" s="0" t="s">
        <v>130</v>
      </c>
      <c r="BC1093" s="0" t="s">
        <v>130</v>
      </c>
      <c r="BD1093" s="0" t="s">
        <v>130</v>
      </c>
      <c r="BE1093" s="0" t="s">
        <v>130</v>
      </c>
      <c r="BF1093" s="0" t="s">
        <v>130</v>
      </c>
      <c r="BG1093" s="0" t="s">
        <v>130</v>
      </c>
      <c r="BH1093" s="0" t="s">
        <v>130</v>
      </c>
      <c r="BI1093" s="0" t="s">
        <v>130</v>
      </c>
      <c r="BJ1093" s="0" t="s">
        <v>130</v>
      </c>
      <c r="BK1093" s="0" t="s">
        <v>130</v>
      </c>
      <c r="BL1093" s="0" t="s">
        <v>130</v>
      </c>
      <c r="BM1093" s="0" t="s">
        <v>130</v>
      </c>
      <c r="BN1093" s="0" t="s">
        <v>130</v>
      </c>
      <c r="BO1093" s="0" t="s">
        <v>130</v>
      </c>
      <c r="BP1093" s="0" t="s">
        <v>130</v>
      </c>
      <c r="BQ1093" s="0" t="s">
        <v>130</v>
      </c>
      <c r="BR1093" s="0" t="s">
        <v>130</v>
      </c>
      <c r="BS1093" s="0" t="s">
        <v>130</v>
      </c>
      <c r="BT1093" s="0" t="s">
        <v>130</v>
      </c>
      <c r="BU1093" s="0" t="s">
        <v>130</v>
      </c>
      <c r="BV1093" s="0" t="s">
        <v>130</v>
      </c>
      <c r="BW1093" s="0" t="s">
        <v>130</v>
      </c>
      <c r="BX1093" s="0" t="s">
        <v>130</v>
      </c>
      <c r="BY1093" s="0" t="s">
        <v>130</v>
      </c>
      <c r="BZ1093" s="0" t="s">
        <v>130</v>
      </c>
      <c r="CA1093" s="0" t="s">
        <v>130</v>
      </c>
      <c r="CB1093" s="0" t="s">
        <v>130</v>
      </c>
      <c r="CC1093" s="0" t="s">
        <v>130</v>
      </c>
      <c r="CD1093" s="0" t="s">
        <v>130</v>
      </c>
      <c r="CE1093" s="0" t="s">
        <v>130</v>
      </c>
      <c r="CF1093" s="0" t="s">
        <v>130</v>
      </c>
      <c r="CG1093" s="0" t="s">
        <v>130</v>
      </c>
      <c r="CH1093" s="0" t="s">
        <v>130</v>
      </c>
      <c r="CI1093" s="0" t="s">
        <v>130</v>
      </c>
      <c r="CJ1093" s="0" t="s">
        <v>130</v>
      </c>
      <c r="CK1093" s="0" t="s">
        <v>130</v>
      </c>
      <c r="CL1093" s="0" t="s">
        <v>130</v>
      </c>
      <c r="CM1093" s="0" t="s">
        <v>130</v>
      </c>
      <c r="CN1093" s="0" t="s">
        <v>130</v>
      </c>
      <c r="CO1093" s="0" t="s">
        <v>130</v>
      </c>
      <c r="CP1093" s="0" t="s">
        <v>130</v>
      </c>
      <c r="CQ1093" s="0" t="s">
        <v>130</v>
      </c>
      <c r="CR1093" s="0" t="s">
        <v>130</v>
      </c>
      <c r="CS1093" s="0" t="s">
        <v>130</v>
      </c>
      <c r="CT1093" s="0" t="s">
        <v>3294</v>
      </c>
    </row>
    <row r="1094">
      <c r="A1094" s="14">
        <v>815394</v>
      </c>
      <c r="B1094" s="0" t="s">
        <v>3281</v>
      </c>
      <c r="C1094" s="16">
        <f>HYPERLINK("https://eosportal.federatedhermes.com/companies/Q29tcGFueQppODA0ODY=", "Veolia Environnement SA")</f>
      </c>
      <c r="D1094" s="0" t="s">
        <v>25</v>
      </c>
      <c r="E1094" s="0" t="s">
        <v>873</v>
      </c>
      <c r="F1094" s="16">
        <f>HYPERLINK("https://eosportal.federatedhermes.com/engagements/RW5nYWdlbWVudAppMjUxMTE=", "Risk management")</f>
      </c>
      <c r="G1094" s="14" t="s">
        <v>3295</v>
      </c>
      <c r="H1094" s="0" t="s">
        <v>130</v>
      </c>
      <c r="I1094" s="14" t="s">
        <v>131</v>
      </c>
      <c r="J1094" s="0" t="s">
        <v>132</v>
      </c>
      <c r="K1094" s="0" t="s">
        <v>260</v>
      </c>
      <c r="L1094" s="0" t="s">
        <v>261</v>
      </c>
      <c r="M1094" s="0" t="s">
        <v>378</v>
      </c>
      <c r="N1094" s="0" t="s">
        <v>1646</v>
      </c>
      <c r="O1094" s="0" t="s">
        <v>192</v>
      </c>
      <c r="Q1094" s="0" t="s">
        <v>130</v>
      </c>
      <c r="R1094" s="0" t="s">
        <v>138</v>
      </c>
      <c r="S1094" s="14">
        <v>0</v>
      </c>
      <c r="T1094" s="0" t="s">
        <v>3296</v>
      </c>
      <c r="U1094" s="0" t="s">
        <v>138</v>
      </c>
      <c r="V1094" s="14" t="s">
        <v>138</v>
      </c>
      <c r="W1094" s="0" t="s">
        <v>138</v>
      </c>
      <c r="X1094" s="14" t="s">
        <v>138</v>
      </c>
      <c r="Y1094" s="0" t="s">
        <v>138</v>
      </c>
      <c r="Z1094" s="14" t="s">
        <v>138</v>
      </c>
      <c r="AA1094" s="0" t="s">
        <v>138</v>
      </c>
      <c r="AB1094" s="14" t="s">
        <v>138</v>
      </c>
      <c r="AD1094" s="0" t="s">
        <v>138</v>
      </c>
      <c r="AF1094" s="0">
        <v>0</v>
      </c>
      <c r="AG1094" s="0">
        <v>0</v>
      </c>
      <c r="AH1094" s="0" t="s">
        <v>140</v>
      </c>
      <c r="AI1094" s="0" t="s">
        <v>138</v>
      </c>
      <c r="AL1094" s="14"/>
      <c r="AN1094" s="14"/>
      <c r="AQ1094" s="0" t="s">
        <v>130</v>
      </c>
      <c r="AR1094" s="0" t="s">
        <v>130</v>
      </c>
      <c r="AS1094" s="0" t="s">
        <v>130</v>
      </c>
      <c r="AT1094" s="0" t="s">
        <v>130</v>
      </c>
      <c r="AU1094" s="0" t="s">
        <v>130</v>
      </c>
      <c r="AV1094" s="0" t="s">
        <v>130</v>
      </c>
      <c r="AW1094" s="0" t="s">
        <v>130</v>
      </c>
      <c r="AX1094" s="0" t="s">
        <v>130</v>
      </c>
      <c r="AY1094" s="0" t="s">
        <v>130</v>
      </c>
      <c r="AZ1094" s="0" t="s">
        <v>130</v>
      </c>
      <c r="BA1094" s="0" t="s">
        <v>130</v>
      </c>
      <c r="BB1094" s="0" t="s">
        <v>130</v>
      </c>
      <c r="BC1094" s="0" t="s">
        <v>130</v>
      </c>
      <c r="BD1094" s="0" t="s">
        <v>130</v>
      </c>
      <c r="BE1094" s="0" t="s">
        <v>130</v>
      </c>
      <c r="BF1094" s="0" t="s">
        <v>130</v>
      </c>
      <c r="BG1094" s="0" t="s">
        <v>130</v>
      </c>
      <c r="BH1094" s="0" t="s">
        <v>130</v>
      </c>
      <c r="BI1094" s="0" t="s">
        <v>130</v>
      </c>
      <c r="BJ1094" s="0" t="s">
        <v>130</v>
      </c>
      <c r="BK1094" s="0" t="s">
        <v>130</v>
      </c>
      <c r="BL1094" s="0" t="s">
        <v>130</v>
      </c>
      <c r="BM1094" s="0" t="s">
        <v>130</v>
      </c>
      <c r="BN1094" s="0" t="s">
        <v>130</v>
      </c>
      <c r="BO1094" s="0" t="s">
        <v>130</v>
      </c>
      <c r="BP1094" s="0" t="s">
        <v>130</v>
      </c>
      <c r="BQ1094" s="0" t="s">
        <v>130</v>
      </c>
      <c r="BR1094" s="0" t="s">
        <v>130</v>
      </c>
      <c r="BS1094" s="0" t="s">
        <v>130</v>
      </c>
      <c r="BT1094" s="0" t="s">
        <v>130</v>
      </c>
      <c r="BU1094" s="0" t="s">
        <v>130</v>
      </c>
      <c r="BV1094" s="0" t="s">
        <v>130</v>
      </c>
      <c r="BW1094" s="0" t="s">
        <v>130</v>
      </c>
      <c r="BX1094" s="0" t="s">
        <v>130</v>
      </c>
      <c r="BY1094" s="0" t="s">
        <v>130</v>
      </c>
      <c r="BZ1094" s="0" t="s">
        <v>130</v>
      </c>
      <c r="CA1094" s="0" t="s">
        <v>130</v>
      </c>
      <c r="CB1094" s="0" t="s">
        <v>130</v>
      </c>
      <c r="CC1094" s="0" t="s">
        <v>130</v>
      </c>
      <c r="CD1094" s="0" t="s">
        <v>130</v>
      </c>
      <c r="CE1094" s="0" t="s">
        <v>130</v>
      </c>
      <c r="CF1094" s="0" t="s">
        <v>130</v>
      </c>
      <c r="CG1094" s="0" t="s">
        <v>130</v>
      </c>
      <c r="CH1094" s="0" t="s">
        <v>130</v>
      </c>
      <c r="CI1094" s="0" t="s">
        <v>130</v>
      </c>
      <c r="CJ1094" s="0" t="s">
        <v>130</v>
      </c>
      <c r="CK1094" s="0" t="s">
        <v>130</v>
      </c>
      <c r="CL1094" s="0" t="s">
        <v>130</v>
      </c>
      <c r="CM1094" s="0" t="s">
        <v>130</v>
      </c>
      <c r="CN1094" s="0" t="s">
        <v>130</v>
      </c>
      <c r="CO1094" s="0" t="s">
        <v>130</v>
      </c>
      <c r="CP1094" s="0" t="s">
        <v>130</v>
      </c>
      <c r="CQ1094" s="0" t="s">
        <v>130</v>
      </c>
      <c r="CR1094" s="0" t="s">
        <v>130</v>
      </c>
      <c r="CS1094" s="0" t="s">
        <v>130</v>
      </c>
      <c r="CT1094" s="0" t="s">
        <v>3297</v>
      </c>
    </row>
    <row r="1095">
      <c r="A1095" s="14">
        <v>815394</v>
      </c>
      <c r="B1095" s="0" t="s">
        <v>3281</v>
      </c>
      <c r="C1095" s="16">
        <f>HYPERLINK("https://eosportal.federatedhermes.com/companies/Q29tcGFueQppODA0ODY=", "Veolia Environnement SA")</f>
      </c>
      <c r="D1095" s="0" t="s">
        <v>23</v>
      </c>
      <c r="E1095" s="0" t="s">
        <v>615</v>
      </c>
      <c r="F1095" s="16">
        <f>HYPERLINK("https://eosportal.federatedhermes.com/engagements/RW5nYWdlbWVudAppMjUxMTI=", "TCFD Disclosure")</f>
      </c>
      <c r="G1095" s="14" t="s">
        <v>3298</v>
      </c>
      <c r="H1095" s="0" t="s">
        <v>130</v>
      </c>
      <c r="I1095" s="14" t="s">
        <v>131</v>
      </c>
      <c r="J1095" s="0" t="s">
        <v>197</v>
      </c>
      <c r="K1095" s="0" t="s">
        <v>198</v>
      </c>
      <c r="L1095" s="0" t="s">
        <v>199</v>
      </c>
      <c r="M1095" s="0" t="s">
        <v>378</v>
      </c>
      <c r="N1095" s="0" t="s">
        <v>1646</v>
      </c>
      <c r="O1095" s="0" t="s">
        <v>192</v>
      </c>
      <c r="Q1095" s="0" t="s">
        <v>130</v>
      </c>
      <c r="R1095" s="0" t="s">
        <v>130</v>
      </c>
      <c r="S1095" s="14">
        <v>0</v>
      </c>
      <c r="T1095" s="0" t="s">
        <v>193</v>
      </c>
      <c r="U1095" s="0" t="s">
        <v>221</v>
      </c>
      <c r="V1095" s="14" t="s">
        <v>193</v>
      </c>
      <c r="W1095" s="0" t="s">
        <v>221</v>
      </c>
      <c r="X1095" s="14" t="s">
        <v>230</v>
      </c>
      <c r="Y1095" s="0" t="s">
        <v>221</v>
      </c>
      <c r="Z1095" s="14" t="s">
        <v>222</v>
      </c>
      <c r="AA1095" s="0" t="s">
        <v>223</v>
      </c>
      <c r="AB1095" s="14" t="s">
        <v>138</v>
      </c>
      <c r="AD1095" s="0" t="s">
        <v>20</v>
      </c>
      <c r="AF1095" s="0">
        <v>0</v>
      </c>
      <c r="AG1095" s="0">
        <v>0</v>
      </c>
      <c r="AH1095" s="0" t="s">
        <v>140</v>
      </c>
      <c r="AI1095" s="0" t="s">
        <v>225</v>
      </c>
      <c r="AL1095" s="14"/>
      <c r="AN1095" s="14"/>
      <c r="AQ1095" s="0" t="s">
        <v>130</v>
      </c>
      <c r="AR1095" s="0" t="s">
        <v>130</v>
      </c>
      <c r="AS1095" s="0" t="s">
        <v>130</v>
      </c>
      <c r="AT1095" s="0" t="s">
        <v>130</v>
      </c>
      <c r="AU1095" s="0" t="s">
        <v>130</v>
      </c>
      <c r="AV1095" s="0" t="s">
        <v>130</v>
      </c>
      <c r="AW1095" s="0" t="s">
        <v>130</v>
      </c>
      <c r="AX1095" s="0" t="s">
        <v>130</v>
      </c>
      <c r="AY1095" s="0" t="s">
        <v>130</v>
      </c>
      <c r="AZ1095" s="0" t="s">
        <v>130</v>
      </c>
      <c r="BA1095" s="0" t="s">
        <v>130</v>
      </c>
      <c r="BB1095" s="0" t="s">
        <v>141</v>
      </c>
      <c r="BC1095" s="0" t="s">
        <v>141</v>
      </c>
      <c r="BD1095" s="0" t="s">
        <v>130</v>
      </c>
      <c r="BE1095" s="0" t="s">
        <v>130</v>
      </c>
      <c r="BF1095" s="0" t="s">
        <v>130</v>
      </c>
      <c r="BG1095" s="0" t="s">
        <v>130</v>
      </c>
      <c r="BH1095" s="0" t="s">
        <v>130</v>
      </c>
      <c r="BI1095" s="0" t="s">
        <v>130</v>
      </c>
      <c r="BJ1095" s="0" t="s">
        <v>130</v>
      </c>
      <c r="BK1095" s="0" t="s">
        <v>130</v>
      </c>
      <c r="BL1095" s="0" t="s">
        <v>130</v>
      </c>
      <c r="BM1095" s="0" t="s">
        <v>130</v>
      </c>
      <c r="BN1095" s="0" t="s">
        <v>130</v>
      </c>
      <c r="BO1095" s="0" t="s">
        <v>130</v>
      </c>
      <c r="BP1095" s="0" t="s">
        <v>130</v>
      </c>
      <c r="BQ1095" s="0" t="s">
        <v>130</v>
      </c>
      <c r="BR1095" s="0" t="s">
        <v>130</v>
      </c>
      <c r="BS1095" s="0" t="s">
        <v>130</v>
      </c>
      <c r="BT1095" s="0" t="s">
        <v>130</v>
      </c>
      <c r="BU1095" s="0" t="s">
        <v>130</v>
      </c>
      <c r="BV1095" s="0" t="s">
        <v>130</v>
      </c>
      <c r="BW1095" s="0" t="s">
        <v>130</v>
      </c>
      <c r="BX1095" s="0" t="s">
        <v>130</v>
      </c>
      <c r="BY1095" s="0" t="s">
        <v>130</v>
      </c>
      <c r="BZ1095" s="0" t="s">
        <v>130</v>
      </c>
      <c r="CA1095" s="0" t="s">
        <v>130</v>
      </c>
      <c r="CB1095" s="0" t="s">
        <v>130</v>
      </c>
      <c r="CC1095" s="0" t="s">
        <v>130</v>
      </c>
      <c r="CD1095" s="0" t="s">
        <v>130</v>
      </c>
      <c r="CE1095" s="0" t="s">
        <v>130</v>
      </c>
      <c r="CF1095" s="0" t="s">
        <v>130</v>
      </c>
      <c r="CG1095" s="0" t="s">
        <v>130</v>
      </c>
      <c r="CH1095" s="0" t="s">
        <v>130</v>
      </c>
      <c r="CI1095" s="0" t="s">
        <v>130</v>
      </c>
      <c r="CJ1095" s="0" t="s">
        <v>130</v>
      </c>
      <c r="CK1095" s="0" t="s">
        <v>130</v>
      </c>
      <c r="CL1095" s="0" t="s">
        <v>130</v>
      </c>
      <c r="CM1095" s="0" t="s">
        <v>130</v>
      </c>
      <c r="CN1095" s="0" t="s">
        <v>130</v>
      </c>
      <c r="CO1095" s="0" t="s">
        <v>130</v>
      </c>
      <c r="CP1095" s="0" t="s">
        <v>130</v>
      </c>
      <c r="CQ1095" s="0" t="s">
        <v>130</v>
      </c>
      <c r="CR1095" s="0" t="s">
        <v>130</v>
      </c>
      <c r="CS1095" s="0" t="s">
        <v>130</v>
      </c>
      <c r="CT1095" s="0" t="s">
        <v>3299</v>
      </c>
    </row>
    <row r="1096">
      <c r="A1096" s="14">
        <v>815394</v>
      </c>
      <c r="B1096" s="0" t="s">
        <v>3281</v>
      </c>
      <c r="C1096" s="16">
        <f>HYPERLINK("https://eosportal.federatedhermes.com/companies/Q29tcGFueQppODA0ODY=", "Veolia Environnement SA")</f>
      </c>
      <c r="D1096" s="0" t="s">
        <v>25</v>
      </c>
      <c r="E1096" s="0" t="s">
        <v>3300</v>
      </c>
      <c r="F1096" s="16">
        <f>HYPERLINK("https://eosportal.federatedhermes.com/engagements/RW5nYWdlbWVudAppMjUxMTM=", "Ethics")</f>
      </c>
      <c r="G1096" s="14" t="s">
        <v>3301</v>
      </c>
      <c r="H1096" s="0" t="s">
        <v>130</v>
      </c>
      <c r="I1096" s="14" t="s">
        <v>131</v>
      </c>
      <c r="J1096" s="0" t="s">
        <v>153</v>
      </c>
      <c r="K1096" s="0" t="s">
        <v>185</v>
      </c>
      <c r="L1096" s="0" t="s">
        <v>186</v>
      </c>
      <c r="M1096" s="0" t="s">
        <v>378</v>
      </c>
      <c r="N1096" s="0" t="s">
        <v>1646</v>
      </c>
      <c r="O1096" s="0" t="s">
        <v>192</v>
      </c>
      <c r="Q1096" s="0" t="s">
        <v>130</v>
      </c>
      <c r="R1096" s="0" t="s">
        <v>138</v>
      </c>
      <c r="S1096" s="14">
        <v>0</v>
      </c>
      <c r="T1096" s="0" t="s">
        <v>457</v>
      </c>
      <c r="U1096" s="0" t="s">
        <v>138</v>
      </c>
      <c r="V1096" s="14" t="s">
        <v>138</v>
      </c>
      <c r="W1096" s="0" t="s">
        <v>138</v>
      </c>
      <c r="X1096" s="14" t="s">
        <v>138</v>
      </c>
      <c r="Y1096" s="0" t="s">
        <v>138</v>
      </c>
      <c r="Z1096" s="14" t="s">
        <v>138</v>
      </c>
      <c r="AA1096" s="0" t="s">
        <v>138</v>
      </c>
      <c r="AB1096" s="14" t="s">
        <v>138</v>
      </c>
      <c r="AD1096" s="0" t="s">
        <v>138</v>
      </c>
      <c r="AF1096" s="0">
        <v>0</v>
      </c>
      <c r="AG1096" s="0">
        <v>0</v>
      </c>
      <c r="AH1096" s="0" t="s">
        <v>140</v>
      </c>
      <c r="AI1096" s="0" t="s">
        <v>138</v>
      </c>
      <c r="AL1096" s="14"/>
      <c r="AN1096" s="14"/>
      <c r="AQ1096" s="0" t="s">
        <v>130</v>
      </c>
      <c r="AR1096" s="0" t="s">
        <v>130</v>
      </c>
      <c r="AS1096" s="0" t="s">
        <v>130</v>
      </c>
      <c r="AT1096" s="0" t="s">
        <v>130</v>
      </c>
      <c r="AU1096" s="0" t="s">
        <v>130</v>
      </c>
      <c r="AV1096" s="0" t="s">
        <v>130</v>
      </c>
      <c r="AW1096" s="0" t="s">
        <v>130</v>
      </c>
      <c r="AX1096" s="0" t="s">
        <v>130</v>
      </c>
      <c r="AY1096" s="0" t="s">
        <v>130</v>
      </c>
      <c r="AZ1096" s="0" t="s">
        <v>130</v>
      </c>
      <c r="BA1096" s="0" t="s">
        <v>130</v>
      </c>
      <c r="BB1096" s="0" t="s">
        <v>130</v>
      </c>
      <c r="BC1096" s="0" t="s">
        <v>130</v>
      </c>
      <c r="BD1096" s="0" t="s">
        <v>130</v>
      </c>
      <c r="BE1096" s="0" t="s">
        <v>130</v>
      </c>
      <c r="BF1096" s="0" t="s">
        <v>141</v>
      </c>
      <c r="BG1096" s="0" t="s">
        <v>130</v>
      </c>
      <c r="BH1096" s="0" t="s">
        <v>130</v>
      </c>
      <c r="BI1096" s="0" t="s">
        <v>130</v>
      </c>
      <c r="BJ1096" s="0" t="s">
        <v>130</v>
      </c>
      <c r="BK1096" s="0" t="s">
        <v>130</v>
      </c>
      <c r="BL1096" s="0" t="s">
        <v>130</v>
      </c>
      <c r="BM1096" s="0" t="s">
        <v>130</v>
      </c>
      <c r="BN1096" s="0" t="s">
        <v>130</v>
      </c>
      <c r="BO1096" s="0" t="s">
        <v>130</v>
      </c>
      <c r="BP1096" s="0" t="s">
        <v>130</v>
      </c>
      <c r="BQ1096" s="0" t="s">
        <v>130</v>
      </c>
      <c r="BR1096" s="0" t="s">
        <v>130</v>
      </c>
      <c r="BS1096" s="0" t="s">
        <v>130</v>
      </c>
      <c r="BT1096" s="0" t="s">
        <v>130</v>
      </c>
      <c r="BU1096" s="0" t="s">
        <v>130</v>
      </c>
      <c r="BV1096" s="0" t="s">
        <v>130</v>
      </c>
      <c r="BW1096" s="0" t="s">
        <v>130</v>
      </c>
      <c r="BX1096" s="0" t="s">
        <v>130</v>
      </c>
      <c r="BY1096" s="0" t="s">
        <v>130</v>
      </c>
      <c r="BZ1096" s="0" t="s">
        <v>130</v>
      </c>
      <c r="CA1096" s="0" t="s">
        <v>130</v>
      </c>
      <c r="CB1096" s="0" t="s">
        <v>130</v>
      </c>
      <c r="CC1096" s="0" t="s">
        <v>130</v>
      </c>
      <c r="CD1096" s="0" t="s">
        <v>130</v>
      </c>
      <c r="CE1096" s="0" t="s">
        <v>130</v>
      </c>
      <c r="CF1096" s="0" t="s">
        <v>130</v>
      </c>
      <c r="CG1096" s="0" t="s">
        <v>130</v>
      </c>
      <c r="CH1096" s="0" t="s">
        <v>130</v>
      </c>
      <c r="CI1096" s="0" t="s">
        <v>130</v>
      </c>
      <c r="CJ1096" s="0" t="s">
        <v>130</v>
      </c>
      <c r="CK1096" s="0" t="s">
        <v>130</v>
      </c>
      <c r="CL1096" s="0" t="s">
        <v>130</v>
      </c>
      <c r="CM1096" s="0" t="s">
        <v>130</v>
      </c>
      <c r="CN1096" s="0" t="s">
        <v>130</v>
      </c>
      <c r="CO1096" s="0" t="s">
        <v>130</v>
      </c>
      <c r="CP1096" s="0" t="s">
        <v>130</v>
      </c>
      <c r="CQ1096" s="0" t="s">
        <v>130</v>
      </c>
      <c r="CR1096" s="0" t="s">
        <v>130</v>
      </c>
      <c r="CS1096" s="0" t="s">
        <v>130</v>
      </c>
      <c r="CT1096" s="0" t="s">
        <v>3302</v>
      </c>
    </row>
    <row r="1097">
      <c r="A1097" s="14">
        <v>815394</v>
      </c>
      <c r="B1097" s="0" t="s">
        <v>3281</v>
      </c>
      <c r="C1097" s="16">
        <f>HYPERLINK("https://eosportal.federatedhermes.com/companies/Q29tcGFueQppODA0ODY=", "Veolia Environnement SA")</f>
      </c>
      <c r="D1097" s="0" t="s">
        <v>25</v>
      </c>
      <c r="E1097" s="0" t="s">
        <v>1381</v>
      </c>
      <c r="F1097" s="16">
        <f>HYPERLINK("https://eosportal.federatedhermes.com/engagements/RW5nYWdlbWVudAppMjUxMTU=", "Strategy")</f>
      </c>
      <c r="G1097" s="14" t="s">
        <v>3303</v>
      </c>
      <c r="H1097" s="0" t="s">
        <v>130</v>
      </c>
      <c r="I1097" s="14" t="s">
        <v>131</v>
      </c>
      <c r="J1097" s="0" t="s">
        <v>132</v>
      </c>
      <c r="K1097" s="0" t="s">
        <v>133</v>
      </c>
      <c r="L1097" s="0" t="s">
        <v>160</v>
      </c>
      <c r="M1097" s="0" t="s">
        <v>378</v>
      </c>
      <c r="N1097" s="0" t="s">
        <v>1646</v>
      </c>
      <c r="O1097" s="0" t="s">
        <v>192</v>
      </c>
      <c r="Q1097" s="0" t="s">
        <v>130</v>
      </c>
      <c r="R1097" s="0" t="s">
        <v>138</v>
      </c>
      <c r="S1097" s="14">
        <v>0</v>
      </c>
      <c r="T1097" s="0" t="s">
        <v>1360</v>
      </c>
      <c r="U1097" s="0" t="s">
        <v>138</v>
      </c>
      <c r="V1097" s="14" t="s">
        <v>138</v>
      </c>
      <c r="W1097" s="0" t="s">
        <v>138</v>
      </c>
      <c r="X1097" s="14" t="s">
        <v>138</v>
      </c>
      <c r="Y1097" s="0" t="s">
        <v>138</v>
      </c>
      <c r="Z1097" s="14" t="s">
        <v>138</v>
      </c>
      <c r="AA1097" s="0" t="s">
        <v>138</v>
      </c>
      <c r="AB1097" s="14" t="s">
        <v>138</v>
      </c>
      <c r="AD1097" s="0" t="s">
        <v>138</v>
      </c>
      <c r="AF1097" s="0">
        <v>0</v>
      </c>
      <c r="AG1097" s="0">
        <v>0</v>
      </c>
      <c r="AH1097" s="0" t="s">
        <v>140</v>
      </c>
      <c r="AI1097" s="0" t="s">
        <v>138</v>
      </c>
      <c r="AL1097" s="14"/>
      <c r="AN1097" s="14"/>
      <c r="AQ1097" s="0" t="s">
        <v>130</v>
      </c>
      <c r="AR1097" s="0" t="s">
        <v>130</v>
      </c>
      <c r="AS1097" s="0" t="s">
        <v>130</v>
      </c>
      <c r="AT1097" s="0" t="s">
        <v>130</v>
      </c>
      <c r="AU1097" s="0" t="s">
        <v>130</v>
      </c>
      <c r="AV1097" s="0" t="s">
        <v>130</v>
      </c>
      <c r="AW1097" s="0" t="s">
        <v>130</v>
      </c>
      <c r="AX1097" s="0" t="s">
        <v>130</v>
      </c>
      <c r="AY1097" s="0" t="s">
        <v>130</v>
      </c>
      <c r="AZ1097" s="0" t="s">
        <v>130</v>
      </c>
      <c r="BA1097" s="0" t="s">
        <v>130</v>
      </c>
      <c r="BB1097" s="0" t="s">
        <v>130</v>
      </c>
      <c r="BC1097" s="0" t="s">
        <v>130</v>
      </c>
      <c r="BD1097" s="0" t="s">
        <v>130</v>
      </c>
      <c r="BE1097" s="0" t="s">
        <v>130</v>
      </c>
      <c r="BF1097" s="0" t="s">
        <v>130</v>
      </c>
      <c r="BG1097" s="0" t="s">
        <v>130</v>
      </c>
      <c r="BH1097" s="0" t="s">
        <v>130</v>
      </c>
      <c r="BI1097" s="0" t="s">
        <v>130</v>
      </c>
      <c r="BJ1097" s="0" t="s">
        <v>130</v>
      </c>
      <c r="BK1097" s="0" t="s">
        <v>130</v>
      </c>
      <c r="BL1097" s="0" t="s">
        <v>130</v>
      </c>
      <c r="BM1097" s="0" t="s">
        <v>130</v>
      </c>
      <c r="BN1097" s="0" t="s">
        <v>130</v>
      </c>
      <c r="BO1097" s="0" t="s">
        <v>130</v>
      </c>
      <c r="BP1097" s="0" t="s">
        <v>130</v>
      </c>
      <c r="BQ1097" s="0" t="s">
        <v>130</v>
      </c>
      <c r="BR1097" s="0" t="s">
        <v>130</v>
      </c>
      <c r="BS1097" s="0" t="s">
        <v>130</v>
      </c>
      <c r="BT1097" s="0" t="s">
        <v>130</v>
      </c>
      <c r="BU1097" s="0" t="s">
        <v>130</v>
      </c>
      <c r="BV1097" s="0" t="s">
        <v>130</v>
      </c>
      <c r="BW1097" s="0" t="s">
        <v>130</v>
      </c>
      <c r="BX1097" s="0" t="s">
        <v>130</v>
      </c>
      <c r="BY1097" s="0" t="s">
        <v>130</v>
      </c>
      <c r="BZ1097" s="0" t="s">
        <v>130</v>
      </c>
      <c r="CA1097" s="0" t="s">
        <v>130</v>
      </c>
      <c r="CB1097" s="0" t="s">
        <v>130</v>
      </c>
      <c r="CC1097" s="0" t="s">
        <v>130</v>
      </c>
      <c r="CD1097" s="0" t="s">
        <v>130</v>
      </c>
      <c r="CE1097" s="0" t="s">
        <v>130</v>
      </c>
      <c r="CF1097" s="0" t="s">
        <v>130</v>
      </c>
      <c r="CG1097" s="0" t="s">
        <v>130</v>
      </c>
      <c r="CH1097" s="0" t="s">
        <v>130</v>
      </c>
      <c r="CI1097" s="0" t="s">
        <v>130</v>
      </c>
      <c r="CJ1097" s="0" t="s">
        <v>130</v>
      </c>
      <c r="CK1097" s="0" t="s">
        <v>130</v>
      </c>
      <c r="CL1097" s="0" t="s">
        <v>130</v>
      </c>
      <c r="CM1097" s="0" t="s">
        <v>130</v>
      </c>
      <c r="CN1097" s="0" t="s">
        <v>130</v>
      </c>
      <c r="CO1097" s="0" t="s">
        <v>130</v>
      </c>
      <c r="CP1097" s="0" t="s">
        <v>130</v>
      </c>
      <c r="CQ1097" s="0" t="s">
        <v>130</v>
      </c>
      <c r="CR1097" s="0" t="s">
        <v>130</v>
      </c>
      <c r="CS1097" s="0" t="s">
        <v>130</v>
      </c>
      <c r="CT1097" s="0" t="s">
        <v>3304</v>
      </c>
    </row>
    <row r="1098">
      <c r="A1098" s="14">
        <v>815394</v>
      </c>
      <c r="B1098" s="0" t="s">
        <v>3281</v>
      </c>
      <c r="C1098" s="16">
        <f>HYPERLINK("https://eosportal.federatedhermes.com/companies/Q29tcGFueQppODA0ODY=", "Veolia Environnement SA")</f>
      </c>
      <c r="D1098" s="0" t="s">
        <v>25</v>
      </c>
      <c r="E1098" s="0" t="s">
        <v>3305</v>
      </c>
      <c r="F1098" s="16">
        <f>HYPERLINK("https://eosportal.federatedhermes.com/engagements/RW5nYWdlbWVudAppMjUxMTY=", "Separation of chair/CEO")</f>
      </c>
      <c r="G1098" s="14" t="s">
        <v>3305</v>
      </c>
      <c r="H1098" s="0" t="s">
        <v>130</v>
      </c>
      <c r="I1098" s="14" t="s">
        <v>131</v>
      </c>
      <c r="J1098" s="0" t="s">
        <v>145</v>
      </c>
      <c r="K1098" s="0" t="s">
        <v>164</v>
      </c>
      <c r="L1098" s="0" t="s">
        <v>165</v>
      </c>
      <c r="M1098" s="0" t="s">
        <v>378</v>
      </c>
      <c r="N1098" s="0" t="s">
        <v>1646</v>
      </c>
      <c r="O1098" s="0" t="s">
        <v>192</v>
      </c>
      <c r="Q1098" s="0" t="s">
        <v>130</v>
      </c>
      <c r="R1098" s="0" t="s">
        <v>138</v>
      </c>
      <c r="S1098" s="14">
        <v>0</v>
      </c>
      <c r="T1098" s="0" t="s">
        <v>1296</v>
      </c>
      <c r="U1098" s="0" t="s">
        <v>138</v>
      </c>
      <c r="V1098" s="14" t="s">
        <v>138</v>
      </c>
      <c r="W1098" s="0" t="s">
        <v>138</v>
      </c>
      <c r="X1098" s="14" t="s">
        <v>138</v>
      </c>
      <c r="Y1098" s="0" t="s">
        <v>138</v>
      </c>
      <c r="Z1098" s="14" t="s">
        <v>138</v>
      </c>
      <c r="AA1098" s="0" t="s">
        <v>138</v>
      </c>
      <c r="AB1098" s="14" t="s">
        <v>138</v>
      </c>
      <c r="AD1098" s="0" t="s">
        <v>138</v>
      </c>
      <c r="AF1098" s="0">
        <v>0</v>
      </c>
      <c r="AG1098" s="0">
        <v>0</v>
      </c>
      <c r="AH1098" s="0" t="s">
        <v>140</v>
      </c>
      <c r="AI1098" s="0" t="s">
        <v>138</v>
      </c>
      <c r="AL1098" s="14"/>
      <c r="AN1098" s="14"/>
      <c r="AQ1098" s="0" t="s">
        <v>130</v>
      </c>
      <c r="AR1098" s="0" t="s">
        <v>130</v>
      </c>
      <c r="AS1098" s="0" t="s">
        <v>130</v>
      </c>
      <c r="AT1098" s="0" t="s">
        <v>130</v>
      </c>
      <c r="AU1098" s="0" t="s">
        <v>130</v>
      </c>
      <c r="AV1098" s="0" t="s">
        <v>130</v>
      </c>
      <c r="AW1098" s="0" t="s">
        <v>130</v>
      </c>
      <c r="AX1098" s="0" t="s">
        <v>130</v>
      </c>
      <c r="AY1098" s="0" t="s">
        <v>130</v>
      </c>
      <c r="AZ1098" s="0" t="s">
        <v>130</v>
      </c>
      <c r="BA1098" s="0" t="s">
        <v>130</v>
      </c>
      <c r="BB1098" s="0" t="s">
        <v>130</v>
      </c>
      <c r="BC1098" s="0" t="s">
        <v>130</v>
      </c>
      <c r="BD1098" s="0" t="s">
        <v>130</v>
      </c>
      <c r="BE1098" s="0" t="s">
        <v>130</v>
      </c>
      <c r="BF1098" s="0" t="s">
        <v>130</v>
      </c>
      <c r="BG1098" s="0" t="s">
        <v>130</v>
      </c>
      <c r="BH1098" s="0" t="s">
        <v>130</v>
      </c>
      <c r="BI1098" s="0" t="s">
        <v>130</v>
      </c>
      <c r="BJ1098" s="0" t="s">
        <v>130</v>
      </c>
      <c r="BK1098" s="0" t="s">
        <v>130</v>
      </c>
      <c r="BL1098" s="0" t="s">
        <v>130</v>
      </c>
      <c r="BM1098" s="0" t="s">
        <v>130</v>
      </c>
      <c r="BN1098" s="0" t="s">
        <v>130</v>
      </c>
      <c r="BO1098" s="0" t="s">
        <v>130</v>
      </c>
      <c r="BP1098" s="0" t="s">
        <v>130</v>
      </c>
      <c r="BQ1098" s="0" t="s">
        <v>130</v>
      </c>
      <c r="BR1098" s="0" t="s">
        <v>130</v>
      </c>
      <c r="BS1098" s="0" t="s">
        <v>130</v>
      </c>
      <c r="BT1098" s="0" t="s">
        <v>130</v>
      </c>
      <c r="BU1098" s="0" t="s">
        <v>130</v>
      </c>
      <c r="BV1098" s="0" t="s">
        <v>130</v>
      </c>
      <c r="BW1098" s="0" t="s">
        <v>130</v>
      </c>
      <c r="BX1098" s="0" t="s">
        <v>130</v>
      </c>
      <c r="BY1098" s="0" t="s">
        <v>130</v>
      </c>
      <c r="BZ1098" s="0" t="s">
        <v>130</v>
      </c>
      <c r="CA1098" s="0" t="s">
        <v>130</v>
      </c>
      <c r="CB1098" s="0" t="s">
        <v>130</v>
      </c>
      <c r="CC1098" s="0" t="s">
        <v>130</v>
      </c>
      <c r="CD1098" s="0" t="s">
        <v>130</v>
      </c>
      <c r="CE1098" s="0" t="s">
        <v>130</v>
      </c>
      <c r="CF1098" s="0" t="s">
        <v>130</v>
      </c>
      <c r="CG1098" s="0" t="s">
        <v>130</v>
      </c>
      <c r="CH1098" s="0" t="s">
        <v>130</v>
      </c>
      <c r="CI1098" s="0" t="s">
        <v>130</v>
      </c>
      <c r="CJ1098" s="0" t="s">
        <v>130</v>
      </c>
      <c r="CK1098" s="0" t="s">
        <v>130</v>
      </c>
      <c r="CL1098" s="0" t="s">
        <v>130</v>
      </c>
      <c r="CM1098" s="0" t="s">
        <v>130</v>
      </c>
      <c r="CN1098" s="0" t="s">
        <v>130</v>
      </c>
      <c r="CO1098" s="0" t="s">
        <v>130</v>
      </c>
      <c r="CP1098" s="0" t="s">
        <v>130</v>
      </c>
      <c r="CQ1098" s="0" t="s">
        <v>130</v>
      </c>
      <c r="CR1098" s="0" t="s">
        <v>130</v>
      </c>
      <c r="CS1098" s="0" t="s">
        <v>130</v>
      </c>
      <c r="CT1098" s="0" t="s">
        <v>3306</v>
      </c>
    </row>
    <row r="1099">
      <c r="A1099" s="14">
        <v>815394</v>
      </c>
      <c r="B1099" s="0" t="s">
        <v>3281</v>
      </c>
      <c r="C1099" s="16">
        <f>HYPERLINK("https://eosportal.federatedhermes.com/companies/Q29tcGFueQppODA0ODY=", "Veolia Environnement SA")</f>
      </c>
      <c r="D1099" s="0" t="s">
        <v>25</v>
      </c>
      <c r="E1099" s="0" t="s">
        <v>3307</v>
      </c>
      <c r="F1099" s="16">
        <f>HYPERLINK("https://eosportal.federatedhermes.com/engagements/RW5nYWdlbWVudAppMjUxMTc=", "Workforce &amp; Management Diversity Improvements")</f>
      </c>
      <c r="G1099" s="14" t="s">
        <v>3308</v>
      </c>
      <c r="H1099" s="0" t="s">
        <v>130</v>
      </c>
      <c r="I1099" s="14" t="s">
        <v>131</v>
      </c>
      <c r="J1099" s="0" t="s">
        <v>153</v>
      </c>
      <c r="K1099" s="0" t="s">
        <v>154</v>
      </c>
      <c r="L1099" s="0" t="s">
        <v>268</v>
      </c>
      <c r="M1099" s="0" t="s">
        <v>378</v>
      </c>
      <c r="N1099" s="0" t="s">
        <v>1646</v>
      </c>
      <c r="O1099" s="0" t="s">
        <v>192</v>
      </c>
      <c r="Q1099" s="0" t="s">
        <v>130</v>
      </c>
      <c r="R1099" s="0" t="s">
        <v>138</v>
      </c>
      <c r="S1099" s="14">
        <v>0</v>
      </c>
      <c r="T1099" s="0" t="s">
        <v>206</v>
      </c>
      <c r="U1099" s="0" t="s">
        <v>138</v>
      </c>
      <c r="V1099" s="14" t="s">
        <v>138</v>
      </c>
      <c r="W1099" s="0" t="s">
        <v>138</v>
      </c>
      <c r="X1099" s="14" t="s">
        <v>138</v>
      </c>
      <c r="Y1099" s="0" t="s">
        <v>138</v>
      </c>
      <c r="Z1099" s="14" t="s">
        <v>138</v>
      </c>
      <c r="AA1099" s="0" t="s">
        <v>138</v>
      </c>
      <c r="AB1099" s="14" t="s">
        <v>138</v>
      </c>
      <c r="AD1099" s="0" t="s">
        <v>138</v>
      </c>
      <c r="AF1099" s="0">
        <v>0</v>
      </c>
      <c r="AG1099" s="0">
        <v>0</v>
      </c>
      <c r="AH1099" s="0" t="s">
        <v>140</v>
      </c>
      <c r="AI1099" s="0" t="s">
        <v>138</v>
      </c>
      <c r="AL1099" s="14"/>
      <c r="AN1099" s="14"/>
      <c r="AQ1099" s="0" t="s">
        <v>130</v>
      </c>
      <c r="AR1099" s="0" t="s">
        <v>130</v>
      </c>
      <c r="AS1099" s="0" t="s">
        <v>130</v>
      </c>
      <c r="AT1099" s="0" t="s">
        <v>130</v>
      </c>
      <c r="AU1099" s="0" t="s">
        <v>141</v>
      </c>
      <c r="AV1099" s="0" t="s">
        <v>130</v>
      </c>
      <c r="AW1099" s="0" t="s">
        <v>130</v>
      </c>
      <c r="AX1099" s="0" t="s">
        <v>130</v>
      </c>
      <c r="AY1099" s="0" t="s">
        <v>130</v>
      </c>
      <c r="AZ1099" s="0" t="s">
        <v>130</v>
      </c>
      <c r="BA1099" s="0" t="s">
        <v>130</v>
      </c>
      <c r="BB1099" s="0" t="s">
        <v>130</v>
      </c>
      <c r="BC1099" s="0" t="s">
        <v>130</v>
      </c>
      <c r="BD1099" s="0" t="s">
        <v>130</v>
      </c>
      <c r="BE1099" s="0" t="s">
        <v>130</v>
      </c>
      <c r="BF1099" s="0" t="s">
        <v>130</v>
      </c>
      <c r="BG1099" s="0" t="s">
        <v>130</v>
      </c>
      <c r="BH1099" s="0" t="s">
        <v>130</v>
      </c>
      <c r="BI1099" s="0" t="s">
        <v>130</v>
      </c>
      <c r="BJ1099" s="0" t="s">
        <v>130</v>
      </c>
      <c r="BK1099" s="0" t="s">
        <v>130</v>
      </c>
      <c r="BL1099" s="0" t="s">
        <v>130</v>
      </c>
      <c r="BM1099" s="0" t="s">
        <v>130</v>
      </c>
      <c r="BN1099" s="0" t="s">
        <v>130</v>
      </c>
      <c r="BO1099" s="0" t="s">
        <v>130</v>
      </c>
      <c r="BP1099" s="0" t="s">
        <v>130</v>
      </c>
      <c r="BQ1099" s="0" t="s">
        <v>130</v>
      </c>
      <c r="BR1099" s="0" t="s">
        <v>130</v>
      </c>
      <c r="BS1099" s="0" t="s">
        <v>130</v>
      </c>
      <c r="BT1099" s="0" t="s">
        <v>130</v>
      </c>
      <c r="BU1099" s="0" t="s">
        <v>130</v>
      </c>
      <c r="BV1099" s="0" t="s">
        <v>130</v>
      </c>
      <c r="BW1099" s="0" t="s">
        <v>130</v>
      </c>
      <c r="BX1099" s="0" t="s">
        <v>130</v>
      </c>
      <c r="BY1099" s="0" t="s">
        <v>130</v>
      </c>
      <c r="BZ1099" s="0" t="s">
        <v>130</v>
      </c>
      <c r="CA1099" s="0" t="s">
        <v>130</v>
      </c>
      <c r="CB1099" s="0" t="s">
        <v>130</v>
      </c>
      <c r="CC1099" s="0" t="s">
        <v>130</v>
      </c>
      <c r="CD1099" s="0" t="s">
        <v>130</v>
      </c>
      <c r="CE1099" s="0" t="s">
        <v>130</v>
      </c>
      <c r="CF1099" s="0" t="s">
        <v>130</v>
      </c>
      <c r="CG1099" s="0" t="s">
        <v>130</v>
      </c>
      <c r="CH1099" s="0" t="s">
        <v>130</v>
      </c>
      <c r="CI1099" s="0" t="s">
        <v>130</v>
      </c>
      <c r="CJ1099" s="0" t="s">
        <v>130</v>
      </c>
      <c r="CK1099" s="0" t="s">
        <v>141</v>
      </c>
      <c r="CL1099" s="0" t="s">
        <v>130</v>
      </c>
      <c r="CM1099" s="0" t="s">
        <v>130</v>
      </c>
      <c r="CN1099" s="0" t="s">
        <v>130</v>
      </c>
      <c r="CO1099" s="0" t="s">
        <v>130</v>
      </c>
      <c r="CP1099" s="0" t="s">
        <v>130</v>
      </c>
      <c r="CQ1099" s="0" t="s">
        <v>130</v>
      </c>
      <c r="CR1099" s="0" t="s">
        <v>130</v>
      </c>
      <c r="CS1099" s="0" t="s">
        <v>130</v>
      </c>
      <c r="CT1099" s="0" t="s">
        <v>3309</v>
      </c>
    </row>
    <row r="1100">
      <c r="A1100" s="14">
        <v>815394</v>
      </c>
      <c r="B1100" s="0" t="s">
        <v>3281</v>
      </c>
      <c r="C1100" s="16">
        <f>HYPERLINK("https://eosportal.federatedhermes.com/companies/Q29tcGFueQppODA0ODY=", "Veolia Environnement SA")</f>
      </c>
      <c r="D1100" s="0" t="s">
        <v>25</v>
      </c>
      <c r="E1100" s="0" t="s">
        <v>907</v>
      </c>
      <c r="F1100" s="16">
        <f>HYPERLINK("https://eosportal.federatedhermes.com/engagements/RW5nYWdlbWVudAppMjUxMTg=", "Climate change")</f>
      </c>
      <c r="G1100" s="14" t="s">
        <v>1939</v>
      </c>
      <c r="H1100" s="0" t="s">
        <v>130</v>
      </c>
      <c r="I1100" s="14" t="s">
        <v>131</v>
      </c>
      <c r="J1100" s="0" t="s">
        <v>197</v>
      </c>
      <c r="K1100" s="0" t="s">
        <v>198</v>
      </c>
      <c r="L1100" s="0" t="s">
        <v>199</v>
      </c>
      <c r="M1100" s="0" t="s">
        <v>378</v>
      </c>
      <c r="N1100" s="0" t="s">
        <v>1646</v>
      </c>
      <c r="O1100" s="0" t="s">
        <v>192</v>
      </c>
      <c r="Q1100" s="0" t="s">
        <v>130</v>
      </c>
      <c r="R1100" s="0" t="s">
        <v>138</v>
      </c>
      <c r="S1100" s="14">
        <v>0</v>
      </c>
      <c r="T1100" s="0" t="s">
        <v>487</v>
      </c>
      <c r="U1100" s="0" t="s">
        <v>138</v>
      </c>
      <c r="V1100" s="14" t="s">
        <v>138</v>
      </c>
      <c r="W1100" s="0" t="s">
        <v>138</v>
      </c>
      <c r="X1100" s="14" t="s">
        <v>138</v>
      </c>
      <c r="Y1100" s="0" t="s">
        <v>138</v>
      </c>
      <c r="Z1100" s="14" t="s">
        <v>138</v>
      </c>
      <c r="AA1100" s="0" t="s">
        <v>138</v>
      </c>
      <c r="AB1100" s="14" t="s">
        <v>138</v>
      </c>
      <c r="AD1100" s="0" t="s">
        <v>138</v>
      </c>
      <c r="AF1100" s="0">
        <v>0</v>
      </c>
      <c r="AG1100" s="0">
        <v>0</v>
      </c>
      <c r="AH1100" s="0" t="s">
        <v>140</v>
      </c>
      <c r="AI1100" s="0" t="s">
        <v>138</v>
      </c>
      <c r="AL1100" s="14"/>
      <c r="AN1100" s="14"/>
      <c r="AQ1100" s="0" t="s">
        <v>130</v>
      </c>
      <c r="AR1100" s="0" t="s">
        <v>130</v>
      </c>
      <c r="AS1100" s="0" t="s">
        <v>130</v>
      </c>
      <c r="AT1100" s="0" t="s">
        <v>130</v>
      </c>
      <c r="AU1100" s="0" t="s">
        <v>130</v>
      </c>
      <c r="AV1100" s="0" t="s">
        <v>130</v>
      </c>
      <c r="AW1100" s="0" t="s">
        <v>130</v>
      </c>
      <c r="AX1100" s="0" t="s">
        <v>130</v>
      </c>
      <c r="AY1100" s="0" t="s">
        <v>130</v>
      </c>
      <c r="AZ1100" s="0" t="s">
        <v>130</v>
      </c>
      <c r="BA1100" s="0" t="s">
        <v>130</v>
      </c>
      <c r="BB1100" s="0" t="s">
        <v>141</v>
      </c>
      <c r="BC1100" s="0" t="s">
        <v>141</v>
      </c>
      <c r="BD1100" s="0" t="s">
        <v>130</v>
      </c>
      <c r="BE1100" s="0" t="s">
        <v>130</v>
      </c>
      <c r="BF1100" s="0" t="s">
        <v>130</v>
      </c>
      <c r="BG1100" s="0" t="s">
        <v>130</v>
      </c>
      <c r="BH1100" s="0" t="s">
        <v>130</v>
      </c>
      <c r="BI1100" s="0" t="s">
        <v>130</v>
      </c>
      <c r="BJ1100" s="0" t="s">
        <v>130</v>
      </c>
      <c r="BK1100" s="0" t="s">
        <v>130</v>
      </c>
      <c r="BL1100" s="0" t="s">
        <v>130</v>
      </c>
      <c r="BM1100" s="0" t="s">
        <v>130</v>
      </c>
      <c r="BN1100" s="0" t="s">
        <v>130</v>
      </c>
      <c r="BO1100" s="0" t="s">
        <v>130</v>
      </c>
      <c r="BP1100" s="0" t="s">
        <v>130</v>
      </c>
      <c r="BQ1100" s="0" t="s">
        <v>130</v>
      </c>
      <c r="BR1100" s="0" t="s">
        <v>130</v>
      </c>
      <c r="BS1100" s="0" t="s">
        <v>130</v>
      </c>
      <c r="BT1100" s="0" t="s">
        <v>130</v>
      </c>
      <c r="BU1100" s="0" t="s">
        <v>130</v>
      </c>
      <c r="BV1100" s="0" t="s">
        <v>130</v>
      </c>
      <c r="BW1100" s="0" t="s">
        <v>130</v>
      </c>
      <c r="BX1100" s="0" t="s">
        <v>130</v>
      </c>
      <c r="BY1100" s="0" t="s">
        <v>130</v>
      </c>
      <c r="BZ1100" s="0" t="s">
        <v>130</v>
      </c>
      <c r="CA1100" s="0" t="s">
        <v>130</v>
      </c>
      <c r="CB1100" s="0" t="s">
        <v>130</v>
      </c>
      <c r="CC1100" s="0" t="s">
        <v>130</v>
      </c>
      <c r="CD1100" s="0" t="s">
        <v>130</v>
      </c>
      <c r="CE1100" s="0" t="s">
        <v>130</v>
      </c>
      <c r="CF1100" s="0" t="s">
        <v>130</v>
      </c>
      <c r="CG1100" s="0" t="s">
        <v>130</v>
      </c>
      <c r="CH1100" s="0" t="s">
        <v>130</v>
      </c>
      <c r="CI1100" s="0" t="s">
        <v>130</v>
      </c>
      <c r="CJ1100" s="0" t="s">
        <v>130</v>
      </c>
      <c r="CK1100" s="0" t="s">
        <v>130</v>
      </c>
      <c r="CL1100" s="0" t="s">
        <v>130</v>
      </c>
      <c r="CM1100" s="0" t="s">
        <v>130</v>
      </c>
      <c r="CN1100" s="0" t="s">
        <v>130</v>
      </c>
      <c r="CO1100" s="0" t="s">
        <v>130</v>
      </c>
      <c r="CP1100" s="0" t="s">
        <v>130</v>
      </c>
      <c r="CQ1100" s="0" t="s">
        <v>130</v>
      </c>
      <c r="CR1100" s="0" t="s">
        <v>130</v>
      </c>
      <c r="CS1100" s="0" t="s">
        <v>130</v>
      </c>
      <c r="CT1100" s="0" t="s">
        <v>3310</v>
      </c>
    </row>
    <row r="1101">
      <c r="A1101" s="14">
        <v>815394</v>
      </c>
      <c r="B1101" s="0" t="s">
        <v>3281</v>
      </c>
      <c r="C1101" s="16">
        <f>HYPERLINK("https://eosportal.federatedhermes.com/companies/Q29tcGFueQppODA0ODY=", "Veolia Environnement SA")</f>
      </c>
      <c r="D1101" s="0" t="s">
        <v>25</v>
      </c>
      <c r="E1101" s="0" t="s">
        <v>3231</v>
      </c>
      <c r="F1101" s="16">
        <f>HYPERLINK("https://eosportal.federatedhermes.com/engagements/RW5nYWdlbWVudAppMjUxMTk=", "Human capital")</f>
      </c>
      <c r="G1101" s="14" t="s">
        <v>3311</v>
      </c>
      <c r="H1101" s="0" t="s">
        <v>130</v>
      </c>
      <c r="I1101" s="14" t="s">
        <v>131</v>
      </c>
      <c r="J1101" s="0" t="s">
        <v>153</v>
      </c>
      <c r="K1101" s="0" t="s">
        <v>154</v>
      </c>
      <c r="L1101" s="0" t="s">
        <v>268</v>
      </c>
      <c r="M1101" s="0" t="s">
        <v>378</v>
      </c>
      <c r="N1101" s="0" t="s">
        <v>1646</v>
      </c>
      <c r="O1101" s="0" t="s">
        <v>192</v>
      </c>
      <c r="Q1101" s="0" t="s">
        <v>130</v>
      </c>
      <c r="R1101" s="0" t="s">
        <v>138</v>
      </c>
      <c r="S1101" s="14">
        <v>0</v>
      </c>
      <c r="T1101" s="0" t="s">
        <v>591</v>
      </c>
      <c r="U1101" s="0" t="s">
        <v>138</v>
      </c>
      <c r="V1101" s="14" t="s">
        <v>138</v>
      </c>
      <c r="W1101" s="0" t="s">
        <v>138</v>
      </c>
      <c r="X1101" s="14" t="s">
        <v>138</v>
      </c>
      <c r="Y1101" s="0" t="s">
        <v>138</v>
      </c>
      <c r="Z1101" s="14" t="s">
        <v>138</v>
      </c>
      <c r="AA1101" s="0" t="s">
        <v>138</v>
      </c>
      <c r="AB1101" s="14" t="s">
        <v>138</v>
      </c>
      <c r="AD1101" s="0" t="s">
        <v>138</v>
      </c>
      <c r="AF1101" s="0">
        <v>0</v>
      </c>
      <c r="AG1101" s="0">
        <v>0</v>
      </c>
      <c r="AH1101" s="0" t="s">
        <v>140</v>
      </c>
      <c r="AI1101" s="0" t="s">
        <v>138</v>
      </c>
      <c r="AL1101" s="14"/>
      <c r="AN1101" s="14"/>
      <c r="AQ1101" s="0" t="s">
        <v>130</v>
      </c>
      <c r="AR1101" s="0" t="s">
        <v>130</v>
      </c>
      <c r="AS1101" s="0" t="s">
        <v>130</v>
      </c>
      <c r="AT1101" s="0" t="s">
        <v>130</v>
      </c>
      <c r="AU1101" s="0" t="s">
        <v>130</v>
      </c>
      <c r="AV1101" s="0" t="s">
        <v>130</v>
      </c>
      <c r="AW1101" s="0" t="s">
        <v>130</v>
      </c>
      <c r="AX1101" s="0" t="s">
        <v>130</v>
      </c>
      <c r="AY1101" s="0" t="s">
        <v>130</v>
      </c>
      <c r="AZ1101" s="0" t="s">
        <v>130</v>
      </c>
      <c r="BA1101" s="0" t="s">
        <v>130</v>
      </c>
      <c r="BB1101" s="0" t="s">
        <v>130</v>
      </c>
      <c r="BC1101" s="0" t="s">
        <v>130</v>
      </c>
      <c r="BD1101" s="0" t="s">
        <v>130</v>
      </c>
      <c r="BE1101" s="0" t="s">
        <v>130</v>
      </c>
      <c r="BF1101" s="0" t="s">
        <v>130</v>
      </c>
      <c r="BG1101" s="0" t="s">
        <v>130</v>
      </c>
      <c r="BH1101" s="0" t="s">
        <v>130</v>
      </c>
      <c r="BI1101" s="0" t="s">
        <v>130</v>
      </c>
      <c r="BJ1101" s="0" t="s">
        <v>130</v>
      </c>
      <c r="BK1101" s="0" t="s">
        <v>130</v>
      </c>
      <c r="BL1101" s="0" t="s">
        <v>130</v>
      </c>
      <c r="BM1101" s="0" t="s">
        <v>130</v>
      </c>
      <c r="BN1101" s="0" t="s">
        <v>130</v>
      </c>
      <c r="BO1101" s="0" t="s">
        <v>130</v>
      </c>
      <c r="BP1101" s="0" t="s">
        <v>130</v>
      </c>
      <c r="BQ1101" s="0" t="s">
        <v>130</v>
      </c>
      <c r="BR1101" s="0" t="s">
        <v>130</v>
      </c>
      <c r="BS1101" s="0" t="s">
        <v>130</v>
      </c>
      <c r="BT1101" s="0" t="s">
        <v>130</v>
      </c>
      <c r="BU1101" s="0" t="s">
        <v>130</v>
      </c>
      <c r="BV1101" s="0" t="s">
        <v>130</v>
      </c>
      <c r="BW1101" s="0" t="s">
        <v>130</v>
      </c>
      <c r="BX1101" s="0" t="s">
        <v>130</v>
      </c>
      <c r="BY1101" s="0" t="s">
        <v>130</v>
      </c>
      <c r="BZ1101" s="0" t="s">
        <v>130</v>
      </c>
      <c r="CA1101" s="0" t="s">
        <v>130</v>
      </c>
      <c r="CB1101" s="0" t="s">
        <v>130</v>
      </c>
      <c r="CC1101" s="0" t="s">
        <v>130</v>
      </c>
      <c r="CD1101" s="0" t="s">
        <v>130</v>
      </c>
      <c r="CE1101" s="0" t="s">
        <v>130</v>
      </c>
      <c r="CF1101" s="0" t="s">
        <v>130</v>
      </c>
      <c r="CG1101" s="0" t="s">
        <v>130</v>
      </c>
      <c r="CH1101" s="0" t="s">
        <v>130</v>
      </c>
      <c r="CI1101" s="0" t="s">
        <v>130</v>
      </c>
      <c r="CJ1101" s="0" t="s">
        <v>130</v>
      </c>
      <c r="CK1101" s="0" t="s">
        <v>141</v>
      </c>
      <c r="CL1101" s="0" t="s">
        <v>130</v>
      </c>
      <c r="CM1101" s="0" t="s">
        <v>130</v>
      </c>
      <c r="CN1101" s="0" t="s">
        <v>130</v>
      </c>
      <c r="CO1101" s="0" t="s">
        <v>130</v>
      </c>
      <c r="CP1101" s="0" t="s">
        <v>130</v>
      </c>
      <c r="CQ1101" s="0" t="s">
        <v>130</v>
      </c>
      <c r="CR1101" s="0" t="s">
        <v>130</v>
      </c>
      <c r="CS1101" s="0" t="s">
        <v>130</v>
      </c>
      <c r="CT1101" s="0" t="s">
        <v>3312</v>
      </c>
    </row>
    <row r="1102">
      <c r="A1102" s="14">
        <v>815394</v>
      </c>
      <c r="B1102" s="0" t="s">
        <v>3281</v>
      </c>
      <c r="C1102" s="16">
        <f>HYPERLINK("https://eosportal.federatedhermes.com/companies/Q29tcGFueQppODA0ODY=", "Veolia Environnement SA")</f>
      </c>
      <c r="D1102" s="0" t="s">
        <v>25</v>
      </c>
      <c r="E1102" s="0" t="s">
        <v>317</v>
      </c>
      <c r="F1102" s="16">
        <f>HYPERLINK("https://eosportal.federatedhermes.com/engagements/RW5nYWdlbWVudAppMjUxMjA=", "Remuneration policy")</f>
      </c>
      <c r="G1102" s="14" t="s">
        <v>3313</v>
      </c>
      <c r="H1102" s="0" t="s">
        <v>130</v>
      </c>
      <c r="I1102" s="14" t="s">
        <v>131</v>
      </c>
      <c r="J1102" s="0" t="s">
        <v>145</v>
      </c>
      <c r="K1102" s="0" t="s">
        <v>146</v>
      </c>
      <c r="L1102" s="0" t="s">
        <v>147</v>
      </c>
      <c r="M1102" s="0" t="s">
        <v>378</v>
      </c>
      <c r="N1102" s="0" t="s">
        <v>1646</v>
      </c>
      <c r="O1102" s="0" t="s">
        <v>192</v>
      </c>
      <c r="Q1102" s="0" t="s">
        <v>130</v>
      </c>
      <c r="R1102" s="0" t="s">
        <v>138</v>
      </c>
      <c r="S1102" s="14">
        <v>0</v>
      </c>
      <c r="T1102" s="0" t="s">
        <v>2480</v>
      </c>
      <c r="U1102" s="0" t="s">
        <v>138</v>
      </c>
      <c r="V1102" s="14" t="s">
        <v>138</v>
      </c>
      <c r="W1102" s="0" t="s">
        <v>138</v>
      </c>
      <c r="X1102" s="14" t="s">
        <v>138</v>
      </c>
      <c r="Y1102" s="0" t="s">
        <v>138</v>
      </c>
      <c r="Z1102" s="14" t="s">
        <v>138</v>
      </c>
      <c r="AA1102" s="0" t="s">
        <v>138</v>
      </c>
      <c r="AB1102" s="14" t="s">
        <v>138</v>
      </c>
      <c r="AD1102" s="0" t="s">
        <v>138</v>
      </c>
      <c r="AF1102" s="0">
        <v>0</v>
      </c>
      <c r="AG1102" s="0">
        <v>0</v>
      </c>
      <c r="AH1102" s="0" t="s">
        <v>140</v>
      </c>
      <c r="AI1102" s="0" t="s">
        <v>138</v>
      </c>
      <c r="AL1102" s="14"/>
      <c r="AN1102" s="14"/>
      <c r="AQ1102" s="0" t="s">
        <v>130</v>
      </c>
      <c r="AR1102" s="0" t="s">
        <v>130</v>
      </c>
      <c r="AS1102" s="0" t="s">
        <v>130</v>
      </c>
      <c r="AT1102" s="0" t="s">
        <v>130</v>
      </c>
      <c r="AU1102" s="0" t="s">
        <v>130</v>
      </c>
      <c r="AV1102" s="0" t="s">
        <v>130</v>
      </c>
      <c r="AW1102" s="0" t="s">
        <v>130</v>
      </c>
      <c r="AX1102" s="0" t="s">
        <v>130</v>
      </c>
      <c r="AY1102" s="0" t="s">
        <v>130</v>
      </c>
      <c r="AZ1102" s="0" t="s">
        <v>130</v>
      </c>
      <c r="BA1102" s="0" t="s">
        <v>130</v>
      </c>
      <c r="BB1102" s="0" t="s">
        <v>130</v>
      </c>
      <c r="BC1102" s="0" t="s">
        <v>130</v>
      </c>
      <c r="BD1102" s="0" t="s">
        <v>130</v>
      </c>
      <c r="BE1102" s="0" t="s">
        <v>130</v>
      </c>
      <c r="BF1102" s="0" t="s">
        <v>130</v>
      </c>
      <c r="BG1102" s="0" t="s">
        <v>130</v>
      </c>
      <c r="BH1102" s="0" t="s">
        <v>130</v>
      </c>
      <c r="BI1102" s="0" t="s">
        <v>130</v>
      </c>
      <c r="BJ1102" s="0" t="s">
        <v>130</v>
      </c>
      <c r="BK1102" s="0" t="s">
        <v>130</v>
      </c>
      <c r="BL1102" s="0" t="s">
        <v>130</v>
      </c>
      <c r="BM1102" s="0" t="s">
        <v>130</v>
      </c>
      <c r="BN1102" s="0" t="s">
        <v>130</v>
      </c>
      <c r="BO1102" s="0" t="s">
        <v>130</v>
      </c>
      <c r="BP1102" s="0" t="s">
        <v>130</v>
      </c>
      <c r="BQ1102" s="0" t="s">
        <v>130</v>
      </c>
      <c r="BR1102" s="0" t="s">
        <v>130</v>
      </c>
      <c r="BS1102" s="0" t="s">
        <v>130</v>
      </c>
      <c r="BT1102" s="0" t="s">
        <v>130</v>
      </c>
      <c r="BU1102" s="0" t="s">
        <v>130</v>
      </c>
      <c r="BV1102" s="0" t="s">
        <v>130</v>
      </c>
      <c r="BW1102" s="0" t="s">
        <v>130</v>
      </c>
      <c r="BX1102" s="0" t="s">
        <v>130</v>
      </c>
      <c r="BY1102" s="0" t="s">
        <v>130</v>
      </c>
      <c r="BZ1102" s="0" t="s">
        <v>130</v>
      </c>
      <c r="CA1102" s="0" t="s">
        <v>130</v>
      </c>
      <c r="CB1102" s="0" t="s">
        <v>130</v>
      </c>
      <c r="CC1102" s="0" t="s">
        <v>130</v>
      </c>
      <c r="CD1102" s="0" t="s">
        <v>130</v>
      </c>
      <c r="CE1102" s="0" t="s">
        <v>130</v>
      </c>
      <c r="CF1102" s="0" t="s">
        <v>130</v>
      </c>
      <c r="CG1102" s="0" t="s">
        <v>130</v>
      </c>
      <c r="CH1102" s="0" t="s">
        <v>130</v>
      </c>
      <c r="CI1102" s="0" t="s">
        <v>130</v>
      </c>
      <c r="CJ1102" s="0" t="s">
        <v>130</v>
      </c>
      <c r="CK1102" s="0" t="s">
        <v>130</v>
      </c>
      <c r="CL1102" s="0" t="s">
        <v>130</v>
      </c>
      <c r="CM1102" s="0" t="s">
        <v>130</v>
      </c>
      <c r="CN1102" s="0" t="s">
        <v>130</v>
      </c>
      <c r="CO1102" s="0" t="s">
        <v>130</v>
      </c>
      <c r="CP1102" s="0" t="s">
        <v>130</v>
      </c>
      <c r="CQ1102" s="0" t="s">
        <v>130</v>
      </c>
      <c r="CR1102" s="0" t="s">
        <v>130</v>
      </c>
      <c r="CS1102" s="0" t="s">
        <v>130</v>
      </c>
      <c r="CT1102" s="0" t="s">
        <v>3314</v>
      </c>
    </row>
    <row r="1103">
      <c r="A1103" s="14">
        <v>815394</v>
      </c>
      <c r="B1103" s="0" t="s">
        <v>3281</v>
      </c>
      <c r="C1103" s="16">
        <f>HYPERLINK("https://eosportal.federatedhermes.com/companies/Q29tcGFueQppODA0ODY=", "Veolia Environnement SA")</f>
      </c>
      <c r="D1103" s="0" t="s">
        <v>25</v>
      </c>
      <c r="E1103" s="0" t="s">
        <v>3315</v>
      </c>
      <c r="F1103" s="16">
        <f>HYPERLINK("https://eosportal.federatedhermes.com/engagements/RW5nYWdlbWVudAppMjUxMjE=", "Director Entrenchment Risks")</f>
      </c>
      <c r="G1103" s="14" t="s">
        <v>3316</v>
      </c>
      <c r="H1103" s="0" t="s">
        <v>130</v>
      </c>
      <c r="I1103" s="14" t="s">
        <v>131</v>
      </c>
      <c r="J1103" s="0" t="s">
        <v>145</v>
      </c>
      <c r="K1103" s="0" t="s">
        <v>164</v>
      </c>
      <c r="L1103" s="0" t="s">
        <v>165</v>
      </c>
      <c r="M1103" s="0" t="s">
        <v>378</v>
      </c>
      <c r="N1103" s="0" t="s">
        <v>1646</v>
      </c>
      <c r="O1103" s="0" t="s">
        <v>192</v>
      </c>
      <c r="Q1103" s="0" t="s">
        <v>130</v>
      </c>
      <c r="R1103" s="0" t="s">
        <v>138</v>
      </c>
      <c r="S1103" s="14">
        <v>0</v>
      </c>
      <c r="T1103" s="0" t="s">
        <v>206</v>
      </c>
      <c r="U1103" s="0" t="s">
        <v>138</v>
      </c>
      <c r="V1103" s="14" t="s">
        <v>138</v>
      </c>
      <c r="W1103" s="0" t="s">
        <v>138</v>
      </c>
      <c r="X1103" s="14" t="s">
        <v>138</v>
      </c>
      <c r="Y1103" s="0" t="s">
        <v>138</v>
      </c>
      <c r="Z1103" s="14" t="s">
        <v>138</v>
      </c>
      <c r="AA1103" s="0" t="s">
        <v>138</v>
      </c>
      <c r="AB1103" s="14" t="s">
        <v>138</v>
      </c>
      <c r="AD1103" s="0" t="s">
        <v>138</v>
      </c>
      <c r="AF1103" s="0">
        <v>0</v>
      </c>
      <c r="AG1103" s="0">
        <v>0</v>
      </c>
      <c r="AH1103" s="0" t="s">
        <v>140</v>
      </c>
      <c r="AI1103" s="0" t="s">
        <v>138</v>
      </c>
      <c r="AL1103" s="14"/>
      <c r="AN1103" s="14"/>
      <c r="AQ1103" s="0" t="s">
        <v>130</v>
      </c>
      <c r="AR1103" s="0" t="s">
        <v>130</v>
      </c>
      <c r="AS1103" s="0" t="s">
        <v>130</v>
      </c>
      <c r="AT1103" s="0" t="s">
        <v>130</v>
      </c>
      <c r="AU1103" s="0" t="s">
        <v>130</v>
      </c>
      <c r="AV1103" s="0" t="s">
        <v>130</v>
      </c>
      <c r="AW1103" s="0" t="s">
        <v>130</v>
      </c>
      <c r="AX1103" s="0" t="s">
        <v>130</v>
      </c>
      <c r="AY1103" s="0" t="s">
        <v>130</v>
      </c>
      <c r="AZ1103" s="0" t="s">
        <v>130</v>
      </c>
      <c r="BA1103" s="0" t="s">
        <v>130</v>
      </c>
      <c r="BB1103" s="0" t="s">
        <v>130</v>
      </c>
      <c r="BC1103" s="0" t="s">
        <v>130</v>
      </c>
      <c r="BD1103" s="0" t="s">
        <v>130</v>
      </c>
      <c r="BE1103" s="0" t="s">
        <v>130</v>
      </c>
      <c r="BF1103" s="0" t="s">
        <v>130</v>
      </c>
      <c r="BG1103" s="0" t="s">
        <v>130</v>
      </c>
      <c r="BH1103" s="0" t="s">
        <v>130</v>
      </c>
      <c r="BI1103" s="0" t="s">
        <v>130</v>
      </c>
      <c r="BJ1103" s="0" t="s">
        <v>130</v>
      </c>
      <c r="BK1103" s="0" t="s">
        <v>130</v>
      </c>
      <c r="BL1103" s="0" t="s">
        <v>130</v>
      </c>
      <c r="BM1103" s="0" t="s">
        <v>130</v>
      </c>
      <c r="BN1103" s="0" t="s">
        <v>130</v>
      </c>
      <c r="BO1103" s="0" t="s">
        <v>130</v>
      </c>
      <c r="BP1103" s="0" t="s">
        <v>130</v>
      </c>
      <c r="BQ1103" s="0" t="s">
        <v>130</v>
      </c>
      <c r="BR1103" s="0" t="s">
        <v>130</v>
      </c>
      <c r="BS1103" s="0" t="s">
        <v>130</v>
      </c>
      <c r="BT1103" s="0" t="s">
        <v>130</v>
      </c>
      <c r="BU1103" s="0" t="s">
        <v>130</v>
      </c>
      <c r="BV1103" s="0" t="s">
        <v>130</v>
      </c>
      <c r="BW1103" s="0" t="s">
        <v>130</v>
      </c>
      <c r="BX1103" s="0" t="s">
        <v>130</v>
      </c>
      <c r="BY1103" s="0" t="s">
        <v>130</v>
      </c>
      <c r="BZ1103" s="0" t="s">
        <v>130</v>
      </c>
      <c r="CA1103" s="0" t="s">
        <v>130</v>
      </c>
      <c r="CB1103" s="0" t="s">
        <v>130</v>
      </c>
      <c r="CC1103" s="0" t="s">
        <v>130</v>
      </c>
      <c r="CD1103" s="0" t="s">
        <v>130</v>
      </c>
      <c r="CE1103" s="0" t="s">
        <v>130</v>
      </c>
      <c r="CF1103" s="0" t="s">
        <v>130</v>
      </c>
      <c r="CG1103" s="0" t="s">
        <v>130</v>
      </c>
      <c r="CH1103" s="0" t="s">
        <v>130</v>
      </c>
      <c r="CI1103" s="0" t="s">
        <v>130</v>
      </c>
      <c r="CJ1103" s="0" t="s">
        <v>130</v>
      </c>
      <c r="CK1103" s="0" t="s">
        <v>130</v>
      </c>
      <c r="CL1103" s="0" t="s">
        <v>130</v>
      </c>
      <c r="CM1103" s="0" t="s">
        <v>130</v>
      </c>
      <c r="CN1103" s="0" t="s">
        <v>130</v>
      </c>
      <c r="CO1103" s="0" t="s">
        <v>130</v>
      </c>
      <c r="CP1103" s="0" t="s">
        <v>130</v>
      </c>
      <c r="CQ1103" s="0" t="s">
        <v>130</v>
      </c>
      <c r="CR1103" s="0" t="s">
        <v>130</v>
      </c>
      <c r="CS1103" s="0" t="s">
        <v>130</v>
      </c>
      <c r="CT1103" s="0" t="s">
        <v>3317</v>
      </c>
    </row>
    <row r="1104">
      <c r="A1104" s="14">
        <v>199455</v>
      </c>
      <c r="B1104" s="0" t="s">
        <v>3318</v>
      </c>
      <c r="C1104" s="16">
        <f>HYPERLINK("https://eosportal.federatedhermes.com/companies/Q29tcGFueQppNzQwNTY=", "Glencore PLC")</f>
      </c>
      <c r="D1104" s="0" t="s">
        <v>25</v>
      </c>
      <c r="E1104" s="0" t="s">
        <v>918</v>
      </c>
      <c r="F1104" s="16">
        <f>HYPERLINK("https://eosportal.federatedhermes.com/engagements/RW5nYWdlbWVudAppMjUxNDQ=", "Controversy linked to UNGC Principle 7: Approach to environmental challenges")</f>
      </c>
      <c r="G1104" s="14" t="s">
        <v>3319</v>
      </c>
      <c r="H1104" s="0" t="s">
        <v>141</v>
      </c>
      <c r="I1104" s="14" t="s">
        <v>191</v>
      </c>
      <c r="J1104" s="0" t="s">
        <v>197</v>
      </c>
      <c r="K1104" s="0" t="s">
        <v>337</v>
      </c>
      <c r="L1104" s="0" t="s">
        <v>576</v>
      </c>
      <c r="M1104" s="0" t="s">
        <v>378</v>
      </c>
      <c r="N1104" s="0" t="s">
        <v>1059</v>
      </c>
      <c r="O1104" s="0" t="s">
        <v>373</v>
      </c>
      <c r="Q1104" s="0" t="s">
        <v>141</v>
      </c>
      <c r="R1104" s="0" t="s">
        <v>138</v>
      </c>
      <c r="S1104" s="14">
        <v>1</v>
      </c>
      <c r="T1104" s="0" t="s">
        <v>139</v>
      </c>
      <c r="U1104" s="0" t="s">
        <v>138</v>
      </c>
      <c r="V1104" s="14" t="s">
        <v>138</v>
      </c>
      <c r="W1104" s="0" t="s">
        <v>138</v>
      </c>
      <c r="X1104" s="14" t="s">
        <v>138</v>
      </c>
      <c r="Y1104" s="0" t="s">
        <v>138</v>
      </c>
      <c r="Z1104" s="14" t="s">
        <v>138</v>
      </c>
      <c r="AA1104" s="0" t="s">
        <v>138</v>
      </c>
      <c r="AB1104" s="14" t="s">
        <v>138</v>
      </c>
      <c r="AD1104" s="0" t="s">
        <v>138</v>
      </c>
      <c r="AF1104" s="0">
        <v>0</v>
      </c>
      <c r="AG1104" s="0">
        <v>0</v>
      </c>
      <c r="AH1104" s="0" t="s">
        <v>140</v>
      </c>
      <c r="AI1104" s="0" t="s">
        <v>138</v>
      </c>
      <c r="AK1104" s="0" t="s">
        <v>2376</v>
      </c>
      <c r="AL1104" s="14"/>
      <c r="AN1104" s="14"/>
      <c r="AQ1104" s="0" t="s">
        <v>130</v>
      </c>
      <c r="AR1104" s="0" t="s">
        <v>141</v>
      </c>
      <c r="AS1104" s="0" t="s">
        <v>130</v>
      </c>
      <c r="AT1104" s="0" t="s">
        <v>130</v>
      </c>
      <c r="AU1104" s="0" t="s">
        <v>130</v>
      </c>
      <c r="AV1104" s="0" t="s">
        <v>141</v>
      </c>
      <c r="AW1104" s="0" t="s">
        <v>130</v>
      </c>
      <c r="AX1104" s="0" t="s">
        <v>130</v>
      </c>
      <c r="AY1104" s="0" t="s">
        <v>130</v>
      </c>
      <c r="AZ1104" s="0" t="s">
        <v>130</v>
      </c>
      <c r="BA1104" s="0" t="s">
        <v>141</v>
      </c>
      <c r="BB1104" s="0" t="s">
        <v>141</v>
      </c>
      <c r="BC1104" s="0" t="s">
        <v>130</v>
      </c>
      <c r="BD1104" s="0" t="s">
        <v>141</v>
      </c>
      <c r="BE1104" s="0" t="s">
        <v>141</v>
      </c>
      <c r="BF1104" s="0" t="s">
        <v>130</v>
      </c>
      <c r="BG1104" s="0" t="s">
        <v>130</v>
      </c>
      <c r="BH1104" s="0" t="s">
        <v>130</v>
      </c>
      <c r="BI1104" s="0" t="s">
        <v>130</v>
      </c>
      <c r="BJ1104" s="0" t="s">
        <v>130</v>
      </c>
      <c r="BK1104" s="0" t="s">
        <v>130</v>
      </c>
      <c r="BL1104" s="0" t="s">
        <v>130</v>
      </c>
      <c r="BM1104" s="0" t="s">
        <v>130</v>
      </c>
      <c r="BN1104" s="0" t="s">
        <v>130</v>
      </c>
      <c r="BO1104" s="0" t="s">
        <v>130</v>
      </c>
      <c r="BP1104" s="0" t="s">
        <v>141</v>
      </c>
      <c r="BQ1104" s="0" t="s">
        <v>130</v>
      </c>
      <c r="BR1104" s="0" t="s">
        <v>130</v>
      </c>
      <c r="BS1104" s="0" t="s">
        <v>130</v>
      </c>
      <c r="BT1104" s="0" t="s">
        <v>130</v>
      </c>
      <c r="BU1104" s="0" t="s">
        <v>130</v>
      </c>
      <c r="BV1104" s="0" t="s">
        <v>130</v>
      </c>
      <c r="BW1104" s="0" t="s">
        <v>130</v>
      </c>
      <c r="BX1104" s="0" t="s">
        <v>130</v>
      </c>
      <c r="BY1104" s="0" t="s">
        <v>130</v>
      </c>
      <c r="BZ1104" s="0" t="s">
        <v>130</v>
      </c>
      <c r="CA1104" s="0" t="s">
        <v>130</v>
      </c>
      <c r="CB1104" s="0" t="s">
        <v>130</v>
      </c>
      <c r="CC1104" s="0" t="s">
        <v>130</v>
      </c>
      <c r="CD1104" s="0" t="s">
        <v>130</v>
      </c>
      <c r="CE1104" s="0" t="s">
        <v>130</v>
      </c>
      <c r="CF1104" s="0" t="s">
        <v>130</v>
      </c>
      <c r="CG1104" s="0" t="s">
        <v>130</v>
      </c>
      <c r="CH1104" s="0" t="s">
        <v>130</v>
      </c>
      <c r="CI1104" s="0" t="s">
        <v>130</v>
      </c>
      <c r="CJ1104" s="0" t="s">
        <v>130</v>
      </c>
      <c r="CK1104" s="0" t="s">
        <v>130</v>
      </c>
      <c r="CL1104" s="0" t="s">
        <v>130</v>
      </c>
      <c r="CM1104" s="0" t="s">
        <v>130</v>
      </c>
      <c r="CN1104" s="0" t="s">
        <v>130</v>
      </c>
      <c r="CO1104" s="0" t="s">
        <v>130</v>
      </c>
      <c r="CP1104" s="0" t="s">
        <v>130</v>
      </c>
      <c r="CQ1104" s="0" t="s">
        <v>130</v>
      </c>
      <c r="CR1104" s="0" t="s">
        <v>130</v>
      </c>
      <c r="CS1104" s="0" t="s">
        <v>130</v>
      </c>
      <c r="CT1104" s="0" t="s">
        <v>3320</v>
      </c>
    </row>
    <row r="1105">
      <c r="A1105" s="14">
        <v>199455</v>
      </c>
      <c r="B1105" s="0" t="s">
        <v>3318</v>
      </c>
      <c r="C1105" s="16">
        <f>HYPERLINK("https://eosportal.federatedhermes.com/companies/Q29tcGFueQppNzQwNTY=", "Glencore PLC")</f>
      </c>
      <c r="D1105" s="0" t="s">
        <v>23</v>
      </c>
      <c r="E1105" s="0" t="s">
        <v>3321</v>
      </c>
      <c r="F1105" s="16">
        <f>HYPERLINK("https://eosportal.federatedhermes.com/engagements/RW5nYWdlbWVudAppMjUxNDU=", "Enhanced public reporting on plans, actions and progress on diversity")</f>
      </c>
      <c r="G1105" s="14" t="s">
        <v>3322</v>
      </c>
      <c r="H1105" s="0" t="s">
        <v>141</v>
      </c>
      <c r="I1105" s="14" t="s">
        <v>191</v>
      </c>
      <c r="J1105" s="0" t="s">
        <v>153</v>
      </c>
      <c r="K1105" s="0" t="s">
        <v>154</v>
      </c>
      <c r="L1105" s="0" t="s">
        <v>268</v>
      </c>
      <c r="M1105" s="0" t="s">
        <v>378</v>
      </c>
      <c r="N1105" s="0" t="s">
        <v>1059</v>
      </c>
      <c r="O1105" s="0" t="s">
        <v>373</v>
      </c>
      <c r="Q1105" s="0" t="s">
        <v>141</v>
      </c>
      <c r="R1105" s="0" t="s">
        <v>130</v>
      </c>
      <c r="S1105" s="14">
        <v>1</v>
      </c>
      <c r="T1105" s="0" t="s">
        <v>359</v>
      </c>
      <c r="U1105" s="0" t="s">
        <v>221</v>
      </c>
      <c r="V1105" s="14" t="s">
        <v>359</v>
      </c>
      <c r="W1105" s="0" t="s">
        <v>221</v>
      </c>
      <c r="X1105" s="14" t="s">
        <v>359</v>
      </c>
      <c r="Y1105" s="0" t="s">
        <v>221</v>
      </c>
      <c r="Z1105" s="14" t="s">
        <v>449</v>
      </c>
      <c r="AA1105" s="0" t="s">
        <v>223</v>
      </c>
      <c r="AB1105" s="14" t="s">
        <v>138</v>
      </c>
      <c r="AD1105" s="0" t="s">
        <v>20</v>
      </c>
      <c r="AF1105" s="0">
        <v>0</v>
      </c>
      <c r="AG1105" s="0">
        <v>0</v>
      </c>
      <c r="AH1105" s="0" t="s">
        <v>140</v>
      </c>
      <c r="AI1105" s="0" t="s">
        <v>479</v>
      </c>
      <c r="AK1105" s="0" t="s">
        <v>2376</v>
      </c>
      <c r="AL1105" s="14"/>
      <c r="AN1105" s="14"/>
      <c r="AQ1105" s="0" t="s">
        <v>130</v>
      </c>
      <c r="AR1105" s="0" t="s">
        <v>130</v>
      </c>
      <c r="AS1105" s="0" t="s">
        <v>130</v>
      </c>
      <c r="AT1105" s="0" t="s">
        <v>130</v>
      </c>
      <c r="AU1105" s="0" t="s">
        <v>141</v>
      </c>
      <c r="AV1105" s="0" t="s">
        <v>130</v>
      </c>
      <c r="AW1105" s="0" t="s">
        <v>130</v>
      </c>
      <c r="AX1105" s="0" t="s">
        <v>130</v>
      </c>
      <c r="AY1105" s="0" t="s">
        <v>130</v>
      </c>
      <c r="AZ1105" s="0" t="s">
        <v>130</v>
      </c>
      <c r="BA1105" s="0" t="s">
        <v>130</v>
      </c>
      <c r="BB1105" s="0" t="s">
        <v>130</v>
      </c>
      <c r="BC1105" s="0" t="s">
        <v>130</v>
      </c>
      <c r="BD1105" s="0" t="s">
        <v>130</v>
      </c>
      <c r="BE1105" s="0" t="s">
        <v>130</v>
      </c>
      <c r="BF1105" s="0" t="s">
        <v>130</v>
      </c>
      <c r="BG1105" s="0" t="s">
        <v>130</v>
      </c>
      <c r="BH1105" s="0" t="s">
        <v>130</v>
      </c>
      <c r="BI1105" s="0" t="s">
        <v>130</v>
      </c>
      <c r="BJ1105" s="0" t="s">
        <v>130</v>
      </c>
      <c r="BK1105" s="0" t="s">
        <v>130</v>
      </c>
      <c r="BL1105" s="0" t="s">
        <v>130</v>
      </c>
      <c r="BM1105" s="0" t="s">
        <v>130</v>
      </c>
      <c r="BN1105" s="0" t="s">
        <v>130</v>
      </c>
      <c r="BO1105" s="0" t="s">
        <v>130</v>
      </c>
      <c r="BP1105" s="0" t="s">
        <v>130</v>
      </c>
      <c r="BQ1105" s="0" t="s">
        <v>130</v>
      </c>
      <c r="BR1105" s="0" t="s">
        <v>130</v>
      </c>
      <c r="BS1105" s="0" t="s">
        <v>130</v>
      </c>
      <c r="BT1105" s="0" t="s">
        <v>130</v>
      </c>
      <c r="BU1105" s="0" t="s">
        <v>130</v>
      </c>
      <c r="BV1105" s="0" t="s">
        <v>130</v>
      </c>
      <c r="BW1105" s="0" t="s">
        <v>130</v>
      </c>
      <c r="BX1105" s="0" t="s">
        <v>130</v>
      </c>
      <c r="BY1105" s="0" t="s">
        <v>130</v>
      </c>
      <c r="BZ1105" s="0" t="s">
        <v>130</v>
      </c>
      <c r="CA1105" s="0" t="s">
        <v>130</v>
      </c>
      <c r="CB1105" s="0" t="s">
        <v>130</v>
      </c>
      <c r="CC1105" s="0" t="s">
        <v>130</v>
      </c>
      <c r="CD1105" s="0" t="s">
        <v>130</v>
      </c>
      <c r="CE1105" s="0" t="s">
        <v>130</v>
      </c>
      <c r="CF1105" s="0" t="s">
        <v>130</v>
      </c>
      <c r="CG1105" s="0" t="s">
        <v>130</v>
      </c>
      <c r="CH1105" s="0" t="s">
        <v>130</v>
      </c>
      <c r="CI1105" s="0" t="s">
        <v>130</v>
      </c>
      <c r="CJ1105" s="0" t="s">
        <v>130</v>
      </c>
      <c r="CK1105" s="0" t="s">
        <v>141</v>
      </c>
      <c r="CL1105" s="0" t="s">
        <v>130</v>
      </c>
      <c r="CM1105" s="0" t="s">
        <v>130</v>
      </c>
      <c r="CN1105" s="0" t="s">
        <v>130</v>
      </c>
      <c r="CO1105" s="0" t="s">
        <v>130</v>
      </c>
      <c r="CP1105" s="0" t="s">
        <v>130</v>
      </c>
      <c r="CQ1105" s="0" t="s">
        <v>130</v>
      </c>
      <c r="CR1105" s="0" t="s">
        <v>130</v>
      </c>
      <c r="CS1105" s="0" t="s">
        <v>130</v>
      </c>
      <c r="CT1105" s="0" t="s">
        <v>3323</v>
      </c>
    </row>
    <row r="1106">
      <c r="A1106" s="14">
        <v>199455</v>
      </c>
      <c r="B1106" s="0" t="s">
        <v>3318</v>
      </c>
      <c r="C1106" s="16">
        <f>HYPERLINK("https://eosportal.federatedhermes.com/companies/Q29tcGFueQppNzQwNTY=", "Glencore PLC")</f>
      </c>
      <c r="D1106" s="0" t="s">
        <v>25</v>
      </c>
      <c r="E1106" s="0" t="s">
        <v>3324</v>
      </c>
      <c r="F1106" s="16">
        <f>HYPERLINK("https://eosportal.federatedhermes.com/engagements/RW5nYWdlbWVudAppMjUxNDc=", "South African labour relations")</f>
      </c>
      <c r="G1106" s="14" t="s">
        <v>3325</v>
      </c>
      <c r="H1106" s="0" t="s">
        <v>141</v>
      </c>
      <c r="I1106" s="14" t="s">
        <v>191</v>
      </c>
      <c r="J1106" s="0" t="s">
        <v>153</v>
      </c>
      <c r="K1106" s="0" t="s">
        <v>154</v>
      </c>
      <c r="L1106" s="0" t="s">
        <v>306</v>
      </c>
      <c r="M1106" s="0" t="s">
        <v>378</v>
      </c>
      <c r="N1106" s="0" t="s">
        <v>1059</v>
      </c>
      <c r="O1106" s="0" t="s">
        <v>373</v>
      </c>
      <c r="Q1106" s="0" t="s">
        <v>130</v>
      </c>
      <c r="R1106" s="0" t="s">
        <v>138</v>
      </c>
      <c r="S1106" s="14">
        <v>0</v>
      </c>
      <c r="T1106" s="0" t="s">
        <v>299</v>
      </c>
      <c r="U1106" s="0" t="s">
        <v>138</v>
      </c>
      <c r="V1106" s="14" t="s">
        <v>138</v>
      </c>
      <c r="W1106" s="0" t="s">
        <v>138</v>
      </c>
      <c r="X1106" s="14" t="s">
        <v>138</v>
      </c>
      <c r="Y1106" s="0" t="s">
        <v>138</v>
      </c>
      <c r="Z1106" s="14" t="s">
        <v>138</v>
      </c>
      <c r="AA1106" s="0" t="s">
        <v>138</v>
      </c>
      <c r="AB1106" s="14" t="s">
        <v>138</v>
      </c>
      <c r="AD1106" s="0" t="s">
        <v>138</v>
      </c>
      <c r="AF1106" s="0">
        <v>0</v>
      </c>
      <c r="AG1106" s="0">
        <v>0</v>
      </c>
      <c r="AH1106" s="0" t="s">
        <v>140</v>
      </c>
      <c r="AI1106" s="0" t="s">
        <v>138</v>
      </c>
      <c r="AL1106" s="14"/>
      <c r="AN1106" s="14"/>
      <c r="AQ1106" s="0" t="s">
        <v>130</v>
      </c>
      <c r="AR1106" s="0" t="s">
        <v>130</v>
      </c>
      <c r="AS1106" s="0" t="s">
        <v>130</v>
      </c>
      <c r="AT1106" s="0" t="s">
        <v>130</v>
      </c>
      <c r="AU1106" s="0" t="s">
        <v>130</v>
      </c>
      <c r="AV1106" s="0" t="s">
        <v>130</v>
      </c>
      <c r="AW1106" s="0" t="s">
        <v>130</v>
      </c>
      <c r="AX1106" s="0" t="s">
        <v>130</v>
      </c>
      <c r="AY1106" s="0" t="s">
        <v>130</v>
      </c>
      <c r="AZ1106" s="0" t="s">
        <v>130</v>
      </c>
      <c r="BA1106" s="0" t="s">
        <v>130</v>
      </c>
      <c r="BB1106" s="0" t="s">
        <v>130</v>
      </c>
      <c r="BC1106" s="0" t="s">
        <v>130</v>
      </c>
      <c r="BD1106" s="0" t="s">
        <v>130</v>
      </c>
      <c r="BE1106" s="0" t="s">
        <v>130</v>
      </c>
      <c r="BF1106" s="0" t="s">
        <v>130</v>
      </c>
      <c r="BG1106" s="0" t="s">
        <v>130</v>
      </c>
      <c r="BH1106" s="0" t="s">
        <v>130</v>
      </c>
      <c r="BI1106" s="0" t="s">
        <v>130</v>
      </c>
      <c r="BJ1106" s="0" t="s">
        <v>130</v>
      </c>
      <c r="BK1106" s="0" t="s">
        <v>130</v>
      </c>
      <c r="BL1106" s="0" t="s">
        <v>130</v>
      </c>
      <c r="BM1106" s="0" t="s">
        <v>130</v>
      </c>
      <c r="BN1106" s="0" t="s">
        <v>130</v>
      </c>
      <c r="BO1106" s="0" t="s">
        <v>130</v>
      </c>
      <c r="BP1106" s="0" t="s">
        <v>130</v>
      </c>
      <c r="BQ1106" s="0" t="s">
        <v>130</v>
      </c>
      <c r="BR1106" s="0" t="s">
        <v>130</v>
      </c>
      <c r="BS1106" s="0" t="s">
        <v>130</v>
      </c>
      <c r="BT1106" s="0" t="s">
        <v>130</v>
      </c>
      <c r="BU1106" s="0" t="s">
        <v>130</v>
      </c>
      <c r="BV1106" s="0" t="s">
        <v>130</v>
      </c>
      <c r="BW1106" s="0" t="s">
        <v>130</v>
      </c>
      <c r="BX1106" s="0" t="s">
        <v>130</v>
      </c>
      <c r="BY1106" s="0" t="s">
        <v>130</v>
      </c>
      <c r="BZ1106" s="0" t="s">
        <v>130</v>
      </c>
      <c r="CA1106" s="0" t="s">
        <v>130</v>
      </c>
      <c r="CB1106" s="0" t="s">
        <v>130</v>
      </c>
      <c r="CC1106" s="0" t="s">
        <v>130</v>
      </c>
      <c r="CD1106" s="0" t="s">
        <v>130</v>
      </c>
      <c r="CE1106" s="0" t="s">
        <v>130</v>
      </c>
      <c r="CF1106" s="0" t="s">
        <v>130</v>
      </c>
      <c r="CG1106" s="0" t="s">
        <v>130</v>
      </c>
      <c r="CH1106" s="0" t="s">
        <v>130</v>
      </c>
      <c r="CI1106" s="0" t="s">
        <v>130</v>
      </c>
      <c r="CJ1106" s="0" t="s">
        <v>130</v>
      </c>
      <c r="CK1106" s="0" t="s">
        <v>130</v>
      </c>
      <c r="CL1106" s="0" t="s">
        <v>130</v>
      </c>
      <c r="CM1106" s="0" t="s">
        <v>130</v>
      </c>
      <c r="CN1106" s="0" t="s">
        <v>130</v>
      </c>
      <c r="CO1106" s="0" t="s">
        <v>130</v>
      </c>
      <c r="CP1106" s="0" t="s">
        <v>130</v>
      </c>
      <c r="CQ1106" s="0" t="s">
        <v>130</v>
      </c>
      <c r="CR1106" s="0" t="s">
        <v>130</v>
      </c>
      <c r="CS1106" s="0" t="s">
        <v>130</v>
      </c>
      <c r="CT1106" s="0" t="s">
        <v>3326</v>
      </c>
    </row>
    <row r="1107">
      <c r="A1107" s="14">
        <v>199455</v>
      </c>
      <c r="B1107" s="0" t="s">
        <v>3318</v>
      </c>
      <c r="C1107" s="16">
        <f>HYPERLINK("https://eosportal.federatedhermes.com/companies/Q29tcGFueQppNzQwNTY=", "Glencore PLC")</f>
      </c>
      <c r="D1107" s="0" t="s">
        <v>25</v>
      </c>
      <c r="E1107" s="0" t="s">
        <v>3327</v>
      </c>
      <c r="F1107" s="16">
        <f>HYPERLINK("https://eosportal.federatedhermes.com/engagements/RW5nYWdlbWVudAppMjUxNDg=", "Executive retention")</f>
      </c>
      <c r="G1107" s="14" t="s">
        <v>3328</v>
      </c>
      <c r="H1107" s="0" t="s">
        <v>141</v>
      </c>
      <c r="I1107" s="14" t="s">
        <v>191</v>
      </c>
      <c r="J1107" s="0" t="s">
        <v>145</v>
      </c>
      <c r="K1107" s="0" t="s">
        <v>146</v>
      </c>
      <c r="L1107" s="0" t="s">
        <v>147</v>
      </c>
      <c r="M1107" s="0" t="s">
        <v>378</v>
      </c>
      <c r="N1107" s="0" t="s">
        <v>1059</v>
      </c>
      <c r="O1107" s="0" t="s">
        <v>373</v>
      </c>
      <c r="Q1107" s="0" t="s">
        <v>130</v>
      </c>
      <c r="R1107" s="0" t="s">
        <v>138</v>
      </c>
      <c r="S1107" s="14">
        <v>0</v>
      </c>
      <c r="T1107" s="0" t="s">
        <v>299</v>
      </c>
      <c r="U1107" s="0" t="s">
        <v>138</v>
      </c>
      <c r="V1107" s="14" t="s">
        <v>138</v>
      </c>
      <c r="W1107" s="0" t="s">
        <v>138</v>
      </c>
      <c r="X1107" s="14" t="s">
        <v>138</v>
      </c>
      <c r="Y1107" s="0" t="s">
        <v>138</v>
      </c>
      <c r="Z1107" s="14" t="s">
        <v>138</v>
      </c>
      <c r="AA1107" s="0" t="s">
        <v>138</v>
      </c>
      <c r="AB1107" s="14" t="s">
        <v>138</v>
      </c>
      <c r="AD1107" s="0" t="s">
        <v>138</v>
      </c>
      <c r="AF1107" s="0">
        <v>0</v>
      </c>
      <c r="AG1107" s="0">
        <v>0</v>
      </c>
      <c r="AH1107" s="0" t="s">
        <v>140</v>
      </c>
      <c r="AI1107" s="0" t="s">
        <v>138</v>
      </c>
      <c r="AL1107" s="14"/>
      <c r="AN1107" s="14"/>
      <c r="AQ1107" s="0" t="s">
        <v>130</v>
      </c>
      <c r="AR1107" s="0" t="s">
        <v>130</v>
      </c>
      <c r="AS1107" s="0" t="s">
        <v>130</v>
      </c>
      <c r="AT1107" s="0" t="s">
        <v>130</v>
      </c>
      <c r="AU1107" s="0" t="s">
        <v>130</v>
      </c>
      <c r="AV1107" s="0" t="s">
        <v>130</v>
      </c>
      <c r="AW1107" s="0" t="s">
        <v>130</v>
      </c>
      <c r="AX1107" s="0" t="s">
        <v>130</v>
      </c>
      <c r="AY1107" s="0" t="s">
        <v>130</v>
      </c>
      <c r="AZ1107" s="0" t="s">
        <v>130</v>
      </c>
      <c r="BA1107" s="0" t="s">
        <v>130</v>
      </c>
      <c r="BB1107" s="0" t="s">
        <v>130</v>
      </c>
      <c r="BC1107" s="0" t="s">
        <v>130</v>
      </c>
      <c r="BD1107" s="0" t="s">
        <v>130</v>
      </c>
      <c r="BE1107" s="0" t="s">
        <v>130</v>
      </c>
      <c r="BF1107" s="0" t="s">
        <v>130</v>
      </c>
      <c r="BG1107" s="0" t="s">
        <v>130</v>
      </c>
      <c r="BH1107" s="0" t="s">
        <v>130</v>
      </c>
      <c r="BI1107" s="0" t="s">
        <v>130</v>
      </c>
      <c r="BJ1107" s="0" t="s">
        <v>130</v>
      </c>
      <c r="BK1107" s="0" t="s">
        <v>130</v>
      </c>
      <c r="BL1107" s="0" t="s">
        <v>130</v>
      </c>
      <c r="BM1107" s="0" t="s">
        <v>130</v>
      </c>
      <c r="BN1107" s="0" t="s">
        <v>130</v>
      </c>
      <c r="BO1107" s="0" t="s">
        <v>130</v>
      </c>
      <c r="BP1107" s="0" t="s">
        <v>130</v>
      </c>
      <c r="BQ1107" s="0" t="s">
        <v>130</v>
      </c>
      <c r="BR1107" s="0" t="s">
        <v>130</v>
      </c>
      <c r="BS1107" s="0" t="s">
        <v>130</v>
      </c>
      <c r="BT1107" s="0" t="s">
        <v>130</v>
      </c>
      <c r="BU1107" s="0" t="s">
        <v>130</v>
      </c>
      <c r="BV1107" s="0" t="s">
        <v>130</v>
      </c>
      <c r="BW1107" s="0" t="s">
        <v>130</v>
      </c>
      <c r="BX1107" s="0" t="s">
        <v>130</v>
      </c>
      <c r="BY1107" s="0" t="s">
        <v>130</v>
      </c>
      <c r="BZ1107" s="0" t="s">
        <v>130</v>
      </c>
      <c r="CA1107" s="0" t="s">
        <v>130</v>
      </c>
      <c r="CB1107" s="0" t="s">
        <v>130</v>
      </c>
      <c r="CC1107" s="0" t="s">
        <v>130</v>
      </c>
      <c r="CD1107" s="0" t="s">
        <v>130</v>
      </c>
      <c r="CE1107" s="0" t="s">
        <v>130</v>
      </c>
      <c r="CF1107" s="0" t="s">
        <v>130</v>
      </c>
      <c r="CG1107" s="0" t="s">
        <v>130</v>
      </c>
      <c r="CH1107" s="0" t="s">
        <v>130</v>
      </c>
      <c r="CI1107" s="0" t="s">
        <v>130</v>
      </c>
      <c r="CJ1107" s="0" t="s">
        <v>130</v>
      </c>
      <c r="CK1107" s="0" t="s">
        <v>130</v>
      </c>
      <c r="CL1107" s="0" t="s">
        <v>130</v>
      </c>
      <c r="CM1107" s="0" t="s">
        <v>130</v>
      </c>
      <c r="CN1107" s="0" t="s">
        <v>130</v>
      </c>
      <c r="CO1107" s="0" t="s">
        <v>130</v>
      </c>
      <c r="CP1107" s="0" t="s">
        <v>130</v>
      </c>
      <c r="CQ1107" s="0" t="s">
        <v>130</v>
      </c>
      <c r="CR1107" s="0" t="s">
        <v>130</v>
      </c>
      <c r="CS1107" s="0" t="s">
        <v>130</v>
      </c>
      <c r="CT1107" s="0" t="s">
        <v>3329</v>
      </c>
    </row>
    <row r="1108">
      <c r="A1108" s="14">
        <v>199455</v>
      </c>
      <c r="B1108" s="0" t="s">
        <v>3318</v>
      </c>
      <c r="C1108" s="16">
        <f>HYPERLINK("https://eosportal.federatedhermes.com/companies/Q29tcGFueQppNzQwNTY=", "Glencore PLC")</f>
      </c>
      <c r="D1108" s="0" t="s">
        <v>23</v>
      </c>
      <c r="E1108" s="0" t="s">
        <v>1542</v>
      </c>
      <c r="F1108" s="16">
        <f>HYPERLINK("https://eosportal.federatedhermes.com/engagements/RW5nYWdlbWVudAppMjUxNTU=", "Just transition")</f>
      </c>
      <c r="G1108" s="14" t="s">
        <v>3330</v>
      </c>
      <c r="H1108" s="0" t="s">
        <v>141</v>
      </c>
      <c r="I1108" s="14" t="s">
        <v>191</v>
      </c>
      <c r="J1108" s="0" t="s">
        <v>197</v>
      </c>
      <c r="K1108" s="0" t="s">
        <v>198</v>
      </c>
      <c r="L1108" s="0" t="s">
        <v>199</v>
      </c>
      <c r="M1108" s="0" t="s">
        <v>378</v>
      </c>
      <c r="N1108" s="0" t="s">
        <v>1059</v>
      </c>
      <c r="O1108" s="0" t="s">
        <v>373</v>
      </c>
      <c r="Q1108" s="0" t="s">
        <v>141</v>
      </c>
      <c r="R1108" s="0" t="s">
        <v>130</v>
      </c>
      <c r="S1108" s="14">
        <v>1</v>
      </c>
      <c r="T1108" s="0" t="s">
        <v>327</v>
      </c>
      <c r="U1108" s="0" t="s">
        <v>221</v>
      </c>
      <c r="V1108" s="14" t="s">
        <v>327</v>
      </c>
      <c r="W1108" s="0" t="s">
        <v>221</v>
      </c>
      <c r="X1108" s="14" t="s">
        <v>2270</v>
      </c>
      <c r="Y1108" s="0" t="s">
        <v>221</v>
      </c>
      <c r="Z1108" s="14" t="s">
        <v>478</v>
      </c>
      <c r="AA1108" s="0" t="s">
        <v>223</v>
      </c>
      <c r="AB1108" s="14" t="s">
        <v>138</v>
      </c>
      <c r="AD1108" s="0" t="s">
        <v>20</v>
      </c>
      <c r="AF1108" s="0">
        <v>0</v>
      </c>
      <c r="AG1108" s="0">
        <v>0</v>
      </c>
      <c r="AH1108" s="0" t="s">
        <v>140</v>
      </c>
      <c r="AI1108" s="0" t="s">
        <v>479</v>
      </c>
      <c r="AK1108" s="0" t="s">
        <v>2376</v>
      </c>
      <c r="AL1108" s="14"/>
      <c r="AN1108" s="14"/>
      <c r="AQ1108" s="0" t="s">
        <v>130</v>
      </c>
      <c r="AR1108" s="0" t="s">
        <v>130</v>
      </c>
      <c r="AS1108" s="0" t="s">
        <v>130</v>
      </c>
      <c r="AT1108" s="0" t="s">
        <v>130</v>
      </c>
      <c r="AU1108" s="0" t="s">
        <v>130</v>
      </c>
      <c r="AV1108" s="0" t="s">
        <v>130</v>
      </c>
      <c r="AW1108" s="0" t="s">
        <v>130</v>
      </c>
      <c r="AX1108" s="0" t="s">
        <v>130</v>
      </c>
      <c r="AY1108" s="0" t="s">
        <v>130</v>
      </c>
      <c r="AZ1108" s="0" t="s">
        <v>130</v>
      </c>
      <c r="BA1108" s="0" t="s">
        <v>130</v>
      </c>
      <c r="BB1108" s="0" t="s">
        <v>141</v>
      </c>
      <c r="BC1108" s="0" t="s">
        <v>130</v>
      </c>
      <c r="BD1108" s="0" t="s">
        <v>130</v>
      </c>
      <c r="BE1108" s="0" t="s">
        <v>130</v>
      </c>
      <c r="BF1108" s="0" t="s">
        <v>130</v>
      </c>
      <c r="BG1108" s="0" t="s">
        <v>130</v>
      </c>
      <c r="BH1108" s="0" t="s">
        <v>130</v>
      </c>
      <c r="BI1108" s="0" t="s">
        <v>130</v>
      </c>
      <c r="BJ1108" s="0" t="s">
        <v>130</v>
      </c>
      <c r="BK1108" s="0" t="s">
        <v>130</v>
      </c>
      <c r="BL1108" s="0" t="s">
        <v>130</v>
      </c>
      <c r="BM1108" s="0" t="s">
        <v>130</v>
      </c>
      <c r="BN1108" s="0" t="s">
        <v>130</v>
      </c>
      <c r="BO1108" s="0" t="s">
        <v>130</v>
      </c>
      <c r="BP1108" s="0" t="s">
        <v>130</v>
      </c>
      <c r="BQ1108" s="0" t="s">
        <v>130</v>
      </c>
      <c r="BR1108" s="0" t="s">
        <v>130</v>
      </c>
      <c r="BS1108" s="0" t="s">
        <v>130</v>
      </c>
      <c r="BT1108" s="0" t="s">
        <v>130</v>
      </c>
      <c r="BU1108" s="0" t="s">
        <v>130</v>
      </c>
      <c r="BV1108" s="0" t="s">
        <v>130</v>
      </c>
      <c r="BW1108" s="0" t="s">
        <v>130</v>
      </c>
      <c r="BX1108" s="0" t="s">
        <v>130</v>
      </c>
      <c r="BY1108" s="0" t="s">
        <v>130</v>
      </c>
      <c r="BZ1108" s="0" t="s">
        <v>130</v>
      </c>
      <c r="CA1108" s="0" t="s">
        <v>130</v>
      </c>
      <c r="CB1108" s="0" t="s">
        <v>130</v>
      </c>
      <c r="CC1108" s="0" t="s">
        <v>130</v>
      </c>
      <c r="CD1108" s="0" t="s">
        <v>130</v>
      </c>
      <c r="CE1108" s="0" t="s">
        <v>130</v>
      </c>
      <c r="CF1108" s="0" t="s">
        <v>130</v>
      </c>
      <c r="CG1108" s="0" t="s">
        <v>130</v>
      </c>
      <c r="CH1108" s="0" t="s">
        <v>130</v>
      </c>
      <c r="CI1108" s="0" t="s">
        <v>130</v>
      </c>
      <c r="CJ1108" s="0" t="s">
        <v>130</v>
      </c>
      <c r="CK1108" s="0" t="s">
        <v>130</v>
      </c>
      <c r="CL1108" s="0" t="s">
        <v>130</v>
      </c>
      <c r="CM1108" s="0" t="s">
        <v>130</v>
      </c>
      <c r="CN1108" s="0" t="s">
        <v>130</v>
      </c>
      <c r="CO1108" s="0" t="s">
        <v>130</v>
      </c>
      <c r="CP1108" s="0" t="s">
        <v>130</v>
      </c>
      <c r="CQ1108" s="0" t="s">
        <v>130</v>
      </c>
      <c r="CR1108" s="0" t="s">
        <v>130</v>
      </c>
      <c r="CS1108" s="0" t="s">
        <v>130</v>
      </c>
      <c r="CT1108" s="0" t="s">
        <v>3331</v>
      </c>
    </row>
    <row r="1109">
      <c r="A1109" s="14">
        <v>199455</v>
      </c>
      <c r="B1109" s="0" t="s">
        <v>3318</v>
      </c>
      <c r="C1109" s="16">
        <f>HYPERLINK("https://eosportal.federatedhermes.com/companies/Q29tcGFueQppNzQwNTY=", "Glencore PLC")</f>
      </c>
      <c r="D1109" s="0" t="s">
        <v>23</v>
      </c>
      <c r="E1109" s="0" t="s">
        <v>1449</v>
      </c>
      <c r="F1109" s="16">
        <f>HYPERLINK("https://eosportal.federatedhermes.com/engagements/RW5nYWdlbWVudAppMjUxNTY=", "Controversy linked to UNGC Principle 10: Corruption and bribery")</f>
      </c>
      <c r="G1109" s="14" t="s">
        <v>3332</v>
      </c>
      <c r="H1109" s="0" t="s">
        <v>141</v>
      </c>
      <c r="I1109" s="14" t="s">
        <v>191</v>
      </c>
      <c r="J1109" s="0" t="s">
        <v>153</v>
      </c>
      <c r="K1109" s="0" t="s">
        <v>185</v>
      </c>
      <c r="L1109" s="0" t="s">
        <v>871</v>
      </c>
      <c r="M1109" s="0" t="s">
        <v>378</v>
      </c>
      <c r="N1109" s="0" t="s">
        <v>1059</v>
      </c>
      <c r="O1109" s="0" t="s">
        <v>373</v>
      </c>
      <c r="Q1109" s="0" t="s">
        <v>141</v>
      </c>
      <c r="R1109" s="0" t="s">
        <v>130</v>
      </c>
      <c r="S1109" s="14">
        <v>1</v>
      </c>
      <c r="T1109" s="0" t="s">
        <v>333</v>
      </c>
      <c r="U1109" s="0" t="s">
        <v>221</v>
      </c>
      <c r="V1109" s="14" t="s">
        <v>333</v>
      </c>
      <c r="W1109" s="0" t="s">
        <v>221</v>
      </c>
      <c r="X1109" s="14" t="s">
        <v>355</v>
      </c>
      <c r="Y1109" s="0" t="s">
        <v>221</v>
      </c>
      <c r="Z1109" s="14" t="s">
        <v>2270</v>
      </c>
      <c r="AA1109" s="0" t="s">
        <v>223</v>
      </c>
      <c r="AB1109" s="14" t="s">
        <v>138</v>
      </c>
      <c r="AD1109" s="0" t="s">
        <v>20</v>
      </c>
      <c r="AF1109" s="0">
        <v>0</v>
      </c>
      <c r="AG1109" s="0">
        <v>0</v>
      </c>
      <c r="AH1109" s="0" t="s">
        <v>140</v>
      </c>
      <c r="AI1109" s="0" t="s">
        <v>598</v>
      </c>
      <c r="AK1109" s="0" t="s">
        <v>2376</v>
      </c>
      <c r="AL1109" s="14"/>
      <c r="AN1109" s="14"/>
      <c r="AQ1109" s="0" t="s">
        <v>130</v>
      </c>
      <c r="AR1109" s="0" t="s">
        <v>130</v>
      </c>
      <c r="AS1109" s="0" t="s">
        <v>130</v>
      </c>
      <c r="AT1109" s="0" t="s">
        <v>130</v>
      </c>
      <c r="AU1109" s="0" t="s">
        <v>130</v>
      </c>
      <c r="AV1109" s="0" t="s">
        <v>130</v>
      </c>
      <c r="AW1109" s="0" t="s">
        <v>130</v>
      </c>
      <c r="AX1109" s="0" t="s">
        <v>130</v>
      </c>
      <c r="AY1109" s="0" t="s">
        <v>130</v>
      </c>
      <c r="AZ1109" s="0" t="s">
        <v>130</v>
      </c>
      <c r="BA1109" s="0" t="s">
        <v>130</v>
      </c>
      <c r="BB1109" s="0" t="s">
        <v>130</v>
      </c>
      <c r="BC1109" s="0" t="s">
        <v>130</v>
      </c>
      <c r="BD1109" s="0" t="s">
        <v>130</v>
      </c>
      <c r="BE1109" s="0" t="s">
        <v>130</v>
      </c>
      <c r="BF1109" s="0" t="s">
        <v>141</v>
      </c>
      <c r="BG1109" s="0" t="s">
        <v>130</v>
      </c>
      <c r="BH1109" s="0" t="s">
        <v>130</v>
      </c>
      <c r="BI1109" s="0" t="s">
        <v>130</v>
      </c>
      <c r="BJ1109" s="0" t="s">
        <v>130</v>
      </c>
      <c r="BK1109" s="0" t="s">
        <v>130</v>
      </c>
      <c r="BL1109" s="0" t="s">
        <v>130</v>
      </c>
      <c r="BM1109" s="0" t="s">
        <v>130</v>
      </c>
      <c r="BN1109" s="0" t="s">
        <v>130</v>
      </c>
      <c r="BO1109" s="0" t="s">
        <v>130</v>
      </c>
      <c r="BP1109" s="0" t="s">
        <v>141</v>
      </c>
      <c r="BQ1109" s="0" t="s">
        <v>130</v>
      </c>
      <c r="BR1109" s="0" t="s">
        <v>130</v>
      </c>
      <c r="BS1109" s="0" t="s">
        <v>130</v>
      </c>
      <c r="BT1109" s="0" t="s">
        <v>130</v>
      </c>
      <c r="BU1109" s="0" t="s">
        <v>130</v>
      </c>
      <c r="BV1109" s="0" t="s">
        <v>130</v>
      </c>
      <c r="BW1109" s="0" t="s">
        <v>130</v>
      </c>
      <c r="BX1109" s="0" t="s">
        <v>130</v>
      </c>
      <c r="BY1109" s="0" t="s">
        <v>130</v>
      </c>
      <c r="BZ1109" s="0" t="s">
        <v>130</v>
      </c>
      <c r="CA1109" s="0" t="s">
        <v>130</v>
      </c>
      <c r="CB1109" s="0" t="s">
        <v>130</v>
      </c>
      <c r="CC1109" s="0" t="s">
        <v>130</v>
      </c>
      <c r="CD1109" s="0" t="s">
        <v>130</v>
      </c>
      <c r="CE1109" s="0" t="s">
        <v>130</v>
      </c>
      <c r="CF1109" s="0" t="s">
        <v>130</v>
      </c>
      <c r="CG1109" s="0" t="s">
        <v>130</v>
      </c>
      <c r="CH1109" s="0" t="s">
        <v>130</v>
      </c>
      <c r="CI1109" s="0" t="s">
        <v>130</v>
      </c>
      <c r="CJ1109" s="0" t="s">
        <v>130</v>
      </c>
      <c r="CK1109" s="0" t="s">
        <v>130</v>
      </c>
      <c r="CL1109" s="0" t="s">
        <v>130</v>
      </c>
      <c r="CM1109" s="0" t="s">
        <v>130</v>
      </c>
      <c r="CN1109" s="0" t="s">
        <v>130</v>
      </c>
      <c r="CO1109" s="0" t="s">
        <v>130</v>
      </c>
      <c r="CP1109" s="0" t="s">
        <v>130</v>
      </c>
      <c r="CQ1109" s="0" t="s">
        <v>141</v>
      </c>
      <c r="CR1109" s="0" t="s">
        <v>141</v>
      </c>
      <c r="CS1109" s="0" t="s">
        <v>141</v>
      </c>
      <c r="CT1109" s="0" t="s">
        <v>3333</v>
      </c>
    </row>
    <row r="1110">
      <c r="A1110" s="14">
        <v>199455</v>
      </c>
      <c r="B1110" s="0" t="s">
        <v>3318</v>
      </c>
      <c r="C1110" s="16">
        <f>HYPERLINK("https://eosportal.federatedhermes.com/companies/Q29tcGFueQppNzQwNTY=", "Glencore PLC")</f>
      </c>
      <c r="D1110" s="0" t="s">
        <v>25</v>
      </c>
      <c r="E1110" s="0" t="s">
        <v>3334</v>
      </c>
      <c r="F1110" s="16">
        <f>HYPERLINK("https://eosportal.federatedhermes.com/engagements/RW5nYWdlbWVudAppMjUxNjI=", "Controversy linked to UNGC Principle 5: Child labour")</f>
      </c>
      <c r="G1110" s="14" t="s">
        <v>3335</v>
      </c>
      <c r="H1110" s="0" t="s">
        <v>141</v>
      </c>
      <c r="I1110" s="14" t="s">
        <v>191</v>
      </c>
      <c r="J1110" s="0" t="s">
        <v>132</v>
      </c>
      <c r="K1110" s="0" t="s">
        <v>133</v>
      </c>
      <c r="L1110" s="0" t="s">
        <v>160</v>
      </c>
      <c r="M1110" s="0" t="s">
        <v>378</v>
      </c>
      <c r="N1110" s="0" t="s">
        <v>1059</v>
      </c>
      <c r="O1110" s="0" t="s">
        <v>373</v>
      </c>
      <c r="Q1110" s="0" t="s">
        <v>130</v>
      </c>
      <c r="R1110" s="0" t="s">
        <v>138</v>
      </c>
      <c r="S1110" s="14">
        <v>0</v>
      </c>
      <c r="T1110" s="0" t="s">
        <v>920</v>
      </c>
      <c r="U1110" s="0" t="s">
        <v>138</v>
      </c>
      <c r="V1110" s="14" t="s">
        <v>138</v>
      </c>
      <c r="W1110" s="0" t="s">
        <v>138</v>
      </c>
      <c r="X1110" s="14" t="s">
        <v>138</v>
      </c>
      <c r="Y1110" s="0" t="s">
        <v>138</v>
      </c>
      <c r="Z1110" s="14" t="s">
        <v>138</v>
      </c>
      <c r="AA1110" s="0" t="s">
        <v>138</v>
      </c>
      <c r="AB1110" s="14" t="s">
        <v>138</v>
      </c>
      <c r="AD1110" s="0" t="s">
        <v>138</v>
      </c>
      <c r="AF1110" s="0">
        <v>0</v>
      </c>
      <c r="AG1110" s="0">
        <v>0</v>
      </c>
      <c r="AH1110" s="0" t="s">
        <v>140</v>
      </c>
      <c r="AI1110" s="0" t="s">
        <v>138</v>
      </c>
      <c r="AL1110" s="14"/>
      <c r="AN1110" s="14"/>
      <c r="AQ1110" s="0" t="s">
        <v>130</v>
      </c>
      <c r="AR1110" s="0" t="s">
        <v>130</v>
      </c>
      <c r="AS1110" s="0" t="s">
        <v>130</v>
      </c>
      <c r="AT1110" s="0" t="s">
        <v>130</v>
      </c>
      <c r="AU1110" s="0" t="s">
        <v>130</v>
      </c>
      <c r="AV1110" s="0" t="s">
        <v>130</v>
      </c>
      <c r="AW1110" s="0" t="s">
        <v>130</v>
      </c>
      <c r="AX1110" s="0" t="s">
        <v>130</v>
      </c>
      <c r="AY1110" s="0" t="s">
        <v>130</v>
      </c>
      <c r="AZ1110" s="0" t="s">
        <v>130</v>
      </c>
      <c r="BA1110" s="0" t="s">
        <v>130</v>
      </c>
      <c r="BB1110" s="0" t="s">
        <v>141</v>
      </c>
      <c r="BC1110" s="0" t="s">
        <v>130</v>
      </c>
      <c r="BD1110" s="0" t="s">
        <v>130</v>
      </c>
      <c r="BE1110" s="0" t="s">
        <v>130</v>
      </c>
      <c r="BF1110" s="0" t="s">
        <v>130</v>
      </c>
      <c r="BG1110" s="0" t="s">
        <v>130</v>
      </c>
      <c r="BH1110" s="0" t="s">
        <v>130</v>
      </c>
      <c r="BI1110" s="0" t="s">
        <v>130</v>
      </c>
      <c r="BJ1110" s="0" t="s">
        <v>130</v>
      </c>
      <c r="BK1110" s="0" t="s">
        <v>130</v>
      </c>
      <c r="BL1110" s="0" t="s">
        <v>130</v>
      </c>
      <c r="BM1110" s="0" t="s">
        <v>130</v>
      </c>
      <c r="BN1110" s="0" t="s">
        <v>130</v>
      </c>
      <c r="BO1110" s="0" t="s">
        <v>130</v>
      </c>
      <c r="BP1110" s="0" t="s">
        <v>141</v>
      </c>
      <c r="BQ1110" s="0" t="s">
        <v>130</v>
      </c>
      <c r="BR1110" s="0" t="s">
        <v>130</v>
      </c>
      <c r="BS1110" s="0" t="s">
        <v>130</v>
      </c>
      <c r="BT1110" s="0" t="s">
        <v>130</v>
      </c>
      <c r="BU1110" s="0" t="s">
        <v>130</v>
      </c>
      <c r="BV1110" s="0" t="s">
        <v>130</v>
      </c>
      <c r="BW1110" s="0" t="s">
        <v>130</v>
      </c>
      <c r="BX1110" s="0" t="s">
        <v>130</v>
      </c>
      <c r="BY1110" s="0" t="s">
        <v>130</v>
      </c>
      <c r="BZ1110" s="0" t="s">
        <v>130</v>
      </c>
      <c r="CA1110" s="0" t="s">
        <v>130</v>
      </c>
      <c r="CB1110" s="0" t="s">
        <v>130</v>
      </c>
      <c r="CC1110" s="0" t="s">
        <v>130</v>
      </c>
      <c r="CD1110" s="0" t="s">
        <v>130</v>
      </c>
      <c r="CE1110" s="0" t="s">
        <v>130</v>
      </c>
      <c r="CF1110" s="0" t="s">
        <v>130</v>
      </c>
      <c r="CG1110" s="0" t="s">
        <v>130</v>
      </c>
      <c r="CH1110" s="0" t="s">
        <v>130</v>
      </c>
      <c r="CI1110" s="0" t="s">
        <v>130</v>
      </c>
      <c r="CJ1110" s="0" t="s">
        <v>130</v>
      </c>
      <c r="CK1110" s="0" t="s">
        <v>130</v>
      </c>
      <c r="CL1110" s="0" t="s">
        <v>130</v>
      </c>
      <c r="CM1110" s="0" t="s">
        <v>130</v>
      </c>
      <c r="CN1110" s="0" t="s">
        <v>130</v>
      </c>
      <c r="CO1110" s="0" t="s">
        <v>130</v>
      </c>
      <c r="CP1110" s="0" t="s">
        <v>130</v>
      </c>
      <c r="CQ1110" s="0" t="s">
        <v>130</v>
      </c>
      <c r="CR1110" s="0" t="s">
        <v>130</v>
      </c>
      <c r="CS1110" s="0" t="s">
        <v>130</v>
      </c>
      <c r="CT1110" s="0" t="s">
        <v>3336</v>
      </c>
    </row>
    <row r="1111">
      <c r="A1111" s="14">
        <v>199455</v>
      </c>
      <c r="B1111" s="0" t="s">
        <v>3318</v>
      </c>
      <c r="C1111" s="16">
        <f>HYPERLINK("https://eosportal.federatedhermes.com/companies/Q29tcGFueQppNzQwNTY=", "Glencore PLC")</f>
      </c>
      <c r="D1111" s="0" t="s">
        <v>25</v>
      </c>
      <c r="E1111" s="0" t="s">
        <v>3337</v>
      </c>
      <c r="F1111" s="16">
        <f>HYPERLINK("https://eosportal.federatedhermes.com/engagements/RW5nYWdlbWVudAppMjUxNjc=", "Water management (risk and quality)")</f>
      </c>
      <c r="G1111" s="14" t="s">
        <v>3338</v>
      </c>
      <c r="H1111" s="0" t="s">
        <v>141</v>
      </c>
      <c r="I1111" s="14" t="s">
        <v>191</v>
      </c>
      <c r="J1111" s="0" t="s">
        <v>197</v>
      </c>
      <c r="K1111" s="0" t="s">
        <v>337</v>
      </c>
      <c r="L1111" s="0" t="s">
        <v>338</v>
      </c>
      <c r="M1111" s="0" t="s">
        <v>378</v>
      </c>
      <c r="N1111" s="0" t="s">
        <v>1059</v>
      </c>
      <c r="O1111" s="0" t="s">
        <v>373</v>
      </c>
      <c r="Q1111" s="0" t="s">
        <v>130</v>
      </c>
      <c r="R1111" s="0" t="s">
        <v>138</v>
      </c>
      <c r="S1111" s="14">
        <v>0</v>
      </c>
      <c r="T1111" s="0" t="s">
        <v>139</v>
      </c>
      <c r="U1111" s="0" t="s">
        <v>138</v>
      </c>
      <c r="V1111" s="14" t="s">
        <v>138</v>
      </c>
      <c r="W1111" s="0" t="s">
        <v>138</v>
      </c>
      <c r="X1111" s="14" t="s">
        <v>138</v>
      </c>
      <c r="Y1111" s="0" t="s">
        <v>138</v>
      </c>
      <c r="Z1111" s="14" t="s">
        <v>138</v>
      </c>
      <c r="AA1111" s="0" t="s">
        <v>138</v>
      </c>
      <c r="AB1111" s="14" t="s">
        <v>138</v>
      </c>
      <c r="AD1111" s="0" t="s">
        <v>138</v>
      </c>
      <c r="AF1111" s="0">
        <v>0</v>
      </c>
      <c r="AG1111" s="0">
        <v>0</v>
      </c>
      <c r="AH1111" s="0" t="s">
        <v>140</v>
      </c>
      <c r="AI1111" s="0" t="s">
        <v>138</v>
      </c>
      <c r="AL1111" s="14"/>
      <c r="AN1111" s="14"/>
      <c r="AQ1111" s="0" t="s">
        <v>130</v>
      </c>
      <c r="AR1111" s="0" t="s">
        <v>130</v>
      </c>
      <c r="AS1111" s="0" t="s">
        <v>130</v>
      </c>
      <c r="AT1111" s="0" t="s">
        <v>130</v>
      </c>
      <c r="AU1111" s="0" t="s">
        <v>130</v>
      </c>
      <c r="AV1111" s="0" t="s">
        <v>141</v>
      </c>
      <c r="AW1111" s="0" t="s">
        <v>130</v>
      </c>
      <c r="AX1111" s="0" t="s">
        <v>130</v>
      </c>
      <c r="AY1111" s="0" t="s">
        <v>130</v>
      </c>
      <c r="AZ1111" s="0" t="s">
        <v>130</v>
      </c>
      <c r="BA1111" s="0" t="s">
        <v>130</v>
      </c>
      <c r="BB1111" s="0" t="s">
        <v>130</v>
      </c>
      <c r="BC1111" s="0" t="s">
        <v>130</v>
      </c>
      <c r="BD1111" s="0" t="s">
        <v>130</v>
      </c>
      <c r="BE1111" s="0" t="s">
        <v>130</v>
      </c>
      <c r="BF1111" s="0" t="s">
        <v>130</v>
      </c>
      <c r="BG1111" s="0" t="s">
        <v>130</v>
      </c>
      <c r="BH1111" s="0" t="s">
        <v>130</v>
      </c>
      <c r="BI1111" s="0" t="s">
        <v>130</v>
      </c>
      <c r="BJ1111" s="0" t="s">
        <v>130</v>
      </c>
      <c r="BK1111" s="0" t="s">
        <v>130</v>
      </c>
      <c r="BL1111" s="0" t="s">
        <v>130</v>
      </c>
      <c r="BM1111" s="0" t="s">
        <v>130</v>
      </c>
      <c r="BN1111" s="0" t="s">
        <v>130</v>
      </c>
      <c r="BO1111" s="0" t="s">
        <v>130</v>
      </c>
      <c r="BP1111" s="0" t="s">
        <v>130</v>
      </c>
      <c r="BQ1111" s="0" t="s">
        <v>130</v>
      </c>
      <c r="BR1111" s="0" t="s">
        <v>130</v>
      </c>
      <c r="BS1111" s="0" t="s">
        <v>130</v>
      </c>
      <c r="BT1111" s="0" t="s">
        <v>130</v>
      </c>
      <c r="BU1111" s="0" t="s">
        <v>130</v>
      </c>
      <c r="BV1111" s="0" t="s">
        <v>130</v>
      </c>
      <c r="BW1111" s="0" t="s">
        <v>130</v>
      </c>
      <c r="BX1111" s="0" t="s">
        <v>141</v>
      </c>
      <c r="BY1111" s="0" t="s">
        <v>130</v>
      </c>
      <c r="BZ1111" s="0" t="s">
        <v>130</v>
      </c>
      <c r="CA1111" s="0" t="s">
        <v>130</v>
      </c>
      <c r="CB1111" s="0" t="s">
        <v>130</v>
      </c>
      <c r="CC1111" s="0" t="s">
        <v>130</v>
      </c>
      <c r="CD1111" s="0" t="s">
        <v>130</v>
      </c>
      <c r="CE1111" s="0" t="s">
        <v>130</v>
      </c>
      <c r="CF1111" s="0" t="s">
        <v>130</v>
      </c>
      <c r="CG1111" s="0" t="s">
        <v>130</v>
      </c>
      <c r="CH1111" s="0" t="s">
        <v>130</v>
      </c>
      <c r="CI1111" s="0" t="s">
        <v>130</v>
      </c>
      <c r="CJ1111" s="0" t="s">
        <v>130</v>
      </c>
      <c r="CK1111" s="0" t="s">
        <v>130</v>
      </c>
      <c r="CL1111" s="0" t="s">
        <v>130</v>
      </c>
      <c r="CM1111" s="0" t="s">
        <v>130</v>
      </c>
      <c r="CN1111" s="0" t="s">
        <v>130</v>
      </c>
      <c r="CO1111" s="0" t="s">
        <v>130</v>
      </c>
      <c r="CP1111" s="0" t="s">
        <v>130</v>
      </c>
      <c r="CQ1111" s="0" t="s">
        <v>130</v>
      </c>
      <c r="CR1111" s="0" t="s">
        <v>130</v>
      </c>
      <c r="CS1111" s="0" t="s">
        <v>130</v>
      </c>
      <c r="CT1111" s="0" t="s">
        <v>3339</v>
      </c>
    </row>
    <row r="1112">
      <c r="A1112" s="14">
        <v>199455</v>
      </c>
      <c r="B1112" s="0" t="s">
        <v>3318</v>
      </c>
      <c r="C1112" s="16">
        <f>HYPERLINK("https://eosportal.federatedhermes.com/companies/Q29tcGFueQppNzQwNTY=", "Glencore PLC")</f>
      </c>
      <c r="D1112" s="0" t="s">
        <v>25</v>
      </c>
      <c r="E1112" s="0" t="s">
        <v>322</v>
      </c>
      <c r="F1112" s="16">
        <f>HYPERLINK("https://eosportal.federatedhermes.com/engagements/RW5nYWdlbWVudAppMjUxNjg=", "Gender diversity")</f>
      </c>
      <c r="G1112" s="14" t="s">
        <v>323</v>
      </c>
      <c r="H1112" s="0" t="s">
        <v>141</v>
      </c>
      <c r="I1112" s="14" t="s">
        <v>191</v>
      </c>
      <c r="J1112" s="0" t="s">
        <v>153</v>
      </c>
      <c r="K1112" s="0" t="s">
        <v>154</v>
      </c>
      <c r="L1112" s="0" t="s">
        <v>268</v>
      </c>
      <c r="M1112" s="0" t="s">
        <v>378</v>
      </c>
      <c r="N1112" s="0" t="s">
        <v>1059</v>
      </c>
      <c r="O1112" s="0" t="s">
        <v>373</v>
      </c>
      <c r="Q1112" s="0" t="s">
        <v>141</v>
      </c>
      <c r="R1112" s="0" t="s">
        <v>138</v>
      </c>
      <c r="S1112" s="14">
        <v>1</v>
      </c>
      <c r="T1112" s="0" t="s">
        <v>166</v>
      </c>
      <c r="U1112" s="0" t="s">
        <v>138</v>
      </c>
      <c r="V1112" s="14" t="s">
        <v>138</v>
      </c>
      <c r="W1112" s="0" t="s">
        <v>138</v>
      </c>
      <c r="X1112" s="14" t="s">
        <v>138</v>
      </c>
      <c r="Y1112" s="0" t="s">
        <v>138</v>
      </c>
      <c r="Z1112" s="14" t="s">
        <v>138</v>
      </c>
      <c r="AA1112" s="0" t="s">
        <v>138</v>
      </c>
      <c r="AB1112" s="14" t="s">
        <v>138</v>
      </c>
      <c r="AD1112" s="0" t="s">
        <v>138</v>
      </c>
      <c r="AF1112" s="0">
        <v>0</v>
      </c>
      <c r="AG1112" s="0">
        <v>0</v>
      </c>
      <c r="AH1112" s="0" t="s">
        <v>140</v>
      </c>
      <c r="AI1112" s="0" t="s">
        <v>138</v>
      </c>
      <c r="AK1112" s="0" t="s">
        <v>2376</v>
      </c>
      <c r="AL1112" s="14"/>
      <c r="AN1112" s="14"/>
      <c r="AQ1112" s="0" t="s">
        <v>130</v>
      </c>
      <c r="AR1112" s="0" t="s">
        <v>130</v>
      </c>
      <c r="AS1112" s="0" t="s">
        <v>130</v>
      </c>
      <c r="AT1112" s="0" t="s">
        <v>130</v>
      </c>
      <c r="AU1112" s="0" t="s">
        <v>141</v>
      </c>
      <c r="AV1112" s="0" t="s">
        <v>130</v>
      </c>
      <c r="AW1112" s="0" t="s">
        <v>130</v>
      </c>
      <c r="AX1112" s="0" t="s">
        <v>130</v>
      </c>
      <c r="AY1112" s="0" t="s">
        <v>130</v>
      </c>
      <c r="AZ1112" s="0" t="s">
        <v>130</v>
      </c>
      <c r="BA1112" s="0" t="s">
        <v>130</v>
      </c>
      <c r="BB1112" s="0" t="s">
        <v>130</v>
      </c>
      <c r="BC1112" s="0" t="s">
        <v>130</v>
      </c>
      <c r="BD1112" s="0" t="s">
        <v>130</v>
      </c>
      <c r="BE1112" s="0" t="s">
        <v>130</v>
      </c>
      <c r="BF1112" s="0" t="s">
        <v>130</v>
      </c>
      <c r="BG1112" s="0" t="s">
        <v>130</v>
      </c>
      <c r="BH1112" s="0" t="s">
        <v>130</v>
      </c>
      <c r="BI1112" s="0" t="s">
        <v>130</v>
      </c>
      <c r="BJ1112" s="0" t="s">
        <v>130</v>
      </c>
      <c r="BK1112" s="0" t="s">
        <v>130</v>
      </c>
      <c r="BL1112" s="0" t="s">
        <v>130</v>
      </c>
      <c r="BM1112" s="0" t="s">
        <v>130</v>
      </c>
      <c r="BN1112" s="0" t="s">
        <v>130</v>
      </c>
      <c r="BO1112" s="0" t="s">
        <v>130</v>
      </c>
      <c r="BP1112" s="0" t="s">
        <v>130</v>
      </c>
      <c r="BQ1112" s="0" t="s">
        <v>130</v>
      </c>
      <c r="BR1112" s="0" t="s">
        <v>130</v>
      </c>
      <c r="BS1112" s="0" t="s">
        <v>130</v>
      </c>
      <c r="BT1112" s="0" t="s">
        <v>130</v>
      </c>
      <c r="BU1112" s="0" t="s">
        <v>130</v>
      </c>
      <c r="BV1112" s="0" t="s">
        <v>130</v>
      </c>
      <c r="BW1112" s="0" t="s">
        <v>130</v>
      </c>
      <c r="BX1112" s="0" t="s">
        <v>130</v>
      </c>
      <c r="BY1112" s="0" t="s">
        <v>130</v>
      </c>
      <c r="BZ1112" s="0" t="s">
        <v>130</v>
      </c>
      <c r="CA1112" s="0" t="s">
        <v>130</v>
      </c>
      <c r="CB1112" s="0" t="s">
        <v>130</v>
      </c>
      <c r="CC1112" s="0" t="s">
        <v>130</v>
      </c>
      <c r="CD1112" s="0" t="s">
        <v>130</v>
      </c>
      <c r="CE1112" s="0" t="s">
        <v>130</v>
      </c>
      <c r="CF1112" s="0" t="s">
        <v>130</v>
      </c>
      <c r="CG1112" s="0" t="s">
        <v>130</v>
      </c>
      <c r="CH1112" s="0" t="s">
        <v>130</v>
      </c>
      <c r="CI1112" s="0" t="s">
        <v>130</v>
      </c>
      <c r="CJ1112" s="0" t="s">
        <v>130</v>
      </c>
      <c r="CK1112" s="0" t="s">
        <v>141</v>
      </c>
      <c r="CL1112" s="0" t="s">
        <v>130</v>
      </c>
      <c r="CM1112" s="0" t="s">
        <v>130</v>
      </c>
      <c r="CN1112" s="0" t="s">
        <v>130</v>
      </c>
      <c r="CO1112" s="0" t="s">
        <v>130</v>
      </c>
      <c r="CP1112" s="0" t="s">
        <v>130</v>
      </c>
      <c r="CQ1112" s="0" t="s">
        <v>130</v>
      </c>
      <c r="CR1112" s="0" t="s">
        <v>130</v>
      </c>
      <c r="CS1112" s="0" t="s">
        <v>130</v>
      </c>
      <c r="CT1112" s="0" t="s">
        <v>3340</v>
      </c>
    </row>
    <row r="1113">
      <c r="A1113" s="14">
        <v>199455</v>
      </c>
      <c r="B1113" s="0" t="s">
        <v>3318</v>
      </c>
      <c r="C1113" s="16">
        <f>HYPERLINK("https://eosportal.federatedhermes.com/companies/Q29tcGFueQppNzQwNTY=", "Glencore PLC")</f>
      </c>
      <c r="D1113" s="0" t="s">
        <v>25</v>
      </c>
      <c r="E1113" s="0" t="s">
        <v>2868</v>
      </c>
      <c r="F1113" s="16">
        <f>HYPERLINK("https://eosportal.federatedhermes.com/engagements/RW5nYWdlbWVudAppMjUxNjk=", "Bribery and Corruption")</f>
      </c>
      <c r="G1113" s="14" t="s">
        <v>2446</v>
      </c>
      <c r="H1113" s="0" t="s">
        <v>141</v>
      </c>
      <c r="I1113" s="14" t="s">
        <v>191</v>
      </c>
      <c r="J1113" s="0" t="s">
        <v>153</v>
      </c>
      <c r="K1113" s="0" t="s">
        <v>185</v>
      </c>
      <c r="L1113" s="0" t="s">
        <v>871</v>
      </c>
      <c r="M1113" s="0" t="s">
        <v>378</v>
      </c>
      <c r="N1113" s="0" t="s">
        <v>1059</v>
      </c>
      <c r="O1113" s="0" t="s">
        <v>373</v>
      </c>
      <c r="Q1113" s="0" t="s">
        <v>141</v>
      </c>
      <c r="R1113" s="0" t="s">
        <v>138</v>
      </c>
      <c r="S1113" s="14">
        <v>1</v>
      </c>
      <c r="T1113" s="0" t="s">
        <v>320</v>
      </c>
      <c r="U1113" s="0" t="s">
        <v>138</v>
      </c>
      <c r="V1113" s="14" t="s">
        <v>138</v>
      </c>
      <c r="W1113" s="0" t="s">
        <v>138</v>
      </c>
      <c r="X1113" s="14" t="s">
        <v>138</v>
      </c>
      <c r="Y1113" s="0" t="s">
        <v>138</v>
      </c>
      <c r="Z1113" s="14" t="s">
        <v>138</v>
      </c>
      <c r="AA1113" s="0" t="s">
        <v>138</v>
      </c>
      <c r="AB1113" s="14" t="s">
        <v>138</v>
      </c>
      <c r="AD1113" s="0" t="s">
        <v>138</v>
      </c>
      <c r="AF1113" s="0">
        <v>0</v>
      </c>
      <c r="AG1113" s="0">
        <v>0</v>
      </c>
      <c r="AH1113" s="0" t="s">
        <v>140</v>
      </c>
      <c r="AI1113" s="0" t="s">
        <v>138</v>
      </c>
      <c r="AK1113" s="0" t="s">
        <v>2376</v>
      </c>
      <c r="AL1113" s="14"/>
      <c r="AN1113" s="14"/>
      <c r="AQ1113" s="0" t="s">
        <v>130</v>
      </c>
      <c r="AR1113" s="0" t="s">
        <v>130</v>
      </c>
      <c r="AS1113" s="0" t="s">
        <v>130</v>
      </c>
      <c r="AT1113" s="0" t="s">
        <v>130</v>
      </c>
      <c r="AU1113" s="0" t="s">
        <v>130</v>
      </c>
      <c r="AV1113" s="0" t="s">
        <v>130</v>
      </c>
      <c r="AW1113" s="0" t="s">
        <v>130</v>
      </c>
      <c r="AX1113" s="0" t="s">
        <v>130</v>
      </c>
      <c r="AY1113" s="0" t="s">
        <v>130</v>
      </c>
      <c r="AZ1113" s="0" t="s">
        <v>130</v>
      </c>
      <c r="BA1113" s="0" t="s">
        <v>130</v>
      </c>
      <c r="BB1113" s="0" t="s">
        <v>130</v>
      </c>
      <c r="BC1113" s="0" t="s">
        <v>130</v>
      </c>
      <c r="BD1113" s="0" t="s">
        <v>130</v>
      </c>
      <c r="BE1113" s="0" t="s">
        <v>130</v>
      </c>
      <c r="BF1113" s="0" t="s">
        <v>141</v>
      </c>
      <c r="BG1113" s="0" t="s">
        <v>130</v>
      </c>
      <c r="BH1113" s="0" t="s">
        <v>130</v>
      </c>
      <c r="BI1113" s="0" t="s">
        <v>130</v>
      </c>
      <c r="BJ1113" s="0" t="s">
        <v>130</v>
      </c>
      <c r="BK1113" s="0" t="s">
        <v>130</v>
      </c>
      <c r="BL1113" s="0" t="s">
        <v>130</v>
      </c>
      <c r="BM1113" s="0" t="s">
        <v>130</v>
      </c>
      <c r="BN1113" s="0" t="s">
        <v>130</v>
      </c>
      <c r="BO1113" s="0" t="s">
        <v>130</v>
      </c>
      <c r="BP1113" s="0" t="s">
        <v>130</v>
      </c>
      <c r="BQ1113" s="0" t="s">
        <v>130</v>
      </c>
      <c r="BR1113" s="0" t="s">
        <v>130</v>
      </c>
      <c r="BS1113" s="0" t="s">
        <v>130</v>
      </c>
      <c r="BT1113" s="0" t="s">
        <v>130</v>
      </c>
      <c r="BU1113" s="0" t="s">
        <v>130</v>
      </c>
      <c r="BV1113" s="0" t="s">
        <v>130</v>
      </c>
      <c r="BW1113" s="0" t="s">
        <v>130</v>
      </c>
      <c r="BX1113" s="0" t="s">
        <v>130</v>
      </c>
      <c r="BY1113" s="0" t="s">
        <v>130</v>
      </c>
      <c r="BZ1113" s="0" t="s">
        <v>130</v>
      </c>
      <c r="CA1113" s="0" t="s">
        <v>130</v>
      </c>
      <c r="CB1113" s="0" t="s">
        <v>130</v>
      </c>
      <c r="CC1113" s="0" t="s">
        <v>130</v>
      </c>
      <c r="CD1113" s="0" t="s">
        <v>130</v>
      </c>
      <c r="CE1113" s="0" t="s">
        <v>130</v>
      </c>
      <c r="CF1113" s="0" t="s">
        <v>130</v>
      </c>
      <c r="CG1113" s="0" t="s">
        <v>130</v>
      </c>
      <c r="CH1113" s="0" t="s">
        <v>130</v>
      </c>
      <c r="CI1113" s="0" t="s">
        <v>130</v>
      </c>
      <c r="CJ1113" s="0" t="s">
        <v>130</v>
      </c>
      <c r="CK1113" s="0" t="s">
        <v>130</v>
      </c>
      <c r="CL1113" s="0" t="s">
        <v>130</v>
      </c>
      <c r="CM1113" s="0" t="s">
        <v>130</v>
      </c>
      <c r="CN1113" s="0" t="s">
        <v>130</v>
      </c>
      <c r="CO1113" s="0" t="s">
        <v>130</v>
      </c>
      <c r="CP1113" s="0" t="s">
        <v>130</v>
      </c>
      <c r="CQ1113" s="0" t="s">
        <v>141</v>
      </c>
      <c r="CR1113" s="0" t="s">
        <v>141</v>
      </c>
      <c r="CS1113" s="0" t="s">
        <v>141</v>
      </c>
      <c r="CT1113" s="0" t="s">
        <v>3341</v>
      </c>
    </row>
    <row r="1114">
      <c r="A1114" s="14">
        <v>199455</v>
      </c>
      <c r="B1114" s="0" t="s">
        <v>3318</v>
      </c>
      <c r="C1114" s="16">
        <f>HYPERLINK("https://eosportal.federatedhermes.com/companies/Q29tcGFueQppNzQwNTY=", "Glencore PLC")</f>
      </c>
      <c r="D1114" s="0" t="s">
        <v>25</v>
      </c>
      <c r="E1114" s="0" t="s">
        <v>236</v>
      </c>
      <c r="F1114" s="16">
        <f>HYPERLINK("https://eosportal.federatedhermes.com/engagements/RW5nYWdlbWVudAppMjUxNzA=", "Executive pay")</f>
      </c>
      <c r="G1114" s="14" t="s">
        <v>3342</v>
      </c>
      <c r="H1114" s="0" t="s">
        <v>141</v>
      </c>
      <c r="I1114" s="14" t="s">
        <v>191</v>
      </c>
      <c r="J1114" s="0" t="s">
        <v>145</v>
      </c>
      <c r="K1114" s="0" t="s">
        <v>146</v>
      </c>
      <c r="L1114" s="0" t="s">
        <v>147</v>
      </c>
      <c r="M1114" s="0" t="s">
        <v>378</v>
      </c>
      <c r="N1114" s="0" t="s">
        <v>1059</v>
      </c>
      <c r="O1114" s="0" t="s">
        <v>373</v>
      </c>
      <c r="Q1114" s="0" t="s">
        <v>130</v>
      </c>
      <c r="R1114" s="0" t="s">
        <v>138</v>
      </c>
      <c r="S1114" s="14">
        <v>0</v>
      </c>
      <c r="T1114" s="0" t="s">
        <v>206</v>
      </c>
      <c r="U1114" s="0" t="s">
        <v>138</v>
      </c>
      <c r="V1114" s="14" t="s">
        <v>138</v>
      </c>
      <c r="W1114" s="0" t="s">
        <v>138</v>
      </c>
      <c r="X1114" s="14" t="s">
        <v>138</v>
      </c>
      <c r="Y1114" s="0" t="s">
        <v>138</v>
      </c>
      <c r="Z1114" s="14" t="s">
        <v>138</v>
      </c>
      <c r="AA1114" s="0" t="s">
        <v>138</v>
      </c>
      <c r="AB1114" s="14" t="s">
        <v>138</v>
      </c>
      <c r="AD1114" s="0" t="s">
        <v>138</v>
      </c>
      <c r="AF1114" s="0">
        <v>0</v>
      </c>
      <c r="AG1114" s="0">
        <v>0</v>
      </c>
      <c r="AH1114" s="0" t="s">
        <v>140</v>
      </c>
      <c r="AI1114" s="0" t="s">
        <v>138</v>
      </c>
      <c r="AL1114" s="14"/>
      <c r="AN1114" s="14"/>
      <c r="AQ1114" s="0" t="s">
        <v>130</v>
      </c>
      <c r="AR1114" s="0" t="s">
        <v>130</v>
      </c>
      <c r="AS1114" s="0" t="s">
        <v>130</v>
      </c>
      <c r="AT1114" s="0" t="s">
        <v>130</v>
      </c>
      <c r="AU1114" s="0" t="s">
        <v>130</v>
      </c>
      <c r="AV1114" s="0" t="s">
        <v>130</v>
      </c>
      <c r="AW1114" s="0" t="s">
        <v>130</v>
      </c>
      <c r="AX1114" s="0" t="s">
        <v>130</v>
      </c>
      <c r="AY1114" s="0" t="s">
        <v>130</v>
      </c>
      <c r="AZ1114" s="0" t="s">
        <v>130</v>
      </c>
      <c r="BA1114" s="0" t="s">
        <v>130</v>
      </c>
      <c r="BB1114" s="0" t="s">
        <v>130</v>
      </c>
      <c r="BC1114" s="0" t="s">
        <v>130</v>
      </c>
      <c r="BD1114" s="0" t="s">
        <v>130</v>
      </c>
      <c r="BE1114" s="0" t="s">
        <v>130</v>
      </c>
      <c r="BF1114" s="0" t="s">
        <v>130</v>
      </c>
      <c r="BG1114" s="0" t="s">
        <v>130</v>
      </c>
      <c r="BH1114" s="0" t="s">
        <v>130</v>
      </c>
      <c r="BI1114" s="0" t="s">
        <v>130</v>
      </c>
      <c r="BJ1114" s="0" t="s">
        <v>130</v>
      </c>
      <c r="BK1114" s="0" t="s">
        <v>130</v>
      </c>
      <c r="BL1114" s="0" t="s">
        <v>130</v>
      </c>
      <c r="BM1114" s="0" t="s">
        <v>130</v>
      </c>
      <c r="BN1114" s="0" t="s">
        <v>130</v>
      </c>
      <c r="BO1114" s="0" t="s">
        <v>130</v>
      </c>
      <c r="BP1114" s="0" t="s">
        <v>130</v>
      </c>
      <c r="BQ1114" s="0" t="s">
        <v>130</v>
      </c>
      <c r="BR1114" s="0" t="s">
        <v>130</v>
      </c>
      <c r="BS1114" s="0" t="s">
        <v>130</v>
      </c>
      <c r="BT1114" s="0" t="s">
        <v>130</v>
      </c>
      <c r="BU1114" s="0" t="s">
        <v>130</v>
      </c>
      <c r="BV1114" s="0" t="s">
        <v>130</v>
      </c>
      <c r="BW1114" s="0" t="s">
        <v>130</v>
      </c>
      <c r="BX1114" s="0" t="s">
        <v>130</v>
      </c>
      <c r="BY1114" s="0" t="s">
        <v>130</v>
      </c>
      <c r="BZ1114" s="0" t="s">
        <v>130</v>
      </c>
      <c r="CA1114" s="0" t="s">
        <v>130</v>
      </c>
      <c r="CB1114" s="0" t="s">
        <v>130</v>
      </c>
      <c r="CC1114" s="0" t="s">
        <v>130</v>
      </c>
      <c r="CD1114" s="0" t="s">
        <v>130</v>
      </c>
      <c r="CE1114" s="0" t="s">
        <v>130</v>
      </c>
      <c r="CF1114" s="0" t="s">
        <v>130</v>
      </c>
      <c r="CG1114" s="0" t="s">
        <v>130</v>
      </c>
      <c r="CH1114" s="0" t="s">
        <v>130</v>
      </c>
      <c r="CI1114" s="0" t="s">
        <v>130</v>
      </c>
      <c r="CJ1114" s="0" t="s">
        <v>130</v>
      </c>
      <c r="CK1114" s="0" t="s">
        <v>130</v>
      </c>
      <c r="CL1114" s="0" t="s">
        <v>130</v>
      </c>
      <c r="CM1114" s="0" t="s">
        <v>130</v>
      </c>
      <c r="CN1114" s="0" t="s">
        <v>130</v>
      </c>
      <c r="CO1114" s="0" t="s">
        <v>130</v>
      </c>
      <c r="CP1114" s="0" t="s">
        <v>130</v>
      </c>
      <c r="CQ1114" s="0" t="s">
        <v>130</v>
      </c>
      <c r="CR1114" s="0" t="s">
        <v>130</v>
      </c>
      <c r="CS1114" s="0" t="s">
        <v>130</v>
      </c>
      <c r="CT1114" s="0" t="s">
        <v>3343</v>
      </c>
    </row>
    <row r="1115">
      <c r="A1115" s="14">
        <v>199455</v>
      </c>
      <c r="B1115" s="0" t="s">
        <v>3318</v>
      </c>
      <c r="C1115" s="16">
        <f>HYPERLINK("https://eosportal.federatedhermes.com/companies/Q29tcGFueQppNzQwNTY=", "Glencore PLC")</f>
      </c>
      <c r="D1115" s="0" t="s">
        <v>25</v>
      </c>
      <c r="E1115" s="0" t="s">
        <v>3344</v>
      </c>
      <c r="F1115" s="16">
        <f>HYPERLINK("https://eosportal.federatedhermes.com/engagements/RW5nYWdlbWVudAppMjUxNzI=", "Indigenous rights and heritage")</f>
      </c>
      <c r="G1115" s="14" t="s">
        <v>3345</v>
      </c>
      <c r="H1115" s="0" t="s">
        <v>141</v>
      </c>
      <c r="I1115" s="14" t="s">
        <v>191</v>
      </c>
      <c r="J1115" s="0" t="s">
        <v>153</v>
      </c>
      <c r="K1115" s="0" t="s">
        <v>243</v>
      </c>
      <c r="L1115" s="0" t="s">
        <v>571</v>
      </c>
      <c r="M1115" s="0" t="s">
        <v>378</v>
      </c>
      <c r="N1115" s="0" t="s">
        <v>1059</v>
      </c>
      <c r="O1115" s="0" t="s">
        <v>373</v>
      </c>
      <c r="Q1115" s="0" t="s">
        <v>130</v>
      </c>
      <c r="R1115" s="0" t="s">
        <v>138</v>
      </c>
      <c r="S1115" s="14">
        <v>0</v>
      </c>
      <c r="T1115" s="0" t="s">
        <v>139</v>
      </c>
      <c r="U1115" s="0" t="s">
        <v>138</v>
      </c>
      <c r="V1115" s="14" t="s">
        <v>138</v>
      </c>
      <c r="W1115" s="0" t="s">
        <v>138</v>
      </c>
      <c r="X1115" s="14" t="s">
        <v>138</v>
      </c>
      <c r="Y1115" s="0" t="s">
        <v>138</v>
      </c>
      <c r="Z1115" s="14" t="s">
        <v>138</v>
      </c>
      <c r="AA1115" s="0" t="s">
        <v>138</v>
      </c>
      <c r="AB1115" s="14" t="s">
        <v>138</v>
      </c>
      <c r="AD1115" s="0" t="s">
        <v>138</v>
      </c>
      <c r="AF1115" s="0">
        <v>0</v>
      </c>
      <c r="AG1115" s="0">
        <v>0</v>
      </c>
      <c r="AH1115" s="0" t="s">
        <v>140</v>
      </c>
      <c r="AI1115" s="0" t="s">
        <v>138</v>
      </c>
      <c r="AL1115" s="14"/>
      <c r="AN1115" s="14"/>
      <c r="AQ1115" s="0" t="s">
        <v>130</v>
      </c>
      <c r="AR1115" s="0" t="s">
        <v>130</v>
      </c>
      <c r="AS1115" s="0" t="s">
        <v>130</v>
      </c>
      <c r="AT1115" s="0" t="s">
        <v>130</v>
      </c>
      <c r="AU1115" s="0" t="s">
        <v>130</v>
      </c>
      <c r="AV1115" s="0" t="s">
        <v>130</v>
      </c>
      <c r="AW1115" s="0" t="s">
        <v>130</v>
      </c>
      <c r="AX1115" s="0" t="s">
        <v>130</v>
      </c>
      <c r="AY1115" s="0" t="s">
        <v>130</v>
      </c>
      <c r="AZ1115" s="0" t="s">
        <v>141</v>
      </c>
      <c r="BA1115" s="0" t="s">
        <v>130</v>
      </c>
      <c r="BB1115" s="0" t="s">
        <v>130</v>
      </c>
      <c r="BC1115" s="0" t="s">
        <v>130</v>
      </c>
      <c r="BD1115" s="0" t="s">
        <v>130</v>
      </c>
      <c r="BE1115" s="0" t="s">
        <v>130</v>
      </c>
      <c r="BF1115" s="0" t="s">
        <v>141</v>
      </c>
      <c r="BG1115" s="0" t="s">
        <v>130</v>
      </c>
      <c r="BH1115" s="0" t="s">
        <v>130</v>
      </c>
      <c r="BI1115" s="0" t="s">
        <v>130</v>
      </c>
      <c r="BJ1115" s="0" t="s">
        <v>130</v>
      </c>
      <c r="BK1115" s="0" t="s">
        <v>130</v>
      </c>
      <c r="BL1115" s="0" t="s">
        <v>130</v>
      </c>
      <c r="BM1115" s="0" t="s">
        <v>130</v>
      </c>
      <c r="BN1115" s="0" t="s">
        <v>130</v>
      </c>
      <c r="BO1115" s="0" t="s">
        <v>130</v>
      </c>
      <c r="BP1115" s="0" t="s">
        <v>130</v>
      </c>
      <c r="BQ1115" s="0" t="s">
        <v>130</v>
      </c>
      <c r="BR1115" s="0" t="s">
        <v>130</v>
      </c>
      <c r="BS1115" s="0" t="s">
        <v>130</v>
      </c>
      <c r="BT1115" s="0" t="s">
        <v>130</v>
      </c>
      <c r="BU1115" s="0" t="s">
        <v>130</v>
      </c>
      <c r="BV1115" s="0" t="s">
        <v>130</v>
      </c>
      <c r="BW1115" s="0" t="s">
        <v>130</v>
      </c>
      <c r="BX1115" s="0" t="s">
        <v>130</v>
      </c>
      <c r="BY1115" s="0" t="s">
        <v>130</v>
      </c>
      <c r="BZ1115" s="0" t="s">
        <v>130</v>
      </c>
      <c r="CA1115" s="0" t="s">
        <v>130</v>
      </c>
      <c r="CB1115" s="0" t="s">
        <v>130</v>
      </c>
      <c r="CC1115" s="0" t="s">
        <v>130</v>
      </c>
      <c r="CD1115" s="0" t="s">
        <v>130</v>
      </c>
      <c r="CE1115" s="0" t="s">
        <v>130</v>
      </c>
      <c r="CF1115" s="0" t="s">
        <v>130</v>
      </c>
      <c r="CG1115" s="0" t="s">
        <v>130</v>
      </c>
      <c r="CH1115" s="0" t="s">
        <v>130</v>
      </c>
      <c r="CI1115" s="0" t="s">
        <v>130</v>
      </c>
      <c r="CJ1115" s="0" t="s">
        <v>130</v>
      </c>
      <c r="CK1115" s="0" t="s">
        <v>130</v>
      </c>
      <c r="CL1115" s="0" t="s">
        <v>130</v>
      </c>
      <c r="CM1115" s="0" t="s">
        <v>130</v>
      </c>
      <c r="CN1115" s="0" t="s">
        <v>130</v>
      </c>
      <c r="CO1115" s="0" t="s">
        <v>130</v>
      </c>
      <c r="CP1115" s="0" t="s">
        <v>130</v>
      </c>
      <c r="CQ1115" s="0" t="s">
        <v>130</v>
      </c>
      <c r="CR1115" s="0" t="s">
        <v>130</v>
      </c>
      <c r="CS1115" s="0" t="s">
        <v>130</v>
      </c>
      <c r="CT1115" s="0" t="s">
        <v>3346</v>
      </c>
    </row>
    <row r="1116">
      <c r="A1116" s="14">
        <v>199455</v>
      </c>
      <c r="B1116" s="0" t="s">
        <v>3318</v>
      </c>
      <c r="C1116" s="16">
        <f>HYPERLINK("https://eosportal.federatedhermes.com/companies/Q29tcGFueQppNzQwNTY=", "Glencore PLC")</f>
      </c>
      <c r="D1116" s="0" t="s">
        <v>25</v>
      </c>
      <c r="E1116" s="0" t="s">
        <v>3347</v>
      </c>
      <c r="F1116" s="16">
        <f>HYPERLINK("https://eosportal.federatedhermes.com/engagements/RW5nYWdlbWVudAppMjUxNzM=", "Asset portfolio resilience (stranded assets)")</f>
      </c>
      <c r="G1116" s="14" t="s">
        <v>3347</v>
      </c>
      <c r="H1116" s="0" t="s">
        <v>141</v>
      </c>
      <c r="I1116" s="14" t="s">
        <v>191</v>
      </c>
      <c r="J1116" s="0" t="s">
        <v>197</v>
      </c>
      <c r="K1116" s="0" t="s">
        <v>348</v>
      </c>
      <c r="L1116" s="0" t="s">
        <v>650</v>
      </c>
      <c r="M1116" s="0" t="s">
        <v>378</v>
      </c>
      <c r="N1116" s="0" t="s">
        <v>1059</v>
      </c>
      <c r="O1116" s="0" t="s">
        <v>373</v>
      </c>
      <c r="Q1116" s="0" t="s">
        <v>141</v>
      </c>
      <c r="R1116" s="0" t="s">
        <v>138</v>
      </c>
      <c r="S1116" s="14">
        <v>1</v>
      </c>
      <c r="T1116" s="0" t="s">
        <v>416</v>
      </c>
      <c r="U1116" s="0" t="s">
        <v>138</v>
      </c>
      <c r="V1116" s="14" t="s">
        <v>138</v>
      </c>
      <c r="W1116" s="0" t="s">
        <v>138</v>
      </c>
      <c r="X1116" s="14" t="s">
        <v>138</v>
      </c>
      <c r="Y1116" s="0" t="s">
        <v>138</v>
      </c>
      <c r="Z1116" s="14" t="s">
        <v>138</v>
      </c>
      <c r="AA1116" s="0" t="s">
        <v>138</v>
      </c>
      <c r="AB1116" s="14" t="s">
        <v>138</v>
      </c>
      <c r="AD1116" s="0" t="s">
        <v>138</v>
      </c>
      <c r="AF1116" s="0">
        <v>0</v>
      </c>
      <c r="AG1116" s="0">
        <v>0</v>
      </c>
      <c r="AH1116" s="0" t="s">
        <v>140</v>
      </c>
      <c r="AI1116" s="0" t="s">
        <v>138</v>
      </c>
      <c r="AK1116" s="0" t="s">
        <v>2376</v>
      </c>
      <c r="AL1116" s="14"/>
      <c r="AN1116" s="14"/>
      <c r="AQ1116" s="0" t="s">
        <v>130</v>
      </c>
      <c r="AR1116" s="0" t="s">
        <v>130</v>
      </c>
      <c r="AS1116" s="0" t="s">
        <v>130</v>
      </c>
      <c r="AT1116" s="0" t="s">
        <v>130</v>
      </c>
      <c r="AU1116" s="0" t="s">
        <v>130</v>
      </c>
      <c r="AV1116" s="0" t="s">
        <v>130</v>
      </c>
      <c r="AW1116" s="0" t="s">
        <v>141</v>
      </c>
      <c r="AX1116" s="0" t="s">
        <v>130</v>
      </c>
      <c r="AY1116" s="0" t="s">
        <v>130</v>
      </c>
      <c r="AZ1116" s="0" t="s">
        <v>130</v>
      </c>
      <c r="BA1116" s="0" t="s">
        <v>130</v>
      </c>
      <c r="BB1116" s="0" t="s">
        <v>141</v>
      </c>
      <c r="BC1116" s="0" t="s">
        <v>141</v>
      </c>
      <c r="BD1116" s="0" t="s">
        <v>130</v>
      </c>
      <c r="BE1116" s="0" t="s">
        <v>130</v>
      </c>
      <c r="BF1116" s="0" t="s">
        <v>130</v>
      </c>
      <c r="BG1116" s="0" t="s">
        <v>130</v>
      </c>
      <c r="BH1116" s="0" t="s">
        <v>130</v>
      </c>
      <c r="BI1116" s="0" t="s">
        <v>130</v>
      </c>
      <c r="BJ1116" s="0" t="s">
        <v>130</v>
      </c>
      <c r="BK1116" s="0" t="s">
        <v>130</v>
      </c>
      <c r="BL1116" s="0" t="s">
        <v>130</v>
      </c>
      <c r="BM1116" s="0" t="s">
        <v>130</v>
      </c>
      <c r="BN1116" s="0" t="s">
        <v>130</v>
      </c>
      <c r="BO1116" s="0" t="s">
        <v>130</v>
      </c>
      <c r="BP1116" s="0" t="s">
        <v>130</v>
      </c>
      <c r="BQ1116" s="0" t="s">
        <v>130</v>
      </c>
      <c r="BR1116" s="0" t="s">
        <v>130</v>
      </c>
      <c r="BS1116" s="0" t="s">
        <v>130</v>
      </c>
      <c r="BT1116" s="0" t="s">
        <v>130</v>
      </c>
      <c r="BU1116" s="0" t="s">
        <v>130</v>
      </c>
      <c r="BV1116" s="0" t="s">
        <v>130</v>
      </c>
      <c r="BW1116" s="0" t="s">
        <v>130</v>
      </c>
      <c r="BX1116" s="0" t="s">
        <v>130</v>
      </c>
      <c r="BY1116" s="0" t="s">
        <v>130</v>
      </c>
      <c r="BZ1116" s="0" t="s">
        <v>130</v>
      </c>
      <c r="CA1116" s="0" t="s">
        <v>130</v>
      </c>
      <c r="CB1116" s="0" t="s">
        <v>130</v>
      </c>
      <c r="CC1116" s="0" t="s">
        <v>130</v>
      </c>
      <c r="CD1116" s="0" t="s">
        <v>130</v>
      </c>
      <c r="CE1116" s="0" t="s">
        <v>130</v>
      </c>
      <c r="CF1116" s="0" t="s">
        <v>130</v>
      </c>
      <c r="CG1116" s="0" t="s">
        <v>130</v>
      </c>
      <c r="CH1116" s="0" t="s">
        <v>130</v>
      </c>
      <c r="CI1116" s="0" t="s">
        <v>130</v>
      </c>
      <c r="CJ1116" s="0" t="s">
        <v>130</v>
      </c>
      <c r="CK1116" s="0" t="s">
        <v>130</v>
      </c>
      <c r="CL1116" s="0" t="s">
        <v>130</v>
      </c>
      <c r="CM1116" s="0" t="s">
        <v>130</v>
      </c>
      <c r="CN1116" s="0" t="s">
        <v>130</v>
      </c>
      <c r="CO1116" s="0" t="s">
        <v>130</v>
      </c>
      <c r="CP1116" s="0" t="s">
        <v>130</v>
      </c>
      <c r="CQ1116" s="0" t="s">
        <v>130</v>
      </c>
      <c r="CR1116" s="0" t="s">
        <v>130</v>
      </c>
      <c r="CS1116" s="0" t="s">
        <v>130</v>
      </c>
      <c r="CT1116" s="0" t="s">
        <v>3348</v>
      </c>
    </row>
    <row r="1117">
      <c r="A1117" s="14">
        <v>825197</v>
      </c>
      <c r="B1117" s="0" t="s">
        <v>3349</v>
      </c>
      <c r="C1117" s="16">
        <f>HYPERLINK("https://eosportal.federatedhermes.com/companies/Q29tcGFueQppNTU3NDQ=", "ABB Ltd")</f>
      </c>
      <c r="D1117" s="0" t="s">
        <v>25</v>
      </c>
      <c r="E1117" s="0" t="s">
        <v>3350</v>
      </c>
      <c r="F1117" s="16">
        <f>HYPERLINK("https://eosportal.federatedhermes.com/engagements/RW5nYWdlbWVudAppMjUyMDA=", "Human Rights")</f>
      </c>
      <c r="G1117" s="14" t="s">
        <v>3351</v>
      </c>
      <c r="H1117" s="0" t="s">
        <v>141</v>
      </c>
      <c r="I1117" s="14" t="s">
        <v>191</v>
      </c>
      <c r="J1117" s="0" t="s">
        <v>153</v>
      </c>
      <c r="K1117" s="0" t="s">
        <v>243</v>
      </c>
      <c r="L1117" s="0" t="s">
        <v>244</v>
      </c>
      <c r="M1117" s="0" t="s">
        <v>378</v>
      </c>
      <c r="N1117" s="0" t="s">
        <v>1059</v>
      </c>
      <c r="O1117" s="0" t="s">
        <v>176</v>
      </c>
      <c r="Q1117" s="0" t="s">
        <v>130</v>
      </c>
      <c r="R1117" s="0" t="s">
        <v>138</v>
      </c>
      <c r="S1117" s="14">
        <v>0</v>
      </c>
      <c r="T1117" s="0" t="s">
        <v>206</v>
      </c>
      <c r="U1117" s="0" t="s">
        <v>138</v>
      </c>
      <c r="V1117" s="14" t="s">
        <v>138</v>
      </c>
      <c r="W1117" s="0" t="s">
        <v>138</v>
      </c>
      <c r="X1117" s="14" t="s">
        <v>138</v>
      </c>
      <c r="Y1117" s="0" t="s">
        <v>138</v>
      </c>
      <c r="Z1117" s="14" t="s">
        <v>138</v>
      </c>
      <c r="AA1117" s="0" t="s">
        <v>138</v>
      </c>
      <c r="AB1117" s="14" t="s">
        <v>138</v>
      </c>
      <c r="AD1117" s="0" t="s">
        <v>138</v>
      </c>
      <c r="AF1117" s="0">
        <v>0</v>
      </c>
      <c r="AG1117" s="0">
        <v>0</v>
      </c>
      <c r="AH1117" s="0" t="s">
        <v>140</v>
      </c>
      <c r="AI1117" s="0" t="s">
        <v>138</v>
      </c>
      <c r="AL1117" s="14"/>
      <c r="AN1117" s="14"/>
      <c r="AQ1117" s="0" t="s">
        <v>130</v>
      </c>
      <c r="AR1117" s="0" t="s">
        <v>130</v>
      </c>
      <c r="AS1117" s="0" t="s">
        <v>130</v>
      </c>
      <c r="AT1117" s="0" t="s">
        <v>130</v>
      </c>
      <c r="AU1117" s="0" t="s">
        <v>130</v>
      </c>
      <c r="AV1117" s="0" t="s">
        <v>130</v>
      </c>
      <c r="AW1117" s="0" t="s">
        <v>130</v>
      </c>
      <c r="AX1117" s="0" t="s">
        <v>141</v>
      </c>
      <c r="AY1117" s="0" t="s">
        <v>130</v>
      </c>
      <c r="AZ1117" s="0" t="s">
        <v>130</v>
      </c>
      <c r="BA1117" s="0" t="s">
        <v>130</v>
      </c>
      <c r="BB1117" s="0" t="s">
        <v>130</v>
      </c>
      <c r="BC1117" s="0" t="s">
        <v>130</v>
      </c>
      <c r="BD1117" s="0" t="s">
        <v>130</v>
      </c>
      <c r="BE1117" s="0" t="s">
        <v>130</v>
      </c>
      <c r="BF1117" s="0" t="s">
        <v>130</v>
      </c>
      <c r="BG1117" s="0" t="s">
        <v>130</v>
      </c>
      <c r="BH1117" s="0" t="s">
        <v>130</v>
      </c>
      <c r="BI1117" s="0" t="s">
        <v>130</v>
      </c>
      <c r="BJ1117" s="0" t="s">
        <v>130</v>
      </c>
      <c r="BK1117" s="0" t="s">
        <v>130</v>
      </c>
      <c r="BL1117" s="0" t="s">
        <v>130</v>
      </c>
      <c r="BM1117" s="0" t="s">
        <v>130</v>
      </c>
      <c r="BN1117" s="0" t="s">
        <v>130</v>
      </c>
      <c r="BO1117" s="0" t="s">
        <v>130</v>
      </c>
      <c r="BP1117" s="0" t="s">
        <v>130</v>
      </c>
      <c r="BQ1117" s="0" t="s">
        <v>130</v>
      </c>
      <c r="BR1117" s="0" t="s">
        <v>130</v>
      </c>
      <c r="BS1117" s="0" t="s">
        <v>130</v>
      </c>
      <c r="BT1117" s="0" t="s">
        <v>130</v>
      </c>
      <c r="BU1117" s="0" t="s">
        <v>130</v>
      </c>
      <c r="BV1117" s="0" t="s">
        <v>130</v>
      </c>
      <c r="BW1117" s="0" t="s">
        <v>130</v>
      </c>
      <c r="BX1117" s="0" t="s">
        <v>130</v>
      </c>
      <c r="BY1117" s="0" t="s">
        <v>130</v>
      </c>
      <c r="BZ1117" s="0" t="s">
        <v>130</v>
      </c>
      <c r="CA1117" s="0" t="s">
        <v>130</v>
      </c>
      <c r="CB1117" s="0" t="s">
        <v>130</v>
      </c>
      <c r="CC1117" s="0" t="s">
        <v>130</v>
      </c>
      <c r="CD1117" s="0" t="s">
        <v>130</v>
      </c>
      <c r="CE1117" s="0" t="s">
        <v>130</v>
      </c>
      <c r="CF1117" s="0" t="s">
        <v>130</v>
      </c>
      <c r="CG1117" s="0" t="s">
        <v>130</v>
      </c>
      <c r="CH1117" s="0" t="s">
        <v>130</v>
      </c>
      <c r="CI1117" s="0" t="s">
        <v>130</v>
      </c>
      <c r="CJ1117" s="0" t="s">
        <v>130</v>
      </c>
      <c r="CK1117" s="0" t="s">
        <v>130</v>
      </c>
      <c r="CL1117" s="0" t="s">
        <v>130</v>
      </c>
      <c r="CM1117" s="0" t="s">
        <v>130</v>
      </c>
      <c r="CN1117" s="0" t="s">
        <v>130</v>
      </c>
      <c r="CO1117" s="0" t="s">
        <v>130</v>
      </c>
      <c r="CP1117" s="0" t="s">
        <v>130</v>
      </c>
      <c r="CQ1117" s="0" t="s">
        <v>130</v>
      </c>
      <c r="CR1117" s="0" t="s">
        <v>130</v>
      </c>
      <c r="CS1117" s="0" t="s">
        <v>130</v>
      </c>
      <c r="CT1117" s="0" t="s">
        <v>3352</v>
      </c>
    </row>
    <row r="1118">
      <c r="A1118" s="14">
        <v>825197</v>
      </c>
      <c r="B1118" s="0" t="s">
        <v>3349</v>
      </c>
      <c r="C1118" s="16">
        <f>HYPERLINK("https://eosportal.federatedhermes.com/companies/Q29tcGFueQppNTU3NDQ=", "ABB Ltd")</f>
      </c>
      <c r="D1118" s="0" t="s">
        <v>25</v>
      </c>
      <c r="E1118" s="0" t="s">
        <v>2446</v>
      </c>
      <c r="F1118" s="16">
        <f>HYPERLINK("https://eosportal.federatedhermes.com/engagements/RW5nYWdlbWVudAppMjUyMDE=", "Bribery and corruption")</f>
      </c>
      <c r="G1118" s="14" t="s">
        <v>3353</v>
      </c>
      <c r="H1118" s="0" t="s">
        <v>141</v>
      </c>
      <c r="I1118" s="14" t="s">
        <v>191</v>
      </c>
      <c r="J1118" s="0" t="s">
        <v>153</v>
      </c>
      <c r="K1118" s="0" t="s">
        <v>185</v>
      </c>
      <c r="L1118" s="0" t="s">
        <v>871</v>
      </c>
      <c r="M1118" s="0" t="s">
        <v>378</v>
      </c>
      <c r="N1118" s="0" t="s">
        <v>1059</v>
      </c>
      <c r="O1118" s="0" t="s">
        <v>176</v>
      </c>
      <c r="Q1118" s="0" t="s">
        <v>130</v>
      </c>
      <c r="R1118" s="0" t="s">
        <v>138</v>
      </c>
      <c r="S1118" s="14">
        <v>0</v>
      </c>
      <c r="T1118" s="0" t="s">
        <v>825</v>
      </c>
      <c r="U1118" s="0" t="s">
        <v>138</v>
      </c>
      <c r="V1118" s="14" t="s">
        <v>138</v>
      </c>
      <c r="W1118" s="0" t="s">
        <v>138</v>
      </c>
      <c r="X1118" s="14" t="s">
        <v>138</v>
      </c>
      <c r="Y1118" s="0" t="s">
        <v>138</v>
      </c>
      <c r="Z1118" s="14" t="s">
        <v>138</v>
      </c>
      <c r="AA1118" s="0" t="s">
        <v>138</v>
      </c>
      <c r="AB1118" s="14" t="s">
        <v>138</v>
      </c>
      <c r="AD1118" s="0" t="s">
        <v>138</v>
      </c>
      <c r="AF1118" s="0">
        <v>0</v>
      </c>
      <c r="AG1118" s="0">
        <v>0</v>
      </c>
      <c r="AH1118" s="0" t="s">
        <v>140</v>
      </c>
      <c r="AI1118" s="0" t="s">
        <v>138</v>
      </c>
      <c r="AL1118" s="14"/>
      <c r="AN1118" s="14"/>
      <c r="AQ1118" s="0" t="s">
        <v>130</v>
      </c>
      <c r="AR1118" s="0" t="s">
        <v>130</v>
      </c>
      <c r="AS1118" s="0" t="s">
        <v>130</v>
      </c>
      <c r="AT1118" s="0" t="s">
        <v>130</v>
      </c>
      <c r="AU1118" s="0" t="s">
        <v>130</v>
      </c>
      <c r="AV1118" s="0" t="s">
        <v>130</v>
      </c>
      <c r="AW1118" s="0" t="s">
        <v>130</v>
      </c>
      <c r="AX1118" s="0" t="s">
        <v>130</v>
      </c>
      <c r="AY1118" s="0" t="s">
        <v>130</v>
      </c>
      <c r="AZ1118" s="0" t="s">
        <v>130</v>
      </c>
      <c r="BA1118" s="0" t="s">
        <v>130</v>
      </c>
      <c r="BB1118" s="0" t="s">
        <v>130</v>
      </c>
      <c r="BC1118" s="0" t="s">
        <v>130</v>
      </c>
      <c r="BD1118" s="0" t="s">
        <v>130</v>
      </c>
      <c r="BE1118" s="0" t="s">
        <v>130</v>
      </c>
      <c r="BF1118" s="0" t="s">
        <v>141</v>
      </c>
      <c r="BG1118" s="0" t="s">
        <v>130</v>
      </c>
      <c r="BH1118" s="0" t="s">
        <v>130</v>
      </c>
      <c r="BI1118" s="0" t="s">
        <v>130</v>
      </c>
      <c r="BJ1118" s="0" t="s">
        <v>130</v>
      </c>
      <c r="BK1118" s="0" t="s">
        <v>130</v>
      </c>
      <c r="BL1118" s="0" t="s">
        <v>130</v>
      </c>
      <c r="BM1118" s="0" t="s">
        <v>130</v>
      </c>
      <c r="BN1118" s="0" t="s">
        <v>130</v>
      </c>
      <c r="BO1118" s="0" t="s">
        <v>130</v>
      </c>
      <c r="BP1118" s="0" t="s">
        <v>130</v>
      </c>
      <c r="BQ1118" s="0" t="s">
        <v>130</v>
      </c>
      <c r="BR1118" s="0" t="s">
        <v>130</v>
      </c>
      <c r="BS1118" s="0" t="s">
        <v>130</v>
      </c>
      <c r="BT1118" s="0" t="s">
        <v>130</v>
      </c>
      <c r="BU1118" s="0" t="s">
        <v>130</v>
      </c>
      <c r="BV1118" s="0" t="s">
        <v>130</v>
      </c>
      <c r="BW1118" s="0" t="s">
        <v>130</v>
      </c>
      <c r="BX1118" s="0" t="s">
        <v>130</v>
      </c>
      <c r="BY1118" s="0" t="s">
        <v>130</v>
      </c>
      <c r="BZ1118" s="0" t="s">
        <v>130</v>
      </c>
      <c r="CA1118" s="0" t="s">
        <v>130</v>
      </c>
      <c r="CB1118" s="0" t="s">
        <v>130</v>
      </c>
      <c r="CC1118" s="0" t="s">
        <v>130</v>
      </c>
      <c r="CD1118" s="0" t="s">
        <v>130</v>
      </c>
      <c r="CE1118" s="0" t="s">
        <v>130</v>
      </c>
      <c r="CF1118" s="0" t="s">
        <v>130</v>
      </c>
      <c r="CG1118" s="0" t="s">
        <v>130</v>
      </c>
      <c r="CH1118" s="0" t="s">
        <v>130</v>
      </c>
      <c r="CI1118" s="0" t="s">
        <v>130</v>
      </c>
      <c r="CJ1118" s="0" t="s">
        <v>130</v>
      </c>
      <c r="CK1118" s="0" t="s">
        <v>130</v>
      </c>
      <c r="CL1118" s="0" t="s">
        <v>130</v>
      </c>
      <c r="CM1118" s="0" t="s">
        <v>130</v>
      </c>
      <c r="CN1118" s="0" t="s">
        <v>130</v>
      </c>
      <c r="CO1118" s="0" t="s">
        <v>130</v>
      </c>
      <c r="CP1118" s="0" t="s">
        <v>130</v>
      </c>
      <c r="CQ1118" s="0" t="s">
        <v>141</v>
      </c>
      <c r="CR1118" s="0" t="s">
        <v>141</v>
      </c>
      <c r="CS1118" s="0" t="s">
        <v>141</v>
      </c>
      <c r="CT1118" s="0" t="s">
        <v>3354</v>
      </c>
    </row>
    <row r="1119">
      <c r="A1119" s="14">
        <v>825197</v>
      </c>
      <c r="B1119" s="0" t="s">
        <v>3349</v>
      </c>
      <c r="C1119" s="16">
        <f>HYPERLINK("https://eosportal.federatedhermes.com/companies/Q29tcGFueQppNTU3NDQ=", "ABB Ltd")</f>
      </c>
      <c r="D1119" s="0" t="s">
        <v>25</v>
      </c>
      <c r="E1119" s="0" t="s">
        <v>3134</v>
      </c>
      <c r="F1119" s="16">
        <f>HYPERLINK("https://eosportal.federatedhermes.com/engagements/RW5nYWdlbWVudAppMjUyMDM=", "Gender diversity on the board")</f>
      </c>
      <c r="G1119" s="14" t="s">
        <v>3355</v>
      </c>
      <c r="H1119" s="0" t="s">
        <v>141</v>
      </c>
      <c r="I1119" s="14" t="s">
        <v>191</v>
      </c>
      <c r="J1119" s="0" t="s">
        <v>145</v>
      </c>
      <c r="K1119" s="0" t="s">
        <v>164</v>
      </c>
      <c r="L1119" s="0" t="s">
        <v>165</v>
      </c>
      <c r="M1119" s="0" t="s">
        <v>378</v>
      </c>
      <c r="N1119" s="0" t="s">
        <v>1059</v>
      </c>
      <c r="O1119" s="0" t="s">
        <v>176</v>
      </c>
      <c r="Q1119" s="0" t="s">
        <v>130</v>
      </c>
      <c r="R1119" s="0" t="s">
        <v>138</v>
      </c>
      <c r="S1119" s="14">
        <v>0</v>
      </c>
      <c r="T1119" s="0" t="s">
        <v>193</v>
      </c>
      <c r="U1119" s="0" t="s">
        <v>138</v>
      </c>
      <c r="V1119" s="14" t="s">
        <v>138</v>
      </c>
      <c r="W1119" s="0" t="s">
        <v>138</v>
      </c>
      <c r="X1119" s="14" t="s">
        <v>138</v>
      </c>
      <c r="Y1119" s="0" t="s">
        <v>138</v>
      </c>
      <c r="Z1119" s="14" t="s">
        <v>138</v>
      </c>
      <c r="AA1119" s="0" t="s">
        <v>138</v>
      </c>
      <c r="AB1119" s="14" t="s">
        <v>138</v>
      </c>
      <c r="AD1119" s="0" t="s">
        <v>138</v>
      </c>
      <c r="AF1119" s="0">
        <v>0</v>
      </c>
      <c r="AG1119" s="0">
        <v>0</v>
      </c>
      <c r="AH1119" s="0" t="s">
        <v>140</v>
      </c>
      <c r="AI1119" s="0" t="s">
        <v>138</v>
      </c>
      <c r="AL1119" s="14"/>
      <c r="AN1119" s="14"/>
      <c r="AQ1119" s="0" t="s">
        <v>130</v>
      </c>
      <c r="AR1119" s="0" t="s">
        <v>130</v>
      </c>
      <c r="AS1119" s="0" t="s">
        <v>130</v>
      </c>
      <c r="AT1119" s="0" t="s">
        <v>130</v>
      </c>
      <c r="AU1119" s="0" t="s">
        <v>141</v>
      </c>
      <c r="AV1119" s="0" t="s">
        <v>130</v>
      </c>
      <c r="AW1119" s="0" t="s">
        <v>130</v>
      </c>
      <c r="AX1119" s="0" t="s">
        <v>130</v>
      </c>
      <c r="AY1119" s="0" t="s">
        <v>130</v>
      </c>
      <c r="AZ1119" s="0" t="s">
        <v>130</v>
      </c>
      <c r="BA1119" s="0" t="s">
        <v>130</v>
      </c>
      <c r="BB1119" s="0" t="s">
        <v>130</v>
      </c>
      <c r="BC1119" s="0" t="s">
        <v>130</v>
      </c>
      <c r="BD1119" s="0" t="s">
        <v>130</v>
      </c>
      <c r="BE1119" s="0" t="s">
        <v>130</v>
      </c>
      <c r="BF1119" s="0" t="s">
        <v>130</v>
      </c>
      <c r="BG1119" s="0" t="s">
        <v>130</v>
      </c>
      <c r="BH1119" s="0" t="s">
        <v>130</v>
      </c>
      <c r="BI1119" s="0" t="s">
        <v>130</v>
      </c>
      <c r="BJ1119" s="0" t="s">
        <v>130</v>
      </c>
      <c r="BK1119" s="0" t="s">
        <v>130</v>
      </c>
      <c r="BL1119" s="0" t="s">
        <v>130</v>
      </c>
      <c r="BM1119" s="0" t="s">
        <v>130</v>
      </c>
      <c r="BN1119" s="0" t="s">
        <v>130</v>
      </c>
      <c r="BO1119" s="0" t="s">
        <v>130</v>
      </c>
      <c r="BP1119" s="0" t="s">
        <v>130</v>
      </c>
      <c r="BQ1119" s="0" t="s">
        <v>130</v>
      </c>
      <c r="BR1119" s="0" t="s">
        <v>130</v>
      </c>
      <c r="BS1119" s="0" t="s">
        <v>130</v>
      </c>
      <c r="BT1119" s="0" t="s">
        <v>130</v>
      </c>
      <c r="BU1119" s="0" t="s">
        <v>130</v>
      </c>
      <c r="BV1119" s="0" t="s">
        <v>130</v>
      </c>
      <c r="BW1119" s="0" t="s">
        <v>130</v>
      </c>
      <c r="BX1119" s="0" t="s">
        <v>130</v>
      </c>
      <c r="BY1119" s="0" t="s">
        <v>130</v>
      </c>
      <c r="BZ1119" s="0" t="s">
        <v>130</v>
      </c>
      <c r="CA1119" s="0" t="s">
        <v>130</v>
      </c>
      <c r="CB1119" s="0" t="s">
        <v>130</v>
      </c>
      <c r="CC1119" s="0" t="s">
        <v>130</v>
      </c>
      <c r="CD1119" s="0" t="s">
        <v>130</v>
      </c>
      <c r="CE1119" s="0" t="s">
        <v>130</v>
      </c>
      <c r="CF1119" s="0" t="s">
        <v>130</v>
      </c>
      <c r="CG1119" s="0" t="s">
        <v>130</v>
      </c>
      <c r="CH1119" s="0" t="s">
        <v>130</v>
      </c>
      <c r="CI1119" s="0" t="s">
        <v>130</v>
      </c>
      <c r="CJ1119" s="0" t="s">
        <v>130</v>
      </c>
      <c r="CK1119" s="0" t="s">
        <v>130</v>
      </c>
      <c r="CL1119" s="0" t="s">
        <v>130</v>
      </c>
      <c r="CM1119" s="0" t="s">
        <v>130</v>
      </c>
      <c r="CN1119" s="0" t="s">
        <v>130</v>
      </c>
      <c r="CO1119" s="0" t="s">
        <v>130</v>
      </c>
      <c r="CP1119" s="0" t="s">
        <v>130</v>
      </c>
      <c r="CQ1119" s="0" t="s">
        <v>130</v>
      </c>
      <c r="CR1119" s="0" t="s">
        <v>130</v>
      </c>
      <c r="CS1119" s="0" t="s">
        <v>130</v>
      </c>
      <c r="CT1119" s="0" t="s">
        <v>3356</v>
      </c>
    </row>
    <row r="1120">
      <c r="A1120" s="14">
        <v>825197</v>
      </c>
      <c r="B1120" s="0" t="s">
        <v>3349</v>
      </c>
      <c r="C1120" s="16">
        <f>HYPERLINK("https://eosportal.federatedhermes.com/companies/Q29tcGFueQppNTU3NDQ=", "ABB Ltd")</f>
      </c>
      <c r="D1120" s="0" t="s">
        <v>25</v>
      </c>
      <c r="E1120" s="0" t="s">
        <v>1381</v>
      </c>
      <c r="F1120" s="16">
        <f>HYPERLINK("https://eosportal.federatedhermes.com/engagements/RW5nYWdlbWVudAppMjUyMDQ=", "Strategy")</f>
      </c>
      <c r="G1120" s="14" t="s">
        <v>3357</v>
      </c>
      <c r="H1120" s="0" t="s">
        <v>141</v>
      </c>
      <c r="I1120" s="14" t="s">
        <v>191</v>
      </c>
      <c r="J1120" s="0" t="s">
        <v>132</v>
      </c>
      <c r="K1120" s="0" t="s">
        <v>133</v>
      </c>
      <c r="L1120" s="0" t="s">
        <v>160</v>
      </c>
      <c r="M1120" s="0" t="s">
        <v>378</v>
      </c>
      <c r="N1120" s="0" t="s">
        <v>1059</v>
      </c>
      <c r="O1120" s="0" t="s">
        <v>176</v>
      </c>
      <c r="Q1120" s="0" t="s">
        <v>130</v>
      </c>
      <c r="R1120" s="0" t="s">
        <v>138</v>
      </c>
      <c r="S1120" s="14">
        <v>0</v>
      </c>
      <c r="T1120" s="0" t="s">
        <v>825</v>
      </c>
      <c r="U1120" s="0" t="s">
        <v>138</v>
      </c>
      <c r="V1120" s="14" t="s">
        <v>138</v>
      </c>
      <c r="W1120" s="0" t="s">
        <v>138</v>
      </c>
      <c r="X1120" s="14" t="s">
        <v>138</v>
      </c>
      <c r="Y1120" s="0" t="s">
        <v>138</v>
      </c>
      <c r="Z1120" s="14" t="s">
        <v>138</v>
      </c>
      <c r="AA1120" s="0" t="s">
        <v>138</v>
      </c>
      <c r="AB1120" s="14" t="s">
        <v>138</v>
      </c>
      <c r="AD1120" s="0" t="s">
        <v>138</v>
      </c>
      <c r="AF1120" s="0">
        <v>0</v>
      </c>
      <c r="AG1120" s="0">
        <v>0</v>
      </c>
      <c r="AH1120" s="0" t="s">
        <v>140</v>
      </c>
      <c r="AI1120" s="0" t="s">
        <v>138</v>
      </c>
      <c r="AL1120" s="14"/>
      <c r="AN1120" s="14"/>
      <c r="AQ1120" s="0" t="s">
        <v>130</v>
      </c>
      <c r="AR1120" s="0" t="s">
        <v>130</v>
      </c>
      <c r="AS1120" s="0" t="s">
        <v>130</v>
      </c>
      <c r="AT1120" s="0" t="s">
        <v>130</v>
      </c>
      <c r="AU1120" s="0" t="s">
        <v>130</v>
      </c>
      <c r="AV1120" s="0" t="s">
        <v>130</v>
      </c>
      <c r="AW1120" s="0" t="s">
        <v>130</v>
      </c>
      <c r="AX1120" s="0" t="s">
        <v>130</v>
      </c>
      <c r="AY1120" s="0" t="s">
        <v>130</v>
      </c>
      <c r="AZ1120" s="0" t="s">
        <v>130</v>
      </c>
      <c r="BA1120" s="0" t="s">
        <v>130</v>
      </c>
      <c r="BB1120" s="0" t="s">
        <v>130</v>
      </c>
      <c r="BC1120" s="0" t="s">
        <v>130</v>
      </c>
      <c r="BD1120" s="0" t="s">
        <v>130</v>
      </c>
      <c r="BE1120" s="0" t="s">
        <v>130</v>
      </c>
      <c r="BF1120" s="0" t="s">
        <v>130</v>
      </c>
      <c r="BG1120" s="0" t="s">
        <v>130</v>
      </c>
      <c r="BH1120" s="0" t="s">
        <v>130</v>
      </c>
      <c r="BI1120" s="0" t="s">
        <v>130</v>
      </c>
      <c r="BJ1120" s="0" t="s">
        <v>130</v>
      </c>
      <c r="BK1120" s="0" t="s">
        <v>130</v>
      </c>
      <c r="BL1120" s="0" t="s">
        <v>130</v>
      </c>
      <c r="BM1120" s="0" t="s">
        <v>130</v>
      </c>
      <c r="BN1120" s="0" t="s">
        <v>130</v>
      </c>
      <c r="BO1120" s="0" t="s">
        <v>130</v>
      </c>
      <c r="BP1120" s="0" t="s">
        <v>130</v>
      </c>
      <c r="BQ1120" s="0" t="s">
        <v>130</v>
      </c>
      <c r="BR1120" s="0" t="s">
        <v>130</v>
      </c>
      <c r="BS1120" s="0" t="s">
        <v>130</v>
      </c>
      <c r="BT1120" s="0" t="s">
        <v>130</v>
      </c>
      <c r="BU1120" s="0" t="s">
        <v>130</v>
      </c>
      <c r="BV1120" s="0" t="s">
        <v>130</v>
      </c>
      <c r="BW1120" s="0" t="s">
        <v>130</v>
      </c>
      <c r="BX1120" s="0" t="s">
        <v>130</v>
      </c>
      <c r="BY1120" s="0" t="s">
        <v>130</v>
      </c>
      <c r="BZ1120" s="0" t="s">
        <v>130</v>
      </c>
      <c r="CA1120" s="0" t="s">
        <v>130</v>
      </c>
      <c r="CB1120" s="0" t="s">
        <v>130</v>
      </c>
      <c r="CC1120" s="0" t="s">
        <v>130</v>
      </c>
      <c r="CD1120" s="0" t="s">
        <v>130</v>
      </c>
      <c r="CE1120" s="0" t="s">
        <v>130</v>
      </c>
      <c r="CF1120" s="0" t="s">
        <v>130</v>
      </c>
      <c r="CG1120" s="0" t="s">
        <v>130</v>
      </c>
      <c r="CH1120" s="0" t="s">
        <v>130</v>
      </c>
      <c r="CI1120" s="0" t="s">
        <v>130</v>
      </c>
      <c r="CJ1120" s="0" t="s">
        <v>130</v>
      </c>
      <c r="CK1120" s="0" t="s">
        <v>130</v>
      </c>
      <c r="CL1120" s="0" t="s">
        <v>130</v>
      </c>
      <c r="CM1120" s="0" t="s">
        <v>130</v>
      </c>
      <c r="CN1120" s="0" t="s">
        <v>130</v>
      </c>
      <c r="CO1120" s="0" t="s">
        <v>130</v>
      </c>
      <c r="CP1120" s="0" t="s">
        <v>130</v>
      </c>
      <c r="CQ1120" s="0" t="s">
        <v>130</v>
      </c>
      <c r="CR1120" s="0" t="s">
        <v>130</v>
      </c>
      <c r="CS1120" s="0" t="s">
        <v>130</v>
      </c>
      <c r="CT1120" s="0" t="s">
        <v>3358</v>
      </c>
    </row>
    <row r="1121">
      <c r="A1121" s="14">
        <v>825197</v>
      </c>
      <c r="B1121" s="0" t="s">
        <v>3349</v>
      </c>
      <c r="C1121" s="16">
        <f>HYPERLINK("https://eosportal.federatedhermes.com/companies/Q29tcGFueQppNTU3NDQ=", "ABB Ltd")</f>
      </c>
      <c r="D1121" s="0" t="s">
        <v>25</v>
      </c>
      <c r="E1121" s="0" t="s">
        <v>341</v>
      </c>
      <c r="F1121" s="16">
        <f>HYPERLINK("https://eosportal.federatedhermes.com/engagements/RW5nYWdlbWVudAppMjUyMTE=", "Remuneration")</f>
      </c>
      <c r="G1121" s="14" t="s">
        <v>2696</v>
      </c>
      <c r="H1121" s="0" t="s">
        <v>141</v>
      </c>
      <c r="I1121" s="14" t="s">
        <v>191</v>
      </c>
      <c r="J1121" s="0" t="s">
        <v>145</v>
      </c>
      <c r="K1121" s="0" t="s">
        <v>146</v>
      </c>
      <c r="L1121" s="0" t="s">
        <v>147</v>
      </c>
      <c r="M1121" s="0" t="s">
        <v>378</v>
      </c>
      <c r="N1121" s="0" t="s">
        <v>1059</v>
      </c>
      <c r="O1121" s="0" t="s">
        <v>176</v>
      </c>
      <c r="Q1121" s="0" t="s">
        <v>130</v>
      </c>
      <c r="R1121" s="0" t="s">
        <v>138</v>
      </c>
      <c r="S1121" s="14">
        <v>0</v>
      </c>
      <c r="T1121" s="0" t="s">
        <v>193</v>
      </c>
      <c r="U1121" s="0" t="s">
        <v>138</v>
      </c>
      <c r="V1121" s="14" t="s">
        <v>138</v>
      </c>
      <c r="W1121" s="0" t="s">
        <v>138</v>
      </c>
      <c r="X1121" s="14" t="s">
        <v>138</v>
      </c>
      <c r="Y1121" s="0" t="s">
        <v>138</v>
      </c>
      <c r="Z1121" s="14" t="s">
        <v>138</v>
      </c>
      <c r="AA1121" s="0" t="s">
        <v>138</v>
      </c>
      <c r="AB1121" s="14" t="s">
        <v>138</v>
      </c>
      <c r="AD1121" s="0" t="s">
        <v>138</v>
      </c>
      <c r="AF1121" s="0">
        <v>0</v>
      </c>
      <c r="AG1121" s="0">
        <v>0</v>
      </c>
      <c r="AH1121" s="0" t="s">
        <v>140</v>
      </c>
      <c r="AI1121" s="0" t="s">
        <v>138</v>
      </c>
      <c r="AL1121" s="14"/>
      <c r="AN1121" s="14"/>
      <c r="AQ1121" s="0" t="s">
        <v>130</v>
      </c>
      <c r="AR1121" s="0" t="s">
        <v>130</v>
      </c>
      <c r="AS1121" s="0" t="s">
        <v>130</v>
      </c>
      <c r="AT1121" s="0" t="s">
        <v>130</v>
      </c>
      <c r="AU1121" s="0" t="s">
        <v>130</v>
      </c>
      <c r="AV1121" s="0" t="s">
        <v>130</v>
      </c>
      <c r="AW1121" s="0" t="s">
        <v>130</v>
      </c>
      <c r="AX1121" s="0" t="s">
        <v>130</v>
      </c>
      <c r="AY1121" s="0" t="s">
        <v>130</v>
      </c>
      <c r="AZ1121" s="0" t="s">
        <v>130</v>
      </c>
      <c r="BA1121" s="0" t="s">
        <v>130</v>
      </c>
      <c r="BB1121" s="0" t="s">
        <v>130</v>
      </c>
      <c r="BC1121" s="0" t="s">
        <v>130</v>
      </c>
      <c r="BD1121" s="0" t="s">
        <v>130</v>
      </c>
      <c r="BE1121" s="0" t="s">
        <v>130</v>
      </c>
      <c r="BF1121" s="0" t="s">
        <v>130</v>
      </c>
      <c r="BG1121" s="0" t="s">
        <v>130</v>
      </c>
      <c r="BH1121" s="0" t="s">
        <v>130</v>
      </c>
      <c r="BI1121" s="0" t="s">
        <v>130</v>
      </c>
      <c r="BJ1121" s="0" t="s">
        <v>130</v>
      </c>
      <c r="BK1121" s="0" t="s">
        <v>130</v>
      </c>
      <c r="BL1121" s="0" t="s">
        <v>130</v>
      </c>
      <c r="BM1121" s="0" t="s">
        <v>130</v>
      </c>
      <c r="BN1121" s="0" t="s">
        <v>130</v>
      </c>
      <c r="BO1121" s="0" t="s">
        <v>130</v>
      </c>
      <c r="BP1121" s="0" t="s">
        <v>130</v>
      </c>
      <c r="BQ1121" s="0" t="s">
        <v>130</v>
      </c>
      <c r="BR1121" s="0" t="s">
        <v>130</v>
      </c>
      <c r="BS1121" s="0" t="s">
        <v>130</v>
      </c>
      <c r="BT1121" s="0" t="s">
        <v>130</v>
      </c>
      <c r="BU1121" s="0" t="s">
        <v>130</v>
      </c>
      <c r="BV1121" s="0" t="s">
        <v>130</v>
      </c>
      <c r="BW1121" s="0" t="s">
        <v>130</v>
      </c>
      <c r="BX1121" s="0" t="s">
        <v>130</v>
      </c>
      <c r="BY1121" s="0" t="s">
        <v>130</v>
      </c>
      <c r="BZ1121" s="0" t="s">
        <v>130</v>
      </c>
      <c r="CA1121" s="0" t="s">
        <v>130</v>
      </c>
      <c r="CB1121" s="0" t="s">
        <v>130</v>
      </c>
      <c r="CC1121" s="0" t="s">
        <v>130</v>
      </c>
      <c r="CD1121" s="0" t="s">
        <v>130</v>
      </c>
      <c r="CE1121" s="0" t="s">
        <v>130</v>
      </c>
      <c r="CF1121" s="0" t="s">
        <v>130</v>
      </c>
      <c r="CG1121" s="0" t="s">
        <v>130</v>
      </c>
      <c r="CH1121" s="0" t="s">
        <v>130</v>
      </c>
      <c r="CI1121" s="0" t="s">
        <v>130</v>
      </c>
      <c r="CJ1121" s="0" t="s">
        <v>130</v>
      </c>
      <c r="CK1121" s="0" t="s">
        <v>130</v>
      </c>
      <c r="CL1121" s="0" t="s">
        <v>130</v>
      </c>
      <c r="CM1121" s="0" t="s">
        <v>130</v>
      </c>
      <c r="CN1121" s="0" t="s">
        <v>130</v>
      </c>
      <c r="CO1121" s="0" t="s">
        <v>130</v>
      </c>
      <c r="CP1121" s="0" t="s">
        <v>130</v>
      </c>
      <c r="CQ1121" s="0" t="s">
        <v>130</v>
      </c>
      <c r="CR1121" s="0" t="s">
        <v>130</v>
      </c>
      <c r="CS1121" s="0" t="s">
        <v>130</v>
      </c>
      <c r="CT1121" s="0" t="s">
        <v>3359</v>
      </c>
    </row>
    <row r="1122">
      <c r="A1122" s="14">
        <v>825197</v>
      </c>
      <c r="B1122" s="0" t="s">
        <v>3349</v>
      </c>
      <c r="C1122" s="16">
        <f>HYPERLINK("https://eosportal.federatedhermes.com/companies/Q29tcGFueQppNTU3NDQ=", "ABB Ltd")</f>
      </c>
      <c r="D1122" s="0" t="s">
        <v>25</v>
      </c>
      <c r="E1122" s="0" t="s">
        <v>145</v>
      </c>
      <c r="F1122" s="16">
        <f>HYPERLINK("https://eosportal.federatedhermes.com/engagements/RW5nYWdlbWVudAppMjUyMTI=", "Governance")</f>
      </c>
      <c r="G1122" s="14" t="s">
        <v>3360</v>
      </c>
      <c r="H1122" s="0" t="s">
        <v>141</v>
      </c>
      <c r="I1122" s="14" t="s">
        <v>191</v>
      </c>
      <c r="J1122" s="0" t="s">
        <v>145</v>
      </c>
      <c r="K1122" s="0" t="s">
        <v>164</v>
      </c>
      <c r="L1122" s="0" t="s">
        <v>970</v>
      </c>
      <c r="M1122" s="0" t="s">
        <v>378</v>
      </c>
      <c r="N1122" s="0" t="s">
        <v>1059</v>
      </c>
      <c r="O1122" s="0" t="s">
        <v>176</v>
      </c>
      <c r="Q1122" s="0" t="s">
        <v>130</v>
      </c>
      <c r="R1122" s="0" t="s">
        <v>138</v>
      </c>
      <c r="S1122" s="14">
        <v>0</v>
      </c>
      <c r="T1122" s="0" t="s">
        <v>825</v>
      </c>
      <c r="U1122" s="0" t="s">
        <v>138</v>
      </c>
      <c r="V1122" s="14" t="s">
        <v>138</v>
      </c>
      <c r="W1122" s="0" t="s">
        <v>138</v>
      </c>
      <c r="X1122" s="14" t="s">
        <v>138</v>
      </c>
      <c r="Y1122" s="0" t="s">
        <v>138</v>
      </c>
      <c r="Z1122" s="14" t="s">
        <v>138</v>
      </c>
      <c r="AA1122" s="0" t="s">
        <v>138</v>
      </c>
      <c r="AB1122" s="14" t="s">
        <v>138</v>
      </c>
      <c r="AD1122" s="0" t="s">
        <v>138</v>
      </c>
      <c r="AF1122" s="0">
        <v>0</v>
      </c>
      <c r="AG1122" s="0">
        <v>0</v>
      </c>
      <c r="AH1122" s="0" t="s">
        <v>140</v>
      </c>
      <c r="AI1122" s="0" t="s">
        <v>138</v>
      </c>
      <c r="AL1122" s="14"/>
      <c r="AN1122" s="14"/>
      <c r="AQ1122" s="0" t="s">
        <v>130</v>
      </c>
      <c r="AR1122" s="0" t="s">
        <v>130</v>
      </c>
      <c r="AS1122" s="0" t="s">
        <v>130</v>
      </c>
      <c r="AT1122" s="0" t="s">
        <v>130</v>
      </c>
      <c r="AU1122" s="0" t="s">
        <v>130</v>
      </c>
      <c r="AV1122" s="0" t="s">
        <v>130</v>
      </c>
      <c r="AW1122" s="0" t="s">
        <v>130</v>
      </c>
      <c r="AX1122" s="0" t="s">
        <v>130</v>
      </c>
      <c r="AY1122" s="0" t="s">
        <v>130</v>
      </c>
      <c r="AZ1122" s="0" t="s">
        <v>130</v>
      </c>
      <c r="BA1122" s="0" t="s">
        <v>130</v>
      </c>
      <c r="BB1122" s="0" t="s">
        <v>130</v>
      </c>
      <c r="BC1122" s="0" t="s">
        <v>130</v>
      </c>
      <c r="BD1122" s="0" t="s">
        <v>130</v>
      </c>
      <c r="BE1122" s="0" t="s">
        <v>130</v>
      </c>
      <c r="BF1122" s="0" t="s">
        <v>130</v>
      </c>
      <c r="BG1122" s="0" t="s">
        <v>130</v>
      </c>
      <c r="BH1122" s="0" t="s">
        <v>130</v>
      </c>
      <c r="BI1122" s="0" t="s">
        <v>130</v>
      </c>
      <c r="BJ1122" s="0" t="s">
        <v>130</v>
      </c>
      <c r="BK1122" s="0" t="s">
        <v>130</v>
      </c>
      <c r="BL1122" s="0" t="s">
        <v>130</v>
      </c>
      <c r="BM1122" s="0" t="s">
        <v>130</v>
      </c>
      <c r="BN1122" s="0" t="s">
        <v>130</v>
      </c>
      <c r="BO1122" s="0" t="s">
        <v>130</v>
      </c>
      <c r="BP1122" s="0" t="s">
        <v>130</v>
      </c>
      <c r="BQ1122" s="0" t="s">
        <v>130</v>
      </c>
      <c r="BR1122" s="0" t="s">
        <v>130</v>
      </c>
      <c r="BS1122" s="0" t="s">
        <v>130</v>
      </c>
      <c r="BT1122" s="0" t="s">
        <v>130</v>
      </c>
      <c r="BU1122" s="0" t="s">
        <v>130</v>
      </c>
      <c r="BV1122" s="0" t="s">
        <v>130</v>
      </c>
      <c r="BW1122" s="0" t="s">
        <v>130</v>
      </c>
      <c r="BX1122" s="0" t="s">
        <v>130</v>
      </c>
      <c r="BY1122" s="0" t="s">
        <v>130</v>
      </c>
      <c r="BZ1122" s="0" t="s">
        <v>130</v>
      </c>
      <c r="CA1122" s="0" t="s">
        <v>130</v>
      </c>
      <c r="CB1122" s="0" t="s">
        <v>130</v>
      </c>
      <c r="CC1122" s="0" t="s">
        <v>130</v>
      </c>
      <c r="CD1122" s="0" t="s">
        <v>130</v>
      </c>
      <c r="CE1122" s="0" t="s">
        <v>130</v>
      </c>
      <c r="CF1122" s="0" t="s">
        <v>130</v>
      </c>
      <c r="CG1122" s="0" t="s">
        <v>130</v>
      </c>
      <c r="CH1122" s="0" t="s">
        <v>130</v>
      </c>
      <c r="CI1122" s="0" t="s">
        <v>130</v>
      </c>
      <c r="CJ1122" s="0" t="s">
        <v>130</v>
      </c>
      <c r="CK1122" s="0" t="s">
        <v>130</v>
      </c>
      <c r="CL1122" s="0" t="s">
        <v>130</v>
      </c>
      <c r="CM1122" s="0" t="s">
        <v>130</v>
      </c>
      <c r="CN1122" s="0" t="s">
        <v>130</v>
      </c>
      <c r="CO1122" s="0" t="s">
        <v>130</v>
      </c>
      <c r="CP1122" s="0" t="s">
        <v>130</v>
      </c>
      <c r="CQ1122" s="0" t="s">
        <v>130</v>
      </c>
      <c r="CR1122" s="0" t="s">
        <v>130</v>
      </c>
      <c r="CS1122" s="0" t="s">
        <v>130</v>
      </c>
      <c r="CT1122" s="0" t="s">
        <v>3361</v>
      </c>
    </row>
    <row r="1123">
      <c r="A1123" s="14">
        <v>825197</v>
      </c>
      <c r="B1123" s="0" t="s">
        <v>3349</v>
      </c>
      <c r="C1123" s="16">
        <f>HYPERLINK("https://eosportal.federatedhermes.com/companies/Q29tcGFueQppNTU3NDQ=", "ABB Ltd")</f>
      </c>
      <c r="D1123" s="0" t="s">
        <v>25</v>
      </c>
      <c r="E1123" s="0" t="s">
        <v>2237</v>
      </c>
      <c r="F1123" s="16">
        <f>HYPERLINK("https://eosportal.federatedhermes.com/engagements/RW5nYWdlbWVudAppMjUyMTM=", "Artificial Intelligence")</f>
      </c>
      <c r="G1123" s="14" t="s">
        <v>3362</v>
      </c>
      <c r="H1123" s="0" t="s">
        <v>141</v>
      </c>
      <c r="I1123" s="14" t="s">
        <v>191</v>
      </c>
      <c r="J1123" s="0" t="s">
        <v>153</v>
      </c>
      <c r="K1123" s="0" t="s">
        <v>243</v>
      </c>
      <c r="L1123" s="0" t="s">
        <v>537</v>
      </c>
      <c r="M1123" s="0" t="s">
        <v>378</v>
      </c>
      <c r="N1123" s="0" t="s">
        <v>1059</v>
      </c>
      <c r="O1123" s="0" t="s">
        <v>176</v>
      </c>
      <c r="Q1123" s="0" t="s">
        <v>130</v>
      </c>
      <c r="R1123" s="0" t="s">
        <v>138</v>
      </c>
      <c r="S1123" s="14">
        <v>0</v>
      </c>
      <c r="T1123" s="0" t="s">
        <v>148</v>
      </c>
      <c r="U1123" s="0" t="s">
        <v>138</v>
      </c>
      <c r="V1123" s="14" t="s">
        <v>138</v>
      </c>
      <c r="W1123" s="0" t="s">
        <v>138</v>
      </c>
      <c r="X1123" s="14" t="s">
        <v>138</v>
      </c>
      <c r="Y1123" s="0" t="s">
        <v>138</v>
      </c>
      <c r="Z1123" s="14" t="s">
        <v>138</v>
      </c>
      <c r="AA1123" s="0" t="s">
        <v>138</v>
      </c>
      <c r="AB1123" s="14" t="s">
        <v>138</v>
      </c>
      <c r="AD1123" s="0" t="s">
        <v>138</v>
      </c>
      <c r="AF1123" s="0">
        <v>0</v>
      </c>
      <c r="AG1123" s="0">
        <v>0</v>
      </c>
      <c r="AH1123" s="0" t="s">
        <v>140</v>
      </c>
      <c r="AI1123" s="0" t="s">
        <v>138</v>
      </c>
      <c r="AL1123" s="14"/>
      <c r="AN1123" s="14"/>
      <c r="AQ1123" s="0" t="s">
        <v>130</v>
      </c>
      <c r="AR1123" s="0" t="s">
        <v>130</v>
      </c>
      <c r="AS1123" s="0" t="s">
        <v>130</v>
      </c>
      <c r="AT1123" s="0" t="s">
        <v>130</v>
      </c>
      <c r="AU1123" s="0" t="s">
        <v>130</v>
      </c>
      <c r="AV1123" s="0" t="s">
        <v>130</v>
      </c>
      <c r="AW1123" s="0" t="s">
        <v>130</v>
      </c>
      <c r="AX1123" s="0" t="s">
        <v>130</v>
      </c>
      <c r="AY1123" s="0" t="s">
        <v>130</v>
      </c>
      <c r="AZ1123" s="0" t="s">
        <v>130</v>
      </c>
      <c r="BA1123" s="0" t="s">
        <v>130</v>
      </c>
      <c r="BB1123" s="0" t="s">
        <v>130</v>
      </c>
      <c r="BC1123" s="0" t="s">
        <v>130</v>
      </c>
      <c r="BD1123" s="0" t="s">
        <v>130</v>
      </c>
      <c r="BE1123" s="0" t="s">
        <v>130</v>
      </c>
      <c r="BF1123" s="0" t="s">
        <v>141</v>
      </c>
      <c r="BG1123" s="0" t="s">
        <v>130</v>
      </c>
      <c r="BH1123" s="0" t="s">
        <v>130</v>
      </c>
      <c r="BI1123" s="0" t="s">
        <v>130</v>
      </c>
      <c r="BJ1123" s="0" t="s">
        <v>130</v>
      </c>
      <c r="BK1123" s="0" t="s">
        <v>130</v>
      </c>
      <c r="BL1123" s="0" t="s">
        <v>130</v>
      </c>
      <c r="BM1123" s="0" t="s">
        <v>130</v>
      </c>
      <c r="BN1123" s="0" t="s">
        <v>130</v>
      </c>
      <c r="BO1123" s="0" t="s">
        <v>130</v>
      </c>
      <c r="BP1123" s="0" t="s">
        <v>130</v>
      </c>
      <c r="BQ1123" s="0" t="s">
        <v>130</v>
      </c>
      <c r="BR1123" s="0" t="s">
        <v>130</v>
      </c>
      <c r="BS1123" s="0" t="s">
        <v>130</v>
      </c>
      <c r="BT1123" s="0" t="s">
        <v>130</v>
      </c>
      <c r="BU1123" s="0" t="s">
        <v>130</v>
      </c>
      <c r="BV1123" s="0" t="s">
        <v>130</v>
      </c>
      <c r="BW1123" s="0" t="s">
        <v>130</v>
      </c>
      <c r="BX1123" s="0" t="s">
        <v>130</v>
      </c>
      <c r="BY1123" s="0" t="s">
        <v>130</v>
      </c>
      <c r="BZ1123" s="0" t="s">
        <v>130</v>
      </c>
      <c r="CA1123" s="0" t="s">
        <v>130</v>
      </c>
      <c r="CB1123" s="0" t="s">
        <v>130</v>
      </c>
      <c r="CC1123" s="0" t="s">
        <v>130</v>
      </c>
      <c r="CD1123" s="0" t="s">
        <v>130</v>
      </c>
      <c r="CE1123" s="0" t="s">
        <v>130</v>
      </c>
      <c r="CF1123" s="0" t="s">
        <v>130</v>
      </c>
      <c r="CG1123" s="0" t="s">
        <v>130</v>
      </c>
      <c r="CH1123" s="0" t="s">
        <v>130</v>
      </c>
      <c r="CI1123" s="0" t="s">
        <v>130</v>
      </c>
      <c r="CJ1123" s="0" t="s">
        <v>130</v>
      </c>
      <c r="CK1123" s="0" t="s">
        <v>130</v>
      </c>
      <c r="CL1123" s="0" t="s">
        <v>130</v>
      </c>
      <c r="CM1123" s="0" t="s">
        <v>130</v>
      </c>
      <c r="CN1123" s="0" t="s">
        <v>130</v>
      </c>
      <c r="CO1123" s="0" t="s">
        <v>130</v>
      </c>
      <c r="CP1123" s="0" t="s">
        <v>130</v>
      </c>
      <c r="CQ1123" s="0" t="s">
        <v>130</v>
      </c>
      <c r="CR1123" s="0" t="s">
        <v>130</v>
      </c>
      <c r="CS1123" s="0" t="s">
        <v>130</v>
      </c>
      <c r="CT1123" s="0" t="s">
        <v>3363</v>
      </c>
    </row>
    <row r="1124">
      <c r="A1124" s="14">
        <v>216204</v>
      </c>
      <c r="B1124" s="0" t="s">
        <v>3364</v>
      </c>
      <c r="C1124" s="16">
        <f>HYPERLINK("https://eosportal.federatedhermes.com/companies/Q29tcGFueQppNjQzODI=", "Centrica PLC")</f>
      </c>
      <c r="D1124" s="0" t="s">
        <v>25</v>
      </c>
      <c r="E1124" s="0" t="s">
        <v>735</v>
      </c>
      <c r="F1124" s="16">
        <f>HYPERLINK("https://eosportal.federatedhermes.com/engagements/RW5nYWdlbWVudAppMjUzNDI=", "Sustainability reporting")</f>
      </c>
      <c r="G1124" s="14" t="s">
        <v>3365</v>
      </c>
      <c r="H1124" s="0" t="s">
        <v>141</v>
      </c>
      <c r="I1124" s="14" t="s">
        <v>191</v>
      </c>
      <c r="J1124" s="0" t="s">
        <v>132</v>
      </c>
      <c r="K1124" s="0" t="s">
        <v>170</v>
      </c>
      <c r="L1124" s="0" t="s">
        <v>171</v>
      </c>
      <c r="M1124" s="0" t="s">
        <v>272</v>
      </c>
      <c r="N1124" s="0" t="s">
        <v>273</v>
      </c>
      <c r="O1124" s="0" t="s">
        <v>192</v>
      </c>
      <c r="Q1124" s="0" t="s">
        <v>130</v>
      </c>
      <c r="R1124" s="0" t="s">
        <v>138</v>
      </c>
      <c r="S1124" s="14">
        <v>0</v>
      </c>
      <c r="T1124" s="0" t="s">
        <v>483</v>
      </c>
      <c r="U1124" s="0" t="s">
        <v>138</v>
      </c>
      <c r="V1124" s="14" t="s">
        <v>138</v>
      </c>
      <c r="W1124" s="0" t="s">
        <v>138</v>
      </c>
      <c r="X1124" s="14" t="s">
        <v>138</v>
      </c>
      <c r="Y1124" s="0" t="s">
        <v>138</v>
      </c>
      <c r="Z1124" s="14" t="s">
        <v>138</v>
      </c>
      <c r="AA1124" s="0" t="s">
        <v>138</v>
      </c>
      <c r="AB1124" s="14" t="s">
        <v>138</v>
      </c>
      <c r="AD1124" s="0" t="s">
        <v>138</v>
      </c>
      <c r="AF1124" s="0">
        <v>0</v>
      </c>
      <c r="AG1124" s="0">
        <v>0</v>
      </c>
      <c r="AH1124" s="0" t="s">
        <v>140</v>
      </c>
      <c r="AI1124" s="0" t="s">
        <v>138</v>
      </c>
      <c r="AL1124" s="14"/>
      <c r="AN1124" s="14"/>
      <c r="AQ1124" s="0" t="s">
        <v>130</v>
      </c>
      <c r="AR1124" s="0" t="s">
        <v>130</v>
      </c>
      <c r="AS1124" s="0" t="s">
        <v>130</v>
      </c>
      <c r="AT1124" s="0" t="s">
        <v>130</v>
      </c>
      <c r="AU1124" s="0" t="s">
        <v>130</v>
      </c>
      <c r="AV1124" s="0" t="s">
        <v>130</v>
      </c>
      <c r="AW1124" s="0" t="s">
        <v>130</v>
      </c>
      <c r="AX1124" s="0" t="s">
        <v>130</v>
      </c>
      <c r="AY1124" s="0" t="s">
        <v>130</v>
      </c>
      <c r="AZ1124" s="0" t="s">
        <v>130</v>
      </c>
      <c r="BA1124" s="0" t="s">
        <v>130</v>
      </c>
      <c r="BB1124" s="0" t="s">
        <v>130</v>
      </c>
      <c r="BC1124" s="0" t="s">
        <v>130</v>
      </c>
      <c r="BD1124" s="0" t="s">
        <v>130</v>
      </c>
      <c r="BE1124" s="0" t="s">
        <v>130</v>
      </c>
      <c r="BF1124" s="0" t="s">
        <v>130</v>
      </c>
      <c r="BG1124" s="0" t="s">
        <v>130</v>
      </c>
      <c r="BH1124" s="0" t="s">
        <v>130</v>
      </c>
      <c r="BI1124" s="0" t="s">
        <v>130</v>
      </c>
      <c r="BJ1124" s="0" t="s">
        <v>130</v>
      </c>
      <c r="BK1124" s="0" t="s">
        <v>130</v>
      </c>
      <c r="BL1124" s="0" t="s">
        <v>130</v>
      </c>
      <c r="BM1124" s="0" t="s">
        <v>130</v>
      </c>
      <c r="BN1124" s="0" t="s">
        <v>130</v>
      </c>
      <c r="BO1124" s="0" t="s">
        <v>130</v>
      </c>
      <c r="BP1124" s="0" t="s">
        <v>130</v>
      </c>
      <c r="BQ1124" s="0" t="s">
        <v>130</v>
      </c>
      <c r="BR1124" s="0" t="s">
        <v>130</v>
      </c>
      <c r="BS1124" s="0" t="s">
        <v>130</v>
      </c>
      <c r="BT1124" s="0" t="s">
        <v>130</v>
      </c>
      <c r="BU1124" s="0" t="s">
        <v>130</v>
      </c>
      <c r="BV1124" s="0" t="s">
        <v>130</v>
      </c>
      <c r="BW1124" s="0" t="s">
        <v>130</v>
      </c>
      <c r="BX1124" s="0" t="s">
        <v>130</v>
      </c>
      <c r="BY1124" s="0" t="s">
        <v>130</v>
      </c>
      <c r="BZ1124" s="0" t="s">
        <v>130</v>
      </c>
      <c r="CA1124" s="0" t="s">
        <v>130</v>
      </c>
      <c r="CB1124" s="0" t="s">
        <v>130</v>
      </c>
      <c r="CC1124" s="0" t="s">
        <v>130</v>
      </c>
      <c r="CD1124" s="0" t="s">
        <v>130</v>
      </c>
      <c r="CE1124" s="0" t="s">
        <v>130</v>
      </c>
      <c r="CF1124" s="0" t="s">
        <v>130</v>
      </c>
      <c r="CG1124" s="0" t="s">
        <v>130</v>
      </c>
      <c r="CH1124" s="0" t="s">
        <v>130</v>
      </c>
      <c r="CI1124" s="0" t="s">
        <v>130</v>
      </c>
      <c r="CJ1124" s="0" t="s">
        <v>130</v>
      </c>
      <c r="CK1124" s="0" t="s">
        <v>130</v>
      </c>
      <c r="CL1124" s="0" t="s">
        <v>130</v>
      </c>
      <c r="CM1124" s="0" t="s">
        <v>130</v>
      </c>
      <c r="CN1124" s="0" t="s">
        <v>130</v>
      </c>
      <c r="CO1124" s="0" t="s">
        <v>130</v>
      </c>
      <c r="CP1124" s="0" t="s">
        <v>130</v>
      </c>
      <c r="CQ1124" s="0" t="s">
        <v>130</v>
      </c>
      <c r="CR1124" s="0" t="s">
        <v>130</v>
      </c>
      <c r="CS1124" s="0" t="s">
        <v>130</v>
      </c>
      <c r="CT1124" s="0" t="s">
        <v>3366</v>
      </c>
    </row>
    <row r="1125">
      <c r="A1125" s="14">
        <v>216204</v>
      </c>
      <c r="B1125" s="0" t="s">
        <v>3364</v>
      </c>
      <c r="C1125" s="16">
        <f>HYPERLINK("https://eosportal.federatedhermes.com/companies/Q29tcGFueQppNjQzODI=", "Centrica PLC")</f>
      </c>
      <c r="D1125" s="0" t="s">
        <v>25</v>
      </c>
      <c r="E1125" s="0" t="s">
        <v>3367</v>
      </c>
      <c r="F1125" s="16">
        <f>HYPERLINK("https://eosportal.federatedhermes.com/engagements/RW5nYWdlbWVudAppMjUzNDM=", "Centrica PLC-Environmental-Other Environmental")</f>
      </c>
      <c r="G1125" s="14" t="s">
        <v>3368</v>
      </c>
      <c r="H1125" s="0" t="s">
        <v>141</v>
      </c>
      <c r="I1125" s="14" t="s">
        <v>191</v>
      </c>
      <c r="J1125" s="0" t="s">
        <v>132</v>
      </c>
      <c r="K1125" s="0" t="s">
        <v>260</v>
      </c>
      <c r="L1125" s="0" t="s">
        <v>261</v>
      </c>
      <c r="M1125" s="0" t="s">
        <v>272</v>
      </c>
      <c r="N1125" s="0" t="s">
        <v>273</v>
      </c>
      <c r="O1125" s="0" t="s">
        <v>192</v>
      </c>
      <c r="Q1125" s="0" t="s">
        <v>130</v>
      </c>
      <c r="R1125" s="0" t="s">
        <v>138</v>
      </c>
      <c r="S1125" s="14">
        <v>0</v>
      </c>
      <c r="T1125" s="0" t="s">
        <v>293</v>
      </c>
      <c r="U1125" s="0" t="s">
        <v>138</v>
      </c>
      <c r="V1125" s="14" t="s">
        <v>138</v>
      </c>
      <c r="W1125" s="0" t="s">
        <v>138</v>
      </c>
      <c r="X1125" s="14" t="s">
        <v>138</v>
      </c>
      <c r="Y1125" s="0" t="s">
        <v>138</v>
      </c>
      <c r="Z1125" s="14" t="s">
        <v>138</v>
      </c>
      <c r="AA1125" s="0" t="s">
        <v>138</v>
      </c>
      <c r="AB1125" s="14" t="s">
        <v>138</v>
      </c>
      <c r="AD1125" s="0" t="s">
        <v>138</v>
      </c>
      <c r="AF1125" s="0">
        <v>0</v>
      </c>
      <c r="AG1125" s="0">
        <v>0</v>
      </c>
      <c r="AH1125" s="0" t="s">
        <v>140</v>
      </c>
      <c r="AI1125" s="0" t="s">
        <v>138</v>
      </c>
      <c r="AL1125" s="14"/>
      <c r="AN1125" s="14"/>
      <c r="AQ1125" s="0" t="s">
        <v>130</v>
      </c>
      <c r="AR1125" s="0" t="s">
        <v>130</v>
      </c>
      <c r="AS1125" s="0" t="s">
        <v>130</v>
      </c>
      <c r="AT1125" s="0" t="s">
        <v>130</v>
      </c>
      <c r="AU1125" s="0" t="s">
        <v>130</v>
      </c>
      <c r="AV1125" s="0" t="s">
        <v>130</v>
      </c>
      <c r="AW1125" s="0" t="s">
        <v>130</v>
      </c>
      <c r="AX1125" s="0" t="s">
        <v>130</v>
      </c>
      <c r="AY1125" s="0" t="s">
        <v>130</v>
      </c>
      <c r="AZ1125" s="0" t="s">
        <v>130</v>
      </c>
      <c r="BA1125" s="0" t="s">
        <v>130</v>
      </c>
      <c r="BB1125" s="0" t="s">
        <v>130</v>
      </c>
      <c r="BC1125" s="0" t="s">
        <v>130</v>
      </c>
      <c r="BD1125" s="0" t="s">
        <v>130</v>
      </c>
      <c r="BE1125" s="0" t="s">
        <v>130</v>
      </c>
      <c r="BF1125" s="0" t="s">
        <v>130</v>
      </c>
      <c r="BG1125" s="0" t="s">
        <v>130</v>
      </c>
      <c r="BH1125" s="0" t="s">
        <v>130</v>
      </c>
      <c r="BI1125" s="0" t="s">
        <v>130</v>
      </c>
      <c r="BJ1125" s="0" t="s">
        <v>130</v>
      </c>
      <c r="BK1125" s="0" t="s">
        <v>130</v>
      </c>
      <c r="BL1125" s="0" t="s">
        <v>130</v>
      </c>
      <c r="BM1125" s="0" t="s">
        <v>130</v>
      </c>
      <c r="BN1125" s="0" t="s">
        <v>130</v>
      </c>
      <c r="BO1125" s="0" t="s">
        <v>130</v>
      </c>
      <c r="BP1125" s="0" t="s">
        <v>130</v>
      </c>
      <c r="BQ1125" s="0" t="s">
        <v>130</v>
      </c>
      <c r="BR1125" s="0" t="s">
        <v>130</v>
      </c>
      <c r="BS1125" s="0" t="s">
        <v>130</v>
      </c>
      <c r="BT1125" s="0" t="s">
        <v>130</v>
      </c>
      <c r="BU1125" s="0" t="s">
        <v>130</v>
      </c>
      <c r="BV1125" s="0" t="s">
        <v>130</v>
      </c>
      <c r="BW1125" s="0" t="s">
        <v>130</v>
      </c>
      <c r="BX1125" s="0" t="s">
        <v>130</v>
      </c>
      <c r="BY1125" s="0" t="s">
        <v>130</v>
      </c>
      <c r="BZ1125" s="0" t="s">
        <v>130</v>
      </c>
      <c r="CA1125" s="0" t="s">
        <v>130</v>
      </c>
      <c r="CB1125" s="0" t="s">
        <v>130</v>
      </c>
      <c r="CC1125" s="0" t="s">
        <v>130</v>
      </c>
      <c r="CD1125" s="0" t="s">
        <v>130</v>
      </c>
      <c r="CE1125" s="0" t="s">
        <v>130</v>
      </c>
      <c r="CF1125" s="0" t="s">
        <v>130</v>
      </c>
      <c r="CG1125" s="0" t="s">
        <v>130</v>
      </c>
      <c r="CH1125" s="0" t="s">
        <v>130</v>
      </c>
      <c r="CI1125" s="0" t="s">
        <v>130</v>
      </c>
      <c r="CJ1125" s="0" t="s">
        <v>130</v>
      </c>
      <c r="CK1125" s="0" t="s">
        <v>130</v>
      </c>
      <c r="CL1125" s="0" t="s">
        <v>130</v>
      </c>
      <c r="CM1125" s="0" t="s">
        <v>130</v>
      </c>
      <c r="CN1125" s="0" t="s">
        <v>130</v>
      </c>
      <c r="CO1125" s="0" t="s">
        <v>130</v>
      </c>
      <c r="CP1125" s="0" t="s">
        <v>130</v>
      </c>
      <c r="CQ1125" s="0" t="s">
        <v>130</v>
      </c>
      <c r="CR1125" s="0" t="s">
        <v>130</v>
      </c>
      <c r="CS1125" s="0" t="s">
        <v>130</v>
      </c>
      <c r="CT1125" s="0" t="s">
        <v>3369</v>
      </c>
    </row>
    <row r="1126">
      <c r="A1126" s="14">
        <v>216204</v>
      </c>
      <c r="B1126" s="0" t="s">
        <v>3364</v>
      </c>
      <c r="C1126" s="16">
        <f>HYPERLINK("https://eosportal.federatedhermes.com/companies/Q29tcGFueQppNjQzODI=", "Centrica PLC")</f>
      </c>
      <c r="D1126" s="0" t="s">
        <v>25</v>
      </c>
      <c r="E1126" s="0" t="s">
        <v>3370</v>
      </c>
      <c r="F1126" s="16">
        <f>HYPERLINK("https://eosportal.federatedhermes.com/engagements/RW5nYWdlbWVudAppMjUzNDQ=", "Centrica PLC-Environmental-Nuclear power safety")</f>
      </c>
      <c r="G1126" s="14" t="s">
        <v>3371</v>
      </c>
      <c r="H1126" s="0" t="s">
        <v>141</v>
      </c>
      <c r="I1126" s="14" t="s">
        <v>191</v>
      </c>
      <c r="J1126" s="0" t="s">
        <v>132</v>
      </c>
      <c r="K1126" s="0" t="s">
        <v>260</v>
      </c>
      <c r="L1126" s="0" t="s">
        <v>261</v>
      </c>
      <c r="M1126" s="0" t="s">
        <v>272</v>
      </c>
      <c r="N1126" s="0" t="s">
        <v>273</v>
      </c>
      <c r="O1126" s="0" t="s">
        <v>192</v>
      </c>
      <c r="Q1126" s="0" t="s">
        <v>130</v>
      </c>
      <c r="R1126" s="0" t="s">
        <v>138</v>
      </c>
      <c r="S1126" s="14">
        <v>0</v>
      </c>
      <c r="T1126" s="0" t="s">
        <v>293</v>
      </c>
      <c r="U1126" s="0" t="s">
        <v>138</v>
      </c>
      <c r="V1126" s="14" t="s">
        <v>138</v>
      </c>
      <c r="W1126" s="0" t="s">
        <v>138</v>
      </c>
      <c r="X1126" s="14" t="s">
        <v>138</v>
      </c>
      <c r="Y1126" s="0" t="s">
        <v>138</v>
      </c>
      <c r="Z1126" s="14" t="s">
        <v>138</v>
      </c>
      <c r="AA1126" s="0" t="s">
        <v>138</v>
      </c>
      <c r="AB1126" s="14" t="s">
        <v>138</v>
      </c>
      <c r="AD1126" s="0" t="s">
        <v>138</v>
      </c>
      <c r="AF1126" s="0">
        <v>0</v>
      </c>
      <c r="AG1126" s="0">
        <v>0</v>
      </c>
      <c r="AH1126" s="0" t="s">
        <v>140</v>
      </c>
      <c r="AI1126" s="0" t="s">
        <v>138</v>
      </c>
      <c r="AL1126" s="14"/>
      <c r="AN1126" s="14"/>
      <c r="AQ1126" s="0" t="s">
        <v>130</v>
      </c>
      <c r="AR1126" s="0" t="s">
        <v>130</v>
      </c>
      <c r="AS1126" s="0" t="s">
        <v>130</v>
      </c>
      <c r="AT1126" s="0" t="s">
        <v>130</v>
      </c>
      <c r="AU1126" s="0" t="s">
        <v>130</v>
      </c>
      <c r="AV1126" s="0" t="s">
        <v>130</v>
      </c>
      <c r="AW1126" s="0" t="s">
        <v>130</v>
      </c>
      <c r="AX1126" s="0" t="s">
        <v>130</v>
      </c>
      <c r="AY1126" s="0" t="s">
        <v>130</v>
      </c>
      <c r="AZ1126" s="0" t="s">
        <v>130</v>
      </c>
      <c r="BA1126" s="0" t="s">
        <v>130</v>
      </c>
      <c r="BB1126" s="0" t="s">
        <v>130</v>
      </c>
      <c r="BC1126" s="0" t="s">
        <v>130</v>
      </c>
      <c r="BD1126" s="0" t="s">
        <v>130</v>
      </c>
      <c r="BE1126" s="0" t="s">
        <v>130</v>
      </c>
      <c r="BF1126" s="0" t="s">
        <v>130</v>
      </c>
      <c r="BG1126" s="0" t="s">
        <v>130</v>
      </c>
      <c r="BH1126" s="0" t="s">
        <v>130</v>
      </c>
      <c r="BI1126" s="0" t="s">
        <v>130</v>
      </c>
      <c r="BJ1126" s="0" t="s">
        <v>130</v>
      </c>
      <c r="BK1126" s="0" t="s">
        <v>130</v>
      </c>
      <c r="BL1126" s="0" t="s">
        <v>130</v>
      </c>
      <c r="BM1126" s="0" t="s">
        <v>130</v>
      </c>
      <c r="BN1126" s="0" t="s">
        <v>130</v>
      </c>
      <c r="BO1126" s="0" t="s">
        <v>130</v>
      </c>
      <c r="BP1126" s="0" t="s">
        <v>130</v>
      </c>
      <c r="BQ1126" s="0" t="s">
        <v>130</v>
      </c>
      <c r="BR1126" s="0" t="s">
        <v>130</v>
      </c>
      <c r="BS1126" s="0" t="s">
        <v>130</v>
      </c>
      <c r="BT1126" s="0" t="s">
        <v>130</v>
      </c>
      <c r="BU1126" s="0" t="s">
        <v>130</v>
      </c>
      <c r="BV1126" s="0" t="s">
        <v>130</v>
      </c>
      <c r="BW1126" s="0" t="s">
        <v>130</v>
      </c>
      <c r="BX1126" s="0" t="s">
        <v>130</v>
      </c>
      <c r="BY1126" s="0" t="s">
        <v>130</v>
      </c>
      <c r="BZ1126" s="0" t="s">
        <v>130</v>
      </c>
      <c r="CA1126" s="0" t="s">
        <v>130</v>
      </c>
      <c r="CB1126" s="0" t="s">
        <v>130</v>
      </c>
      <c r="CC1126" s="0" t="s">
        <v>130</v>
      </c>
      <c r="CD1126" s="0" t="s">
        <v>130</v>
      </c>
      <c r="CE1126" s="0" t="s">
        <v>130</v>
      </c>
      <c r="CF1126" s="0" t="s">
        <v>130</v>
      </c>
      <c r="CG1126" s="0" t="s">
        <v>130</v>
      </c>
      <c r="CH1126" s="0" t="s">
        <v>130</v>
      </c>
      <c r="CI1126" s="0" t="s">
        <v>130</v>
      </c>
      <c r="CJ1126" s="0" t="s">
        <v>130</v>
      </c>
      <c r="CK1126" s="0" t="s">
        <v>130</v>
      </c>
      <c r="CL1126" s="0" t="s">
        <v>130</v>
      </c>
      <c r="CM1126" s="0" t="s">
        <v>130</v>
      </c>
      <c r="CN1126" s="0" t="s">
        <v>130</v>
      </c>
      <c r="CO1126" s="0" t="s">
        <v>130</v>
      </c>
      <c r="CP1126" s="0" t="s">
        <v>130</v>
      </c>
      <c r="CQ1126" s="0" t="s">
        <v>130</v>
      </c>
      <c r="CR1126" s="0" t="s">
        <v>130</v>
      </c>
      <c r="CS1126" s="0" t="s">
        <v>130</v>
      </c>
      <c r="CT1126" s="0" t="s">
        <v>3372</v>
      </c>
    </row>
    <row r="1127">
      <c r="A1127" s="14">
        <v>216204</v>
      </c>
      <c r="B1127" s="0" t="s">
        <v>3364</v>
      </c>
      <c r="C1127" s="16">
        <f>HYPERLINK("https://eosportal.federatedhermes.com/companies/Q29tcGFueQppNjQzODI=", "Centrica PLC")</f>
      </c>
      <c r="D1127" s="0" t="s">
        <v>25</v>
      </c>
      <c r="E1127" s="0" t="s">
        <v>3373</v>
      </c>
      <c r="F1127" s="16">
        <f>HYPERLINK("https://eosportal.federatedhermes.com/engagements/RW5nYWdlbWVudAppMjUzNDU=", "Ensure compliant sales")</f>
      </c>
      <c r="G1127" s="14" t="s">
        <v>3374</v>
      </c>
      <c r="H1127" s="0" t="s">
        <v>141</v>
      </c>
      <c r="I1127" s="14" t="s">
        <v>191</v>
      </c>
      <c r="J1127" s="0" t="s">
        <v>153</v>
      </c>
      <c r="K1127" s="0" t="s">
        <v>185</v>
      </c>
      <c r="L1127" s="0" t="s">
        <v>186</v>
      </c>
      <c r="M1127" s="0" t="s">
        <v>272</v>
      </c>
      <c r="N1127" s="0" t="s">
        <v>273</v>
      </c>
      <c r="O1127" s="0" t="s">
        <v>192</v>
      </c>
      <c r="Q1127" s="0" t="s">
        <v>130</v>
      </c>
      <c r="R1127" s="0" t="s">
        <v>138</v>
      </c>
      <c r="S1127" s="14">
        <v>0</v>
      </c>
      <c r="T1127" s="0" t="s">
        <v>483</v>
      </c>
      <c r="U1127" s="0" t="s">
        <v>138</v>
      </c>
      <c r="V1127" s="14" t="s">
        <v>138</v>
      </c>
      <c r="W1127" s="0" t="s">
        <v>138</v>
      </c>
      <c r="X1127" s="14" t="s">
        <v>138</v>
      </c>
      <c r="Y1127" s="0" t="s">
        <v>138</v>
      </c>
      <c r="Z1127" s="14" t="s">
        <v>138</v>
      </c>
      <c r="AA1127" s="0" t="s">
        <v>138</v>
      </c>
      <c r="AB1127" s="14" t="s">
        <v>138</v>
      </c>
      <c r="AD1127" s="0" t="s">
        <v>138</v>
      </c>
      <c r="AF1127" s="0">
        <v>0</v>
      </c>
      <c r="AG1127" s="0">
        <v>0</v>
      </c>
      <c r="AH1127" s="0" t="s">
        <v>140</v>
      </c>
      <c r="AI1127" s="0" t="s">
        <v>138</v>
      </c>
      <c r="AL1127" s="14"/>
      <c r="AN1127" s="14"/>
      <c r="AQ1127" s="0" t="s">
        <v>130</v>
      </c>
      <c r="AR1127" s="0" t="s">
        <v>130</v>
      </c>
      <c r="AS1127" s="0" t="s">
        <v>130</v>
      </c>
      <c r="AT1127" s="0" t="s">
        <v>130</v>
      </c>
      <c r="AU1127" s="0" t="s">
        <v>130</v>
      </c>
      <c r="AV1127" s="0" t="s">
        <v>130</v>
      </c>
      <c r="AW1127" s="0" t="s">
        <v>130</v>
      </c>
      <c r="AX1127" s="0" t="s">
        <v>130</v>
      </c>
      <c r="AY1127" s="0" t="s">
        <v>130</v>
      </c>
      <c r="AZ1127" s="0" t="s">
        <v>130</v>
      </c>
      <c r="BA1127" s="0" t="s">
        <v>130</v>
      </c>
      <c r="BB1127" s="0" t="s">
        <v>130</v>
      </c>
      <c r="BC1127" s="0" t="s">
        <v>130</v>
      </c>
      <c r="BD1127" s="0" t="s">
        <v>130</v>
      </c>
      <c r="BE1127" s="0" t="s">
        <v>130</v>
      </c>
      <c r="BF1127" s="0" t="s">
        <v>130</v>
      </c>
      <c r="BG1127" s="0" t="s">
        <v>130</v>
      </c>
      <c r="BH1127" s="0" t="s">
        <v>130</v>
      </c>
      <c r="BI1127" s="0" t="s">
        <v>130</v>
      </c>
      <c r="BJ1127" s="0" t="s">
        <v>130</v>
      </c>
      <c r="BK1127" s="0" t="s">
        <v>130</v>
      </c>
      <c r="BL1127" s="0" t="s">
        <v>130</v>
      </c>
      <c r="BM1127" s="0" t="s">
        <v>130</v>
      </c>
      <c r="BN1127" s="0" t="s">
        <v>130</v>
      </c>
      <c r="BO1127" s="0" t="s">
        <v>130</v>
      </c>
      <c r="BP1127" s="0" t="s">
        <v>130</v>
      </c>
      <c r="BQ1127" s="0" t="s">
        <v>130</v>
      </c>
      <c r="BR1127" s="0" t="s">
        <v>130</v>
      </c>
      <c r="BS1127" s="0" t="s">
        <v>130</v>
      </c>
      <c r="BT1127" s="0" t="s">
        <v>130</v>
      </c>
      <c r="BU1127" s="0" t="s">
        <v>130</v>
      </c>
      <c r="BV1127" s="0" t="s">
        <v>130</v>
      </c>
      <c r="BW1127" s="0" t="s">
        <v>130</v>
      </c>
      <c r="BX1127" s="0" t="s">
        <v>130</v>
      </c>
      <c r="BY1127" s="0" t="s">
        <v>130</v>
      </c>
      <c r="BZ1127" s="0" t="s">
        <v>130</v>
      </c>
      <c r="CA1127" s="0" t="s">
        <v>130</v>
      </c>
      <c r="CB1127" s="0" t="s">
        <v>130</v>
      </c>
      <c r="CC1127" s="0" t="s">
        <v>130</v>
      </c>
      <c r="CD1127" s="0" t="s">
        <v>130</v>
      </c>
      <c r="CE1127" s="0" t="s">
        <v>130</v>
      </c>
      <c r="CF1127" s="0" t="s">
        <v>130</v>
      </c>
      <c r="CG1127" s="0" t="s">
        <v>130</v>
      </c>
      <c r="CH1127" s="0" t="s">
        <v>130</v>
      </c>
      <c r="CI1127" s="0" t="s">
        <v>130</v>
      </c>
      <c r="CJ1127" s="0" t="s">
        <v>130</v>
      </c>
      <c r="CK1127" s="0" t="s">
        <v>130</v>
      </c>
      <c r="CL1127" s="0" t="s">
        <v>130</v>
      </c>
      <c r="CM1127" s="0" t="s">
        <v>130</v>
      </c>
      <c r="CN1127" s="0" t="s">
        <v>130</v>
      </c>
      <c r="CO1127" s="0" t="s">
        <v>130</v>
      </c>
      <c r="CP1127" s="0" t="s">
        <v>130</v>
      </c>
      <c r="CQ1127" s="0" t="s">
        <v>130</v>
      </c>
      <c r="CR1127" s="0" t="s">
        <v>130</v>
      </c>
      <c r="CS1127" s="0" t="s">
        <v>130</v>
      </c>
      <c r="CT1127" s="0" t="s">
        <v>3375</v>
      </c>
    </row>
    <row r="1128">
      <c r="A1128" s="14">
        <v>216204</v>
      </c>
      <c r="B1128" s="0" t="s">
        <v>3364</v>
      </c>
      <c r="C1128" s="16">
        <f>HYPERLINK("https://eosportal.federatedhermes.com/companies/Q29tcGFueQppNjQzODI=", "Centrica PLC")</f>
      </c>
      <c r="D1128" s="0" t="s">
        <v>25</v>
      </c>
      <c r="E1128" s="0" t="s">
        <v>3376</v>
      </c>
      <c r="F1128" s="16">
        <f>HYPERLINK("https://eosportal.federatedhermes.com/engagements/RW5nYWdlbWVudAppMjUzNDc=", "Satisfactory new CEO hiring package")</f>
      </c>
      <c r="G1128" s="14" t="s">
        <v>3377</v>
      </c>
      <c r="H1128" s="0" t="s">
        <v>141</v>
      </c>
      <c r="I1128" s="14" t="s">
        <v>191</v>
      </c>
      <c r="J1128" s="0" t="s">
        <v>145</v>
      </c>
      <c r="K1128" s="0" t="s">
        <v>146</v>
      </c>
      <c r="L1128" s="0" t="s">
        <v>500</v>
      </c>
      <c r="M1128" s="0" t="s">
        <v>272</v>
      </c>
      <c r="N1128" s="0" t="s">
        <v>273</v>
      </c>
      <c r="O1128" s="0" t="s">
        <v>192</v>
      </c>
      <c r="Q1128" s="0" t="s">
        <v>130</v>
      </c>
      <c r="R1128" s="0" t="s">
        <v>138</v>
      </c>
      <c r="S1128" s="14">
        <v>0</v>
      </c>
      <c r="T1128" s="0" t="s">
        <v>435</v>
      </c>
      <c r="U1128" s="0" t="s">
        <v>138</v>
      </c>
      <c r="V1128" s="14" t="s">
        <v>138</v>
      </c>
      <c r="W1128" s="0" t="s">
        <v>138</v>
      </c>
      <c r="X1128" s="14" t="s">
        <v>138</v>
      </c>
      <c r="Y1128" s="0" t="s">
        <v>138</v>
      </c>
      <c r="Z1128" s="14" t="s">
        <v>138</v>
      </c>
      <c r="AA1128" s="0" t="s">
        <v>138</v>
      </c>
      <c r="AB1128" s="14" t="s">
        <v>138</v>
      </c>
      <c r="AD1128" s="0" t="s">
        <v>138</v>
      </c>
      <c r="AF1128" s="0">
        <v>0</v>
      </c>
      <c r="AG1128" s="0">
        <v>0</v>
      </c>
      <c r="AH1128" s="0" t="s">
        <v>140</v>
      </c>
      <c r="AI1128" s="0" t="s">
        <v>138</v>
      </c>
      <c r="AL1128" s="14"/>
      <c r="AN1128" s="14"/>
      <c r="AQ1128" s="0" t="s">
        <v>130</v>
      </c>
      <c r="AR1128" s="0" t="s">
        <v>130</v>
      </c>
      <c r="AS1128" s="0" t="s">
        <v>130</v>
      </c>
      <c r="AT1128" s="0" t="s">
        <v>130</v>
      </c>
      <c r="AU1128" s="0" t="s">
        <v>130</v>
      </c>
      <c r="AV1128" s="0" t="s">
        <v>130</v>
      </c>
      <c r="AW1128" s="0" t="s">
        <v>130</v>
      </c>
      <c r="AX1128" s="0" t="s">
        <v>130</v>
      </c>
      <c r="AY1128" s="0" t="s">
        <v>130</v>
      </c>
      <c r="AZ1128" s="0" t="s">
        <v>130</v>
      </c>
      <c r="BA1128" s="0" t="s">
        <v>130</v>
      </c>
      <c r="BB1128" s="0" t="s">
        <v>130</v>
      </c>
      <c r="BC1128" s="0" t="s">
        <v>130</v>
      </c>
      <c r="BD1128" s="0" t="s">
        <v>130</v>
      </c>
      <c r="BE1128" s="0" t="s">
        <v>130</v>
      </c>
      <c r="BF1128" s="0" t="s">
        <v>130</v>
      </c>
      <c r="BG1128" s="0" t="s">
        <v>130</v>
      </c>
      <c r="BH1128" s="0" t="s">
        <v>130</v>
      </c>
      <c r="BI1128" s="0" t="s">
        <v>130</v>
      </c>
      <c r="BJ1128" s="0" t="s">
        <v>130</v>
      </c>
      <c r="BK1128" s="0" t="s">
        <v>130</v>
      </c>
      <c r="BL1128" s="0" t="s">
        <v>130</v>
      </c>
      <c r="BM1128" s="0" t="s">
        <v>130</v>
      </c>
      <c r="BN1128" s="0" t="s">
        <v>130</v>
      </c>
      <c r="BO1128" s="0" t="s">
        <v>130</v>
      </c>
      <c r="BP1128" s="0" t="s">
        <v>130</v>
      </c>
      <c r="BQ1128" s="0" t="s">
        <v>130</v>
      </c>
      <c r="BR1128" s="0" t="s">
        <v>130</v>
      </c>
      <c r="BS1128" s="0" t="s">
        <v>130</v>
      </c>
      <c r="BT1128" s="0" t="s">
        <v>130</v>
      </c>
      <c r="BU1128" s="0" t="s">
        <v>130</v>
      </c>
      <c r="BV1128" s="0" t="s">
        <v>130</v>
      </c>
      <c r="BW1128" s="0" t="s">
        <v>130</v>
      </c>
      <c r="BX1128" s="0" t="s">
        <v>130</v>
      </c>
      <c r="BY1128" s="0" t="s">
        <v>130</v>
      </c>
      <c r="BZ1128" s="0" t="s">
        <v>130</v>
      </c>
      <c r="CA1128" s="0" t="s">
        <v>130</v>
      </c>
      <c r="CB1128" s="0" t="s">
        <v>130</v>
      </c>
      <c r="CC1128" s="0" t="s">
        <v>130</v>
      </c>
      <c r="CD1128" s="0" t="s">
        <v>130</v>
      </c>
      <c r="CE1128" s="0" t="s">
        <v>130</v>
      </c>
      <c r="CF1128" s="0" t="s">
        <v>130</v>
      </c>
      <c r="CG1128" s="0" t="s">
        <v>130</v>
      </c>
      <c r="CH1128" s="0" t="s">
        <v>130</v>
      </c>
      <c r="CI1128" s="0" t="s">
        <v>130</v>
      </c>
      <c r="CJ1128" s="0" t="s">
        <v>130</v>
      </c>
      <c r="CK1128" s="0" t="s">
        <v>130</v>
      </c>
      <c r="CL1128" s="0" t="s">
        <v>130</v>
      </c>
      <c r="CM1128" s="0" t="s">
        <v>130</v>
      </c>
      <c r="CN1128" s="0" t="s">
        <v>130</v>
      </c>
      <c r="CO1128" s="0" t="s">
        <v>130</v>
      </c>
      <c r="CP1128" s="0" t="s">
        <v>130</v>
      </c>
      <c r="CQ1128" s="0" t="s">
        <v>130</v>
      </c>
      <c r="CR1128" s="0" t="s">
        <v>130</v>
      </c>
      <c r="CS1128" s="0" t="s">
        <v>130</v>
      </c>
      <c r="CT1128" s="0" t="s">
        <v>3378</v>
      </c>
    </row>
    <row r="1129">
      <c r="A1129" s="14">
        <v>216204</v>
      </c>
      <c r="B1129" s="0" t="s">
        <v>3364</v>
      </c>
      <c r="C1129" s="16">
        <f>HYPERLINK("https://eosportal.federatedhermes.com/companies/Q29tcGFueQppNjQzODI=", "Centrica PLC")</f>
      </c>
      <c r="D1129" s="0" t="s">
        <v>25</v>
      </c>
      <c r="E1129" s="0" t="s">
        <v>276</v>
      </c>
      <c r="F1129" s="16">
        <f>HYPERLINK("https://eosportal.federatedhermes.com/engagements/RW5nYWdlbWVudAppMjUzNDg=", "Succession planning")</f>
      </c>
      <c r="G1129" s="14" t="s">
        <v>3379</v>
      </c>
      <c r="H1129" s="0" t="s">
        <v>141</v>
      </c>
      <c r="I1129" s="14" t="s">
        <v>191</v>
      </c>
      <c r="J1129" s="0" t="s">
        <v>145</v>
      </c>
      <c r="K1129" s="0" t="s">
        <v>164</v>
      </c>
      <c r="L1129" s="0" t="s">
        <v>277</v>
      </c>
      <c r="M1129" s="0" t="s">
        <v>272</v>
      </c>
      <c r="N1129" s="0" t="s">
        <v>273</v>
      </c>
      <c r="O1129" s="0" t="s">
        <v>192</v>
      </c>
      <c r="Q1129" s="0" t="s">
        <v>130</v>
      </c>
      <c r="R1129" s="0" t="s">
        <v>138</v>
      </c>
      <c r="S1129" s="14">
        <v>0</v>
      </c>
      <c r="T1129" s="0" t="s">
        <v>166</v>
      </c>
      <c r="U1129" s="0" t="s">
        <v>138</v>
      </c>
      <c r="V1129" s="14" t="s">
        <v>138</v>
      </c>
      <c r="W1129" s="0" t="s">
        <v>138</v>
      </c>
      <c r="X1129" s="14" t="s">
        <v>138</v>
      </c>
      <c r="Y1129" s="0" t="s">
        <v>138</v>
      </c>
      <c r="Z1129" s="14" t="s">
        <v>138</v>
      </c>
      <c r="AA1129" s="0" t="s">
        <v>138</v>
      </c>
      <c r="AB1129" s="14" t="s">
        <v>138</v>
      </c>
      <c r="AD1129" s="0" t="s">
        <v>138</v>
      </c>
      <c r="AF1129" s="0">
        <v>0</v>
      </c>
      <c r="AG1129" s="0">
        <v>0</v>
      </c>
      <c r="AH1129" s="0" t="s">
        <v>140</v>
      </c>
      <c r="AI1129" s="0" t="s">
        <v>138</v>
      </c>
      <c r="AL1129" s="14"/>
      <c r="AN1129" s="14"/>
      <c r="AQ1129" s="0" t="s">
        <v>130</v>
      </c>
      <c r="AR1129" s="0" t="s">
        <v>130</v>
      </c>
      <c r="AS1129" s="0" t="s">
        <v>130</v>
      </c>
      <c r="AT1129" s="0" t="s">
        <v>130</v>
      </c>
      <c r="AU1129" s="0" t="s">
        <v>130</v>
      </c>
      <c r="AV1129" s="0" t="s">
        <v>130</v>
      </c>
      <c r="AW1129" s="0" t="s">
        <v>130</v>
      </c>
      <c r="AX1129" s="0" t="s">
        <v>130</v>
      </c>
      <c r="AY1129" s="0" t="s">
        <v>130</v>
      </c>
      <c r="AZ1129" s="0" t="s">
        <v>130</v>
      </c>
      <c r="BA1129" s="0" t="s">
        <v>130</v>
      </c>
      <c r="BB1129" s="0" t="s">
        <v>130</v>
      </c>
      <c r="BC1129" s="0" t="s">
        <v>130</v>
      </c>
      <c r="BD1129" s="0" t="s">
        <v>130</v>
      </c>
      <c r="BE1129" s="0" t="s">
        <v>130</v>
      </c>
      <c r="BF1129" s="0" t="s">
        <v>130</v>
      </c>
      <c r="BG1129" s="0" t="s">
        <v>130</v>
      </c>
      <c r="BH1129" s="0" t="s">
        <v>130</v>
      </c>
      <c r="BI1129" s="0" t="s">
        <v>130</v>
      </c>
      <c r="BJ1129" s="0" t="s">
        <v>130</v>
      </c>
      <c r="BK1129" s="0" t="s">
        <v>130</v>
      </c>
      <c r="BL1129" s="0" t="s">
        <v>130</v>
      </c>
      <c r="BM1129" s="0" t="s">
        <v>130</v>
      </c>
      <c r="BN1129" s="0" t="s">
        <v>130</v>
      </c>
      <c r="BO1129" s="0" t="s">
        <v>130</v>
      </c>
      <c r="BP1129" s="0" t="s">
        <v>130</v>
      </c>
      <c r="BQ1129" s="0" t="s">
        <v>130</v>
      </c>
      <c r="BR1129" s="0" t="s">
        <v>130</v>
      </c>
      <c r="BS1129" s="0" t="s">
        <v>130</v>
      </c>
      <c r="BT1129" s="0" t="s">
        <v>130</v>
      </c>
      <c r="BU1129" s="0" t="s">
        <v>130</v>
      </c>
      <c r="BV1129" s="0" t="s">
        <v>130</v>
      </c>
      <c r="BW1129" s="0" t="s">
        <v>130</v>
      </c>
      <c r="BX1129" s="0" t="s">
        <v>130</v>
      </c>
      <c r="BY1129" s="0" t="s">
        <v>130</v>
      </c>
      <c r="BZ1129" s="0" t="s">
        <v>130</v>
      </c>
      <c r="CA1129" s="0" t="s">
        <v>130</v>
      </c>
      <c r="CB1129" s="0" t="s">
        <v>130</v>
      </c>
      <c r="CC1129" s="0" t="s">
        <v>130</v>
      </c>
      <c r="CD1129" s="0" t="s">
        <v>130</v>
      </c>
      <c r="CE1129" s="0" t="s">
        <v>130</v>
      </c>
      <c r="CF1129" s="0" t="s">
        <v>130</v>
      </c>
      <c r="CG1129" s="0" t="s">
        <v>130</v>
      </c>
      <c r="CH1129" s="0" t="s">
        <v>130</v>
      </c>
      <c r="CI1129" s="0" t="s">
        <v>130</v>
      </c>
      <c r="CJ1129" s="0" t="s">
        <v>130</v>
      </c>
      <c r="CK1129" s="0" t="s">
        <v>130</v>
      </c>
      <c r="CL1129" s="0" t="s">
        <v>130</v>
      </c>
      <c r="CM1129" s="0" t="s">
        <v>130</v>
      </c>
      <c r="CN1129" s="0" t="s">
        <v>130</v>
      </c>
      <c r="CO1129" s="0" t="s">
        <v>130</v>
      </c>
      <c r="CP1129" s="0" t="s">
        <v>130</v>
      </c>
      <c r="CQ1129" s="0" t="s">
        <v>130</v>
      </c>
      <c r="CR1129" s="0" t="s">
        <v>130</v>
      </c>
      <c r="CS1129" s="0" t="s">
        <v>130</v>
      </c>
      <c r="CT1129" s="0" t="s">
        <v>3380</v>
      </c>
    </row>
    <row r="1130">
      <c r="A1130" s="14">
        <v>216204</v>
      </c>
      <c r="B1130" s="0" t="s">
        <v>3364</v>
      </c>
      <c r="C1130" s="16">
        <f>HYPERLINK("https://eosportal.federatedhermes.com/companies/Q29tcGFueQppNjQzODI=", "Centrica PLC")</f>
      </c>
      <c r="D1130" s="0" t="s">
        <v>25</v>
      </c>
      <c r="E1130" s="0" t="s">
        <v>3381</v>
      </c>
      <c r="F1130" s="16">
        <f>HYPERLINK("https://eosportal.federatedhermes.com/engagements/RW5nYWdlbWVudAppMjUzNTQ=", "Carbon reduction targets")</f>
      </c>
      <c r="G1130" s="14" t="s">
        <v>3382</v>
      </c>
      <c r="H1130" s="0" t="s">
        <v>141</v>
      </c>
      <c r="I1130" s="14" t="s">
        <v>191</v>
      </c>
      <c r="J1130" s="0" t="s">
        <v>197</v>
      </c>
      <c r="K1130" s="0" t="s">
        <v>198</v>
      </c>
      <c r="L1130" s="0" t="s">
        <v>216</v>
      </c>
      <c r="M1130" s="0" t="s">
        <v>272</v>
      </c>
      <c r="N1130" s="0" t="s">
        <v>273</v>
      </c>
      <c r="O1130" s="0" t="s">
        <v>192</v>
      </c>
      <c r="Q1130" s="0" t="s">
        <v>130</v>
      </c>
      <c r="R1130" s="0" t="s">
        <v>138</v>
      </c>
      <c r="S1130" s="14">
        <v>0</v>
      </c>
      <c r="T1130" s="0" t="s">
        <v>200</v>
      </c>
      <c r="U1130" s="0" t="s">
        <v>138</v>
      </c>
      <c r="V1130" s="14" t="s">
        <v>138</v>
      </c>
      <c r="W1130" s="0" t="s">
        <v>138</v>
      </c>
      <c r="X1130" s="14" t="s">
        <v>138</v>
      </c>
      <c r="Y1130" s="0" t="s">
        <v>138</v>
      </c>
      <c r="Z1130" s="14" t="s">
        <v>138</v>
      </c>
      <c r="AA1130" s="0" t="s">
        <v>138</v>
      </c>
      <c r="AB1130" s="14" t="s">
        <v>138</v>
      </c>
      <c r="AD1130" s="0" t="s">
        <v>138</v>
      </c>
      <c r="AF1130" s="0">
        <v>0</v>
      </c>
      <c r="AG1130" s="0">
        <v>0</v>
      </c>
      <c r="AH1130" s="0" t="s">
        <v>140</v>
      </c>
      <c r="AI1130" s="0" t="s">
        <v>138</v>
      </c>
      <c r="AL1130" s="14"/>
      <c r="AN1130" s="14"/>
      <c r="AQ1130" s="0" t="s">
        <v>130</v>
      </c>
      <c r="AR1130" s="0" t="s">
        <v>130</v>
      </c>
      <c r="AS1130" s="0" t="s">
        <v>130</v>
      </c>
      <c r="AT1130" s="0" t="s">
        <v>130</v>
      </c>
      <c r="AU1130" s="0" t="s">
        <v>130</v>
      </c>
      <c r="AV1130" s="0" t="s">
        <v>130</v>
      </c>
      <c r="AW1130" s="0" t="s">
        <v>141</v>
      </c>
      <c r="AX1130" s="0" t="s">
        <v>130</v>
      </c>
      <c r="AY1130" s="0" t="s">
        <v>130</v>
      </c>
      <c r="AZ1130" s="0" t="s">
        <v>130</v>
      </c>
      <c r="BA1130" s="0" t="s">
        <v>130</v>
      </c>
      <c r="BB1130" s="0" t="s">
        <v>130</v>
      </c>
      <c r="BC1130" s="0" t="s">
        <v>141</v>
      </c>
      <c r="BD1130" s="0" t="s">
        <v>130</v>
      </c>
      <c r="BE1130" s="0" t="s">
        <v>130</v>
      </c>
      <c r="BF1130" s="0" t="s">
        <v>130</v>
      </c>
      <c r="BG1130" s="0" t="s">
        <v>130</v>
      </c>
      <c r="BH1130" s="0" t="s">
        <v>141</v>
      </c>
      <c r="BI1130" s="0" t="s">
        <v>141</v>
      </c>
      <c r="BJ1130" s="0" t="s">
        <v>141</v>
      </c>
      <c r="BK1130" s="0" t="s">
        <v>130</v>
      </c>
      <c r="BL1130" s="0" t="s">
        <v>130</v>
      </c>
      <c r="BM1130" s="0" t="s">
        <v>130</v>
      </c>
      <c r="BN1130" s="0" t="s">
        <v>130</v>
      </c>
      <c r="BO1130" s="0" t="s">
        <v>130</v>
      </c>
      <c r="BP1130" s="0" t="s">
        <v>130</v>
      </c>
      <c r="BQ1130" s="0" t="s">
        <v>130</v>
      </c>
      <c r="BR1130" s="0" t="s">
        <v>130</v>
      </c>
      <c r="BS1130" s="0" t="s">
        <v>130</v>
      </c>
      <c r="BT1130" s="0" t="s">
        <v>130</v>
      </c>
      <c r="BU1130" s="0" t="s">
        <v>130</v>
      </c>
      <c r="BV1130" s="0" t="s">
        <v>141</v>
      </c>
      <c r="BW1130" s="0" t="s">
        <v>141</v>
      </c>
      <c r="BX1130" s="0" t="s">
        <v>130</v>
      </c>
      <c r="BY1130" s="0" t="s">
        <v>130</v>
      </c>
      <c r="BZ1130" s="0" t="s">
        <v>130</v>
      </c>
      <c r="CA1130" s="0" t="s">
        <v>130</v>
      </c>
      <c r="CB1130" s="0" t="s">
        <v>130</v>
      </c>
      <c r="CC1130" s="0" t="s">
        <v>130</v>
      </c>
      <c r="CD1130" s="0" t="s">
        <v>130</v>
      </c>
      <c r="CE1130" s="0" t="s">
        <v>130</v>
      </c>
      <c r="CF1130" s="0" t="s">
        <v>130</v>
      </c>
      <c r="CG1130" s="0" t="s">
        <v>130</v>
      </c>
      <c r="CH1130" s="0" t="s">
        <v>130</v>
      </c>
      <c r="CI1130" s="0" t="s">
        <v>130</v>
      </c>
      <c r="CJ1130" s="0" t="s">
        <v>130</v>
      </c>
      <c r="CK1130" s="0" t="s">
        <v>130</v>
      </c>
      <c r="CL1130" s="0" t="s">
        <v>130</v>
      </c>
      <c r="CM1130" s="0" t="s">
        <v>130</v>
      </c>
      <c r="CN1130" s="0" t="s">
        <v>130</v>
      </c>
      <c r="CO1130" s="0" t="s">
        <v>130</v>
      </c>
      <c r="CP1130" s="0" t="s">
        <v>130</v>
      </c>
      <c r="CQ1130" s="0" t="s">
        <v>130</v>
      </c>
      <c r="CR1130" s="0" t="s">
        <v>130</v>
      </c>
      <c r="CS1130" s="0" t="s">
        <v>130</v>
      </c>
      <c r="CT1130" s="0" t="s">
        <v>3383</v>
      </c>
    </row>
    <row r="1131">
      <c r="A1131" s="14">
        <v>216952</v>
      </c>
      <c r="B1131" s="0" t="s">
        <v>3384</v>
      </c>
      <c r="C1131" s="16">
        <f>HYPERLINK("https://eosportal.federatedhermes.com/companies/Q29tcGFueQppNjc3MjM=", "Amazon.com Inc")</f>
      </c>
      <c r="D1131" s="0" t="s">
        <v>25</v>
      </c>
      <c r="E1131" s="0" t="s">
        <v>922</v>
      </c>
      <c r="F1131" s="16">
        <f>HYPERLINK("https://eosportal.federatedhermes.com/engagements/RW5nYWdlbWVudAppMjUzNzA=", "Human rights")</f>
      </c>
      <c r="G1131" s="14" t="s">
        <v>3385</v>
      </c>
      <c r="H1131" s="0" t="s">
        <v>141</v>
      </c>
      <c r="I1131" s="14" t="s">
        <v>191</v>
      </c>
      <c r="J1131" s="0" t="s">
        <v>153</v>
      </c>
      <c r="K1131" s="0" t="s">
        <v>243</v>
      </c>
      <c r="L1131" s="0" t="s">
        <v>244</v>
      </c>
      <c r="M1131" s="0" t="s">
        <v>135</v>
      </c>
      <c r="N1131" s="0" t="s">
        <v>136</v>
      </c>
      <c r="O1131" s="0" t="s">
        <v>643</v>
      </c>
      <c r="Q1131" s="0" t="s">
        <v>130</v>
      </c>
      <c r="R1131" s="0" t="s">
        <v>138</v>
      </c>
      <c r="S1131" s="14">
        <v>0</v>
      </c>
      <c r="T1131" s="0" t="s">
        <v>416</v>
      </c>
      <c r="U1131" s="0" t="s">
        <v>138</v>
      </c>
      <c r="V1131" s="14" t="s">
        <v>138</v>
      </c>
      <c r="W1131" s="0" t="s">
        <v>138</v>
      </c>
      <c r="X1131" s="14" t="s">
        <v>138</v>
      </c>
      <c r="Y1131" s="0" t="s">
        <v>138</v>
      </c>
      <c r="Z1131" s="14" t="s">
        <v>138</v>
      </c>
      <c r="AA1131" s="0" t="s">
        <v>138</v>
      </c>
      <c r="AB1131" s="14" t="s">
        <v>138</v>
      </c>
      <c r="AD1131" s="0" t="s">
        <v>138</v>
      </c>
      <c r="AF1131" s="0">
        <v>0</v>
      </c>
      <c r="AG1131" s="0">
        <v>0</v>
      </c>
      <c r="AH1131" s="0" t="s">
        <v>140</v>
      </c>
      <c r="AI1131" s="0" t="s">
        <v>138</v>
      </c>
      <c r="AL1131" s="14"/>
      <c r="AN1131" s="14"/>
      <c r="AQ1131" s="0" t="s">
        <v>130</v>
      </c>
      <c r="AR1131" s="0" t="s">
        <v>130</v>
      </c>
      <c r="AS1131" s="0" t="s">
        <v>130</v>
      </c>
      <c r="AT1131" s="0" t="s">
        <v>130</v>
      </c>
      <c r="AU1131" s="0" t="s">
        <v>130</v>
      </c>
      <c r="AV1131" s="0" t="s">
        <v>130</v>
      </c>
      <c r="AW1131" s="0" t="s">
        <v>130</v>
      </c>
      <c r="AX1131" s="0" t="s">
        <v>141</v>
      </c>
      <c r="AY1131" s="0" t="s">
        <v>130</v>
      </c>
      <c r="AZ1131" s="0" t="s">
        <v>130</v>
      </c>
      <c r="BA1131" s="0" t="s">
        <v>130</v>
      </c>
      <c r="BB1131" s="0" t="s">
        <v>130</v>
      </c>
      <c r="BC1131" s="0" t="s">
        <v>130</v>
      </c>
      <c r="BD1131" s="0" t="s">
        <v>130</v>
      </c>
      <c r="BE1131" s="0" t="s">
        <v>130</v>
      </c>
      <c r="BF1131" s="0" t="s">
        <v>130</v>
      </c>
      <c r="BG1131" s="0" t="s">
        <v>130</v>
      </c>
      <c r="BH1131" s="0" t="s">
        <v>130</v>
      </c>
      <c r="BI1131" s="0" t="s">
        <v>130</v>
      </c>
      <c r="BJ1131" s="0" t="s">
        <v>130</v>
      </c>
      <c r="BK1131" s="0" t="s">
        <v>130</v>
      </c>
      <c r="BL1131" s="0" t="s">
        <v>130</v>
      </c>
      <c r="BM1131" s="0" t="s">
        <v>130</v>
      </c>
      <c r="BN1131" s="0" t="s">
        <v>130</v>
      </c>
      <c r="BO1131" s="0" t="s">
        <v>130</v>
      </c>
      <c r="BP1131" s="0" t="s">
        <v>130</v>
      </c>
      <c r="BQ1131" s="0" t="s">
        <v>130</v>
      </c>
      <c r="BR1131" s="0" t="s">
        <v>130</v>
      </c>
      <c r="BS1131" s="0" t="s">
        <v>130</v>
      </c>
      <c r="BT1131" s="0" t="s">
        <v>130</v>
      </c>
      <c r="BU1131" s="0" t="s">
        <v>130</v>
      </c>
      <c r="BV1131" s="0" t="s">
        <v>130</v>
      </c>
      <c r="BW1131" s="0" t="s">
        <v>130</v>
      </c>
      <c r="BX1131" s="0" t="s">
        <v>130</v>
      </c>
      <c r="BY1131" s="0" t="s">
        <v>130</v>
      </c>
      <c r="BZ1131" s="0" t="s">
        <v>130</v>
      </c>
      <c r="CA1131" s="0" t="s">
        <v>130</v>
      </c>
      <c r="CB1131" s="0" t="s">
        <v>130</v>
      </c>
      <c r="CC1131" s="0" t="s">
        <v>130</v>
      </c>
      <c r="CD1131" s="0" t="s">
        <v>130</v>
      </c>
      <c r="CE1131" s="0" t="s">
        <v>130</v>
      </c>
      <c r="CF1131" s="0" t="s">
        <v>130</v>
      </c>
      <c r="CG1131" s="0" t="s">
        <v>130</v>
      </c>
      <c r="CH1131" s="0" t="s">
        <v>130</v>
      </c>
      <c r="CI1131" s="0" t="s">
        <v>130</v>
      </c>
      <c r="CJ1131" s="0" t="s">
        <v>130</v>
      </c>
      <c r="CK1131" s="0" t="s">
        <v>130</v>
      </c>
      <c r="CL1131" s="0" t="s">
        <v>130</v>
      </c>
      <c r="CM1131" s="0" t="s">
        <v>130</v>
      </c>
      <c r="CN1131" s="0" t="s">
        <v>130</v>
      </c>
      <c r="CO1131" s="0" t="s">
        <v>130</v>
      </c>
      <c r="CP1131" s="0" t="s">
        <v>130</v>
      </c>
      <c r="CQ1131" s="0" t="s">
        <v>130</v>
      </c>
      <c r="CR1131" s="0" t="s">
        <v>130</v>
      </c>
      <c r="CS1131" s="0" t="s">
        <v>130</v>
      </c>
      <c r="CT1131" s="0" t="s">
        <v>3386</v>
      </c>
    </row>
    <row r="1132">
      <c r="A1132" s="14">
        <v>216952</v>
      </c>
      <c r="B1132" s="0" t="s">
        <v>3384</v>
      </c>
      <c r="C1132" s="16">
        <f>HYPERLINK("https://eosportal.federatedhermes.com/companies/Q29tcGFueQppNjc3MjM=", "Amazon.com Inc")</f>
      </c>
      <c r="D1132" s="0" t="s">
        <v>25</v>
      </c>
      <c r="E1132" s="0" t="s">
        <v>912</v>
      </c>
      <c r="F1132" s="16">
        <f>HYPERLINK("https://eosportal.federatedhermes.com/engagements/RW5nYWdlbWVudAppMjUzODU=", "Executive remuneration")</f>
      </c>
      <c r="G1132" s="14" t="s">
        <v>3387</v>
      </c>
      <c r="H1132" s="0" t="s">
        <v>141</v>
      </c>
      <c r="I1132" s="14" t="s">
        <v>191</v>
      </c>
      <c r="J1132" s="0" t="s">
        <v>145</v>
      </c>
      <c r="K1132" s="0" t="s">
        <v>146</v>
      </c>
      <c r="L1132" s="0" t="s">
        <v>147</v>
      </c>
      <c r="M1132" s="0" t="s">
        <v>135</v>
      </c>
      <c r="N1132" s="0" t="s">
        <v>136</v>
      </c>
      <c r="O1132" s="0" t="s">
        <v>643</v>
      </c>
      <c r="Q1132" s="0" t="s">
        <v>130</v>
      </c>
      <c r="R1132" s="0" t="s">
        <v>138</v>
      </c>
      <c r="S1132" s="14">
        <v>0</v>
      </c>
      <c r="T1132" s="0" t="s">
        <v>487</v>
      </c>
      <c r="U1132" s="0" t="s">
        <v>138</v>
      </c>
      <c r="V1132" s="14" t="s">
        <v>138</v>
      </c>
      <c r="W1132" s="0" t="s">
        <v>138</v>
      </c>
      <c r="X1132" s="14" t="s">
        <v>138</v>
      </c>
      <c r="Y1132" s="0" t="s">
        <v>138</v>
      </c>
      <c r="Z1132" s="14" t="s">
        <v>138</v>
      </c>
      <c r="AA1132" s="0" t="s">
        <v>138</v>
      </c>
      <c r="AB1132" s="14" t="s">
        <v>138</v>
      </c>
      <c r="AD1132" s="0" t="s">
        <v>138</v>
      </c>
      <c r="AF1132" s="0">
        <v>0</v>
      </c>
      <c r="AG1132" s="0">
        <v>0</v>
      </c>
      <c r="AH1132" s="0" t="s">
        <v>140</v>
      </c>
      <c r="AI1132" s="0" t="s">
        <v>138</v>
      </c>
      <c r="AL1132" s="14"/>
      <c r="AN1132" s="14"/>
      <c r="AQ1132" s="0" t="s">
        <v>130</v>
      </c>
      <c r="AR1132" s="0" t="s">
        <v>130</v>
      </c>
      <c r="AS1132" s="0" t="s">
        <v>130</v>
      </c>
      <c r="AT1132" s="0" t="s">
        <v>130</v>
      </c>
      <c r="AU1132" s="0" t="s">
        <v>130</v>
      </c>
      <c r="AV1132" s="0" t="s">
        <v>130</v>
      </c>
      <c r="AW1132" s="0" t="s">
        <v>130</v>
      </c>
      <c r="AX1132" s="0" t="s">
        <v>130</v>
      </c>
      <c r="AY1132" s="0" t="s">
        <v>130</v>
      </c>
      <c r="AZ1132" s="0" t="s">
        <v>130</v>
      </c>
      <c r="BA1132" s="0" t="s">
        <v>130</v>
      </c>
      <c r="BB1132" s="0" t="s">
        <v>130</v>
      </c>
      <c r="BC1132" s="0" t="s">
        <v>130</v>
      </c>
      <c r="BD1132" s="0" t="s">
        <v>130</v>
      </c>
      <c r="BE1132" s="0" t="s">
        <v>130</v>
      </c>
      <c r="BF1132" s="0" t="s">
        <v>130</v>
      </c>
      <c r="BG1132" s="0" t="s">
        <v>130</v>
      </c>
      <c r="BH1132" s="0" t="s">
        <v>130</v>
      </c>
      <c r="BI1132" s="0" t="s">
        <v>130</v>
      </c>
      <c r="BJ1132" s="0" t="s">
        <v>130</v>
      </c>
      <c r="BK1132" s="0" t="s">
        <v>130</v>
      </c>
      <c r="BL1132" s="0" t="s">
        <v>130</v>
      </c>
      <c r="BM1132" s="0" t="s">
        <v>130</v>
      </c>
      <c r="BN1132" s="0" t="s">
        <v>130</v>
      </c>
      <c r="BO1132" s="0" t="s">
        <v>130</v>
      </c>
      <c r="BP1132" s="0" t="s">
        <v>130</v>
      </c>
      <c r="BQ1132" s="0" t="s">
        <v>130</v>
      </c>
      <c r="BR1132" s="0" t="s">
        <v>130</v>
      </c>
      <c r="BS1132" s="0" t="s">
        <v>130</v>
      </c>
      <c r="BT1132" s="0" t="s">
        <v>130</v>
      </c>
      <c r="BU1132" s="0" t="s">
        <v>130</v>
      </c>
      <c r="BV1132" s="0" t="s">
        <v>130</v>
      </c>
      <c r="BW1132" s="0" t="s">
        <v>130</v>
      </c>
      <c r="BX1132" s="0" t="s">
        <v>130</v>
      </c>
      <c r="BY1132" s="0" t="s">
        <v>130</v>
      </c>
      <c r="BZ1132" s="0" t="s">
        <v>130</v>
      </c>
      <c r="CA1132" s="0" t="s">
        <v>130</v>
      </c>
      <c r="CB1132" s="0" t="s">
        <v>130</v>
      </c>
      <c r="CC1132" s="0" t="s">
        <v>130</v>
      </c>
      <c r="CD1132" s="0" t="s">
        <v>130</v>
      </c>
      <c r="CE1132" s="0" t="s">
        <v>130</v>
      </c>
      <c r="CF1132" s="0" t="s">
        <v>130</v>
      </c>
      <c r="CG1132" s="0" t="s">
        <v>130</v>
      </c>
      <c r="CH1132" s="0" t="s">
        <v>130</v>
      </c>
      <c r="CI1132" s="0" t="s">
        <v>130</v>
      </c>
      <c r="CJ1132" s="0" t="s">
        <v>130</v>
      </c>
      <c r="CK1132" s="0" t="s">
        <v>130</v>
      </c>
      <c r="CL1132" s="0" t="s">
        <v>130</v>
      </c>
      <c r="CM1132" s="0" t="s">
        <v>130</v>
      </c>
      <c r="CN1132" s="0" t="s">
        <v>130</v>
      </c>
      <c r="CO1132" s="0" t="s">
        <v>130</v>
      </c>
      <c r="CP1132" s="0" t="s">
        <v>130</v>
      </c>
      <c r="CQ1132" s="0" t="s">
        <v>130</v>
      </c>
      <c r="CR1132" s="0" t="s">
        <v>130</v>
      </c>
      <c r="CS1132" s="0" t="s">
        <v>130</v>
      </c>
      <c r="CT1132" s="0" t="s">
        <v>3388</v>
      </c>
    </row>
    <row r="1133">
      <c r="A1133" s="14">
        <v>216952</v>
      </c>
      <c r="B1133" s="0" t="s">
        <v>3384</v>
      </c>
      <c r="C1133" s="16">
        <f>HYPERLINK("https://eosportal.federatedhermes.com/companies/Q29tcGFueQppNjc3MjM=", "Amazon.com Inc")</f>
      </c>
      <c r="D1133" s="0" t="s">
        <v>25</v>
      </c>
      <c r="E1133" s="0" t="s">
        <v>3389</v>
      </c>
      <c r="F1133" s="16">
        <f>HYPERLINK("https://eosportal.federatedhermes.com/engagements/RW5nYWdlbWVudAppMjUzODY=", "Plastic and package waste")</f>
      </c>
      <c r="G1133" s="14" t="s">
        <v>3390</v>
      </c>
      <c r="H1133" s="0" t="s">
        <v>141</v>
      </c>
      <c r="I1133" s="14" t="s">
        <v>191</v>
      </c>
      <c r="J1133" s="0" t="s">
        <v>197</v>
      </c>
      <c r="K1133" s="0" t="s">
        <v>348</v>
      </c>
      <c r="L1133" s="0" t="s">
        <v>349</v>
      </c>
      <c r="M1133" s="0" t="s">
        <v>135</v>
      </c>
      <c r="N1133" s="0" t="s">
        <v>136</v>
      </c>
      <c r="O1133" s="0" t="s">
        <v>643</v>
      </c>
      <c r="Q1133" s="0" t="s">
        <v>130</v>
      </c>
      <c r="R1133" s="0" t="s">
        <v>138</v>
      </c>
      <c r="S1133" s="14">
        <v>0</v>
      </c>
      <c r="T1133" s="0" t="s">
        <v>359</v>
      </c>
      <c r="U1133" s="0" t="s">
        <v>138</v>
      </c>
      <c r="V1133" s="14" t="s">
        <v>138</v>
      </c>
      <c r="W1133" s="0" t="s">
        <v>138</v>
      </c>
      <c r="X1133" s="14" t="s">
        <v>138</v>
      </c>
      <c r="Y1133" s="0" t="s">
        <v>138</v>
      </c>
      <c r="Z1133" s="14" t="s">
        <v>138</v>
      </c>
      <c r="AA1133" s="0" t="s">
        <v>138</v>
      </c>
      <c r="AB1133" s="14" t="s">
        <v>138</v>
      </c>
      <c r="AD1133" s="0" t="s">
        <v>138</v>
      </c>
      <c r="AF1133" s="0">
        <v>0</v>
      </c>
      <c r="AG1133" s="0">
        <v>0</v>
      </c>
      <c r="AH1133" s="0" t="s">
        <v>140</v>
      </c>
      <c r="AI1133" s="0" t="s">
        <v>138</v>
      </c>
      <c r="AL1133" s="14"/>
      <c r="AN1133" s="14"/>
      <c r="AQ1133" s="0" t="s">
        <v>130</v>
      </c>
      <c r="AR1133" s="0" t="s">
        <v>130</v>
      </c>
      <c r="AS1133" s="0" t="s">
        <v>130</v>
      </c>
      <c r="AT1133" s="0" t="s">
        <v>130</v>
      </c>
      <c r="AU1133" s="0" t="s">
        <v>130</v>
      </c>
      <c r="AV1133" s="0" t="s">
        <v>130</v>
      </c>
      <c r="AW1133" s="0" t="s">
        <v>130</v>
      </c>
      <c r="AX1133" s="0" t="s">
        <v>130</v>
      </c>
      <c r="AY1133" s="0" t="s">
        <v>130</v>
      </c>
      <c r="AZ1133" s="0" t="s">
        <v>130</v>
      </c>
      <c r="BA1133" s="0" t="s">
        <v>130</v>
      </c>
      <c r="BB1133" s="0" t="s">
        <v>141</v>
      </c>
      <c r="BC1133" s="0" t="s">
        <v>130</v>
      </c>
      <c r="BD1133" s="0" t="s">
        <v>130</v>
      </c>
      <c r="BE1133" s="0" t="s">
        <v>130</v>
      </c>
      <c r="BF1133" s="0" t="s">
        <v>130</v>
      </c>
      <c r="BG1133" s="0" t="s">
        <v>130</v>
      </c>
      <c r="BH1133" s="0" t="s">
        <v>130</v>
      </c>
      <c r="BI1133" s="0" t="s">
        <v>130</v>
      </c>
      <c r="BJ1133" s="0" t="s">
        <v>130</v>
      </c>
      <c r="BK1133" s="0" t="s">
        <v>130</v>
      </c>
      <c r="BL1133" s="0" t="s">
        <v>130</v>
      </c>
      <c r="BM1133" s="0" t="s">
        <v>130</v>
      </c>
      <c r="BN1133" s="0" t="s">
        <v>130</v>
      </c>
      <c r="BO1133" s="0" t="s">
        <v>130</v>
      </c>
      <c r="BP1133" s="0" t="s">
        <v>130</v>
      </c>
      <c r="BQ1133" s="0" t="s">
        <v>130</v>
      </c>
      <c r="BR1133" s="0" t="s">
        <v>130</v>
      </c>
      <c r="BS1133" s="0" t="s">
        <v>130</v>
      </c>
      <c r="BT1133" s="0" t="s">
        <v>130</v>
      </c>
      <c r="BU1133" s="0" t="s">
        <v>130</v>
      </c>
      <c r="BV1133" s="0" t="s">
        <v>130</v>
      </c>
      <c r="BW1133" s="0" t="s">
        <v>130</v>
      </c>
      <c r="BX1133" s="0" t="s">
        <v>130</v>
      </c>
      <c r="BY1133" s="0" t="s">
        <v>130</v>
      </c>
      <c r="BZ1133" s="0" t="s">
        <v>130</v>
      </c>
      <c r="CA1133" s="0" t="s">
        <v>130</v>
      </c>
      <c r="CB1133" s="0" t="s">
        <v>130</v>
      </c>
      <c r="CC1133" s="0" t="s">
        <v>130</v>
      </c>
      <c r="CD1133" s="0" t="s">
        <v>141</v>
      </c>
      <c r="CE1133" s="0" t="s">
        <v>130</v>
      </c>
      <c r="CF1133" s="0" t="s">
        <v>130</v>
      </c>
      <c r="CG1133" s="0" t="s">
        <v>130</v>
      </c>
      <c r="CH1133" s="0" t="s">
        <v>130</v>
      </c>
      <c r="CI1133" s="0" t="s">
        <v>130</v>
      </c>
      <c r="CJ1133" s="0" t="s">
        <v>130</v>
      </c>
      <c r="CK1133" s="0" t="s">
        <v>130</v>
      </c>
      <c r="CL1133" s="0" t="s">
        <v>130</v>
      </c>
      <c r="CM1133" s="0" t="s">
        <v>130</v>
      </c>
      <c r="CN1133" s="0" t="s">
        <v>130</v>
      </c>
      <c r="CO1133" s="0" t="s">
        <v>130</v>
      </c>
      <c r="CP1133" s="0" t="s">
        <v>130</v>
      </c>
      <c r="CQ1133" s="0" t="s">
        <v>130</v>
      </c>
      <c r="CR1133" s="0" t="s">
        <v>130</v>
      </c>
      <c r="CS1133" s="0" t="s">
        <v>130</v>
      </c>
      <c r="CT1133" s="0" t="s">
        <v>3391</v>
      </c>
    </row>
    <row r="1134">
      <c r="A1134" s="14">
        <v>216952</v>
      </c>
      <c r="B1134" s="0" t="s">
        <v>3384</v>
      </c>
      <c r="C1134" s="16">
        <f>HYPERLINK("https://eosportal.federatedhermes.com/companies/Q29tcGFueQppNjc3MjM=", "Amazon.com Inc")</f>
      </c>
      <c r="D1134" s="0" t="s">
        <v>25</v>
      </c>
      <c r="E1134" s="0" t="s">
        <v>2734</v>
      </c>
      <c r="F1134" s="16">
        <f>HYPERLINK("https://eosportal.federatedhermes.com/engagements/RW5nYWdlbWVudAppMjUzODc=", "Health and safety")</f>
      </c>
      <c r="G1134" s="14" t="s">
        <v>3392</v>
      </c>
      <c r="H1134" s="0" t="s">
        <v>141</v>
      </c>
      <c r="I1134" s="14" t="s">
        <v>191</v>
      </c>
      <c r="J1134" s="0" t="s">
        <v>153</v>
      </c>
      <c r="K1134" s="0" t="s">
        <v>154</v>
      </c>
      <c r="L1134" s="0" t="s">
        <v>268</v>
      </c>
      <c r="M1134" s="0" t="s">
        <v>135</v>
      </c>
      <c r="N1134" s="0" t="s">
        <v>136</v>
      </c>
      <c r="O1134" s="0" t="s">
        <v>643</v>
      </c>
      <c r="Q1134" s="0" t="s">
        <v>130</v>
      </c>
      <c r="R1134" s="0" t="s">
        <v>138</v>
      </c>
      <c r="S1134" s="14">
        <v>0</v>
      </c>
      <c r="T1134" s="0" t="s">
        <v>384</v>
      </c>
      <c r="U1134" s="0" t="s">
        <v>138</v>
      </c>
      <c r="V1134" s="14" t="s">
        <v>138</v>
      </c>
      <c r="W1134" s="0" t="s">
        <v>138</v>
      </c>
      <c r="X1134" s="14" t="s">
        <v>138</v>
      </c>
      <c r="Y1134" s="0" t="s">
        <v>138</v>
      </c>
      <c r="Z1134" s="14" t="s">
        <v>138</v>
      </c>
      <c r="AA1134" s="0" t="s">
        <v>138</v>
      </c>
      <c r="AB1134" s="14" t="s">
        <v>138</v>
      </c>
      <c r="AD1134" s="0" t="s">
        <v>138</v>
      </c>
      <c r="AF1134" s="0">
        <v>0</v>
      </c>
      <c r="AG1134" s="0">
        <v>0</v>
      </c>
      <c r="AH1134" s="0" t="s">
        <v>140</v>
      </c>
      <c r="AI1134" s="0" t="s">
        <v>138</v>
      </c>
      <c r="AL1134" s="14"/>
      <c r="AN1134" s="14"/>
      <c r="AQ1134" s="0" t="s">
        <v>130</v>
      </c>
      <c r="AR1134" s="0" t="s">
        <v>130</v>
      </c>
      <c r="AS1134" s="0" t="s">
        <v>130</v>
      </c>
      <c r="AT1134" s="0" t="s">
        <v>130</v>
      </c>
      <c r="AU1134" s="0" t="s">
        <v>130</v>
      </c>
      <c r="AV1134" s="0" t="s">
        <v>130</v>
      </c>
      <c r="AW1134" s="0" t="s">
        <v>130</v>
      </c>
      <c r="AX1134" s="0" t="s">
        <v>130</v>
      </c>
      <c r="AY1134" s="0" t="s">
        <v>130</v>
      </c>
      <c r="AZ1134" s="0" t="s">
        <v>130</v>
      </c>
      <c r="BA1134" s="0" t="s">
        <v>130</v>
      </c>
      <c r="BB1134" s="0" t="s">
        <v>130</v>
      </c>
      <c r="BC1134" s="0" t="s">
        <v>130</v>
      </c>
      <c r="BD1134" s="0" t="s">
        <v>130</v>
      </c>
      <c r="BE1134" s="0" t="s">
        <v>130</v>
      </c>
      <c r="BF1134" s="0" t="s">
        <v>130</v>
      </c>
      <c r="BG1134" s="0" t="s">
        <v>130</v>
      </c>
      <c r="BH1134" s="0" t="s">
        <v>130</v>
      </c>
      <c r="BI1134" s="0" t="s">
        <v>130</v>
      </c>
      <c r="BJ1134" s="0" t="s">
        <v>130</v>
      </c>
      <c r="BK1134" s="0" t="s">
        <v>130</v>
      </c>
      <c r="BL1134" s="0" t="s">
        <v>130</v>
      </c>
      <c r="BM1134" s="0" t="s">
        <v>130</v>
      </c>
      <c r="BN1134" s="0" t="s">
        <v>130</v>
      </c>
      <c r="BO1134" s="0" t="s">
        <v>130</v>
      </c>
      <c r="BP1134" s="0" t="s">
        <v>130</v>
      </c>
      <c r="BQ1134" s="0" t="s">
        <v>130</v>
      </c>
      <c r="BR1134" s="0" t="s">
        <v>130</v>
      </c>
      <c r="BS1134" s="0" t="s">
        <v>130</v>
      </c>
      <c r="BT1134" s="0" t="s">
        <v>130</v>
      </c>
      <c r="BU1134" s="0" t="s">
        <v>130</v>
      </c>
      <c r="BV1134" s="0" t="s">
        <v>130</v>
      </c>
      <c r="BW1134" s="0" t="s">
        <v>130</v>
      </c>
      <c r="BX1134" s="0" t="s">
        <v>130</v>
      </c>
      <c r="BY1134" s="0" t="s">
        <v>130</v>
      </c>
      <c r="BZ1134" s="0" t="s">
        <v>130</v>
      </c>
      <c r="CA1134" s="0" t="s">
        <v>130</v>
      </c>
      <c r="CB1134" s="0" t="s">
        <v>130</v>
      </c>
      <c r="CC1134" s="0" t="s">
        <v>130</v>
      </c>
      <c r="CD1134" s="0" t="s">
        <v>130</v>
      </c>
      <c r="CE1134" s="0" t="s">
        <v>130</v>
      </c>
      <c r="CF1134" s="0" t="s">
        <v>130</v>
      </c>
      <c r="CG1134" s="0" t="s">
        <v>130</v>
      </c>
      <c r="CH1134" s="0" t="s">
        <v>130</v>
      </c>
      <c r="CI1134" s="0" t="s">
        <v>130</v>
      </c>
      <c r="CJ1134" s="0" t="s">
        <v>130</v>
      </c>
      <c r="CK1134" s="0" t="s">
        <v>141</v>
      </c>
      <c r="CL1134" s="0" t="s">
        <v>130</v>
      </c>
      <c r="CM1134" s="0" t="s">
        <v>130</v>
      </c>
      <c r="CN1134" s="0" t="s">
        <v>130</v>
      </c>
      <c r="CO1134" s="0" t="s">
        <v>130</v>
      </c>
      <c r="CP1134" s="0" t="s">
        <v>130</v>
      </c>
      <c r="CQ1134" s="0" t="s">
        <v>130</v>
      </c>
      <c r="CR1134" s="0" t="s">
        <v>130</v>
      </c>
      <c r="CS1134" s="0" t="s">
        <v>130</v>
      </c>
      <c r="CT1134" s="0" t="s">
        <v>3393</v>
      </c>
    </row>
    <row r="1135">
      <c r="A1135" s="14">
        <v>216952</v>
      </c>
      <c r="B1135" s="0" t="s">
        <v>3384</v>
      </c>
      <c r="C1135" s="16">
        <f>HYPERLINK("https://eosportal.federatedhermes.com/companies/Q29tcGFueQppNjc3MjM=", "Amazon.com Inc")</f>
      </c>
      <c r="D1135" s="0" t="s">
        <v>25</v>
      </c>
      <c r="E1135" s="0" t="s">
        <v>3394</v>
      </c>
      <c r="F1135" s="16">
        <f>HYPERLINK("https://eosportal.federatedhermes.com/engagements/RW5nYWdlbWVudAppMjUzODg=", "Responsible tax")</f>
      </c>
      <c r="G1135" s="14" t="s">
        <v>3395</v>
      </c>
      <c r="H1135" s="0" t="s">
        <v>141</v>
      </c>
      <c r="I1135" s="14" t="s">
        <v>191</v>
      </c>
      <c r="J1135" s="0" t="s">
        <v>153</v>
      </c>
      <c r="K1135" s="0" t="s">
        <v>185</v>
      </c>
      <c r="L1135" s="0" t="s">
        <v>548</v>
      </c>
      <c r="M1135" s="0" t="s">
        <v>135</v>
      </c>
      <c r="N1135" s="0" t="s">
        <v>136</v>
      </c>
      <c r="O1135" s="0" t="s">
        <v>643</v>
      </c>
      <c r="Q1135" s="0" t="s">
        <v>130</v>
      </c>
      <c r="R1135" s="0" t="s">
        <v>138</v>
      </c>
      <c r="S1135" s="14">
        <v>0</v>
      </c>
      <c r="T1135" s="0" t="s">
        <v>359</v>
      </c>
      <c r="U1135" s="0" t="s">
        <v>138</v>
      </c>
      <c r="V1135" s="14" t="s">
        <v>138</v>
      </c>
      <c r="W1135" s="0" t="s">
        <v>138</v>
      </c>
      <c r="X1135" s="14" t="s">
        <v>138</v>
      </c>
      <c r="Y1135" s="0" t="s">
        <v>138</v>
      </c>
      <c r="Z1135" s="14" t="s">
        <v>138</v>
      </c>
      <c r="AA1135" s="0" t="s">
        <v>138</v>
      </c>
      <c r="AB1135" s="14" t="s">
        <v>138</v>
      </c>
      <c r="AD1135" s="0" t="s">
        <v>138</v>
      </c>
      <c r="AF1135" s="0">
        <v>0</v>
      </c>
      <c r="AG1135" s="0">
        <v>0</v>
      </c>
      <c r="AH1135" s="0" t="s">
        <v>140</v>
      </c>
      <c r="AI1135" s="0" t="s">
        <v>138</v>
      </c>
      <c r="AL1135" s="14"/>
      <c r="AN1135" s="14"/>
      <c r="AQ1135" s="0" t="s">
        <v>130</v>
      </c>
      <c r="AR1135" s="0" t="s">
        <v>130</v>
      </c>
      <c r="AS1135" s="0" t="s">
        <v>130</v>
      </c>
      <c r="AT1135" s="0" t="s">
        <v>130</v>
      </c>
      <c r="AU1135" s="0" t="s">
        <v>130</v>
      </c>
      <c r="AV1135" s="0" t="s">
        <v>130</v>
      </c>
      <c r="AW1135" s="0" t="s">
        <v>130</v>
      </c>
      <c r="AX1135" s="0" t="s">
        <v>130</v>
      </c>
      <c r="AY1135" s="0" t="s">
        <v>130</v>
      </c>
      <c r="AZ1135" s="0" t="s">
        <v>130</v>
      </c>
      <c r="BA1135" s="0" t="s">
        <v>130</v>
      </c>
      <c r="BB1135" s="0" t="s">
        <v>130</v>
      </c>
      <c r="BC1135" s="0" t="s">
        <v>130</v>
      </c>
      <c r="BD1135" s="0" t="s">
        <v>130</v>
      </c>
      <c r="BE1135" s="0" t="s">
        <v>130</v>
      </c>
      <c r="BF1135" s="0" t="s">
        <v>130</v>
      </c>
      <c r="BG1135" s="0" t="s">
        <v>141</v>
      </c>
      <c r="BH1135" s="0" t="s">
        <v>130</v>
      </c>
      <c r="BI1135" s="0" t="s">
        <v>130</v>
      </c>
      <c r="BJ1135" s="0" t="s">
        <v>130</v>
      </c>
      <c r="BK1135" s="0" t="s">
        <v>130</v>
      </c>
      <c r="BL1135" s="0" t="s">
        <v>130</v>
      </c>
      <c r="BM1135" s="0" t="s">
        <v>130</v>
      </c>
      <c r="BN1135" s="0" t="s">
        <v>130</v>
      </c>
      <c r="BO1135" s="0" t="s">
        <v>130</v>
      </c>
      <c r="BP1135" s="0" t="s">
        <v>130</v>
      </c>
      <c r="BQ1135" s="0" t="s">
        <v>130</v>
      </c>
      <c r="BR1135" s="0" t="s">
        <v>130</v>
      </c>
      <c r="BS1135" s="0" t="s">
        <v>130</v>
      </c>
      <c r="BT1135" s="0" t="s">
        <v>130</v>
      </c>
      <c r="BU1135" s="0" t="s">
        <v>130</v>
      </c>
      <c r="BV1135" s="0" t="s">
        <v>130</v>
      </c>
      <c r="BW1135" s="0" t="s">
        <v>130</v>
      </c>
      <c r="BX1135" s="0" t="s">
        <v>130</v>
      </c>
      <c r="BY1135" s="0" t="s">
        <v>130</v>
      </c>
      <c r="BZ1135" s="0" t="s">
        <v>130</v>
      </c>
      <c r="CA1135" s="0" t="s">
        <v>130</v>
      </c>
      <c r="CB1135" s="0" t="s">
        <v>130</v>
      </c>
      <c r="CC1135" s="0" t="s">
        <v>130</v>
      </c>
      <c r="CD1135" s="0" t="s">
        <v>130</v>
      </c>
      <c r="CE1135" s="0" t="s">
        <v>130</v>
      </c>
      <c r="CF1135" s="0" t="s">
        <v>130</v>
      </c>
      <c r="CG1135" s="0" t="s">
        <v>130</v>
      </c>
      <c r="CH1135" s="0" t="s">
        <v>130</v>
      </c>
      <c r="CI1135" s="0" t="s">
        <v>130</v>
      </c>
      <c r="CJ1135" s="0" t="s">
        <v>130</v>
      </c>
      <c r="CK1135" s="0" t="s">
        <v>130</v>
      </c>
      <c r="CL1135" s="0" t="s">
        <v>130</v>
      </c>
      <c r="CM1135" s="0" t="s">
        <v>130</v>
      </c>
      <c r="CN1135" s="0" t="s">
        <v>130</v>
      </c>
      <c r="CO1135" s="0" t="s">
        <v>130</v>
      </c>
      <c r="CP1135" s="0" t="s">
        <v>130</v>
      </c>
      <c r="CQ1135" s="0" t="s">
        <v>130</v>
      </c>
      <c r="CR1135" s="0" t="s">
        <v>130</v>
      </c>
      <c r="CS1135" s="0" t="s">
        <v>130</v>
      </c>
      <c r="CT1135" s="0" t="s">
        <v>3396</v>
      </c>
    </row>
    <row r="1136">
      <c r="A1136" s="14">
        <v>216952</v>
      </c>
      <c r="B1136" s="0" t="s">
        <v>3384</v>
      </c>
      <c r="C1136" s="16">
        <f>HYPERLINK("https://eosportal.federatedhermes.com/companies/Q29tcGFueQppNjc3MjM=", "Amazon.com Inc")</f>
      </c>
      <c r="D1136" s="0" t="s">
        <v>25</v>
      </c>
      <c r="E1136" s="0" t="s">
        <v>3397</v>
      </c>
      <c r="F1136" s="16">
        <f>HYPERLINK("https://eosportal.federatedhermes.com/engagements/RW5nYWdlbWVudAppMjUzODk=", "High geographic risks")</f>
      </c>
      <c r="G1136" s="14" t="s">
        <v>3398</v>
      </c>
      <c r="H1136" s="0" t="s">
        <v>141</v>
      </c>
      <c r="I1136" s="14" t="s">
        <v>191</v>
      </c>
      <c r="J1136" s="0" t="s">
        <v>153</v>
      </c>
      <c r="K1136" s="0" t="s">
        <v>243</v>
      </c>
      <c r="L1136" s="0" t="s">
        <v>456</v>
      </c>
      <c r="M1136" s="0" t="s">
        <v>135</v>
      </c>
      <c r="N1136" s="0" t="s">
        <v>136</v>
      </c>
      <c r="O1136" s="0" t="s">
        <v>643</v>
      </c>
      <c r="Q1136" s="0" t="s">
        <v>130</v>
      </c>
      <c r="R1136" s="0" t="s">
        <v>138</v>
      </c>
      <c r="S1136" s="14">
        <v>0</v>
      </c>
      <c r="T1136" s="0" t="s">
        <v>355</v>
      </c>
      <c r="U1136" s="0" t="s">
        <v>138</v>
      </c>
      <c r="V1136" s="14" t="s">
        <v>138</v>
      </c>
      <c r="W1136" s="0" t="s">
        <v>138</v>
      </c>
      <c r="X1136" s="14" t="s">
        <v>138</v>
      </c>
      <c r="Y1136" s="0" t="s">
        <v>138</v>
      </c>
      <c r="Z1136" s="14" t="s">
        <v>138</v>
      </c>
      <c r="AA1136" s="0" t="s">
        <v>138</v>
      </c>
      <c r="AB1136" s="14" t="s">
        <v>138</v>
      </c>
      <c r="AD1136" s="0" t="s">
        <v>138</v>
      </c>
      <c r="AF1136" s="0">
        <v>0</v>
      </c>
      <c r="AG1136" s="0">
        <v>0</v>
      </c>
      <c r="AH1136" s="0" t="s">
        <v>140</v>
      </c>
      <c r="AI1136" s="0" t="s">
        <v>138</v>
      </c>
      <c r="AL1136" s="14"/>
      <c r="AN1136" s="14"/>
      <c r="AQ1136" s="0" t="s">
        <v>130</v>
      </c>
      <c r="AR1136" s="0" t="s">
        <v>130</v>
      </c>
      <c r="AS1136" s="0" t="s">
        <v>130</v>
      </c>
      <c r="AT1136" s="0" t="s">
        <v>130</v>
      </c>
      <c r="AU1136" s="0" t="s">
        <v>130</v>
      </c>
      <c r="AV1136" s="0" t="s">
        <v>130</v>
      </c>
      <c r="AW1136" s="0" t="s">
        <v>130</v>
      </c>
      <c r="AX1136" s="0" t="s">
        <v>141</v>
      </c>
      <c r="AY1136" s="0" t="s">
        <v>130</v>
      </c>
      <c r="AZ1136" s="0" t="s">
        <v>130</v>
      </c>
      <c r="BA1136" s="0" t="s">
        <v>130</v>
      </c>
      <c r="BB1136" s="0" t="s">
        <v>130</v>
      </c>
      <c r="BC1136" s="0" t="s">
        <v>130</v>
      </c>
      <c r="BD1136" s="0" t="s">
        <v>130</v>
      </c>
      <c r="BE1136" s="0" t="s">
        <v>130</v>
      </c>
      <c r="BF1136" s="0" t="s">
        <v>141</v>
      </c>
      <c r="BG1136" s="0" t="s">
        <v>130</v>
      </c>
      <c r="BH1136" s="0" t="s">
        <v>130</v>
      </c>
      <c r="BI1136" s="0" t="s">
        <v>130</v>
      </c>
      <c r="BJ1136" s="0" t="s">
        <v>130</v>
      </c>
      <c r="BK1136" s="0" t="s">
        <v>130</v>
      </c>
      <c r="BL1136" s="0" t="s">
        <v>130</v>
      </c>
      <c r="BM1136" s="0" t="s">
        <v>130</v>
      </c>
      <c r="BN1136" s="0" t="s">
        <v>130</v>
      </c>
      <c r="BO1136" s="0" t="s">
        <v>130</v>
      </c>
      <c r="BP1136" s="0" t="s">
        <v>130</v>
      </c>
      <c r="BQ1136" s="0" t="s">
        <v>130</v>
      </c>
      <c r="BR1136" s="0" t="s">
        <v>130</v>
      </c>
      <c r="BS1136" s="0" t="s">
        <v>130</v>
      </c>
      <c r="BT1136" s="0" t="s">
        <v>130</v>
      </c>
      <c r="BU1136" s="0" t="s">
        <v>130</v>
      </c>
      <c r="BV1136" s="0" t="s">
        <v>130</v>
      </c>
      <c r="BW1136" s="0" t="s">
        <v>130</v>
      </c>
      <c r="BX1136" s="0" t="s">
        <v>130</v>
      </c>
      <c r="BY1136" s="0" t="s">
        <v>130</v>
      </c>
      <c r="BZ1136" s="0" t="s">
        <v>130</v>
      </c>
      <c r="CA1136" s="0" t="s">
        <v>130</v>
      </c>
      <c r="CB1136" s="0" t="s">
        <v>130</v>
      </c>
      <c r="CC1136" s="0" t="s">
        <v>130</v>
      </c>
      <c r="CD1136" s="0" t="s">
        <v>130</v>
      </c>
      <c r="CE1136" s="0" t="s">
        <v>130</v>
      </c>
      <c r="CF1136" s="0" t="s">
        <v>130</v>
      </c>
      <c r="CG1136" s="0" t="s">
        <v>130</v>
      </c>
      <c r="CH1136" s="0" t="s">
        <v>130</v>
      </c>
      <c r="CI1136" s="0" t="s">
        <v>130</v>
      </c>
      <c r="CJ1136" s="0" t="s">
        <v>130</v>
      </c>
      <c r="CK1136" s="0" t="s">
        <v>130</v>
      </c>
      <c r="CL1136" s="0" t="s">
        <v>130</v>
      </c>
      <c r="CM1136" s="0" t="s">
        <v>130</v>
      </c>
      <c r="CN1136" s="0" t="s">
        <v>130</v>
      </c>
      <c r="CO1136" s="0" t="s">
        <v>130</v>
      </c>
      <c r="CP1136" s="0" t="s">
        <v>130</v>
      </c>
      <c r="CQ1136" s="0" t="s">
        <v>130</v>
      </c>
      <c r="CR1136" s="0" t="s">
        <v>130</v>
      </c>
      <c r="CS1136" s="0" t="s">
        <v>130</v>
      </c>
      <c r="CT1136" s="0" t="s">
        <v>3399</v>
      </c>
    </row>
    <row r="1137">
      <c r="A1137" s="14">
        <v>216952</v>
      </c>
      <c r="B1137" s="0" t="s">
        <v>3384</v>
      </c>
      <c r="C1137" s="16">
        <f>HYPERLINK("https://eosportal.federatedhermes.com/companies/Q29tcGFueQppNjc3MjM=", "Amazon.com Inc")</f>
      </c>
      <c r="D1137" s="0" t="s">
        <v>25</v>
      </c>
      <c r="E1137" s="0" t="s">
        <v>3400</v>
      </c>
      <c r="F1137" s="16">
        <f>HYPERLINK("https://eosportal.federatedhermes.com/engagements/RW5nYWdlbWVudAppMjUzOTA=", "Living wages")</f>
      </c>
      <c r="G1137" s="14" t="s">
        <v>3401</v>
      </c>
      <c r="H1137" s="0" t="s">
        <v>141</v>
      </c>
      <c r="I1137" s="14" t="s">
        <v>191</v>
      </c>
      <c r="J1137" s="0" t="s">
        <v>153</v>
      </c>
      <c r="K1137" s="0" t="s">
        <v>154</v>
      </c>
      <c r="L1137" s="0" t="s">
        <v>306</v>
      </c>
      <c r="M1137" s="0" t="s">
        <v>135</v>
      </c>
      <c r="N1137" s="0" t="s">
        <v>136</v>
      </c>
      <c r="O1137" s="0" t="s">
        <v>643</v>
      </c>
      <c r="Q1137" s="0" t="s">
        <v>130</v>
      </c>
      <c r="R1137" s="0" t="s">
        <v>138</v>
      </c>
      <c r="S1137" s="14">
        <v>0</v>
      </c>
      <c r="T1137" s="0" t="s">
        <v>355</v>
      </c>
      <c r="U1137" s="0" t="s">
        <v>138</v>
      </c>
      <c r="V1137" s="14" t="s">
        <v>138</v>
      </c>
      <c r="W1137" s="0" t="s">
        <v>138</v>
      </c>
      <c r="X1137" s="14" t="s">
        <v>138</v>
      </c>
      <c r="Y1137" s="0" t="s">
        <v>138</v>
      </c>
      <c r="Z1137" s="14" t="s">
        <v>138</v>
      </c>
      <c r="AA1137" s="0" t="s">
        <v>138</v>
      </c>
      <c r="AB1137" s="14" t="s">
        <v>138</v>
      </c>
      <c r="AD1137" s="0" t="s">
        <v>138</v>
      </c>
      <c r="AF1137" s="0">
        <v>0</v>
      </c>
      <c r="AG1137" s="0">
        <v>0</v>
      </c>
      <c r="AH1137" s="0" t="s">
        <v>140</v>
      </c>
      <c r="AI1137" s="0" t="s">
        <v>138</v>
      </c>
      <c r="AL1137" s="14"/>
      <c r="AN1137" s="14"/>
      <c r="AQ1137" s="0" t="s">
        <v>130</v>
      </c>
      <c r="AR1137" s="0" t="s">
        <v>130</v>
      </c>
      <c r="AS1137" s="0" t="s">
        <v>130</v>
      </c>
      <c r="AT1137" s="0" t="s">
        <v>130</v>
      </c>
      <c r="AU1137" s="0" t="s">
        <v>130</v>
      </c>
      <c r="AV1137" s="0" t="s">
        <v>130</v>
      </c>
      <c r="AW1137" s="0" t="s">
        <v>130</v>
      </c>
      <c r="AX1137" s="0" t="s">
        <v>141</v>
      </c>
      <c r="AY1137" s="0" t="s">
        <v>130</v>
      </c>
      <c r="AZ1137" s="0" t="s">
        <v>141</v>
      </c>
      <c r="BA1137" s="0" t="s">
        <v>130</v>
      </c>
      <c r="BB1137" s="0" t="s">
        <v>130</v>
      </c>
      <c r="BC1137" s="0" t="s">
        <v>130</v>
      </c>
      <c r="BD1137" s="0" t="s">
        <v>130</v>
      </c>
      <c r="BE1137" s="0" t="s">
        <v>130</v>
      </c>
      <c r="BF1137" s="0" t="s">
        <v>130</v>
      </c>
      <c r="BG1137" s="0" t="s">
        <v>130</v>
      </c>
      <c r="BH1137" s="0" t="s">
        <v>130</v>
      </c>
      <c r="BI1137" s="0" t="s">
        <v>130</v>
      </c>
      <c r="BJ1137" s="0" t="s">
        <v>130</v>
      </c>
      <c r="BK1137" s="0" t="s">
        <v>130</v>
      </c>
      <c r="BL1137" s="0" t="s">
        <v>130</v>
      </c>
      <c r="BM1137" s="0" t="s">
        <v>130</v>
      </c>
      <c r="BN1137" s="0" t="s">
        <v>130</v>
      </c>
      <c r="BO1137" s="0" t="s">
        <v>130</v>
      </c>
      <c r="BP1137" s="0" t="s">
        <v>130</v>
      </c>
      <c r="BQ1137" s="0" t="s">
        <v>130</v>
      </c>
      <c r="BR1137" s="0" t="s">
        <v>130</v>
      </c>
      <c r="BS1137" s="0" t="s">
        <v>130</v>
      </c>
      <c r="BT1137" s="0" t="s">
        <v>130</v>
      </c>
      <c r="BU1137" s="0" t="s">
        <v>130</v>
      </c>
      <c r="BV1137" s="0" t="s">
        <v>130</v>
      </c>
      <c r="BW1137" s="0" t="s">
        <v>130</v>
      </c>
      <c r="BX1137" s="0" t="s">
        <v>130</v>
      </c>
      <c r="BY1137" s="0" t="s">
        <v>130</v>
      </c>
      <c r="BZ1137" s="0" t="s">
        <v>130</v>
      </c>
      <c r="CA1137" s="0" t="s">
        <v>130</v>
      </c>
      <c r="CB1137" s="0" t="s">
        <v>130</v>
      </c>
      <c r="CC1137" s="0" t="s">
        <v>130</v>
      </c>
      <c r="CD1137" s="0" t="s">
        <v>130</v>
      </c>
      <c r="CE1137" s="0" t="s">
        <v>130</v>
      </c>
      <c r="CF1137" s="0" t="s">
        <v>130</v>
      </c>
      <c r="CG1137" s="0" t="s">
        <v>130</v>
      </c>
      <c r="CH1137" s="0" t="s">
        <v>130</v>
      </c>
      <c r="CI1137" s="0" t="s">
        <v>130</v>
      </c>
      <c r="CJ1137" s="0" t="s">
        <v>130</v>
      </c>
      <c r="CK1137" s="0" t="s">
        <v>130</v>
      </c>
      <c r="CL1137" s="0" t="s">
        <v>130</v>
      </c>
      <c r="CM1137" s="0" t="s">
        <v>130</v>
      </c>
      <c r="CN1137" s="0" t="s">
        <v>130</v>
      </c>
      <c r="CO1137" s="0" t="s">
        <v>130</v>
      </c>
      <c r="CP1137" s="0" t="s">
        <v>130</v>
      </c>
      <c r="CQ1137" s="0" t="s">
        <v>130</v>
      </c>
      <c r="CR1137" s="0" t="s">
        <v>130</v>
      </c>
      <c r="CS1137" s="0" t="s">
        <v>130</v>
      </c>
      <c r="CT1137" s="0" t="s">
        <v>3402</v>
      </c>
    </row>
    <row r="1138">
      <c r="A1138" s="14">
        <v>216952</v>
      </c>
      <c r="B1138" s="0" t="s">
        <v>3384</v>
      </c>
      <c r="C1138" s="16">
        <f>HYPERLINK("https://eosportal.federatedhermes.com/companies/Q29tcGFueQppNjc3MjM=", "Amazon.com Inc")</f>
      </c>
      <c r="D1138" s="0" t="s">
        <v>25</v>
      </c>
      <c r="E1138" s="0" t="s">
        <v>386</v>
      </c>
      <c r="F1138" s="16">
        <f>HYPERLINK("https://eosportal.federatedhermes.com/engagements/RW5nYWdlbWVudAppMjUzOTE=", "Board independence")</f>
      </c>
      <c r="G1138" s="14" t="s">
        <v>3403</v>
      </c>
      <c r="H1138" s="0" t="s">
        <v>141</v>
      </c>
      <c r="I1138" s="14" t="s">
        <v>191</v>
      </c>
      <c r="J1138" s="0" t="s">
        <v>145</v>
      </c>
      <c r="K1138" s="0" t="s">
        <v>164</v>
      </c>
      <c r="L1138" s="0" t="s">
        <v>165</v>
      </c>
      <c r="M1138" s="0" t="s">
        <v>135</v>
      </c>
      <c r="N1138" s="0" t="s">
        <v>136</v>
      </c>
      <c r="O1138" s="0" t="s">
        <v>643</v>
      </c>
      <c r="Q1138" s="0" t="s">
        <v>130</v>
      </c>
      <c r="R1138" s="0" t="s">
        <v>138</v>
      </c>
      <c r="S1138" s="14">
        <v>0</v>
      </c>
      <c r="T1138" s="0" t="s">
        <v>487</v>
      </c>
      <c r="U1138" s="0" t="s">
        <v>138</v>
      </c>
      <c r="V1138" s="14" t="s">
        <v>138</v>
      </c>
      <c r="W1138" s="0" t="s">
        <v>138</v>
      </c>
      <c r="X1138" s="14" t="s">
        <v>138</v>
      </c>
      <c r="Y1138" s="0" t="s">
        <v>138</v>
      </c>
      <c r="Z1138" s="14" t="s">
        <v>138</v>
      </c>
      <c r="AA1138" s="0" t="s">
        <v>138</v>
      </c>
      <c r="AB1138" s="14" t="s">
        <v>138</v>
      </c>
      <c r="AD1138" s="0" t="s">
        <v>138</v>
      </c>
      <c r="AF1138" s="0">
        <v>0</v>
      </c>
      <c r="AG1138" s="0">
        <v>0</v>
      </c>
      <c r="AH1138" s="0" t="s">
        <v>140</v>
      </c>
      <c r="AI1138" s="0" t="s">
        <v>138</v>
      </c>
      <c r="AL1138" s="14"/>
      <c r="AN1138" s="14"/>
      <c r="AQ1138" s="0" t="s">
        <v>130</v>
      </c>
      <c r="AR1138" s="0" t="s">
        <v>130</v>
      </c>
      <c r="AS1138" s="0" t="s">
        <v>130</v>
      </c>
      <c r="AT1138" s="0" t="s">
        <v>130</v>
      </c>
      <c r="AU1138" s="0" t="s">
        <v>130</v>
      </c>
      <c r="AV1138" s="0" t="s">
        <v>130</v>
      </c>
      <c r="AW1138" s="0" t="s">
        <v>130</v>
      </c>
      <c r="AX1138" s="0" t="s">
        <v>130</v>
      </c>
      <c r="AY1138" s="0" t="s">
        <v>130</v>
      </c>
      <c r="AZ1138" s="0" t="s">
        <v>130</v>
      </c>
      <c r="BA1138" s="0" t="s">
        <v>130</v>
      </c>
      <c r="BB1138" s="0" t="s">
        <v>130</v>
      </c>
      <c r="BC1138" s="0" t="s">
        <v>130</v>
      </c>
      <c r="BD1138" s="0" t="s">
        <v>130</v>
      </c>
      <c r="BE1138" s="0" t="s">
        <v>130</v>
      </c>
      <c r="BF1138" s="0" t="s">
        <v>130</v>
      </c>
      <c r="BG1138" s="0" t="s">
        <v>130</v>
      </c>
      <c r="BH1138" s="0" t="s">
        <v>130</v>
      </c>
      <c r="BI1138" s="0" t="s">
        <v>130</v>
      </c>
      <c r="BJ1138" s="0" t="s">
        <v>130</v>
      </c>
      <c r="BK1138" s="0" t="s">
        <v>130</v>
      </c>
      <c r="BL1138" s="0" t="s">
        <v>130</v>
      </c>
      <c r="BM1138" s="0" t="s">
        <v>130</v>
      </c>
      <c r="BN1138" s="0" t="s">
        <v>130</v>
      </c>
      <c r="BO1138" s="0" t="s">
        <v>130</v>
      </c>
      <c r="BP1138" s="0" t="s">
        <v>130</v>
      </c>
      <c r="BQ1138" s="0" t="s">
        <v>130</v>
      </c>
      <c r="BR1138" s="0" t="s">
        <v>130</v>
      </c>
      <c r="BS1138" s="0" t="s">
        <v>130</v>
      </c>
      <c r="BT1138" s="0" t="s">
        <v>130</v>
      </c>
      <c r="BU1138" s="0" t="s">
        <v>130</v>
      </c>
      <c r="BV1138" s="0" t="s">
        <v>130</v>
      </c>
      <c r="BW1138" s="0" t="s">
        <v>130</v>
      </c>
      <c r="BX1138" s="0" t="s">
        <v>130</v>
      </c>
      <c r="BY1138" s="0" t="s">
        <v>130</v>
      </c>
      <c r="BZ1138" s="0" t="s">
        <v>130</v>
      </c>
      <c r="CA1138" s="0" t="s">
        <v>130</v>
      </c>
      <c r="CB1138" s="0" t="s">
        <v>130</v>
      </c>
      <c r="CC1138" s="0" t="s">
        <v>130</v>
      </c>
      <c r="CD1138" s="0" t="s">
        <v>130</v>
      </c>
      <c r="CE1138" s="0" t="s">
        <v>130</v>
      </c>
      <c r="CF1138" s="0" t="s">
        <v>130</v>
      </c>
      <c r="CG1138" s="0" t="s">
        <v>130</v>
      </c>
      <c r="CH1138" s="0" t="s">
        <v>130</v>
      </c>
      <c r="CI1138" s="0" t="s">
        <v>130</v>
      </c>
      <c r="CJ1138" s="0" t="s">
        <v>130</v>
      </c>
      <c r="CK1138" s="0" t="s">
        <v>130</v>
      </c>
      <c r="CL1138" s="0" t="s">
        <v>130</v>
      </c>
      <c r="CM1138" s="0" t="s">
        <v>130</v>
      </c>
      <c r="CN1138" s="0" t="s">
        <v>130</v>
      </c>
      <c r="CO1138" s="0" t="s">
        <v>130</v>
      </c>
      <c r="CP1138" s="0" t="s">
        <v>130</v>
      </c>
      <c r="CQ1138" s="0" t="s">
        <v>130</v>
      </c>
      <c r="CR1138" s="0" t="s">
        <v>130</v>
      </c>
      <c r="CS1138" s="0" t="s">
        <v>130</v>
      </c>
      <c r="CT1138" s="0" t="s">
        <v>3404</v>
      </c>
    </row>
    <row r="1139">
      <c r="A1139" s="14">
        <v>216952</v>
      </c>
      <c r="B1139" s="0" t="s">
        <v>3384</v>
      </c>
      <c r="C1139" s="16">
        <f>HYPERLINK("https://eosportal.federatedhermes.com/companies/Q29tcGFueQppNjc3MjM=", "Amazon.com Inc")</f>
      </c>
      <c r="D1139" s="0" t="s">
        <v>25</v>
      </c>
      <c r="E1139" s="0" t="s">
        <v>652</v>
      </c>
      <c r="F1139" s="16">
        <f>HYPERLINK("https://eosportal.federatedhermes.com/engagements/RW5nYWdlbWVudAppMjUzOTI=", "Protein diversification")</f>
      </c>
      <c r="G1139" s="14" t="s">
        <v>3405</v>
      </c>
      <c r="H1139" s="0" t="s">
        <v>141</v>
      </c>
      <c r="I1139" s="14" t="s">
        <v>191</v>
      </c>
      <c r="J1139" s="0" t="s">
        <v>197</v>
      </c>
      <c r="K1139" s="0" t="s">
        <v>337</v>
      </c>
      <c r="L1139" s="0" t="s">
        <v>576</v>
      </c>
      <c r="M1139" s="0" t="s">
        <v>135</v>
      </c>
      <c r="N1139" s="0" t="s">
        <v>136</v>
      </c>
      <c r="O1139" s="0" t="s">
        <v>643</v>
      </c>
      <c r="Q1139" s="0" t="s">
        <v>130</v>
      </c>
      <c r="R1139" s="0" t="s">
        <v>138</v>
      </c>
      <c r="S1139" s="14">
        <v>0</v>
      </c>
      <c r="T1139" s="0" t="s">
        <v>333</v>
      </c>
      <c r="U1139" s="0" t="s">
        <v>138</v>
      </c>
      <c r="V1139" s="14" t="s">
        <v>138</v>
      </c>
      <c r="W1139" s="0" t="s">
        <v>138</v>
      </c>
      <c r="X1139" s="14" t="s">
        <v>138</v>
      </c>
      <c r="Y1139" s="0" t="s">
        <v>138</v>
      </c>
      <c r="Z1139" s="14" t="s">
        <v>138</v>
      </c>
      <c r="AA1139" s="0" t="s">
        <v>138</v>
      </c>
      <c r="AB1139" s="14" t="s">
        <v>138</v>
      </c>
      <c r="AD1139" s="0" t="s">
        <v>138</v>
      </c>
      <c r="AF1139" s="0">
        <v>0</v>
      </c>
      <c r="AG1139" s="0">
        <v>0</v>
      </c>
      <c r="AH1139" s="0" t="s">
        <v>140</v>
      </c>
      <c r="AI1139" s="0" t="s">
        <v>138</v>
      </c>
      <c r="AL1139" s="14"/>
      <c r="AN1139" s="14"/>
      <c r="AQ1139" s="0" t="s">
        <v>130</v>
      </c>
      <c r="AR1139" s="0" t="s">
        <v>130</v>
      </c>
      <c r="AS1139" s="0" t="s">
        <v>130</v>
      </c>
      <c r="AT1139" s="0" t="s">
        <v>130</v>
      </c>
      <c r="AU1139" s="0" t="s">
        <v>130</v>
      </c>
      <c r="AV1139" s="0" t="s">
        <v>130</v>
      </c>
      <c r="AW1139" s="0" t="s">
        <v>130</v>
      </c>
      <c r="AX1139" s="0" t="s">
        <v>130</v>
      </c>
      <c r="AY1139" s="0" t="s">
        <v>130</v>
      </c>
      <c r="AZ1139" s="0" t="s">
        <v>130</v>
      </c>
      <c r="BA1139" s="0" t="s">
        <v>130</v>
      </c>
      <c r="BB1139" s="0" t="s">
        <v>141</v>
      </c>
      <c r="BC1139" s="0" t="s">
        <v>141</v>
      </c>
      <c r="BD1139" s="0" t="s">
        <v>130</v>
      </c>
      <c r="BE1139" s="0" t="s">
        <v>130</v>
      </c>
      <c r="BF1139" s="0" t="s">
        <v>130</v>
      </c>
      <c r="BG1139" s="0" t="s">
        <v>130</v>
      </c>
      <c r="BH1139" s="0" t="s">
        <v>130</v>
      </c>
      <c r="BI1139" s="0" t="s">
        <v>130</v>
      </c>
      <c r="BJ1139" s="0" t="s">
        <v>130</v>
      </c>
      <c r="BK1139" s="0" t="s">
        <v>130</v>
      </c>
      <c r="BL1139" s="0" t="s">
        <v>130</v>
      </c>
      <c r="BM1139" s="0" t="s">
        <v>130</v>
      </c>
      <c r="BN1139" s="0" t="s">
        <v>130</v>
      </c>
      <c r="BO1139" s="0" t="s">
        <v>130</v>
      </c>
      <c r="BP1139" s="0" t="s">
        <v>130</v>
      </c>
      <c r="BQ1139" s="0" t="s">
        <v>130</v>
      </c>
      <c r="BR1139" s="0" t="s">
        <v>130</v>
      </c>
      <c r="BS1139" s="0" t="s">
        <v>130</v>
      </c>
      <c r="BT1139" s="0" t="s">
        <v>130</v>
      </c>
      <c r="BU1139" s="0" t="s">
        <v>130</v>
      </c>
      <c r="BV1139" s="0" t="s">
        <v>130</v>
      </c>
      <c r="BW1139" s="0" t="s">
        <v>130</v>
      </c>
      <c r="BX1139" s="0" t="s">
        <v>130</v>
      </c>
      <c r="BY1139" s="0" t="s">
        <v>130</v>
      </c>
      <c r="BZ1139" s="0" t="s">
        <v>130</v>
      </c>
      <c r="CA1139" s="0" t="s">
        <v>130</v>
      </c>
      <c r="CB1139" s="0" t="s">
        <v>130</v>
      </c>
      <c r="CC1139" s="0" t="s">
        <v>130</v>
      </c>
      <c r="CD1139" s="0" t="s">
        <v>130</v>
      </c>
      <c r="CE1139" s="0" t="s">
        <v>130</v>
      </c>
      <c r="CF1139" s="0" t="s">
        <v>130</v>
      </c>
      <c r="CG1139" s="0" t="s">
        <v>130</v>
      </c>
      <c r="CH1139" s="0" t="s">
        <v>130</v>
      </c>
      <c r="CI1139" s="0" t="s">
        <v>130</v>
      </c>
      <c r="CJ1139" s="0" t="s">
        <v>130</v>
      </c>
      <c r="CK1139" s="0" t="s">
        <v>130</v>
      </c>
      <c r="CL1139" s="0" t="s">
        <v>130</v>
      </c>
      <c r="CM1139" s="0" t="s">
        <v>130</v>
      </c>
      <c r="CN1139" s="0" t="s">
        <v>130</v>
      </c>
      <c r="CO1139" s="0" t="s">
        <v>130</v>
      </c>
      <c r="CP1139" s="0" t="s">
        <v>130</v>
      </c>
      <c r="CQ1139" s="0" t="s">
        <v>130</v>
      </c>
      <c r="CR1139" s="0" t="s">
        <v>130</v>
      </c>
      <c r="CS1139" s="0" t="s">
        <v>130</v>
      </c>
      <c r="CT1139" s="0" t="s">
        <v>3406</v>
      </c>
    </row>
    <row r="1140">
      <c r="A1140" s="14">
        <v>876285</v>
      </c>
      <c r="B1140" s="0" t="s">
        <v>3407</v>
      </c>
      <c r="C1140" s="16">
        <f>HYPERLINK("https://eosportal.federatedhermes.com/companies/Q29tcGFueQppNDc0MDQ=", "Airbus SE")</f>
      </c>
      <c r="D1140" s="0" t="s">
        <v>25</v>
      </c>
      <c r="E1140" s="0" t="s">
        <v>3408</v>
      </c>
      <c r="F1140" s="16">
        <f>HYPERLINK("https://eosportal.federatedhermes.com/engagements/RW5nYWdlbWVudAppMjU0MjA=", "Remuneration disclosure")</f>
      </c>
      <c r="G1140" s="14" t="s">
        <v>3409</v>
      </c>
      <c r="H1140" s="0" t="s">
        <v>141</v>
      </c>
      <c r="I1140" s="14" t="s">
        <v>131</v>
      </c>
      <c r="J1140" s="0" t="s">
        <v>145</v>
      </c>
      <c r="K1140" s="0" t="s">
        <v>146</v>
      </c>
      <c r="L1140" s="0" t="s">
        <v>147</v>
      </c>
      <c r="M1140" s="0" t="s">
        <v>378</v>
      </c>
      <c r="N1140" s="0" t="s">
        <v>1646</v>
      </c>
      <c r="O1140" s="0" t="s">
        <v>176</v>
      </c>
      <c r="Q1140" s="0" t="s">
        <v>130</v>
      </c>
      <c r="R1140" s="0" t="s">
        <v>138</v>
      </c>
      <c r="S1140" s="14">
        <v>0</v>
      </c>
      <c r="T1140" s="0" t="s">
        <v>394</v>
      </c>
      <c r="U1140" s="0" t="s">
        <v>138</v>
      </c>
      <c r="V1140" s="14" t="s">
        <v>138</v>
      </c>
      <c r="W1140" s="0" t="s">
        <v>138</v>
      </c>
      <c r="X1140" s="14" t="s">
        <v>138</v>
      </c>
      <c r="Y1140" s="0" t="s">
        <v>138</v>
      </c>
      <c r="Z1140" s="14" t="s">
        <v>138</v>
      </c>
      <c r="AA1140" s="0" t="s">
        <v>138</v>
      </c>
      <c r="AB1140" s="14" t="s">
        <v>138</v>
      </c>
      <c r="AD1140" s="0" t="s">
        <v>138</v>
      </c>
      <c r="AF1140" s="0">
        <v>0</v>
      </c>
      <c r="AG1140" s="0">
        <v>0</v>
      </c>
      <c r="AH1140" s="0" t="s">
        <v>140</v>
      </c>
      <c r="AI1140" s="0" t="s">
        <v>138</v>
      </c>
      <c r="AL1140" s="14"/>
      <c r="AN1140" s="14"/>
      <c r="AQ1140" s="0" t="s">
        <v>130</v>
      </c>
      <c r="AR1140" s="0" t="s">
        <v>130</v>
      </c>
      <c r="AS1140" s="0" t="s">
        <v>130</v>
      </c>
      <c r="AT1140" s="0" t="s">
        <v>130</v>
      </c>
      <c r="AU1140" s="0" t="s">
        <v>130</v>
      </c>
      <c r="AV1140" s="0" t="s">
        <v>130</v>
      </c>
      <c r="AW1140" s="0" t="s">
        <v>130</v>
      </c>
      <c r="AX1140" s="0" t="s">
        <v>130</v>
      </c>
      <c r="AY1140" s="0" t="s">
        <v>130</v>
      </c>
      <c r="AZ1140" s="0" t="s">
        <v>130</v>
      </c>
      <c r="BA1140" s="0" t="s">
        <v>130</v>
      </c>
      <c r="BB1140" s="0" t="s">
        <v>130</v>
      </c>
      <c r="BC1140" s="0" t="s">
        <v>130</v>
      </c>
      <c r="BD1140" s="0" t="s">
        <v>130</v>
      </c>
      <c r="BE1140" s="0" t="s">
        <v>130</v>
      </c>
      <c r="BF1140" s="0" t="s">
        <v>130</v>
      </c>
      <c r="BG1140" s="0" t="s">
        <v>130</v>
      </c>
      <c r="BH1140" s="0" t="s">
        <v>130</v>
      </c>
      <c r="BI1140" s="0" t="s">
        <v>130</v>
      </c>
      <c r="BJ1140" s="0" t="s">
        <v>130</v>
      </c>
      <c r="BK1140" s="0" t="s">
        <v>130</v>
      </c>
      <c r="BL1140" s="0" t="s">
        <v>130</v>
      </c>
      <c r="BM1140" s="0" t="s">
        <v>130</v>
      </c>
      <c r="BN1140" s="0" t="s">
        <v>130</v>
      </c>
      <c r="BO1140" s="0" t="s">
        <v>130</v>
      </c>
      <c r="BP1140" s="0" t="s">
        <v>130</v>
      </c>
      <c r="BQ1140" s="0" t="s">
        <v>130</v>
      </c>
      <c r="BR1140" s="0" t="s">
        <v>130</v>
      </c>
      <c r="BS1140" s="0" t="s">
        <v>130</v>
      </c>
      <c r="BT1140" s="0" t="s">
        <v>130</v>
      </c>
      <c r="BU1140" s="0" t="s">
        <v>130</v>
      </c>
      <c r="BV1140" s="0" t="s">
        <v>130</v>
      </c>
      <c r="BW1140" s="0" t="s">
        <v>130</v>
      </c>
      <c r="BX1140" s="0" t="s">
        <v>130</v>
      </c>
      <c r="BY1140" s="0" t="s">
        <v>130</v>
      </c>
      <c r="BZ1140" s="0" t="s">
        <v>130</v>
      </c>
      <c r="CA1140" s="0" t="s">
        <v>130</v>
      </c>
      <c r="CB1140" s="0" t="s">
        <v>130</v>
      </c>
      <c r="CC1140" s="0" t="s">
        <v>130</v>
      </c>
      <c r="CD1140" s="0" t="s">
        <v>130</v>
      </c>
      <c r="CE1140" s="0" t="s">
        <v>130</v>
      </c>
      <c r="CF1140" s="0" t="s">
        <v>130</v>
      </c>
      <c r="CG1140" s="0" t="s">
        <v>130</v>
      </c>
      <c r="CH1140" s="0" t="s">
        <v>130</v>
      </c>
      <c r="CI1140" s="0" t="s">
        <v>130</v>
      </c>
      <c r="CJ1140" s="0" t="s">
        <v>130</v>
      </c>
      <c r="CK1140" s="0" t="s">
        <v>130</v>
      </c>
      <c r="CL1140" s="0" t="s">
        <v>130</v>
      </c>
      <c r="CM1140" s="0" t="s">
        <v>130</v>
      </c>
      <c r="CN1140" s="0" t="s">
        <v>130</v>
      </c>
      <c r="CO1140" s="0" t="s">
        <v>130</v>
      </c>
      <c r="CP1140" s="0" t="s">
        <v>130</v>
      </c>
      <c r="CQ1140" s="0" t="s">
        <v>130</v>
      </c>
      <c r="CR1140" s="0" t="s">
        <v>130</v>
      </c>
      <c r="CS1140" s="0" t="s">
        <v>130</v>
      </c>
      <c r="CT1140" s="0" t="s">
        <v>3410</v>
      </c>
    </row>
    <row r="1141">
      <c r="A1141" s="14">
        <v>876285</v>
      </c>
      <c r="B1141" s="0" t="s">
        <v>3407</v>
      </c>
      <c r="C1141" s="16">
        <f>HYPERLINK("https://eosportal.federatedhermes.com/companies/Q29tcGFueQppNDc0MDQ=", "Airbus SE")</f>
      </c>
      <c r="D1141" s="0" t="s">
        <v>25</v>
      </c>
      <c r="E1141" s="0" t="s">
        <v>3411</v>
      </c>
      <c r="F1141" s="16">
        <f>HYPERLINK("https://eosportal.federatedhermes.com/engagements/RW5nYWdlbWVudAppMjU0MjE=", "Controversial weapons")</f>
      </c>
      <c r="G1141" s="14" t="s">
        <v>3412</v>
      </c>
      <c r="H1141" s="0" t="s">
        <v>141</v>
      </c>
      <c r="I1141" s="14" t="s">
        <v>131</v>
      </c>
      <c r="J1141" s="0" t="s">
        <v>153</v>
      </c>
      <c r="K1141" s="0" t="s">
        <v>185</v>
      </c>
      <c r="L1141" s="0" t="s">
        <v>186</v>
      </c>
      <c r="M1141" s="0" t="s">
        <v>378</v>
      </c>
      <c r="N1141" s="0" t="s">
        <v>1646</v>
      </c>
      <c r="O1141" s="0" t="s">
        <v>176</v>
      </c>
      <c r="Q1141" s="0" t="s">
        <v>130</v>
      </c>
      <c r="R1141" s="0" t="s">
        <v>138</v>
      </c>
      <c r="S1141" s="14">
        <v>0</v>
      </c>
      <c r="T1141" s="0" t="s">
        <v>380</v>
      </c>
      <c r="U1141" s="0" t="s">
        <v>138</v>
      </c>
      <c r="V1141" s="14" t="s">
        <v>138</v>
      </c>
      <c r="W1141" s="0" t="s">
        <v>138</v>
      </c>
      <c r="X1141" s="14" t="s">
        <v>138</v>
      </c>
      <c r="Y1141" s="0" t="s">
        <v>138</v>
      </c>
      <c r="Z1141" s="14" t="s">
        <v>138</v>
      </c>
      <c r="AA1141" s="0" t="s">
        <v>138</v>
      </c>
      <c r="AB1141" s="14" t="s">
        <v>138</v>
      </c>
      <c r="AD1141" s="0" t="s">
        <v>138</v>
      </c>
      <c r="AF1141" s="0">
        <v>0</v>
      </c>
      <c r="AG1141" s="0">
        <v>0</v>
      </c>
      <c r="AH1141" s="0" t="s">
        <v>140</v>
      </c>
      <c r="AI1141" s="0" t="s">
        <v>138</v>
      </c>
      <c r="AL1141" s="14"/>
      <c r="AN1141" s="14"/>
      <c r="AQ1141" s="0" t="s">
        <v>130</v>
      </c>
      <c r="AR1141" s="0" t="s">
        <v>130</v>
      </c>
      <c r="AS1141" s="0" t="s">
        <v>130</v>
      </c>
      <c r="AT1141" s="0" t="s">
        <v>130</v>
      </c>
      <c r="AU1141" s="0" t="s">
        <v>130</v>
      </c>
      <c r="AV1141" s="0" t="s">
        <v>130</v>
      </c>
      <c r="AW1141" s="0" t="s">
        <v>130</v>
      </c>
      <c r="AX1141" s="0" t="s">
        <v>130</v>
      </c>
      <c r="AY1141" s="0" t="s">
        <v>130</v>
      </c>
      <c r="AZ1141" s="0" t="s">
        <v>130</v>
      </c>
      <c r="BA1141" s="0" t="s">
        <v>130</v>
      </c>
      <c r="BB1141" s="0" t="s">
        <v>130</v>
      </c>
      <c r="BC1141" s="0" t="s">
        <v>130</v>
      </c>
      <c r="BD1141" s="0" t="s">
        <v>130</v>
      </c>
      <c r="BE1141" s="0" t="s">
        <v>130</v>
      </c>
      <c r="BF1141" s="0" t="s">
        <v>130</v>
      </c>
      <c r="BG1141" s="0" t="s">
        <v>130</v>
      </c>
      <c r="BH1141" s="0" t="s">
        <v>130</v>
      </c>
      <c r="BI1141" s="0" t="s">
        <v>130</v>
      </c>
      <c r="BJ1141" s="0" t="s">
        <v>130</v>
      </c>
      <c r="BK1141" s="0" t="s">
        <v>130</v>
      </c>
      <c r="BL1141" s="0" t="s">
        <v>130</v>
      </c>
      <c r="BM1141" s="0" t="s">
        <v>130</v>
      </c>
      <c r="BN1141" s="0" t="s">
        <v>130</v>
      </c>
      <c r="BO1141" s="0" t="s">
        <v>130</v>
      </c>
      <c r="BP1141" s="0" t="s">
        <v>130</v>
      </c>
      <c r="BQ1141" s="0" t="s">
        <v>130</v>
      </c>
      <c r="BR1141" s="0" t="s">
        <v>130</v>
      </c>
      <c r="BS1141" s="0" t="s">
        <v>130</v>
      </c>
      <c r="BT1141" s="0" t="s">
        <v>130</v>
      </c>
      <c r="BU1141" s="0" t="s">
        <v>130</v>
      </c>
      <c r="BV1141" s="0" t="s">
        <v>130</v>
      </c>
      <c r="BW1141" s="0" t="s">
        <v>130</v>
      </c>
      <c r="BX1141" s="0" t="s">
        <v>130</v>
      </c>
      <c r="BY1141" s="0" t="s">
        <v>130</v>
      </c>
      <c r="BZ1141" s="0" t="s">
        <v>130</v>
      </c>
      <c r="CA1141" s="0" t="s">
        <v>130</v>
      </c>
      <c r="CB1141" s="0" t="s">
        <v>130</v>
      </c>
      <c r="CC1141" s="0" t="s">
        <v>130</v>
      </c>
      <c r="CD1141" s="0" t="s">
        <v>130</v>
      </c>
      <c r="CE1141" s="0" t="s">
        <v>130</v>
      </c>
      <c r="CF1141" s="0" t="s">
        <v>130</v>
      </c>
      <c r="CG1141" s="0" t="s">
        <v>130</v>
      </c>
      <c r="CH1141" s="0" t="s">
        <v>130</v>
      </c>
      <c r="CI1141" s="0" t="s">
        <v>130</v>
      </c>
      <c r="CJ1141" s="0" t="s">
        <v>130</v>
      </c>
      <c r="CK1141" s="0" t="s">
        <v>130</v>
      </c>
      <c r="CL1141" s="0" t="s">
        <v>130</v>
      </c>
      <c r="CM1141" s="0" t="s">
        <v>130</v>
      </c>
      <c r="CN1141" s="0" t="s">
        <v>130</v>
      </c>
      <c r="CO1141" s="0" t="s">
        <v>130</v>
      </c>
      <c r="CP1141" s="0" t="s">
        <v>130</v>
      </c>
      <c r="CQ1141" s="0" t="s">
        <v>130</v>
      </c>
      <c r="CR1141" s="0" t="s">
        <v>130</v>
      </c>
      <c r="CS1141" s="0" t="s">
        <v>130</v>
      </c>
      <c r="CT1141" s="0" t="s">
        <v>3413</v>
      </c>
    </row>
    <row r="1142">
      <c r="A1142" s="14">
        <v>876285</v>
      </c>
      <c r="B1142" s="0" t="s">
        <v>3407</v>
      </c>
      <c r="C1142" s="16">
        <f>HYPERLINK("https://eosportal.federatedhermes.com/companies/Q29tcGFueQppNDc0MDQ=", "Airbus SE")</f>
      </c>
      <c r="D1142" s="0" t="s">
        <v>25</v>
      </c>
      <c r="E1142" s="0" t="s">
        <v>2686</v>
      </c>
      <c r="F1142" s="16">
        <f>HYPERLINK("https://eosportal.federatedhermes.com/engagements/RW5nYWdlbWVudAppMjU0MjI=", "Covid-19 response")</f>
      </c>
      <c r="G1142" s="14" t="s">
        <v>3414</v>
      </c>
      <c r="H1142" s="0" t="s">
        <v>141</v>
      </c>
      <c r="I1142" s="14" t="s">
        <v>131</v>
      </c>
      <c r="J1142" s="0" t="s">
        <v>153</v>
      </c>
      <c r="K1142" s="0" t="s">
        <v>154</v>
      </c>
      <c r="L1142" s="0" t="s">
        <v>155</v>
      </c>
      <c r="M1142" s="0" t="s">
        <v>378</v>
      </c>
      <c r="N1142" s="0" t="s">
        <v>1646</v>
      </c>
      <c r="O1142" s="0" t="s">
        <v>176</v>
      </c>
      <c r="Q1142" s="0" t="s">
        <v>130</v>
      </c>
      <c r="R1142" s="0" t="s">
        <v>138</v>
      </c>
      <c r="S1142" s="14">
        <v>0</v>
      </c>
      <c r="T1142" s="0" t="s">
        <v>394</v>
      </c>
      <c r="U1142" s="0" t="s">
        <v>138</v>
      </c>
      <c r="V1142" s="14" t="s">
        <v>138</v>
      </c>
      <c r="W1142" s="0" t="s">
        <v>138</v>
      </c>
      <c r="X1142" s="14" t="s">
        <v>138</v>
      </c>
      <c r="Y1142" s="0" t="s">
        <v>138</v>
      </c>
      <c r="Z1142" s="14" t="s">
        <v>138</v>
      </c>
      <c r="AA1142" s="0" t="s">
        <v>138</v>
      </c>
      <c r="AB1142" s="14" t="s">
        <v>138</v>
      </c>
      <c r="AD1142" s="0" t="s">
        <v>138</v>
      </c>
      <c r="AF1142" s="0">
        <v>0</v>
      </c>
      <c r="AG1142" s="0">
        <v>0</v>
      </c>
      <c r="AH1142" s="0" t="s">
        <v>140</v>
      </c>
      <c r="AI1142" s="0" t="s">
        <v>138</v>
      </c>
      <c r="AL1142" s="14"/>
      <c r="AN1142" s="14"/>
      <c r="AQ1142" s="0" t="s">
        <v>130</v>
      </c>
      <c r="AR1142" s="0" t="s">
        <v>130</v>
      </c>
      <c r="AS1142" s="0" t="s">
        <v>130</v>
      </c>
      <c r="AT1142" s="0" t="s">
        <v>130</v>
      </c>
      <c r="AU1142" s="0" t="s">
        <v>130</v>
      </c>
      <c r="AV1142" s="0" t="s">
        <v>130</v>
      </c>
      <c r="AW1142" s="0" t="s">
        <v>130</v>
      </c>
      <c r="AX1142" s="0" t="s">
        <v>130</v>
      </c>
      <c r="AY1142" s="0" t="s">
        <v>130</v>
      </c>
      <c r="AZ1142" s="0" t="s">
        <v>130</v>
      </c>
      <c r="BA1142" s="0" t="s">
        <v>130</v>
      </c>
      <c r="BB1142" s="0" t="s">
        <v>130</v>
      </c>
      <c r="BC1142" s="0" t="s">
        <v>130</v>
      </c>
      <c r="BD1142" s="0" t="s">
        <v>130</v>
      </c>
      <c r="BE1142" s="0" t="s">
        <v>130</v>
      </c>
      <c r="BF1142" s="0" t="s">
        <v>130</v>
      </c>
      <c r="BG1142" s="0" t="s">
        <v>130</v>
      </c>
      <c r="BH1142" s="0" t="s">
        <v>130</v>
      </c>
      <c r="BI1142" s="0" t="s">
        <v>130</v>
      </c>
      <c r="BJ1142" s="0" t="s">
        <v>130</v>
      </c>
      <c r="BK1142" s="0" t="s">
        <v>130</v>
      </c>
      <c r="BL1142" s="0" t="s">
        <v>130</v>
      </c>
      <c r="BM1142" s="0" t="s">
        <v>130</v>
      </c>
      <c r="BN1142" s="0" t="s">
        <v>130</v>
      </c>
      <c r="BO1142" s="0" t="s">
        <v>130</v>
      </c>
      <c r="BP1142" s="0" t="s">
        <v>130</v>
      </c>
      <c r="BQ1142" s="0" t="s">
        <v>130</v>
      </c>
      <c r="BR1142" s="0" t="s">
        <v>130</v>
      </c>
      <c r="BS1142" s="0" t="s">
        <v>130</v>
      </c>
      <c r="BT1142" s="0" t="s">
        <v>130</v>
      </c>
      <c r="BU1142" s="0" t="s">
        <v>130</v>
      </c>
      <c r="BV1142" s="0" t="s">
        <v>130</v>
      </c>
      <c r="BW1142" s="0" t="s">
        <v>130</v>
      </c>
      <c r="BX1142" s="0" t="s">
        <v>130</v>
      </c>
      <c r="BY1142" s="0" t="s">
        <v>130</v>
      </c>
      <c r="BZ1142" s="0" t="s">
        <v>130</v>
      </c>
      <c r="CA1142" s="0" t="s">
        <v>130</v>
      </c>
      <c r="CB1142" s="0" t="s">
        <v>130</v>
      </c>
      <c r="CC1142" s="0" t="s">
        <v>130</v>
      </c>
      <c r="CD1142" s="0" t="s">
        <v>130</v>
      </c>
      <c r="CE1142" s="0" t="s">
        <v>130</v>
      </c>
      <c r="CF1142" s="0" t="s">
        <v>130</v>
      </c>
      <c r="CG1142" s="0" t="s">
        <v>130</v>
      </c>
      <c r="CH1142" s="0" t="s">
        <v>130</v>
      </c>
      <c r="CI1142" s="0" t="s">
        <v>141</v>
      </c>
      <c r="CJ1142" s="0" t="s">
        <v>130</v>
      </c>
      <c r="CK1142" s="0" t="s">
        <v>130</v>
      </c>
      <c r="CL1142" s="0" t="s">
        <v>130</v>
      </c>
      <c r="CM1142" s="0" t="s">
        <v>130</v>
      </c>
      <c r="CN1142" s="0" t="s">
        <v>130</v>
      </c>
      <c r="CO1142" s="0" t="s">
        <v>130</v>
      </c>
      <c r="CP1142" s="0" t="s">
        <v>130</v>
      </c>
      <c r="CQ1142" s="0" t="s">
        <v>130</v>
      </c>
      <c r="CR1142" s="0" t="s">
        <v>130</v>
      </c>
      <c r="CS1142" s="0" t="s">
        <v>130</v>
      </c>
      <c r="CT1142" s="0" t="s">
        <v>3415</v>
      </c>
    </row>
    <row r="1143">
      <c r="A1143" s="14">
        <v>876285</v>
      </c>
      <c r="B1143" s="0" t="s">
        <v>3407</v>
      </c>
      <c r="C1143" s="16">
        <f>HYPERLINK("https://eosportal.federatedhermes.com/companies/Q29tcGFueQppNDc0MDQ=", "Airbus SE")</f>
      </c>
      <c r="D1143" s="0" t="s">
        <v>25</v>
      </c>
      <c r="E1143" s="0" t="s">
        <v>3416</v>
      </c>
      <c r="F1143" s="16">
        <f>HYPERLINK("https://eosportal.federatedhermes.com/engagements/RW5nYWdlbWVudAppMjU0MjM=", "Paris-aligned Accounts")</f>
      </c>
      <c r="G1143" s="14" t="s">
        <v>3417</v>
      </c>
      <c r="H1143" s="0" t="s">
        <v>141</v>
      </c>
      <c r="I1143" s="14" t="s">
        <v>131</v>
      </c>
      <c r="J1143" s="0" t="s">
        <v>197</v>
      </c>
      <c r="K1143" s="0" t="s">
        <v>198</v>
      </c>
      <c r="L1143" s="0" t="s">
        <v>199</v>
      </c>
      <c r="M1143" s="0" t="s">
        <v>378</v>
      </c>
      <c r="N1143" s="0" t="s">
        <v>1646</v>
      </c>
      <c r="O1143" s="0" t="s">
        <v>176</v>
      </c>
      <c r="Q1143" s="0" t="s">
        <v>130</v>
      </c>
      <c r="R1143" s="0" t="s">
        <v>138</v>
      </c>
      <c r="S1143" s="14">
        <v>0</v>
      </c>
      <c r="T1143" s="0" t="s">
        <v>139</v>
      </c>
      <c r="U1143" s="0" t="s">
        <v>138</v>
      </c>
      <c r="V1143" s="14" t="s">
        <v>138</v>
      </c>
      <c r="W1143" s="0" t="s">
        <v>138</v>
      </c>
      <c r="X1143" s="14" t="s">
        <v>138</v>
      </c>
      <c r="Y1143" s="0" t="s">
        <v>138</v>
      </c>
      <c r="Z1143" s="14" t="s">
        <v>138</v>
      </c>
      <c r="AA1143" s="0" t="s">
        <v>138</v>
      </c>
      <c r="AB1143" s="14" t="s">
        <v>138</v>
      </c>
      <c r="AD1143" s="0" t="s">
        <v>138</v>
      </c>
      <c r="AF1143" s="0">
        <v>0</v>
      </c>
      <c r="AG1143" s="0">
        <v>0</v>
      </c>
      <c r="AH1143" s="0" t="s">
        <v>140</v>
      </c>
      <c r="AI1143" s="0" t="s">
        <v>138</v>
      </c>
      <c r="AL1143" s="14"/>
      <c r="AN1143" s="14"/>
      <c r="AQ1143" s="0" t="s">
        <v>130</v>
      </c>
      <c r="AR1143" s="0" t="s">
        <v>130</v>
      </c>
      <c r="AS1143" s="0" t="s">
        <v>130</v>
      </c>
      <c r="AT1143" s="0" t="s">
        <v>130</v>
      </c>
      <c r="AU1143" s="0" t="s">
        <v>130</v>
      </c>
      <c r="AV1143" s="0" t="s">
        <v>130</v>
      </c>
      <c r="AW1143" s="0" t="s">
        <v>130</v>
      </c>
      <c r="AX1143" s="0" t="s">
        <v>130</v>
      </c>
      <c r="AY1143" s="0" t="s">
        <v>130</v>
      </c>
      <c r="AZ1143" s="0" t="s">
        <v>130</v>
      </c>
      <c r="BA1143" s="0" t="s">
        <v>130</v>
      </c>
      <c r="BB1143" s="0" t="s">
        <v>141</v>
      </c>
      <c r="BC1143" s="0" t="s">
        <v>130</v>
      </c>
      <c r="BD1143" s="0" t="s">
        <v>130</v>
      </c>
      <c r="BE1143" s="0" t="s">
        <v>130</v>
      </c>
      <c r="BF1143" s="0" t="s">
        <v>130</v>
      </c>
      <c r="BG1143" s="0" t="s">
        <v>130</v>
      </c>
      <c r="BH1143" s="0" t="s">
        <v>130</v>
      </c>
      <c r="BI1143" s="0" t="s">
        <v>130</v>
      </c>
      <c r="BJ1143" s="0" t="s">
        <v>130</v>
      </c>
      <c r="BK1143" s="0" t="s">
        <v>130</v>
      </c>
      <c r="BL1143" s="0" t="s">
        <v>130</v>
      </c>
      <c r="BM1143" s="0" t="s">
        <v>130</v>
      </c>
      <c r="BN1143" s="0" t="s">
        <v>130</v>
      </c>
      <c r="BO1143" s="0" t="s">
        <v>130</v>
      </c>
      <c r="BP1143" s="0" t="s">
        <v>130</v>
      </c>
      <c r="BQ1143" s="0" t="s">
        <v>130</v>
      </c>
      <c r="BR1143" s="0" t="s">
        <v>130</v>
      </c>
      <c r="BS1143" s="0" t="s">
        <v>130</v>
      </c>
      <c r="BT1143" s="0" t="s">
        <v>130</v>
      </c>
      <c r="BU1143" s="0" t="s">
        <v>130</v>
      </c>
      <c r="BV1143" s="0" t="s">
        <v>130</v>
      </c>
      <c r="BW1143" s="0" t="s">
        <v>130</v>
      </c>
      <c r="BX1143" s="0" t="s">
        <v>130</v>
      </c>
      <c r="BY1143" s="0" t="s">
        <v>130</v>
      </c>
      <c r="BZ1143" s="0" t="s">
        <v>130</v>
      </c>
      <c r="CA1143" s="0" t="s">
        <v>130</v>
      </c>
      <c r="CB1143" s="0" t="s">
        <v>130</v>
      </c>
      <c r="CC1143" s="0" t="s">
        <v>130</v>
      </c>
      <c r="CD1143" s="0" t="s">
        <v>130</v>
      </c>
      <c r="CE1143" s="0" t="s">
        <v>130</v>
      </c>
      <c r="CF1143" s="0" t="s">
        <v>130</v>
      </c>
      <c r="CG1143" s="0" t="s">
        <v>130</v>
      </c>
      <c r="CH1143" s="0" t="s">
        <v>130</v>
      </c>
      <c r="CI1143" s="0" t="s">
        <v>130</v>
      </c>
      <c r="CJ1143" s="0" t="s">
        <v>130</v>
      </c>
      <c r="CK1143" s="0" t="s">
        <v>130</v>
      </c>
      <c r="CL1143" s="0" t="s">
        <v>130</v>
      </c>
      <c r="CM1143" s="0" t="s">
        <v>130</v>
      </c>
      <c r="CN1143" s="0" t="s">
        <v>130</v>
      </c>
      <c r="CO1143" s="0" t="s">
        <v>130</v>
      </c>
      <c r="CP1143" s="0" t="s">
        <v>130</v>
      </c>
      <c r="CQ1143" s="0" t="s">
        <v>130</v>
      </c>
      <c r="CR1143" s="0" t="s">
        <v>130</v>
      </c>
      <c r="CS1143" s="0" t="s">
        <v>130</v>
      </c>
      <c r="CT1143" s="0" t="s">
        <v>3418</v>
      </c>
    </row>
    <row r="1144">
      <c r="A1144" s="14">
        <v>219229</v>
      </c>
      <c r="B1144" s="0" t="s">
        <v>3419</v>
      </c>
      <c r="C1144" s="16">
        <f>HYPERLINK("https://eosportal.federatedhermes.com/companies/Q29tcGFueQppNjE5Mjc=", "Localiza Rent a Car SA")</f>
      </c>
      <c r="D1144" s="0" t="s">
        <v>25</v>
      </c>
      <c r="E1144" s="0" t="s">
        <v>3420</v>
      </c>
      <c r="F1144" s="16">
        <f>HYPERLINK("https://eosportal.federatedhermes.com/engagements/RW5nYWdlbWVudAppMjU0NjE=", "Board engagement with investors")</f>
      </c>
      <c r="G1144" s="14" t="s">
        <v>3421</v>
      </c>
      <c r="H1144" s="0" t="s">
        <v>130</v>
      </c>
      <c r="I1144" s="14" t="s">
        <v>131</v>
      </c>
      <c r="J1144" s="0" t="s">
        <v>145</v>
      </c>
      <c r="K1144" s="0" t="s">
        <v>164</v>
      </c>
      <c r="L1144" s="0" t="s">
        <v>165</v>
      </c>
      <c r="M1144" s="0" t="s">
        <v>2807</v>
      </c>
      <c r="N1144" s="0" t="s">
        <v>3041</v>
      </c>
      <c r="O1144" s="0" t="s">
        <v>425</v>
      </c>
      <c r="Q1144" s="0" t="s">
        <v>130</v>
      </c>
      <c r="R1144" s="0" t="s">
        <v>138</v>
      </c>
      <c r="S1144" s="14">
        <v>0</v>
      </c>
      <c r="T1144" s="0" t="s">
        <v>193</v>
      </c>
      <c r="U1144" s="0" t="s">
        <v>138</v>
      </c>
      <c r="V1144" s="14" t="s">
        <v>138</v>
      </c>
      <c r="W1144" s="0" t="s">
        <v>138</v>
      </c>
      <c r="X1144" s="14" t="s">
        <v>138</v>
      </c>
      <c r="Y1144" s="0" t="s">
        <v>138</v>
      </c>
      <c r="Z1144" s="14" t="s">
        <v>138</v>
      </c>
      <c r="AA1144" s="0" t="s">
        <v>138</v>
      </c>
      <c r="AB1144" s="14" t="s">
        <v>138</v>
      </c>
      <c r="AD1144" s="0" t="s">
        <v>138</v>
      </c>
      <c r="AF1144" s="0">
        <v>0</v>
      </c>
      <c r="AG1144" s="0">
        <v>0</v>
      </c>
      <c r="AH1144" s="0" t="s">
        <v>140</v>
      </c>
      <c r="AI1144" s="0" t="s">
        <v>138</v>
      </c>
      <c r="AL1144" s="14"/>
      <c r="AN1144" s="14"/>
      <c r="AQ1144" s="0" t="s">
        <v>130</v>
      </c>
      <c r="AR1144" s="0" t="s">
        <v>130</v>
      </c>
      <c r="AS1144" s="0" t="s">
        <v>130</v>
      </c>
      <c r="AT1144" s="0" t="s">
        <v>130</v>
      </c>
      <c r="AU1144" s="0" t="s">
        <v>130</v>
      </c>
      <c r="AV1144" s="0" t="s">
        <v>130</v>
      </c>
      <c r="AW1144" s="0" t="s">
        <v>130</v>
      </c>
      <c r="AX1144" s="0" t="s">
        <v>130</v>
      </c>
      <c r="AY1144" s="0" t="s">
        <v>130</v>
      </c>
      <c r="AZ1144" s="0" t="s">
        <v>130</v>
      </c>
      <c r="BA1144" s="0" t="s">
        <v>130</v>
      </c>
      <c r="BB1144" s="0" t="s">
        <v>130</v>
      </c>
      <c r="BC1144" s="0" t="s">
        <v>130</v>
      </c>
      <c r="BD1144" s="0" t="s">
        <v>130</v>
      </c>
      <c r="BE1144" s="0" t="s">
        <v>130</v>
      </c>
      <c r="BF1144" s="0" t="s">
        <v>130</v>
      </c>
      <c r="BG1144" s="0" t="s">
        <v>130</v>
      </c>
      <c r="BH1144" s="0" t="s">
        <v>130</v>
      </c>
      <c r="BI1144" s="0" t="s">
        <v>130</v>
      </c>
      <c r="BJ1144" s="0" t="s">
        <v>130</v>
      </c>
      <c r="BK1144" s="0" t="s">
        <v>130</v>
      </c>
      <c r="BL1144" s="0" t="s">
        <v>130</v>
      </c>
      <c r="BM1144" s="0" t="s">
        <v>130</v>
      </c>
      <c r="BN1144" s="0" t="s">
        <v>130</v>
      </c>
      <c r="BO1144" s="0" t="s">
        <v>130</v>
      </c>
      <c r="BP1144" s="0" t="s">
        <v>130</v>
      </c>
      <c r="BQ1144" s="0" t="s">
        <v>130</v>
      </c>
      <c r="BR1144" s="0" t="s">
        <v>130</v>
      </c>
      <c r="BS1144" s="0" t="s">
        <v>130</v>
      </c>
      <c r="BT1144" s="0" t="s">
        <v>130</v>
      </c>
      <c r="BU1144" s="0" t="s">
        <v>130</v>
      </c>
      <c r="BV1144" s="0" t="s">
        <v>130</v>
      </c>
      <c r="BW1144" s="0" t="s">
        <v>130</v>
      </c>
      <c r="BX1144" s="0" t="s">
        <v>130</v>
      </c>
      <c r="BY1144" s="0" t="s">
        <v>130</v>
      </c>
      <c r="BZ1144" s="0" t="s">
        <v>130</v>
      </c>
      <c r="CA1144" s="0" t="s">
        <v>130</v>
      </c>
      <c r="CB1144" s="0" t="s">
        <v>130</v>
      </c>
      <c r="CC1144" s="0" t="s">
        <v>130</v>
      </c>
      <c r="CD1144" s="0" t="s">
        <v>130</v>
      </c>
      <c r="CE1144" s="0" t="s">
        <v>130</v>
      </c>
      <c r="CF1144" s="0" t="s">
        <v>130</v>
      </c>
      <c r="CG1144" s="0" t="s">
        <v>130</v>
      </c>
      <c r="CH1144" s="0" t="s">
        <v>130</v>
      </c>
      <c r="CI1144" s="0" t="s">
        <v>130</v>
      </c>
      <c r="CJ1144" s="0" t="s">
        <v>130</v>
      </c>
      <c r="CK1144" s="0" t="s">
        <v>130</v>
      </c>
      <c r="CL1144" s="0" t="s">
        <v>130</v>
      </c>
      <c r="CM1144" s="0" t="s">
        <v>130</v>
      </c>
      <c r="CN1144" s="0" t="s">
        <v>130</v>
      </c>
      <c r="CO1144" s="0" t="s">
        <v>130</v>
      </c>
      <c r="CP1144" s="0" t="s">
        <v>130</v>
      </c>
      <c r="CQ1144" s="0" t="s">
        <v>130</v>
      </c>
      <c r="CR1144" s="0" t="s">
        <v>130</v>
      </c>
      <c r="CS1144" s="0" t="s">
        <v>130</v>
      </c>
      <c r="CT1144" s="0" t="s">
        <v>3422</v>
      </c>
    </row>
    <row r="1145">
      <c r="A1145" s="14">
        <v>918049</v>
      </c>
      <c r="B1145" s="0" t="s">
        <v>3423</v>
      </c>
      <c r="C1145" s="16">
        <f>HYPERLINK("https://eosportal.federatedhermes.com/companies/Q29tcGFueQppNjQzOTQ=", "Enel SpA")</f>
      </c>
      <c r="D1145" s="0" t="s">
        <v>25</v>
      </c>
      <c r="E1145" s="0" t="s">
        <v>3424</v>
      </c>
      <c r="F1145" s="16">
        <f>HYPERLINK("https://eosportal.federatedhermes.com/engagements/RW5nYWdlbWVudAppMjU2MDI=", "Latin America project risk management")</f>
      </c>
      <c r="G1145" s="14" t="s">
        <v>3425</v>
      </c>
      <c r="H1145" s="0" t="s">
        <v>141</v>
      </c>
      <c r="I1145" s="14" t="s">
        <v>636</v>
      </c>
      <c r="J1145" s="0" t="s">
        <v>153</v>
      </c>
      <c r="K1145" s="0" t="s">
        <v>243</v>
      </c>
      <c r="L1145" s="0" t="s">
        <v>571</v>
      </c>
      <c r="M1145" s="0" t="s">
        <v>378</v>
      </c>
      <c r="N1145" s="0" t="s">
        <v>2898</v>
      </c>
      <c r="O1145" s="0" t="s">
        <v>192</v>
      </c>
      <c r="Q1145" s="0" t="s">
        <v>130</v>
      </c>
      <c r="R1145" s="0" t="s">
        <v>138</v>
      </c>
      <c r="S1145" s="14">
        <v>0</v>
      </c>
      <c r="T1145" s="0" t="s">
        <v>1529</v>
      </c>
      <c r="U1145" s="0" t="s">
        <v>138</v>
      </c>
      <c r="V1145" s="14" t="s">
        <v>138</v>
      </c>
      <c r="W1145" s="0" t="s">
        <v>138</v>
      </c>
      <c r="X1145" s="14" t="s">
        <v>138</v>
      </c>
      <c r="Y1145" s="0" t="s">
        <v>138</v>
      </c>
      <c r="Z1145" s="14" t="s">
        <v>138</v>
      </c>
      <c r="AA1145" s="0" t="s">
        <v>138</v>
      </c>
      <c r="AB1145" s="14" t="s">
        <v>138</v>
      </c>
      <c r="AD1145" s="0" t="s">
        <v>138</v>
      </c>
      <c r="AF1145" s="0">
        <v>0</v>
      </c>
      <c r="AG1145" s="0">
        <v>0</v>
      </c>
      <c r="AH1145" s="0" t="s">
        <v>140</v>
      </c>
      <c r="AI1145" s="0" t="s">
        <v>138</v>
      </c>
      <c r="AL1145" s="14"/>
      <c r="AN1145" s="14"/>
      <c r="AQ1145" s="0" t="s">
        <v>130</v>
      </c>
      <c r="AR1145" s="0" t="s">
        <v>130</v>
      </c>
      <c r="AS1145" s="0" t="s">
        <v>130</v>
      </c>
      <c r="AT1145" s="0" t="s">
        <v>130</v>
      </c>
      <c r="AU1145" s="0" t="s">
        <v>130</v>
      </c>
      <c r="AV1145" s="0" t="s">
        <v>130</v>
      </c>
      <c r="AW1145" s="0" t="s">
        <v>130</v>
      </c>
      <c r="AX1145" s="0" t="s">
        <v>130</v>
      </c>
      <c r="AY1145" s="0" t="s">
        <v>130</v>
      </c>
      <c r="AZ1145" s="0" t="s">
        <v>130</v>
      </c>
      <c r="BA1145" s="0" t="s">
        <v>130</v>
      </c>
      <c r="BB1145" s="0" t="s">
        <v>130</v>
      </c>
      <c r="BC1145" s="0" t="s">
        <v>130</v>
      </c>
      <c r="BD1145" s="0" t="s">
        <v>130</v>
      </c>
      <c r="BE1145" s="0" t="s">
        <v>130</v>
      </c>
      <c r="BF1145" s="0" t="s">
        <v>130</v>
      </c>
      <c r="BG1145" s="0" t="s">
        <v>130</v>
      </c>
      <c r="BH1145" s="0" t="s">
        <v>130</v>
      </c>
      <c r="BI1145" s="0" t="s">
        <v>130</v>
      </c>
      <c r="BJ1145" s="0" t="s">
        <v>130</v>
      </c>
      <c r="BK1145" s="0" t="s">
        <v>130</v>
      </c>
      <c r="BL1145" s="0" t="s">
        <v>130</v>
      </c>
      <c r="BM1145" s="0" t="s">
        <v>130</v>
      </c>
      <c r="BN1145" s="0" t="s">
        <v>130</v>
      </c>
      <c r="BO1145" s="0" t="s">
        <v>130</v>
      </c>
      <c r="BP1145" s="0" t="s">
        <v>130</v>
      </c>
      <c r="BQ1145" s="0" t="s">
        <v>130</v>
      </c>
      <c r="BR1145" s="0" t="s">
        <v>130</v>
      </c>
      <c r="BS1145" s="0" t="s">
        <v>130</v>
      </c>
      <c r="BT1145" s="0" t="s">
        <v>130</v>
      </c>
      <c r="BU1145" s="0" t="s">
        <v>130</v>
      </c>
      <c r="BV1145" s="0" t="s">
        <v>130</v>
      </c>
      <c r="BW1145" s="0" t="s">
        <v>130</v>
      </c>
      <c r="BX1145" s="0" t="s">
        <v>130</v>
      </c>
      <c r="BY1145" s="0" t="s">
        <v>130</v>
      </c>
      <c r="BZ1145" s="0" t="s">
        <v>130</v>
      </c>
      <c r="CA1145" s="0" t="s">
        <v>130</v>
      </c>
      <c r="CB1145" s="0" t="s">
        <v>130</v>
      </c>
      <c r="CC1145" s="0" t="s">
        <v>130</v>
      </c>
      <c r="CD1145" s="0" t="s">
        <v>130</v>
      </c>
      <c r="CE1145" s="0" t="s">
        <v>130</v>
      </c>
      <c r="CF1145" s="0" t="s">
        <v>130</v>
      </c>
      <c r="CG1145" s="0" t="s">
        <v>130</v>
      </c>
      <c r="CH1145" s="0" t="s">
        <v>130</v>
      </c>
      <c r="CI1145" s="0" t="s">
        <v>130</v>
      </c>
      <c r="CJ1145" s="0" t="s">
        <v>130</v>
      </c>
      <c r="CK1145" s="0" t="s">
        <v>130</v>
      </c>
      <c r="CL1145" s="0" t="s">
        <v>130</v>
      </c>
      <c r="CM1145" s="0" t="s">
        <v>130</v>
      </c>
      <c r="CN1145" s="0" t="s">
        <v>130</v>
      </c>
      <c r="CO1145" s="0" t="s">
        <v>130</v>
      </c>
      <c r="CP1145" s="0" t="s">
        <v>130</v>
      </c>
      <c r="CQ1145" s="0" t="s">
        <v>130</v>
      </c>
      <c r="CR1145" s="0" t="s">
        <v>130</v>
      </c>
      <c r="CS1145" s="0" t="s">
        <v>130</v>
      </c>
      <c r="CT1145" s="0" t="s">
        <v>3426</v>
      </c>
    </row>
    <row r="1146">
      <c r="A1146" s="14">
        <v>918049</v>
      </c>
      <c r="B1146" s="0" t="s">
        <v>3423</v>
      </c>
      <c r="C1146" s="16">
        <f>HYPERLINK("https://eosportal.federatedhermes.com/companies/Q29tcGFueQppNjQzOTQ=", "Enel SpA")</f>
      </c>
      <c r="D1146" s="0" t="s">
        <v>25</v>
      </c>
      <c r="E1146" s="0" t="s">
        <v>943</v>
      </c>
      <c r="F1146" s="16">
        <f>HYPERLINK("https://eosportal.federatedhermes.com/engagements/RW5nYWdlbWVudAppMjU2MDM=", "Diversity")</f>
      </c>
      <c r="G1146" s="14" t="s">
        <v>3427</v>
      </c>
      <c r="H1146" s="0" t="s">
        <v>141</v>
      </c>
      <c r="I1146" s="14" t="s">
        <v>636</v>
      </c>
      <c r="J1146" s="0" t="s">
        <v>153</v>
      </c>
      <c r="K1146" s="0" t="s">
        <v>154</v>
      </c>
      <c r="L1146" s="0" t="s">
        <v>268</v>
      </c>
      <c r="M1146" s="0" t="s">
        <v>378</v>
      </c>
      <c r="N1146" s="0" t="s">
        <v>2898</v>
      </c>
      <c r="O1146" s="0" t="s">
        <v>192</v>
      </c>
      <c r="Q1146" s="0" t="s">
        <v>130</v>
      </c>
      <c r="R1146" s="0" t="s">
        <v>138</v>
      </c>
      <c r="S1146" s="14">
        <v>0</v>
      </c>
      <c r="T1146" s="0" t="s">
        <v>320</v>
      </c>
      <c r="U1146" s="0" t="s">
        <v>138</v>
      </c>
      <c r="V1146" s="14" t="s">
        <v>138</v>
      </c>
      <c r="W1146" s="0" t="s">
        <v>138</v>
      </c>
      <c r="X1146" s="14" t="s">
        <v>138</v>
      </c>
      <c r="Y1146" s="0" t="s">
        <v>138</v>
      </c>
      <c r="Z1146" s="14" t="s">
        <v>138</v>
      </c>
      <c r="AA1146" s="0" t="s">
        <v>138</v>
      </c>
      <c r="AB1146" s="14" t="s">
        <v>138</v>
      </c>
      <c r="AD1146" s="0" t="s">
        <v>138</v>
      </c>
      <c r="AF1146" s="0">
        <v>0</v>
      </c>
      <c r="AG1146" s="0">
        <v>0</v>
      </c>
      <c r="AH1146" s="0" t="s">
        <v>140</v>
      </c>
      <c r="AI1146" s="0" t="s">
        <v>138</v>
      </c>
      <c r="AL1146" s="14"/>
      <c r="AN1146" s="14"/>
      <c r="AQ1146" s="0" t="s">
        <v>130</v>
      </c>
      <c r="AR1146" s="0" t="s">
        <v>130</v>
      </c>
      <c r="AS1146" s="0" t="s">
        <v>130</v>
      </c>
      <c r="AT1146" s="0" t="s">
        <v>130</v>
      </c>
      <c r="AU1146" s="0" t="s">
        <v>141</v>
      </c>
      <c r="AV1146" s="0" t="s">
        <v>130</v>
      </c>
      <c r="AW1146" s="0" t="s">
        <v>130</v>
      </c>
      <c r="AX1146" s="0" t="s">
        <v>130</v>
      </c>
      <c r="AY1146" s="0" t="s">
        <v>130</v>
      </c>
      <c r="AZ1146" s="0" t="s">
        <v>130</v>
      </c>
      <c r="BA1146" s="0" t="s">
        <v>130</v>
      </c>
      <c r="BB1146" s="0" t="s">
        <v>130</v>
      </c>
      <c r="BC1146" s="0" t="s">
        <v>130</v>
      </c>
      <c r="BD1146" s="0" t="s">
        <v>130</v>
      </c>
      <c r="BE1146" s="0" t="s">
        <v>130</v>
      </c>
      <c r="BF1146" s="0" t="s">
        <v>130</v>
      </c>
      <c r="BG1146" s="0" t="s">
        <v>130</v>
      </c>
      <c r="BH1146" s="0" t="s">
        <v>130</v>
      </c>
      <c r="BI1146" s="0" t="s">
        <v>130</v>
      </c>
      <c r="BJ1146" s="0" t="s">
        <v>130</v>
      </c>
      <c r="BK1146" s="0" t="s">
        <v>130</v>
      </c>
      <c r="BL1146" s="0" t="s">
        <v>130</v>
      </c>
      <c r="BM1146" s="0" t="s">
        <v>130</v>
      </c>
      <c r="BN1146" s="0" t="s">
        <v>130</v>
      </c>
      <c r="BO1146" s="0" t="s">
        <v>130</v>
      </c>
      <c r="BP1146" s="0" t="s">
        <v>130</v>
      </c>
      <c r="BQ1146" s="0" t="s">
        <v>130</v>
      </c>
      <c r="BR1146" s="0" t="s">
        <v>130</v>
      </c>
      <c r="BS1146" s="0" t="s">
        <v>130</v>
      </c>
      <c r="BT1146" s="0" t="s">
        <v>130</v>
      </c>
      <c r="BU1146" s="0" t="s">
        <v>130</v>
      </c>
      <c r="BV1146" s="0" t="s">
        <v>130</v>
      </c>
      <c r="BW1146" s="0" t="s">
        <v>130</v>
      </c>
      <c r="BX1146" s="0" t="s">
        <v>130</v>
      </c>
      <c r="BY1146" s="0" t="s">
        <v>130</v>
      </c>
      <c r="BZ1146" s="0" t="s">
        <v>130</v>
      </c>
      <c r="CA1146" s="0" t="s">
        <v>130</v>
      </c>
      <c r="CB1146" s="0" t="s">
        <v>130</v>
      </c>
      <c r="CC1146" s="0" t="s">
        <v>130</v>
      </c>
      <c r="CD1146" s="0" t="s">
        <v>130</v>
      </c>
      <c r="CE1146" s="0" t="s">
        <v>130</v>
      </c>
      <c r="CF1146" s="0" t="s">
        <v>130</v>
      </c>
      <c r="CG1146" s="0" t="s">
        <v>130</v>
      </c>
      <c r="CH1146" s="0" t="s">
        <v>130</v>
      </c>
      <c r="CI1146" s="0" t="s">
        <v>130</v>
      </c>
      <c r="CJ1146" s="0" t="s">
        <v>130</v>
      </c>
      <c r="CK1146" s="0" t="s">
        <v>141</v>
      </c>
      <c r="CL1146" s="0" t="s">
        <v>130</v>
      </c>
      <c r="CM1146" s="0" t="s">
        <v>130</v>
      </c>
      <c r="CN1146" s="0" t="s">
        <v>130</v>
      </c>
      <c r="CO1146" s="0" t="s">
        <v>130</v>
      </c>
      <c r="CP1146" s="0" t="s">
        <v>130</v>
      </c>
      <c r="CQ1146" s="0" t="s">
        <v>130</v>
      </c>
      <c r="CR1146" s="0" t="s">
        <v>130</v>
      </c>
      <c r="CS1146" s="0" t="s">
        <v>130</v>
      </c>
      <c r="CT1146" s="0" t="s">
        <v>3428</v>
      </c>
    </row>
    <row r="1147">
      <c r="A1147" s="14">
        <v>918049</v>
      </c>
      <c r="B1147" s="0" t="s">
        <v>3423</v>
      </c>
      <c r="C1147" s="16">
        <f>HYPERLINK("https://eosportal.federatedhermes.com/companies/Q29tcGFueQppNjQzOTQ=", "Enel SpA")</f>
      </c>
      <c r="D1147" s="0" t="s">
        <v>25</v>
      </c>
      <c r="E1147" s="0" t="s">
        <v>3429</v>
      </c>
      <c r="F1147" s="16">
        <f>HYPERLINK("https://eosportal.federatedhermes.com/engagements/RW5nYWdlbWVudAppMjU2MDQ=", "Environmental disclosure")</f>
      </c>
      <c r="G1147" s="14" t="s">
        <v>3429</v>
      </c>
      <c r="H1147" s="0" t="s">
        <v>141</v>
      </c>
      <c r="I1147" s="14" t="s">
        <v>636</v>
      </c>
      <c r="J1147" s="0" t="s">
        <v>132</v>
      </c>
      <c r="K1147" s="0" t="s">
        <v>170</v>
      </c>
      <c r="L1147" s="0" t="s">
        <v>171</v>
      </c>
      <c r="M1147" s="0" t="s">
        <v>378</v>
      </c>
      <c r="N1147" s="0" t="s">
        <v>2898</v>
      </c>
      <c r="O1147" s="0" t="s">
        <v>192</v>
      </c>
      <c r="Q1147" s="0" t="s">
        <v>130</v>
      </c>
      <c r="R1147" s="0" t="s">
        <v>138</v>
      </c>
      <c r="S1147" s="14">
        <v>0</v>
      </c>
      <c r="T1147" s="0" t="s">
        <v>1011</v>
      </c>
      <c r="U1147" s="0" t="s">
        <v>138</v>
      </c>
      <c r="V1147" s="14" t="s">
        <v>138</v>
      </c>
      <c r="W1147" s="0" t="s">
        <v>138</v>
      </c>
      <c r="X1147" s="14" t="s">
        <v>138</v>
      </c>
      <c r="Y1147" s="0" t="s">
        <v>138</v>
      </c>
      <c r="Z1147" s="14" t="s">
        <v>138</v>
      </c>
      <c r="AA1147" s="0" t="s">
        <v>138</v>
      </c>
      <c r="AB1147" s="14" t="s">
        <v>138</v>
      </c>
      <c r="AD1147" s="0" t="s">
        <v>138</v>
      </c>
      <c r="AF1147" s="0">
        <v>0</v>
      </c>
      <c r="AG1147" s="0">
        <v>0</v>
      </c>
      <c r="AH1147" s="0" t="s">
        <v>140</v>
      </c>
      <c r="AI1147" s="0" t="s">
        <v>138</v>
      </c>
      <c r="AL1147" s="14"/>
      <c r="AN1147" s="14"/>
      <c r="AQ1147" s="0" t="s">
        <v>130</v>
      </c>
      <c r="AR1147" s="0" t="s">
        <v>130</v>
      </c>
      <c r="AS1147" s="0" t="s">
        <v>130</v>
      </c>
      <c r="AT1147" s="0" t="s">
        <v>130</v>
      </c>
      <c r="AU1147" s="0" t="s">
        <v>130</v>
      </c>
      <c r="AV1147" s="0" t="s">
        <v>130</v>
      </c>
      <c r="AW1147" s="0" t="s">
        <v>130</v>
      </c>
      <c r="AX1147" s="0" t="s">
        <v>130</v>
      </c>
      <c r="AY1147" s="0" t="s">
        <v>130</v>
      </c>
      <c r="AZ1147" s="0" t="s">
        <v>130</v>
      </c>
      <c r="BA1147" s="0" t="s">
        <v>130</v>
      </c>
      <c r="BB1147" s="0" t="s">
        <v>130</v>
      </c>
      <c r="BC1147" s="0" t="s">
        <v>130</v>
      </c>
      <c r="BD1147" s="0" t="s">
        <v>130</v>
      </c>
      <c r="BE1147" s="0" t="s">
        <v>130</v>
      </c>
      <c r="BF1147" s="0" t="s">
        <v>130</v>
      </c>
      <c r="BG1147" s="0" t="s">
        <v>130</v>
      </c>
      <c r="BH1147" s="0" t="s">
        <v>130</v>
      </c>
      <c r="BI1147" s="0" t="s">
        <v>130</v>
      </c>
      <c r="BJ1147" s="0" t="s">
        <v>130</v>
      </c>
      <c r="BK1147" s="0" t="s">
        <v>130</v>
      </c>
      <c r="BL1147" s="0" t="s">
        <v>130</v>
      </c>
      <c r="BM1147" s="0" t="s">
        <v>130</v>
      </c>
      <c r="BN1147" s="0" t="s">
        <v>130</v>
      </c>
      <c r="BO1147" s="0" t="s">
        <v>130</v>
      </c>
      <c r="BP1147" s="0" t="s">
        <v>130</v>
      </c>
      <c r="BQ1147" s="0" t="s">
        <v>130</v>
      </c>
      <c r="BR1147" s="0" t="s">
        <v>130</v>
      </c>
      <c r="BS1147" s="0" t="s">
        <v>130</v>
      </c>
      <c r="BT1147" s="0" t="s">
        <v>130</v>
      </c>
      <c r="BU1147" s="0" t="s">
        <v>130</v>
      </c>
      <c r="BV1147" s="0" t="s">
        <v>130</v>
      </c>
      <c r="BW1147" s="0" t="s">
        <v>130</v>
      </c>
      <c r="BX1147" s="0" t="s">
        <v>130</v>
      </c>
      <c r="BY1147" s="0" t="s">
        <v>130</v>
      </c>
      <c r="BZ1147" s="0" t="s">
        <v>130</v>
      </c>
      <c r="CA1147" s="0" t="s">
        <v>130</v>
      </c>
      <c r="CB1147" s="0" t="s">
        <v>130</v>
      </c>
      <c r="CC1147" s="0" t="s">
        <v>130</v>
      </c>
      <c r="CD1147" s="0" t="s">
        <v>130</v>
      </c>
      <c r="CE1147" s="0" t="s">
        <v>130</v>
      </c>
      <c r="CF1147" s="0" t="s">
        <v>130</v>
      </c>
      <c r="CG1147" s="0" t="s">
        <v>130</v>
      </c>
      <c r="CH1147" s="0" t="s">
        <v>130</v>
      </c>
      <c r="CI1147" s="0" t="s">
        <v>130</v>
      </c>
      <c r="CJ1147" s="0" t="s">
        <v>130</v>
      </c>
      <c r="CK1147" s="0" t="s">
        <v>130</v>
      </c>
      <c r="CL1147" s="0" t="s">
        <v>130</v>
      </c>
      <c r="CM1147" s="0" t="s">
        <v>130</v>
      </c>
      <c r="CN1147" s="0" t="s">
        <v>130</v>
      </c>
      <c r="CO1147" s="0" t="s">
        <v>130</v>
      </c>
      <c r="CP1147" s="0" t="s">
        <v>130</v>
      </c>
      <c r="CQ1147" s="0" t="s">
        <v>130</v>
      </c>
      <c r="CR1147" s="0" t="s">
        <v>130</v>
      </c>
      <c r="CS1147" s="0" t="s">
        <v>130</v>
      </c>
      <c r="CT1147" s="0" t="s">
        <v>3430</v>
      </c>
    </row>
    <row r="1148">
      <c r="A1148" s="14">
        <v>918049</v>
      </c>
      <c r="B1148" s="0" t="s">
        <v>3423</v>
      </c>
      <c r="C1148" s="16">
        <f>HYPERLINK("https://eosportal.federatedhermes.com/companies/Q29tcGFueQppNjQzOTQ=", "Enel SpA")</f>
      </c>
      <c r="D1148" s="0" t="s">
        <v>25</v>
      </c>
      <c r="E1148" s="0" t="s">
        <v>3431</v>
      </c>
      <c r="F1148" s="16">
        <f>HYPERLINK("https://eosportal.federatedhermes.com/engagements/RW5nYWdlbWVudAppMjU2MDU=", "Board for the future energy economy")</f>
      </c>
      <c r="G1148" s="14" t="s">
        <v>3432</v>
      </c>
      <c r="H1148" s="0" t="s">
        <v>141</v>
      </c>
      <c r="I1148" s="14" t="s">
        <v>636</v>
      </c>
      <c r="J1148" s="0" t="s">
        <v>197</v>
      </c>
      <c r="K1148" s="0" t="s">
        <v>198</v>
      </c>
      <c r="L1148" s="0" t="s">
        <v>199</v>
      </c>
      <c r="M1148" s="0" t="s">
        <v>378</v>
      </c>
      <c r="N1148" s="0" t="s">
        <v>2898</v>
      </c>
      <c r="O1148" s="0" t="s">
        <v>192</v>
      </c>
      <c r="Q1148" s="0" t="s">
        <v>130</v>
      </c>
      <c r="R1148" s="0" t="s">
        <v>138</v>
      </c>
      <c r="S1148" s="14">
        <v>0</v>
      </c>
      <c r="T1148" s="0" t="s">
        <v>166</v>
      </c>
      <c r="U1148" s="0" t="s">
        <v>138</v>
      </c>
      <c r="V1148" s="14" t="s">
        <v>138</v>
      </c>
      <c r="W1148" s="0" t="s">
        <v>138</v>
      </c>
      <c r="X1148" s="14" t="s">
        <v>138</v>
      </c>
      <c r="Y1148" s="0" t="s">
        <v>138</v>
      </c>
      <c r="Z1148" s="14" t="s">
        <v>138</v>
      </c>
      <c r="AA1148" s="0" t="s">
        <v>138</v>
      </c>
      <c r="AB1148" s="14" t="s">
        <v>138</v>
      </c>
      <c r="AD1148" s="0" t="s">
        <v>138</v>
      </c>
      <c r="AF1148" s="0">
        <v>0</v>
      </c>
      <c r="AG1148" s="0">
        <v>0</v>
      </c>
      <c r="AH1148" s="0" t="s">
        <v>140</v>
      </c>
      <c r="AI1148" s="0" t="s">
        <v>138</v>
      </c>
      <c r="AL1148" s="14"/>
      <c r="AN1148" s="14"/>
      <c r="AQ1148" s="0" t="s">
        <v>130</v>
      </c>
      <c r="AR1148" s="0" t="s">
        <v>130</v>
      </c>
      <c r="AS1148" s="0" t="s">
        <v>130</v>
      </c>
      <c r="AT1148" s="0" t="s">
        <v>130</v>
      </c>
      <c r="AU1148" s="0" t="s">
        <v>130</v>
      </c>
      <c r="AV1148" s="0" t="s">
        <v>130</v>
      </c>
      <c r="AW1148" s="0" t="s">
        <v>130</v>
      </c>
      <c r="AX1148" s="0" t="s">
        <v>130</v>
      </c>
      <c r="AY1148" s="0" t="s">
        <v>130</v>
      </c>
      <c r="AZ1148" s="0" t="s">
        <v>130</v>
      </c>
      <c r="BA1148" s="0" t="s">
        <v>130</v>
      </c>
      <c r="BB1148" s="0" t="s">
        <v>141</v>
      </c>
      <c r="BC1148" s="0" t="s">
        <v>130</v>
      </c>
      <c r="BD1148" s="0" t="s">
        <v>130</v>
      </c>
      <c r="BE1148" s="0" t="s">
        <v>130</v>
      </c>
      <c r="BF1148" s="0" t="s">
        <v>130</v>
      </c>
      <c r="BG1148" s="0" t="s">
        <v>130</v>
      </c>
      <c r="BH1148" s="0" t="s">
        <v>130</v>
      </c>
      <c r="BI1148" s="0" t="s">
        <v>130</v>
      </c>
      <c r="BJ1148" s="0" t="s">
        <v>130</v>
      </c>
      <c r="BK1148" s="0" t="s">
        <v>130</v>
      </c>
      <c r="BL1148" s="0" t="s">
        <v>130</v>
      </c>
      <c r="BM1148" s="0" t="s">
        <v>130</v>
      </c>
      <c r="BN1148" s="0" t="s">
        <v>130</v>
      </c>
      <c r="BO1148" s="0" t="s">
        <v>130</v>
      </c>
      <c r="BP1148" s="0" t="s">
        <v>130</v>
      </c>
      <c r="BQ1148" s="0" t="s">
        <v>130</v>
      </c>
      <c r="BR1148" s="0" t="s">
        <v>130</v>
      </c>
      <c r="BS1148" s="0" t="s">
        <v>130</v>
      </c>
      <c r="BT1148" s="0" t="s">
        <v>130</v>
      </c>
      <c r="BU1148" s="0" t="s">
        <v>130</v>
      </c>
      <c r="BV1148" s="0" t="s">
        <v>130</v>
      </c>
      <c r="BW1148" s="0" t="s">
        <v>130</v>
      </c>
      <c r="BX1148" s="0" t="s">
        <v>130</v>
      </c>
      <c r="BY1148" s="0" t="s">
        <v>130</v>
      </c>
      <c r="BZ1148" s="0" t="s">
        <v>130</v>
      </c>
      <c r="CA1148" s="0" t="s">
        <v>130</v>
      </c>
      <c r="CB1148" s="0" t="s">
        <v>130</v>
      </c>
      <c r="CC1148" s="0" t="s">
        <v>130</v>
      </c>
      <c r="CD1148" s="0" t="s">
        <v>130</v>
      </c>
      <c r="CE1148" s="0" t="s">
        <v>130</v>
      </c>
      <c r="CF1148" s="0" t="s">
        <v>130</v>
      </c>
      <c r="CG1148" s="0" t="s">
        <v>130</v>
      </c>
      <c r="CH1148" s="0" t="s">
        <v>130</v>
      </c>
      <c r="CI1148" s="0" t="s">
        <v>130</v>
      </c>
      <c r="CJ1148" s="0" t="s">
        <v>130</v>
      </c>
      <c r="CK1148" s="0" t="s">
        <v>130</v>
      </c>
      <c r="CL1148" s="0" t="s">
        <v>130</v>
      </c>
      <c r="CM1148" s="0" t="s">
        <v>130</v>
      </c>
      <c r="CN1148" s="0" t="s">
        <v>130</v>
      </c>
      <c r="CO1148" s="0" t="s">
        <v>130</v>
      </c>
      <c r="CP1148" s="0" t="s">
        <v>130</v>
      </c>
      <c r="CQ1148" s="0" t="s">
        <v>130</v>
      </c>
      <c r="CR1148" s="0" t="s">
        <v>130</v>
      </c>
      <c r="CS1148" s="0" t="s">
        <v>130</v>
      </c>
      <c r="CT1148" s="0" t="s">
        <v>3433</v>
      </c>
    </row>
    <row r="1149">
      <c r="A1149" s="14">
        <v>225547</v>
      </c>
      <c r="B1149" s="0" t="s">
        <v>3434</v>
      </c>
      <c r="C1149" s="16">
        <f>HYPERLINK("https://eosportal.federatedhermes.com/companies/Q29tcGFueQppNzQwNTc=", "ArcelorMittal SA")</f>
      </c>
      <c r="D1149" s="0" t="s">
        <v>25</v>
      </c>
      <c r="E1149" s="0" t="s">
        <v>295</v>
      </c>
      <c r="F1149" s="16">
        <f>HYPERLINK("https://eosportal.federatedhermes.com/engagements/RW5nYWdlbWVudAppMjU2NTM=", "Board structure")</f>
      </c>
      <c r="G1149" s="14" t="s">
        <v>295</v>
      </c>
      <c r="H1149" s="0" t="s">
        <v>141</v>
      </c>
      <c r="I1149" s="14" t="s">
        <v>191</v>
      </c>
      <c r="J1149" s="0" t="s">
        <v>145</v>
      </c>
      <c r="K1149" s="0" t="s">
        <v>164</v>
      </c>
      <c r="L1149" s="0" t="s">
        <v>165</v>
      </c>
      <c r="M1149" s="0" t="s">
        <v>378</v>
      </c>
      <c r="N1149" s="0" t="s">
        <v>3435</v>
      </c>
      <c r="O1149" s="0" t="s">
        <v>373</v>
      </c>
      <c r="Q1149" s="0" t="s">
        <v>141</v>
      </c>
      <c r="R1149" s="0" t="s">
        <v>138</v>
      </c>
      <c r="S1149" s="14">
        <v>1</v>
      </c>
      <c r="T1149" s="0" t="s">
        <v>1074</v>
      </c>
      <c r="U1149" s="0" t="s">
        <v>138</v>
      </c>
      <c r="V1149" s="14" t="s">
        <v>138</v>
      </c>
      <c r="W1149" s="0" t="s">
        <v>138</v>
      </c>
      <c r="X1149" s="14" t="s">
        <v>138</v>
      </c>
      <c r="Y1149" s="0" t="s">
        <v>138</v>
      </c>
      <c r="Z1149" s="14" t="s">
        <v>138</v>
      </c>
      <c r="AA1149" s="0" t="s">
        <v>138</v>
      </c>
      <c r="AB1149" s="14" t="s">
        <v>138</v>
      </c>
      <c r="AD1149" s="0" t="s">
        <v>138</v>
      </c>
      <c r="AF1149" s="0">
        <v>0</v>
      </c>
      <c r="AG1149" s="0">
        <v>0</v>
      </c>
      <c r="AH1149" s="0" t="s">
        <v>140</v>
      </c>
      <c r="AI1149" s="0" t="s">
        <v>138</v>
      </c>
      <c r="AK1149" s="0" t="s">
        <v>1470</v>
      </c>
      <c r="AL1149" s="14"/>
      <c r="AN1149" s="14"/>
      <c r="AQ1149" s="0" t="s">
        <v>130</v>
      </c>
      <c r="AR1149" s="0" t="s">
        <v>130</v>
      </c>
      <c r="AS1149" s="0" t="s">
        <v>130</v>
      </c>
      <c r="AT1149" s="0" t="s">
        <v>130</v>
      </c>
      <c r="AU1149" s="0" t="s">
        <v>130</v>
      </c>
      <c r="AV1149" s="0" t="s">
        <v>130</v>
      </c>
      <c r="AW1149" s="0" t="s">
        <v>130</v>
      </c>
      <c r="AX1149" s="0" t="s">
        <v>130</v>
      </c>
      <c r="AY1149" s="0" t="s">
        <v>130</v>
      </c>
      <c r="AZ1149" s="0" t="s">
        <v>130</v>
      </c>
      <c r="BA1149" s="0" t="s">
        <v>130</v>
      </c>
      <c r="BB1149" s="0" t="s">
        <v>130</v>
      </c>
      <c r="BC1149" s="0" t="s">
        <v>130</v>
      </c>
      <c r="BD1149" s="0" t="s">
        <v>130</v>
      </c>
      <c r="BE1149" s="0" t="s">
        <v>130</v>
      </c>
      <c r="BF1149" s="0" t="s">
        <v>130</v>
      </c>
      <c r="BG1149" s="0" t="s">
        <v>130</v>
      </c>
      <c r="BH1149" s="0" t="s">
        <v>130</v>
      </c>
      <c r="BI1149" s="0" t="s">
        <v>130</v>
      </c>
      <c r="BJ1149" s="0" t="s">
        <v>130</v>
      </c>
      <c r="BK1149" s="0" t="s">
        <v>130</v>
      </c>
      <c r="BL1149" s="0" t="s">
        <v>130</v>
      </c>
      <c r="BM1149" s="0" t="s">
        <v>130</v>
      </c>
      <c r="BN1149" s="0" t="s">
        <v>130</v>
      </c>
      <c r="BO1149" s="0" t="s">
        <v>130</v>
      </c>
      <c r="BP1149" s="0" t="s">
        <v>130</v>
      </c>
      <c r="BQ1149" s="0" t="s">
        <v>130</v>
      </c>
      <c r="BR1149" s="0" t="s">
        <v>130</v>
      </c>
      <c r="BS1149" s="0" t="s">
        <v>130</v>
      </c>
      <c r="BT1149" s="0" t="s">
        <v>130</v>
      </c>
      <c r="BU1149" s="0" t="s">
        <v>130</v>
      </c>
      <c r="BV1149" s="0" t="s">
        <v>130</v>
      </c>
      <c r="BW1149" s="0" t="s">
        <v>130</v>
      </c>
      <c r="BX1149" s="0" t="s">
        <v>130</v>
      </c>
      <c r="BY1149" s="0" t="s">
        <v>130</v>
      </c>
      <c r="BZ1149" s="0" t="s">
        <v>130</v>
      </c>
      <c r="CA1149" s="0" t="s">
        <v>130</v>
      </c>
      <c r="CB1149" s="0" t="s">
        <v>130</v>
      </c>
      <c r="CC1149" s="0" t="s">
        <v>130</v>
      </c>
      <c r="CD1149" s="0" t="s">
        <v>130</v>
      </c>
      <c r="CE1149" s="0" t="s">
        <v>130</v>
      </c>
      <c r="CF1149" s="0" t="s">
        <v>130</v>
      </c>
      <c r="CG1149" s="0" t="s">
        <v>130</v>
      </c>
      <c r="CH1149" s="0" t="s">
        <v>130</v>
      </c>
      <c r="CI1149" s="0" t="s">
        <v>130</v>
      </c>
      <c r="CJ1149" s="0" t="s">
        <v>130</v>
      </c>
      <c r="CK1149" s="0" t="s">
        <v>130</v>
      </c>
      <c r="CL1149" s="0" t="s">
        <v>130</v>
      </c>
      <c r="CM1149" s="0" t="s">
        <v>130</v>
      </c>
      <c r="CN1149" s="0" t="s">
        <v>130</v>
      </c>
      <c r="CO1149" s="0" t="s">
        <v>130</v>
      </c>
      <c r="CP1149" s="0" t="s">
        <v>130</v>
      </c>
      <c r="CQ1149" s="0" t="s">
        <v>130</v>
      </c>
      <c r="CR1149" s="0" t="s">
        <v>130</v>
      </c>
      <c r="CS1149" s="0" t="s">
        <v>130</v>
      </c>
      <c r="CT1149" s="0" t="s">
        <v>3436</v>
      </c>
    </row>
    <row r="1150">
      <c r="A1150" s="14">
        <v>225547</v>
      </c>
      <c r="B1150" s="0" t="s">
        <v>3434</v>
      </c>
      <c r="C1150" s="16">
        <f>HYPERLINK("https://eosportal.federatedhermes.com/companies/Q29tcGFueQppNzQwNTc=", "ArcelorMittal SA")</f>
      </c>
      <c r="D1150" s="0" t="s">
        <v>25</v>
      </c>
      <c r="E1150" s="0" t="s">
        <v>3437</v>
      </c>
      <c r="F1150" s="16">
        <f>HYPERLINK("https://eosportal.federatedhermes.com/engagements/RW5nYWdlbWVudAppMjU2NTQ=", "Health and Safety")</f>
      </c>
      <c r="G1150" s="14" t="s">
        <v>2734</v>
      </c>
      <c r="H1150" s="0" t="s">
        <v>141</v>
      </c>
      <c r="I1150" s="14" t="s">
        <v>191</v>
      </c>
      <c r="J1150" s="0" t="s">
        <v>153</v>
      </c>
      <c r="K1150" s="0" t="s">
        <v>154</v>
      </c>
      <c r="L1150" s="0" t="s">
        <v>155</v>
      </c>
      <c r="M1150" s="0" t="s">
        <v>378</v>
      </c>
      <c r="N1150" s="0" t="s">
        <v>3435</v>
      </c>
      <c r="O1150" s="0" t="s">
        <v>373</v>
      </c>
      <c r="Q1150" s="0" t="s">
        <v>130</v>
      </c>
      <c r="R1150" s="0" t="s">
        <v>138</v>
      </c>
      <c r="S1150" s="14">
        <v>0</v>
      </c>
      <c r="T1150" s="0" t="s">
        <v>245</v>
      </c>
      <c r="U1150" s="0" t="s">
        <v>138</v>
      </c>
      <c r="V1150" s="14" t="s">
        <v>138</v>
      </c>
      <c r="W1150" s="0" t="s">
        <v>138</v>
      </c>
      <c r="X1150" s="14" t="s">
        <v>138</v>
      </c>
      <c r="Y1150" s="0" t="s">
        <v>138</v>
      </c>
      <c r="Z1150" s="14" t="s">
        <v>138</v>
      </c>
      <c r="AA1150" s="0" t="s">
        <v>138</v>
      </c>
      <c r="AB1150" s="14" t="s">
        <v>138</v>
      </c>
      <c r="AD1150" s="0" t="s">
        <v>138</v>
      </c>
      <c r="AF1150" s="0">
        <v>0</v>
      </c>
      <c r="AG1150" s="0">
        <v>0</v>
      </c>
      <c r="AH1150" s="0" t="s">
        <v>140</v>
      </c>
      <c r="AI1150" s="0" t="s">
        <v>138</v>
      </c>
      <c r="AL1150" s="14"/>
      <c r="AN1150" s="14"/>
      <c r="AQ1150" s="0" t="s">
        <v>130</v>
      </c>
      <c r="AR1150" s="0" t="s">
        <v>130</v>
      </c>
      <c r="AS1150" s="0" t="s">
        <v>130</v>
      </c>
      <c r="AT1150" s="0" t="s">
        <v>130</v>
      </c>
      <c r="AU1150" s="0" t="s">
        <v>130</v>
      </c>
      <c r="AV1150" s="0" t="s">
        <v>130</v>
      </c>
      <c r="AW1150" s="0" t="s">
        <v>130</v>
      </c>
      <c r="AX1150" s="0" t="s">
        <v>141</v>
      </c>
      <c r="AY1150" s="0" t="s">
        <v>130</v>
      </c>
      <c r="AZ1150" s="0" t="s">
        <v>130</v>
      </c>
      <c r="BA1150" s="0" t="s">
        <v>130</v>
      </c>
      <c r="BB1150" s="0" t="s">
        <v>130</v>
      </c>
      <c r="BC1150" s="0" t="s">
        <v>130</v>
      </c>
      <c r="BD1150" s="0" t="s">
        <v>130</v>
      </c>
      <c r="BE1150" s="0" t="s">
        <v>130</v>
      </c>
      <c r="BF1150" s="0" t="s">
        <v>130</v>
      </c>
      <c r="BG1150" s="0" t="s">
        <v>130</v>
      </c>
      <c r="BH1150" s="0" t="s">
        <v>130</v>
      </c>
      <c r="BI1150" s="0" t="s">
        <v>130</v>
      </c>
      <c r="BJ1150" s="0" t="s">
        <v>130</v>
      </c>
      <c r="BK1150" s="0" t="s">
        <v>130</v>
      </c>
      <c r="BL1150" s="0" t="s">
        <v>130</v>
      </c>
      <c r="BM1150" s="0" t="s">
        <v>130</v>
      </c>
      <c r="BN1150" s="0" t="s">
        <v>130</v>
      </c>
      <c r="BO1150" s="0" t="s">
        <v>130</v>
      </c>
      <c r="BP1150" s="0" t="s">
        <v>130</v>
      </c>
      <c r="BQ1150" s="0" t="s">
        <v>130</v>
      </c>
      <c r="BR1150" s="0" t="s">
        <v>130</v>
      </c>
      <c r="BS1150" s="0" t="s">
        <v>130</v>
      </c>
      <c r="BT1150" s="0" t="s">
        <v>130</v>
      </c>
      <c r="BU1150" s="0" t="s">
        <v>130</v>
      </c>
      <c r="BV1150" s="0" t="s">
        <v>130</v>
      </c>
      <c r="BW1150" s="0" t="s">
        <v>130</v>
      </c>
      <c r="BX1150" s="0" t="s">
        <v>130</v>
      </c>
      <c r="BY1150" s="0" t="s">
        <v>130</v>
      </c>
      <c r="BZ1150" s="0" t="s">
        <v>130</v>
      </c>
      <c r="CA1150" s="0" t="s">
        <v>130</v>
      </c>
      <c r="CB1150" s="0" t="s">
        <v>130</v>
      </c>
      <c r="CC1150" s="0" t="s">
        <v>130</v>
      </c>
      <c r="CD1150" s="0" t="s">
        <v>130</v>
      </c>
      <c r="CE1150" s="0" t="s">
        <v>130</v>
      </c>
      <c r="CF1150" s="0" t="s">
        <v>130</v>
      </c>
      <c r="CG1150" s="0" t="s">
        <v>130</v>
      </c>
      <c r="CH1150" s="0" t="s">
        <v>130</v>
      </c>
      <c r="CI1150" s="0" t="s">
        <v>141</v>
      </c>
      <c r="CJ1150" s="0" t="s">
        <v>130</v>
      </c>
      <c r="CK1150" s="0" t="s">
        <v>130</v>
      </c>
      <c r="CL1150" s="0" t="s">
        <v>130</v>
      </c>
      <c r="CM1150" s="0" t="s">
        <v>130</v>
      </c>
      <c r="CN1150" s="0" t="s">
        <v>130</v>
      </c>
      <c r="CO1150" s="0" t="s">
        <v>130</v>
      </c>
      <c r="CP1150" s="0" t="s">
        <v>130</v>
      </c>
      <c r="CQ1150" s="0" t="s">
        <v>130</v>
      </c>
      <c r="CR1150" s="0" t="s">
        <v>130</v>
      </c>
      <c r="CS1150" s="0" t="s">
        <v>130</v>
      </c>
      <c r="CT1150" s="0" t="s">
        <v>3438</v>
      </c>
    </row>
    <row r="1151">
      <c r="A1151" s="14">
        <v>225547</v>
      </c>
      <c r="B1151" s="0" t="s">
        <v>3434</v>
      </c>
      <c r="C1151" s="16">
        <f>HYPERLINK("https://eosportal.federatedhermes.com/companies/Q29tcGFueQppNzQwNTc=", "ArcelorMittal SA")</f>
      </c>
      <c r="D1151" s="0" t="s">
        <v>25</v>
      </c>
      <c r="E1151" s="0" t="s">
        <v>3439</v>
      </c>
      <c r="F1151" s="16">
        <f>HYPERLINK("https://eosportal.federatedhermes.com/engagements/RW5nYWdlbWVudAppMjU2NTk=", "Tailings risk management")</f>
      </c>
      <c r="G1151" s="14" t="s">
        <v>3440</v>
      </c>
      <c r="H1151" s="0" t="s">
        <v>141</v>
      </c>
      <c r="I1151" s="14" t="s">
        <v>191</v>
      </c>
      <c r="J1151" s="0" t="s">
        <v>132</v>
      </c>
      <c r="K1151" s="0" t="s">
        <v>260</v>
      </c>
      <c r="L1151" s="0" t="s">
        <v>261</v>
      </c>
      <c r="M1151" s="0" t="s">
        <v>378</v>
      </c>
      <c r="N1151" s="0" t="s">
        <v>3435</v>
      </c>
      <c r="O1151" s="0" t="s">
        <v>373</v>
      </c>
      <c r="Q1151" s="0" t="s">
        <v>130</v>
      </c>
      <c r="R1151" s="0" t="s">
        <v>138</v>
      </c>
      <c r="S1151" s="14">
        <v>0</v>
      </c>
      <c r="T1151" s="0" t="s">
        <v>288</v>
      </c>
      <c r="U1151" s="0" t="s">
        <v>138</v>
      </c>
      <c r="V1151" s="14" t="s">
        <v>138</v>
      </c>
      <c r="W1151" s="0" t="s">
        <v>138</v>
      </c>
      <c r="X1151" s="14" t="s">
        <v>138</v>
      </c>
      <c r="Y1151" s="0" t="s">
        <v>138</v>
      </c>
      <c r="Z1151" s="14" t="s">
        <v>138</v>
      </c>
      <c r="AA1151" s="0" t="s">
        <v>138</v>
      </c>
      <c r="AB1151" s="14" t="s">
        <v>138</v>
      </c>
      <c r="AD1151" s="0" t="s">
        <v>138</v>
      </c>
      <c r="AF1151" s="0">
        <v>0</v>
      </c>
      <c r="AG1151" s="0">
        <v>0</v>
      </c>
      <c r="AH1151" s="0" t="s">
        <v>140</v>
      </c>
      <c r="AI1151" s="0" t="s">
        <v>138</v>
      </c>
      <c r="AL1151" s="14"/>
      <c r="AN1151" s="14"/>
      <c r="AQ1151" s="0" t="s">
        <v>130</v>
      </c>
      <c r="AR1151" s="0" t="s">
        <v>130</v>
      </c>
      <c r="AS1151" s="0" t="s">
        <v>130</v>
      </c>
      <c r="AT1151" s="0" t="s">
        <v>130</v>
      </c>
      <c r="AU1151" s="0" t="s">
        <v>130</v>
      </c>
      <c r="AV1151" s="0" t="s">
        <v>130</v>
      </c>
      <c r="AW1151" s="0" t="s">
        <v>130</v>
      </c>
      <c r="AX1151" s="0" t="s">
        <v>130</v>
      </c>
      <c r="AY1151" s="0" t="s">
        <v>141</v>
      </c>
      <c r="AZ1151" s="0" t="s">
        <v>130</v>
      </c>
      <c r="BA1151" s="0" t="s">
        <v>130</v>
      </c>
      <c r="BB1151" s="0" t="s">
        <v>130</v>
      </c>
      <c r="BC1151" s="0" t="s">
        <v>130</v>
      </c>
      <c r="BD1151" s="0" t="s">
        <v>130</v>
      </c>
      <c r="BE1151" s="0" t="s">
        <v>130</v>
      </c>
      <c r="BF1151" s="0" t="s">
        <v>130</v>
      </c>
      <c r="BG1151" s="0" t="s">
        <v>130</v>
      </c>
      <c r="BH1151" s="0" t="s">
        <v>130</v>
      </c>
      <c r="BI1151" s="0" t="s">
        <v>130</v>
      </c>
      <c r="BJ1151" s="0" t="s">
        <v>130</v>
      </c>
      <c r="BK1151" s="0" t="s">
        <v>130</v>
      </c>
      <c r="BL1151" s="0" t="s">
        <v>130</v>
      </c>
      <c r="BM1151" s="0" t="s">
        <v>130</v>
      </c>
      <c r="BN1151" s="0" t="s">
        <v>130</v>
      </c>
      <c r="BO1151" s="0" t="s">
        <v>130</v>
      </c>
      <c r="BP1151" s="0" t="s">
        <v>130</v>
      </c>
      <c r="BQ1151" s="0" t="s">
        <v>130</v>
      </c>
      <c r="BR1151" s="0" t="s">
        <v>130</v>
      </c>
      <c r="BS1151" s="0" t="s">
        <v>130</v>
      </c>
      <c r="BT1151" s="0" t="s">
        <v>130</v>
      </c>
      <c r="BU1151" s="0" t="s">
        <v>130</v>
      </c>
      <c r="BV1151" s="0" t="s">
        <v>130</v>
      </c>
      <c r="BW1151" s="0" t="s">
        <v>130</v>
      </c>
      <c r="BX1151" s="0" t="s">
        <v>130</v>
      </c>
      <c r="BY1151" s="0" t="s">
        <v>130</v>
      </c>
      <c r="BZ1151" s="0" t="s">
        <v>130</v>
      </c>
      <c r="CA1151" s="0" t="s">
        <v>130</v>
      </c>
      <c r="CB1151" s="0" t="s">
        <v>130</v>
      </c>
      <c r="CC1151" s="0" t="s">
        <v>130</v>
      </c>
      <c r="CD1151" s="0" t="s">
        <v>130</v>
      </c>
      <c r="CE1151" s="0" t="s">
        <v>130</v>
      </c>
      <c r="CF1151" s="0" t="s">
        <v>130</v>
      </c>
      <c r="CG1151" s="0" t="s">
        <v>130</v>
      </c>
      <c r="CH1151" s="0" t="s">
        <v>130</v>
      </c>
      <c r="CI1151" s="0" t="s">
        <v>130</v>
      </c>
      <c r="CJ1151" s="0" t="s">
        <v>130</v>
      </c>
      <c r="CK1151" s="0" t="s">
        <v>130</v>
      </c>
      <c r="CL1151" s="0" t="s">
        <v>130</v>
      </c>
      <c r="CM1151" s="0" t="s">
        <v>130</v>
      </c>
      <c r="CN1151" s="0" t="s">
        <v>130</v>
      </c>
      <c r="CO1151" s="0" t="s">
        <v>130</v>
      </c>
      <c r="CP1151" s="0" t="s">
        <v>130</v>
      </c>
      <c r="CQ1151" s="0" t="s">
        <v>130</v>
      </c>
      <c r="CR1151" s="0" t="s">
        <v>130</v>
      </c>
      <c r="CS1151" s="0" t="s">
        <v>130</v>
      </c>
      <c r="CT1151" s="0" t="s">
        <v>3441</v>
      </c>
    </row>
    <row r="1152">
      <c r="A1152" s="14">
        <v>225547</v>
      </c>
      <c r="B1152" s="0" t="s">
        <v>3434</v>
      </c>
      <c r="C1152" s="16">
        <f>HYPERLINK("https://eosportal.federatedhermes.com/companies/Q29tcGFueQppNzQwNTc=", "ArcelorMittal SA")</f>
      </c>
      <c r="D1152" s="0" t="s">
        <v>25</v>
      </c>
      <c r="E1152" s="0" t="s">
        <v>3442</v>
      </c>
      <c r="F1152" s="16">
        <f>HYPERLINK("https://eosportal.federatedhermes.com/engagements/RW5nYWdlbWVudAppMjU2NjE=", "Inappropriate labour practices")</f>
      </c>
      <c r="G1152" s="14" t="s">
        <v>3443</v>
      </c>
      <c r="H1152" s="0" t="s">
        <v>141</v>
      </c>
      <c r="I1152" s="14" t="s">
        <v>191</v>
      </c>
      <c r="J1152" s="0" t="s">
        <v>153</v>
      </c>
      <c r="K1152" s="0" t="s">
        <v>154</v>
      </c>
      <c r="L1152" s="0" t="s">
        <v>306</v>
      </c>
      <c r="M1152" s="0" t="s">
        <v>378</v>
      </c>
      <c r="N1152" s="0" t="s">
        <v>3435</v>
      </c>
      <c r="O1152" s="0" t="s">
        <v>373</v>
      </c>
      <c r="Q1152" s="0" t="s">
        <v>130</v>
      </c>
      <c r="R1152" s="0" t="s">
        <v>138</v>
      </c>
      <c r="S1152" s="14">
        <v>0</v>
      </c>
      <c r="T1152" s="0" t="s">
        <v>1243</v>
      </c>
      <c r="U1152" s="0" t="s">
        <v>138</v>
      </c>
      <c r="V1152" s="14" t="s">
        <v>138</v>
      </c>
      <c r="W1152" s="0" t="s">
        <v>138</v>
      </c>
      <c r="X1152" s="14" t="s">
        <v>138</v>
      </c>
      <c r="Y1152" s="0" t="s">
        <v>138</v>
      </c>
      <c r="Z1152" s="14" t="s">
        <v>138</v>
      </c>
      <c r="AA1152" s="0" t="s">
        <v>138</v>
      </c>
      <c r="AB1152" s="14" t="s">
        <v>138</v>
      </c>
      <c r="AD1152" s="0" t="s">
        <v>138</v>
      </c>
      <c r="AF1152" s="0">
        <v>0</v>
      </c>
      <c r="AG1152" s="0">
        <v>0</v>
      </c>
      <c r="AH1152" s="0" t="s">
        <v>140</v>
      </c>
      <c r="AI1152" s="0" t="s">
        <v>138</v>
      </c>
      <c r="AL1152" s="14"/>
      <c r="AN1152" s="14"/>
      <c r="AQ1152" s="0" t="s">
        <v>130</v>
      </c>
      <c r="AR1152" s="0" t="s">
        <v>130</v>
      </c>
      <c r="AS1152" s="0" t="s">
        <v>130</v>
      </c>
      <c r="AT1152" s="0" t="s">
        <v>130</v>
      </c>
      <c r="AU1152" s="0" t="s">
        <v>130</v>
      </c>
      <c r="AV1152" s="0" t="s">
        <v>130</v>
      </c>
      <c r="AW1152" s="0" t="s">
        <v>130</v>
      </c>
      <c r="AX1152" s="0" t="s">
        <v>141</v>
      </c>
      <c r="AY1152" s="0" t="s">
        <v>130</v>
      </c>
      <c r="AZ1152" s="0" t="s">
        <v>141</v>
      </c>
      <c r="BA1152" s="0" t="s">
        <v>130</v>
      </c>
      <c r="BB1152" s="0" t="s">
        <v>130</v>
      </c>
      <c r="BC1152" s="0" t="s">
        <v>130</v>
      </c>
      <c r="BD1152" s="0" t="s">
        <v>130</v>
      </c>
      <c r="BE1152" s="0" t="s">
        <v>130</v>
      </c>
      <c r="BF1152" s="0" t="s">
        <v>130</v>
      </c>
      <c r="BG1152" s="0" t="s">
        <v>130</v>
      </c>
      <c r="BH1152" s="0" t="s">
        <v>130</v>
      </c>
      <c r="BI1152" s="0" t="s">
        <v>130</v>
      </c>
      <c r="BJ1152" s="0" t="s">
        <v>130</v>
      </c>
      <c r="BK1152" s="0" t="s">
        <v>130</v>
      </c>
      <c r="BL1152" s="0" t="s">
        <v>130</v>
      </c>
      <c r="BM1152" s="0" t="s">
        <v>130</v>
      </c>
      <c r="BN1152" s="0" t="s">
        <v>130</v>
      </c>
      <c r="BO1152" s="0" t="s">
        <v>130</v>
      </c>
      <c r="BP1152" s="0" t="s">
        <v>130</v>
      </c>
      <c r="BQ1152" s="0" t="s">
        <v>130</v>
      </c>
      <c r="BR1152" s="0" t="s">
        <v>130</v>
      </c>
      <c r="BS1152" s="0" t="s">
        <v>130</v>
      </c>
      <c r="BT1152" s="0" t="s">
        <v>130</v>
      </c>
      <c r="BU1152" s="0" t="s">
        <v>130</v>
      </c>
      <c r="BV1152" s="0" t="s">
        <v>130</v>
      </c>
      <c r="BW1152" s="0" t="s">
        <v>130</v>
      </c>
      <c r="BX1152" s="0" t="s">
        <v>130</v>
      </c>
      <c r="BY1152" s="0" t="s">
        <v>130</v>
      </c>
      <c r="BZ1152" s="0" t="s">
        <v>130</v>
      </c>
      <c r="CA1152" s="0" t="s">
        <v>130</v>
      </c>
      <c r="CB1152" s="0" t="s">
        <v>130</v>
      </c>
      <c r="CC1152" s="0" t="s">
        <v>130</v>
      </c>
      <c r="CD1152" s="0" t="s">
        <v>130</v>
      </c>
      <c r="CE1152" s="0" t="s">
        <v>130</v>
      </c>
      <c r="CF1152" s="0" t="s">
        <v>130</v>
      </c>
      <c r="CG1152" s="0" t="s">
        <v>130</v>
      </c>
      <c r="CH1152" s="0" t="s">
        <v>130</v>
      </c>
      <c r="CI1152" s="0" t="s">
        <v>130</v>
      </c>
      <c r="CJ1152" s="0" t="s">
        <v>130</v>
      </c>
      <c r="CK1152" s="0" t="s">
        <v>130</v>
      </c>
      <c r="CL1152" s="0" t="s">
        <v>130</v>
      </c>
      <c r="CM1152" s="0" t="s">
        <v>130</v>
      </c>
      <c r="CN1152" s="0" t="s">
        <v>130</v>
      </c>
      <c r="CO1152" s="0" t="s">
        <v>130</v>
      </c>
      <c r="CP1152" s="0" t="s">
        <v>130</v>
      </c>
      <c r="CQ1152" s="0" t="s">
        <v>130</v>
      </c>
      <c r="CR1152" s="0" t="s">
        <v>130</v>
      </c>
      <c r="CS1152" s="0" t="s">
        <v>130</v>
      </c>
      <c r="CT1152" s="0" t="s">
        <v>3444</v>
      </c>
    </row>
    <row r="1153">
      <c r="A1153" s="14">
        <v>225547</v>
      </c>
      <c r="B1153" s="0" t="s">
        <v>3434</v>
      </c>
      <c r="C1153" s="16">
        <f>HYPERLINK("https://eosportal.federatedhermes.com/companies/Q29tcGFueQppNzQwNTc=", "ArcelorMittal SA")</f>
      </c>
      <c r="D1153" s="0" t="s">
        <v>25</v>
      </c>
      <c r="E1153" s="0" t="s">
        <v>3445</v>
      </c>
      <c r="F1153" s="16">
        <f>HYPERLINK("https://eosportal.federatedhermes.com/engagements/RW5nYWdlbWVudAppMjU2NjI=", "Human Rights Disclosure")</f>
      </c>
      <c r="G1153" s="14" t="s">
        <v>3446</v>
      </c>
      <c r="H1153" s="0" t="s">
        <v>141</v>
      </c>
      <c r="I1153" s="14" t="s">
        <v>191</v>
      </c>
      <c r="J1153" s="0" t="s">
        <v>153</v>
      </c>
      <c r="K1153" s="0" t="s">
        <v>243</v>
      </c>
      <c r="L1153" s="0" t="s">
        <v>244</v>
      </c>
      <c r="M1153" s="0" t="s">
        <v>378</v>
      </c>
      <c r="N1153" s="0" t="s">
        <v>3435</v>
      </c>
      <c r="O1153" s="0" t="s">
        <v>373</v>
      </c>
      <c r="Q1153" s="0" t="s">
        <v>130</v>
      </c>
      <c r="R1153" s="0" t="s">
        <v>138</v>
      </c>
      <c r="S1153" s="14">
        <v>0</v>
      </c>
      <c r="T1153" s="0" t="s">
        <v>156</v>
      </c>
      <c r="U1153" s="0" t="s">
        <v>138</v>
      </c>
      <c r="V1153" s="14" t="s">
        <v>138</v>
      </c>
      <c r="W1153" s="0" t="s">
        <v>138</v>
      </c>
      <c r="X1153" s="14" t="s">
        <v>138</v>
      </c>
      <c r="Y1153" s="0" t="s">
        <v>138</v>
      </c>
      <c r="Z1153" s="14" t="s">
        <v>138</v>
      </c>
      <c r="AA1153" s="0" t="s">
        <v>138</v>
      </c>
      <c r="AB1153" s="14" t="s">
        <v>138</v>
      </c>
      <c r="AD1153" s="0" t="s">
        <v>138</v>
      </c>
      <c r="AF1153" s="0">
        <v>0</v>
      </c>
      <c r="AG1153" s="0">
        <v>0</v>
      </c>
      <c r="AH1153" s="0" t="s">
        <v>140</v>
      </c>
      <c r="AI1153" s="0" t="s">
        <v>138</v>
      </c>
      <c r="AL1153" s="14"/>
      <c r="AN1153" s="14"/>
      <c r="AQ1153" s="0" t="s">
        <v>130</v>
      </c>
      <c r="AR1153" s="0" t="s">
        <v>130</v>
      </c>
      <c r="AS1153" s="0" t="s">
        <v>130</v>
      </c>
      <c r="AT1153" s="0" t="s">
        <v>130</v>
      </c>
      <c r="AU1153" s="0" t="s">
        <v>130</v>
      </c>
      <c r="AV1153" s="0" t="s">
        <v>130</v>
      </c>
      <c r="AW1153" s="0" t="s">
        <v>130</v>
      </c>
      <c r="AX1153" s="0" t="s">
        <v>141</v>
      </c>
      <c r="AY1153" s="0" t="s">
        <v>130</v>
      </c>
      <c r="AZ1153" s="0" t="s">
        <v>130</v>
      </c>
      <c r="BA1153" s="0" t="s">
        <v>130</v>
      </c>
      <c r="BB1153" s="0" t="s">
        <v>130</v>
      </c>
      <c r="BC1153" s="0" t="s">
        <v>130</v>
      </c>
      <c r="BD1153" s="0" t="s">
        <v>130</v>
      </c>
      <c r="BE1153" s="0" t="s">
        <v>130</v>
      </c>
      <c r="BF1153" s="0" t="s">
        <v>130</v>
      </c>
      <c r="BG1153" s="0" t="s">
        <v>130</v>
      </c>
      <c r="BH1153" s="0" t="s">
        <v>130</v>
      </c>
      <c r="BI1153" s="0" t="s">
        <v>130</v>
      </c>
      <c r="BJ1153" s="0" t="s">
        <v>130</v>
      </c>
      <c r="BK1153" s="0" t="s">
        <v>130</v>
      </c>
      <c r="BL1153" s="0" t="s">
        <v>130</v>
      </c>
      <c r="BM1153" s="0" t="s">
        <v>130</v>
      </c>
      <c r="BN1153" s="0" t="s">
        <v>130</v>
      </c>
      <c r="BO1153" s="0" t="s">
        <v>130</v>
      </c>
      <c r="BP1153" s="0" t="s">
        <v>130</v>
      </c>
      <c r="BQ1153" s="0" t="s">
        <v>130</v>
      </c>
      <c r="BR1153" s="0" t="s">
        <v>130</v>
      </c>
      <c r="BS1153" s="0" t="s">
        <v>130</v>
      </c>
      <c r="BT1153" s="0" t="s">
        <v>130</v>
      </c>
      <c r="BU1153" s="0" t="s">
        <v>130</v>
      </c>
      <c r="BV1153" s="0" t="s">
        <v>130</v>
      </c>
      <c r="BW1153" s="0" t="s">
        <v>130</v>
      </c>
      <c r="BX1153" s="0" t="s">
        <v>130</v>
      </c>
      <c r="BY1153" s="0" t="s">
        <v>130</v>
      </c>
      <c r="BZ1153" s="0" t="s">
        <v>130</v>
      </c>
      <c r="CA1153" s="0" t="s">
        <v>130</v>
      </c>
      <c r="CB1153" s="0" t="s">
        <v>130</v>
      </c>
      <c r="CC1153" s="0" t="s">
        <v>130</v>
      </c>
      <c r="CD1153" s="0" t="s">
        <v>130</v>
      </c>
      <c r="CE1153" s="0" t="s">
        <v>130</v>
      </c>
      <c r="CF1153" s="0" t="s">
        <v>130</v>
      </c>
      <c r="CG1153" s="0" t="s">
        <v>130</v>
      </c>
      <c r="CH1153" s="0" t="s">
        <v>130</v>
      </c>
      <c r="CI1153" s="0" t="s">
        <v>130</v>
      </c>
      <c r="CJ1153" s="0" t="s">
        <v>130</v>
      </c>
      <c r="CK1153" s="0" t="s">
        <v>130</v>
      </c>
      <c r="CL1153" s="0" t="s">
        <v>130</v>
      </c>
      <c r="CM1153" s="0" t="s">
        <v>130</v>
      </c>
      <c r="CN1153" s="0" t="s">
        <v>130</v>
      </c>
      <c r="CO1153" s="0" t="s">
        <v>130</v>
      </c>
      <c r="CP1153" s="0" t="s">
        <v>130</v>
      </c>
      <c r="CQ1153" s="0" t="s">
        <v>130</v>
      </c>
      <c r="CR1153" s="0" t="s">
        <v>130</v>
      </c>
      <c r="CS1153" s="0" t="s">
        <v>130</v>
      </c>
      <c r="CT1153" s="0" t="s">
        <v>3447</v>
      </c>
    </row>
    <row r="1154">
      <c r="A1154" s="14">
        <v>225547</v>
      </c>
      <c r="B1154" s="0" t="s">
        <v>3434</v>
      </c>
      <c r="C1154" s="16">
        <f>HYPERLINK("https://eosportal.federatedhermes.com/companies/Q29tcGFueQppNzQwNTc=", "ArcelorMittal SA")</f>
      </c>
      <c r="D1154" s="0" t="s">
        <v>25</v>
      </c>
      <c r="E1154" s="0" t="s">
        <v>3448</v>
      </c>
      <c r="F1154" s="16">
        <f>HYPERLINK("https://eosportal.federatedhermes.com/engagements/RW5nYWdlbWVudAppMjU2NjQ=", "Set carbon reduction targets")</f>
      </c>
      <c r="G1154" s="14" t="s">
        <v>3448</v>
      </c>
      <c r="H1154" s="0" t="s">
        <v>141</v>
      </c>
      <c r="I1154" s="14" t="s">
        <v>191</v>
      </c>
      <c r="J1154" s="0" t="s">
        <v>197</v>
      </c>
      <c r="K1154" s="0" t="s">
        <v>198</v>
      </c>
      <c r="L1154" s="0" t="s">
        <v>216</v>
      </c>
      <c r="M1154" s="0" t="s">
        <v>378</v>
      </c>
      <c r="N1154" s="0" t="s">
        <v>3435</v>
      </c>
      <c r="O1154" s="0" t="s">
        <v>373</v>
      </c>
      <c r="Q1154" s="0" t="s">
        <v>141</v>
      </c>
      <c r="R1154" s="0" t="s">
        <v>138</v>
      </c>
      <c r="S1154" s="14">
        <v>1</v>
      </c>
      <c r="T1154" s="0" t="s">
        <v>1243</v>
      </c>
      <c r="U1154" s="0" t="s">
        <v>138</v>
      </c>
      <c r="V1154" s="14" t="s">
        <v>138</v>
      </c>
      <c r="W1154" s="0" t="s">
        <v>138</v>
      </c>
      <c r="X1154" s="14" t="s">
        <v>138</v>
      </c>
      <c r="Y1154" s="0" t="s">
        <v>138</v>
      </c>
      <c r="Z1154" s="14" t="s">
        <v>138</v>
      </c>
      <c r="AA1154" s="0" t="s">
        <v>138</v>
      </c>
      <c r="AB1154" s="14" t="s">
        <v>138</v>
      </c>
      <c r="AD1154" s="0" t="s">
        <v>138</v>
      </c>
      <c r="AF1154" s="0">
        <v>0</v>
      </c>
      <c r="AG1154" s="0">
        <v>0</v>
      </c>
      <c r="AH1154" s="0" t="s">
        <v>140</v>
      </c>
      <c r="AI1154" s="0" t="s">
        <v>138</v>
      </c>
      <c r="AK1154" s="0" t="s">
        <v>1470</v>
      </c>
      <c r="AL1154" s="14"/>
      <c r="AN1154" s="14"/>
      <c r="AQ1154" s="0" t="s">
        <v>130</v>
      </c>
      <c r="AR1154" s="0" t="s">
        <v>130</v>
      </c>
      <c r="AS1154" s="0" t="s">
        <v>130</v>
      </c>
      <c r="AT1154" s="0" t="s">
        <v>130</v>
      </c>
      <c r="AU1154" s="0" t="s">
        <v>130</v>
      </c>
      <c r="AV1154" s="0" t="s">
        <v>130</v>
      </c>
      <c r="AW1154" s="0" t="s">
        <v>141</v>
      </c>
      <c r="AX1154" s="0" t="s">
        <v>130</v>
      </c>
      <c r="AY1154" s="0" t="s">
        <v>130</v>
      </c>
      <c r="AZ1154" s="0" t="s">
        <v>130</v>
      </c>
      <c r="BA1154" s="0" t="s">
        <v>130</v>
      </c>
      <c r="BB1154" s="0" t="s">
        <v>130</v>
      </c>
      <c r="BC1154" s="0" t="s">
        <v>141</v>
      </c>
      <c r="BD1154" s="0" t="s">
        <v>130</v>
      </c>
      <c r="BE1154" s="0" t="s">
        <v>130</v>
      </c>
      <c r="BF1154" s="0" t="s">
        <v>130</v>
      </c>
      <c r="BG1154" s="0" t="s">
        <v>130</v>
      </c>
      <c r="BH1154" s="0" t="s">
        <v>141</v>
      </c>
      <c r="BI1154" s="0" t="s">
        <v>141</v>
      </c>
      <c r="BJ1154" s="0" t="s">
        <v>141</v>
      </c>
      <c r="BK1154" s="0" t="s">
        <v>130</v>
      </c>
      <c r="BL1154" s="0" t="s">
        <v>130</v>
      </c>
      <c r="BM1154" s="0" t="s">
        <v>130</v>
      </c>
      <c r="BN1154" s="0" t="s">
        <v>130</v>
      </c>
      <c r="BO1154" s="0" t="s">
        <v>130</v>
      </c>
      <c r="BP1154" s="0" t="s">
        <v>130</v>
      </c>
      <c r="BQ1154" s="0" t="s">
        <v>130</v>
      </c>
      <c r="BR1154" s="0" t="s">
        <v>130</v>
      </c>
      <c r="BS1154" s="0" t="s">
        <v>130</v>
      </c>
      <c r="BT1154" s="0" t="s">
        <v>130</v>
      </c>
      <c r="BU1154" s="0" t="s">
        <v>130</v>
      </c>
      <c r="BV1154" s="0" t="s">
        <v>141</v>
      </c>
      <c r="BW1154" s="0" t="s">
        <v>141</v>
      </c>
      <c r="BX1154" s="0" t="s">
        <v>130</v>
      </c>
      <c r="BY1154" s="0" t="s">
        <v>130</v>
      </c>
      <c r="BZ1154" s="0" t="s">
        <v>130</v>
      </c>
      <c r="CA1154" s="0" t="s">
        <v>130</v>
      </c>
      <c r="CB1154" s="0" t="s">
        <v>130</v>
      </c>
      <c r="CC1154" s="0" t="s">
        <v>130</v>
      </c>
      <c r="CD1154" s="0" t="s">
        <v>130</v>
      </c>
      <c r="CE1154" s="0" t="s">
        <v>130</v>
      </c>
      <c r="CF1154" s="0" t="s">
        <v>130</v>
      </c>
      <c r="CG1154" s="0" t="s">
        <v>130</v>
      </c>
      <c r="CH1154" s="0" t="s">
        <v>130</v>
      </c>
      <c r="CI1154" s="0" t="s">
        <v>130</v>
      </c>
      <c r="CJ1154" s="0" t="s">
        <v>130</v>
      </c>
      <c r="CK1154" s="0" t="s">
        <v>130</v>
      </c>
      <c r="CL1154" s="0" t="s">
        <v>130</v>
      </c>
      <c r="CM1154" s="0" t="s">
        <v>130</v>
      </c>
      <c r="CN1154" s="0" t="s">
        <v>130</v>
      </c>
      <c r="CO1154" s="0" t="s">
        <v>130</v>
      </c>
      <c r="CP1154" s="0" t="s">
        <v>130</v>
      </c>
      <c r="CQ1154" s="0" t="s">
        <v>130</v>
      </c>
      <c r="CR1154" s="0" t="s">
        <v>130</v>
      </c>
      <c r="CS1154" s="0" t="s">
        <v>130</v>
      </c>
      <c r="CT1154" s="0" t="s">
        <v>3449</v>
      </c>
    </row>
    <row r="1155">
      <c r="A1155" s="14">
        <v>225547</v>
      </c>
      <c r="B1155" s="0" t="s">
        <v>3434</v>
      </c>
      <c r="C1155" s="16">
        <f>HYPERLINK("https://eosportal.federatedhermes.com/companies/Q29tcGFueQppNzQwNTc=", "ArcelorMittal SA")</f>
      </c>
      <c r="D1155" s="0" t="s">
        <v>25</v>
      </c>
      <c r="E1155" s="0" t="s">
        <v>3416</v>
      </c>
      <c r="F1155" s="16">
        <f>HYPERLINK("https://eosportal.federatedhermes.com/engagements/RW5nYWdlbWVudAppMjU2NjU=", "Paris-aligned Accounts")</f>
      </c>
      <c r="G1155" s="14" t="s">
        <v>3450</v>
      </c>
      <c r="H1155" s="0" t="s">
        <v>141</v>
      </c>
      <c r="I1155" s="14" t="s">
        <v>191</v>
      </c>
      <c r="J1155" s="0" t="s">
        <v>197</v>
      </c>
      <c r="K1155" s="0" t="s">
        <v>198</v>
      </c>
      <c r="L1155" s="0" t="s">
        <v>199</v>
      </c>
      <c r="M1155" s="0" t="s">
        <v>378</v>
      </c>
      <c r="N1155" s="0" t="s">
        <v>3435</v>
      </c>
      <c r="O1155" s="0" t="s">
        <v>373</v>
      </c>
      <c r="Q1155" s="0" t="s">
        <v>141</v>
      </c>
      <c r="R1155" s="0" t="s">
        <v>138</v>
      </c>
      <c r="S1155" s="14">
        <v>1</v>
      </c>
      <c r="T1155" s="0" t="s">
        <v>139</v>
      </c>
      <c r="U1155" s="0" t="s">
        <v>138</v>
      </c>
      <c r="V1155" s="14" t="s">
        <v>138</v>
      </c>
      <c r="W1155" s="0" t="s">
        <v>138</v>
      </c>
      <c r="X1155" s="14" t="s">
        <v>138</v>
      </c>
      <c r="Y1155" s="0" t="s">
        <v>138</v>
      </c>
      <c r="Z1155" s="14" t="s">
        <v>138</v>
      </c>
      <c r="AA1155" s="0" t="s">
        <v>138</v>
      </c>
      <c r="AB1155" s="14" t="s">
        <v>138</v>
      </c>
      <c r="AD1155" s="0" t="s">
        <v>138</v>
      </c>
      <c r="AF1155" s="0">
        <v>0</v>
      </c>
      <c r="AG1155" s="0">
        <v>0</v>
      </c>
      <c r="AH1155" s="0" t="s">
        <v>140</v>
      </c>
      <c r="AI1155" s="0" t="s">
        <v>138</v>
      </c>
      <c r="AK1155" s="0" t="s">
        <v>1470</v>
      </c>
      <c r="AL1155" s="14"/>
      <c r="AN1155" s="14"/>
      <c r="AQ1155" s="0" t="s">
        <v>130</v>
      </c>
      <c r="AR1155" s="0" t="s">
        <v>130</v>
      </c>
      <c r="AS1155" s="0" t="s">
        <v>130</v>
      </c>
      <c r="AT1155" s="0" t="s">
        <v>130</v>
      </c>
      <c r="AU1155" s="0" t="s">
        <v>130</v>
      </c>
      <c r="AV1155" s="0" t="s">
        <v>130</v>
      </c>
      <c r="AW1155" s="0" t="s">
        <v>130</v>
      </c>
      <c r="AX1155" s="0" t="s">
        <v>130</v>
      </c>
      <c r="AY1155" s="0" t="s">
        <v>130</v>
      </c>
      <c r="AZ1155" s="0" t="s">
        <v>130</v>
      </c>
      <c r="BA1155" s="0" t="s">
        <v>130</v>
      </c>
      <c r="BB1155" s="0" t="s">
        <v>141</v>
      </c>
      <c r="BC1155" s="0" t="s">
        <v>130</v>
      </c>
      <c r="BD1155" s="0" t="s">
        <v>130</v>
      </c>
      <c r="BE1155" s="0" t="s">
        <v>130</v>
      </c>
      <c r="BF1155" s="0" t="s">
        <v>130</v>
      </c>
      <c r="BG1155" s="0" t="s">
        <v>130</v>
      </c>
      <c r="BH1155" s="0" t="s">
        <v>130</v>
      </c>
      <c r="BI1155" s="0" t="s">
        <v>130</v>
      </c>
      <c r="BJ1155" s="0" t="s">
        <v>130</v>
      </c>
      <c r="BK1155" s="0" t="s">
        <v>130</v>
      </c>
      <c r="BL1155" s="0" t="s">
        <v>130</v>
      </c>
      <c r="BM1155" s="0" t="s">
        <v>130</v>
      </c>
      <c r="BN1155" s="0" t="s">
        <v>130</v>
      </c>
      <c r="BO1155" s="0" t="s">
        <v>130</v>
      </c>
      <c r="BP1155" s="0" t="s">
        <v>130</v>
      </c>
      <c r="BQ1155" s="0" t="s">
        <v>130</v>
      </c>
      <c r="BR1155" s="0" t="s">
        <v>130</v>
      </c>
      <c r="BS1155" s="0" t="s">
        <v>130</v>
      </c>
      <c r="BT1155" s="0" t="s">
        <v>130</v>
      </c>
      <c r="BU1155" s="0" t="s">
        <v>130</v>
      </c>
      <c r="BV1155" s="0" t="s">
        <v>130</v>
      </c>
      <c r="BW1155" s="0" t="s">
        <v>130</v>
      </c>
      <c r="BX1155" s="0" t="s">
        <v>130</v>
      </c>
      <c r="BY1155" s="0" t="s">
        <v>130</v>
      </c>
      <c r="BZ1155" s="0" t="s">
        <v>130</v>
      </c>
      <c r="CA1155" s="0" t="s">
        <v>130</v>
      </c>
      <c r="CB1155" s="0" t="s">
        <v>130</v>
      </c>
      <c r="CC1155" s="0" t="s">
        <v>130</v>
      </c>
      <c r="CD1155" s="0" t="s">
        <v>130</v>
      </c>
      <c r="CE1155" s="0" t="s">
        <v>130</v>
      </c>
      <c r="CF1155" s="0" t="s">
        <v>130</v>
      </c>
      <c r="CG1155" s="0" t="s">
        <v>130</v>
      </c>
      <c r="CH1155" s="0" t="s">
        <v>130</v>
      </c>
      <c r="CI1155" s="0" t="s">
        <v>130</v>
      </c>
      <c r="CJ1155" s="0" t="s">
        <v>130</v>
      </c>
      <c r="CK1155" s="0" t="s">
        <v>130</v>
      </c>
      <c r="CL1155" s="0" t="s">
        <v>130</v>
      </c>
      <c r="CM1155" s="0" t="s">
        <v>130</v>
      </c>
      <c r="CN1155" s="0" t="s">
        <v>130</v>
      </c>
      <c r="CO1155" s="0" t="s">
        <v>130</v>
      </c>
      <c r="CP1155" s="0" t="s">
        <v>130</v>
      </c>
      <c r="CQ1155" s="0" t="s">
        <v>130</v>
      </c>
      <c r="CR1155" s="0" t="s">
        <v>130</v>
      </c>
      <c r="CS1155" s="0" t="s">
        <v>130</v>
      </c>
      <c r="CT1155" s="0" t="s">
        <v>3451</v>
      </c>
    </row>
    <row r="1156">
      <c r="A1156" s="14">
        <v>100232</v>
      </c>
      <c r="B1156" s="0" t="s">
        <v>368</v>
      </c>
      <c r="C1156" s="16">
        <f>HYPERLINK("https://eosportal.federatedhermes.com/companies/Q29tcGFueQppNjQzODg=", "BHP Group Ltd")</f>
      </c>
      <c r="D1156" s="0" t="s">
        <v>25</v>
      </c>
      <c r="E1156" s="0" t="s">
        <v>1231</v>
      </c>
      <c r="F1156" s="16">
        <f>HYPERLINK("https://eosportal.federatedhermes.com/engagements/RW5nYWdlbWVudAppMjU2Nzg=", "Regnan Engagement Activity on remuneration")</f>
      </c>
      <c r="G1156" s="14" t="s">
        <v>999</v>
      </c>
      <c r="H1156" s="0" t="s">
        <v>141</v>
      </c>
      <c r="I1156" s="14" t="s">
        <v>191</v>
      </c>
      <c r="J1156" s="0" t="s">
        <v>145</v>
      </c>
      <c r="K1156" s="0" t="s">
        <v>146</v>
      </c>
      <c r="L1156" s="0" t="s">
        <v>147</v>
      </c>
      <c r="M1156" s="0" t="s">
        <v>371</v>
      </c>
      <c r="N1156" s="0" t="s">
        <v>372</v>
      </c>
      <c r="O1156" s="0" t="s">
        <v>373</v>
      </c>
      <c r="Q1156" s="0" t="s">
        <v>130</v>
      </c>
      <c r="R1156" s="0" t="s">
        <v>138</v>
      </c>
      <c r="S1156" s="14">
        <v>0</v>
      </c>
      <c r="T1156" s="0" t="s">
        <v>299</v>
      </c>
      <c r="U1156" s="0" t="s">
        <v>138</v>
      </c>
      <c r="V1156" s="14" t="s">
        <v>138</v>
      </c>
      <c r="W1156" s="0" t="s">
        <v>138</v>
      </c>
      <c r="X1156" s="14" t="s">
        <v>138</v>
      </c>
      <c r="Y1156" s="0" t="s">
        <v>138</v>
      </c>
      <c r="Z1156" s="14" t="s">
        <v>138</v>
      </c>
      <c r="AA1156" s="0" t="s">
        <v>138</v>
      </c>
      <c r="AB1156" s="14" t="s">
        <v>138</v>
      </c>
      <c r="AD1156" s="0" t="s">
        <v>138</v>
      </c>
      <c r="AF1156" s="0">
        <v>0</v>
      </c>
      <c r="AG1156" s="0">
        <v>0</v>
      </c>
      <c r="AH1156" s="0" t="s">
        <v>140</v>
      </c>
      <c r="AI1156" s="0" t="s">
        <v>138</v>
      </c>
      <c r="AL1156" s="14"/>
      <c r="AN1156" s="14"/>
      <c r="AQ1156" s="0" t="s">
        <v>130</v>
      </c>
      <c r="AR1156" s="0" t="s">
        <v>130</v>
      </c>
      <c r="AS1156" s="0" t="s">
        <v>130</v>
      </c>
      <c r="AT1156" s="0" t="s">
        <v>130</v>
      </c>
      <c r="AU1156" s="0" t="s">
        <v>130</v>
      </c>
      <c r="AV1156" s="0" t="s">
        <v>130</v>
      </c>
      <c r="AW1156" s="0" t="s">
        <v>130</v>
      </c>
      <c r="AX1156" s="0" t="s">
        <v>130</v>
      </c>
      <c r="AY1156" s="0" t="s">
        <v>130</v>
      </c>
      <c r="AZ1156" s="0" t="s">
        <v>130</v>
      </c>
      <c r="BA1156" s="0" t="s">
        <v>130</v>
      </c>
      <c r="BB1156" s="0" t="s">
        <v>130</v>
      </c>
      <c r="BC1156" s="0" t="s">
        <v>130</v>
      </c>
      <c r="BD1156" s="0" t="s">
        <v>130</v>
      </c>
      <c r="BE1156" s="0" t="s">
        <v>130</v>
      </c>
      <c r="BF1156" s="0" t="s">
        <v>130</v>
      </c>
      <c r="BG1156" s="0" t="s">
        <v>130</v>
      </c>
      <c r="BH1156" s="0" t="s">
        <v>130</v>
      </c>
      <c r="BI1156" s="0" t="s">
        <v>130</v>
      </c>
      <c r="BJ1156" s="0" t="s">
        <v>130</v>
      </c>
      <c r="BK1156" s="0" t="s">
        <v>130</v>
      </c>
      <c r="BL1156" s="0" t="s">
        <v>130</v>
      </c>
      <c r="BM1156" s="0" t="s">
        <v>130</v>
      </c>
      <c r="BN1156" s="0" t="s">
        <v>130</v>
      </c>
      <c r="BO1156" s="0" t="s">
        <v>130</v>
      </c>
      <c r="BP1156" s="0" t="s">
        <v>130</v>
      </c>
      <c r="BQ1156" s="0" t="s">
        <v>130</v>
      </c>
      <c r="BR1156" s="0" t="s">
        <v>130</v>
      </c>
      <c r="BS1156" s="0" t="s">
        <v>130</v>
      </c>
      <c r="BT1156" s="0" t="s">
        <v>130</v>
      </c>
      <c r="BU1156" s="0" t="s">
        <v>130</v>
      </c>
      <c r="BV1156" s="0" t="s">
        <v>130</v>
      </c>
      <c r="BW1156" s="0" t="s">
        <v>130</v>
      </c>
      <c r="BX1156" s="0" t="s">
        <v>130</v>
      </c>
      <c r="BY1156" s="0" t="s">
        <v>130</v>
      </c>
      <c r="BZ1156" s="0" t="s">
        <v>130</v>
      </c>
      <c r="CA1156" s="0" t="s">
        <v>130</v>
      </c>
      <c r="CB1156" s="0" t="s">
        <v>130</v>
      </c>
      <c r="CC1156" s="0" t="s">
        <v>130</v>
      </c>
      <c r="CD1156" s="0" t="s">
        <v>130</v>
      </c>
      <c r="CE1156" s="0" t="s">
        <v>130</v>
      </c>
      <c r="CF1156" s="0" t="s">
        <v>130</v>
      </c>
      <c r="CG1156" s="0" t="s">
        <v>130</v>
      </c>
      <c r="CH1156" s="0" t="s">
        <v>130</v>
      </c>
      <c r="CI1156" s="0" t="s">
        <v>130</v>
      </c>
      <c r="CJ1156" s="0" t="s">
        <v>130</v>
      </c>
      <c r="CK1156" s="0" t="s">
        <v>130</v>
      </c>
      <c r="CL1156" s="0" t="s">
        <v>130</v>
      </c>
      <c r="CM1156" s="0" t="s">
        <v>130</v>
      </c>
      <c r="CN1156" s="0" t="s">
        <v>130</v>
      </c>
      <c r="CO1156" s="0" t="s">
        <v>130</v>
      </c>
      <c r="CP1156" s="0" t="s">
        <v>130</v>
      </c>
      <c r="CQ1156" s="0" t="s">
        <v>130</v>
      </c>
      <c r="CR1156" s="0" t="s">
        <v>130</v>
      </c>
      <c r="CS1156" s="0" t="s">
        <v>130</v>
      </c>
      <c r="CT1156" s="0" t="s">
        <v>3452</v>
      </c>
    </row>
    <row r="1157">
      <c r="A1157" s="14">
        <v>100232</v>
      </c>
      <c r="B1157" s="0" t="s">
        <v>368</v>
      </c>
      <c r="C1157" s="16">
        <f>HYPERLINK("https://eosportal.federatedhermes.com/companies/Q29tcGFueQppNjQzODg=", "BHP Group Ltd")</f>
      </c>
      <c r="D1157" s="0" t="s">
        <v>25</v>
      </c>
      <c r="E1157" s="0" t="s">
        <v>1229</v>
      </c>
      <c r="F1157" s="16">
        <f>HYPERLINK("https://eosportal.federatedhermes.com/engagements/RW5nYWdlbWVudAppMjU2Nzk=", "Regnan engagement activity on ESG disclosure")</f>
      </c>
      <c r="G1157" s="14" t="s">
        <v>999</v>
      </c>
      <c r="H1157" s="0" t="s">
        <v>141</v>
      </c>
      <c r="I1157" s="14" t="s">
        <v>191</v>
      </c>
      <c r="J1157" s="0" t="s">
        <v>132</v>
      </c>
      <c r="K1157" s="0" t="s">
        <v>170</v>
      </c>
      <c r="L1157" s="0" t="s">
        <v>171</v>
      </c>
      <c r="M1157" s="0" t="s">
        <v>371</v>
      </c>
      <c r="N1157" s="0" t="s">
        <v>372</v>
      </c>
      <c r="O1157" s="0" t="s">
        <v>373</v>
      </c>
      <c r="Q1157" s="0" t="s">
        <v>130</v>
      </c>
      <c r="R1157" s="0" t="s">
        <v>138</v>
      </c>
      <c r="S1157" s="14">
        <v>0</v>
      </c>
      <c r="T1157" s="0" t="s">
        <v>299</v>
      </c>
      <c r="U1157" s="0" t="s">
        <v>138</v>
      </c>
      <c r="V1157" s="14" t="s">
        <v>138</v>
      </c>
      <c r="W1157" s="0" t="s">
        <v>138</v>
      </c>
      <c r="X1157" s="14" t="s">
        <v>138</v>
      </c>
      <c r="Y1157" s="0" t="s">
        <v>138</v>
      </c>
      <c r="Z1157" s="14" t="s">
        <v>138</v>
      </c>
      <c r="AA1157" s="0" t="s">
        <v>138</v>
      </c>
      <c r="AB1157" s="14" t="s">
        <v>138</v>
      </c>
      <c r="AD1157" s="0" t="s">
        <v>138</v>
      </c>
      <c r="AF1157" s="0">
        <v>0</v>
      </c>
      <c r="AG1157" s="0">
        <v>0</v>
      </c>
      <c r="AH1157" s="0" t="s">
        <v>140</v>
      </c>
      <c r="AI1157" s="0" t="s">
        <v>138</v>
      </c>
      <c r="AL1157" s="14"/>
      <c r="AN1157" s="14"/>
      <c r="AQ1157" s="0" t="s">
        <v>130</v>
      </c>
      <c r="AR1157" s="0" t="s">
        <v>130</v>
      </c>
      <c r="AS1157" s="0" t="s">
        <v>130</v>
      </c>
      <c r="AT1157" s="0" t="s">
        <v>130</v>
      </c>
      <c r="AU1157" s="0" t="s">
        <v>130</v>
      </c>
      <c r="AV1157" s="0" t="s">
        <v>130</v>
      </c>
      <c r="AW1157" s="0" t="s">
        <v>130</v>
      </c>
      <c r="AX1157" s="0" t="s">
        <v>130</v>
      </c>
      <c r="AY1157" s="0" t="s">
        <v>130</v>
      </c>
      <c r="AZ1157" s="0" t="s">
        <v>130</v>
      </c>
      <c r="BA1157" s="0" t="s">
        <v>130</v>
      </c>
      <c r="BB1157" s="0" t="s">
        <v>130</v>
      </c>
      <c r="BC1157" s="0" t="s">
        <v>130</v>
      </c>
      <c r="BD1157" s="0" t="s">
        <v>130</v>
      </c>
      <c r="BE1157" s="0" t="s">
        <v>130</v>
      </c>
      <c r="BF1157" s="0" t="s">
        <v>130</v>
      </c>
      <c r="BG1157" s="0" t="s">
        <v>130</v>
      </c>
      <c r="BH1157" s="0" t="s">
        <v>130</v>
      </c>
      <c r="BI1157" s="0" t="s">
        <v>130</v>
      </c>
      <c r="BJ1157" s="0" t="s">
        <v>130</v>
      </c>
      <c r="BK1157" s="0" t="s">
        <v>130</v>
      </c>
      <c r="BL1157" s="0" t="s">
        <v>130</v>
      </c>
      <c r="BM1157" s="0" t="s">
        <v>130</v>
      </c>
      <c r="BN1157" s="0" t="s">
        <v>130</v>
      </c>
      <c r="BO1157" s="0" t="s">
        <v>130</v>
      </c>
      <c r="BP1157" s="0" t="s">
        <v>130</v>
      </c>
      <c r="BQ1157" s="0" t="s">
        <v>130</v>
      </c>
      <c r="BR1157" s="0" t="s">
        <v>130</v>
      </c>
      <c r="BS1157" s="0" t="s">
        <v>130</v>
      </c>
      <c r="BT1157" s="0" t="s">
        <v>130</v>
      </c>
      <c r="BU1157" s="0" t="s">
        <v>130</v>
      </c>
      <c r="BV1157" s="0" t="s">
        <v>130</v>
      </c>
      <c r="BW1157" s="0" t="s">
        <v>130</v>
      </c>
      <c r="BX1157" s="0" t="s">
        <v>130</v>
      </c>
      <c r="BY1157" s="0" t="s">
        <v>130</v>
      </c>
      <c r="BZ1157" s="0" t="s">
        <v>130</v>
      </c>
      <c r="CA1157" s="0" t="s">
        <v>130</v>
      </c>
      <c r="CB1157" s="0" t="s">
        <v>130</v>
      </c>
      <c r="CC1157" s="0" t="s">
        <v>130</v>
      </c>
      <c r="CD1157" s="0" t="s">
        <v>130</v>
      </c>
      <c r="CE1157" s="0" t="s">
        <v>130</v>
      </c>
      <c r="CF1157" s="0" t="s">
        <v>130</v>
      </c>
      <c r="CG1157" s="0" t="s">
        <v>130</v>
      </c>
      <c r="CH1157" s="0" t="s">
        <v>130</v>
      </c>
      <c r="CI1157" s="0" t="s">
        <v>130</v>
      </c>
      <c r="CJ1157" s="0" t="s">
        <v>130</v>
      </c>
      <c r="CK1157" s="0" t="s">
        <v>130</v>
      </c>
      <c r="CL1157" s="0" t="s">
        <v>130</v>
      </c>
      <c r="CM1157" s="0" t="s">
        <v>130</v>
      </c>
      <c r="CN1157" s="0" t="s">
        <v>130</v>
      </c>
      <c r="CO1157" s="0" t="s">
        <v>130</v>
      </c>
      <c r="CP1157" s="0" t="s">
        <v>130</v>
      </c>
      <c r="CQ1157" s="0" t="s">
        <v>130</v>
      </c>
      <c r="CR1157" s="0" t="s">
        <v>130</v>
      </c>
      <c r="CS1157" s="0" t="s">
        <v>130</v>
      </c>
      <c r="CT1157" s="0" t="s">
        <v>3453</v>
      </c>
    </row>
    <row r="1158">
      <c r="A1158" s="14">
        <v>100232</v>
      </c>
      <c r="B1158" s="0" t="s">
        <v>368</v>
      </c>
      <c r="C1158" s="16">
        <f>HYPERLINK("https://eosportal.federatedhermes.com/companies/Q29tcGFueQppNjQzODg=", "BHP Group Ltd")</f>
      </c>
      <c r="D1158" s="0" t="s">
        <v>25</v>
      </c>
      <c r="E1158" s="0" t="s">
        <v>1226</v>
      </c>
      <c r="F1158" s="16">
        <f>HYPERLINK("https://eosportal.federatedhermes.com/engagements/RW5nYWdlbWVudAppMjU2ODA=", "Regnan engagement activity on diversity")</f>
      </c>
      <c r="G1158" s="14" t="s">
        <v>1226</v>
      </c>
      <c r="H1158" s="0" t="s">
        <v>141</v>
      </c>
      <c r="I1158" s="14" t="s">
        <v>191</v>
      </c>
      <c r="J1158" s="0" t="s">
        <v>153</v>
      </c>
      <c r="K1158" s="0" t="s">
        <v>154</v>
      </c>
      <c r="L1158" s="0" t="s">
        <v>268</v>
      </c>
      <c r="M1158" s="0" t="s">
        <v>371</v>
      </c>
      <c r="N1158" s="0" t="s">
        <v>372</v>
      </c>
      <c r="O1158" s="0" t="s">
        <v>373</v>
      </c>
      <c r="Q1158" s="0" t="s">
        <v>130</v>
      </c>
      <c r="R1158" s="0" t="s">
        <v>138</v>
      </c>
      <c r="S1158" s="14">
        <v>0</v>
      </c>
      <c r="T1158" s="0" t="s">
        <v>181</v>
      </c>
      <c r="U1158" s="0" t="s">
        <v>138</v>
      </c>
      <c r="V1158" s="14" t="s">
        <v>138</v>
      </c>
      <c r="W1158" s="0" t="s">
        <v>138</v>
      </c>
      <c r="X1158" s="14" t="s">
        <v>138</v>
      </c>
      <c r="Y1158" s="0" t="s">
        <v>138</v>
      </c>
      <c r="Z1158" s="14" t="s">
        <v>138</v>
      </c>
      <c r="AA1158" s="0" t="s">
        <v>138</v>
      </c>
      <c r="AB1158" s="14" t="s">
        <v>138</v>
      </c>
      <c r="AD1158" s="0" t="s">
        <v>138</v>
      </c>
      <c r="AF1158" s="0">
        <v>0</v>
      </c>
      <c r="AG1158" s="0">
        <v>0</v>
      </c>
      <c r="AH1158" s="0" t="s">
        <v>140</v>
      </c>
      <c r="AI1158" s="0" t="s">
        <v>138</v>
      </c>
      <c r="AL1158" s="14"/>
      <c r="AN1158" s="14"/>
      <c r="AQ1158" s="0" t="s">
        <v>130</v>
      </c>
      <c r="AR1158" s="0" t="s">
        <v>130</v>
      </c>
      <c r="AS1158" s="0" t="s">
        <v>130</v>
      </c>
      <c r="AT1158" s="0" t="s">
        <v>130</v>
      </c>
      <c r="AU1158" s="0" t="s">
        <v>130</v>
      </c>
      <c r="AV1158" s="0" t="s">
        <v>130</v>
      </c>
      <c r="AW1158" s="0" t="s">
        <v>130</v>
      </c>
      <c r="AX1158" s="0" t="s">
        <v>130</v>
      </c>
      <c r="AY1158" s="0" t="s">
        <v>130</v>
      </c>
      <c r="AZ1158" s="0" t="s">
        <v>130</v>
      </c>
      <c r="BA1158" s="0" t="s">
        <v>130</v>
      </c>
      <c r="BB1158" s="0" t="s">
        <v>130</v>
      </c>
      <c r="BC1158" s="0" t="s">
        <v>130</v>
      </c>
      <c r="BD1158" s="0" t="s">
        <v>130</v>
      </c>
      <c r="BE1158" s="0" t="s">
        <v>130</v>
      </c>
      <c r="BF1158" s="0" t="s">
        <v>130</v>
      </c>
      <c r="BG1158" s="0" t="s">
        <v>130</v>
      </c>
      <c r="BH1158" s="0" t="s">
        <v>130</v>
      </c>
      <c r="BI1158" s="0" t="s">
        <v>130</v>
      </c>
      <c r="BJ1158" s="0" t="s">
        <v>130</v>
      </c>
      <c r="BK1158" s="0" t="s">
        <v>130</v>
      </c>
      <c r="BL1158" s="0" t="s">
        <v>130</v>
      </c>
      <c r="BM1158" s="0" t="s">
        <v>130</v>
      </c>
      <c r="BN1158" s="0" t="s">
        <v>130</v>
      </c>
      <c r="BO1158" s="0" t="s">
        <v>130</v>
      </c>
      <c r="BP1158" s="0" t="s">
        <v>130</v>
      </c>
      <c r="BQ1158" s="0" t="s">
        <v>130</v>
      </c>
      <c r="BR1158" s="0" t="s">
        <v>130</v>
      </c>
      <c r="BS1158" s="0" t="s">
        <v>130</v>
      </c>
      <c r="BT1158" s="0" t="s">
        <v>130</v>
      </c>
      <c r="BU1158" s="0" t="s">
        <v>130</v>
      </c>
      <c r="BV1158" s="0" t="s">
        <v>130</v>
      </c>
      <c r="BW1158" s="0" t="s">
        <v>130</v>
      </c>
      <c r="BX1158" s="0" t="s">
        <v>130</v>
      </c>
      <c r="BY1158" s="0" t="s">
        <v>130</v>
      </c>
      <c r="BZ1158" s="0" t="s">
        <v>130</v>
      </c>
      <c r="CA1158" s="0" t="s">
        <v>130</v>
      </c>
      <c r="CB1158" s="0" t="s">
        <v>130</v>
      </c>
      <c r="CC1158" s="0" t="s">
        <v>130</v>
      </c>
      <c r="CD1158" s="0" t="s">
        <v>130</v>
      </c>
      <c r="CE1158" s="0" t="s">
        <v>130</v>
      </c>
      <c r="CF1158" s="0" t="s">
        <v>130</v>
      </c>
      <c r="CG1158" s="0" t="s">
        <v>130</v>
      </c>
      <c r="CH1158" s="0" t="s">
        <v>130</v>
      </c>
      <c r="CI1158" s="0" t="s">
        <v>130</v>
      </c>
      <c r="CJ1158" s="0" t="s">
        <v>130</v>
      </c>
      <c r="CK1158" s="0" t="s">
        <v>141</v>
      </c>
      <c r="CL1158" s="0" t="s">
        <v>130</v>
      </c>
      <c r="CM1158" s="0" t="s">
        <v>130</v>
      </c>
      <c r="CN1158" s="0" t="s">
        <v>130</v>
      </c>
      <c r="CO1158" s="0" t="s">
        <v>130</v>
      </c>
      <c r="CP1158" s="0" t="s">
        <v>130</v>
      </c>
      <c r="CQ1158" s="0" t="s">
        <v>130</v>
      </c>
      <c r="CR1158" s="0" t="s">
        <v>130</v>
      </c>
      <c r="CS1158" s="0" t="s">
        <v>130</v>
      </c>
      <c r="CT1158" s="0" t="s">
        <v>3454</v>
      </c>
    </row>
    <row r="1159">
      <c r="A1159" s="14">
        <v>100232</v>
      </c>
      <c r="B1159" s="0" t="s">
        <v>368</v>
      </c>
      <c r="C1159" s="16">
        <f>HYPERLINK("https://eosportal.federatedhermes.com/companies/Q29tcGFueQppNjQzODg=", "BHP Group Ltd")</f>
      </c>
      <c r="D1159" s="0" t="s">
        <v>25</v>
      </c>
      <c r="E1159" s="0" t="s">
        <v>3455</v>
      </c>
      <c r="F1159" s="16">
        <f>HYPERLINK("https://eosportal.federatedhermes.com/engagements/RW5nYWdlbWVudAppMjU2ODE=", "ACSI engagement activity on climate change - mining")</f>
      </c>
      <c r="G1159" s="14" t="s">
        <v>3456</v>
      </c>
      <c r="H1159" s="0" t="s">
        <v>141</v>
      </c>
      <c r="I1159" s="14" t="s">
        <v>191</v>
      </c>
      <c r="J1159" s="0" t="s">
        <v>197</v>
      </c>
      <c r="K1159" s="0" t="s">
        <v>198</v>
      </c>
      <c r="L1159" s="0" t="s">
        <v>216</v>
      </c>
      <c r="M1159" s="0" t="s">
        <v>371</v>
      </c>
      <c r="N1159" s="0" t="s">
        <v>372</v>
      </c>
      <c r="O1159" s="0" t="s">
        <v>373</v>
      </c>
      <c r="Q1159" s="0" t="s">
        <v>130</v>
      </c>
      <c r="R1159" s="0" t="s">
        <v>138</v>
      </c>
      <c r="S1159" s="14">
        <v>0</v>
      </c>
      <c r="T1159" s="0" t="s">
        <v>166</v>
      </c>
      <c r="U1159" s="0" t="s">
        <v>138</v>
      </c>
      <c r="V1159" s="14" t="s">
        <v>138</v>
      </c>
      <c r="W1159" s="0" t="s">
        <v>138</v>
      </c>
      <c r="X1159" s="14" t="s">
        <v>138</v>
      </c>
      <c r="Y1159" s="0" t="s">
        <v>138</v>
      </c>
      <c r="Z1159" s="14" t="s">
        <v>138</v>
      </c>
      <c r="AA1159" s="0" t="s">
        <v>138</v>
      </c>
      <c r="AB1159" s="14" t="s">
        <v>138</v>
      </c>
      <c r="AD1159" s="0" t="s">
        <v>138</v>
      </c>
      <c r="AF1159" s="0">
        <v>0</v>
      </c>
      <c r="AG1159" s="0">
        <v>0</v>
      </c>
      <c r="AH1159" s="0" t="s">
        <v>140</v>
      </c>
      <c r="AI1159" s="0" t="s">
        <v>138</v>
      </c>
      <c r="AL1159" s="14"/>
      <c r="AN1159" s="14"/>
      <c r="AQ1159" s="0" t="s">
        <v>130</v>
      </c>
      <c r="AR1159" s="0" t="s">
        <v>130</v>
      </c>
      <c r="AS1159" s="0" t="s">
        <v>130</v>
      </c>
      <c r="AT1159" s="0" t="s">
        <v>130</v>
      </c>
      <c r="AU1159" s="0" t="s">
        <v>130</v>
      </c>
      <c r="AV1159" s="0" t="s">
        <v>130</v>
      </c>
      <c r="AW1159" s="0" t="s">
        <v>130</v>
      </c>
      <c r="AX1159" s="0" t="s">
        <v>130</v>
      </c>
      <c r="AY1159" s="0" t="s">
        <v>130</v>
      </c>
      <c r="AZ1159" s="0" t="s">
        <v>130</v>
      </c>
      <c r="BA1159" s="0" t="s">
        <v>130</v>
      </c>
      <c r="BB1159" s="0" t="s">
        <v>130</v>
      </c>
      <c r="BC1159" s="0" t="s">
        <v>141</v>
      </c>
      <c r="BD1159" s="0" t="s">
        <v>130</v>
      </c>
      <c r="BE1159" s="0" t="s">
        <v>130</v>
      </c>
      <c r="BF1159" s="0" t="s">
        <v>130</v>
      </c>
      <c r="BG1159" s="0" t="s">
        <v>130</v>
      </c>
      <c r="BH1159" s="0" t="s">
        <v>141</v>
      </c>
      <c r="BI1159" s="0" t="s">
        <v>141</v>
      </c>
      <c r="BJ1159" s="0" t="s">
        <v>141</v>
      </c>
      <c r="BK1159" s="0" t="s">
        <v>130</v>
      </c>
      <c r="BL1159" s="0" t="s">
        <v>130</v>
      </c>
      <c r="BM1159" s="0" t="s">
        <v>130</v>
      </c>
      <c r="BN1159" s="0" t="s">
        <v>130</v>
      </c>
      <c r="BO1159" s="0" t="s">
        <v>130</v>
      </c>
      <c r="BP1159" s="0" t="s">
        <v>130</v>
      </c>
      <c r="BQ1159" s="0" t="s">
        <v>130</v>
      </c>
      <c r="BR1159" s="0" t="s">
        <v>130</v>
      </c>
      <c r="BS1159" s="0" t="s">
        <v>130</v>
      </c>
      <c r="BT1159" s="0" t="s">
        <v>130</v>
      </c>
      <c r="BU1159" s="0" t="s">
        <v>130</v>
      </c>
      <c r="BV1159" s="0" t="s">
        <v>141</v>
      </c>
      <c r="BW1159" s="0" t="s">
        <v>141</v>
      </c>
      <c r="BX1159" s="0" t="s">
        <v>130</v>
      </c>
      <c r="BY1159" s="0" t="s">
        <v>130</v>
      </c>
      <c r="BZ1159" s="0" t="s">
        <v>130</v>
      </c>
      <c r="CA1159" s="0" t="s">
        <v>130</v>
      </c>
      <c r="CB1159" s="0" t="s">
        <v>130</v>
      </c>
      <c r="CC1159" s="0" t="s">
        <v>130</v>
      </c>
      <c r="CD1159" s="0" t="s">
        <v>130</v>
      </c>
      <c r="CE1159" s="0" t="s">
        <v>130</v>
      </c>
      <c r="CF1159" s="0" t="s">
        <v>130</v>
      </c>
      <c r="CG1159" s="0" t="s">
        <v>130</v>
      </c>
      <c r="CH1159" s="0" t="s">
        <v>130</v>
      </c>
      <c r="CI1159" s="0" t="s">
        <v>130</v>
      </c>
      <c r="CJ1159" s="0" t="s">
        <v>130</v>
      </c>
      <c r="CK1159" s="0" t="s">
        <v>130</v>
      </c>
      <c r="CL1159" s="0" t="s">
        <v>130</v>
      </c>
      <c r="CM1159" s="0" t="s">
        <v>130</v>
      </c>
      <c r="CN1159" s="0" t="s">
        <v>130</v>
      </c>
      <c r="CO1159" s="0" t="s">
        <v>130</v>
      </c>
      <c r="CP1159" s="0" t="s">
        <v>130</v>
      </c>
      <c r="CQ1159" s="0" t="s">
        <v>130</v>
      </c>
      <c r="CR1159" s="0" t="s">
        <v>130</v>
      </c>
      <c r="CS1159" s="0" t="s">
        <v>130</v>
      </c>
      <c r="CT1159" s="0" t="s">
        <v>3457</v>
      </c>
    </row>
    <row r="1160">
      <c r="A1160" s="14">
        <v>100232</v>
      </c>
      <c r="B1160" s="0" t="s">
        <v>368</v>
      </c>
      <c r="C1160" s="16">
        <f>HYPERLINK("https://eosportal.federatedhermes.com/companies/Q29tcGFueQppNjQzODg=", "BHP Group Ltd")</f>
      </c>
      <c r="D1160" s="0" t="s">
        <v>25</v>
      </c>
      <c r="E1160" s="0" t="s">
        <v>1010</v>
      </c>
      <c r="F1160" s="16">
        <f>HYPERLINK("https://eosportal.federatedhermes.com/engagements/RW5nYWdlbWVudAppMjU2ODI=", "Regnan engagement activity on board structure")</f>
      </c>
      <c r="G1160" s="14" t="s">
        <v>1010</v>
      </c>
      <c r="H1160" s="0" t="s">
        <v>141</v>
      </c>
      <c r="I1160" s="14" t="s">
        <v>191</v>
      </c>
      <c r="J1160" s="0" t="s">
        <v>145</v>
      </c>
      <c r="K1160" s="0" t="s">
        <v>164</v>
      </c>
      <c r="L1160" s="0" t="s">
        <v>165</v>
      </c>
      <c r="M1160" s="0" t="s">
        <v>371</v>
      </c>
      <c r="N1160" s="0" t="s">
        <v>372</v>
      </c>
      <c r="O1160" s="0" t="s">
        <v>373</v>
      </c>
      <c r="Q1160" s="0" t="s">
        <v>130</v>
      </c>
      <c r="R1160" s="0" t="s">
        <v>138</v>
      </c>
      <c r="S1160" s="14">
        <v>0</v>
      </c>
      <c r="T1160" s="0" t="s">
        <v>303</v>
      </c>
      <c r="U1160" s="0" t="s">
        <v>138</v>
      </c>
      <c r="V1160" s="14" t="s">
        <v>138</v>
      </c>
      <c r="W1160" s="0" t="s">
        <v>138</v>
      </c>
      <c r="X1160" s="14" t="s">
        <v>138</v>
      </c>
      <c r="Y1160" s="0" t="s">
        <v>138</v>
      </c>
      <c r="Z1160" s="14" t="s">
        <v>138</v>
      </c>
      <c r="AA1160" s="0" t="s">
        <v>138</v>
      </c>
      <c r="AB1160" s="14" t="s">
        <v>138</v>
      </c>
      <c r="AD1160" s="0" t="s">
        <v>138</v>
      </c>
      <c r="AF1160" s="0">
        <v>0</v>
      </c>
      <c r="AG1160" s="0">
        <v>0</v>
      </c>
      <c r="AH1160" s="0" t="s">
        <v>140</v>
      </c>
      <c r="AI1160" s="0" t="s">
        <v>138</v>
      </c>
      <c r="AL1160" s="14"/>
      <c r="AN1160" s="14"/>
      <c r="AQ1160" s="0" t="s">
        <v>130</v>
      </c>
      <c r="AR1160" s="0" t="s">
        <v>130</v>
      </c>
      <c r="AS1160" s="0" t="s">
        <v>130</v>
      </c>
      <c r="AT1160" s="0" t="s">
        <v>130</v>
      </c>
      <c r="AU1160" s="0" t="s">
        <v>130</v>
      </c>
      <c r="AV1160" s="0" t="s">
        <v>130</v>
      </c>
      <c r="AW1160" s="0" t="s">
        <v>130</v>
      </c>
      <c r="AX1160" s="0" t="s">
        <v>130</v>
      </c>
      <c r="AY1160" s="0" t="s">
        <v>130</v>
      </c>
      <c r="AZ1160" s="0" t="s">
        <v>130</v>
      </c>
      <c r="BA1160" s="0" t="s">
        <v>130</v>
      </c>
      <c r="BB1160" s="0" t="s">
        <v>130</v>
      </c>
      <c r="BC1160" s="0" t="s">
        <v>130</v>
      </c>
      <c r="BD1160" s="0" t="s">
        <v>130</v>
      </c>
      <c r="BE1160" s="0" t="s">
        <v>130</v>
      </c>
      <c r="BF1160" s="0" t="s">
        <v>130</v>
      </c>
      <c r="BG1160" s="0" t="s">
        <v>130</v>
      </c>
      <c r="BH1160" s="0" t="s">
        <v>130</v>
      </c>
      <c r="BI1160" s="0" t="s">
        <v>130</v>
      </c>
      <c r="BJ1160" s="0" t="s">
        <v>130</v>
      </c>
      <c r="BK1160" s="0" t="s">
        <v>130</v>
      </c>
      <c r="BL1160" s="0" t="s">
        <v>130</v>
      </c>
      <c r="BM1160" s="0" t="s">
        <v>130</v>
      </c>
      <c r="BN1160" s="0" t="s">
        <v>130</v>
      </c>
      <c r="BO1160" s="0" t="s">
        <v>130</v>
      </c>
      <c r="BP1160" s="0" t="s">
        <v>130</v>
      </c>
      <c r="BQ1160" s="0" t="s">
        <v>130</v>
      </c>
      <c r="BR1160" s="0" t="s">
        <v>130</v>
      </c>
      <c r="BS1160" s="0" t="s">
        <v>130</v>
      </c>
      <c r="BT1160" s="0" t="s">
        <v>130</v>
      </c>
      <c r="BU1160" s="0" t="s">
        <v>130</v>
      </c>
      <c r="BV1160" s="0" t="s">
        <v>130</v>
      </c>
      <c r="BW1160" s="0" t="s">
        <v>130</v>
      </c>
      <c r="BX1160" s="0" t="s">
        <v>130</v>
      </c>
      <c r="BY1160" s="0" t="s">
        <v>130</v>
      </c>
      <c r="BZ1160" s="0" t="s">
        <v>130</v>
      </c>
      <c r="CA1160" s="0" t="s">
        <v>130</v>
      </c>
      <c r="CB1160" s="0" t="s">
        <v>130</v>
      </c>
      <c r="CC1160" s="0" t="s">
        <v>130</v>
      </c>
      <c r="CD1160" s="0" t="s">
        <v>130</v>
      </c>
      <c r="CE1160" s="0" t="s">
        <v>130</v>
      </c>
      <c r="CF1160" s="0" t="s">
        <v>130</v>
      </c>
      <c r="CG1160" s="0" t="s">
        <v>130</v>
      </c>
      <c r="CH1160" s="0" t="s">
        <v>130</v>
      </c>
      <c r="CI1160" s="0" t="s">
        <v>130</v>
      </c>
      <c r="CJ1160" s="0" t="s">
        <v>130</v>
      </c>
      <c r="CK1160" s="0" t="s">
        <v>130</v>
      </c>
      <c r="CL1160" s="0" t="s">
        <v>130</v>
      </c>
      <c r="CM1160" s="0" t="s">
        <v>130</v>
      </c>
      <c r="CN1160" s="0" t="s">
        <v>130</v>
      </c>
      <c r="CO1160" s="0" t="s">
        <v>130</v>
      </c>
      <c r="CP1160" s="0" t="s">
        <v>130</v>
      </c>
      <c r="CQ1160" s="0" t="s">
        <v>130</v>
      </c>
      <c r="CR1160" s="0" t="s">
        <v>130</v>
      </c>
      <c r="CS1160" s="0" t="s">
        <v>130</v>
      </c>
      <c r="CT1160" s="0" t="s">
        <v>3458</v>
      </c>
    </row>
    <row r="1161">
      <c r="A1161" s="14">
        <v>100232</v>
      </c>
      <c r="B1161" s="0" t="s">
        <v>368</v>
      </c>
      <c r="C1161" s="16">
        <f>HYPERLINK("https://eosportal.federatedhermes.com/companies/Q29tcGFueQppNjQzODg=", "BHP Group Ltd")</f>
      </c>
      <c r="D1161" s="0" t="s">
        <v>25</v>
      </c>
      <c r="E1161" s="0" t="s">
        <v>2922</v>
      </c>
      <c r="F1161" s="16">
        <f>HYPERLINK("https://eosportal.federatedhermes.com/engagements/RW5nYWdlbWVudAppMjU2ODM=", "Regnan engagement activity on succession planning")</f>
      </c>
      <c r="G1161" s="14" t="s">
        <v>2922</v>
      </c>
      <c r="H1161" s="0" t="s">
        <v>141</v>
      </c>
      <c r="I1161" s="14" t="s">
        <v>191</v>
      </c>
      <c r="J1161" s="0" t="s">
        <v>145</v>
      </c>
      <c r="K1161" s="0" t="s">
        <v>164</v>
      </c>
      <c r="L1161" s="0" t="s">
        <v>277</v>
      </c>
      <c r="M1161" s="0" t="s">
        <v>371</v>
      </c>
      <c r="N1161" s="0" t="s">
        <v>372</v>
      </c>
      <c r="O1161" s="0" t="s">
        <v>373</v>
      </c>
      <c r="Q1161" s="0" t="s">
        <v>130</v>
      </c>
      <c r="R1161" s="0" t="s">
        <v>138</v>
      </c>
      <c r="S1161" s="14">
        <v>0</v>
      </c>
      <c r="T1161" s="0" t="s">
        <v>181</v>
      </c>
      <c r="U1161" s="0" t="s">
        <v>138</v>
      </c>
      <c r="V1161" s="14" t="s">
        <v>138</v>
      </c>
      <c r="W1161" s="0" t="s">
        <v>138</v>
      </c>
      <c r="X1161" s="14" t="s">
        <v>138</v>
      </c>
      <c r="Y1161" s="0" t="s">
        <v>138</v>
      </c>
      <c r="Z1161" s="14" t="s">
        <v>138</v>
      </c>
      <c r="AA1161" s="0" t="s">
        <v>138</v>
      </c>
      <c r="AB1161" s="14" t="s">
        <v>138</v>
      </c>
      <c r="AD1161" s="0" t="s">
        <v>138</v>
      </c>
      <c r="AF1161" s="0">
        <v>0</v>
      </c>
      <c r="AG1161" s="0">
        <v>0</v>
      </c>
      <c r="AH1161" s="0" t="s">
        <v>140</v>
      </c>
      <c r="AI1161" s="0" t="s">
        <v>138</v>
      </c>
      <c r="AL1161" s="14"/>
      <c r="AN1161" s="14"/>
      <c r="AQ1161" s="0" t="s">
        <v>130</v>
      </c>
      <c r="AR1161" s="0" t="s">
        <v>130</v>
      </c>
      <c r="AS1161" s="0" t="s">
        <v>130</v>
      </c>
      <c r="AT1161" s="0" t="s">
        <v>130</v>
      </c>
      <c r="AU1161" s="0" t="s">
        <v>130</v>
      </c>
      <c r="AV1161" s="0" t="s">
        <v>130</v>
      </c>
      <c r="AW1161" s="0" t="s">
        <v>130</v>
      </c>
      <c r="AX1161" s="0" t="s">
        <v>130</v>
      </c>
      <c r="AY1161" s="0" t="s">
        <v>130</v>
      </c>
      <c r="AZ1161" s="0" t="s">
        <v>130</v>
      </c>
      <c r="BA1161" s="0" t="s">
        <v>130</v>
      </c>
      <c r="BB1161" s="0" t="s">
        <v>130</v>
      </c>
      <c r="BC1161" s="0" t="s">
        <v>130</v>
      </c>
      <c r="BD1161" s="0" t="s">
        <v>130</v>
      </c>
      <c r="BE1161" s="0" t="s">
        <v>130</v>
      </c>
      <c r="BF1161" s="0" t="s">
        <v>130</v>
      </c>
      <c r="BG1161" s="0" t="s">
        <v>130</v>
      </c>
      <c r="BH1161" s="0" t="s">
        <v>130</v>
      </c>
      <c r="BI1161" s="0" t="s">
        <v>130</v>
      </c>
      <c r="BJ1161" s="0" t="s">
        <v>130</v>
      </c>
      <c r="BK1161" s="0" t="s">
        <v>130</v>
      </c>
      <c r="BL1161" s="0" t="s">
        <v>130</v>
      </c>
      <c r="BM1161" s="0" t="s">
        <v>130</v>
      </c>
      <c r="BN1161" s="0" t="s">
        <v>130</v>
      </c>
      <c r="BO1161" s="0" t="s">
        <v>130</v>
      </c>
      <c r="BP1161" s="0" t="s">
        <v>130</v>
      </c>
      <c r="BQ1161" s="0" t="s">
        <v>130</v>
      </c>
      <c r="BR1161" s="0" t="s">
        <v>130</v>
      </c>
      <c r="BS1161" s="0" t="s">
        <v>130</v>
      </c>
      <c r="BT1161" s="0" t="s">
        <v>130</v>
      </c>
      <c r="BU1161" s="0" t="s">
        <v>130</v>
      </c>
      <c r="BV1161" s="0" t="s">
        <v>130</v>
      </c>
      <c r="BW1161" s="0" t="s">
        <v>130</v>
      </c>
      <c r="BX1161" s="0" t="s">
        <v>130</v>
      </c>
      <c r="BY1161" s="0" t="s">
        <v>130</v>
      </c>
      <c r="BZ1161" s="0" t="s">
        <v>130</v>
      </c>
      <c r="CA1161" s="0" t="s">
        <v>130</v>
      </c>
      <c r="CB1161" s="0" t="s">
        <v>130</v>
      </c>
      <c r="CC1161" s="0" t="s">
        <v>130</v>
      </c>
      <c r="CD1161" s="0" t="s">
        <v>130</v>
      </c>
      <c r="CE1161" s="0" t="s">
        <v>130</v>
      </c>
      <c r="CF1161" s="0" t="s">
        <v>130</v>
      </c>
      <c r="CG1161" s="0" t="s">
        <v>130</v>
      </c>
      <c r="CH1161" s="0" t="s">
        <v>130</v>
      </c>
      <c r="CI1161" s="0" t="s">
        <v>130</v>
      </c>
      <c r="CJ1161" s="0" t="s">
        <v>130</v>
      </c>
      <c r="CK1161" s="0" t="s">
        <v>130</v>
      </c>
      <c r="CL1161" s="0" t="s">
        <v>130</v>
      </c>
      <c r="CM1161" s="0" t="s">
        <v>130</v>
      </c>
      <c r="CN1161" s="0" t="s">
        <v>130</v>
      </c>
      <c r="CO1161" s="0" t="s">
        <v>130</v>
      </c>
      <c r="CP1161" s="0" t="s">
        <v>130</v>
      </c>
      <c r="CQ1161" s="0" t="s">
        <v>130</v>
      </c>
      <c r="CR1161" s="0" t="s">
        <v>130</v>
      </c>
      <c r="CS1161" s="0" t="s">
        <v>130</v>
      </c>
      <c r="CT1161" s="0" t="s">
        <v>3459</v>
      </c>
    </row>
    <row r="1162">
      <c r="A1162" s="14">
        <v>100232</v>
      </c>
      <c r="B1162" s="0" t="s">
        <v>368</v>
      </c>
      <c r="C1162" s="16">
        <f>HYPERLINK("https://eosportal.federatedhermes.com/companies/Q29tcGFueQppNjQzODg=", "BHP Group Ltd")</f>
      </c>
      <c r="D1162" s="0" t="s">
        <v>25</v>
      </c>
      <c r="E1162" s="0" t="s">
        <v>1006</v>
      </c>
      <c r="F1162" s="16">
        <f>HYPERLINK("https://eosportal.federatedhermes.com/engagements/RW5nYWdlbWVudAppMjU2ODQ=", "Regnan Engagement Activity on water")</f>
      </c>
      <c r="G1162" s="14" t="s">
        <v>999</v>
      </c>
      <c r="H1162" s="0" t="s">
        <v>141</v>
      </c>
      <c r="I1162" s="14" t="s">
        <v>191</v>
      </c>
      <c r="J1162" s="0" t="s">
        <v>197</v>
      </c>
      <c r="K1162" s="0" t="s">
        <v>337</v>
      </c>
      <c r="L1162" s="0" t="s">
        <v>338</v>
      </c>
      <c r="M1162" s="0" t="s">
        <v>371</v>
      </c>
      <c r="N1162" s="0" t="s">
        <v>372</v>
      </c>
      <c r="O1162" s="0" t="s">
        <v>373</v>
      </c>
      <c r="Q1162" s="0" t="s">
        <v>130</v>
      </c>
      <c r="R1162" s="0" t="s">
        <v>138</v>
      </c>
      <c r="S1162" s="14">
        <v>0</v>
      </c>
      <c r="T1162" s="0" t="s">
        <v>299</v>
      </c>
      <c r="U1162" s="0" t="s">
        <v>138</v>
      </c>
      <c r="V1162" s="14" t="s">
        <v>138</v>
      </c>
      <c r="W1162" s="0" t="s">
        <v>138</v>
      </c>
      <c r="X1162" s="14" t="s">
        <v>138</v>
      </c>
      <c r="Y1162" s="0" t="s">
        <v>138</v>
      </c>
      <c r="Z1162" s="14" t="s">
        <v>138</v>
      </c>
      <c r="AA1162" s="0" t="s">
        <v>138</v>
      </c>
      <c r="AB1162" s="14" t="s">
        <v>138</v>
      </c>
      <c r="AD1162" s="0" t="s">
        <v>138</v>
      </c>
      <c r="AF1162" s="0">
        <v>0</v>
      </c>
      <c r="AG1162" s="0">
        <v>0</v>
      </c>
      <c r="AH1162" s="0" t="s">
        <v>140</v>
      </c>
      <c r="AI1162" s="0" t="s">
        <v>138</v>
      </c>
      <c r="AL1162" s="14"/>
      <c r="AN1162" s="14"/>
      <c r="AQ1162" s="0" t="s">
        <v>130</v>
      </c>
      <c r="AR1162" s="0" t="s">
        <v>130</v>
      </c>
      <c r="AS1162" s="0" t="s">
        <v>130</v>
      </c>
      <c r="AT1162" s="0" t="s">
        <v>130</v>
      </c>
      <c r="AU1162" s="0" t="s">
        <v>130</v>
      </c>
      <c r="AV1162" s="0" t="s">
        <v>130</v>
      </c>
      <c r="AW1162" s="0" t="s">
        <v>130</v>
      </c>
      <c r="AX1162" s="0" t="s">
        <v>130</v>
      </c>
      <c r="AY1162" s="0" t="s">
        <v>130</v>
      </c>
      <c r="AZ1162" s="0" t="s">
        <v>130</v>
      </c>
      <c r="BA1162" s="0" t="s">
        <v>130</v>
      </c>
      <c r="BB1162" s="0" t="s">
        <v>130</v>
      </c>
      <c r="BC1162" s="0" t="s">
        <v>130</v>
      </c>
      <c r="BD1162" s="0" t="s">
        <v>130</v>
      </c>
      <c r="BE1162" s="0" t="s">
        <v>130</v>
      </c>
      <c r="BF1162" s="0" t="s">
        <v>130</v>
      </c>
      <c r="BG1162" s="0" t="s">
        <v>130</v>
      </c>
      <c r="BH1162" s="0" t="s">
        <v>130</v>
      </c>
      <c r="BI1162" s="0" t="s">
        <v>130</v>
      </c>
      <c r="BJ1162" s="0" t="s">
        <v>130</v>
      </c>
      <c r="BK1162" s="0" t="s">
        <v>130</v>
      </c>
      <c r="BL1162" s="0" t="s">
        <v>130</v>
      </c>
      <c r="BM1162" s="0" t="s">
        <v>130</v>
      </c>
      <c r="BN1162" s="0" t="s">
        <v>130</v>
      </c>
      <c r="BO1162" s="0" t="s">
        <v>130</v>
      </c>
      <c r="BP1162" s="0" t="s">
        <v>130</v>
      </c>
      <c r="BQ1162" s="0" t="s">
        <v>130</v>
      </c>
      <c r="BR1162" s="0" t="s">
        <v>130</v>
      </c>
      <c r="BS1162" s="0" t="s">
        <v>130</v>
      </c>
      <c r="BT1162" s="0" t="s">
        <v>130</v>
      </c>
      <c r="BU1162" s="0" t="s">
        <v>130</v>
      </c>
      <c r="BV1162" s="0" t="s">
        <v>130</v>
      </c>
      <c r="BW1162" s="0" t="s">
        <v>130</v>
      </c>
      <c r="BX1162" s="0" t="s">
        <v>141</v>
      </c>
      <c r="BY1162" s="0" t="s">
        <v>130</v>
      </c>
      <c r="BZ1162" s="0" t="s">
        <v>130</v>
      </c>
      <c r="CA1162" s="0" t="s">
        <v>130</v>
      </c>
      <c r="CB1162" s="0" t="s">
        <v>130</v>
      </c>
      <c r="CC1162" s="0" t="s">
        <v>130</v>
      </c>
      <c r="CD1162" s="0" t="s">
        <v>130</v>
      </c>
      <c r="CE1162" s="0" t="s">
        <v>130</v>
      </c>
      <c r="CF1162" s="0" t="s">
        <v>130</v>
      </c>
      <c r="CG1162" s="0" t="s">
        <v>130</v>
      </c>
      <c r="CH1162" s="0" t="s">
        <v>130</v>
      </c>
      <c r="CI1162" s="0" t="s">
        <v>130</v>
      </c>
      <c r="CJ1162" s="0" t="s">
        <v>130</v>
      </c>
      <c r="CK1162" s="0" t="s">
        <v>130</v>
      </c>
      <c r="CL1162" s="0" t="s">
        <v>130</v>
      </c>
      <c r="CM1162" s="0" t="s">
        <v>130</v>
      </c>
      <c r="CN1162" s="0" t="s">
        <v>130</v>
      </c>
      <c r="CO1162" s="0" t="s">
        <v>130</v>
      </c>
      <c r="CP1162" s="0" t="s">
        <v>130</v>
      </c>
      <c r="CQ1162" s="0" t="s">
        <v>130</v>
      </c>
      <c r="CR1162" s="0" t="s">
        <v>130</v>
      </c>
      <c r="CS1162" s="0" t="s">
        <v>130</v>
      </c>
      <c r="CT1162" s="0" t="s">
        <v>3460</v>
      </c>
    </row>
    <row r="1163">
      <c r="A1163" s="14">
        <v>100232</v>
      </c>
      <c r="B1163" s="0" t="s">
        <v>368</v>
      </c>
      <c r="C1163" s="16">
        <f>HYPERLINK("https://eosportal.federatedhermes.com/companies/Q29tcGFueQppNjQzODg=", "BHP Group Ltd")</f>
      </c>
      <c r="D1163" s="0" t="s">
        <v>25</v>
      </c>
      <c r="E1163" s="0" t="s">
        <v>998</v>
      </c>
      <c r="F1163" s="16">
        <f>HYPERLINK("https://eosportal.federatedhermes.com/engagements/RW5nYWdlbWVudAppMjU2ODU=", "Regnan Engagement Activity on community relations")</f>
      </c>
      <c r="G1163" s="14" t="s">
        <v>999</v>
      </c>
      <c r="H1163" s="0" t="s">
        <v>141</v>
      </c>
      <c r="I1163" s="14" t="s">
        <v>191</v>
      </c>
      <c r="J1163" s="0" t="s">
        <v>153</v>
      </c>
      <c r="K1163" s="0" t="s">
        <v>243</v>
      </c>
      <c r="L1163" s="0" t="s">
        <v>571</v>
      </c>
      <c r="M1163" s="0" t="s">
        <v>371</v>
      </c>
      <c r="N1163" s="0" t="s">
        <v>372</v>
      </c>
      <c r="O1163" s="0" t="s">
        <v>373</v>
      </c>
      <c r="Q1163" s="0" t="s">
        <v>130</v>
      </c>
      <c r="R1163" s="0" t="s">
        <v>138</v>
      </c>
      <c r="S1163" s="14">
        <v>0</v>
      </c>
      <c r="T1163" s="0" t="s">
        <v>299</v>
      </c>
      <c r="U1163" s="0" t="s">
        <v>138</v>
      </c>
      <c r="V1163" s="14" t="s">
        <v>138</v>
      </c>
      <c r="W1163" s="0" t="s">
        <v>138</v>
      </c>
      <c r="X1163" s="14" t="s">
        <v>138</v>
      </c>
      <c r="Y1163" s="0" t="s">
        <v>138</v>
      </c>
      <c r="Z1163" s="14" t="s">
        <v>138</v>
      </c>
      <c r="AA1163" s="0" t="s">
        <v>138</v>
      </c>
      <c r="AB1163" s="14" t="s">
        <v>138</v>
      </c>
      <c r="AD1163" s="0" t="s">
        <v>138</v>
      </c>
      <c r="AF1163" s="0">
        <v>0</v>
      </c>
      <c r="AG1163" s="0">
        <v>0</v>
      </c>
      <c r="AH1163" s="0" t="s">
        <v>140</v>
      </c>
      <c r="AI1163" s="0" t="s">
        <v>138</v>
      </c>
      <c r="AL1163" s="14"/>
      <c r="AN1163" s="14"/>
      <c r="AQ1163" s="0" t="s">
        <v>130</v>
      </c>
      <c r="AR1163" s="0" t="s">
        <v>130</v>
      </c>
      <c r="AS1163" s="0" t="s">
        <v>130</v>
      </c>
      <c r="AT1163" s="0" t="s">
        <v>130</v>
      </c>
      <c r="AU1163" s="0" t="s">
        <v>130</v>
      </c>
      <c r="AV1163" s="0" t="s">
        <v>130</v>
      </c>
      <c r="AW1163" s="0" t="s">
        <v>130</v>
      </c>
      <c r="AX1163" s="0" t="s">
        <v>130</v>
      </c>
      <c r="AY1163" s="0" t="s">
        <v>130</v>
      </c>
      <c r="AZ1163" s="0" t="s">
        <v>130</v>
      </c>
      <c r="BA1163" s="0" t="s">
        <v>130</v>
      </c>
      <c r="BB1163" s="0" t="s">
        <v>130</v>
      </c>
      <c r="BC1163" s="0" t="s">
        <v>130</v>
      </c>
      <c r="BD1163" s="0" t="s">
        <v>130</v>
      </c>
      <c r="BE1163" s="0" t="s">
        <v>130</v>
      </c>
      <c r="BF1163" s="0" t="s">
        <v>130</v>
      </c>
      <c r="BG1163" s="0" t="s">
        <v>130</v>
      </c>
      <c r="BH1163" s="0" t="s">
        <v>130</v>
      </c>
      <c r="BI1163" s="0" t="s">
        <v>130</v>
      </c>
      <c r="BJ1163" s="0" t="s">
        <v>130</v>
      </c>
      <c r="BK1163" s="0" t="s">
        <v>130</v>
      </c>
      <c r="BL1163" s="0" t="s">
        <v>130</v>
      </c>
      <c r="BM1163" s="0" t="s">
        <v>130</v>
      </c>
      <c r="BN1163" s="0" t="s">
        <v>130</v>
      </c>
      <c r="BO1163" s="0" t="s">
        <v>130</v>
      </c>
      <c r="BP1163" s="0" t="s">
        <v>130</v>
      </c>
      <c r="BQ1163" s="0" t="s">
        <v>130</v>
      </c>
      <c r="BR1163" s="0" t="s">
        <v>130</v>
      </c>
      <c r="BS1163" s="0" t="s">
        <v>130</v>
      </c>
      <c r="BT1163" s="0" t="s">
        <v>130</v>
      </c>
      <c r="BU1163" s="0" t="s">
        <v>130</v>
      </c>
      <c r="BV1163" s="0" t="s">
        <v>130</v>
      </c>
      <c r="BW1163" s="0" t="s">
        <v>130</v>
      </c>
      <c r="BX1163" s="0" t="s">
        <v>130</v>
      </c>
      <c r="BY1163" s="0" t="s">
        <v>130</v>
      </c>
      <c r="BZ1163" s="0" t="s">
        <v>130</v>
      </c>
      <c r="CA1163" s="0" t="s">
        <v>130</v>
      </c>
      <c r="CB1163" s="0" t="s">
        <v>130</v>
      </c>
      <c r="CC1163" s="0" t="s">
        <v>130</v>
      </c>
      <c r="CD1163" s="0" t="s">
        <v>130</v>
      </c>
      <c r="CE1163" s="0" t="s">
        <v>130</v>
      </c>
      <c r="CF1163" s="0" t="s">
        <v>130</v>
      </c>
      <c r="CG1163" s="0" t="s">
        <v>130</v>
      </c>
      <c r="CH1163" s="0" t="s">
        <v>130</v>
      </c>
      <c r="CI1163" s="0" t="s">
        <v>130</v>
      </c>
      <c r="CJ1163" s="0" t="s">
        <v>130</v>
      </c>
      <c r="CK1163" s="0" t="s">
        <v>130</v>
      </c>
      <c r="CL1163" s="0" t="s">
        <v>130</v>
      </c>
      <c r="CM1163" s="0" t="s">
        <v>130</v>
      </c>
      <c r="CN1163" s="0" t="s">
        <v>130</v>
      </c>
      <c r="CO1163" s="0" t="s">
        <v>130</v>
      </c>
      <c r="CP1163" s="0" t="s">
        <v>130</v>
      </c>
      <c r="CQ1163" s="0" t="s">
        <v>130</v>
      </c>
      <c r="CR1163" s="0" t="s">
        <v>130</v>
      </c>
      <c r="CS1163" s="0" t="s">
        <v>130</v>
      </c>
      <c r="CT1163" s="0" t="s">
        <v>3461</v>
      </c>
    </row>
    <row r="1164">
      <c r="A1164" s="14">
        <v>100232</v>
      </c>
      <c r="B1164" s="0" t="s">
        <v>368</v>
      </c>
      <c r="C1164" s="16">
        <f>HYPERLINK("https://eosportal.federatedhermes.com/companies/Q29tcGFueQppNjQzODg=", "BHP Group Ltd")</f>
      </c>
      <c r="D1164" s="0" t="s">
        <v>25</v>
      </c>
      <c r="E1164" s="0" t="s">
        <v>1004</v>
      </c>
      <c r="F1164" s="16">
        <f>HYPERLINK("https://eosportal.federatedhermes.com/engagements/RW5nYWdlbWVudAppMjU2ODY=", "Regnan Engagement Activity on climate change")</f>
      </c>
      <c r="G1164" s="14" t="s">
        <v>999</v>
      </c>
      <c r="H1164" s="0" t="s">
        <v>141</v>
      </c>
      <c r="I1164" s="14" t="s">
        <v>191</v>
      </c>
      <c r="J1164" s="0" t="s">
        <v>197</v>
      </c>
      <c r="K1164" s="0" t="s">
        <v>198</v>
      </c>
      <c r="L1164" s="0" t="s">
        <v>216</v>
      </c>
      <c r="M1164" s="0" t="s">
        <v>371</v>
      </c>
      <c r="N1164" s="0" t="s">
        <v>372</v>
      </c>
      <c r="O1164" s="0" t="s">
        <v>373</v>
      </c>
      <c r="Q1164" s="0" t="s">
        <v>130</v>
      </c>
      <c r="R1164" s="0" t="s">
        <v>138</v>
      </c>
      <c r="S1164" s="14">
        <v>0</v>
      </c>
      <c r="T1164" s="0" t="s">
        <v>299</v>
      </c>
      <c r="U1164" s="0" t="s">
        <v>138</v>
      </c>
      <c r="V1164" s="14" t="s">
        <v>138</v>
      </c>
      <c r="W1164" s="0" t="s">
        <v>138</v>
      </c>
      <c r="X1164" s="14" t="s">
        <v>138</v>
      </c>
      <c r="Y1164" s="0" t="s">
        <v>138</v>
      </c>
      <c r="Z1164" s="14" t="s">
        <v>138</v>
      </c>
      <c r="AA1164" s="0" t="s">
        <v>138</v>
      </c>
      <c r="AB1164" s="14" t="s">
        <v>138</v>
      </c>
      <c r="AD1164" s="0" t="s">
        <v>138</v>
      </c>
      <c r="AF1164" s="0">
        <v>0</v>
      </c>
      <c r="AG1164" s="0">
        <v>0</v>
      </c>
      <c r="AH1164" s="0" t="s">
        <v>140</v>
      </c>
      <c r="AI1164" s="0" t="s">
        <v>138</v>
      </c>
      <c r="AL1164" s="14"/>
      <c r="AN1164" s="14"/>
      <c r="AQ1164" s="0" t="s">
        <v>130</v>
      </c>
      <c r="AR1164" s="0" t="s">
        <v>130</v>
      </c>
      <c r="AS1164" s="0" t="s">
        <v>130</v>
      </c>
      <c r="AT1164" s="0" t="s">
        <v>130</v>
      </c>
      <c r="AU1164" s="0" t="s">
        <v>130</v>
      </c>
      <c r="AV1164" s="0" t="s">
        <v>130</v>
      </c>
      <c r="AW1164" s="0" t="s">
        <v>141</v>
      </c>
      <c r="AX1164" s="0" t="s">
        <v>130</v>
      </c>
      <c r="AY1164" s="0" t="s">
        <v>130</v>
      </c>
      <c r="AZ1164" s="0" t="s">
        <v>130</v>
      </c>
      <c r="BA1164" s="0" t="s">
        <v>130</v>
      </c>
      <c r="BB1164" s="0" t="s">
        <v>141</v>
      </c>
      <c r="BC1164" s="0" t="s">
        <v>141</v>
      </c>
      <c r="BD1164" s="0" t="s">
        <v>130</v>
      </c>
      <c r="BE1164" s="0" t="s">
        <v>130</v>
      </c>
      <c r="BF1164" s="0" t="s">
        <v>130</v>
      </c>
      <c r="BG1164" s="0" t="s">
        <v>130</v>
      </c>
      <c r="BH1164" s="0" t="s">
        <v>141</v>
      </c>
      <c r="BI1164" s="0" t="s">
        <v>141</v>
      </c>
      <c r="BJ1164" s="0" t="s">
        <v>141</v>
      </c>
      <c r="BK1164" s="0" t="s">
        <v>130</v>
      </c>
      <c r="BL1164" s="0" t="s">
        <v>130</v>
      </c>
      <c r="BM1164" s="0" t="s">
        <v>130</v>
      </c>
      <c r="BN1164" s="0" t="s">
        <v>130</v>
      </c>
      <c r="BO1164" s="0" t="s">
        <v>130</v>
      </c>
      <c r="BP1164" s="0" t="s">
        <v>130</v>
      </c>
      <c r="BQ1164" s="0" t="s">
        <v>130</v>
      </c>
      <c r="BR1164" s="0" t="s">
        <v>130</v>
      </c>
      <c r="BS1164" s="0" t="s">
        <v>130</v>
      </c>
      <c r="BT1164" s="0" t="s">
        <v>130</v>
      </c>
      <c r="BU1164" s="0" t="s">
        <v>130</v>
      </c>
      <c r="BV1164" s="0" t="s">
        <v>141</v>
      </c>
      <c r="BW1164" s="0" t="s">
        <v>141</v>
      </c>
      <c r="BX1164" s="0" t="s">
        <v>130</v>
      </c>
      <c r="BY1164" s="0" t="s">
        <v>130</v>
      </c>
      <c r="BZ1164" s="0" t="s">
        <v>130</v>
      </c>
      <c r="CA1164" s="0" t="s">
        <v>130</v>
      </c>
      <c r="CB1164" s="0" t="s">
        <v>130</v>
      </c>
      <c r="CC1164" s="0" t="s">
        <v>130</v>
      </c>
      <c r="CD1164" s="0" t="s">
        <v>130</v>
      </c>
      <c r="CE1164" s="0" t="s">
        <v>130</v>
      </c>
      <c r="CF1164" s="0" t="s">
        <v>130</v>
      </c>
      <c r="CG1164" s="0" t="s">
        <v>130</v>
      </c>
      <c r="CH1164" s="0" t="s">
        <v>130</v>
      </c>
      <c r="CI1164" s="0" t="s">
        <v>130</v>
      </c>
      <c r="CJ1164" s="0" t="s">
        <v>130</v>
      </c>
      <c r="CK1164" s="0" t="s">
        <v>130</v>
      </c>
      <c r="CL1164" s="0" t="s">
        <v>130</v>
      </c>
      <c r="CM1164" s="0" t="s">
        <v>130</v>
      </c>
      <c r="CN1164" s="0" t="s">
        <v>130</v>
      </c>
      <c r="CO1164" s="0" t="s">
        <v>130</v>
      </c>
      <c r="CP1164" s="0" t="s">
        <v>130</v>
      </c>
      <c r="CQ1164" s="0" t="s">
        <v>130</v>
      </c>
      <c r="CR1164" s="0" t="s">
        <v>130</v>
      </c>
      <c r="CS1164" s="0" t="s">
        <v>130</v>
      </c>
      <c r="CT1164" s="0" t="s">
        <v>3462</v>
      </c>
    </row>
    <row r="1165">
      <c r="A1165" s="14">
        <v>100232</v>
      </c>
      <c r="B1165" s="0" t="s">
        <v>368</v>
      </c>
      <c r="C1165" s="16">
        <f>HYPERLINK("https://eosportal.federatedhermes.com/companies/Q29tcGFueQppNjQzODg=", "BHP Group Ltd")</f>
      </c>
      <c r="D1165" s="0" t="s">
        <v>25</v>
      </c>
      <c r="E1165" s="0" t="s">
        <v>2734</v>
      </c>
      <c r="F1165" s="16">
        <f>HYPERLINK("https://eosportal.federatedhermes.com/engagements/RW5nYWdlbWVudAppMjU2ODc=", "Health and safety")</f>
      </c>
      <c r="G1165" s="14" t="s">
        <v>2734</v>
      </c>
      <c r="H1165" s="0" t="s">
        <v>141</v>
      </c>
      <c r="I1165" s="14" t="s">
        <v>191</v>
      </c>
      <c r="J1165" s="0" t="s">
        <v>153</v>
      </c>
      <c r="K1165" s="0" t="s">
        <v>154</v>
      </c>
      <c r="L1165" s="0" t="s">
        <v>155</v>
      </c>
      <c r="M1165" s="0" t="s">
        <v>371</v>
      </c>
      <c r="N1165" s="0" t="s">
        <v>372</v>
      </c>
      <c r="O1165" s="0" t="s">
        <v>373</v>
      </c>
      <c r="Q1165" s="0" t="s">
        <v>141</v>
      </c>
      <c r="R1165" s="0" t="s">
        <v>138</v>
      </c>
      <c r="S1165" s="14">
        <v>1</v>
      </c>
      <c r="T1165" s="0" t="s">
        <v>707</v>
      </c>
      <c r="U1165" s="0" t="s">
        <v>138</v>
      </c>
      <c r="V1165" s="14" t="s">
        <v>138</v>
      </c>
      <c r="W1165" s="0" t="s">
        <v>138</v>
      </c>
      <c r="X1165" s="14" t="s">
        <v>138</v>
      </c>
      <c r="Y1165" s="0" t="s">
        <v>138</v>
      </c>
      <c r="Z1165" s="14" t="s">
        <v>138</v>
      </c>
      <c r="AA1165" s="0" t="s">
        <v>138</v>
      </c>
      <c r="AB1165" s="14" t="s">
        <v>138</v>
      </c>
      <c r="AD1165" s="0" t="s">
        <v>138</v>
      </c>
      <c r="AF1165" s="0">
        <v>0</v>
      </c>
      <c r="AG1165" s="0">
        <v>0</v>
      </c>
      <c r="AH1165" s="0" t="s">
        <v>140</v>
      </c>
      <c r="AI1165" s="0" t="s">
        <v>138</v>
      </c>
      <c r="AK1165" s="0" t="s">
        <v>2741</v>
      </c>
      <c r="AL1165" s="14"/>
      <c r="AN1165" s="14"/>
      <c r="AQ1165" s="0" t="s">
        <v>130</v>
      </c>
      <c r="AR1165" s="0" t="s">
        <v>130</v>
      </c>
      <c r="AS1165" s="0" t="s">
        <v>130</v>
      </c>
      <c r="AT1165" s="0" t="s">
        <v>130</v>
      </c>
      <c r="AU1165" s="0" t="s">
        <v>130</v>
      </c>
      <c r="AV1165" s="0" t="s">
        <v>130</v>
      </c>
      <c r="AW1165" s="0" t="s">
        <v>130</v>
      </c>
      <c r="AX1165" s="0" t="s">
        <v>141</v>
      </c>
      <c r="AY1165" s="0" t="s">
        <v>130</v>
      </c>
      <c r="AZ1165" s="0" t="s">
        <v>130</v>
      </c>
      <c r="BA1165" s="0" t="s">
        <v>130</v>
      </c>
      <c r="BB1165" s="0" t="s">
        <v>130</v>
      </c>
      <c r="BC1165" s="0" t="s">
        <v>130</v>
      </c>
      <c r="BD1165" s="0" t="s">
        <v>130</v>
      </c>
      <c r="BE1165" s="0" t="s">
        <v>130</v>
      </c>
      <c r="BF1165" s="0" t="s">
        <v>130</v>
      </c>
      <c r="BG1165" s="0" t="s">
        <v>130</v>
      </c>
      <c r="BH1165" s="0" t="s">
        <v>130</v>
      </c>
      <c r="BI1165" s="0" t="s">
        <v>130</v>
      </c>
      <c r="BJ1165" s="0" t="s">
        <v>130</v>
      </c>
      <c r="BK1165" s="0" t="s">
        <v>130</v>
      </c>
      <c r="BL1165" s="0" t="s">
        <v>130</v>
      </c>
      <c r="BM1165" s="0" t="s">
        <v>130</v>
      </c>
      <c r="BN1165" s="0" t="s">
        <v>130</v>
      </c>
      <c r="BO1165" s="0" t="s">
        <v>130</v>
      </c>
      <c r="BP1165" s="0" t="s">
        <v>130</v>
      </c>
      <c r="BQ1165" s="0" t="s">
        <v>130</v>
      </c>
      <c r="BR1165" s="0" t="s">
        <v>130</v>
      </c>
      <c r="BS1165" s="0" t="s">
        <v>130</v>
      </c>
      <c r="BT1165" s="0" t="s">
        <v>130</v>
      </c>
      <c r="BU1165" s="0" t="s">
        <v>130</v>
      </c>
      <c r="BV1165" s="0" t="s">
        <v>130</v>
      </c>
      <c r="BW1165" s="0" t="s">
        <v>130</v>
      </c>
      <c r="BX1165" s="0" t="s">
        <v>130</v>
      </c>
      <c r="BY1165" s="0" t="s">
        <v>130</v>
      </c>
      <c r="BZ1165" s="0" t="s">
        <v>130</v>
      </c>
      <c r="CA1165" s="0" t="s">
        <v>130</v>
      </c>
      <c r="CB1165" s="0" t="s">
        <v>130</v>
      </c>
      <c r="CC1165" s="0" t="s">
        <v>130</v>
      </c>
      <c r="CD1165" s="0" t="s">
        <v>130</v>
      </c>
      <c r="CE1165" s="0" t="s">
        <v>130</v>
      </c>
      <c r="CF1165" s="0" t="s">
        <v>130</v>
      </c>
      <c r="CG1165" s="0" t="s">
        <v>130</v>
      </c>
      <c r="CH1165" s="0" t="s">
        <v>130</v>
      </c>
      <c r="CI1165" s="0" t="s">
        <v>141</v>
      </c>
      <c r="CJ1165" s="0" t="s">
        <v>130</v>
      </c>
      <c r="CK1165" s="0" t="s">
        <v>130</v>
      </c>
      <c r="CL1165" s="0" t="s">
        <v>130</v>
      </c>
      <c r="CM1165" s="0" t="s">
        <v>130</v>
      </c>
      <c r="CN1165" s="0" t="s">
        <v>130</v>
      </c>
      <c r="CO1165" s="0" t="s">
        <v>130</v>
      </c>
      <c r="CP1165" s="0" t="s">
        <v>130</v>
      </c>
      <c r="CQ1165" s="0" t="s">
        <v>130</v>
      </c>
      <c r="CR1165" s="0" t="s">
        <v>130</v>
      </c>
      <c r="CS1165" s="0" t="s">
        <v>130</v>
      </c>
      <c r="CT1165" s="0" t="s">
        <v>3463</v>
      </c>
    </row>
    <row r="1166">
      <c r="A1166" s="14">
        <v>100232</v>
      </c>
      <c r="B1166" s="0" t="s">
        <v>368</v>
      </c>
      <c r="C1166" s="16">
        <f>HYPERLINK("https://eosportal.federatedhermes.com/companies/Q29tcGFueQppNjQzODg=", "BHP Group Ltd")</f>
      </c>
      <c r="D1166" s="0" t="s">
        <v>25</v>
      </c>
      <c r="E1166" s="0" t="s">
        <v>1023</v>
      </c>
      <c r="F1166" s="16">
        <f>HYPERLINK("https://eosportal.federatedhermes.com/engagements/RW5nYWdlbWVudAppMjU2ODg=", "Regnan engagement activity on unconventional gas")</f>
      </c>
      <c r="G1166" s="14" t="s">
        <v>999</v>
      </c>
      <c r="H1166" s="0" t="s">
        <v>141</v>
      </c>
      <c r="I1166" s="14" t="s">
        <v>191</v>
      </c>
      <c r="J1166" s="0" t="s">
        <v>132</v>
      </c>
      <c r="K1166" s="0" t="s">
        <v>133</v>
      </c>
      <c r="L1166" s="0" t="s">
        <v>160</v>
      </c>
      <c r="M1166" s="0" t="s">
        <v>371</v>
      </c>
      <c r="N1166" s="0" t="s">
        <v>372</v>
      </c>
      <c r="O1166" s="0" t="s">
        <v>373</v>
      </c>
      <c r="Q1166" s="0" t="s">
        <v>130</v>
      </c>
      <c r="R1166" s="0" t="s">
        <v>138</v>
      </c>
      <c r="S1166" s="14">
        <v>0</v>
      </c>
      <c r="T1166" s="0" t="s">
        <v>1011</v>
      </c>
      <c r="U1166" s="0" t="s">
        <v>138</v>
      </c>
      <c r="V1166" s="14" t="s">
        <v>138</v>
      </c>
      <c r="W1166" s="0" t="s">
        <v>138</v>
      </c>
      <c r="X1166" s="14" t="s">
        <v>138</v>
      </c>
      <c r="Y1166" s="0" t="s">
        <v>138</v>
      </c>
      <c r="Z1166" s="14" t="s">
        <v>138</v>
      </c>
      <c r="AA1166" s="0" t="s">
        <v>138</v>
      </c>
      <c r="AB1166" s="14" t="s">
        <v>138</v>
      </c>
      <c r="AD1166" s="0" t="s">
        <v>138</v>
      </c>
      <c r="AF1166" s="0">
        <v>0</v>
      </c>
      <c r="AG1166" s="0">
        <v>0</v>
      </c>
      <c r="AH1166" s="0" t="s">
        <v>140</v>
      </c>
      <c r="AI1166" s="0" t="s">
        <v>138</v>
      </c>
      <c r="AL1166" s="14"/>
      <c r="AN1166" s="14"/>
      <c r="AQ1166" s="0" t="s">
        <v>130</v>
      </c>
      <c r="AR1166" s="0" t="s">
        <v>130</v>
      </c>
      <c r="AS1166" s="0" t="s">
        <v>130</v>
      </c>
      <c r="AT1166" s="0" t="s">
        <v>130</v>
      </c>
      <c r="AU1166" s="0" t="s">
        <v>130</v>
      </c>
      <c r="AV1166" s="0" t="s">
        <v>130</v>
      </c>
      <c r="AW1166" s="0" t="s">
        <v>130</v>
      </c>
      <c r="AX1166" s="0" t="s">
        <v>130</v>
      </c>
      <c r="AY1166" s="0" t="s">
        <v>130</v>
      </c>
      <c r="AZ1166" s="0" t="s">
        <v>130</v>
      </c>
      <c r="BA1166" s="0" t="s">
        <v>130</v>
      </c>
      <c r="BB1166" s="0" t="s">
        <v>130</v>
      </c>
      <c r="BC1166" s="0" t="s">
        <v>130</v>
      </c>
      <c r="BD1166" s="0" t="s">
        <v>130</v>
      </c>
      <c r="BE1166" s="0" t="s">
        <v>130</v>
      </c>
      <c r="BF1166" s="0" t="s">
        <v>130</v>
      </c>
      <c r="BG1166" s="0" t="s">
        <v>130</v>
      </c>
      <c r="BH1166" s="0" t="s">
        <v>130</v>
      </c>
      <c r="BI1166" s="0" t="s">
        <v>130</v>
      </c>
      <c r="BJ1166" s="0" t="s">
        <v>130</v>
      </c>
      <c r="BK1166" s="0" t="s">
        <v>130</v>
      </c>
      <c r="BL1166" s="0" t="s">
        <v>130</v>
      </c>
      <c r="BM1166" s="0" t="s">
        <v>130</v>
      </c>
      <c r="BN1166" s="0" t="s">
        <v>130</v>
      </c>
      <c r="BO1166" s="0" t="s">
        <v>130</v>
      </c>
      <c r="BP1166" s="0" t="s">
        <v>130</v>
      </c>
      <c r="BQ1166" s="0" t="s">
        <v>130</v>
      </c>
      <c r="BR1166" s="0" t="s">
        <v>130</v>
      </c>
      <c r="BS1166" s="0" t="s">
        <v>130</v>
      </c>
      <c r="BT1166" s="0" t="s">
        <v>130</v>
      </c>
      <c r="BU1166" s="0" t="s">
        <v>130</v>
      </c>
      <c r="BV1166" s="0" t="s">
        <v>130</v>
      </c>
      <c r="BW1166" s="0" t="s">
        <v>130</v>
      </c>
      <c r="BX1166" s="0" t="s">
        <v>130</v>
      </c>
      <c r="BY1166" s="0" t="s">
        <v>130</v>
      </c>
      <c r="BZ1166" s="0" t="s">
        <v>130</v>
      </c>
      <c r="CA1166" s="0" t="s">
        <v>130</v>
      </c>
      <c r="CB1166" s="0" t="s">
        <v>130</v>
      </c>
      <c r="CC1166" s="0" t="s">
        <v>130</v>
      </c>
      <c r="CD1166" s="0" t="s">
        <v>130</v>
      </c>
      <c r="CE1166" s="0" t="s">
        <v>130</v>
      </c>
      <c r="CF1166" s="0" t="s">
        <v>130</v>
      </c>
      <c r="CG1166" s="0" t="s">
        <v>130</v>
      </c>
      <c r="CH1166" s="0" t="s">
        <v>130</v>
      </c>
      <c r="CI1166" s="0" t="s">
        <v>130</v>
      </c>
      <c r="CJ1166" s="0" t="s">
        <v>130</v>
      </c>
      <c r="CK1166" s="0" t="s">
        <v>130</v>
      </c>
      <c r="CL1166" s="0" t="s">
        <v>130</v>
      </c>
      <c r="CM1166" s="0" t="s">
        <v>130</v>
      </c>
      <c r="CN1166" s="0" t="s">
        <v>130</v>
      </c>
      <c r="CO1166" s="0" t="s">
        <v>130</v>
      </c>
      <c r="CP1166" s="0" t="s">
        <v>130</v>
      </c>
      <c r="CQ1166" s="0" t="s">
        <v>130</v>
      </c>
      <c r="CR1166" s="0" t="s">
        <v>130</v>
      </c>
      <c r="CS1166" s="0" t="s">
        <v>130</v>
      </c>
      <c r="CT1166" s="0" t="s">
        <v>3464</v>
      </c>
    </row>
    <row r="1167">
      <c r="A1167" s="14">
        <v>100232</v>
      </c>
      <c r="B1167" s="0" t="s">
        <v>368</v>
      </c>
      <c r="C1167" s="16">
        <f>HYPERLINK("https://eosportal.federatedhermes.com/companies/Q29tcGFueQppNjQzODg=", "BHP Group Ltd")</f>
      </c>
      <c r="D1167" s="0" t="s">
        <v>25</v>
      </c>
      <c r="E1167" s="0" t="s">
        <v>3465</v>
      </c>
      <c r="F1167" s="16">
        <f>HYPERLINK("https://eosportal.federatedhermes.com/engagements/RW5nYWdlbWVudAppMjU2OTE=", "Remuneration Practices Improving")</f>
      </c>
      <c r="G1167" s="14" t="s">
        <v>3466</v>
      </c>
      <c r="H1167" s="0" t="s">
        <v>141</v>
      </c>
      <c r="I1167" s="14" t="s">
        <v>191</v>
      </c>
      <c r="J1167" s="0" t="s">
        <v>145</v>
      </c>
      <c r="K1167" s="0" t="s">
        <v>146</v>
      </c>
      <c r="L1167" s="0" t="s">
        <v>147</v>
      </c>
      <c r="M1167" s="0" t="s">
        <v>371</v>
      </c>
      <c r="N1167" s="0" t="s">
        <v>372</v>
      </c>
      <c r="O1167" s="0" t="s">
        <v>373</v>
      </c>
      <c r="Q1167" s="0" t="s">
        <v>141</v>
      </c>
      <c r="R1167" s="0" t="s">
        <v>138</v>
      </c>
      <c r="S1167" s="14">
        <v>3</v>
      </c>
      <c r="T1167" s="0" t="s">
        <v>3467</v>
      </c>
      <c r="U1167" s="0" t="s">
        <v>138</v>
      </c>
      <c r="V1167" s="14" t="s">
        <v>138</v>
      </c>
      <c r="W1167" s="0" t="s">
        <v>138</v>
      </c>
      <c r="X1167" s="14" t="s">
        <v>138</v>
      </c>
      <c r="Y1167" s="0" t="s">
        <v>138</v>
      </c>
      <c r="Z1167" s="14" t="s">
        <v>138</v>
      </c>
      <c r="AA1167" s="0" t="s">
        <v>138</v>
      </c>
      <c r="AB1167" s="14" t="s">
        <v>138</v>
      </c>
      <c r="AD1167" s="0" t="s">
        <v>138</v>
      </c>
      <c r="AF1167" s="0">
        <v>0</v>
      </c>
      <c r="AG1167" s="0">
        <v>0</v>
      </c>
      <c r="AH1167" s="0" t="s">
        <v>140</v>
      </c>
      <c r="AI1167" s="0" t="s">
        <v>138</v>
      </c>
      <c r="AK1167" s="0" t="s">
        <v>300</v>
      </c>
      <c r="AL1167" s="14"/>
      <c r="AN1167" s="14"/>
      <c r="AQ1167" s="0" t="s">
        <v>130</v>
      </c>
      <c r="AR1167" s="0" t="s">
        <v>130</v>
      </c>
      <c r="AS1167" s="0" t="s">
        <v>130</v>
      </c>
      <c r="AT1167" s="0" t="s">
        <v>130</v>
      </c>
      <c r="AU1167" s="0" t="s">
        <v>130</v>
      </c>
      <c r="AV1167" s="0" t="s">
        <v>130</v>
      </c>
      <c r="AW1167" s="0" t="s">
        <v>130</v>
      </c>
      <c r="AX1167" s="0" t="s">
        <v>130</v>
      </c>
      <c r="AY1167" s="0" t="s">
        <v>130</v>
      </c>
      <c r="AZ1167" s="0" t="s">
        <v>130</v>
      </c>
      <c r="BA1167" s="0" t="s">
        <v>130</v>
      </c>
      <c r="BB1167" s="0" t="s">
        <v>130</v>
      </c>
      <c r="BC1167" s="0" t="s">
        <v>130</v>
      </c>
      <c r="BD1167" s="0" t="s">
        <v>130</v>
      </c>
      <c r="BE1167" s="0" t="s">
        <v>130</v>
      </c>
      <c r="BF1167" s="0" t="s">
        <v>130</v>
      </c>
      <c r="BG1167" s="0" t="s">
        <v>130</v>
      </c>
      <c r="BH1167" s="0" t="s">
        <v>130</v>
      </c>
      <c r="BI1167" s="0" t="s">
        <v>130</v>
      </c>
      <c r="BJ1167" s="0" t="s">
        <v>130</v>
      </c>
      <c r="BK1167" s="0" t="s">
        <v>130</v>
      </c>
      <c r="BL1167" s="0" t="s">
        <v>130</v>
      </c>
      <c r="BM1167" s="0" t="s">
        <v>130</v>
      </c>
      <c r="BN1167" s="0" t="s">
        <v>130</v>
      </c>
      <c r="BO1167" s="0" t="s">
        <v>130</v>
      </c>
      <c r="BP1167" s="0" t="s">
        <v>130</v>
      </c>
      <c r="BQ1167" s="0" t="s">
        <v>130</v>
      </c>
      <c r="BR1167" s="0" t="s">
        <v>130</v>
      </c>
      <c r="BS1167" s="0" t="s">
        <v>130</v>
      </c>
      <c r="BT1167" s="0" t="s">
        <v>130</v>
      </c>
      <c r="BU1167" s="0" t="s">
        <v>130</v>
      </c>
      <c r="BV1167" s="0" t="s">
        <v>130</v>
      </c>
      <c r="BW1167" s="0" t="s">
        <v>130</v>
      </c>
      <c r="BX1167" s="0" t="s">
        <v>130</v>
      </c>
      <c r="BY1167" s="0" t="s">
        <v>130</v>
      </c>
      <c r="BZ1167" s="0" t="s">
        <v>130</v>
      </c>
      <c r="CA1167" s="0" t="s">
        <v>130</v>
      </c>
      <c r="CB1167" s="0" t="s">
        <v>130</v>
      </c>
      <c r="CC1167" s="0" t="s">
        <v>130</v>
      </c>
      <c r="CD1167" s="0" t="s">
        <v>130</v>
      </c>
      <c r="CE1167" s="0" t="s">
        <v>130</v>
      </c>
      <c r="CF1167" s="0" t="s">
        <v>130</v>
      </c>
      <c r="CG1167" s="0" t="s">
        <v>130</v>
      </c>
      <c r="CH1167" s="0" t="s">
        <v>130</v>
      </c>
      <c r="CI1167" s="0" t="s">
        <v>130</v>
      </c>
      <c r="CJ1167" s="0" t="s">
        <v>130</v>
      </c>
      <c r="CK1167" s="0" t="s">
        <v>130</v>
      </c>
      <c r="CL1167" s="0" t="s">
        <v>130</v>
      </c>
      <c r="CM1167" s="0" t="s">
        <v>130</v>
      </c>
      <c r="CN1167" s="0" t="s">
        <v>130</v>
      </c>
      <c r="CO1167" s="0" t="s">
        <v>130</v>
      </c>
      <c r="CP1167" s="0" t="s">
        <v>130</v>
      </c>
      <c r="CQ1167" s="0" t="s">
        <v>130</v>
      </c>
      <c r="CR1167" s="0" t="s">
        <v>130</v>
      </c>
      <c r="CS1167" s="0" t="s">
        <v>130</v>
      </c>
      <c r="CT1167" s="0" t="s">
        <v>3468</v>
      </c>
    </row>
    <row r="1168">
      <c r="A1168" s="14">
        <v>100232</v>
      </c>
      <c r="B1168" s="0" t="s">
        <v>368</v>
      </c>
      <c r="C1168" s="16">
        <f>HYPERLINK("https://eosportal.federatedhermes.com/companies/Q29tcGFueQppNjQzODg=", "BHP Group Ltd")</f>
      </c>
      <c r="D1168" s="0" t="s">
        <v>25</v>
      </c>
      <c r="E1168" s="0" t="s">
        <v>3469</v>
      </c>
      <c r="F1168" s="16">
        <f>HYPERLINK("https://eosportal.federatedhermes.com/engagements/RW5nYWdlbWVudAppMjU2OTI=", "Regnan engagement activity on business strategy")</f>
      </c>
      <c r="G1168" s="14" t="s">
        <v>3469</v>
      </c>
      <c r="H1168" s="0" t="s">
        <v>141</v>
      </c>
      <c r="I1168" s="14" t="s">
        <v>191</v>
      </c>
      <c r="J1168" s="0" t="s">
        <v>153</v>
      </c>
      <c r="K1168" s="0" t="s">
        <v>185</v>
      </c>
      <c r="L1168" s="0" t="s">
        <v>186</v>
      </c>
      <c r="M1168" s="0" t="s">
        <v>371</v>
      </c>
      <c r="N1168" s="0" t="s">
        <v>372</v>
      </c>
      <c r="O1168" s="0" t="s">
        <v>373</v>
      </c>
      <c r="Q1168" s="0" t="s">
        <v>130</v>
      </c>
      <c r="R1168" s="0" t="s">
        <v>138</v>
      </c>
      <c r="S1168" s="14">
        <v>0</v>
      </c>
      <c r="T1168" s="0" t="s">
        <v>303</v>
      </c>
      <c r="U1168" s="0" t="s">
        <v>138</v>
      </c>
      <c r="V1168" s="14" t="s">
        <v>138</v>
      </c>
      <c r="W1168" s="0" t="s">
        <v>138</v>
      </c>
      <c r="X1168" s="14" t="s">
        <v>138</v>
      </c>
      <c r="Y1168" s="0" t="s">
        <v>138</v>
      </c>
      <c r="Z1168" s="14" t="s">
        <v>138</v>
      </c>
      <c r="AA1168" s="0" t="s">
        <v>138</v>
      </c>
      <c r="AB1168" s="14" t="s">
        <v>138</v>
      </c>
      <c r="AD1168" s="0" t="s">
        <v>138</v>
      </c>
      <c r="AF1168" s="0">
        <v>0</v>
      </c>
      <c r="AG1168" s="0">
        <v>0</v>
      </c>
      <c r="AH1168" s="0" t="s">
        <v>140</v>
      </c>
      <c r="AI1168" s="0" t="s">
        <v>138</v>
      </c>
      <c r="AL1168" s="14"/>
      <c r="AN1168" s="14"/>
      <c r="AQ1168" s="0" t="s">
        <v>130</v>
      </c>
      <c r="AR1168" s="0" t="s">
        <v>130</v>
      </c>
      <c r="AS1168" s="0" t="s">
        <v>130</v>
      </c>
      <c r="AT1168" s="0" t="s">
        <v>130</v>
      </c>
      <c r="AU1168" s="0" t="s">
        <v>130</v>
      </c>
      <c r="AV1168" s="0" t="s">
        <v>130</v>
      </c>
      <c r="AW1168" s="0" t="s">
        <v>130</v>
      </c>
      <c r="AX1168" s="0" t="s">
        <v>130</v>
      </c>
      <c r="AY1168" s="0" t="s">
        <v>130</v>
      </c>
      <c r="AZ1168" s="0" t="s">
        <v>130</v>
      </c>
      <c r="BA1168" s="0" t="s">
        <v>130</v>
      </c>
      <c r="BB1168" s="0" t="s">
        <v>130</v>
      </c>
      <c r="BC1168" s="0" t="s">
        <v>130</v>
      </c>
      <c r="BD1168" s="0" t="s">
        <v>130</v>
      </c>
      <c r="BE1168" s="0" t="s">
        <v>130</v>
      </c>
      <c r="BF1168" s="0" t="s">
        <v>130</v>
      </c>
      <c r="BG1168" s="0" t="s">
        <v>130</v>
      </c>
      <c r="BH1168" s="0" t="s">
        <v>130</v>
      </c>
      <c r="BI1168" s="0" t="s">
        <v>130</v>
      </c>
      <c r="BJ1168" s="0" t="s">
        <v>130</v>
      </c>
      <c r="BK1168" s="0" t="s">
        <v>130</v>
      </c>
      <c r="BL1168" s="0" t="s">
        <v>130</v>
      </c>
      <c r="BM1168" s="0" t="s">
        <v>130</v>
      </c>
      <c r="BN1168" s="0" t="s">
        <v>130</v>
      </c>
      <c r="BO1168" s="0" t="s">
        <v>130</v>
      </c>
      <c r="BP1168" s="0" t="s">
        <v>130</v>
      </c>
      <c r="BQ1168" s="0" t="s">
        <v>130</v>
      </c>
      <c r="BR1168" s="0" t="s">
        <v>130</v>
      </c>
      <c r="BS1168" s="0" t="s">
        <v>130</v>
      </c>
      <c r="BT1168" s="0" t="s">
        <v>130</v>
      </c>
      <c r="BU1168" s="0" t="s">
        <v>130</v>
      </c>
      <c r="BV1168" s="0" t="s">
        <v>130</v>
      </c>
      <c r="BW1168" s="0" t="s">
        <v>130</v>
      </c>
      <c r="BX1168" s="0" t="s">
        <v>130</v>
      </c>
      <c r="BY1168" s="0" t="s">
        <v>130</v>
      </c>
      <c r="BZ1168" s="0" t="s">
        <v>130</v>
      </c>
      <c r="CA1168" s="0" t="s">
        <v>130</v>
      </c>
      <c r="CB1168" s="0" t="s">
        <v>130</v>
      </c>
      <c r="CC1168" s="0" t="s">
        <v>130</v>
      </c>
      <c r="CD1168" s="0" t="s">
        <v>130</v>
      </c>
      <c r="CE1168" s="0" t="s">
        <v>130</v>
      </c>
      <c r="CF1168" s="0" t="s">
        <v>130</v>
      </c>
      <c r="CG1168" s="0" t="s">
        <v>130</v>
      </c>
      <c r="CH1168" s="0" t="s">
        <v>130</v>
      </c>
      <c r="CI1168" s="0" t="s">
        <v>130</v>
      </c>
      <c r="CJ1168" s="0" t="s">
        <v>130</v>
      </c>
      <c r="CK1168" s="0" t="s">
        <v>130</v>
      </c>
      <c r="CL1168" s="0" t="s">
        <v>130</v>
      </c>
      <c r="CM1168" s="0" t="s">
        <v>130</v>
      </c>
      <c r="CN1168" s="0" t="s">
        <v>130</v>
      </c>
      <c r="CO1168" s="0" t="s">
        <v>130</v>
      </c>
      <c r="CP1168" s="0" t="s">
        <v>130</v>
      </c>
      <c r="CQ1168" s="0" t="s">
        <v>130</v>
      </c>
      <c r="CR1168" s="0" t="s">
        <v>130</v>
      </c>
      <c r="CS1168" s="0" t="s">
        <v>130</v>
      </c>
      <c r="CT1168" s="0" t="s">
        <v>3470</v>
      </c>
    </row>
    <row r="1169">
      <c r="A1169" s="14">
        <v>100232</v>
      </c>
      <c r="B1169" s="0" t="s">
        <v>368</v>
      </c>
      <c r="C1169" s="16">
        <f>HYPERLINK("https://eosportal.federatedhermes.com/companies/Q29tcGFueQppNjQzODg=", "BHP Group Ltd")</f>
      </c>
      <c r="D1169" s="0" t="s">
        <v>25</v>
      </c>
      <c r="E1169" s="0" t="s">
        <v>1013</v>
      </c>
      <c r="F1169" s="16">
        <f>HYPERLINK("https://eosportal.federatedhermes.com/engagements/RW5nYWdlbWVudAppMjU2OTM=", "Regnan Engagement Activity on waste")</f>
      </c>
      <c r="G1169" s="14" t="s">
        <v>999</v>
      </c>
      <c r="H1169" s="0" t="s">
        <v>141</v>
      </c>
      <c r="I1169" s="14" t="s">
        <v>191</v>
      </c>
      <c r="J1169" s="0" t="s">
        <v>132</v>
      </c>
      <c r="K1169" s="0" t="s">
        <v>133</v>
      </c>
      <c r="L1169" s="0" t="s">
        <v>160</v>
      </c>
      <c r="M1169" s="0" t="s">
        <v>371</v>
      </c>
      <c r="N1169" s="0" t="s">
        <v>372</v>
      </c>
      <c r="O1169" s="0" t="s">
        <v>373</v>
      </c>
      <c r="Q1169" s="0" t="s">
        <v>130</v>
      </c>
      <c r="R1169" s="0" t="s">
        <v>138</v>
      </c>
      <c r="S1169" s="14">
        <v>0</v>
      </c>
      <c r="T1169" s="0" t="s">
        <v>299</v>
      </c>
      <c r="U1169" s="0" t="s">
        <v>138</v>
      </c>
      <c r="V1169" s="14" t="s">
        <v>138</v>
      </c>
      <c r="W1169" s="0" t="s">
        <v>138</v>
      </c>
      <c r="X1169" s="14" t="s">
        <v>138</v>
      </c>
      <c r="Y1169" s="0" t="s">
        <v>138</v>
      </c>
      <c r="Z1169" s="14" t="s">
        <v>138</v>
      </c>
      <c r="AA1169" s="0" t="s">
        <v>138</v>
      </c>
      <c r="AB1169" s="14" t="s">
        <v>138</v>
      </c>
      <c r="AD1169" s="0" t="s">
        <v>138</v>
      </c>
      <c r="AF1169" s="0">
        <v>0</v>
      </c>
      <c r="AG1169" s="0">
        <v>0</v>
      </c>
      <c r="AH1169" s="0" t="s">
        <v>140</v>
      </c>
      <c r="AI1169" s="0" t="s">
        <v>138</v>
      </c>
      <c r="AL1169" s="14"/>
      <c r="AN1169" s="14"/>
      <c r="AQ1169" s="0" t="s">
        <v>130</v>
      </c>
      <c r="AR1169" s="0" t="s">
        <v>130</v>
      </c>
      <c r="AS1169" s="0" t="s">
        <v>130</v>
      </c>
      <c r="AT1169" s="0" t="s">
        <v>130</v>
      </c>
      <c r="AU1169" s="0" t="s">
        <v>130</v>
      </c>
      <c r="AV1169" s="0" t="s">
        <v>130</v>
      </c>
      <c r="AW1169" s="0" t="s">
        <v>130</v>
      </c>
      <c r="AX1169" s="0" t="s">
        <v>130</v>
      </c>
      <c r="AY1169" s="0" t="s">
        <v>130</v>
      </c>
      <c r="AZ1169" s="0" t="s">
        <v>130</v>
      </c>
      <c r="BA1169" s="0" t="s">
        <v>130</v>
      </c>
      <c r="BB1169" s="0" t="s">
        <v>130</v>
      </c>
      <c r="BC1169" s="0" t="s">
        <v>130</v>
      </c>
      <c r="BD1169" s="0" t="s">
        <v>130</v>
      </c>
      <c r="BE1169" s="0" t="s">
        <v>130</v>
      </c>
      <c r="BF1169" s="0" t="s">
        <v>130</v>
      </c>
      <c r="BG1169" s="0" t="s">
        <v>130</v>
      </c>
      <c r="BH1169" s="0" t="s">
        <v>130</v>
      </c>
      <c r="BI1169" s="0" t="s">
        <v>130</v>
      </c>
      <c r="BJ1169" s="0" t="s">
        <v>130</v>
      </c>
      <c r="BK1169" s="0" t="s">
        <v>130</v>
      </c>
      <c r="BL1169" s="0" t="s">
        <v>130</v>
      </c>
      <c r="BM1169" s="0" t="s">
        <v>130</v>
      </c>
      <c r="BN1169" s="0" t="s">
        <v>130</v>
      </c>
      <c r="BO1169" s="0" t="s">
        <v>130</v>
      </c>
      <c r="BP1169" s="0" t="s">
        <v>130</v>
      </c>
      <c r="BQ1169" s="0" t="s">
        <v>130</v>
      </c>
      <c r="BR1169" s="0" t="s">
        <v>130</v>
      </c>
      <c r="BS1169" s="0" t="s">
        <v>130</v>
      </c>
      <c r="BT1169" s="0" t="s">
        <v>130</v>
      </c>
      <c r="BU1169" s="0" t="s">
        <v>130</v>
      </c>
      <c r="BV1169" s="0" t="s">
        <v>130</v>
      </c>
      <c r="BW1169" s="0" t="s">
        <v>130</v>
      </c>
      <c r="BX1169" s="0" t="s">
        <v>130</v>
      </c>
      <c r="BY1169" s="0" t="s">
        <v>130</v>
      </c>
      <c r="BZ1169" s="0" t="s">
        <v>130</v>
      </c>
      <c r="CA1169" s="0" t="s">
        <v>130</v>
      </c>
      <c r="CB1169" s="0" t="s">
        <v>130</v>
      </c>
      <c r="CC1169" s="0" t="s">
        <v>130</v>
      </c>
      <c r="CD1169" s="0" t="s">
        <v>130</v>
      </c>
      <c r="CE1169" s="0" t="s">
        <v>130</v>
      </c>
      <c r="CF1169" s="0" t="s">
        <v>130</v>
      </c>
      <c r="CG1169" s="0" t="s">
        <v>130</v>
      </c>
      <c r="CH1169" s="0" t="s">
        <v>130</v>
      </c>
      <c r="CI1169" s="0" t="s">
        <v>130</v>
      </c>
      <c r="CJ1169" s="0" t="s">
        <v>130</v>
      </c>
      <c r="CK1169" s="0" t="s">
        <v>130</v>
      </c>
      <c r="CL1169" s="0" t="s">
        <v>130</v>
      </c>
      <c r="CM1169" s="0" t="s">
        <v>130</v>
      </c>
      <c r="CN1169" s="0" t="s">
        <v>130</v>
      </c>
      <c r="CO1169" s="0" t="s">
        <v>130</v>
      </c>
      <c r="CP1169" s="0" t="s">
        <v>130</v>
      </c>
      <c r="CQ1169" s="0" t="s">
        <v>130</v>
      </c>
      <c r="CR1169" s="0" t="s">
        <v>130</v>
      </c>
      <c r="CS1169" s="0" t="s">
        <v>130</v>
      </c>
      <c r="CT1169" s="0" t="s">
        <v>3471</v>
      </c>
    </row>
    <row r="1170">
      <c r="A1170" s="14">
        <v>100232</v>
      </c>
      <c r="B1170" s="0" t="s">
        <v>368</v>
      </c>
      <c r="C1170" s="16">
        <f>HYPERLINK("https://eosportal.federatedhermes.com/companies/Q29tcGFueQppNjQzODg=", "BHP Group Ltd")</f>
      </c>
      <c r="D1170" s="0" t="s">
        <v>25</v>
      </c>
      <c r="E1170" s="0" t="s">
        <v>3472</v>
      </c>
      <c r="F1170" s="16">
        <f>HYPERLINK("https://eosportal.federatedhermes.com/engagements/RW5nYWdlbWVudAppMjU2OTQ=", "Regnan engagement activity on reserves reporting")</f>
      </c>
      <c r="G1170" s="14" t="s">
        <v>999</v>
      </c>
      <c r="H1170" s="0" t="s">
        <v>141</v>
      </c>
      <c r="I1170" s="14" t="s">
        <v>191</v>
      </c>
      <c r="J1170" s="0" t="s">
        <v>132</v>
      </c>
      <c r="K1170" s="0" t="s">
        <v>170</v>
      </c>
      <c r="L1170" s="0" t="s">
        <v>310</v>
      </c>
      <c r="M1170" s="0" t="s">
        <v>371</v>
      </c>
      <c r="N1170" s="0" t="s">
        <v>372</v>
      </c>
      <c r="O1170" s="0" t="s">
        <v>373</v>
      </c>
      <c r="Q1170" s="0" t="s">
        <v>130</v>
      </c>
      <c r="R1170" s="0" t="s">
        <v>138</v>
      </c>
      <c r="S1170" s="14">
        <v>0</v>
      </c>
      <c r="T1170" s="0" t="s">
        <v>1011</v>
      </c>
      <c r="U1170" s="0" t="s">
        <v>138</v>
      </c>
      <c r="V1170" s="14" t="s">
        <v>138</v>
      </c>
      <c r="W1170" s="0" t="s">
        <v>138</v>
      </c>
      <c r="X1170" s="14" t="s">
        <v>138</v>
      </c>
      <c r="Y1170" s="0" t="s">
        <v>138</v>
      </c>
      <c r="Z1170" s="14" t="s">
        <v>138</v>
      </c>
      <c r="AA1170" s="0" t="s">
        <v>138</v>
      </c>
      <c r="AB1170" s="14" t="s">
        <v>138</v>
      </c>
      <c r="AD1170" s="0" t="s">
        <v>138</v>
      </c>
      <c r="AF1170" s="0">
        <v>0</v>
      </c>
      <c r="AG1170" s="0">
        <v>0</v>
      </c>
      <c r="AH1170" s="0" t="s">
        <v>140</v>
      </c>
      <c r="AI1170" s="0" t="s">
        <v>138</v>
      </c>
      <c r="AL1170" s="14"/>
      <c r="AN1170" s="14"/>
      <c r="AQ1170" s="0" t="s">
        <v>130</v>
      </c>
      <c r="AR1170" s="0" t="s">
        <v>130</v>
      </c>
      <c r="AS1170" s="0" t="s">
        <v>130</v>
      </c>
      <c r="AT1170" s="0" t="s">
        <v>130</v>
      </c>
      <c r="AU1170" s="0" t="s">
        <v>130</v>
      </c>
      <c r="AV1170" s="0" t="s">
        <v>130</v>
      </c>
      <c r="AW1170" s="0" t="s">
        <v>130</v>
      </c>
      <c r="AX1170" s="0" t="s">
        <v>130</v>
      </c>
      <c r="AY1170" s="0" t="s">
        <v>130</v>
      </c>
      <c r="AZ1170" s="0" t="s">
        <v>130</v>
      </c>
      <c r="BA1170" s="0" t="s">
        <v>130</v>
      </c>
      <c r="BB1170" s="0" t="s">
        <v>130</v>
      </c>
      <c r="BC1170" s="0" t="s">
        <v>130</v>
      </c>
      <c r="BD1170" s="0" t="s">
        <v>130</v>
      </c>
      <c r="BE1170" s="0" t="s">
        <v>130</v>
      </c>
      <c r="BF1170" s="0" t="s">
        <v>130</v>
      </c>
      <c r="BG1170" s="0" t="s">
        <v>130</v>
      </c>
      <c r="BH1170" s="0" t="s">
        <v>130</v>
      </c>
      <c r="BI1170" s="0" t="s">
        <v>130</v>
      </c>
      <c r="BJ1170" s="0" t="s">
        <v>130</v>
      </c>
      <c r="BK1170" s="0" t="s">
        <v>130</v>
      </c>
      <c r="BL1170" s="0" t="s">
        <v>130</v>
      </c>
      <c r="BM1170" s="0" t="s">
        <v>130</v>
      </c>
      <c r="BN1170" s="0" t="s">
        <v>130</v>
      </c>
      <c r="BO1170" s="0" t="s">
        <v>130</v>
      </c>
      <c r="BP1170" s="0" t="s">
        <v>130</v>
      </c>
      <c r="BQ1170" s="0" t="s">
        <v>130</v>
      </c>
      <c r="BR1170" s="0" t="s">
        <v>130</v>
      </c>
      <c r="BS1170" s="0" t="s">
        <v>130</v>
      </c>
      <c r="BT1170" s="0" t="s">
        <v>130</v>
      </c>
      <c r="BU1170" s="0" t="s">
        <v>130</v>
      </c>
      <c r="BV1170" s="0" t="s">
        <v>130</v>
      </c>
      <c r="BW1170" s="0" t="s">
        <v>130</v>
      </c>
      <c r="BX1170" s="0" t="s">
        <v>130</v>
      </c>
      <c r="BY1170" s="0" t="s">
        <v>130</v>
      </c>
      <c r="BZ1170" s="0" t="s">
        <v>130</v>
      </c>
      <c r="CA1170" s="0" t="s">
        <v>130</v>
      </c>
      <c r="CB1170" s="0" t="s">
        <v>130</v>
      </c>
      <c r="CC1170" s="0" t="s">
        <v>130</v>
      </c>
      <c r="CD1170" s="0" t="s">
        <v>130</v>
      </c>
      <c r="CE1170" s="0" t="s">
        <v>130</v>
      </c>
      <c r="CF1170" s="0" t="s">
        <v>130</v>
      </c>
      <c r="CG1170" s="0" t="s">
        <v>130</v>
      </c>
      <c r="CH1170" s="0" t="s">
        <v>130</v>
      </c>
      <c r="CI1170" s="0" t="s">
        <v>130</v>
      </c>
      <c r="CJ1170" s="0" t="s">
        <v>130</v>
      </c>
      <c r="CK1170" s="0" t="s">
        <v>130</v>
      </c>
      <c r="CL1170" s="0" t="s">
        <v>130</v>
      </c>
      <c r="CM1170" s="0" t="s">
        <v>130</v>
      </c>
      <c r="CN1170" s="0" t="s">
        <v>130</v>
      </c>
      <c r="CO1170" s="0" t="s">
        <v>130</v>
      </c>
      <c r="CP1170" s="0" t="s">
        <v>130</v>
      </c>
      <c r="CQ1170" s="0" t="s">
        <v>130</v>
      </c>
      <c r="CR1170" s="0" t="s">
        <v>130</v>
      </c>
      <c r="CS1170" s="0" t="s">
        <v>130</v>
      </c>
      <c r="CT1170" s="0" t="s">
        <v>3473</v>
      </c>
    </row>
    <row r="1171">
      <c r="A1171" s="14">
        <v>100232</v>
      </c>
      <c r="B1171" s="0" t="s">
        <v>368</v>
      </c>
      <c r="C1171" s="16">
        <f>HYPERLINK("https://eosportal.federatedhermes.com/companies/Q29tcGFueQppNjQzODg=", "BHP Group Ltd")</f>
      </c>
      <c r="D1171" s="0" t="s">
        <v>25</v>
      </c>
      <c r="E1171" s="0" t="s">
        <v>1025</v>
      </c>
      <c r="F1171" s="16">
        <f>HYPERLINK("https://eosportal.federatedhermes.com/engagements/RW5nYWdlbWVudAppMjU2OTU=", "Regnan Engagement Activity on licence to operate")</f>
      </c>
      <c r="G1171" s="14" t="s">
        <v>999</v>
      </c>
      <c r="H1171" s="0" t="s">
        <v>141</v>
      </c>
      <c r="I1171" s="14" t="s">
        <v>191</v>
      </c>
      <c r="J1171" s="0" t="s">
        <v>153</v>
      </c>
      <c r="K1171" s="0" t="s">
        <v>243</v>
      </c>
      <c r="L1171" s="0" t="s">
        <v>571</v>
      </c>
      <c r="M1171" s="0" t="s">
        <v>371</v>
      </c>
      <c r="N1171" s="0" t="s">
        <v>372</v>
      </c>
      <c r="O1171" s="0" t="s">
        <v>373</v>
      </c>
      <c r="Q1171" s="0" t="s">
        <v>130</v>
      </c>
      <c r="R1171" s="0" t="s">
        <v>138</v>
      </c>
      <c r="S1171" s="14">
        <v>0</v>
      </c>
      <c r="T1171" s="0" t="s">
        <v>299</v>
      </c>
      <c r="U1171" s="0" t="s">
        <v>138</v>
      </c>
      <c r="V1171" s="14" t="s">
        <v>138</v>
      </c>
      <c r="W1171" s="0" t="s">
        <v>138</v>
      </c>
      <c r="X1171" s="14" t="s">
        <v>138</v>
      </c>
      <c r="Y1171" s="0" t="s">
        <v>138</v>
      </c>
      <c r="Z1171" s="14" t="s">
        <v>138</v>
      </c>
      <c r="AA1171" s="0" t="s">
        <v>138</v>
      </c>
      <c r="AB1171" s="14" t="s">
        <v>138</v>
      </c>
      <c r="AD1171" s="0" t="s">
        <v>138</v>
      </c>
      <c r="AF1171" s="0">
        <v>0</v>
      </c>
      <c r="AG1171" s="0">
        <v>0</v>
      </c>
      <c r="AH1171" s="0" t="s">
        <v>140</v>
      </c>
      <c r="AI1171" s="0" t="s">
        <v>138</v>
      </c>
      <c r="AL1171" s="14"/>
      <c r="AN1171" s="14"/>
      <c r="AQ1171" s="0" t="s">
        <v>130</v>
      </c>
      <c r="AR1171" s="0" t="s">
        <v>130</v>
      </c>
      <c r="AS1171" s="0" t="s">
        <v>130</v>
      </c>
      <c r="AT1171" s="0" t="s">
        <v>130</v>
      </c>
      <c r="AU1171" s="0" t="s">
        <v>130</v>
      </c>
      <c r="AV1171" s="0" t="s">
        <v>130</v>
      </c>
      <c r="AW1171" s="0" t="s">
        <v>130</v>
      </c>
      <c r="AX1171" s="0" t="s">
        <v>130</v>
      </c>
      <c r="AY1171" s="0" t="s">
        <v>130</v>
      </c>
      <c r="AZ1171" s="0" t="s">
        <v>130</v>
      </c>
      <c r="BA1171" s="0" t="s">
        <v>130</v>
      </c>
      <c r="BB1171" s="0" t="s">
        <v>130</v>
      </c>
      <c r="BC1171" s="0" t="s">
        <v>130</v>
      </c>
      <c r="BD1171" s="0" t="s">
        <v>130</v>
      </c>
      <c r="BE1171" s="0" t="s">
        <v>130</v>
      </c>
      <c r="BF1171" s="0" t="s">
        <v>130</v>
      </c>
      <c r="BG1171" s="0" t="s">
        <v>130</v>
      </c>
      <c r="BH1171" s="0" t="s">
        <v>130</v>
      </c>
      <c r="BI1171" s="0" t="s">
        <v>130</v>
      </c>
      <c r="BJ1171" s="0" t="s">
        <v>130</v>
      </c>
      <c r="BK1171" s="0" t="s">
        <v>130</v>
      </c>
      <c r="BL1171" s="0" t="s">
        <v>130</v>
      </c>
      <c r="BM1171" s="0" t="s">
        <v>130</v>
      </c>
      <c r="BN1171" s="0" t="s">
        <v>130</v>
      </c>
      <c r="BO1171" s="0" t="s">
        <v>130</v>
      </c>
      <c r="BP1171" s="0" t="s">
        <v>130</v>
      </c>
      <c r="BQ1171" s="0" t="s">
        <v>130</v>
      </c>
      <c r="BR1171" s="0" t="s">
        <v>130</v>
      </c>
      <c r="BS1171" s="0" t="s">
        <v>130</v>
      </c>
      <c r="BT1171" s="0" t="s">
        <v>130</v>
      </c>
      <c r="BU1171" s="0" t="s">
        <v>130</v>
      </c>
      <c r="BV1171" s="0" t="s">
        <v>130</v>
      </c>
      <c r="BW1171" s="0" t="s">
        <v>130</v>
      </c>
      <c r="BX1171" s="0" t="s">
        <v>130</v>
      </c>
      <c r="BY1171" s="0" t="s">
        <v>130</v>
      </c>
      <c r="BZ1171" s="0" t="s">
        <v>130</v>
      </c>
      <c r="CA1171" s="0" t="s">
        <v>130</v>
      </c>
      <c r="CB1171" s="0" t="s">
        <v>130</v>
      </c>
      <c r="CC1171" s="0" t="s">
        <v>130</v>
      </c>
      <c r="CD1171" s="0" t="s">
        <v>130</v>
      </c>
      <c r="CE1171" s="0" t="s">
        <v>130</v>
      </c>
      <c r="CF1171" s="0" t="s">
        <v>130</v>
      </c>
      <c r="CG1171" s="0" t="s">
        <v>130</v>
      </c>
      <c r="CH1171" s="0" t="s">
        <v>130</v>
      </c>
      <c r="CI1171" s="0" t="s">
        <v>130</v>
      </c>
      <c r="CJ1171" s="0" t="s">
        <v>130</v>
      </c>
      <c r="CK1171" s="0" t="s">
        <v>130</v>
      </c>
      <c r="CL1171" s="0" t="s">
        <v>130</v>
      </c>
      <c r="CM1171" s="0" t="s">
        <v>130</v>
      </c>
      <c r="CN1171" s="0" t="s">
        <v>130</v>
      </c>
      <c r="CO1171" s="0" t="s">
        <v>130</v>
      </c>
      <c r="CP1171" s="0" t="s">
        <v>130</v>
      </c>
      <c r="CQ1171" s="0" t="s">
        <v>130</v>
      </c>
      <c r="CR1171" s="0" t="s">
        <v>130</v>
      </c>
      <c r="CS1171" s="0" t="s">
        <v>130</v>
      </c>
      <c r="CT1171" s="0" t="s">
        <v>3474</v>
      </c>
    </row>
    <row r="1172">
      <c r="A1172" s="14">
        <v>100232</v>
      </c>
      <c r="B1172" s="0" t="s">
        <v>368</v>
      </c>
      <c r="C1172" s="16">
        <f>HYPERLINK("https://eosportal.federatedhermes.com/companies/Q29tcGFueQppNjQzODg=", "BHP Group Ltd")</f>
      </c>
      <c r="D1172" s="0" t="s">
        <v>25</v>
      </c>
      <c r="E1172" s="0" t="s">
        <v>3475</v>
      </c>
      <c r="F1172" s="16">
        <f>HYPERLINK("https://eosportal.federatedhermes.com/engagements/RW5nYWdlbWVudAppMjU3MDE=", "Stranded assets")</f>
      </c>
      <c r="G1172" s="14" t="s">
        <v>3476</v>
      </c>
      <c r="H1172" s="0" t="s">
        <v>141</v>
      </c>
      <c r="I1172" s="14" t="s">
        <v>191</v>
      </c>
      <c r="J1172" s="0" t="s">
        <v>132</v>
      </c>
      <c r="K1172" s="0" t="s">
        <v>133</v>
      </c>
      <c r="L1172" s="0" t="s">
        <v>160</v>
      </c>
      <c r="M1172" s="0" t="s">
        <v>371</v>
      </c>
      <c r="N1172" s="0" t="s">
        <v>372</v>
      </c>
      <c r="O1172" s="0" t="s">
        <v>373</v>
      </c>
      <c r="Q1172" s="0" t="s">
        <v>130</v>
      </c>
      <c r="R1172" s="0" t="s">
        <v>138</v>
      </c>
      <c r="S1172" s="14">
        <v>0</v>
      </c>
      <c r="T1172" s="0" t="s">
        <v>707</v>
      </c>
      <c r="U1172" s="0" t="s">
        <v>138</v>
      </c>
      <c r="V1172" s="14" t="s">
        <v>138</v>
      </c>
      <c r="W1172" s="0" t="s">
        <v>138</v>
      </c>
      <c r="X1172" s="14" t="s">
        <v>138</v>
      </c>
      <c r="Y1172" s="0" t="s">
        <v>138</v>
      </c>
      <c r="Z1172" s="14" t="s">
        <v>138</v>
      </c>
      <c r="AA1172" s="0" t="s">
        <v>138</v>
      </c>
      <c r="AB1172" s="14" t="s">
        <v>138</v>
      </c>
      <c r="AD1172" s="0" t="s">
        <v>138</v>
      </c>
      <c r="AF1172" s="0">
        <v>0</v>
      </c>
      <c r="AG1172" s="0">
        <v>0</v>
      </c>
      <c r="AH1172" s="0" t="s">
        <v>140</v>
      </c>
      <c r="AI1172" s="0" t="s">
        <v>138</v>
      </c>
      <c r="AL1172" s="14"/>
      <c r="AN1172" s="14"/>
      <c r="AQ1172" s="0" t="s">
        <v>130</v>
      </c>
      <c r="AR1172" s="0" t="s">
        <v>130</v>
      </c>
      <c r="AS1172" s="0" t="s">
        <v>130</v>
      </c>
      <c r="AT1172" s="0" t="s">
        <v>130</v>
      </c>
      <c r="AU1172" s="0" t="s">
        <v>130</v>
      </c>
      <c r="AV1172" s="0" t="s">
        <v>130</v>
      </c>
      <c r="AW1172" s="0" t="s">
        <v>141</v>
      </c>
      <c r="AX1172" s="0" t="s">
        <v>130</v>
      </c>
      <c r="AY1172" s="0" t="s">
        <v>130</v>
      </c>
      <c r="AZ1172" s="0" t="s">
        <v>130</v>
      </c>
      <c r="BA1172" s="0" t="s">
        <v>130</v>
      </c>
      <c r="BB1172" s="0" t="s">
        <v>141</v>
      </c>
      <c r="BC1172" s="0" t="s">
        <v>141</v>
      </c>
      <c r="BD1172" s="0" t="s">
        <v>130</v>
      </c>
      <c r="BE1172" s="0" t="s">
        <v>130</v>
      </c>
      <c r="BF1172" s="0" t="s">
        <v>130</v>
      </c>
      <c r="BG1172" s="0" t="s">
        <v>130</v>
      </c>
      <c r="BH1172" s="0" t="s">
        <v>130</v>
      </c>
      <c r="BI1172" s="0" t="s">
        <v>130</v>
      </c>
      <c r="BJ1172" s="0" t="s">
        <v>130</v>
      </c>
      <c r="BK1172" s="0" t="s">
        <v>130</v>
      </c>
      <c r="BL1172" s="0" t="s">
        <v>130</v>
      </c>
      <c r="BM1172" s="0" t="s">
        <v>130</v>
      </c>
      <c r="BN1172" s="0" t="s">
        <v>130</v>
      </c>
      <c r="BO1172" s="0" t="s">
        <v>130</v>
      </c>
      <c r="BP1172" s="0" t="s">
        <v>130</v>
      </c>
      <c r="BQ1172" s="0" t="s">
        <v>130</v>
      </c>
      <c r="BR1172" s="0" t="s">
        <v>130</v>
      </c>
      <c r="BS1172" s="0" t="s">
        <v>130</v>
      </c>
      <c r="BT1172" s="0" t="s">
        <v>130</v>
      </c>
      <c r="BU1172" s="0" t="s">
        <v>130</v>
      </c>
      <c r="BV1172" s="0" t="s">
        <v>130</v>
      </c>
      <c r="BW1172" s="0" t="s">
        <v>130</v>
      </c>
      <c r="BX1172" s="0" t="s">
        <v>130</v>
      </c>
      <c r="BY1172" s="0" t="s">
        <v>130</v>
      </c>
      <c r="BZ1172" s="0" t="s">
        <v>130</v>
      </c>
      <c r="CA1172" s="0" t="s">
        <v>130</v>
      </c>
      <c r="CB1172" s="0" t="s">
        <v>130</v>
      </c>
      <c r="CC1172" s="0" t="s">
        <v>130</v>
      </c>
      <c r="CD1172" s="0" t="s">
        <v>130</v>
      </c>
      <c r="CE1172" s="0" t="s">
        <v>130</v>
      </c>
      <c r="CF1172" s="0" t="s">
        <v>130</v>
      </c>
      <c r="CG1172" s="0" t="s">
        <v>130</v>
      </c>
      <c r="CH1172" s="0" t="s">
        <v>130</v>
      </c>
      <c r="CI1172" s="0" t="s">
        <v>130</v>
      </c>
      <c r="CJ1172" s="0" t="s">
        <v>130</v>
      </c>
      <c r="CK1172" s="0" t="s">
        <v>130</v>
      </c>
      <c r="CL1172" s="0" t="s">
        <v>130</v>
      </c>
      <c r="CM1172" s="0" t="s">
        <v>130</v>
      </c>
      <c r="CN1172" s="0" t="s">
        <v>130</v>
      </c>
      <c r="CO1172" s="0" t="s">
        <v>130</v>
      </c>
      <c r="CP1172" s="0" t="s">
        <v>130</v>
      </c>
      <c r="CQ1172" s="0" t="s">
        <v>130</v>
      </c>
      <c r="CR1172" s="0" t="s">
        <v>130</v>
      </c>
      <c r="CS1172" s="0" t="s">
        <v>130</v>
      </c>
      <c r="CT1172" s="0" t="s">
        <v>3477</v>
      </c>
    </row>
    <row r="1173">
      <c r="A1173" s="14">
        <v>100232</v>
      </c>
      <c r="B1173" s="0" t="s">
        <v>368</v>
      </c>
      <c r="C1173" s="16">
        <f>HYPERLINK("https://eosportal.federatedhermes.com/companies/Q29tcGFueQppNjQzODg=", "BHP Group Ltd")</f>
      </c>
      <c r="D1173" s="0" t="s">
        <v>25</v>
      </c>
      <c r="E1173" s="0" t="s">
        <v>3478</v>
      </c>
      <c r="F1173" s="16">
        <f>HYPERLINK("https://eosportal.federatedhermes.com/engagements/RW5nYWdlbWVudAppMjU3MDY=", "Scope 3 Carbon Emissions Targets")</f>
      </c>
      <c r="G1173" s="14" t="s">
        <v>3479</v>
      </c>
      <c r="H1173" s="0" t="s">
        <v>141</v>
      </c>
      <c r="I1173" s="14" t="s">
        <v>191</v>
      </c>
      <c r="J1173" s="0" t="s">
        <v>197</v>
      </c>
      <c r="K1173" s="0" t="s">
        <v>198</v>
      </c>
      <c r="L1173" s="0" t="s">
        <v>216</v>
      </c>
      <c r="M1173" s="0" t="s">
        <v>371</v>
      </c>
      <c r="N1173" s="0" t="s">
        <v>372</v>
      </c>
      <c r="O1173" s="0" t="s">
        <v>373</v>
      </c>
      <c r="Q1173" s="0" t="s">
        <v>141</v>
      </c>
      <c r="R1173" s="0" t="s">
        <v>138</v>
      </c>
      <c r="S1173" s="14">
        <v>1</v>
      </c>
      <c r="T1173" s="0" t="s">
        <v>193</v>
      </c>
      <c r="U1173" s="0" t="s">
        <v>138</v>
      </c>
      <c r="V1173" s="14" t="s">
        <v>138</v>
      </c>
      <c r="W1173" s="0" t="s">
        <v>138</v>
      </c>
      <c r="X1173" s="14" t="s">
        <v>138</v>
      </c>
      <c r="Y1173" s="0" t="s">
        <v>138</v>
      </c>
      <c r="Z1173" s="14" t="s">
        <v>138</v>
      </c>
      <c r="AA1173" s="0" t="s">
        <v>138</v>
      </c>
      <c r="AB1173" s="14" t="s">
        <v>138</v>
      </c>
      <c r="AD1173" s="0" t="s">
        <v>138</v>
      </c>
      <c r="AF1173" s="0">
        <v>0</v>
      </c>
      <c r="AG1173" s="0">
        <v>0</v>
      </c>
      <c r="AH1173" s="0" t="s">
        <v>140</v>
      </c>
      <c r="AI1173" s="0" t="s">
        <v>138</v>
      </c>
      <c r="AK1173" s="0" t="s">
        <v>2569</v>
      </c>
      <c r="AL1173" s="14"/>
      <c r="AN1173" s="14"/>
      <c r="AQ1173" s="0" t="s">
        <v>130</v>
      </c>
      <c r="AR1173" s="0" t="s">
        <v>130</v>
      </c>
      <c r="AS1173" s="0" t="s">
        <v>130</v>
      </c>
      <c r="AT1173" s="0" t="s">
        <v>130</v>
      </c>
      <c r="AU1173" s="0" t="s">
        <v>130</v>
      </c>
      <c r="AV1173" s="0" t="s">
        <v>130</v>
      </c>
      <c r="AW1173" s="0" t="s">
        <v>141</v>
      </c>
      <c r="AX1173" s="0" t="s">
        <v>130</v>
      </c>
      <c r="AY1173" s="0" t="s">
        <v>130</v>
      </c>
      <c r="AZ1173" s="0" t="s">
        <v>130</v>
      </c>
      <c r="BA1173" s="0" t="s">
        <v>130</v>
      </c>
      <c r="BB1173" s="0" t="s">
        <v>130</v>
      </c>
      <c r="BC1173" s="0" t="s">
        <v>141</v>
      </c>
      <c r="BD1173" s="0" t="s">
        <v>130</v>
      </c>
      <c r="BE1173" s="0" t="s">
        <v>130</v>
      </c>
      <c r="BF1173" s="0" t="s">
        <v>130</v>
      </c>
      <c r="BG1173" s="0" t="s">
        <v>130</v>
      </c>
      <c r="BH1173" s="0" t="s">
        <v>141</v>
      </c>
      <c r="BI1173" s="0" t="s">
        <v>141</v>
      </c>
      <c r="BJ1173" s="0" t="s">
        <v>141</v>
      </c>
      <c r="BK1173" s="0" t="s">
        <v>130</v>
      </c>
      <c r="BL1173" s="0" t="s">
        <v>130</v>
      </c>
      <c r="BM1173" s="0" t="s">
        <v>130</v>
      </c>
      <c r="BN1173" s="0" t="s">
        <v>130</v>
      </c>
      <c r="BO1173" s="0" t="s">
        <v>130</v>
      </c>
      <c r="BP1173" s="0" t="s">
        <v>130</v>
      </c>
      <c r="BQ1173" s="0" t="s">
        <v>130</v>
      </c>
      <c r="BR1173" s="0" t="s">
        <v>130</v>
      </c>
      <c r="BS1173" s="0" t="s">
        <v>130</v>
      </c>
      <c r="BT1173" s="0" t="s">
        <v>130</v>
      </c>
      <c r="BU1173" s="0" t="s">
        <v>130</v>
      </c>
      <c r="BV1173" s="0" t="s">
        <v>141</v>
      </c>
      <c r="BW1173" s="0" t="s">
        <v>141</v>
      </c>
      <c r="BX1173" s="0" t="s">
        <v>130</v>
      </c>
      <c r="BY1173" s="0" t="s">
        <v>130</v>
      </c>
      <c r="BZ1173" s="0" t="s">
        <v>130</v>
      </c>
      <c r="CA1173" s="0" t="s">
        <v>130</v>
      </c>
      <c r="CB1173" s="0" t="s">
        <v>130</v>
      </c>
      <c r="CC1173" s="0" t="s">
        <v>130</v>
      </c>
      <c r="CD1173" s="0" t="s">
        <v>130</v>
      </c>
      <c r="CE1173" s="0" t="s">
        <v>130</v>
      </c>
      <c r="CF1173" s="0" t="s">
        <v>130</v>
      </c>
      <c r="CG1173" s="0" t="s">
        <v>130</v>
      </c>
      <c r="CH1173" s="0" t="s">
        <v>130</v>
      </c>
      <c r="CI1173" s="0" t="s">
        <v>130</v>
      </c>
      <c r="CJ1173" s="0" t="s">
        <v>130</v>
      </c>
      <c r="CK1173" s="0" t="s">
        <v>130</v>
      </c>
      <c r="CL1173" s="0" t="s">
        <v>130</v>
      </c>
      <c r="CM1173" s="0" t="s">
        <v>130</v>
      </c>
      <c r="CN1173" s="0" t="s">
        <v>130</v>
      </c>
      <c r="CO1173" s="0" t="s">
        <v>130</v>
      </c>
      <c r="CP1173" s="0" t="s">
        <v>130</v>
      </c>
      <c r="CQ1173" s="0" t="s">
        <v>130</v>
      </c>
      <c r="CR1173" s="0" t="s">
        <v>130</v>
      </c>
      <c r="CS1173" s="0" t="s">
        <v>130</v>
      </c>
      <c r="CT1173" s="0" t="s">
        <v>3480</v>
      </c>
    </row>
    <row r="1174">
      <c r="A1174" s="14">
        <v>100232</v>
      </c>
      <c r="B1174" s="0" t="s">
        <v>368</v>
      </c>
      <c r="C1174" s="16">
        <f>HYPERLINK("https://eosportal.federatedhermes.com/companies/Q29tcGFueQppNjQzODg=", "BHP Group Ltd")</f>
      </c>
      <c r="D1174" s="0" t="s">
        <v>25</v>
      </c>
      <c r="E1174" s="0" t="s">
        <v>3481</v>
      </c>
      <c r="F1174" s="16">
        <f>HYPERLINK("https://eosportal.federatedhermes.com/engagements/RW5nYWdlbWVudAppMjU3MDg=", "Labour relations")</f>
      </c>
      <c r="G1174" s="14" t="s">
        <v>3482</v>
      </c>
      <c r="H1174" s="0" t="s">
        <v>141</v>
      </c>
      <c r="I1174" s="14" t="s">
        <v>191</v>
      </c>
      <c r="J1174" s="0" t="s">
        <v>153</v>
      </c>
      <c r="K1174" s="0" t="s">
        <v>154</v>
      </c>
      <c r="L1174" s="0" t="s">
        <v>306</v>
      </c>
      <c r="M1174" s="0" t="s">
        <v>371</v>
      </c>
      <c r="N1174" s="0" t="s">
        <v>372</v>
      </c>
      <c r="O1174" s="0" t="s">
        <v>373</v>
      </c>
      <c r="Q1174" s="0" t="s">
        <v>130</v>
      </c>
      <c r="R1174" s="0" t="s">
        <v>138</v>
      </c>
      <c r="S1174" s="14">
        <v>0</v>
      </c>
      <c r="T1174" s="0" t="s">
        <v>288</v>
      </c>
      <c r="U1174" s="0" t="s">
        <v>138</v>
      </c>
      <c r="V1174" s="14" t="s">
        <v>138</v>
      </c>
      <c r="W1174" s="0" t="s">
        <v>138</v>
      </c>
      <c r="X1174" s="14" t="s">
        <v>138</v>
      </c>
      <c r="Y1174" s="0" t="s">
        <v>138</v>
      </c>
      <c r="Z1174" s="14" t="s">
        <v>138</v>
      </c>
      <c r="AA1174" s="0" t="s">
        <v>138</v>
      </c>
      <c r="AB1174" s="14" t="s">
        <v>138</v>
      </c>
      <c r="AD1174" s="0" t="s">
        <v>138</v>
      </c>
      <c r="AF1174" s="0">
        <v>0</v>
      </c>
      <c r="AG1174" s="0">
        <v>0</v>
      </c>
      <c r="AH1174" s="0" t="s">
        <v>140</v>
      </c>
      <c r="AI1174" s="0" t="s">
        <v>138</v>
      </c>
      <c r="AL1174" s="14"/>
      <c r="AN1174" s="14"/>
      <c r="AQ1174" s="0" t="s">
        <v>130</v>
      </c>
      <c r="AR1174" s="0" t="s">
        <v>130</v>
      </c>
      <c r="AS1174" s="0" t="s">
        <v>130</v>
      </c>
      <c r="AT1174" s="0" t="s">
        <v>130</v>
      </c>
      <c r="AU1174" s="0" t="s">
        <v>130</v>
      </c>
      <c r="AV1174" s="0" t="s">
        <v>130</v>
      </c>
      <c r="AW1174" s="0" t="s">
        <v>130</v>
      </c>
      <c r="AX1174" s="0" t="s">
        <v>141</v>
      </c>
      <c r="AY1174" s="0" t="s">
        <v>130</v>
      </c>
      <c r="AZ1174" s="0" t="s">
        <v>141</v>
      </c>
      <c r="BA1174" s="0" t="s">
        <v>130</v>
      </c>
      <c r="BB1174" s="0" t="s">
        <v>130</v>
      </c>
      <c r="BC1174" s="0" t="s">
        <v>130</v>
      </c>
      <c r="BD1174" s="0" t="s">
        <v>130</v>
      </c>
      <c r="BE1174" s="0" t="s">
        <v>130</v>
      </c>
      <c r="BF1174" s="0" t="s">
        <v>130</v>
      </c>
      <c r="BG1174" s="0" t="s">
        <v>130</v>
      </c>
      <c r="BH1174" s="0" t="s">
        <v>130</v>
      </c>
      <c r="BI1174" s="0" t="s">
        <v>130</v>
      </c>
      <c r="BJ1174" s="0" t="s">
        <v>130</v>
      </c>
      <c r="BK1174" s="0" t="s">
        <v>130</v>
      </c>
      <c r="BL1174" s="0" t="s">
        <v>130</v>
      </c>
      <c r="BM1174" s="0" t="s">
        <v>130</v>
      </c>
      <c r="BN1174" s="0" t="s">
        <v>130</v>
      </c>
      <c r="BO1174" s="0" t="s">
        <v>130</v>
      </c>
      <c r="BP1174" s="0" t="s">
        <v>130</v>
      </c>
      <c r="BQ1174" s="0" t="s">
        <v>130</v>
      </c>
      <c r="BR1174" s="0" t="s">
        <v>130</v>
      </c>
      <c r="BS1174" s="0" t="s">
        <v>130</v>
      </c>
      <c r="BT1174" s="0" t="s">
        <v>130</v>
      </c>
      <c r="BU1174" s="0" t="s">
        <v>130</v>
      </c>
      <c r="BV1174" s="0" t="s">
        <v>130</v>
      </c>
      <c r="BW1174" s="0" t="s">
        <v>130</v>
      </c>
      <c r="BX1174" s="0" t="s">
        <v>130</v>
      </c>
      <c r="BY1174" s="0" t="s">
        <v>130</v>
      </c>
      <c r="BZ1174" s="0" t="s">
        <v>130</v>
      </c>
      <c r="CA1174" s="0" t="s">
        <v>130</v>
      </c>
      <c r="CB1174" s="0" t="s">
        <v>130</v>
      </c>
      <c r="CC1174" s="0" t="s">
        <v>130</v>
      </c>
      <c r="CD1174" s="0" t="s">
        <v>130</v>
      </c>
      <c r="CE1174" s="0" t="s">
        <v>130</v>
      </c>
      <c r="CF1174" s="0" t="s">
        <v>130</v>
      </c>
      <c r="CG1174" s="0" t="s">
        <v>130</v>
      </c>
      <c r="CH1174" s="0" t="s">
        <v>130</v>
      </c>
      <c r="CI1174" s="0" t="s">
        <v>130</v>
      </c>
      <c r="CJ1174" s="0" t="s">
        <v>130</v>
      </c>
      <c r="CK1174" s="0" t="s">
        <v>130</v>
      </c>
      <c r="CL1174" s="0" t="s">
        <v>130</v>
      </c>
      <c r="CM1174" s="0" t="s">
        <v>130</v>
      </c>
      <c r="CN1174" s="0" t="s">
        <v>130</v>
      </c>
      <c r="CO1174" s="0" t="s">
        <v>130</v>
      </c>
      <c r="CP1174" s="0" t="s">
        <v>130</v>
      </c>
      <c r="CQ1174" s="0" t="s">
        <v>130</v>
      </c>
      <c r="CR1174" s="0" t="s">
        <v>130</v>
      </c>
      <c r="CS1174" s="0" t="s">
        <v>130</v>
      </c>
      <c r="CT1174" s="0" t="s">
        <v>3483</v>
      </c>
    </row>
    <row r="1175">
      <c r="A1175" s="14">
        <v>100232</v>
      </c>
      <c r="B1175" s="0" t="s">
        <v>368</v>
      </c>
      <c r="C1175" s="16">
        <f>HYPERLINK("https://eosportal.federatedhermes.com/companies/Q29tcGFueQppNjQzODg=", "BHP Group Ltd")</f>
      </c>
      <c r="D1175" s="0" t="s">
        <v>25</v>
      </c>
      <c r="E1175" s="0" t="s">
        <v>3484</v>
      </c>
      <c r="F1175" s="16">
        <f>HYPERLINK("https://eosportal.federatedhermes.com/engagements/RW5nYWdlbWVudAppMjU3MDk=", "Oversight of non-controlled joint ventures")</f>
      </c>
      <c r="G1175" s="14" t="s">
        <v>3485</v>
      </c>
      <c r="H1175" s="0" t="s">
        <v>141</v>
      </c>
      <c r="I1175" s="14" t="s">
        <v>191</v>
      </c>
      <c r="J1175" s="0" t="s">
        <v>132</v>
      </c>
      <c r="K1175" s="0" t="s">
        <v>260</v>
      </c>
      <c r="L1175" s="0" t="s">
        <v>261</v>
      </c>
      <c r="M1175" s="0" t="s">
        <v>371</v>
      </c>
      <c r="N1175" s="0" t="s">
        <v>372</v>
      </c>
      <c r="O1175" s="0" t="s">
        <v>373</v>
      </c>
      <c r="Q1175" s="0" t="s">
        <v>130</v>
      </c>
      <c r="R1175" s="0" t="s">
        <v>138</v>
      </c>
      <c r="S1175" s="14">
        <v>0</v>
      </c>
      <c r="T1175" s="0" t="s">
        <v>487</v>
      </c>
      <c r="U1175" s="0" t="s">
        <v>138</v>
      </c>
      <c r="V1175" s="14" t="s">
        <v>138</v>
      </c>
      <c r="W1175" s="0" t="s">
        <v>138</v>
      </c>
      <c r="X1175" s="14" t="s">
        <v>138</v>
      </c>
      <c r="Y1175" s="0" t="s">
        <v>138</v>
      </c>
      <c r="Z1175" s="14" t="s">
        <v>138</v>
      </c>
      <c r="AA1175" s="0" t="s">
        <v>138</v>
      </c>
      <c r="AB1175" s="14" t="s">
        <v>138</v>
      </c>
      <c r="AD1175" s="0" t="s">
        <v>138</v>
      </c>
      <c r="AF1175" s="0">
        <v>0</v>
      </c>
      <c r="AG1175" s="0">
        <v>0</v>
      </c>
      <c r="AH1175" s="0" t="s">
        <v>140</v>
      </c>
      <c r="AI1175" s="0" t="s">
        <v>138</v>
      </c>
      <c r="AL1175" s="14"/>
      <c r="AN1175" s="14"/>
      <c r="AQ1175" s="0" t="s">
        <v>130</v>
      </c>
      <c r="AR1175" s="0" t="s">
        <v>130</v>
      </c>
      <c r="AS1175" s="0" t="s">
        <v>130</v>
      </c>
      <c r="AT1175" s="0" t="s">
        <v>130</v>
      </c>
      <c r="AU1175" s="0" t="s">
        <v>130</v>
      </c>
      <c r="AV1175" s="0" t="s">
        <v>130</v>
      </c>
      <c r="AW1175" s="0" t="s">
        <v>130</v>
      </c>
      <c r="AX1175" s="0" t="s">
        <v>130</v>
      </c>
      <c r="AY1175" s="0" t="s">
        <v>130</v>
      </c>
      <c r="AZ1175" s="0" t="s">
        <v>130</v>
      </c>
      <c r="BA1175" s="0" t="s">
        <v>130</v>
      </c>
      <c r="BB1175" s="0" t="s">
        <v>130</v>
      </c>
      <c r="BC1175" s="0" t="s">
        <v>130</v>
      </c>
      <c r="BD1175" s="0" t="s">
        <v>130</v>
      </c>
      <c r="BE1175" s="0" t="s">
        <v>130</v>
      </c>
      <c r="BF1175" s="0" t="s">
        <v>130</v>
      </c>
      <c r="BG1175" s="0" t="s">
        <v>130</v>
      </c>
      <c r="BH1175" s="0" t="s">
        <v>130</v>
      </c>
      <c r="BI1175" s="0" t="s">
        <v>130</v>
      </c>
      <c r="BJ1175" s="0" t="s">
        <v>130</v>
      </c>
      <c r="BK1175" s="0" t="s">
        <v>130</v>
      </c>
      <c r="BL1175" s="0" t="s">
        <v>130</v>
      </c>
      <c r="BM1175" s="0" t="s">
        <v>130</v>
      </c>
      <c r="BN1175" s="0" t="s">
        <v>130</v>
      </c>
      <c r="BO1175" s="0" t="s">
        <v>130</v>
      </c>
      <c r="BP1175" s="0" t="s">
        <v>130</v>
      </c>
      <c r="BQ1175" s="0" t="s">
        <v>130</v>
      </c>
      <c r="BR1175" s="0" t="s">
        <v>130</v>
      </c>
      <c r="BS1175" s="0" t="s">
        <v>130</v>
      </c>
      <c r="BT1175" s="0" t="s">
        <v>130</v>
      </c>
      <c r="BU1175" s="0" t="s">
        <v>130</v>
      </c>
      <c r="BV1175" s="0" t="s">
        <v>130</v>
      </c>
      <c r="BW1175" s="0" t="s">
        <v>130</v>
      </c>
      <c r="BX1175" s="0" t="s">
        <v>130</v>
      </c>
      <c r="BY1175" s="0" t="s">
        <v>130</v>
      </c>
      <c r="BZ1175" s="0" t="s">
        <v>130</v>
      </c>
      <c r="CA1175" s="0" t="s">
        <v>130</v>
      </c>
      <c r="CB1175" s="0" t="s">
        <v>130</v>
      </c>
      <c r="CC1175" s="0" t="s">
        <v>130</v>
      </c>
      <c r="CD1175" s="0" t="s">
        <v>130</v>
      </c>
      <c r="CE1175" s="0" t="s">
        <v>130</v>
      </c>
      <c r="CF1175" s="0" t="s">
        <v>130</v>
      </c>
      <c r="CG1175" s="0" t="s">
        <v>130</v>
      </c>
      <c r="CH1175" s="0" t="s">
        <v>130</v>
      </c>
      <c r="CI1175" s="0" t="s">
        <v>130</v>
      </c>
      <c r="CJ1175" s="0" t="s">
        <v>130</v>
      </c>
      <c r="CK1175" s="0" t="s">
        <v>130</v>
      </c>
      <c r="CL1175" s="0" t="s">
        <v>130</v>
      </c>
      <c r="CM1175" s="0" t="s">
        <v>130</v>
      </c>
      <c r="CN1175" s="0" t="s">
        <v>130</v>
      </c>
      <c r="CO1175" s="0" t="s">
        <v>130</v>
      </c>
      <c r="CP1175" s="0" t="s">
        <v>130</v>
      </c>
      <c r="CQ1175" s="0" t="s">
        <v>130</v>
      </c>
      <c r="CR1175" s="0" t="s">
        <v>130</v>
      </c>
      <c r="CS1175" s="0" t="s">
        <v>130</v>
      </c>
      <c r="CT1175" s="0" t="s">
        <v>3486</v>
      </c>
    </row>
    <row r="1176">
      <c r="A1176" s="14">
        <v>100232</v>
      </c>
      <c r="B1176" s="0" t="s">
        <v>368</v>
      </c>
      <c r="C1176" s="16">
        <f>HYPERLINK("https://eosportal.federatedhermes.com/companies/Q29tcGFueQppNjQzODg=", "BHP Group Ltd")</f>
      </c>
      <c r="D1176" s="0" t="s">
        <v>25</v>
      </c>
      <c r="E1176" s="0" t="s">
        <v>3487</v>
      </c>
      <c r="F1176" s="16">
        <f>HYPERLINK("https://eosportal.federatedhermes.com/engagements/RW5nYWdlbWVudAppMjU3MTA=", "Climate Change Lobbying")</f>
      </c>
      <c r="G1176" s="14" t="s">
        <v>3488</v>
      </c>
      <c r="H1176" s="0" t="s">
        <v>141</v>
      </c>
      <c r="I1176" s="14" t="s">
        <v>191</v>
      </c>
      <c r="J1176" s="0" t="s">
        <v>197</v>
      </c>
      <c r="K1176" s="0" t="s">
        <v>198</v>
      </c>
      <c r="L1176" s="0" t="s">
        <v>199</v>
      </c>
      <c r="M1176" s="0" t="s">
        <v>371</v>
      </c>
      <c r="N1176" s="0" t="s">
        <v>372</v>
      </c>
      <c r="O1176" s="0" t="s">
        <v>373</v>
      </c>
      <c r="Q1176" s="0" t="s">
        <v>141</v>
      </c>
      <c r="R1176" s="0" t="s">
        <v>138</v>
      </c>
      <c r="S1176" s="14">
        <v>1</v>
      </c>
      <c r="T1176" s="0" t="s">
        <v>874</v>
      </c>
      <c r="U1176" s="0" t="s">
        <v>138</v>
      </c>
      <c r="V1176" s="14" t="s">
        <v>138</v>
      </c>
      <c r="W1176" s="0" t="s">
        <v>138</v>
      </c>
      <c r="X1176" s="14" t="s">
        <v>138</v>
      </c>
      <c r="Y1176" s="0" t="s">
        <v>138</v>
      </c>
      <c r="Z1176" s="14" t="s">
        <v>138</v>
      </c>
      <c r="AA1176" s="0" t="s">
        <v>138</v>
      </c>
      <c r="AB1176" s="14" t="s">
        <v>138</v>
      </c>
      <c r="AD1176" s="0" t="s">
        <v>138</v>
      </c>
      <c r="AF1176" s="0">
        <v>0</v>
      </c>
      <c r="AG1176" s="0">
        <v>0</v>
      </c>
      <c r="AH1176" s="0" t="s">
        <v>140</v>
      </c>
      <c r="AI1176" s="0" t="s">
        <v>138</v>
      </c>
      <c r="AK1176" s="0" t="s">
        <v>2569</v>
      </c>
      <c r="AL1176" s="14"/>
      <c r="AN1176" s="14"/>
      <c r="AQ1176" s="0" t="s">
        <v>130</v>
      </c>
      <c r="AR1176" s="0" t="s">
        <v>130</v>
      </c>
      <c r="AS1176" s="0" t="s">
        <v>130</v>
      </c>
      <c r="AT1176" s="0" t="s">
        <v>130</v>
      </c>
      <c r="AU1176" s="0" t="s">
        <v>130</v>
      </c>
      <c r="AV1176" s="0" t="s">
        <v>130</v>
      </c>
      <c r="AW1176" s="0" t="s">
        <v>130</v>
      </c>
      <c r="AX1176" s="0" t="s">
        <v>130</v>
      </c>
      <c r="AY1176" s="0" t="s">
        <v>130</v>
      </c>
      <c r="AZ1176" s="0" t="s">
        <v>130</v>
      </c>
      <c r="BA1176" s="0" t="s">
        <v>130</v>
      </c>
      <c r="BB1176" s="0" t="s">
        <v>141</v>
      </c>
      <c r="BC1176" s="0" t="s">
        <v>141</v>
      </c>
      <c r="BD1176" s="0" t="s">
        <v>130</v>
      </c>
      <c r="BE1176" s="0" t="s">
        <v>130</v>
      </c>
      <c r="BF1176" s="0" t="s">
        <v>130</v>
      </c>
      <c r="BG1176" s="0" t="s">
        <v>130</v>
      </c>
      <c r="BH1176" s="0" t="s">
        <v>130</v>
      </c>
      <c r="BI1176" s="0" t="s">
        <v>130</v>
      </c>
      <c r="BJ1176" s="0" t="s">
        <v>130</v>
      </c>
      <c r="BK1176" s="0" t="s">
        <v>130</v>
      </c>
      <c r="BL1176" s="0" t="s">
        <v>130</v>
      </c>
      <c r="BM1176" s="0" t="s">
        <v>130</v>
      </c>
      <c r="BN1176" s="0" t="s">
        <v>130</v>
      </c>
      <c r="BO1176" s="0" t="s">
        <v>130</v>
      </c>
      <c r="BP1176" s="0" t="s">
        <v>130</v>
      </c>
      <c r="BQ1176" s="0" t="s">
        <v>130</v>
      </c>
      <c r="BR1176" s="0" t="s">
        <v>130</v>
      </c>
      <c r="BS1176" s="0" t="s">
        <v>130</v>
      </c>
      <c r="BT1176" s="0" t="s">
        <v>130</v>
      </c>
      <c r="BU1176" s="0" t="s">
        <v>130</v>
      </c>
      <c r="BV1176" s="0" t="s">
        <v>130</v>
      </c>
      <c r="BW1176" s="0" t="s">
        <v>130</v>
      </c>
      <c r="BX1176" s="0" t="s">
        <v>130</v>
      </c>
      <c r="BY1176" s="0" t="s">
        <v>130</v>
      </c>
      <c r="BZ1176" s="0" t="s">
        <v>130</v>
      </c>
      <c r="CA1176" s="0" t="s">
        <v>130</v>
      </c>
      <c r="CB1176" s="0" t="s">
        <v>130</v>
      </c>
      <c r="CC1176" s="0" t="s">
        <v>130</v>
      </c>
      <c r="CD1176" s="0" t="s">
        <v>130</v>
      </c>
      <c r="CE1176" s="0" t="s">
        <v>130</v>
      </c>
      <c r="CF1176" s="0" t="s">
        <v>130</v>
      </c>
      <c r="CG1176" s="0" t="s">
        <v>130</v>
      </c>
      <c r="CH1176" s="0" t="s">
        <v>130</v>
      </c>
      <c r="CI1176" s="0" t="s">
        <v>130</v>
      </c>
      <c r="CJ1176" s="0" t="s">
        <v>130</v>
      </c>
      <c r="CK1176" s="0" t="s">
        <v>130</v>
      </c>
      <c r="CL1176" s="0" t="s">
        <v>130</v>
      </c>
      <c r="CM1176" s="0" t="s">
        <v>130</v>
      </c>
      <c r="CN1176" s="0" t="s">
        <v>130</v>
      </c>
      <c r="CO1176" s="0" t="s">
        <v>130</v>
      </c>
      <c r="CP1176" s="0" t="s">
        <v>130</v>
      </c>
      <c r="CQ1176" s="0" t="s">
        <v>130</v>
      </c>
      <c r="CR1176" s="0" t="s">
        <v>130</v>
      </c>
      <c r="CS1176" s="0" t="s">
        <v>130</v>
      </c>
      <c r="CT1176" s="0" t="s">
        <v>3489</v>
      </c>
    </row>
    <row r="1177">
      <c r="A1177" s="14">
        <v>100232</v>
      </c>
      <c r="B1177" s="0" t="s">
        <v>368</v>
      </c>
      <c r="C1177" s="16">
        <f>HYPERLINK("https://eosportal.federatedhermes.com/companies/Q29tcGFueQppNjQzODg=", "BHP Group Ltd")</f>
      </c>
      <c r="D1177" s="0" t="s">
        <v>25</v>
      </c>
      <c r="E1177" s="0" t="s">
        <v>3490</v>
      </c>
      <c r="F1177" s="16">
        <f>HYPERLINK("https://eosportal.federatedhermes.com/engagements/RW5nYWdlbWVudAppMjU3MTE=", "Protection of Aboriginal Heritage Sites in Australia")</f>
      </c>
      <c r="G1177" s="14" t="s">
        <v>3491</v>
      </c>
      <c r="H1177" s="0" t="s">
        <v>141</v>
      </c>
      <c r="I1177" s="14" t="s">
        <v>191</v>
      </c>
      <c r="J1177" s="0" t="s">
        <v>153</v>
      </c>
      <c r="K1177" s="0" t="s">
        <v>243</v>
      </c>
      <c r="L1177" s="0" t="s">
        <v>571</v>
      </c>
      <c r="M1177" s="0" t="s">
        <v>371</v>
      </c>
      <c r="N1177" s="0" t="s">
        <v>372</v>
      </c>
      <c r="O1177" s="0" t="s">
        <v>373</v>
      </c>
      <c r="Q1177" s="0" t="s">
        <v>130</v>
      </c>
      <c r="R1177" s="0" t="s">
        <v>138</v>
      </c>
      <c r="S1177" s="14">
        <v>0</v>
      </c>
      <c r="T1177" s="0" t="s">
        <v>156</v>
      </c>
      <c r="U1177" s="0" t="s">
        <v>138</v>
      </c>
      <c r="V1177" s="14" t="s">
        <v>138</v>
      </c>
      <c r="W1177" s="0" t="s">
        <v>138</v>
      </c>
      <c r="X1177" s="14" t="s">
        <v>138</v>
      </c>
      <c r="Y1177" s="0" t="s">
        <v>138</v>
      </c>
      <c r="Z1177" s="14" t="s">
        <v>138</v>
      </c>
      <c r="AA1177" s="0" t="s">
        <v>138</v>
      </c>
      <c r="AB1177" s="14" t="s">
        <v>138</v>
      </c>
      <c r="AD1177" s="0" t="s">
        <v>138</v>
      </c>
      <c r="AF1177" s="0">
        <v>0</v>
      </c>
      <c r="AG1177" s="0">
        <v>0</v>
      </c>
      <c r="AH1177" s="0" t="s">
        <v>140</v>
      </c>
      <c r="AI1177" s="0" t="s">
        <v>138</v>
      </c>
      <c r="AL1177" s="14"/>
      <c r="AN1177" s="14"/>
      <c r="AQ1177" s="0" t="s">
        <v>130</v>
      </c>
      <c r="AR1177" s="0" t="s">
        <v>130</v>
      </c>
      <c r="AS1177" s="0" t="s">
        <v>130</v>
      </c>
      <c r="AT1177" s="0" t="s">
        <v>130</v>
      </c>
      <c r="AU1177" s="0" t="s">
        <v>130</v>
      </c>
      <c r="AV1177" s="0" t="s">
        <v>141</v>
      </c>
      <c r="AW1177" s="0" t="s">
        <v>130</v>
      </c>
      <c r="AX1177" s="0" t="s">
        <v>130</v>
      </c>
      <c r="AY1177" s="0" t="s">
        <v>130</v>
      </c>
      <c r="AZ1177" s="0" t="s">
        <v>141</v>
      </c>
      <c r="BA1177" s="0" t="s">
        <v>141</v>
      </c>
      <c r="BB1177" s="0" t="s">
        <v>130</v>
      </c>
      <c r="BC1177" s="0" t="s">
        <v>130</v>
      </c>
      <c r="BD1177" s="0" t="s">
        <v>130</v>
      </c>
      <c r="BE1177" s="0" t="s">
        <v>130</v>
      </c>
      <c r="BF1177" s="0" t="s">
        <v>141</v>
      </c>
      <c r="BG1177" s="0" t="s">
        <v>130</v>
      </c>
      <c r="BH1177" s="0" t="s">
        <v>130</v>
      </c>
      <c r="BI1177" s="0" t="s">
        <v>130</v>
      </c>
      <c r="BJ1177" s="0" t="s">
        <v>130</v>
      </c>
      <c r="BK1177" s="0" t="s">
        <v>130</v>
      </c>
      <c r="BL1177" s="0" t="s">
        <v>130</v>
      </c>
      <c r="BM1177" s="0" t="s">
        <v>130</v>
      </c>
      <c r="BN1177" s="0" t="s">
        <v>130</v>
      </c>
      <c r="BO1177" s="0" t="s">
        <v>130</v>
      </c>
      <c r="BP1177" s="0" t="s">
        <v>130</v>
      </c>
      <c r="BQ1177" s="0" t="s">
        <v>130</v>
      </c>
      <c r="BR1177" s="0" t="s">
        <v>130</v>
      </c>
      <c r="BS1177" s="0" t="s">
        <v>130</v>
      </c>
      <c r="BT1177" s="0" t="s">
        <v>130</v>
      </c>
      <c r="BU1177" s="0" t="s">
        <v>130</v>
      </c>
      <c r="BV1177" s="0" t="s">
        <v>130</v>
      </c>
      <c r="BW1177" s="0" t="s">
        <v>130</v>
      </c>
      <c r="BX1177" s="0" t="s">
        <v>130</v>
      </c>
      <c r="BY1177" s="0" t="s">
        <v>130</v>
      </c>
      <c r="BZ1177" s="0" t="s">
        <v>130</v>
      </c>
      <c r="CA1177" s="0" t="s">
        <v>130</v>
      </c>
      <c r="CB1177" s="0" t="s">
        <v>130</v>
      </c>
      <c r="CC1177" s="0" t="s">
        <v>130</v>
      </c>
      <c r="CD1177" s="0" t="s">
        <v>130</v>
      </c>
      <c r="CE1177" s="0" t="s">
        <v>130</v>
      </c>
      <c r="CF1177" s="0" t="s">
        <v>130</v>
      </c>
      <c r="CG1177" s="0" t="s">
        <v>130</v>
      </c>
      <c r="CH1177" s="0" t="s">
        <v>130</v>
      </c>
      <c r="CI1177" s="0" t="s">
        <v>130</v>
      </c>
      <c r="CJ1177" s="0" t="s">
        <v>130</v>
      </c>
      <c r="CK1177" s="0" t="s">
        <v>130</v>
      </c>
      <c r="CL1177" s="0" t="s">
        <v>130</v>
      </c>
      <c r="CM1177" s="0" t="s">
        <v>130</v>
      </c>
      <c r="CN1177" s="0" t="s">
        <v>130</v>
      </c>
      <c r="CO1177" s="0" t="s">
        <v>130</v>
      </c>
      <c r="CP1177" s="0" t="s">
        <v>130</v>
      </c>
      <c r="CQ1177" s="0" t="s">
        <v>130</v>
      </c>
      <c r="CR1177" s="0" t="s">
        <v>130</v>
      </c>
      <c r="CS1177" s="0" t="s">
        <v>130</v>
      </c>
      <c r="CT1177" s="0" t="s">
        <v>3492</v>
      </c>
    </row>
    <row r="1178">
      <c r="A1178" s="14">
        <v>100232</v>
      </c>
      <c r="B1178" s="0" t="s">
        <v>368</v>
      </c>
      <c r="C1178" s="16">
        <f>HYPERLINK("https://eosportal.federatedhermes.com/companies/Q29tcGFueQppNjQzODg=", "BHP Group Ltd")</f>
      </c>
      <c r="D1178" s="0" t="s">
        <v>25</v>
      </c>
      <c r="E1178" s="0" t="s">
        <v>3493</v>
      </c>
      <c r="F1178" s="16">
        <f>HYPERLINK("https://eosportal.federatedhermes.com/engagements/RW5nYWdlbWVudAppMjU3MTI=", "Coal Mines Closure - Just Transition")</f>
      </c>
      <c r="G1178" s="14" t="s">
        <v>3494</v>
      </c>
      <c r="H1178" s="0" t="s">
        <v>141</v>
      </c>
      <c r="I1178" s="14" t="s">
        <v>191</v>
      </c>
      <c r="J1178" s="0" t="s">
        <v>197</v>
      </c>
      <c r="K1178" s="0" t="s">
        <v>198</v>
      </c>
      <c r="L1178" s="0" t="s">
        <v>199</v>
      </c>
      <c r="M1178" s="0" t="s">
        <v>371</v>
      </c>
      <c r="N1178" s="0" t="s">
        <v>372</v>
      </c>
      <c r="O1178" s="0" t="s">
        <v>373</v>
      </c>
      <c r="Q1178" s="0" t="s">
        <v>141</v>
      </c>
      <c r="R1178" s="0" t="s">
        <v>138</v>
      </c>
      <c r="S1178" s="14">
        <v>1</v>
      </c>
      <c r="T1178" s="0" t="s">
        <v>327</v>
      </c>
      <c r="U1178" s="0" t="s">
        <v>138</v>
      </c>
      <c r="V1178" s="14" t="s">
        <v>138</v>
      </c>
      <c r="W1178" s="0" t="s">
        <v>138</v>
      </c>
      <c r="X1178" s="14" t="s">
        <v>138</v>
      </c>
      <c r="Y1178" s="0" t="s">
        <v>138</v>
      </c>
      <c r="Z1178" s="14" t="s">
        <v>138</v>
      </c>
      <c r="AA1178" s="0" t="s">
        <v>138</v>
      </c>
      <c r="AB1178" s="14" t="s">
        <v>138</v>
      </c>
      <c r="AD1178" s="0" t="s">
        <v>138</v>
      </c>
      <c r="AF1178" s="0">
        <v>0</v>
      </c>
      <c r="AG1178" s="0">
        <v>0</v>
      </c>
      <c r="AH1178" s="0" t="s">
        <v>140</v>
      </c>
      <c r="AI1178" s="0" t="s">
        <v>138</v>
      </c>
      <c r="AK1178" s="0" t="s">
        <v>2569</v>
      </c>
      <c r="AL1178" s="14"/>
      <c r="AN1178" s="14"/>
      <c r="AQ1178" s="0" t="s">
        <v>130</v>
      </c>
      <c r="AR1178" s="0" t="s">
        <v>130</v>
      </c>
      <c r="AS1178" s="0" t="s">
        <v>130</v>
      </c>
      <c r="AT1178" s="0" t="s">
        <v>130</v>
      </c>
      <c r="AU1178" s="0" t="s">
        <v>130</v>
      </c>
      <c r="AV1178" s="0" t="s">
        <v>130</v>
      </c>
      <c r="AW1178" s="0" t="s">
        <v>130</v>
      </c>
      <c r="AX1178" s="0" t="s">
        <v>130</v>
      </c>
      <c r="AY1178" s="0" t="s">
        <v>130</v>
      </c>
      <c r="AZ1178" s="0" t="s">
        <v>130</v>
      </c>
      <c r="BA1178" s="0" t="s">
        <v>130</v>
      </c>
      <c r="BB1178" s="0" t="s">
        <v>141</v>
      </c>
      <c r="BC1178" s="0" t="s">
        <v>130</v>
      </c>
      <c r="BD1178" s="0" t="s">
        <v>130</v>
      </c>
      <c r="BE1178" s="0" t="s">
        <v>130</v>
      </c>
      <c r="BF1178" s="0" t="s">
        <v>130</v>
      </c>
      <c r="BG1178" s="0" t="s">
        <v>130</v>
      </c>
      <c r="BH1178" s="0" t="s">
        <v>130</v>
      </c>
      <c r="BI1178" s="0" t="s">
        <v>130</v>
      </c>
      <c r="BJ1178" s="0" t="s">
        <v>130</v>
      </c>
      <c r="BK1178" s="0" t="s">
        <v>130</v>
      </c>
      <c r="BL1178" s="0" t="s">
        <v>130</v>
      </c>
      <c r="BM1178" s="0" t="s">
        <v>130</v>
      </c>
      <c r="BN1178" s="0" t="s">
        <v>130</v>
      </c>
      <c r="BO1178" s="0" t="s">
        <v>130</v>
      </c>
      <c r="BP1178" s="0" t="s">
        <v>130</v>
      </c>
      <c r="BQ1178" s="0" t="s">
        <v>130</v>
      </c>
      <c r="BR1178" s="0" t="s">
        <v>130</v>
      </c>
      <c r="BS1178" s="0" t="s">
        <v>130</v>
      </c>
      <c r="BT1178" s="0" t="s">
        <v>130</v>
      </c>
      <c r="BU1178" s="0" t="s">
        <v>130</v>
      </c>
      <c r="BV1178" s="0" t="s">
        <v>130</v>
      </c>
      <c r="BW1178" s="0" t="s">
        <v>130</v>
      </c>
      <c r="BX1178" s="0" t="s">
        <v>130</v>
      </c>
      <c r="BY1178" s="0" t="s">
        <v>130</v>
      </c>
      <c r="BZ1178" s="0" t="s">
        <v>130</v>
      </c>
      <c r="CA1178" s="0" t="s">
        <v>130</v>
      </c>
      <c r="CB1178" s="0" t="s">
        <v>130</v>
      </c>
      <c r="CC1178" s="0" t="s">
        <v>130</v>
      </c>
      <c r="CD1178" s="0" t="s">
        <v>130</v>
      </c>
      <c r="CE1178" s="0" t="s">
        <v>130</v>
      </c>
      <c r="CF1178" s="0" t="s">
        <v>130</v>
      </c>
      <c r="CG1178" s="0" t="s">
        <v>130</v>
      </c>
      <c r="CH1178" s="0" t="s">
        <v>130</v>
      </c>
      <c r="CI1178" s="0" t="s">
        <v>130</v>
      </c>
      <c r="CJ1178" s="0" t="s">
        <v>130</v>
      </c>
      <c r="CK1178" s="0" t="s">
        <v>130</v>
      </c>
      <c r="CL1178" s="0" t="s">
        <v>130</v>
      </c>
      <c r="CM1178" s="0" t="s">
        <v>130</v>
      </c>
      <c r="CN1178" s="0" t="s">
        <v>130</v>
      </c>
      <c r="CO1178" s="0" t="s">
        <v>130</v>
      </c>
      <c r="CP1178" s="0" t="s">
        <v>130</v>
      </c>
      <c r="CQ1178" s="0" t="s">
        <v>130</v>
      </c>
      <c r="CR1178" s="0" t="s">
        <v>130</v>
      </c>
      <c r="CS1178" s="0" t="s">
        <v>130</v>
      </c>
      <c r="CT1178" s="0" t="s">
        <v>3495</v>
      </c>
    </row>
    <row r="1179">
      <c r="A1179" s="14">
        <v>100232</v>
      </c>
      <c r="B1179" s="0" t="s">
        <v>368</v>
      </c>
      <c r="C1179" s="16">
        <f>HYPERLINK("https://eosportal.federatedhermes.com/companies/Q29tcGFueQppNjQzODg=", "BHP Group Ltd")</f>
      </c>
      <c r="D1179" s="0" t="s">
        <v>25</v>
      </c>
      <c r="E1179" s="0" t="s">
        <v>3496</v>
      </c>
      <c r="F1179" s="16">
        <f>HYPERLINK("https://eosportal.federatedhermes.com/engagements/RW5nYWdlbWVudAppMjU3MTM=", "Tailings Dams Safety Standards")</f>
      </c>
      <c r="G1179" s="14" t="s">
        <v>3497</v>
      </c>
      <c r="H1179" s="0" t="s">
        <v>141</v>
      </c>
      <c r="I1179" s="14" t="s">
        <v>191</v>
      </c>
      <c r="J1179" s="0" t="s">
        <v>153</v>
      </c>
      <c r="K1179" s="0" t="s">
        <v>154</v>
      </c>
      <c r="L1179" s="0" t="s">
        <v>155</v>
      </c>
      <c r="M1179" s="0" t="s">
        <v>371</v>
      </c>
      <c r="N1179" s="0" t="s">
        <v>372</v>
      </c>
      <c r="O1179" s="0" t="s">
        <v>373</v>
      </c>
      <c r="Q1179" s="0" t="s">
        <v>130</v>
      </c>
      <c r="R1179" s="0" t="s">
        <v>138</v>
      </c>
      <c r="S1179" s="14">
        <v>0</v>
      </c>
      <c r="T1179" s="0" t="s">
        <v>288</v>
      </c>
      <c r="U1179" s="0" t="s">
        <v>138</v>
      </c>
      <c r="V1179" s="14" t="s">
        <v>138</v>
      </c>
      <c r="W1179" s="0" t="s">
        <v>138</v>
      </c>
      <c r="X1179" s="14" t="s">
        <v>138</v>
      </c>
      <c r="Y1179" s="0" t="s">
        <v>138</v>
      </c>
      <c r="Z1179" s="14" t="s">
        <v>138</v>
      </c>
      <c r="AA1179" s="0" t="s">
        <v>138</v>
      </c>
      <c r="AB1179" s="14" t="s">
        <v>138</v>
      </c>
      <c r="AD1179" s="0" t="s">
        <v>138</v>
      </c>
      <c r="AF1179" s="0">
        <v>0</v>
      </c>
      <c r="AG1179" s="0">
        <v>0</v>
      </c>
      <c r="AH1179" s="0" t="s">
        <v>140</v>
      </c>
      <c r="AI1179" s="0" t="s">
        <v>138</v>
      </c>
      <c r="AL1179" s="14"/>
      <c r="AN1179" s="14"/>
      <c r="AQ1179" s="0" t="s">
        <v>130</v>
      </c>
      <c r="AR1179" s="0" t="s">
        <v>130</v>
      </c>
      <c r="AS1179" s="0" t="s">
        <v>130</v>
      </c>
      <c r="AT1179" s="0" t="s">
        <v>130</v>
      </c>
      <c r="AU1179" s="0" t="s">
        <v>130</v>
      </c>
      <c r="AV1179" s="0" t="s">
        <v>130</v>
      </c>
      <c r="AW1179" s="0" t="s">
        <v>130</v>
      </c>
      <c r="AX1179" s="0" t="s">
        <v>141</v>
      </c>
      <c r="AY1179" s="0" t="s">
        <v>130</v>
      </c>
      <c r="AZ1179" s="0" t="s">
        <v>130</v>
      </c>
      <c r="BA1179" s="0" t="s">
        <v>130</v>
      </c>
      <c r="BB1179" s="0" t="s">
        <v>130</v>
      </c>
      <c r="BC1179" s="0" t="s">
        <v>130</v>
      </c>
      <c r="BD1179" s="0" t="s">
        <v>130</v>
      </c>
      <c r="BE1179" s="0" t="s">
        <v>130</v>
      </c>
      <c r="BF1179" s="0" t="s">
        <v>130</v>
      </c>
      <c r="BG1179" s="0" t="s">
        <v>130</v>
      </c>
      <c r="BH1179" s="0" t="s">
        <v>130</v>
      </c>
      <c r="BI1179" s="0" t="s">
        <v>130</v>
      </c>
      <c r="BJ1179" s="0" t="s">
        <v>130</v>
      </c>
      <c r="BK1179" s="0" t="s">
        <v>130</v>
      </c>
      <c r="BL1179" s="0" t="s">
        <v>130</v>
      </c>
      <c r="BM1179" s="0" t="s">
        <v>130</v>
      </c>
      <c r="BN1179" s="0" t="s">
        <v>130</v>
      </c>
      <c r="BO1179" s="0" t="s">
        <v>130</v>
      </c>
      <c r="BP1179" s="0" t="s">
        <v>130</v>
      </c>
      <c r="BQ1179" s="0" t="s">
        <v>130</v>
      </c>
      <c r="BR1179" s="0" t="s">
        <v>130</v>
      </c>
      <c r="BS1179" s="0" t="s">
        <v>130</v>
      </c>
      <c r="BT1179" s="0" t="s">
        <v>130</v>
      </c>
      <c r="BU1179" s="0" t="s">
        <v>130</v>
      </c>
      <c r="BV1179" s="0" t="s">
        <v>130</v>
      </c>
      <c r="BW1179" s="0" t="s">
        <v>130</v>
      </c>
      <c r="BX1179" s="0" t="s">
        <v>130</v>
      </c>
      <c r="BY1179" s="0" t="s">
        <v>130</v>
      </c>
      <c r="BZ1179" s="0" t="s">
        <v>130</v>
      </c>
      <c r="CA1179" s="0" t="s">
        <v>130</v>
      </c>
      <c r="CB1179" s="0" t="s">
        <v>130</v>
      </c>
      <c r="CC1179" s="0" t="s">
        <v>130</v>
      </c>
      <c r="CD1179" s="0" t="s">
        <v>130</v>
      </c>
      <c r="CE1179" s="0" t="s">
        <v>130</v>
      </c>
      <c r="CF1179" s="0" t="s">
        <v>130</v>
      </c>
      <c r="CG1179" s="0" t="s">
        <v>130</v>
      </c>
      <c r="CH1179" s="0" t="s">
        <v>130</v>
      </c>
      <c r="CI1179" s="0" t="s">
        <v>141</v>
      </c>
      <c r="CJ1179" s="0" t="s">
        <v>130</v>
      </c>
      <c r="CK1179" s="0" t="s">
        <v>130</v>
      </c>
      <c r="CL1179" s="0" t="s">
        <v>130</v>
      </c>
      <c r="CM1179" s="0" t="s">
        <v>130</v>
      </c>
      <c r="CN1179" s="0" t="s">
        <v>130</v>
      </c>
      <c r="CO1179" s="0" t="s">
        <v>130</v>
      </c>
      <c r="CP1179" s="0" t="s">
        <v>130</v>
      </c>
      <c r="CQ1179" s="0" t="s">
        <v>130</v>
      </c>
      <c r="CR1179" s="0" t="s">
        <v>130</v>
      </c>
      <c r="CS1179" s="0" t="s">
        <v>130</v>
      </c>
      <c r="CT1179" s="0" t="s">
        <v>3498</v>
      </c>
    </row>
    <row r="1180">
      <c r="A1180" s="14">
        <v>225906</v>
      </c>
      <c r="B1180" s="0" t="s">
        <v>3499</v>
      </c>
      <c r="C1180" s="16">
        <f>HYPERLINK("https://eosportal.federatedhermes.com/companies/Q29tcGFueQppNTg5ODU=", "Valero Energy Corp")</f>
      </c>
      <c r="D1180" s="0" t="s">
        <v>25</v>
      </c>
      <c r="E1180" s="0" t="s">
        <v>2169</v>
      </c>
      <c r="F1180" s="16">
        <f>HYPERLINK("https://eosportal.federatedhermes.com/engagements/RW5nYWdlbWVudAppMjU3MTg=", "Encourage better oversight of political donations")</f>
      </c>
      <c r="G1180" s="14" t="s">
        <v>3500</v>
      </c>
      <c r="H1180" s="0" t="s">
        <v>141</v>
      </c>
      <c r="I1180" s="14" t="s">
        <v>191</v>
      </c>
      <c r="J1180" s="0" t="s">
        <v>153</v>
      </c>
      <c r="K1180" s="0" t="s">
        <v>185</v>
      </c>
      <c r="L1180" s="0" t="s">
        <v>186</v>
      </c>
      <c r="M1180" s="0" t="s">
        <v>135</v>
      </c>
      <c r="N1180" s="0" t="s">
        <v>136</v>
      </c>
      <c r="O1180" s="0" t="s">
        <v>542</v>
      </c>
      <c r="Q1180" s="0" t="s">
        <v>130</v>
      </c>
      <c r="R1180" s="0" t="s">
        <v>138</v>
      </c>
      <c r="S1180" s="14">
        <v>0</v>
      </c>
      <c r="T1180" s="0" t="s">
        <v>181</v>
      </c>
      <c r="U1180" s="0" t="s">
        <v>138</v>
      </c>
      <c r="V1180" s="14" t="s">
        <v>138</v>
      </c>
      <c r="W1180" s="0" t="s">
        <v>138</v>
      </c>
      <c r="X1180" s="14" t="s">
        <v>138</v>
      </c>
      <c r="Y1180" s="0" t="s">
        <v>138</v>
      </c>
      <c r="Z1180" s="14" t="s">
        <v>138</v>
      </c>
      <c r="AA1180" s="0" t="s">
        <v>138</v>
      </c>
      <c r="AB1180" s="14" t="s">
        <v>138</v>
      </c>
      <c r="AD1180" s="0" t="s">
        <v>138</v>
      </c>
      <c r="AF1180" s="0">
        <v>0</v>
      </c>
      <c r="AG1180" s="0">
        <v>0</v>
      </c>
      <c r="AH1180" s="0" t="s">
        <v>140</v>
      </c>
      <c r="AI1180" s="0" t="s">
        <v>138</v>
      </c>
      <c r="AL1180" s="14"/>
      <c r="AN1180" s="14"/>
      <c r="AQ1180" s="0" t="s">
        <v>130</v>
      </c>
      <c r="AR1180" s="0" t="s">
        <v>130</v>
      </c>
      <c r="AS1180" s="0" t="s">
        <v>130</v>
      </c>
      <c r="AT1180" s="0" t="s">
        <v>130</v>
      </c>
      <c r="AU1180" s="0" t="s">
        <v>130</v>
      </c>
      <c r="AV1180" s="0" t="s">
        <v>130</v>
      </c>
      <c r="AW1180" s="0" t="s">
        <v>130</v>
      </c>
      <c r="AX1180" s="0" t="s">
        <v>130</v>
      </c>
      <c r="AY1180" s="0" t="s">
        <v>130</v>
      </c>
      <c r="AZ1180" s="0" t="s">
        <v>130</v>
      </c>
      <c r="BA1180" s="0" t="s">
        <v>130</v>
      </c>
      <c r="BB1180" s="0" t="s">
        <v>130</v>
      </c>
      <c r="BC1180" s="0" t="s">
        <v>130</v>
      </c>
      <c r="BD1180" s="0" t="s">
        <v>130</v>
      </c>
      <c r="BE1180" s="0" t="s">
        <v>130</v>
      </c>
      <c r="BF1180" s="0" t="s">
        <v>130</v>
      </c>
      <c r="BG1180" s="0" t="s">
        <v>130</v>
      </c>
      <c r="BH1180" s="0" t="s">
        <v>130</v>
      </c>
      <c r="BI1180" s="0" t="s">
        <v>130</v>
      </c>
      <c r="BJ1180" s="0" t="s">
        <v>130</v>
      </c>
      <c r="BK1180" s="0" t="s">
        <v>130</v>
      </c>
      <c r="BL1180" s="0" t="s">
        <v>130</v>
      </c>
      <c r="BM1180" s="0" t="s">
        <v>130</v>
      </c>
      <c r="BN1180" s="0" t="s">
        <v>130</v>
      </c>
      <c r="BO1180" s="0" t="s">
        <v>130</v>
      </c>
      <c r="BP1180" s="0" t="s">
        <v>130</v>
      </c>
      <c r="BQ1180" s="0" t="s">
        <v>130</v>
      </c>
      <c r="BR1180" s="0" t="s">
        <v>130</v>
      </c>
      <c r="BS1180" s="0" t="s">
        <v>130</v>
      </c>
      <c r="BT1180" s="0" t="s">
        <v>130</v>
      </c>
      <c r="BU1180" s="0" t="s">
        <v>130</v>
      </c>
      <c r="BV1180" s="0" t="s">
        <v>130</v>
      </c>
      <c r="BW1180" s="0" t="s">
        <v>130</v>
      </c>
      <c r="BX1180" s="0" t="s">
        <v>130</v>
      </c>
      <c r="BY1180" s="0" t="s">
        <v>130</v>
      </c>
      <c r="BZ1180" s="0" t="s">
        <v>130</v>
      </c>
      <c r="CA1180" s="0" t="s">
        <v>130</v>
      </c>
      <c r="CB1180" s="0" t="s">
        <v>130</v>
      </c>
      <c r="CC1180" s="0" t="s">
        <v>130</v>
      </c>
      <c r="CD1180" s="0" t="s">
        <v>130</v>
      </c>
      <c r="CE1180" s="0" t="s">
        <v>130</v>
      </c>
      <c r="CF1180" s="0" t="s">
        <v>130</v>
      </c>
      <c r="CG1180" s="0" t="s">
        <v>130</v>
      </c>
      <c r="CH1180" s="0" t="s">
        <v>130</v>
      </c>
      <c r="CI1180" s="0" t="s">
        <v>130</v>
      </c>
      <c r="CJ1180" s="0" t="s">
        <v>130</v>
      </c>
      <c r="CK1180" s="0" t="s">
        <v>130</v>
      </c>
      <c r="CL1180" s="0" t="s">
        <v>130</v>
      </c>
      <c r="CM1180" s="0" t="s">
        <v>130</v>
      </c>
      <c r="CN1180" s="0" t="s">
        <v>130</v>
      </c>
      <c r="CO1180" s="0" t="s">
        <v>130</v>
      </c>
      <c r="CP1180" s="0" t="s">
        <v>130</v>
      </c>
      <c r="CQ1180" s="0" t="s">
        <v>130</v>
      </c>
      <c r="CR1180" s="0" t="s">
        <v>130</v>
      </c>
      <c r="CS1180" s="0" t="s">
        <v>130</v>
      </c>
      <c r="CT1180" s="0" t="s">
        <v>3501</v>
      </c>
    </row>
    <row r="1181">
      <c r="A1181" s="14">
        <v>225906</v>
      </c>
      <c r="B1181" s="0" t="s">
        <v>3499</v>
      </c>
      <c r="C1181" s="16">
        <f>HYPERLINK("https://eosportal.federatedhermes.com/companies/Q29tcGFueQppNTg5ODU=", "Valero Energy Corp")</f>
      </c>
      <c r="D1181" s="0" t="s">
        <v>25</v>
      </c>
      <c r="E1181" s="0" t="s">
        <v>3502</v>
      </c>
      <c r="F1181" s="16">
        <f>HYPERLINK("https://eosportal.federatedhermes.com/engagements/RW5nYWdlbWVudAppMjU3MTk=", "Set greenhouse gas reduction targets")</f>
      </c>
      <c r="G1181" s="14" t="s">
        <v>3503</v>
      </c>
      <c r="H1181" s="0" t="s">
        <v>141</v>
      </c>
      <c r="I1181" s="14" t="s">
        <v>191</v>
      </c>
      <c r="J1181" s="0" t="s">
        <v>197</v>
      </c>
      <c r="K1181" s="0" t="s">
        <v>198</v>
      </c>
      <c r="L1181" s="0" t="s">
        <v>216</v>
      </c>
      <c r="M1181" s="0" t="s">
        <v>135</v>
      </c>
      <c r="N1181" s="0" t="s">
        <v>136</v>
      </c>
      <c r="O1181" s="0" t="s">
        <v>542</v>
      </c>
      <c r="Q1181" s="0" t="s">
        <v>130</v>
      </c>
      <c r="R1181" s="0" t="s">
        <v>138</v>
      </c>
      <c r="S1181" s="14">
        <v>0</v>
      </c>
      <c r="T1181" s="0" t="s">
        <v>181</v>
      </c>
      <c r="U1181" s="0" t="s">
        <v>138</v>
      </c>
      <c r="V1181" s="14" t="s">
        <v>138</v>
      </c>
      <c r="W1181" s="0" t="s">
        <v>138</v>
      </c>
      <c r="X1181" s="14" t="s">
        <v>138</v>
      </c>
      <c r="Y1181" s="0" t="s">
        <v>138</v>
      </c>
      <c r="Z1181" s="14" t="s">
        <v>138</v>
      </c>
      <c r="AA1181" s="0" t="s">
        <v>138</v>
      </c>
      <c r="AB1181" s="14" t="s">
        <v>138</v>
      </c>
      <c r="AD1181" s="0" t="s">
        <v>138</v>
      </c>
      <c r="AF1181" s="0">
        <v>0</v>
      </c>
      <c r="AG1181" s="0">
        <v>0</v>
      </c>
      <c r="AH1181" s="0" t="s">
        <v>140</v>
      </c>
      <c r="AI1181" s="0" t="s">
        <v>138</v>
      </c>
      <c r="AL1181" s="14"/>
      <c r="AN1181" s="14"/>
      <c r="AQ1181" s="0" t="s">
        <v>130</v>
      </c>
      <c r="AR1181" s="0" t="s">
        <v>130</v>
      </c>
      <c r="AS1181" s="0" t="s">
        <v>130</v>
      </c>
      <c r="AT1181" s="0" t="s">
        <v>130</v>
      </c>
      <c r="AU1181" s="0" t="s">
        <v>130</v>
      </c>
      <c r="AV1181" s="0" t="s">
        <v>130</v>
      </c>
      <c r="AW1181" s="0" t="s">
        <v>141</v>
      </c>
      <c r="AX1181" s="0" t="s">
        <v>130</v>
      </c>
      <c r="AY1181" s="0" t="s">
        <v>130</v>
      </c>
      <c r="AZ1181" s="0" t="s">
        <v>130</v>
      </c>
      <c r="BA1181" s="0" t="s">
        <v>130</v>
      </c>
      <c r="BB1181" s="0" t="s">
        <v>130</v>
      </c>
      <c r="BC1181" s="0" t="s">
        <v>141</v>
      </c>
      <c r="BD1181" s="0" t="s">
        <v>130</v>
      </c>
      <c r="BE1181" s="0" t="s">
        <v>130</v>
      </c>
      <c r="BF1181" s="0" t="s">
        <v>130</v>
      </c>
      <c r="BG1181" s="0" t="s">
        <v>130</v>
      </c>
      <c r="BH1181" s="0" t="s">
        <v>141</v>
      </c>
      <c r="BI1181" s="0" t="s">
        <v>141</v>
      </c>
      <c r="BJ1181" s="0" t="s">
        <v>141</v>
      </c>
      <c r="BK1181" s="0" t="s">
        <v>130</v>
      </c>
      <c r="BL1181" s="0" t="s">
        <v>130</v>
      </c>
      <c r="BM1181" s="0" t="s">
        <v>130</v>
      </c>
      <c r="BN1181" s="0" t="s">
        <v>130</v>
      </c>
      <c r="BO1181" s="0" t="s">
        <v>130</v>
      </c>
      <c r="BP1181" s="0" t="s">
        <v>130</v>
      </c>
      <c r="BQ1181" s="0" t="s">
        <v>130</v>
      </c>
      <c r="BR1181" s="0" t="s">
        <v>130</v>
      </c>
      <c r="BS1181" s="0" t="s">
        <v>130</v>
      </c>
      <c r="BT1181" s="0" t="s">
        <v>130</v>
      </c>
      <c r="BU1181" s="0" t="s">
        <v>130</v>
      </c>
      <c r="BV1181" s="0" t="s">
        <v>141</v>
      </c>
      <c r="BW1181" s="0" t="s">
        <v>141</v>
      </c>
      <c r="BX1181" s="0" t="s">
        <v>130</v>
      </c>
      <c r="BY1181" s="0" t="s">
        <v>130</v>
      </c>
      <c r="BZ1181" s="0" t="s">
        <v>130</v>
      </c>
      <c r="CA1181" s="0" t="s">
        <v>130</v>
      </c>
      <c r="CB1181" s="0" t="s">
        <v>130</v>
      </c>
      <c r="CC1181" s="0" t="s">
        <v>130</v>
      </c>
      <c r="CD1181" s="0" t="s">
        <v>130</v>
      </c>
      <c r="CE1181" s="0" t="s">
        <v>130</v>
      </c>
      <c r="CF1181" s="0" t="s">
        <v>130</v>
      </c>
      <c r="CG1181" s="0" t="s">
        <v>130</v>
      </c>
      <c r="CH1181" s="0" t="s">
        <v>130</v>
      </c>
      <c r="CI1181" s="0" t="s">
        <v>130</v>
      </c>
      <c r="CJ1181" s="0" t="s">
        <v>130</v>
      </c>
      <c r="CK1181" s="0" t="s">
        <v>130</v>
      </c>
      <c r="CL1181" s="0" t="s">
        <v>130</v>
      </c>
      <c r="CM1181" s="0" t="s">
        <v>130</v>
      </c>
      <c r="CN1181" s="0" t="s">
        <v>130</v>
      </c>
      <c r="CO1181" s="0" t="s">
        <v>130</v>
      </c>
      <c r="CP1181" s="0" t="s">
        <v>130</v>
      </c>
      <c r="CQ1181" s="0" t="s">
        <v>130</v>
      </c>
      <c r="CR1181" s="0" t="s">
        <v>130</v>
      </c>
      <c r="CS1181" s="0" t="s">
        <v>130</v>
      </c>
      <c r="CT1181" s="0" t="s">
        <v>3504</v>
      </c>
    </row>
    <row r="1182">
      <c r="A1182" s="14">
        <v>225906</v>
      </c>
      <c r="B1182" s="0" t="s">
        <v>3499</v>
      </c>
      <c r="C1182" s="16">
        <f>HYPERLINK("https://eosportal.federatedhermes.com/companies/Q29tcGFueQppNTg5ODU=", "Valero Energy Corp")</f>
      </c>
      <c r="D1182" s="0" t="s">
        <v>25</v>
      </c>
      <c r="E1182" s="0" t="s">
        <v>236</v>
      </c>
      <c r="F1182" s="16">
        <f>HYPERLINK("https://eosportal.federatedhermes.com/engagements/RW5nYWdlbWVudAppMjU3MjQ=", "Executive pay")</f>
      </c>
      <c r="G1182" s="14" t="s">
        <v>3505</v>
      </c>
      <c r="H1182" s="0" t="s">
        <v>141</v>
      </c>
      <c r="I1182" s="14" t="s">
        <v>191</v>
      </c>
      <c r="J1182" s="0" t="s">
        <v>145</v>
      </c>
      <c r="K1182" s="0" t="s">
        <v>146</v>
      </c>
      <c r="L1182" s="0" t="s">
        <v>147</v>
      </c>
      <c r="M1182" s="0" t="s">
        <v>135</v>
      </c>
      <c r="N1182" s="0" t="s">
        <v>136</v>
      </c>
      <c r="O1182" s="0" t="s">
        <v>542</v>
      </c>
      <c r="Q1182" s="0" t="s">
        <v>130</v>
      </c>
      <c r="R1182" s="0" t="s">
        <v>138</v>
      </c>
      <c r="S1182" s="14">
        <v>0</v>
      </c>
      <c r="T1182" s="0" t="s">
        <v>487</v>
      </c>
      <c r="U1182" s="0" t="s">
        <v>138</v>
      </c>
      <c r="V1182" s="14" t="s">
        <v>138</v>
      </c>
      <c r="W1182" s="0" t="s">
        <v>138</v>
      </c>
      <c r="X1182" s="14" t="s">
        <v>138</v>
      </c>
      <c r="Y1182" s="0" t="s">
        <v>138</v>
      </c>
      <c r="Z1182" s="14" t="s">
        <v>138</v>
      </c>
      <c r="AA1182" s="0" t="s">
        <v>138</v>
      </c>
      <c r="AB1182" s="14" t="s">
        <v>138</v>
      </c>
      <c r="AD1182" s="0" t="s">
        <v>138</v>
      </c>
      <c r="AF1182" s="0">
        <v>0</v>
      </c>
      <c r="AG1182" s="0">
        <v>0</v>
      </c>
      <c r="AH1182" s="0" t="s">
        <v>140</v>
      </c>
      <c r="AI1182" s="0" t="s">
        <v>138</v>
      </c>
      <c r="AL1182" s="14"/>
      <c r="AN1182" s="14"/>
      <c r="AQ1182" s="0" t="s">
        <v>130</v>
      </c>
      <c r="AR1182" s="0" t="s">
        <v>130</v>
      </c>
      <c r="AS1182" s="0" t="s">
        <v>130</v>
      </c>
      <c r="AT1182" s="0" t="s">
        <v>130</v>
      </c>
      <c r="AU1182" s="0" t="s">
        <v>130</v>
      </c>
      <c r="AV1182" s="0" t="s">
        <v>130</v>
      </c>
      <c r="AW1182" s="0" t="s">
        <v>130</v>
      </c>
      <c r="AX1182" s="0" t="s">
        <v>130</v>
      </c>
      <c r="AY1182" s="0" t="s">
        <v>130</v>
      </c>
      <c r="AZ1182" s="0" t="s">
        <v>130</v>
      </c>
      <c r="BA1182" s="0" t="s">
        <v>130</v>
      </c>
      <c r="BB1182" s="0" t="s">
        <v>130</v>
      </c>
      <c r="BC1182" s="0" t="s">
        <v>130</v>
      </c>
      <c r="BD1182" s="0" t="s">
        <v>130</v>
      </c>
      <c r="BE1182" s="0" t="s">
        <v>130</v>
      </c>
      <c r="BF1182" s="0" t="s">
        <v>130</v>
      </c>
      <c r="BG1182" s="0" t="s">
        <v>130</v>
      </c>
      <c r="BH1182" s="0" t="s">
        <v>130</v>
      </c>
      <c r="BI1182" s="0" t="s">
        <v>130</v>
      </c>
      <c r="BJ1182" s="0" t="s">
        <v>130</v>
      </c>
      <c r="BK1182" s="0" t="s">
        <v>130</v>
      </c>
      <c r="BL1182" s="0" t="s">
        <v>130</v>
      </c>
      <c r="BM1182" s="0" t="s">
        <v>130</v>
      </c>
      <c r="BN1182" s="0" t="s">
        <v>130</v>
      </c>
      <c r="BO1182" s="0" t="s">
        <v>130</v>
      </c>
      <c r="BP1182" s="0" t="s">
        <v>130</v>
      </c>
      <c r="BQ1182" s="0" t="s">
        <v>130</v>
      </c>
      <c r="BR1182" s="0" t="s">
        <v>130</v>
      </c>
      <c r="BS1182" s="0" t="s">
        <v>130</v>
      </c>
      <c r="BT1182" s="0" t="s">
        <v>130</v>
      </c>
      <c r="BU1182" s="0" t="s">
        <v>130</v>
      </c>
      <c r="BV1182" s="0" t="s">
        <v>130</v>
      </c>
      <c r="BW1182" s="0" t="s">
        <v>130</v>
      </c>
      <c r="BX1182" s="0" t="s">
        <v>130</v>
      </c>
      <c r="BY1182" s="0" t="s">
        <v>130</v>
      </c>
      <c r="BZ1182" s="0" t="s">
        <v>130</v>
      </c>
      <c r="CA1182" s="0" t="s">
        <v>130</v>
      </c>
      <c r="CB1182" s="0" t="s">
        <v>130</v>
      </c>
      <c r="CC1182" s="0" t="s">
        <v>130</v>
      </c>
      <c r="CD1182" s="0" t="s">
        <v>130</v>
      </c>
      <c r="CE1182" s="0" t="s">
        <v>130</v>
      </c>
      <c r="CF1182" s="0" t="s">
        <v>130</v>
      </c>
      <c r="CG1182" s="0" t="s">
        <v>130</v>
      </c>
      <c r="CH1182" s="0" t="s">
        <v>130</v>
      </c>
      <c r="CI1182" s="0" t="s">
        <v>130</v>
      </c>
      <c r="CJ1182" s="0" t="s">
        <v>130</v>
      </c>
      <c r="CK1182" s="0" t="s">
        <v>130</v>
      </c>
      <c r="CL1182" s="0" t="s">
        <v>130</v>
      </c>
      <c r="CM1182" s="0" t="s">
        <v>130</v>
      </c>
      <c r="CN1182" s="0" t="s">
        <v>130</v>
      </c>
      <c r="CO1182" s="0" t="s">
        <v>130</v>
      </c>
      <c r="CP1182" s="0" t="s">
        <v>130</v>
      </c>
      <c r="CQ1182" s="0" t="s">
        <v>130</v>
      </c>
      <c r="CR1182" s="0" t="s">
        <v>130</v>
      </c>
      <c r="CS1182" s="0" t="s">
        <v>130</v>
      </c>
      <c r="CT1182" s="0" t="s">
        <v>3506</v>
      </c>
    </row>
    <row r="1183">
      <c r="A1183" s="14">
        <v>225906</v>
      </c>
      <c r="B1183" s="0" t="s">
        <v>3499</v>
      </c>
      <c r="C1183" s="16">
        <f>HYPERLINK("https://eosportal.federatedhermes.com/companies/Q29tcGFueQppNTg5ODU=", "Valero Energy Corp")</f>
      </c>
      <c r="D1183" s="0" t="s">
        <v>25</v>
      </c>
      <c r="E1183" s="0" t="s">
        <v>309</v>
      </c>
      <c r="F1183" s="16">
        <f>HYPERLINK("https://eosportal.federatedhermes.com/engagements/RW5nYWdlbWVudAppMjU3MjU=", "Audit quality")</f>
      </c>
      <c r="G1183" s="14" t="s">
        <v>3507</v>
      </c>
      <c r="H1183" s="0" t="s">
        <v>141</v>
      </c>
      <c r="I1183" s="14" t="s">
        <v>191</v>
      </c>
      <c r="J1183" s="0" t="s">
        <v>132</v>
      </c>
      <c r="K1183" s="0" t="s">
        <v>170</v>
      </c>
      <c r="L1183" s="0" t="s">
        <v>310</v>
      </c>
      <c r="M1183" s="0" t="s">
        <v>135</v>
      </c>
      <c r="N1183" s="0" t="s">
        <v>136</v>
      </c>
      <c r="O1183" s="0" t="s">
        <v>542</v>
      </c>
      <c r="Q1183" s="0" t="s">
        <v>141</v>
      </c>
      <c r="R1183" s="0" t="s">
        <v>138</v>
      </c>
      <c r="S1183" s="14">
        <v>1</v>
      </c>
      <c r="T1183" s="0" t="s">
        <v>166</v>
      </c>
      <c r="U1183" s="0" t="s">
        <v>138</v>
      </c>
      <c r="V1183" s="14" t="s">
        <v>138</v>
      </c>
      <c r="W1183" s="0" t="s">
        <v>138</v>
      </c>
      <c r="X1183" s="14" t="s">
        <v>138</v>
      </c>
      <c r="Y1183" s="0" t="s">
        <v>138</v>
      </c>
      <c r="Z1183" s="14" t="s">
        <v>138</v>
      </c>
      <c r="AA1183" s="0" t="s">
        <v>138</v>
      </c>
      <c r="AB1183" s="14" t="s">
        <v>138</v>
      </c>
      <c r="AD1183" s="0" t="s">
        <v>138</v>
      </c>
      <c r="AF1183" s="0">
        <v>0</v>
      </c>
      <c r="AG1183" s="0">
        <v>0</v>
      </c>
      <c r="AH1183" s="0" t="s">
        <v>140</v>
      </c>
      <c r="AI1183" s="0" t="s">
        <v>138</v>
      </c>
      <c r="AK1183" s="0" t="s">
        <v>847</v>
      </c>
      <c r="AL1183" s="14"/>
      <c r="AN1183" s="14"/>
      <c r="AQ1183" s="0" t="s">
        <v>130</v>
      </c>
      <c r="AR1183" s="0" t="s">
        <v>130</v>
      </c>
      <c r="AS1183" s="0" t="s">
        <v>130</v>
      </c>
      <c r="AT1183" s="0" t="s">
        <v>130</v>
      </c>
      <c r="AU1183" s="0" t="s">
        <v>130</v>
      </c>
      <c r="AV1183" s="0" t="s">
        <v>130</v>
      </c>
      <c r="AW1183" s="0" t="s">
        <v>130</v>
      </c>
      <c r="AX1183" s="0" t="s">
        <v>130</v>
      </c>
      <c r="AY1183" s="0" t="s">
        <v>130</v>
      </c>
      <c r="AZ1183" s="0" t="s">
        <v>130</v>
      </c>
      <c r="BA1183" s="0" t="s">
        <v>130</v>
      </c>
      <c r="BB1183" s="0" t="s">
        <v>130</v>
      </c>
      <c r="BC1183" s="0" t="s">
        <v>130</v>
      </c>
      <c r="BD1183" s="0" t="s">
        <v>130</v>
      </c>
      <c r="BE1183" s="0" t="s">
        <v>130</v>
      </c>
      <c r="BF1183" s="0" t="s">
        <v>130</v>
      </c>
      <c r="BG1183" s="0" t="s">
        <v>130</v>
      </c>
      <c r="BH1183" s="0" t="s">
        <v>130</v>
      </c>
      <c r="BI1183" s="0" t="s">
        <v>130</v>
      </c>
      <c r="BJ1183" s="0" t="s">
        <v>130</v>
      </c>
      <c r="BK1183" s="0" t="s">
        <v>130</v>
      </c>
      <c r="BL1183" s="0" t="s">
        <v>130</v>
      </c>
      <c r="BM1183" s="0" t="s">
        <v>130</v>
      </c>
      <c r="BN1183" s="0" t="s">
        <v>130</v>
      </c>
      <c r="BO1183" s="0" t="s">
        <v>130</v>
      </c>
      <c r="BP1183" s="0" t="s">
        <v>130</v>
      </c>
      <c r="BQ1183" s="0" t="s">
        <v>130</v>
      </c>
      <c r="BR1183" s="0" t="s">
        <v>130</v>
      </c>
      <c r="BS1183" s="0" t="s">
        <v>130</v>
      </c>
      <c r="BT1183" s="0" t="s">
        <v>130</v>
      </c>
      <c r="BU1183" s="0" t="s">
        <v>130</v>
      </c>
      <c r="BV1183" s="0" t="s">
        <v>130</v>
      </c>
      <c r="BW1183" s="0" t="s">
        <v>130</v>
      </c>
      <c r="BX1183" s="0" t="s">
        <v>130</v>
      </c>
      <c r="BY1183" s="0" t="s">
        <v>130</v>
      </c>
      <c r="BZ1183" s="0" t="s">
        <v>130</v>
      </c>
      <c r="CA1183" s="0" t="s">
        <v>130</v>
      </c>
      <c r="CB1183" s="0" t="s">
        <v>130</v>
      </c>
      <c r="CC1183" s="0" t="s">
        <v>130</v>
      </c>
      <c r="CD1183" s="0" t="s">
        <v>130</v>
      </c>
      <c r="CE1183" s="0" t="s">
        <v>130</v>
      </c>
      <c r="CF1183" s="0" t="s">
        <v>130</v>
      </c>
      <c r="CG1183" s="0" t="s">
        <v>130</v>
      </c>
      <c r="CH1183" s="0" t="s">
        <v>130</v>
      </c>
      <c r="CI1183" s="0" t="s">
        <v>130</v>
      </c>
      <c r="CJ1183" s="0" t="s">
        <v>130</v>
      </c>
      <c r="CK1183" s="0" t="s">
        <v>130</v>
      </c>
      <c r="CL1183" s="0" t="s">
        <v>130</v>
      </c>
      <c r="CM1183" s="0" t="s">
        <v>130</v>
      </c>
      <c r="CN1183" s="0" t="s">
        <v>130</v>
      </c>
      <c r="CO1183" s="0" t="s">
        <v>130</v>
      </c>
      <c r="CP1183" s="0" t="s">
        <v>130</v>
      </c>
      <c r="CQ1183" s="0" t="s">
        <v>130</v>
      </c>
      <c r="CR1183" s="0" t="s">
        <v>130</v>
      </c>
      <c r="CS1183" s="0" t="s">
        <v>130</v>
      </c>
      <c r="CT1183" s="0" t="s">
        <v>3508</v>
      </c>
    </row>
    <row r="1184">
      <c r="A1184" s="14">
        <v>961642</v>
      </c>
      <c r="B1184" s="0" t="s">
        <v>3509</v>
      </c>
      <c r="C1184" s="16">
        <f>HYPERLINK("https://eosportal.federatedhermes.com/companies/Q29tcGFueQppNjc3NTI=", "Zurich Insurance Group AG")</f>
      </c>
      <c r="D1184" s="0" t="s">
        <v>25</v>
      </c>
      <c r="E1184" s="0" t="s">
        <v>1516</v>
      </c>
      <c r="F1184" s="16">
        <f>HYPERLINK("https://eosportal.federatedhermes.com/engagements/RW5nYWdlbWVudAppMjU3NTQ=", "Cyber security")</f>
      </c>
      <c r="G1184" s="14" t="s">
        <v>3510</v>
      </c>
      <c r="H1184" s="0" t="s">
        <v>141</v>
      </c>
      <c r="I1184" s="14" t="s">
        <v>131</v>
      </c>
      <c r="J1184" s="0" t="s">
        <v>132</v>
      </c>
      <c r="K1184" s="0" t="s">
        <v>260</v>
      </c>
      <c r="L1184" s="0" t="s">
        <v>261</v>
      </c>
      <c r="M1184" s="0" t="s">
        <v>378</v>
      </c>
      <c r="N1184" s="0" t="s">
        <v>1059</v>
      </c>
      <c r="O1184" s="0" t="s">
        <v>238</v>
      </c>
      <c r="Q1184" s="0" t="s">
        <v>141</v>
      </c>
      <c r="R1184" s="0" t="s">
        <v>138</v>
      </c>
      <c r="S1184" s="14">
        <v>1</v>
      </c>
      <c r="T1184" s="0" t="s">
        <v>343</v>
      </c>
      <c r="U1184" s="0" t="s">
        <v>138</v>
      </c>
      <c r="V1184" s="14" t="s">
        <v>138</v>
      </c>
      <c r="W1184" s="0" t="s">
        <v>138</v>
      </c>
      <c r="X1184" s="14" t="s">
        <v>138</v>
      </c>
      <c r="Y1184" s="0" t="s">
        <v>138</v>
      </c>
      <c r="Z1184" s="14" t="s">
        <v>138</v>
      </c>
      <c r="AA1184" s="0" t="s">
        <v>138</v>
      </c>
      <c r="AB1184" s="14" t="s">
        <v>138</v>
      </c>
      <c r="AD1184" s="0" t="s">
        <v>138</v>
      </c>
      <c r="AF1184" s="0">
        <v>0</v>
      </c>
      <c r="AG1184" s="0">
        <v>0</v>
      </c>
      <c r="AH1184" s="0" t="s">
        <v>140</v>
      </c>
      <c r="AI1184" s="0" t="s">
        <v>138</v>
      </c>
      <c r="AK1184" s="0" t="s">
        <v>344</v>
      </c>
      <c r="AL1184" s="14"/>
      <c r="AN1184" s="14"/>
      <c r="AQ1184" s="0" t="s">
        <v>130</v>
      </c>
      <c r="AR1184" s="0" t="s">
        <v>130</v>
      </c>
      <c r="AS1184" s="0" t="s">
        <v>130</v>
      </c>
      <c r="AT1184" s="0" t="s">
        <v>130</v>
      </c>
      <c r="AU1184" s="0" t="s">
        <v>130</v>
      </c>
      <c r="AV1184" s="0" t="s">
        <v>130</v>
      </c>
      <c r="AW1184" s="0" t="s">
        <v>130</v>
      </c>
      <c r="AX1184" s="0" t="s">
        <v>130</v>
      </c>
      <c r="AY1184" s="0" t="s">
        <v>130</v>
      </c>
      <c r="AZ1184" s="0" t="s">
        <v>130</v>
      </c>
      <c r="BA1184" s="0" t="s">
        <v>130</v>
      </c>
      <c r="BB1184" s="0" t="s">
        <v>130</v>
      </c>
      <c r="BC1184" s="0" t="s">
        <v>130</v>
      </c>
      <c r="BD1184" s="0" t="s">
        <v>130</v>
      </c>
      <c r="BE1184" s="0" t="s">
        <v>130</v>
      </c>
      <c r="BF1184" s="0" t="s">
        <v>130</v>
      </c>
      <c r="BG1184" s="0" t="s">
        <v>130</v>
      </c>
      <c r="BH1184" s="0" t="s">
        <v>130</v>
      </c>
      <c r="BI1184" s="0" t="s">
        <v>130</v>
      </c>
      <c r="BJ1184" s="0" t="s">
        <v>130</v>
      </c>
      <c r="BK1184" s="0" t="s">
        <v>130</v>
      </c>
      <c r="BL1184" s="0" t="s">
        <v>130</v>
      </c>
      <c r="BM1184" s="0" t="s">
        <v>130</v>
      </c>
      <c r="BN1184" s="0" t="s">
        <v>130</v>
      </c>
      <c r="BO1184" s="0" t="s">
        <v>130</v>
      </c>
      <c r="BP1184" s="0" t="s">
        <v>130</v>
      </c>
      <c r="BQ1184" s="0" t="s">
        <v>130</v>
      </c>
      <c r="BR1184" s="0" t="s">
        <v>130</v>
      </c>
      <c r="BS1184" s="0" t="s">
        <v>130</v>
      </c>
      <c r="BT1184" s="0" t="s">
        <v>130</v>
      </c>
      <c r="BU1184" s="0" t="s">
        <v>130</v>
      </c>
      <c r="BV1184" s="0" t="s">
        <v>130</v>
      </c>
      <c r="BW1184" s="0" t="s">
        <v>130</v>
      </c>
      <c r="BX1184" s="0" t="s">
        <v>130</v>
      </c>
      <c r="BY1184" s="0" t="s">
        <v>130</v>
      </c>
      <c r="BZ1184" s="0" t="s">
        <v>130</v>
      </c>
      <c r="CA1184" s="0" t="s">
        <v>130</v>
      </c>
      <c r="CB1184" s="0" t="s">
        <v>130</v>
      </c>
      <c r="CC1184" s="0" t="s">
        <v>130</v>
      </c>
      <c r="CD1184" s="0" t="s">
        <v>130</v>
      </c>
      <c r="CE1184" s="0" t="s">
        <v>130</v>
      </c>
      <c r="CF1184" s="0" t="s">
        <v>130</v>
      </c>
      <c r="CG1184" s="0" t="s">
        <v>130</v>
      </c>
      <c r="CH1184" s="0" t="s">
        <v>130</v>
      </c>
      <c r="CI1184" s="0" t="s">
        <v>130</v>
      </c>
      <c r="CJ1184" s="0" t="s">
        <v>130</v>
      </c>
      <c r="CK1184" s="0" t="s">
        <v>130</v>
      </c>
      <c r="CL1184" s="0" t="s">
        <v>130</v>
      </c>
      <c r="CM1184" s="0" t="s">
        <v>130</v>
      </c>
      <c r="CN1184" s="0" t="s">
        <v>130</v>
      </c>
      <c r="CO1184" s="0" t="s">
        <v>130</v>
      </c>
      <c r="CP1184" s="0" t="s">
        <v>130</v>
      </c>
      <c r="CQ1184" s="0" t="s">
        <v>130</v>
      </c>
      <c r="CR1184" s="0" t="s">
        <v>130</v>
      </c>
      <c r="CS1184" s="0" t="s">
        <v>130</v>
      </c>
      <c r="CT1184" s="0" t="s">
        <v>3511</v>
      </c>
    </row>
    <row r="1185">
      <c r="A1185" s="14">
        <v>961642</v>
      </c>
      <c r="B1185" s="0" t="s">
        <v>3509</v>
      </c>
      <c r="C1185" s="16">
        <f>HYPERLINK("https://eosportal.federatedhermes.com/companies/Q29tcGFueQppNjc3NTI=", "Zurich Insurance Group AG")</f>
      </c>
      <c r="D1185" s="0" t="s">
        <v>25</v>
      </c>
      <c r="E1185" s="0" t="s">
        <v>3512</v>
      </c>
      <c r="F1185" s="16">
        <f>HYPERLINK("https://eosportal.federatedhermes.com/engagements/RW5nYWdlbWVudAppMjU3NTU=", "Covid-19 impact and response")</f>
      </c>
      <c r="G1185" s="14" t="s">
        <v>3414</v>
      </c>
      <c r="H1185" s="0" t="s">
        <v>141</v>
      </c>
      <c r="I1185" s="14" t="s">
        <v>131</v>
      </c>
      <c r="J1185" s="0" t="s">
        <v>132</v>
      </c>
      <c r="K1185" s="0" t="s">
        <v>260</v>
      </c>
      <c r="L1185" s="0" t="s">
        <v>261</v>
      </c>
      <c r="M1185" s="0" t="s">
        <v>378</v>
      </c>
      <c r="N1185" s="0" t="s">
        <v>1059</v>
      </c>
      <c r="O1185" s="0" t="s">
        <v>238</v>
      </c>
      <c r="Q1185" s="0" t="s">
        <v>130</v>
      </c>
      <c r="R1185" s="0" t="s">
        <v>138</v>
      </c>
      <c r="S1185" s="14">
        <v>0</v>
      </c>
      <c r="T1185" s="0" t="s">
        <v>156</v>
      </c>
      <c r="U1185" s="0" t="s">
        <v>138</v>
      </c>
      <c r="V1185" s="14" t="s">
        <v>138</v>
      </c>
      <c r="W1185" s="0" t="s">
        <v>138</v>
      </c>
      <c r="X1185" s="14" t="s">
        <v>138</v>
      </c>
      <c r="Y1185" s="0" t="s">
        <v>138</v>
      </c>
      <c r="Z1185" s="14" t="s">
        <v>138</v>
      </c>
      <c r="AA1185" s="0" t="s">
        <v>138</v>
      </c>
      <c r="AB1185" s="14" t="s">
        <v>138</v>
      </c>
      <c r="AD1185" s="0" t="s">
        <v>138</v>
      </c>
      <c r="AF1185" s="0">
        <v>0</v>
      </c>
      <c r="AG1185" s="0">
        <v>0</v>
      </c>
      <c r="AH1185" s="0" t="s">
        <v>140</v>
      </c>
      <c r="AI1185" s="0" t="s">
        <v>138</v>
      </c>
      <c r="AL1185" s="14"/>
      <c r="AN1185" s="14"/>
      <c r="AQ1185" s="0" t="s">
        <v>130</v>
      </c>
      <c r="AR1185" s="0" t="s">
        <v>130</v>
      </c>
      <c r="AS1185" s="0" t="s">
        <v>130</v>
      </c>
      <c r="AT1185" s="0" t="s">
        <v>130</v>
      </c>
      <c r="AU1185" s="0" t="s">
        <v>130</v>
      </c>
      <c r="AV1185" s="0" t="s">
        <v>130</v>
      </c>
      <c r="AW1185" s="0" t="s">
        <v>130</v>
      </c>
      <c r="AX1185" s="0" t="s">
        <v>130</v>
      </c>
      <c r="AY1185" s="0" t="s">
        <v>130</v>
      </c>
      <c r="AZ1185" s="0" t="s">
        <v>130</v>
      </c>
      <c r="BA1185" s="0" t="s">
        <v>130</v>
      </c>
      <c r="BB1185" s="0" t="s">
        <v>130</v>
      </c>
      <c r="BC1185" s="0" t="s">
        <v>130</v>
      </c>
      <c r="BD1185" s="0" t="s">
        <v>130</v>
      </c>
      <c r="BE1185" s="0" t="s">
        <v>130</v>
      </c>
      <c r="BF1185" s="0" t="s">
        <v>130</v>
      </c>
      <c r="BG1185" s="0" t="s">
        <v>130</v>
      </c>
      <c r="BH1185" s="0" t="s">
        <v>130</v>
      </c>
      <c r="BI1185" s="0" t="s">
        <v>130</v>
      </c>
      <c r="BJ1185" s="0" t="s">
        <v>130</v>
      </c>
      <c r="BK1185" s="0" t="s">
        <v>130</v>
      </c>
      <c r="BL1185" s="0" t="s">
        <v>130</v>
      </c>
      <c r="BM1185" s="0" t="s">
        <v>130</v>
      </c>
      <c r="BN1185" s="0" t="s">
        <v>130</v>
      </c>
      <c r="BO1185" s="0" t="s">
        <v>130</v>
      </c>
      <c r="BP1185" s="0" t="s">
        <v>130</v>
      </c>
      <c r="BQ1185" s="0" t="s">
        <v>130</v>
      </c>
      <c r="BR1185" s="0" t="s">
        <v>130</v>
      </c>
      <c r="BS1185" s="0" t="s">
        <v>130</v>
      </c>
      <c r="BT1185" s="0" t="s">
        <v>130</v>
      </c>
      <c r="BU1185" s="0" t="s">
        <v>130</v>
      </c>
      <c r="BV1185" s="0" t="s">
        <v>130</v>
      </c>
      <c r="BW1185" s="0" t="s">
        <v>130</v>
      </c>
      <c r="BX1185" s="0" t="s">
        <v>130</v>
      </c>
      <c r="BY1185" s="0" t="s">
        <v>130</v>
      </c>
      <c r="BZ1185" s="0" t="s">
        <v>130</v>
      </c>
      <c r="CA1185" s="0" t="s">
        <v>130</v>
      </c>
      <c r="CB1185" s="0" t="s">
        <v>130</v>
      </c>
      <c r="CC1185" s="0" t="s">
        <v>130</v>
      </c>
      <c r="CD1185" s="0" t="s">
        <v>130</v>
      </c>
      <c r="CE1185" s="0" t="s">
        <v>130</v>
      </c>
      <c r="CF1185" s="0" t="s">
        <v>130</v>
      </c>
      <c r="CG1185" s="0" t="s">
        <v>130</v>
      </c>
      <c r="CH1185" s="0" t="s">
        <v>130</v>
      </c>
      <c r="CI1185" s="0" t="s">
        <v>130</v>
      </c>
      <c r="CJ1185" s="0" t="s">
        <v>130</v>
      </c>
      <c r="CK1185" s="0" t="s">
        <v>130</v>
      </c>
      <c r="CL1185" s="0" t="s">
        <v>130</v>
      </c>
      <c r="CM1185" s="0" t="s">
        <v>130</v>
      </c>
      <c r="CN1185" s="0" t="s">
        <v>130</v>
      </c>
      <c r="CO1185" s="0" t="s">
        <v>130</v>
      </c>
      <c r="CP1185" s="0" t="s">
        <v>130</v>
      </c>
      <c r="CQ1185" s="0" t="s">
        <v>130</v>
      </c>
      <c r="CR1185" s="0" t="s">
        <v>130</v>
      </c>
      <c r="CS1185" s="0" t="s">
        <v>130</v>
      </c>
      <c r="CT1185" s="0" t="s">
        <v>3513</v>
      </c>
    </row>
    <row r="1186">
      <c r="A1186" s="14">
        <v>961642</v>
      </c>
      <c r="B1186" s="0" t="s">
        <v>3509</v>
      </c>
      <c r="C1186" s="16">
        <f>HYPERLINK("https://eosportal.federatedhermes.com/companies/Q29tcGFueQppNjc3NTI=", "Zurich Insurance Group AG")</f>
      </c>
      <c r="D1186" s="0" t="s">
        <v>25</v>
      </c>
      <c r="E1186" s="0" t="s">
        <v>3231</v>
      </c>
      <c r="F1186" s="16">
        <f>HYPERLINK("https://eosportal.federatedhermes.com/engagements/RW5nYWdlbWVudAppMjU3NTY=", "Human capital")</f>
      </c>
      <c r="G1186" s="14" t="s">
        <v>3514</v>
      </c>
      <c r="H1186" s="0" t="s">
        <v>141</v>
      </c>
      <c r="I1186" s="14" t="s">
        <v>131</v>
      </c>
      <c r="J1186" s="0" t="s">
        <v>153</v>
      </c>
      <c r="K1186" s="0" t="s">
        <v>154</v>
      </c>
      <c r="L1186" s="0" t="s">
        <v>268</v>
      </c>
      <c r="M1186" s="0" t="s">
        <v>378</v>
      </c>
      <c r="N1186" s="0" t="s">
        <v>1059</v>
      </c>
      <c r="O1186" s="0" t="s">
        <v>238</v>
      </c>
      <c r="Q1186" s="0" t="s">
        <v>130</v>
      </c>
      <c r="R1186" s="0" t="s">
        <v>138</v>
      </c>
      <c r="S1186" s="14">
        <v>0</v>
      </c>
      <c r="T1186" s="0" t="s">
        <v>384</v>
      </c>
      <c r="U1186" s="0" t="s">
        <v>138</v>
      </c>
      <c r="V1186" s="14" t="s">
        <v>138</v>
      </c>
      <c r="W1186" s="0" t="s">
        <v>138</v>
      </c>
      <c r="X1186" s="14" t="s">
        <v>138</v>
      </c>
      <c r="Y1186" s="0" t="s">
        <v>138</v>
      </c>
      <c r="Z1186" s="14" t="s">
        <v>138</v>
      </c>
      <c r="AA1186" s="0" t="s">
        <v>138</v>
      </c>
      <c r="AB1186" s="14" t="s">
        <v>138</v>
      </c>
      <c r="AD1186" s="0" t="s">
        <v>138</v>
      </c>
      <c r="AF1186" s="0">
        <v>0</v>
      </c>
      <c r="AG1186" s="0">
        <v>0</v>
      </c>
      <c r="AH1186" s="0" t="s">
        <v>140</v>
      </c>
      <c r="AI1186" s="0" t="s">
        <v>138</v>
      </c>
      <c r="AL1186" s="14"/>
      <c r="AN1186" s="14"/>
      <c r="AQ1186" s="0" t="s">
        <v>130</v>
      </c>
      <c r="AR1186" s="0" t="s">
        <v>130</v>
      </c>
      <c r="AS1186" s="0" t="s">
        <v>130</v>
      </c>
      <c r="AT1186" s="0" t="s">
        <v>130</v>
      </c>
      <c r="AU1186" s="0" t="s">
        <v>130</v>
      </c>
      <c r="AV1186" s="0" t="s">
        <v>130</v>
      </c>
      <c r="AW1186" s="0" t="s">
        <v>130</v>
      </c>
      <c r="AX1186" s="0" t="s">
        <v>130</v>
      </c>
      <c r="AY1186" s="0" t="s">
        <v>130</v>
      </c>
      <c r="AZ1186" s="0" t="s">
        <v>130</v>
      </c>
      <c r="BA1186" s="0" t="s">
        <v>130</v>
      </c>
      <c r="BB1186" s="0" t="s">
        <v>130</v>
      </c>
      <c r="BC1186" s="0" t="s">
        <v>130</v>
      </c>
      <c r="BD1186" s="0" t="s">
        <v>130</v>
      </c>
      <c r="BE1186" s="0" t="s">
        <v>130</v>
      </c>
      <c r="BF1186" s="0" t="s">
        <v>130</v>
      </c>
      <c r="BG1186" s="0" t="s">
        <v>130</v>
      </c>
      <c r="BH1186" s="0" t="s">
        <v>130</v>
      </c>
      <c r="BI1186" s="0" t="s">
        <v>130</v>
      </c>
      <c r="BJ1186" s="0" t="s">
        <v>130</v>
      </c>
      <c r="BK1186" s="0" t="s">
        <v>130</v>
      </c>
      <c r="BL1186" s="0" t="s">
        <v>130</v>
      </c>
      <c r="BM1186" s="0" t="s">
        <v>130</v>
      </c>
      <c r="BN1186" s="0" t="s">
        <v>130</v>
      </c>
      <c r="BO1186" s="0" t="s">
        <v>130</v>
      </c>
      <c r="BP1186" s="0" t="s">
        <v>130</v>
      </c>
      <c r="BQ1186" s="0" t="s">
        <v>130</v>
      </c>
      <c r="BR1186" s="0" t="s">
        <v>130</v>
      </c>
      <c r="BS1186" s="0" t="s">
        <v>130</v>
      </c>
      <c r="BT1186" s="0" t="s">
        <v>130</v>
      </c>
      <c r="BU1186" s="0" t="s">
        <v>130</v>
      </c>
      <c r="BV1186" s="0" t="s">
        <v>130</v>
      </c>
      <c r="BW1186" s="0" t="s">
        <v>130</v>
      </c>
      <c r="BX1186" s="0" t="s">
        <v>130</v>
      </c>
      <c r="BY1186" s="0" t="s">
        <v>130</v>
      </c>
      <c r="BZ1186" s="0" t="s">
        <v>130</v>
      </c>
      <c r="CA1186" s="0" t="s">
        <v>130</v>
      </c>
      <c r="CB1186" s="0" t="s">
        <v>130</v>
      </c>
      <c r="CC1186" s="0" t="s">
        <v>130</v>
      </c>
      <c r="CD1186" s="0" t="s">
        <v>130</v>
      </c>
      <c r="CE1186" s="0" t="s">
        <v>130</v>
      </c>
      <c r="CF1186" s="0" t="s">
        <v>130</v>
      </c>
      <c r="CG1186" s="0" t="s">
        <v>130</v>
      </c>
      <c r="CH1186" s="0" t="s">
        <v>130</v>
      </c>
      <c r="CI1186" s="0" t="s">
        <v>130</v>
      </c>
      <c r="CJ1186" s="0" t="s">
        <v>130</v>
      </c>
      <c r="CK1186" s="0" t="s">
        <v>141</v>
      </c>
      <c r="CL1186" s="0" t="s">
        <v>130</v>
      </c>
      <c r="CM1186" s="0" t="s">
        <v>130</v>
      </c>
      <c r="CN1186" s="0" t="s">
        <v>130</v>
      </c>
      <c r="CO1186" s="0" t="s">
        <v>130</v>
      </c>
      <c r="CP1186" s="0" t="s">
        <v>130</v>
      </c>
      <c r="CQ1186" s="0" t="s">
        <v>130</v>
      </c>
      <c r="CR1186" s="0" t="s">
        <v>130</v>
      </c>
      <c r="CS1186" s="0" t="s">
        <v>130</v>
      </c>
      <c r="CT1186" s="0" t="s">
        <v>3515</v>
      </c>
    </row>
    <row r="1187">
      <c r="A1187" s="14">
        <v>253334</v>
      </c>
      <c r="B1187" s="0" t="s">
        <v>3516</v>
      </c>
      <c r="C1187" s="16">
        <f>HYPERLINK("https://eosportal.federatedhermes.com/companies/Q29tcGFueQppODY1MjA=", "GAIL India Ltd")</f>
      </c>
      <c r="D1187" s="0" t="s">
        <v>25</v>
      </c>
      <c r="E1187" s="0" t="s">
        <v>3517</v>
      </c>
      <c r="F1187" s="16">
        <f>HYPERLINK("https://eosportal.federatedhermes.com/engagements/RW5nYWdlbWVudAppMjU4MjQ=", "Carbon emissions and GHG intensity")</f>
      </c>
      <c r="G1187" s="14" t="s">
        <v>3518</v>
      </c>
      <c r="H1187" s="0" t="s">
        <v>130</v>
      </c>
      <c r="I1187" s="14" t="s">
        <v>131</v>
      </c>
      <c r="J1187" s="0" t="s">
        <v>197</v>
      </c>
      <c r="K1187" s="0" t="s">
        <v>198</v>
      </c>
      <c r="L1187" s="0" t="s">
        <v>216</v>
      </c>
      <c r="M1187" s="0" t="s">
        <v>2807</v>
      </c>
      <c r="N1187" s="0" t="s">
        <v>2969</v>
      </c>
      <c r="O1187" s="0" t="s">
        <v>192</v>
      </c>
      <c r="Q1187" s="0" t="s">
        <v>141</v>
      </c>
      <c r="R1187" s="0" t="s">
        <v>138</v>
      </c>
      <c r="S1187" s="14">
        <v>1</v>
      </c>
      <c r="T1187" s="0" t="s">
        <v>384</v>
      </c>
      <c r="U1187" s="0" t="s">
        <v>138</v>
      </c>
      <c r="V1187" s="14" t="s">
        <v>138</v>
      </c>
      <c r="W1187" s="0" t="s">
        <v>138</v>
      </c>
      <c r="X1187" s="14" t="s">
        <v>138</v>
      </c>
      <c r="Y1187" s="0" t="s">
        <v>138</v>
      </c>
      <c r="Z1187" s="14" t="s">
        <v>138</v>
      </c>
      <c r="AA1187" s="0" t="s">
        <v>138</v>
      </c>
      <c r="AB1187" s="14" t="s">
        <v>138</v>
      </c>
      <c r="AD1187" s="0" t="s">
        <v>138</v>
      </c>
      <c r="AF1187" s="0">
        <v>0</v>
      </c>
      <c r="AG1187" s="0">
        <v>0</v>
      </c>
      <c r="AH1187" s="0" t="s">
        <v>140</v>
      </c>
      <c r="AI1187" s="0" t="s">
        <v>138</v>
      </c>
      <c r="AK1187" s="0" t="s">
        <v>2523</v>
      </c>
      <c r="AL1187" s="14"/>
      <c r="AN1187" s="14"/>
      <c r="AQ1187" s="0" t="s">
        <v>130</v>
      </c>
      <c r="AR1187" s="0" t="s">
        <v>130</v>
      </c>
      <c r="AS1187" s="0" t="s">
        <v>130</v>
      </c>
      <c r="AT1187" s="0" t="s">
        <v>130</v>
      </c>
      <c r="AU1187" s="0" t="s">
        <v>130</v>
      </c>
      <c r="AV1187" s="0" t="s">
        <v>130</v>
      </c>
      <c r="AW1187" s="0" t="s">
        <v>141</v>
      </c>
      <c r="AX1187" s="0" t="s">
        <v>130</v>
      </c>
      <c r="AY1187" s="0" t="s">
        <v>130</v>
      </c>
      <c r="AZ1187" s="0" t="s">
        <v>130</v>
      </c>
      <c r="BA1187" s="0" t="s">
        <v>130</v>
      </c>
      <c r="BB1187" s="0" t="s">
        <v>130</v>
      </c>
      <c r="BC1187" s="0" t="s">
        <v>141</v>
      </c>
      <c r="BD1187" s="0" t="s">
        <v>130</v>
      </c>
      <c r="BE1187" s="0" t="s">
        <v>130</v>
      </c>
      <c r="BF1187" s="0" t="s">
        <v>130</v>
      </c>
      <c r="BG1187" s="0" t="s">
        <v>130</v>
      </c>
      <c r="BH1187" s="0" t="s">
        <v>141</v>
      </c>
      <c r="BI1187" s="0" t="s">
        <v>141</v>
      </c>
      <c r="BJ1187" s="0" t="s">
        <v>141</v>
      </c>
      <c r="BK1187" s="0" t="s">
        <v>130</v>
      </c>
      <c r="BL1187" s="0" t="s">
        <v>130</v>
      </c>
      <c r="BM1187" s="0" t="s">
        <v>130</v>
      </c>
      <c r="BN1187" s="0" t="s">
        <v>130</v>
      </c>
      <c r="BO1187" s="0" t="s">
        <v>130</v>
      </c>
      <c r="BP1187" s="0" t="s">
        <v>130</v>
      </c>
      <c r="BQ1187" s="0" t="s">
        <v>130</v>
      </c>
      <c r="BR1187" s="0" t="s">
        <v>130</v>
      </c>
      <c r="BS1187" s="0" t="s">
        <v>130</v>
      </c>
      <c r="BT1187" s="0" t="s">
        <v>130</v>
      </c>
      <c r="BU1187" s="0" t="s">
        <v>130</v>
      </c>
      <c r="BV1187" s="0" t="s">
        <v>141</v>
      </c>
      <c r="BW1187" s="0" t="s">
        <v>141</v>
      </c>
      <c r="BX1187" s="0" t="s">
        <v>130</v>
      </c>
      <c r="BY1187" s="0" t="s">
        <v>130</v>
      </c>
      <c r="BZ1187" s="0" t="s">
        <v>130</v>
      </c>
      <c r="CA1187" s="0" t="s">
        <v>130</v>
      </c>
      <c r="CB1187" s="0" t="s">
        <v>130</v>
      </c>
      <c r="CC1187" s="0" t="s">
        <v>130</v>
      </c>
      <c r="CD1187" s="0" t="s">
        <v>130</v>
      </c>
      <c r="CE1187" s="0" t="s">
        <v>130</v>
      </c>
      <c r="CF1187" s="0" t="s">
        <v>130</v>
      </c>
      <c r="CG1187" s="0" t="s">
        <v>130</v>
      </c>
      <c r="CH1187" s="0" t="s">
        <v>130</v>
      </c>
      <c r="CI1187" s="0" t="s">
        <v>130</v>
      </c>
      <c r="CJ1187" s="0" t="s">
        <v>130</v>
      </c>
      <c r="CK1187" s="0" t="s">
        <v>130</v>
      </c>
      <c r="CL1187" s="0" t="s">
        <v>130</v>
      </c>
      <c r="CM1187" s="0" t="s">
        <v>130</v>
      </c>
      <c r="CN1187" s="0" t="s">
        <v>130</v>
      </c>
      <c r="CO1187" s="0" t="s">
        <v>130</v>
      </c>
      <c r="CP1187" s="0" t="s">
        <v>130</v>
      </c>
      <c r="CQ1187" s="0" t="s">
        <v>130</v>
      </c>
      <c r="CR1187" s="0" t="s">
        <v>130</v>
      </c>
      <c r="CS1187" s="0" t="s">
        <v>130</v>
      </c>
      <c r="CT1187" s="0" t="s">
        <v>3519</v>
      </c>
    </row>
    <row r="1188">
      <c r="A1188" s="14">
        <v>253334</v>
      </c>
      <c r="B1188" s="0" t="s">
        <v>3516</v>
      </c>
      <c r="C1188" s="16">
        <f>HYPERLINK("https://eosportal.federatedhermes.com/companies/Q29tcGFueQppODY1MjA=", "GAIL India Ltd")</f>
      </c>
      <c r="D1188" s="0" t="s">
        <v>25</v>
      </c>
      <c r="E1188" s="0" t="s">
        <v>3520</v>
      </c>
      <c r="F1188" s="16">
        <f>HYPERLINK("https://eosportal.federatedhermes.com/engagements/RW5nYWdlbWVudAppMjU4MjU=", "Human rights and community impact")</f>
      </c>
      <c r="G1188" s="14" t="s">
        <v>3521</v>
      </c>
      <c r="H1188" s="0" t="s">
        <v>130</v>
      </c>
      <c r="I1188" s="14" t="s">
        <v>131</v>
      </c>
      <c r="J1188" s="0" t="s">
        <v>153</v>
      </c>
      <c r="K1188" s="0" t="s">
        <v>243</v>
      </c>
      <c r="L1188" s="0" t="s">
        <v>571</v>
      </c>
      <c r="M1188" s="0" t="s">
        <v>2807</v>
      </c>
      <c r="N1188" s="0" t="s">
        <v>2969</v>
      </c>
      <c r="O1188" s="0" t="s">
        <v>192</v>
      </c>
      <c r="Q1188" s="0" t="s">
        <v>130</v>
      </c>
      <c r="R1188" s="0" t="s">
        <v>138</v>
      </c>
      <c r="S1188" s="14">
        <v>0</v>
      </c>
      <c r="T1188" s="0" t="s">
        <v>314</v>
      </c>
      <c r="U1188" s="0" t="s">
        <v>138</v>
      </c>
      <c r="V1188" s="14" t="s">
        <v>138</v>
      </c>
      <c r="W1188" s="0" t="s">
        <v>138</v>
      </c>
      <c r="X1188" s="14" t="s">
        <v>138</v>
      </c>
      <c r="Y1188" s="0" t="s">
        <v>138</v>
      </c>
      <c r="Z1188" s="14" t="s">
        <v>138</v>
      </c>
      <c r="AA1188" s="0" t="s">
        <v>138</v>
      </c>
      <c r="AB1188" s="14" t="s">
        <v>138</v>
      </c>
      <c r="AD1188" s="0" t="s">
        <v>138</v>
      </c>
      <c r="AF1188" s="0">
        <v>0</v>
      </c>
      <c r="AG1188" s="0">
        <v>0</v>
      </c>
      <c r="AH1188" s="0" t="s">
        <v>140</v>
      </c>
      <c r="AI1188" s="0" t="s">
        <v>138</v>
      </c>
      <c r="AL1188" s="14"/>
      <c r="AN1188" s="14"/>
      <c r="AQ1188" s="0" t="s">
        <v>130</v>
      </c>
      <c r="AR1188" s="0" t="s">
        <v>130</v>
      </c>
      <c r="AS1188" s="0" t="s">
        <v>130</v>
      </c>
      <c r="AT1188" s="0" t="s">
        <v>130</v>
      </c>
      <c r="AU1188" s="0" t="s">
        <v>130</v>
      </c>
      <c r="AV1188" s="0" t="s">
        <v>130</v>
      </c>
      <c r="AW1188" s="0" t="s">
        <v>130</v>
      </c>
      <c r="AX1188" s="0" t="s">
        <v>130</v>
      </c>
      <c r="AY1188" s="0" t="s">
        <v>130</v>
      </c>
      <c r="AZ1188" s="0" t="s">
        <v>130</v>
      </c>
      <c r="BA1188" s="0" t="s">
        <v>130</v>
      </c>
      <c r="BB1188" s="0" t="s">
        <v>130</v>
      </c>
      <c r="BC1188" s="0" t="s">
        <v>130</v>
      </c>
      <c r="BD1188" s="0" t="s">
        <v>130</v>
      </c>
      <c r="BE1188" s="0" t="s">
        <v>130</v>
      </c>
      <c r="BF1188" s="0" t="s">
        <v>130</v>
      </c>
      <c r="BG1188" s="0" t="s">
        <v>130</v>
      </c>
      <c r="BH1188" s="0" t="s">
        <v>130</v>
      </c>
      <c r="BI1188" s="0" t="s">
        <v>130</v>
      </c>
      <c r="BJ1188" s="0" t="s">
        <v>130</v>
      </c>
      <c r="BK1188" s="0" t="s">
        <v>130</v>
      </c>
      <c r="BL1188" s="0" t="s">
        <v>130</v>
      </c>
      <c r="BM1188" s="0" t="s">
        <v>130</v>
      </c>
      <c r="BN1188" s="0" t="s">
        <v>130</v>
      </c>
      <c r="BO1188" s="0" t="s">
        <v>130</v>
      </c>
      <c r="BP1188" s="0" t="s">
        <v>130</v>
      </c>
      <c r="BQ1188" s="0" t="s">
        <v>130</v>
      </c>
      <c r="BR1188" s="0" t="s">
        <v>130</v>
      </c>
      <c r="BS1188" s="0" t="s">
        <v>130</v>
      </c>
      <c r="BT1188" s="0" t="s">
        <v>130</v>
      </c>
      <c r="BU1188" s="0" t="s">
        <v>130</v>
      </c>
      <c r="BV1188" s="0" t="s">
        <v>130</v>
      </c>
      <c r="BW1188" s="0" t="s">
        <v>130</v>
      </c>
      <c r="BX1188" s="0" t="s">
        <v>130</v>
      </c>
      <c r="BY1188" s="0" t="s">
        <v>130</v>
      </c>
      <c r="BZ1188" s="0" t="s">
        <v>130</v>
      </c>
      <c r="CA1188" s="0" t="s">
        <v>130</v>
      </c>
      <c r="CB1188" s="0" t="s">
        <v>130</v>
      </c>
      <c r="CC1188" s="0" t="s">
        <v>130</v>
      </c>
      <c r="CD1188" s="0" t="s">
        <v>130</v>
      </c>
      <c r="CE1188" s="0" t="s">
        <v>130</v>
      </c>
      <c r="CF1188" s="0" t="s">
        <v>130</v>
      </c>
      <c r="CG1188" s="0" t="s">
        <v>130</v>
      </c>
      <c r="CH1188" s="0" t="s">
        <v>130</v>
      </c>
      <c r="CI1188" s="0" t="s">
        <v>130</v>
      </c>
      <c r="CJ1188" s="0" t="s">
        <v>130</v>
      </c>
      <c r="CK1188" s="0" t="s">
        <v>130</v>
      </c>
      <c r="CL1188" s="0" t="s">
        <v>130</v>
      </c>
      <c r="CM1188" s="0" t="s">
        <v>130</v>
      </c>
      <c r="CN1188" s="0" t="s">
        <v>130</v>
      </c>
      <c r="CO1188" s="0" t="s">
        <v>130</v>
      </c>
      <c r="CP1188" s="0" t="s">
        <v>130</v>
      </c>
      <c r="CQ1188" s="0" t="s">
        <v>130</v>
      </c>
      <c r="CR1188" s="0" t="s">
        <v>130</v>
      </c>
      <c r="CS1188" s="0" t="s">
        <v>130</v>
      </c>
      <c r="CT1188" s="0" t="s">
        <v>3522</v>
      </c>
    </row>
    <row r="1189">
      <c r="A1189" s="14">
        <v>239787</v>
      </c>
      <c r="B1189" s="0" t="s">
        <v>3523</v>
      </c>
      <c r="C1189" s="16">
        <f>HYPERLINK("https://eosportal.federatedhermes.com/companies/Q29tcGFueQppODU4NzI=", "Eurofins Scientific SE")</f>
      </c>
      <c r="D1189" s="0" t="s">
        <v>23</v>
      </c>
      <c r="E1189" s="0" t="s">
        <v>3524</v>
      </c>
      <c r="F1189" s="16">
        <f>HYPERLINK("https://eosportal.federatedhermes.com/engagements/RW5nYWdlbWVudAppMjU4NTU=", "Increased transparency around variable pay")</f>
      </c>
      <c r="G1189" s="14" t="s">
        <v>3525</v>
      </c>
      <c r="H1189" s="0" t="s">
        <v>130</v>
      </c>
      <c r="I1189" s="14" t="s">
        <v>131</v>
      </c>
      <c r="J1189" s="0" t="s">
        <v>145</v>
      </c>
      <c r="K1189" s="0" t="s">
        <v>146</v>
      </c>
      <c r="L1189" s="0" t="s">
        <v>147</v>
      </c>
      <c r="M1189" s="0" t="s">
        <v>378</v>
      </c>
      <c r="N1189" s="0" t="s">
        <v>3435</v>
      </c>
      <c r="O1189" s="0" t="s">
        <v>274</v>
      </c>
      <c r="Q1189" s="0" t="s">
        <v>141</v>
      </c>
      <c r="R1189" s="0" t="s">
        <v>130</v>
      </c>
      <c r="S1189" s="14">
        <v>1</v>
      </c>
      <c r="T1189" s="0" t="s">
        <v>231</v>
      </c>
      <c r="U1189" s="0" t="s">
        <v>221</v>
      </c>
      <c r="V1189" s="14" t="s">
        <v>231</v>
      </c>
      <c r="W1189" s="0" t="s">
        <v>221</v>
      </c>
      <c r="X1189" s="14" t="s">
        <v>446</v>
      </c>
      <c r="Y1189" s="0" t="s">
        <v>223</v>
      </c>
      <c r="Z1189" s="14" t="s">
        <v>138</v>
      </c>
      <c r="AA1189" s="0" t="s">
        <v>224</v>
      </c>
      <c r="AB1189" s="14" t="s">
        <v>138</v>
      </c>
      <c r="AD1189" s="0" t="s">
        <v>17</v>
      </c>
      <c r="AF1189" s="0">
        <v>0</v>
      </c>
      <c r="AG1189" s="0">
        <v>0</v>
      </c>
      <c r="AH1189" s="0" t="s">
        <v>140</v>
      </c>
      <c r="AI1189" s="0" t="s">
        <v>232</v>
      </c>
      <c r="AK1189" s="0" t="s">
        <v>2019</v>
      </c>
      <c r="AL1189" s="14"/>
      <c r="AN1189" s="14"/>
      <c r="AQ1189" s="0" t="s">
        <v>130</v>
      </c>
      <c r="AR1189" s="0" t="s">
        <v>130</v>
      </c>
      <c r="AS1189" s="0" t="s">
        <v>130</v>
      </c>
      <c r="AT1189" s="0" t="s">
        <v>130</v>
      </c>
      <c r="AU1189" s="0" t="s">
        <v>130</v>
      </c>
      <c r="AV1189" s="0" t="s">
        <v>130</v>
      </c>
      <c r="AW1189" s="0" t="s">
        <v>130</v>
      </c>
      <c r="AX1189" s="0" t="s">
        <v>130</v>
      </c>
      <c r="AY1189" s="0" t="s">
        <v>130</v>
      </c>
      <c r="AZ1189" s="0" t="s">
        <v>130</v>
      </c>
      <c r="BA1189" s="0" t="s">
        <v>130</v>
      </c>
      <c r="BB1189" s="0" t="s">
        <v>130</v>
      </c>
      <c r="BC1189" s="0" t="s">
        <v>130</v>
      </c>
      <c r="BD1189" s="0" t="s">
        <v>130</v>
      </c>
      <c r="BE1189" s="0" t="s">
        <v>130</v>
      </c>
      <c r="BF1189" s="0" t="s">
        <v>130</v>
      </c>
      <c r="BG1189" s="0" t="s">
        <v>130</v>
      </c>
      <c r="BH1189" s="0" t="s">
        <v>130</v>
      </c>
      <c r="BI1189" s="0" t="s">
        <v>130</v>
      </c>
      <c r="BJ1189" s="0" t="s">
        <v>130</v>
      </c>
      <c r="BK1189" s="0" t="s">
        <v>130</v>
      </c>
      <c r="BL1189" s="0" t="s">
        <v>130</v>
      </c>
      <c r="BM1189" s="0" t="s">
        <v>130</v>
      </c>
      <c r="BN1189" s="0" t="s">
        <v>130</v>
      </c>
      <c r="BO1189" s="0" t="s">
        <v>130</v>
      </c>
      <c r="BP1189" s="0" t="s">
        <v>130</v>
      </c>
      <c r="BQ1189" s="0" t="s">
        <v>130</v>
      </c>
      <c r="BR1189" s="0" t="s">
        <v>130</v>
      </c>
      <c r="BS1189" s="0" t="s">
        <v>130</v>
      </c>
      <c r="BT1189" s="0" t="s">
        <v>130</v>
      </c>
      <c r="BU1189" s="0" t="s">
        <v>130</v>
      </c>
      <c r="BV1189" s="0" t="s">
        <v>130</v>
      </c>
      <c r="BW1189" s="0" t="s">
        <v>130</v>
      </c>
      <c r="BX1189" s="0" t="s">
        <v>130</v>
      </c>
      <c r="BY1189" s="0" t="s">
        <v>130</v>
      </c>
      <c r="BZ1189" s="0" t="s">
        <v>130</v>
      </c>
      <c r="CA1189" s="0" t="s">
        <v>130</v>
      </c>
      <c r="CB1189" s="0" t="s">
        <v>130</v>
      </c>
      <c r="CC1189" s="0" t="s">
        <v>130</v>
      </c>
      <c r="CD1189" s="0" t="s">
        <v>130</v>
      </c>
      <c r="CE1189" s="0" t="s">
        <v>130</v>
      </c>
      <c r="CF1189" s="0" t="s">
        <v>130</v>
      </c>
      <c r="CG1189" s="0" t="s">
        <v>130</v>
      </c>
      <c r="CH1189" s="0" t="s">
        <v>130</v>
      </c>
      <c r="CI1189" s="0" t="s">
        <v>130</v>
      </c>
      <c r="CJ1189" s="0" t="s">
        <v>130</v>
      </c>
      <c r="CK1189" s="0" t="s">
        <v>130</v>
      </c>
      <c r="CL1189" s="0" t="s">
        <v>130</v>
      </c>
      <c r="CM1189" s="0" t="s">
        <v>130</v>
      </c>
      <c r="CN1189" s="0" t="s">
        <v>130</v>
      </c>
      <c r="CO1189" s="0" t="s">
        <v>130</v>
      </c>
      <c r="CP1189" s="0" t="s">
        <v>130</v>
      </c>
      <c r="CQ1189" s="0" t="s">
        <v>130</v>
      </c>
      <c r="CR1189" s="0" t="s">
        <v>130</v>
      </c>
      <c r="CS1189" s="0" t="s">
        <v>130</v>
      </c>
      <c r="CT1189" s="0" t="s">
        <v>3526</v>
      </c>
    </row>
    <row r="1190">
      <c r="A1190" s="14">
        <v>239787</v>
      </c>
      <c r="B1190" s="0" t="s">
        <v>3523</v>
      </c>
      <c r="C1190" s="16">
        <f>HYPERLINK("https://eosportal.federatedhermes.com/companies/Q29tcGFueQppODU4NzI=", "Eurofins Scientific SE")</f>
      </c>
      <c r="D1190" s="0" t="s">
        <v>25</v>
      </c>
      <c r="E1190" s="0" t="s">
        <v>3527</v>
      </c>
      <c r="F1190" s="16">
        <f>HYPERLINK("https://eosportal.federatedhermes.com/engagements/RW5nYWdlbWVudAppMjU4NTg=", "Board Skills &amp; Independence")</f>
      </c>
      <c r="G1190" s="14" t="s">
        <v>3528</v>
      </c>
      <c r="H1190" s="0" t="s">
        <v>130</v>
      </c>
      <c r="I1190" s="14" t="s">
        <v>131</v>
      </c>
      <c r="J1190" s="0" t="s">
        <v>145</v>
      </c>
      <c r="K1190" s="0" t="s">
        <v>164</v>
      </c>
      <c r="L1190" s="0" t="s">
        <v>165</v>
      </c>
      <c r="M1190" s="0" t="s">
        <v>378</v>
      </c>
      <c r="N1190" s="0" t="s">
        <v>3435</v>
      </c>
      <c r="O1190" s="0" t="s">
        <v>274</v>
      </c>
      <c r="Q1190" s="0" t="s">
        <v>141</v>
      </c>
      <c r="R1190" s="0" t="s">
        <v>138</v>
      </c>
      <c r="S1190" s="14">
        <v>1</v>
      </c>
      <c r="T1190" s="0" t="s">
        <v>193</v>
      </c>
      <c r="U1190" s="0" t="s">
        <v>138</v>
      </c>
      <c r="V1190" s="14" t="s">
        <v>138</v>
      </c>
      <c r="W1190" s="0" t="s">
        <v>138</v>
      </c>
      <c r="X1190" s="14" t="s">
        <v>138</v>
      </c>
      <c r="Y1190" s="0" t="s">
        <v>138</v>
      </c>
      <c r="Z1190" s="14" t="s">
        <v>138</v>
      </c>
      <c r="AA1190" s="0" t="s">
        <v>138</v>
      </c>
      <c r="AB1190" s="14" t="s">
        <v>138</v>
      </c>
      <c r="AD1190" s="0" t="s">
        <v>138</v>
      </c>
      <c r="AF1190" s="0">
        <v>0</v>
      </c>
      <c r="AG1190" s="0">
        <v>0</v>
      </c>
      <c r="AH1190" s="0" t="s">
        <v>140</v>
      </c>
      <c r="AI1190" s="0" t="s">
        <v>138</v>
      </c>
      <c r="AK1190" s="0" t="s">
        <v>2019</v>
      </c>
      <c r="AL1190" s="14"/>
      <c r="AN1190" s="14"/>
      <c r="AQ1190" s="0" t="s">
        <v>130</v>
      </c>
      <c r="AR1190" s="0" t="s">
        <v>130</v>
      </c>
      <c r="AS1190" s="0" t="s">
        <v>130</v>
      </c>
      <c r="AT1190" s="0" t="s">
        <v>130</v>
      </c>
      <c r="AU1190" s="0" t="s">
        <v>130</v>
      </c>
      <c r="AV1190" s="0" t="s">
        <v>130</v>
      </c>
      <c r="AW1190" s="0" t="s">
        <v>130</v>
      </c>
      <c r="AX1190" s="0" t="s">
        <v>130</v>
      </c>
      <c r="AY1190" s="0" t="s">
        <v>130</v>
      </c>
      <c r="AZ1190" s="0" t="s">
        <v>130</v>
      </c>
      <c r="BA1190" s="0" t="s">
        <v>130</v>
      </c>
      <c r="BB1190" s="0" t="s">
        <v>130</v>
      </c>
      <c r="BC1190" s="0" t="s">
        <v>130</v>
      </c>
      <c r="BD1190" s="0" t="s">
        <v>130</v>
      </c>
      <c r="BE1190" s="0" t="s">
        <v>130</v>
      </c>
      <c r="BF1190" s="0" t="s">
        <v>130</v>
      </c>
      <c r="BG1190" s="0" t="s">
        <v>130</v>
      </c>
      <c r="BH1190" s="0" t="s">
        <v>130</v>
      </c>
      <c r="BI1190" s="0" t="s">
        <v>130</v>
      </c>
      <c r="BJ1190" s="0" t="s">
        <v>130</v>
      </c>
      <c r="BK1190" s="0" t="s">
        <v>130</v>
      </c>
      <c r="BL1190" s="0" t="s">
        <v>130</v>
      </c>
      <c r="BM1190" s="0" t="s">
        <v>130</v>
      </c>
      <c r="BN1190" s="0" t="s">
        <v>130</v>
      </c>
      <c r="BO1190" s="0" t="s">
        <v>130</v>
      </c>
      <c r="BP1190" s="0" t="s">
        <v>130</v>
      </c>
      <c r="BQ1190" s="0" t="s">
        <v>130</v>
      </c>
      <c r="BR1190" s="0" t="s">
        <v>130</v>
      </c>
      <c r="BS1190" s="0" t="s">
        <v>130</v>
      </c>
      <c r="BT1190" s="0" t="s">
        <v>130</v>
      </c>
      <c r="BU1190" s="0" t="s">
        <v>130</v>
      </c>
      <c r="BV1190" s="0" t="s">
        <v>130</v>
      </c>
      <c r="BW1190" s="0" t="s">
        <v>130</v>
      </c>
      <c r="BX1190" s="0" t="s">
        <v>130</v>
      </c>
      <c r="BY1190" s="0" t="s">
        <v>130</v>
      </c>
      <c r="BZ1190" s="0" t="s">
        <v>130</v>
      </c>
      <c r="CA1190" s="0" t="s">
        <v>130</v>
      </c>
      <c r="CB1190" s="0" t="s">
        <v>130</v>
      </c>
      <c r="CC1190" s="0" t="s">
        <v>130</v>
      </c>
      <c r="CD1190" s="0" t="s">
        <v>130</v>
      </c>
      <c r="CE1190" s="0" t="s">
        <v>130</v>
      </c>
      <c r="CF1190" s="0" t="s">
        <v>130</v>
      </c>
      <c r="CG1190" s="0" t="s">
        <v>130</v>
      </c>
      <c r="CH1190" s="0" t="s">
        <v>130</v>
      </c>
      <c r="CI1190" s="0" t="s">
        <v>130</v>
      </c>
      <c r="CJ1190" s="0" t="s">
        <v>130</v>
      </c>
      <c r="CK1190" s="0" t="s">
        <v>130</v>
      </c>
      <c r="CL1190" s="0" t="s">
        <v>130</v>
      </c>
      <c r="CM1190" s="0" t="s">
        <v>130</v>
      </c>
      <c r="CN1190" s="0" t="s">
        <v>130</v>
      </c>
      <c r="CO1190" s="0" t="s">
        <v>130</v>
      </c>
      <c r="CP1190" s="0" t="s">
        <v>130</v>
      </c>
      <c r="CQ1190" s="0" t="s">
        <v>130</v>
      </c>
      <c r="CR1190" s="0" t="s">
        <v>130</v>
      </c>
      <c r="CS1190" s="0" t="s">
        <v>130</v>
      </c>
      <c r="CT1190" s="0" t="s">
        <v>3529</v>
      </c>
    </row>
    <row r="1191">
      <c r="A1191" s="14">
        <v>239787</v>
      </c>
      <c r="B1191" s="0" t="s">
        <v>3523</v>
      </c>
      <c r="C1191" s="16">
        <f>HYPERLINK("https://eosportal.federatedhermes.com/companies/Q29tcGFueQppODU4NzI=", "Eurofins Scientific SE")</f>
      </c>
      <c r="D1191" s="0" t="s">
        <v>25</v>
      </c>
      <c r="E1191" s="0" t="s">
        <v>2032</v>
      </c>
      <c r="F1191" s="16">
        <f>HYPERLINK("https://eosportal.federatedhermes.com/engagements/RW5nYWdlbWVudAppMjU4NTk=", "Coronavirus")</f>
      </c>
      <c r="G1191" s="14" t="s">
        <v>3530</v>
      </c>
      <c r="H1191" s="0" t="s">
        <v>130</v>
      </c>
      <c r="I1191" s="14" t="s">
        <v>131</v>
      </c>
      <c r="J1191" s="0" t="s">
        <v>132</v>
      </c>
      <c r="K1191" s="0" t="s">
        <v>260</v>
      </c>
      <c r="L1191" s="0" t="s">
        <v>261</v>
      </c>
      <c r="M1191" s="0" t="s">
        <v>378</v>
      </c>
      <c r="N1191" s="0" t="s">
        <v>3435</v>
      </c>
      <c r="O1191" s="0" t="s">
        <v>274</v>
      </c>
      <c r="Q1191" s="0" t="s">
        <v>130</v>
      </c>
      <c r="R1191" s="0" t="s">
        <v>138</v>
      </c>
      <c r="S1191" s="14">
        <v>0</v>
      </c>
      <c r="T1191" s="0" t="s">
        <v>148</v>
      </c>
      <c r="U1191" s="0" t="s">
        <v>138</v>
      </c>
      <c r="V1191" s="14" t="s">
        <v>138</v>
      </c>
      <c r="W1191" s="0" t="s">
        <v>138</v>
      </c>
      <c r="X1191" s="14" t="s">
        <v>138</v>
      </c>
      <c r="Y1191" s="0" t="s">
        <v>138</v>
      </c>
      <c r="Z1191" s="14" t="s">
        <v>138</v>
      </c>
      <c r="AA1191" s="0" t="s">
        <v>138</v>
      </c>
      <c r="AB1191" s="14" t="s">
        <v>138</v>
      </c>
      <c r="AD1191" s="0" t="s">
        <v>138</v>
      </c>
      <c r="AF1191" s="0">
        <v>0</v>
      </c>
      <c r="AG1191" s="0">
        <v>0</v>
      </c>
      <c r="AH1191" s="0" t="s">
        <v>140</v>
      </c>
      <c r="AI1191" s="0" t="s">
        <v>138</v>
      </c>
      <c r="AL1191" s="14"/>
      <c r="AN1191" s="14"/>
      <c r="AQ1191" s="0" t="s">
        <v>130</v>
      </c>
      <c r="AR1191" s="0" t="s">
        <v>130</v>
      </c>
      <c r="AS1191" s="0" t="s">
        <v>130</v>
      </c>
      <c r="AT1191" s="0" t="s">
        <v>130</v>
      </c>
      <c r="AU1191" s="0" t="s">
        <v>130</v>
      </c>
      <c r="AV1191" s="0" t="s">
        <v>130</v>
      </c>
      <c r="AW1191" s="0" t="s">
        <v>130</v>
      </c>
      <c r="AX1191" s="0" t="s">
        <v>130</v>
      </c>
      <c r="AY1191" s="0" t="s">
        <v>130</v>
      </c>
      <c r="AZ1191" s="0" t="s">
        <v>130</v>
      </c>
      <c r="BA1191" s="0" t="s">
        <v>130</v>
      </c>
      <c r="BB1191" s="0" t="s">
        <v>130</v>
      </c>
      <c r="BC1191" s="0" t="s">
        <v>130</v>
      </c>
      <c r="BD1191" s="0" t="s">
        <v>130</v>
      </c>
      <c r="BE1191" s="0" t="s">
        <v>130</v>
      </c>
      <c r="BF1191" s="0" t="s">
        <v>130</v>
      </c>
      <c r="BG1191" s="0" t="s">
        <v>130</v>
      </c>
      <c r="BH1191" s="0" t="s">
        <v>130</v>
      </c>
      <c r="BI1191" s="0" t="s">
        <v>130</v>
      </c>
      <c r="BJ1191" s="0" t="s">
        <v>130</v>
      </c>
      <c r="BK1191" s="0" t="s">
        <v>130</v>
      </c>
      <c r="BL1191" s="0" t="s">
        <v>130</v>
      </c>
      <c r="BM1191" s="0" t="s">
        <v>130</v>
      </c>
      <c r="BN1191" s="0" t="s">
        <v>130</v>
      </c>
      <c r="BO1191" s="0" t="s">
        <v>130</v>
      </c>
      <c r="BP1191" s="0" t="s">
        <v>130</v>
      </c>
      <c r="BQ1191" s="0" t="s">
        <v>130</v>
      </c>
      <c r="BR1191" s="0" t="s">
        <v>130</v>
      </c>
      <c r="BS1191" s="0" t="s">
        <v>130</v>
      </c>
      <c r="BT1191" s="0" t="s">
        <v>130</v>
      </c>
      <c r="BU1191" s="0" t="s">
        <v>130</v>
      </c>
      <c r="BV1191" s="0" t="s">
        <v>130</v>
      </c>
      <c r="BW1191" s="0" t="s">
        <v>130</v>
      </c>
      <c r="BX1191" s="0" t="s">
        <v>130</v>
      </c>
      <c r="BY1191" s="0" t="s">
        <v>130</v>
      </c>
      <c r="BZ1191" s="0" t="s">
        <v>130</v>
      </c>
      <c r="CA1191" s="0" t="s">
        <v>130</v>
      </c>
      <c r="CB1191" s="0" t="s">
        <v>130</v>
      </c>
      <c r="CC1191" s="0" t="s">
        <v>130</v>
      </c>
      <c r="CD1191" s="0" t="s">
        <v>130</v>
      </c>
      <c r="CE1191" s="0" t="s">
        <v>130</v>
      </c>
      <c r="CF1191" s="0" t="s">
        <v>130</v>
      </c>
      <c r="CG1191" s="0" t="s">
        <v>130</v>
      </c>
      <c r="CH1191" s="0" t="s">
        <v>130</v>
      </c>
      <c r="CI1191" s="0" t="s">
        <v>130</v>
      </c>
      <c r="CJ1191" s="0" t="s">
        <v>130</v>
      </c>
      <c r="CK1191" s="0" t="s">
        <v>130</v>
      </c>
      <c r="CL1191" s="0" t="s">
        <v>130</v>
      </c>
      <c r="CM1191" s="0" t="s">
        <v>130</v>
      </c>
      <c r="CN1191" s="0" t="s">
        <v>130</v>
      </c>
      <c r="CO1191" s="0" t="s">
        <v>130</v>
      </c>
      <c r="CP1191" s="0" t="s">
        <v>130</v>
      </c>
      <c r="CQ1191" s="0" t="s">
        <v>130</v>
      </c>
      <c r="CR1191" s="0" t="s">
        <v>130</v>
      </c>
      <c r="CS1191" s="0" t="s">
        <v>130</v>
      </c>
      <c r="CT1191" s="0" t="s">
        <v>3531</v>
      </c>
    </row>
    <row r="1192">
      <c r="A1192" s="14">
        <v>239787</v>
      </c>
      <c r="B1192" s="0" t="s">
        <v>3523</v>
      </c>
      <c r="C1192" s="16">
        <f>HYPERLINK("https://eosportal.federatedhermes.com/companies/Q29tcGFueQppODU4NzI=", "Eurofins Scientific SE")</f>
      </c>
      <c r="D1192" s="0" t="s">
        <v>25</v>
      </c>
      <c r="E1192" s="0" t="s">
        <v>317</v>
      </c>
      <c r="F1192" s="16">
        <f>HYPERLINK("https://eosportal.federatedhermes.com/engagements/RW5nYWdlbWVudAppMjU4NjA=", "Remuneration policy")</f>
      </c>
      <c r="G1192" s="14" t="s">
        <v>3532</v>
      </c>
      <c r="H1192" s="0" t="s">
        <v>130</v>
      </c>
      <c r="I1192" s="14" t="s">
        <v>131</v>
      </c>
      <c r="J1192" s="0" t="s">
        <v>145</v>
      </c>
      <c r="K1192" s="0" t="s">
        <v>146</v>
      </c>
      <c r="L1192" s="0" t="s">
        <v>147</v>
      </c>
      <c r="M1192" s="0" t="s">
        <v>378</v>
      </c>
      <c r="N1192" s="0" t="s">
        <v>3435</v>
      </c>
      <c r="O1192" s="0" t="s">
        <v>274</v>
      </c>
      <c r="Q1192" s="0" t="s">
        <v>141</v>
      </c>
      <c r="R1192" s="0" t="s">
        <v>138</v>
      </c>
      <c r="S1192" s="14">
        <v>1</v>
      </c>
      <c r="T1192" s="0" t="s">
        <v>355</v>
      </c>
      <c r="U1192" s="0" t="s">
        <v>138</v>
      </c>
      <c r="V1192" s="14" t="s">
        <v>138</v>
      </c>
      <c r="W1192" s="0" t="s">
        <v>138</v>
      </c>
      <c r="X1192" s="14" t="s">
        <v>138</v>
      </c>
      <c r="Y1192" s="0" t="s">
        <v>138</v>
      </c>
      <c r="Z1192" s="14" t="s">
        <v>138</v>
      </c>
      <c r="AA1192" s="0" t="s">
        <v>138</v>
      </c>
      <c r="AB1192" s="14" t="s">
        <v>138</v>
      </c>
      <c r="AD1192" s="0" t="s">
        <v>138</v>
      </c>
      <c r="AF1192" s="0">
        <v>0</v>
      </c>
      <c r="AG1192" s="0">
        <v>0</v>
      </c>
      <c r="AH1192" s="0" t="s">
        <v>140</v>
      </c>
      <c r="AI1192" s="0" t="s">
        <v>138</v>
      </c>
      <c r="AK1192" s="0" t="s">
        <v>2019</v>
      </c>
      <c r="AL1192" s="14"/>
      <c r="AN1192" s="14"/>
      <c r="AQ1192" s="0" t="s">
        <v>130</v>
      </c>
      <c r="AR1192" s="0" t="s">
        <v>130</v>
      </c>
      <c r="AS1192" s="0" t="s">
        <v>130</v>
      </c>
      <c r="AT1192" s="0" t="s">
        <v>130</v>
      </c>
      <c r="AU1192" s="0" t="s">
        <v>130</v>
      </c>
      <c r="AV1192" s="0" t="s">
        <v>130</v>
      </c>
      <c r="AW1192" s="0" t="s">
        <v>130</v>
      </c>
      <c r="AX1192" s="0" t="s">
        <v>130</v>
      </c>
      <c r="AY1192" s="0" t="s">
        <v>130</v>
      </c>
      <c r="AZ1192" s="0" t="s">
        <v>130</v>
      </c>
      <c r="BA1192" s="0" t="s">
        <v>130</v>
      </c>
      <c r="BB1192" s="0" t="s">
        <v>130</v>
      </c>
      <c r="BC1192" s="0" t="s">
        <v>130</v>
      </c>
      <c r="BD1192" s="0" t="s">
        <v>130</v>
      </c>
      <c r="BE1192" s="0" t="s">
        <v>130</v>
      </c>
      <c r="BF1192" s="0" t="s">
        <v>130</v>
      </c>
      <c r="BG1192" s="0" t="s">
        <v>130</v>
      </c>
      <c r="BH1192" s="0" t="s">
        <v>130</v>
      </c>
      <c r="BI1192" s="0" t="s">
        <v>130</v>
      </c>
      <c r="BJ1192" s="0" t="s">
        <v>130</v>
      </c>
      <c r="BK1192" s="0" t="s">
        <v>130</v>
      </c>
      <c r="BL1192" s="0" t="s">
        <v>130</v>
      </c>
      <c r="BM1192" s="0" t="s">
        <v>130</v>
      </c>
      <c r="BN1192" s="0" t="s">
        <v>130</v>
      </c>
      <c r="BO1192" s="0" t="s">
        <v>130</v>
      </c>
      <c r="BP1192" s="0" t="s">
        <v>130</v>
      </c>
      <c r="BQ1192" s="0" t="s">
        <v>130</v>
      </c>
      <c r="BR1192" s="0" t="s">
        <v>130</v>
      </c>
      <c r="BS1192" s="0" t="s">
        <v>130</v>
      </c>
      <c r="BT1192" s="0" t="s">
        <v>130</v>
      </c>
      <c r="BU1192" s="0" t="s">
        <v>130</v>
      </c>
      <c r="BV1192" s="0" t="s">
        <v>130</v>
      </c>
      <c r="BW1192" s="0" t="s">
        <v>130</v>
      </c>
      <c r="BX1192" s="0" t="s">
        <v>130</v>
      </c>
      <c r="BY1192" s="0" t="s">
        <v>130</v>
      </c>
      <c r="BZ1192" s="0" t="s">
        <v>130</v>
      </c>
      <c r="CA1192" s="0" t="s">
        <v>130</v>
      </c>
      <c r="CB1192" s="0" t="s">
        <v>130</v>
      </c>
      <c r="CC1192" s="0" t="s">
        <v>130</v>
      </c>
      <c r="CD1192" s="0" t="s">
        <v>130</v>
      </c>
      <c r="CE1192" s="0" t="s">
        <v>130</v>
      </c>
      <c r="CF1192" s="0" t="s">
        <v>130</v>
      </c>
      <c r="CG1192" s="0" t="s">
        <v>130</v>
      </c>
      <c r="CH1192" s="0" t="s">
        <v>130</v>
      </c>
      <c r="CI1192" s="0" t="s">
        <v>130</v>
      </c>
      <c r="CJ1192" s="0" t="s">
        <v>130</v>
      </c>
      <c r="CK1192" s="0" t="s">
        <v>130</v>
      </c>
      <c r="CL1192" s="0" t="s">
        <v>130</v>
      </c>
      <c r="CM1192" s="0" t="s">
        <v>130</v>
      </c>
      <c r="CN1192" s="0" t="s">
        <v>130</v>
      </c>
      <c r="CO1192" s="0" t="s">
        <v>130</v>
      </c>
      <c r="CP1192" s="0" t="s">
        <v>130</v>
      </c>
      <c r="CQ1192" s="0" t="s">
        <v>130</v>
      </c>
      <c r="CR1192" s="0" t="s">
        <v>130</v>
      </c>
      <c r="CS1192" s="0" t="s">
        <v>130</v>
      </c>
      <c r="CT1192" s="0" t="s">
        <v>3533</v>
      </c>
    </row>
    <row r="1193">
      <c r="A1193" s="14">
        <v>239787</v>
      </c>
      <c r="B1193" s="0" t="s">
        <v>3523</v>
      </c>
      <c r="C1193" s="16">
        <f>HYPERLINK("https://eosportal.federatedhermes.com/companies/Q29tcGFueQppODU4NzI=", "Eurofins Scientific SE")</f>
      </c>
      <c r="D1193" s="0" t="s">
        <v>25</v>
      </c>
      <c r="E1193" s="0" t="s">
        <v>3534</v>
      </c>
      <c r="F1193" s="16">
        <f>HYPERLINK("https://eosportal.federatedhermes.com/engagements/RW5nYWdlbWVudAppMjU4NjE=", "Strengthening Audit and Risk Oversight")</f>
      </c>
      <c r="G1193" s="14" t="s">
        <v>3535</v>
      </c>
      <c r="H1193" s="0" t="s">
        <v>130</v>
      </c>
      <c r="I1193" s="14" t="s">
        <v>131</v>
      </c>
      <c r="J1193" s="0" t="s">
        <v>132</v>
      </c>
      <c r="K1193" s="0" t="s">
        <v>170</v>
      </c>
      <c r="L1193" s="0" t="s">
        <v>310</v>
      </c>
      <c r="M1193" s="0" t="s">
        <v>378</v>
      </c>
      <c r="N1193" s="0" t="s">
        <v>3435</v>
      </c>
      <c r="O1193" s="0" t="s">
        <v>274</v>
      </c>
      <c r="Q1193" s="0" t="s">
        <v>141</v>
      </c>
      <c r="R1193" s="0" t="s">
        <v>138</v>
      </c>
      <c r="S1193" s="14">
        <v>1</v>
      </c>
      <c r="T1193" s="0" t="s">
        <v>193</v>
      </c>
      <c r="U1193" s="0" t="s">
        <v>138</v>
      </c>
      <c r="V1193" s="14" t="s">
        <v>138</v>
      </c>
      <c r="W1193" s="0" t="s">
        <v>138</v>
      </c>
      <c r="X1193" s="14" t="s">
        <v>138</v>
      </c>
      <c r="Y1193" s="0" t="s">
        <v>138</v>
      </c>
      <c r="Z1193" s="14" t="s">
        <v>138</v>
      </c>
      <c r="AA1193" s="0" t="s">
        <v>138</v>
      </c>
      <c r="AB1193" s="14" t="s">
        <v>138</v>
      </c>
      <c r="AD1193" s="0" t="s">
        <v>138</v>
      </c>
      <c r="AF1193" s="0">
        <v>0</v>
      </c>
      <c r="AG1193" s="0">
        <v>0</v>
      </c>
      <c r="AH1193" s="0" t="s">
        <v>140</v>
      </c>
      <c r="AI1193" s="0" t="s">
        <v>138</v>
      </c>
      <c r="AK1193" s="0" t="s">
        <v>2019</v>
      </c>
      <c r="AL1193" s="14"/>
      <c r="AN1193" s="14"/>
      <c r="AQ1193" s="0" t="s">
        <v>130</v>
      </c>
      <c r="AR1193" s="0" t="s">
        <v>130</v>
      </c>
      <c r="AS1193" s="0" t="s">
        <v>130</v>
      </c>
      <c r="AT1193" s="0" t="s">
        <v>130</v>
      </c>
      <c r="AU1193" s="0" t="s">
        <v>130</v>
      </c>
      <c r="AV1193" s="0" t="s">
        <v>130</v>
      </c>
      <c r="AW1193" s="0" t="s">
        <v>130</v>
      </c>
      <c r="AX1193" s="0" t="s">
        <v>130</v>
      </c>
      <c r="AY1193" s="0" t="s">
        <v>130</v>
      </c>
      <c r="AZ1193" s="0" t="s">
        <v>130</v>
      </c>
      <c r="BA1193" s="0" t="s">
        <v>130</v>
      </c>
      <c r="BB1193" s="0" t="s">
        <v>130</v>
      </c>
      <c r="BC1193" s="0" t="s">
        <v>130</v>
      </c>
      <c r="BD1193" s="0" t="s">
        <v>130</v>
      </c>
      <c r="BE1193" s="0" t="s">
        <v>130</v>
      </c>
      <c r="BF1193" s="0" t="s">
        <v>130</v>
      </c>
      <c r="BG1193" s="0" t="s">
        <v>130</v>
      </c>
      <c r="BH1193" s="0" t="s">
        <v>130</v>
      </c>
      <c r="BI1193" s="0" t="s">
        <v>130</v>
      </c>
      <c r="BJ1193" s="0" t="s">
        <v>130</v>
      </c>
      <c r="BK1193" s="0" t="s">
        <v>130</v>
      </c>
      <c r="BL1193" s="0" t="s">
        <v>130</v>
      </c>
      <c r="BM1193" s="0" t="s">
        <v>130</v>
      </c>
      <c r="BN1193" s="0" t="s">
        <v>130</v>
      </c>
      <c r="BO1193" s="0" t="s">
        <v>130</v>
      </c>
      <c r="BP1193" s="0" t="s">
        <v>130</v>
      </c>
      <c r="BQ1193" s="0" t="s">
        <v>130</v>
      </c>
      <c r="BR1193" s="0" t="s">
        <v>130</v>
      </c>
      <c r="BS1193" s="0" t="s">
        <v>130</v>
      </c>
      <c r="BT1193" s="0" t="s">
        <v>130</v>
      </c>
      <c r="BU1193" s="0" t="s">
        <v>130</v>
      </c>
      <c r="BV1193" s="0" t="s">
        <v>130</v>
      </c>
      <c r="BW1193" s="0" t="s">
        <v>130</v>
      </c>
      <c r="BX1193" s="0" t="s">
        <v>130</v>
      </c>
      <c r="BY1193" s="0" t="s">
        <v>130</v>
      </c>
      <c r="BZ1193" s="0" t="s">
        <v>130</v>
      </c>
      <c r="CA1193" s="0" t="s">
        <v>130</v>
      </c>
      <c r="CB1193" s="0" t="s">
        <v>130</v>
      </c>
      <c r="CC1193" s="0" t="s">
        <v>130</v>
      </c>
      <c r="CD1193" s="0" t="s">
        <v>130</v>
      </c>
      <c r="CE1193" s="0" t="s">
        <v>130</v>
      </c>
      <c r="CF1193" s="0" t="s">
        <v>130</v>
      </c>
      <c r="CG1193" s="0" t="s">
        <v>130</v>
      </c>
      <c r="CH1193" s="0" t="s">
        <v>130</v>
      </c>
      <c r="CI1193" s="0" t="s">
        <v>130</v>
      </c>
      <c r="CJ1193" s="0" t="s">
        <v>130</v>
      </c>
      <c r="CK1193" s="0" t="s">
        <v>130</v>
      </c>
      <c r="CL1193" s="0" t="s">
        <v>130</v>
      </c>
      <c r="CM1193" s="0" t="s">
        <v>130</v>
      </c>
      <c r="CN1193" s="0" t="s">
        <v>130</v>
      </c>
      <c r="CO1193" s="0" t="s">
        <v>130</v>
      </c>
      <c r="CP1193" s="0" t="s">
        <v>130</v>
      </c>
      <c r="CQ1193" s="0" t="s">
        <v>130</v>
      </c>
      <c r="CR1193" s="0" t="s">
        <v>130</v>
      </c>
      <c r="CS1193" s="0" t="s">
        <v>130</v>
      </c>
      <c r="CT1193" s="0" t="s">
        <v>3536</v>
      </c>
    </row>
    <row r="1194">
      <c r="A1194" s="14">
        <v>302488</v>
      </c>
      <c r="B1194" s="0" t="s">
        <v>3537</v>
      </c>
      <c r="C1194" s="16">
        <f>HYPERLINK("https://eosportal.federatedhermes.com/companies/Q29tcGFueQppNzg3NDE=", "Prologis Inc")</f>
      </c>
      <c r="D1194" s="0" t="s">
        <v>25</v>
      </c>
      <c r="E1194" s="0" t="s">
        <v>3538</v>
      </c>
      <c r="F1194" s="16">
        <f>HYPERLINK("https://eosportal.federatedhermes.com/engagements/RW5nYWdlbWVudAppMjU5MDE=", "CEO pay")</f>
      </c>
      <c r="G1194" s="14" t="s">
        <v>3539</v>
      </c>
      <c r="H1194" s="0" t="s">
        <v>141</v>
      </c>
      <c r="I1194" s="14" t="s">
        <v>131</v>
      </c>
      <c r="J1194" s="0" t="s">
        <v>145</v>
      </c>
      <c r="K1194" s="0" t="s">
        <v>146</v>
      </c>
      <c r="L1194" s="0" t="s">
        <v>500</v>
      </c>
      <c r="M1194" s="0" t="s">
        <v>135</v>
      </c>
      <c r="N1194" s="0" t="s">
        <v>136</v>
      </c>
      <c r="O1194" s="0" t="s">
        <v>238</v>
      </c>
      <c r="Q1194" s="0" t="s">
        <v>130</v>
      </c>
      <c r="R1194" s="0" t="s">
        <v>138</v>
      </c>
      <c r="S1194" s="14">
        <v>0</v>
      </c>
      <c r="T1194" s="0" t="s">
        <v>148</v>
      </c>
      <c r="U1194" s="0" t="s">
        <v>138</v>
      </c>
      <c r="V1194" s="14" t="s">
        <v>138</v>
      </c>
      <c r="W1194" s="0" t="s">
        <v>138</v>
      </c>
      <c r="X1194" s="14" t="s">
        <v>138</v>
      </c>
      <c r="Y1194" s="0" t="s">
        <v>138</v>
      </c>
      <c r="Z1194" s="14" t="s">
        <v>138</v>
      </c>
      <c r="AA1194" s="0" t="s">
        <v>138</v>
      </c>
      <c r="AB1194" s="14" t="s">
        <v>138</v>
      </c>
      <c r="AD1194" s="0" t="s">
        <v>138</v>
      </c>
      <c r="AF1194" s="0">
        <v>0</v>
      </c>
      <c r="AG1194" s="0">
        <v>0</v>
      </c>
      <c r="AH1194" s="0" t="s">
        <v>140</v>
      </c>
      <c r="AI1194" s="0" t="s">
        <v>138</v>
      </c>
      <c r="AL1194" s="14"/>
      <c r="AN1194" s="14"/>
      <c r="AQ1194" s="0" t="s">
        <v>130</v>
      </c>
      <c r="AR1194" s="0" t="s">
        <v>130</v>
      </c>
      <c r="AS1194" s="0" t="s">
        <v>130</v>
      </c>
      <c r="AT1194" s="0" t="s">
        <v>130</v>
      </c>
      <c r="AU1194" s="0" t="s">
        <v>130</v>
      </c>
      <c r="AV1194" s="0" t="s">
        <v>130</v>
      </c>
      <c r="AW1194" s="0" t="s">
        <v>130</v>
      </c>
      <c r="AX1194" s="0" t="s">
        <v>130</v>
      </c>
      <c r="AY1194" s="0" t="s">
        <v>130</v>
      </c>
      <c r="AZ1194" s="0" t="s">
        <v>130</v>
      </c>
      <c r="BA1194" s="0" t="s">
        <v>130</v>
      </c>
      <c r="BB1194" s="0" t="s">
        <v>130</v>
      </c>
      <c r="BC1194" s="0" t="s">
        <v>130</v>
      </c>
      <c r="BD1194" s="0" t="s">
        <v>130</v>
      </c>
      <c r="BE1194" s="0" t="s">
        <v>130</v>
      </c>
      <c r="BF1194" s="0" t="s">
        <v>130</v>
      </c>
      <c r="BG1194" s="0" t="s">
        <v>130</v>
      </c>
      <c r="BH1194" s="0" t="s">
        <v>130</v>
      </c>
      <c r="BI1194" s="0" t="s">
        <v>130</v>
      </c>
      <c r="BJ1194" s="0" t="s">
        <v>130</v>
      </c>
      <c r="BK1194" s="0" t="s">
        <v>130</v>
      </c>
      <c r="BL1194" s="0" t="s">
        <v>130</v>
      </c>
      <c r="BM1194" s="0" t="s">
        <v>130</v>
      </c>
      <c r="BN1194" s="0" t="s">
        <v>130</v>
      </c>
      <c r="BO1194" s="0" t="s">
        <v>130</v>
      </c>
      <c r="BP1194" s="0" t="s">
        <v>130</v>
      </c>
      <c r="BQ1194" s="0" t="s">
        <v>130</v>
      </c>
      <c r="BR1194" s="0" t="s">
        <v>130</v>
      </c>
      <c r="BS1194" s="0" t="s">
        <v>130</v>
      </c>
      <c r="BT1194" s="0" t="s">
        <v>130</v>
      </c>
      <c r="BU1194" s="0" t="s">
        <v>130</v>
      </c>
      <c r="BV1194" s="0" t="s">
        <v>130</v>
      </c>
      <c r="BW1194" s="0" t="s">
        <v>130</v>
      </c>
      <c r="BX1194" s="0" t="s">
        <v>130</v>
      </c>
      <c r="BY1194" s="0" t="s">
        <v>130</v>
      </c>
      <c r="BZ1194" s="0" t="s">
        <v>130</v>
      </c>
      <c r="CA1194" s="0" t="s">
        <v>130</v>
      </c>
      <c r="CB1194" s="0" t="s">
        <v>130</v>
      </c>
      <c r="CC1194" s="0" t="s">
        <v>130</v>
      </c>
      <c r="CD1194" s="0" t="s">
        <v>130</v>
      </c>
      <c r="CE1194" s="0" t="s">
        <v>130</v>
      </c>
      <c r="CF1194" s="0" t="s">
        <v>130</v>
      </c>
      <c r="CG1194" s="0" t="s">
        <v>130</v>
      </c>
      <c r="CH1194" s="0" t="s">
        <v>130</v>
      </c>
      <c r="CI1194" s="0" t="s">
        <v>130</v>
      </c>
      <c r="CJ1194" s="0" t="s">
        <v>130</v>
      </c>
      <c r="CK1194" s="0" t="s">
        <v>130</v>
      </c>
      <c r="CL1194" s="0" t="s">
        <v>130</v>
      </c>
      <c r="CM1194" s="0" t="s">
        <v>130</v>
      </c>
      <c r="CN1194" s="0" t="s">
        <v>130</v>
      </c>
      <c r="CO1194" s="0" t="s">
        <v>130</v>
      </c>
      <c r="CP1194" s="0" t="s">
        <v>130</v>
      </c>
      <c r="CQ1194" s="0" t="s">
        <v>130</v>
      </c>
      <c r="CR1194" s="0" t="s">
        <v>130</v>
      </c>
      <c r="CS1194" s="0" t="s">
        <v>130</v>
      </c>
      <c r="CT1194" s="0" t="s">
        <v>3540</v>
      </c>
    </row>
    <row r="1195">
      <c r="A1195" s="14">
        <v>304149</v>
      </c>
      <c r="B1195" s="0" t="s">
        <v>3541</v>
      </c>
      <c r="C1195" s="16">
        <f>HYPERLINK("https://eosportal.federatedhermes.com/companies/Q29tcGFueQppNzc5MjM=", "ICICI Bank Ltd")</f>
      </c>
      <c r="D1195" s="0" t="s">
        <v>25</v>
      </c>
      <c r="E1195" s="0" t="s">
        <v>3542</v>
      </c>
      <c r="F1195" s="16">
        <f>HYPERLINK("https://eosportal.federatedhermes.com/engagements/RW5nYWdlbWVudAppMjU5MTY=", "Disclosure on corporate governance practices")</f>
      </c>
      <c r="G1195" s="14" t="s">
        <v>3543</v>
      </c>
      <c r="H1195" s="0" t="s">
        <v>141</v>
      </c>
      <c r="I1195" s="14" t="s">
        <v>131</v>
      </c>
      <c r="J1195" s="0" t="s">
        <v>145</v>
      </c>
      <c r="K1195" s="0" t="s">
        <v>400</v>
      </c>
      <c r="L1195" s="0" t="s">
        <v>507</v>
      </c>
      <c r="M1195" s="0" t="s">
        <v>2807</v>
      </c>
      <c r="N1195" s="0" t="s">
        <v>2969</v>
      </c>
      <c r="O1195" s="0" t="s">
        <v>238</v>
      </c>
      <c r="Q1195" s="0" t="s">
        <v>130</v>
      </c>
      <c r="R1195" s="0" t="s">
        <v>138</v>
      </c>
      <c r="S1195" s="14">
        <v>0</v>
      </c>
      <c r="T1195" s="0" t="s">
        <v>487</v>
      </c>
      <c r="U1195" s="0" t="s">
        <v>138</v>
      </c>
      <c r="V1195" s="14" t="s">
        <v>138</v>
      </c>
      <c r="W1195" s="0" t="s">
        <v>138</v>
      </c>
      <c r="X1195" s="14" t="s">
        <v>138</v>
      </c>
      <c r="Y1195" s="0" t="s">
        <v>138</v>
      </c>
      <c r="Z1195" s="14" t="s">
        <v>138</v>
      </c>
      <c r="AA1195" s="0" t="s">
        <v>138</v>
      </c>
      <c r="AB1195" s="14" t="s">
        <v>138</v>
      </c>
      <c r="AD1195" s="0" t="s">
        <v>138</v>
      </c>
      <c r="AF1195" s="0">
        <v>0</v>
      </c>
      <c r="AG1195" s="0">
        <v>0</v>
      </c>
      <c r="AH1195" s="0" t="s">
        <v>140</v>
      </c>
      <c r="AI1195" s="0" t="s">
        <v>138</v>
      </c>
      <c r="AL1195" s="14"/>
      <c r="AN1195" s="14"/>
      <c r="AQ1195" s="0" t="s">
        <v>130</v>
      </c>
      <c r="AR1195" s="0" t="s">
        <v>130</v>
      </c>
      <c r="AS1195" s="0" t="s">
        <v>130</v>
      </c>
      <c r="AT1195" s="0" t="s">
        <v>130</v>
      </c>
      <c r="AU1195" s="0" t="s">
        <v>130</v>
      </c>
      <c r="AV1195" s="0" t="s">
        <v>130</v>
      </c>
      <c r="AW1195" s="0" t="s">
        <v>130</v>
      </c>
      <c r="AX1195" s="0" t="s">
        <v>130</v>
      </c>
      <c r="AY1195" s="0" t="s">
        <v>130</v>
      </c>
      <c r="AZ1195" s="0" t="s">
        <v>130</v>
      </c>
      <c r="BA1195" s="0" t="s">
        <v>130</v>
      </c>
      <c r="BB1195" s="0" t="s">
        <v>130</v>
      </c>
      <c r="BC1195" s="0" t="s">
        <v>130</v>
      </c>
      <c r="BD1195" s="0" t="s">
        <v>130</v>
      </c>
      <c r="BE1195" s="0" t="s">
        <v>130</v>
      </c>
      <c r="BF1195" s="0" t="s">
        <v>130</v>
      </c>
      <c r="BG1195" s="0" t="s">
        <v>130</v>
      </c>
      <c r="BH1195" s="0" t="s">
        <v>130</v>
      </c>
      <c r="BI1195" s="0" t="s">
        <v>130</v>
      </c>
      <c r="BJ1195" s="0" t="s">
        <v>130</v>
      </c>
      <c r="BK1195" s="0" t="s">
        <v>130</v>
      </c>
      <c r="BL1195" s="0" t="s">
        <v>130</v>
      </c>
      <c r="BM1195" s="0" t="s">
        <v>130</v>
      </c>
      <c r="BN1195" s="0" t="s">
        <v>130</v>
      </c>
      <c r="BO1195" s="0" t="s">
        <v>130</v>
      </c>
      <c r="BP1195" s="0" t="s">
        <v>130</v>
      </c>
      <c r="BQ1195" s="0" t="s">
        <v>130</v>
      </c>
      <c r="BR1195" s="0" t="s">
        <v>130</v>
      </c>
      <c r="BS1195" s="0" t="s">
        <v>130</v>
      </c>
      <c r="BT1195" s="0" t="s">
        <v>130</v>
      </c>
      <c r="BU1195" s="0" t="s">
        <v>130</v>
      </c>
      <c r="BV1195" s="0" t="s">
        <v>130</v>
      </c>
      <c r="BW1195" s="0" t="s">
        <v>130</v>
      </c>
      <c r="BX1195" s="0" t="s">
        <v>130</v>
      </c>
      <c r="BY1195" s="0" t="s">
        <v>130</v>
      </c>
      <c r="BZ1195" s="0" t="s">
        <v>130</v>
      </c>
      <c r="CA1195" s="0" t="s">
        <v>130</v>
      </c>
      <c r="CB1195" s="0" t="s">
        <v>130</v>
      </c>
      <c r="CC1195" s="0" t="s">
        <v>130</v>
      </c>
      <c r="CD1195" s="0" t="s">
        <v>130</v>
      </c>
      <c r="CE1195" s="0" t="s">
        <v>130</v>
      </c>
      <c r="CF1195" s="0" t="s">
        <v>130</v>
      </c>
      <c r="CG1195" s="0" t="s">
        <v>130</v>
      </c>
      <c r="CH1195" s="0" t="s">
        <v>130</v>
      </c>
      <c r="CI1195" s="0" t="s">
        <v>130</v>
      </c>
      <c r="CJ1195" s="0" t="s">
        <v>130</v>
      </c>
      <c r="CK1195" s="0" t="s">
        <v>130</v>
      </c>
      <c r="CL1195" s="0" t="s">
        <v>130</v>
      </c>
      <c r="CM1195" s="0" t="s">
        <v>130</v>
      </c>
      <c r="CN1195" s="0" t="s">
        <v>130</v>
      </c>
      <c r="CO1195" s="0" t="s">
        <v>130</v>
      </c>
      <c r="CP1195" s="0" t="s">
        <v>130</v>
      </c>
      <c r="CQ1195" s="0" t="s">
        <v>130</v>
      </c>
      <c r="CR1195" s="0" t="s">
        <v>130</v>
      </c>
      <c r="CS1195" s="0" t="s">
        <v>130</v>
      </c>
      <c r="CT1195" s="0" t="s">
        <v>3544</v>
      </c>
    </row>
    <row r="1196">
      <c r="A1196" s="14">
        <v>304214</v>
      </c>
      <c r="B1196" s="0" t="s">
        <v>3545</v>
      </c>
      <c r="C1196" s="16">
        <f>HYPERLINK("https://eosportal.federatedhermes.com/companies/Q29tcGFueQppODU4Nzc=", "Anhui Conch Cement Co Ltd")</f>
      </c>
      <c r="D1196" s="0" t="s">
        <v>25</v>
      </c>
      <c r="E1196" s="0" t="s">
        <v>729</v>
      </c>
      <c r="F1196" s="16">
        <f>HYPERLINK("https://eosportal.federatedhermes.com/engagements/RW5nYWdlbWVudAppMjU5MzE=", "Board diversity")</f>
      </c>
      <c r="G1196" s="14" t="s">
        <v>3546</v>
      </c>
      <c r="H1196" s="0" t="s">
        <v>141</v>
      </c>
      <c r="I1196" s="14" t="s">
        <v>131</v>
      </c>
      <c r="J1196" s="0" t="s">
        <v>145</v>
      </c>
      <c r="K1196" s="0" t="s">
        <v>164</v>
      </c>
      <c r="L1196" s="0" t="s">
        <v>165</v>
      </c>
      <c r="M1196" s="0" t="s">
        <v>2807</v>
      </c>
      <c r="N1196" s="0" t="s">
        <v>3272</v>
      </c>
      <c r="O1196" s="0" t="s">
        <v>373</v>
      </c>
      <c r="Q1196" s="0" t="s">
        <v>130</v>
      </c>
      <c r="R1196" s="0" t="s">
        <v>138</v>
      </c>
      <c r="S1196" s="14">
        <v>0</v>
      </c>
      <c r="T1196" s="0" t="s">
        <v>230</v>
      </c>
      <c r="U1196" s="0" t="s">
        <v>138</v>
      </c>
      <c r="V1196" s="14" t="s">
        <v>138</v>
      </c>
      <c r="W1196" s="0" t="s">
        <v>138</v>
      </c>
      <c r="X1196" s="14" t="s">
        <v>138</v>
      </c>
      <c r="Y1196" s="0" t="s">
        <v>138</v>
      </c>
      <c r="Z1196" s="14" t="s">
        <v>138</v>
      </c>
      <c r="AA1196" s="0" t="s">
        <v>138</v>
      </c>
      <c r="AB1196" s="14" t="s">
        <v>138</v>
      </c>
      <c r="AD1196" s="0" t="s">
        <v>138</v>
      </c>
      <c r="AF1196" s="0">
        <v>0</v>
      </c>
      <c r="AG1196" s="0">
        <v>0</v>
      </c>
      <c r="AH1196" s="0" t="s">
        <v>140</v>
      </c>
      <c r="AI1196" s="0" t="s">
        <v>138</v>
      </c>
      <c r="AL1196" s="14"/>
      <c r="AN1196" s="14"/>
      <c r="AQ1196" s="0" t="s">
        <v>130</v>
      </c>
      <c r="AR1196" s="0" t="s">
        <v>130</v>
      </c>
      <c r="AS1196" s="0" t="s">
        <v>130</v>
      </c>
      <c r="AT1196" s="0" t="s">
        <v>130</v>
      </c>
      <c r="AU1196" s="0" t="s">
        <v>130</v>
      </c>
      <c r="AV1196" s="0" t="s">
        <v>130</v>
      </c>
      <c r="AW1196" s="0" t="s">
        <v>130</v>
      </c>
      <c r="AX1196" s="0" t="s">
        <v>130</v>
      </c>
      <c r="AY1196" s="0" t="s">
        <v>130</v>
      </c>
      <c r="AZ1196" s="0" t="s">
        <v>130</v>
      </c>
      <c r="BA1196" s="0" t="s">
        <v>130</v>
      </c>
      <c r="BB1196" s="0" t="s">
        <v>130</v>
      </c>
      <c r="BC1196" s="0" t="s">
        <v>130</v>
      </c>
      <c r="BD1196" s="0" t="s">
        <v>130</v>
      </c>
      <c r="BE1196" s="0" t="s">
        <v>130</v>
      </c>
      <c r="BF1196" s="0" t="s">
        <v>130</v>
      </c>
      <c r="BG1196" s="0" t="s">
        <v>130</v>
      </c>
      <c r="BH1196" s="0" t="s">
        <v>130</v>
      </c>
      <c r="BI1196" s="0" t="s">
        <v>130</v>
      </c>
      <c r="BJ1196" s="0" t="s">
        <v>130</v>
      </c>
      <c r="BK1196" s="0" t="s">
        <v>130</v>
      </c>
      <c r="BL1196" s="0" t="s">
        <v>130</v>
      </c>
      <c r="BM1196" s="0" t="s">
        <v>130</v>
      </c>
      <c r="BN1196" s="0" t="s">
        <v>130</v>
      </c>
      <c r="BO1196" s="0" t="s">
        <v>130</v>
      </c>
      <c r="BP1196" s="0" t="s">
        <v>130</v>
      </c>
      <c r="BQ1196" s="0" t="s">
        <v>130</v>
      </c>
      <c r="BR1196" s="0" t="s">
        <v>130</v>
      </c>
      <c r="BS1196" s="0" t="s">
        <v>130</v>
      </c>
      <c r="BT1196" s="0" t="s">
        <v>130</v>
      </c>
      <c r="BU1196" s="0" t="s">
        <v>130</v>
      </c>
      <c r="BV1196" s="0" t="s">
        <v>130</v>
      </c>
      <c r="BW1196" s="0" t="s">
        <v>130</v>
      </c>
      <c r="BX1196" s="0" t="s">
        <v>130</v>
      </c>
      <c r="BY1196" s="0" t="s">
        <v>130</v>
      </c>
      <c r="BZ1196" s="0" t="s">
        <v>130</v>
      </c>
      <c r="CA1196" s="0" t="s">
        <v>130</v>
      </c>
      <c r="CB1196" s="0" t="s">
        <v>130</v>
      </c>
      <c r="CC1196" s="0" t="s">
        <v>130</v>
      </c>
      <c r="CD1196" s="0" t="s">
        <v>130</v>
      </c>
      <c r="CE1196" s="0" t="s">
        <v>130</v>
      </c>
      <c r="CF1196" s="0" t="s">
        <v>130</v>
      </c>
      <c r="CG1196" s="0" t="s">
        <v>130</v>
      </c>
      <c r="CH1196" s="0" t="s">
        <v>130</v>
      </c>
      <c r="CI1196" s="0" t="s">
        <v>130</v>
      </c>
      <c r="CJ1196" s="0" t="s">
        <v>130</v>
      </c>
      <c r="CK1196" s="0" t="s">
        <v>130</v>
      </c>
      <c r="CL1196" s="0" t="s">
        <v>130</v>
      </c>
      <c r="CM1196" s="0" t="s">
        <v>130</v>
      </c>
      <c r="CN1196" s="0" t="s">
        <v>130</v>
      </c>
      <c r="CO1196" s="0" t="s">
        <v>130</v>
      </c>
      <c r="CP1196" s="0" t="s">
        <v>130</v>
      </c>
      <c r="CQ1196" s="0" t="s">
        <v>130</v>
      </c>
      <c r="CR1196" s="0" t="s">
        <v>130</v>
      </c>
      <c r="CS1196" s="0" t="s">
        <v>130</v>
      </c>
      <c r="CT1196" s="0" t="s">
        <v>3547</v>
      </c>
    </row>
    <row r="1197">
      <c r="A1197" s="14">
        <v>304214</v>
      </c>
      <c r="B1197" s="0" t="s">
        <v>3545</v>
      </c>
      <c r="C1197" s="16">
        <f>HYPERLINK("https://eosportal.federatedhermes.com/companies/Q29tcGFueQppODU4Nzc=", "Anhui Conch Cement Co Ltd")</f>
      </c>
      <c r="D1197" s="0" t="s">
        <v>25</v>
      </c>
      <c r="E1197" s="0" t="s">
        <v>198</v>
      </c>
      <c r="F1197" s="16">
        <f>HYPERLINK("https://eosportal.federatedhermes.com/engagements/RW5nYWdlbWVudAppMjU5MzI=", "Climate Change")</f>
      </c>
      <c r="G1197" s="14" t="s">
        <v>3548</v>
      </c>
      <c r="H1197" s="0" t="s">
        <v>141</v>
      </c>
      <c r="I1197" s="14" t="s">
        <v>131</v>
      </c>
      <c r="J1197" s="0" t="s">
        <v>197</v>
      </c>
      <c r="K1197" s="0" t="s">
        <v>198</v>
      </c>
      <c r="L1197" s="0" t="s">
        <v>199</v>
      </c>
      <c r="M1197" s="0" t="s">
        <v>2807</v>
      </c>
      <c r="N1197" s="0" t="s">
        <v>3272</v>
      </c>
      <c r="O1197" s="0" t="s">
        <v>373</v>
      </c>
      <c r="Q1197" s="0" t="s">
        <v>141</v>
      </c>
      <c r="R1197" s="0" t="s">
        <v>138</v>
      </c>
      <c r="S1197" s="14">
        <v>1</v>
      </c>
      <c r="T1197" s="0" t="s">
        <v>166</v>
      </c>
      <c r="U1197" s="0" t="s">
        <v>138</v>
      </c>
      <c r="V1197" s="14" t="s">
        <v>138</v>
      </c>
      <c r="W1197" s="0" t="s">
        <v>138</v>
      </c>
      <c r="X1197" s="14" t="s">
        <v>138</v>
      </c>
      <c r="Y1197" s="0" t="s">
        <v>138</v>
      </c>
      <c r="Z1197" s="14" t="s">
        <v>138</v>
      </c>
      <c r="AA1197" s="0" t="s">
        <v>138</v>
      </c>
      <c r="AB1197" s="14" t="s">
        <v>138</v>
      </c>
      <c r="AD1197" s="0" t="s">
        <v>138</v>
      </c>
      <c r="AF1197" s="0">
        <v>0</v>
      </c>
      <c r="AG1197" s="0">
        <v>0</v>
      </c>
      <c r="AH1197" s="0" t="s">
        <v>140</v>
      </c>
      <c r="AI1197" s="0" t="s">
        <v>138</v>
      </c>
      <c r="AK1197" s="0" t="s">
        <v>2795</v>
      </c>
      <c r="AL1197" s="14"/>
      <c r="AN1197" s="14"/>
      <c r="AQ1197" s="0" t="s">
        <v>130</v>
      </c>
      <c r="AR1197" s="0" t="s">
        <v>130</v>
      </c>
      <c r="AS1197" s="0" t="s">
        <v>130</v>
      </c>
      <c r="AT1197" s="0" t="s">
        <v>130</v>
      </c>
      <c r="AU1197" s="0" t="s">
        <v>130</v>
      </c>
      <c r="AV1197" s="0" t="s">
        <v>130</v>
      </c>
      <c r="AW1197" s="0" t="s">
        <v>130</v>
      </c>
      <c r="AX1197" s="0" t="s">
        <v>130</v>
      </c>
      <c r="AY1197" s="0" t="s">
        <v>130</v>
      </c>
      <c r="AZ1197" s="0" t="s">
        <v>130</v>
      </c>
      <c r="BA1197" s="0" t="s">
        <v>130</v>
      </c>
      <c r="BB1197" s="0" t="s">
        <v>141</v>
      </c>
      <c r="BC1197" s="0" t="s">
        <v>130</v>
      </c>
      <c r="BD1197" s="0" t="s">
        <v>130</v>
      </c>
      <c r="BE1197" s="0" t="s">
        <v>130</v>
      </c>
      <c r="BF1197" s="0" t="s">
        <v>130</v>
      </c>
      <c r="BG1197" s="0" t="s">
        <v>130</v>
      </c>
      <c r="BH1197" s="0" t="s">
        <v>130</v>
      </c>
      <c r="BI1197" s="0" t="s">
        <v>130</v>
      </c>
      <c r="BJ1197" s="0" t="s">
        <v>130</v>
      </c>
      <c r="BK1197" s="0" t="s">
        <v>130</v>
      </c>
      <c r="BL1197" s="0" t="s">
        <v>130</v>
      </c>
      <c r="BM1197" s="0" t="s">
        <v>130</v>
      </c>
      <c r="BN1197" s="0" t="s">
        <v>130</v>
      </c>
      <c r="BO1197" s="0" t="s">
        <v>130</v>
      </c>
      <c r="BP1197" s="0" t="s">
        <v>130</v>
      </c>
      <c r="BQ1197" s="0" t="s">
        <v>130</v>
      </c>
      <c r="BR1197" s="0" t="s">
        <v>130</v>
      </c>
      <c r="BS1197" s="0" t="s">
        <v>130</v>
      </c>
      <c r="BT1197" s="0" t="s">
        <v>130</v>
      </c>
      <c r="BU1197" s="0" t="s">
        <v>130</v>
      </c>
      <c r="BV1197" s="0" t="s">
        <v>130</v>
      </c>
      <c r="BW1197" s="0" t="s">
        <v>130</v>
      </c>
      <c r="BX1197" s="0" t="s">
        <v>130</v>
      </c>
      <c r="BY1197" s="0" t="s">
        <v>130</v>
      </c>
      <c r="BZ1197" s="0" t="s">
        <v>130</v>
      </c>
      <c r="CA1197" s="0" t="s">
        <v>130</v>
      </c>
      <c r="CB1197" s="0" t="s">
        <v>130</v>
      </c>
      <c r="CC1197" s="0" t="s">
        <v>130</v>
      </c>
      <c r="CD1197" s="0" t="s">
        <v>130</v>
      </c>
      <c r="CE1197" s="0" t="s">
        <v>130</v>
      </c>
      <c r="CF1197" s="0" t="s">
        <v>130</v>
      </c>
      <c r="CG1197" s="0" t="s">
        <v>130</v>
      </c>
      <c r="CH1197" s="0" t="s">
        <v>130</v>
      </c>
      <c r="CI1197" s="0" t="s">
        <v>130</v>
      </c>
      <c r="CJ1197" s="0" t="s">
        <v>130</v>
      </c>
      <c r="CK1197" s="0" t="s">
        <v>130</v>
      </c>
      <c r="CL1197" s="0" t="s">
        <v>130</v>
      </c>
      <c r="CM1197" s="0" t="s">
        <v>130</v>
      </c>
      <c r="CN1197" s="0" t="s">
        <v>130</v>
      </c>
      <c r="CO1197" s="0" t="s">
        <v>130</v>
      </c>
      <c r="CP1197" s="0" t="s">
        <v>130</v>
      </c>
      <c r="CQ1197" s="0" t="s">
        <v>130</v>
      </c>
      <c r="CR1197" s="0" t="s">
        <v>130</v>
      </c>
      <c r="CS1197" s="0" t="s">
        <v>130</v>
      </c>
      <c r="CT1197" s="0" t="s">
        <v>3549</v>
      </c>
    </row>
    <row r="1198">
      <c r="A1198" s="14">
        <v>304214</v>
      </c>
      <c r="B1198" s="0" t="s">
        <v>3545</v>
      </c>
      <c r="C1198" s="16">
        <f>HYPERLINK("https://eosportal.federatedhermes.com/companies/Q29tcGFueQppODU4Nzc=", "Anhui Conch Cement Co Ltd")</f>
      </c>
      <c r="D1198" s="0" t="s">
        <v>25</v>
      </c>
      <c r="E1198" s="0" t="s">
        <v>729</v>
      </c>
      <c r="F1198" s="16">
        <f>HYPERLINK("https://eosportal.federatedhermes.com/engagements/RW5nYWdlbWVudAppMjU5MzM=", "Board diversity")</f>
      </c>
      <c r="G1198" s="14" t="s">
        <v>3550</v>
      </c>
      <c r="H1198" s="0" t="s">
        <v>141</v>
      </c>
      <c r="I1198" s="14" t="s">
        <v>131</v>
      </c>
      <c r="J1198" s="0" t="s">
        <v>145</v>
      </c>
      <c r="K1198" s="0" t="s">
        <v>164</v>
      </c>
      <c r="L1198" s="0" t="s">
        <v>165</v>
      </c>
      <c r="M1198" s="0" t="s">
        <v>2807</v>
      </c>
      <c r="N1198" s="0" t="s">
        <v>3272</v>
      </c>
      <c r="O1198" s="0" t="s">
        <v>373</v>
      </c>
      <c r="Q1198" s="0" t="s">
        <v>130</v>
      </c>
      <c r="R1198" s="0" t="s">
        <v>138</v>
      </c>
      <c r="S1198" s="14">
        <v>0</v>
      </c>
      <c r="T1198" s="0" t="s">
        <v>230</v>
      </c>
      <c r="U1198" s="0" t="s">
        <v>138</v>
      </c>
      <c r="V1198" s="14" t="s">
        <v>138</v>
      </c>
      <c r="W1198" s="0" t="s">
        <v>138</v>
      </c>
      <c r="X1198" s="14" t="s">
        <v>138</v>
      </c>
      <c r="Y1198" s="0" t="s">
        <v>138</v>
      </c>
      <c r="Z1198" s="14" t="s">
        <v>138</v>
      </c>
      <c r="AA1198" s="0" t="s">
        <v>138</v>
      </c>
      <c r="AB1198" s="14" t="s">
        <v>138</v>
      </c>
      <c r="AD1198" s="0" t="s">
        <v>138</v>
      </c>
      <c r="AF1198" s="0">
        <v>0</v>
      </c>
      <c r="AG1198" s="0">
        <v>0</v>
      </c>
      <c r="AH1198" s="0" t="s">
        <v>140</v>
      </c>
      <c r="AI1198" s="0" t="s">
        <v>138</v>
      </c>
      <c r="AL1198" s="14"/>
      <c r="AN1198" s="14"/>
      <c r="AQ1198" s="0" t="s">
        <v>130</v>
      </c>
      <c r="AR1198" s="0" t="s">
        <v>130</v>
      </c>
      <c r="AS1198" s="0" t="s">
        <v>130</v>
      </c>
      <c r="AT1198" s="0" t="s">
        <v>130</v>
      </c>
      <c r="AU1198" s="0" t="s">
        <v>141</v>
      </c>
      <c r="AV1198" s="0" t="s">
        <v>130</v>
      </c>
      <c r="AW1198" s="0" t="s">
        <v>130</v>
      </c>
      <c r="AX1198" s="0" t="s">
        <v>130</v>
      </c>
      <c r="AY1198" s="0" t="s">
        <v>130</v>
      </c>
      <c r="AZ1198" s="0" t="s">
        <v>130</v>
      </c>
      <c r="BA1198" s="0" t="s">
        <v>130</v>
      </c>
      <c r="BB1198" s="0" t="s">
        <v>130</v>
      </c>
      <c r="BC1198" s="0" t="s">
        <v>130</v>
      </c>
      <c r="BD1198" s="0" t="s">
        <v>130</v>
      </c>
      <c r="BE1198" s="0" t="s">
        <v>130</v>
      </c>
      <c r="BF1198" s="0" t="s">
        <v>130</v>
      </c>
      <c r="BG1198" s="0" t="s">
        <v>130</v>
      </c>
      <c r="BH1198" s="0" t="s">
        <v>130</v>
      </c>
      <c r="BI1198" s="0" t="s">
        <v>130</v>
      </c>
      <c r="BJ1198" s="0" t="s">
        <v>130</v>
      </c>
      <c r="BK1198" s="0" t="s">
        <v>130</v>
      </c>
      <c r="BL1198" s="0" t="s">
        <v>130</v>
      </c>
      <c r="BM1198" s="0" t="s">
        <v>130</v>
      </c>
      <c r="BN1198" s="0" t="s">
        <v>130</v>
      </c>
      <c r="BO1198" s="0" t="s">
        <v>130</v>
      </c>
      <c r="BP1198" s="0" t="s">
        <v>130</v>
      </c>
      <c r="BQ1198" s="0" t="s">
        <v>130</v>
      </c>
      <c r="BR1198" s="0" t="s">
        <v>130</v>
      </c>
      <c r="BS1198" s="0" t="s">
        <v>130</v>
      </c>
      <c r="BT1198" s="0" t="s">
        <v>130</v>
      </c>
      <c r="BU1198" s="0" t="s">
        <v>130</v>
      </c>
      <c r="BV1198" s="0" t="s">
        <v>130</v>
      </c>
      <c r="BW1198" s="0" t="s">
        <v>130</v>
      </c>
      <c r="BX1198" s="0" t="s">
        <v>130</v>
      </c>
      <c r="BY1198" s="0" t="s">
        <v>130</v>
      </c>
      <c r="BZ1198" s="0" t="s">
        <v>130</v>
      </c>
      <c r="CA1198" s="0" t="s">
        <v>130</v>
      </c>
      <c r="CB1198" s="0" t="s">
        <v>130</v>
      </c>
      <c r="CC1198" s="0" t="s">
        <v>130</v>
      </c>
      <c r="CD1198" s="0" t="s">
        <v>130</v>
      </c>
      <c r="CE1198" s="0" t="s">
        <v>130</v>
      </c>
      <c r="CF1198" s="0" t="s">
        <v>130</v>
      </c>
      <c r="CG1198" s="0" t="s">
        <v>130</v>
      </c>
      <c r="CH1198" s="0" t="s">
        <v>130</v>
      </c>
      <c r="CI1198" s="0" t="s">
        <v>130</v>
      </c>
      <c r="CJ1198" s="0" t="s">
        <v>130</v>
      </c>
      <c r="CK1198" s="0" t="s">
        <v>130</v>
      </c>
      <c r="CL1198" s="0" t="s">
        <v>130</v>
      </c>
      <c r="CM1198" s="0" t="s">
        <v>130</v>
      </c>
      <c r="CN1198" s="0" t="s">
        <v>130</v>
      </c>
      <c r="CO1198" s="0" t="s">
        <v>130</v>
      </c>
      <c r="CP1198" s="0" t="s">
        <v>130</v>
      </c>
      <c r="CQ1198" s="0" t="s">
        <v>130</v>
      </c>
      <c r="CR1198" s="0" t="s">
        <v>130</v>
      </c>
      <c r="CS1198" s="0" t="s">
        <v>130</v>
      </c>
      <c r="CT1198" s="0" t="s">
        <v>3551</v>
      </c>
    </row>
    <row r="1199">
      <c r="A1199" s="14">
        <v>304214</v>
      </c>
      <c r="B1199" s="0" t="s">
        <v>3545</v>
      </c>
      <c r="C1199" s="16">
        <f>HYPERLINK("https://eosportal.federatedhermes.com/companies/Q29tcGFueQppODU4Nzc=", "Anhui Conch Cement Co Ltd")</f>
      </c>
      <c r="D1199" s="0" t="s">
        <v>25</v>
      </c>
      <c r="E1199" s="0" t="s">
        <v>3552</v>
      </c>
      <c r="F1199" s="16">
        <f>HYPERLINK("https://eosportal.federatedhermes.com/engagements/RW5nYWdlbWVudAppMjU5MzQ=", "TPI - Climate change risk and opportunity management")</f>
      </c>
      <c r="G1199" s="14" t="s">
        <v>3553</v>
      </c>
      <c r="H1199" s="0" t="s">
        <v>141</v>
      </c>
      <c r="I1199" s="14" t="s">
        <v>131</v>
      </c>
      <c r="J1199" s="0" t="s">
        <v>197</v>
      </c>
      <c r="K1199" s="0" t="s">
        <v>198</v>
      </c>
      <c r="L1199" s="0" t="s">
        <v>199</v>
      </c>
      <c r="M1199" s="0" t="s">
        <v>2807</v>
      </c>
      <c r="N1199" s="0" t="s">
        <v>3272</v>
      </c>
      <c r="O1199" s="0" t="s">
        <v>373</v>
      </c>
      <c r="Q1199" s="0" t="s">
        <v>141</v>
      </c>
      <c r="R1199" s="0" t="s">
        <v>138</v>
      </c>
      <c r="S1199" s="14">
        <v>1</v>
      </c>
      <c r="T1199" s="0" t="s">
        <v>355</v>
      </c>
      <c r="U1199" s="0" t="s">
        <v>138</v>
      </c>
      <c r="V1199" s="14" t="s">
        <v>138</v>
      </c>
      <c r="W1199" s="0" t="s">
        <v>138</v>
      </c>
      <c r="X1199" s="14" t="s">
        <v>138</v>
      </c>
      <c r="Y1199" s="0" t="s">
        <v>138</v>
      </c>
      <c r="Z1199" s="14" t="s">
        <v>138</v>
      </c>
      <c r="AA1199" s="0" t="s">
        <v>138</v>
      </c>
      <c r="AB1199" s="14" t="s">
        <v>138</v>
      </c>
      <c r="AD1199" s="0" t="s">
        <v>138</v>
      </c>
      <c r="AF1199" s="0">
        <v>0</v>
      </c>
      <c r="AG1199" s="0">
        <v>0</v>
      </c>
      <c r="AH1199" s="0" t="s">
        <v>140</v>
      </c>
      <c r="AI1199" s="0" t="s">
        <v>138</v>
      </c>
      <c r="AK1199" s="0" t="s">
        <v>2795</v>
      </c>
      <c r="AL1199" s="14"/>
      <c r="AN1199" s="14"/>
      <c r="AQ1199" s="0" t="s">
        <v>130</v>
      </c>
      <c r="AR1199" s="0" t="s">
        <v>130</v>
      </c>
      <c r="AS1199" s="0" t="s">
        <v>130</v>
      </c>
      <c r="AT1199" s="0" t="s">
        <v>130</v>
      </c>
      <c r="AU1199" s="0" t="s">
        <v>130</v>
      </c>
      <c r="AV1199" s="0" t="s">
        <v>130</v>
      </c>
      <c r="AW1199" s="0" t="s">
        <v>130</v>
      </c>
      <c r="AX1199" s="0" t="s">
        <v>130</v>
      </c>
      <c r="AY1199" s="0" t="s">
        <v>130</v>
      </c>
      <c r="AZ1199" s="0" t="s">
        <v>130</v>
      </c>
      <c r="BA1199" s="0" t="s">
        <v>130</v>
      </c>
      <c r="BB1199" s="0" t="s">
        <v>141</v>
      </c>
      <c r="BC1199" s="0" t="s">
        <v>141</v>
      </c>
      <c r="BD1199" s="0" t="s">
        <v>130</v>
      </c>
      <c r="BE1199" s="0" t="s">
        <v>130</v>
      </c>
      <c r="BF1199" s="0" t="s">
        <v>130</v>
      </c>
      <c r="BG1199" s="0" t="s">
        <v>130</v>
      </c>
      <c r="BH1199" s="0" t="s">
        <v>130</v>
      </c>
      <c r="BI1199" s="0" t="s">
        <v>130</v>
      </c>
      <c r="BJ1199" s="0" t="s">
        <v>130</v>
      </c>
      <c r="BK1199" s="0" t="s">
        <v>130</v>
      </c>
      <c r="BL1199" s="0" t="s">
        <v>130</v>
      </c>
      <c r="BM1199" s="0" t="s">
        <v>130</v>
      </c>
      <c r="BN1199" s="0" t="s">
        <v>130</v>
      </c>
      <c r="BO1199" s="0" t="s">
        <v>130</v>
      </c>
      <c r="BP1199" s="0" t="s">
        <v>130</v>
      </c>
      <c r="BQ1199" s="0" t="s">
        <v>130</v>
      </c>
      <c r="BR1199" s="0" t="s">
        <v>130</v>
      </c>
      <c r="BS1199" s="0" t="s">
        <v>130</v>
      </c>
      <c r="BT1199" s="0" t="s">
        <v>130</v>
      </c>
      <c r="BU1199" s="0" t="s">
        <v>130</v>
      </c>
      <c r="BV1199" s="0" t="s">
        <v>130</v>
      </c>
      <c r="BW1199" s="0" t="s">
        <v>130</v>
      </c>
      <c r="BX1199" s="0" t="s">
        <v>130</v>
      </c>
      <c r="BY1199" s="0" t="s">
        <v>130</v>
      </c>
      <c r="BZ1199" s="0" t="s">
        <v>130</v>
      </c>
      <c r="CA1199" s="0" t="s">
        <v>130</v>
      </c>
      <c r="CB1199" s="0" t="s">
        <v>130</v>
      </c>
      <c r="CC1199" s="0" t="s">
        <v>130</v>
      </c>
      <c r="CD1199" s="0" t="s">
        <v>130</v>
      </c>
      <c r="CE1199" s="0" t="s">
        <v>130</v>
      </c>
      <c r="CF1199" s="0" t="s">
        <v>130</v>
      </c>
      <c r="CG1199" s="0" t="s">
        <v>130</v>
      </c>
      <c r="CH1199" s="0" t="s">
        <v>130</v>
      </c>
      <c r="CI1199" s="0" t="s">
        <v>130</v>
      </c>
      <c r="CJ1199" s="0" t="s">
        <v>130</v>
      </c>
      <c r="CK1199" s="0" t="s">
        <v>130</v>
      </c>
      <c r="CL1199" s="0" t="s">
        <v>130</v>
      </c>
      <c r="CM1199" s="0" t="s">
        <v>130</v>
      </c>
      <c r="CN1199" s="0" t="s">
        <v>130</v>
      </c>
      <c r="CO1199" s="0" t="s">
        <v>130</v>
      </c>
      <c r="CP1199" s="0" t="s">
        <v>130</v>
      </c>
      <c r="CQ1199" s="0" t="s">
        <v>130</v>
      </c>
      <c r="CR1199" s="0" t="s">
        <v>130</v>
      </c>
      <c r="CS1199" s="0" t="s">
        <v>130</v>
      </c>
      <c r="CT1199" s="0" t="s">
        <v>3554</v>
      </c>
    </row>
    <row r="1200">
      <c r="A1200" s="14">
        <v>304214</v>
      </c>
      <c r="B1200" s="0" t="s">
        <v>3545</v>
      </c>
      <c r="C1200" s="16">
        <f>HYPERLINK("https://eosportal.federatedhermes.com/companies/Q29tcGFueQppODU4Nzc=", "Anhui Conch Cement Co Ltd")</f>
      </c>
      <c r="D1200" s="0" t="s">
        <v>25</v>
      </c>
      <c r="E1200" s="0" t="s">
        <v>3555</v>
      </c>
      <c r="F1200" s="16">
        <f>HYPERLINK("https://eosportal.federatedhermes.com/engagements/RW5nYWdlbWVudAppMjU5MzU=", "No self-imposed limit on general issuance of equity without pre-emptive rights")</f>
      </c>
      <c r="G1200" s="14" t="s">
        <v>3556</v>
      </c>
      <c r="H1200" s="0" t="s">
        <v>141</v>
      </c>
      <c r="I1200" s="14" t="s">
        <v>131</v>
      </c>
      <c r="J1200" s="0" t="s">
        <v>145</v>
      </c>
      <c r="K1200" s="0" t="s">
        <v>400</v>
      </c>
      <c r="L1200" s="0" t="s">
        <v>401</v>
      </c>
      <c r="M1200" s="0" t="s">
        <v>2807</v>
      </c>
      <c r="N1200" s="0" t="s">
        <v>3272</v>
      </c>
      <c r="O1200" s="0" t="s">
        <v>373</v>
      </c>
      <c r="Q1200" s="0" t="s">
        <v>130</v>
      </c>
      <c r="R1200" s="0" t="s">
        <v>138</v>
      </c>
      <c r="S1200" s="14">
        <v>0</v>
      </c>
      <c r="T1200" s="0" t="s">
        <v>166</v>
      </c>
      <c r="U1200" s="0" t="s">
        <v>138</v>
      </c>
      <c r="V1200" s="14" t="s">
        <v>138</v>
      </c>
      <c r="W1200" s="0" t="s">
        <v>138</v>
      </c>
      <c r="X1200" s="14" t="s">
        <v>138</v>
      </c>
      <c r="Y1200" s="0" t="s">
        <v>138</v>
      </c>
      <c r="Z1200" s="14" t="s">
        <v>138</v>
      </c>
      <c r="AA1200" s="0" t="s">
        <v>138</v>
      </c>
      <c r="AB1200" s="14" t="s">
        <v>138</v>
      </c>
      <c r="AD1200" s="0" t="s">
        <v>138</v>
      </c>
      <c r="AF1200" s="0">
        <v>0</v>
      </c>
      <c r="AG1200" s="0">
        <v>0</v>
      </c>
      <c r="AH1200" s="0" t="s">
        <v>140</v>
      </c>
      <c r="AI1200" s="0" t="s">
        <v>138</v>
      </c>
      <c r="AL1200" s="14"/>
      <c r="AN1200" s="14"/>
      <c r="AQ1200" s="0" t="s">
        <v>130</v>
      </c>
      <c r="AR1200" s="0" t="s">
        <v>130</v>
      </c>
      <c r="AS1200" s="0" t="s">
        <v>130</v>
      </c>
      <c r="AT1200" s="0" t="s">
        <v>130</v>
      </c>
      <c r="AU1200" s="0" t="s">
        <v>130</v>
      </c>
      <c r="AV1200" s="0" t="s">
        <v>130</v>
      </c>
      <c r="AW1200" s="0" t="s">
        <v>130</v>
      </c>
      <c r="AX1200" s="0" t="s">
        <v>130</v>
      </c>
      <c r="AY1200" s="0" t="s">
        <v>130</v>
      </c>
      <c r="AZ1200" s="0" t="s">
        <v>130</v>
      </c>
      <c r="BA1200" s="0" t="s">
        <v>130</v>
      </c>
      <c r="BB1200" s="0" t="s">
        <v>130</v>
      </c>
      <c r="BC1200" s="0" t="s">
        <v>130</v>
      </c>
      <c r="BD1200" s="0" t="s">
        <v>130</v>
      </c>
      <c r="BE1200" s="0" t="s">
        <v>130</v>
      </c>
      <c r="BF1200" s="0" t="s">
        <v>130</v>
      </c>
      <c r="BG1200" s="0" t="s">
        <v>130</v>
      </c>
      <c r="BH1200" s="0" t="s">
        <v>130</v>
      </c>
      <c r="BI1200" s="0" t="s">
        <v>130</v>
      </c>
      <c r="BJ1200" s="0" t="s">
        <v>130</v>
      </c>
      <c r="BK1200" s="0" t="s">
        <v>130</v>
      </c>
      <c r="BL1200" s="0" t="s">
        <v>130</v>
      </c>
      <c r="BM1200" s="0" t="s">
        <v>130</v>
      </c>
      <c r="BN1200" s="0" t="s">
        <v>130</v>
      </c>
      <c r="BO1200" s="0" t="s">
        <v>130</v>
      </c>
      <c r="BP1200" s="0" t="s">
        <v>130</v>
      </c>
      <c r="BQ1200" s="0" t="s">
        <v>130</v>
      </c>
      <c r="BR1200" s="0" t="s">
        <v>130</v>
      </c>
      <c r="BS1200" s="0" t="s">
        <v>130</v>
      </c>
      <c r="BT1200" s="0" t="s">
        <v>130</v>
      </c>
      <c r="BU1200" s="0" t="s">
        <v>130</v>
      </c>
      <c r="BV1200" s="0" t="s">
        <v>130</v>
      </c>
      <c r="BW1200" s="0" t="s">
        <v>130</v>
      </c>
      <c r="BX1200" s="0" t="s">
        <v>130</v>
      </c>
      <c r="BY1200" s="0" t="s">
        <v>130</v>
      </c>
      <c r="BZ1200" s="0" t="s">
        <v>130</v>
      </c>
      <c r="CA1200" s="0" t="s">
        <v>130</v>
      </c>
      <c r="CB1200" s="0" t="s">
        <v>130</v>
      </c>
      <c r="CC1200" s="0" t="s">
        <v>130</v>
      </c>
      <c r="CD1200" s="0" t="s">
        <v>130</v>
      </c>
      <c r="CE1200" s="0" t="s">
        <v>130</v>
      </c>
      <c r="CF1200" s="0" t="s">
        <v>130</v>
      </c>
      <c r="CG1200" s="0" t="s">
        <v>130</v>
      </c>
      <c r="CH1200" s="0" t="s">
        <v>130</v>
      </c>
      <c r="CI1200" s="0" t="s">
        <v>130</v>
      </c>
      <c r="CJ1200" s="0" t="s">
        <v>130</v>
      </c>
      <c r="CK1200" s="0" t="s">
        <v>130</v>
      </c>
      <c r="CL1200" s="0" t="s">
        <v>130</v>
      </c>
      <c r="CM1200" s="0" t="s">
        <v>130</v>
      </c>
      <c r="CN1200" s="0" t="s">
        <v>130</v>
      </c>
      <c r="CO1200" s="0" t="s">
        <v>130</v>
      </c>
      <c r="CP1200" s="0" t="s">
        <v>130</v>
      </c>
      <c r="CQ1200" s="0" t="s">
        <v>130</v>
      </c>
      <c r="CR1200" s="0" t="s">
        <v>130</v>
      </c>
      <c r="CS1200" s="0" t="s">
        <v>130</v>
      </c>
      <c r="CT1200" s="0" t="s">
        <v>3557</v>
      </c>
    </row>
    <row r="1201">
      <c r="A1201" s="14">
        <v>305366</v>
      </c>
      <c r="B1201" s="0" t="s">
        <v>3558</v>
      </c>
      <c r="C1201" s="16">
        <f>HYPERLINK("https://eosportal.federatedhermes.com/companies/Q29tcGFueQppODQ0MTc=", "Quanta Services Inc")</f>
      </c>
      <c r="D1201" s="0" t="s">
        <v>25</v>
      </c>
      <c r="E1201" s="0" t="s">
        <v>1794</v>
      </c>
      <c r="F1201" s="16">
        <f>HYPERLINK("https://eosportal.federatedhermes.com/engagements/RW5nYWdlbWVudAppMjU5NjQ=", "Corporate Governance Principles")</f>
      </c>
      <c r="G1201" s="14" t="s">
        <v>1795</v>
      </c>
      <c r="H1201" s="0" t="s">
        <v>130</v>
      </c>
      <c r="I1201" s="14" t="s">
        <v>131</v>
      </c>
      <c r="J1201" s="0" t="s">
        <v>145</v>
      </c>
      <c r="K1201" s="0" t="s">
        <v>400</v>
      </c>
      <c r="L1201" s="0" t="s">
        <v>507</v>
      </c>
      <c r="M1201" s="0" t="s">
        <v>135</v>
      </c>
      <c r="N1201" s="0" t="s">
        <v>136</v>
      </c>
      <c r="O1201" s="0" t="s">
        <v>176</v>
      </c>
      <c r="Q1201" s="0" t="s">
        <v>130</v>
      </c>
      <c r="R1201" s="0" t="s">
        <v>138</v>
      </c>
      <c r="S1201" s="14">
        <v>0</v>
      </c>
      <c r="T1201" s="0" t="s">
        <v>296</v>
      </c>
      <c r="U1201" s="0" t="s">
        <v>138</v>
      </c>
      <c r="V1201" s="14" t="s">
        <v>138</v>
      </c>
      <c r="W1201" s="0" t="s">
        <v>138</v>
      </c>
      <c r="X1201" s="14" t="s">
        <v>138</v>
      </c>
      <c r="Y1201" s="0" t="s">
        <v>138</v>
      </c>
      <c r="Z1201" s="14" t="s">
        <v>138</v>
      </c>
      <c r="AA1201" s="0" t="s">
        <v>138</v>
      </c>
      <c r="AB1201" s="14" t="s">
        <v>138</v>
      </c>
      <c r="AD1201" s="0" t="s">
        <v>138</v>
      </c>
      <c r="AF1201" s="0">
        <v>0</v>
      </c>
      <c r="AG1201" s="0">
        <v>0</v>
      </c>
      <c r="AH1201" s="0" t="s">
        <v>140</v>
      </c>
      <c r="AI1201" s="0" t="s">
        <v>138</v>
      </c>
      <c r="AL1201" s="14"/>
      <c r="AN1201" s="14"/>
      <c r="AQ1201" s="0" t="s">
        <v>130</v>
      </c>
      <c r="AR1201" s="0" t="s">
        <v>130</v>
      </c>
      <c r="AS1201" s="0" t="s">
        <v>130</v>
      </c>
      <c r="AT1201" s="0" t="s">
        <v>130</v>
      </c>
      <c r="AU1201" s="0" t="s">
        <v>130</v>
      </c>
      <c r="AV1201" s="0" t="s">
        <v>130</v>
      </c>
      <c r="AW1201" s="0" t="s">
        <v>130</v>
      </c>
      <c r="AX1201" s="0" t="s">
        <v>130</v>
      </c>
      <c r="AY1201" s="0" t="s">
        <v>130</v>
      </c>
      <c r="AZ1201" s="0" t="s">
        <v>130</v>
      </c>
      <c r="BA1201" s="0" t="s">
        <v>130</v>
      </c>
      <c r="BB1201" s="0" t="s">
        <v>130</v>
      </c>
      <c r="BC1201" s="0" t="s">
        <v>130</v>
      </c>
      <c r="BD1201" s="0" t="s">
        <v>130</v>
      </c>
      <c r="BE1201" s="0" t="s">
        <v>130</v>
      </c>
      <c r="BF1201" s="0" t="s">
        <v>130</v>
      </c>
      <c r="BG1201" s="0" t="s">
        <v>130</v>
      </c>
      <c r="BH1201" s="0" t="s">
        <v>130</v>
      </c>
      <c r="BI1201" s="0" t="s">
        <v>130</v>
      </c>
      <c r="BJ1201" s="0" t="s">
        <v>130</v>
      </c>
      <c r="BK1201" s="0" t="s">
        <v>130</v>
      </c>
      <c r="BL1201" s="0" t="s">
        <v>130</v>
      </c>
      <c r="BM1201" s="0" t="s">
        <v>130</v>
      </c>
      <c r="BN1201" s="0" t="s">
        <v>130</v>
      </c>
      <c r="BO1201" s="0" t="s">
        <v>130</v>
      </c>
      <c r="BP1201" s="0" t="s">
        <v>130</v>
      </c>
      <c r="BQ1201" s="0" t="s">
        <v>130</v>
      </c>
      <c r="BR1201" s="0" t="s">
        <v>130</v>
      </c>
      <c r="BS1201" s="0" t="s">
        <v>130</v>
      </c>
      <c r="BT1201" s="0" t="s">
        <v>130</v>
      </c>
      <c r="BU1201" s="0" t="s">
        <v>130</v>
      </c>
      <c r="BV1201" s="0" t="s">
        <v>130</v>
      </c>
      <c r="BW1201" s="0" t="s">
        <v>130</v>
      </c>
      <c r="BX1201" s="0" t="s">
        <v>130</v>
      </c>
      <c r="BY1201" s="0" t="s">
        <v>130</v>
      </c>
      <c r="BZ1201" s="0" t="s">
        <v>130</v>
      </c>
      <c r="CA1201" s="0" t="s">
        <v>130</v>
      </c>
      <c r="CB1201" s="0" t="s">
        <v>130</v>
      </c>
      <c r="CC1201" s="0" t="s">
        <v>130</v>
      </c>
      <c r="CD1201" s="0" t="s">
        <v>130</v>
      </c>
      <c r="CE1201" s="0" t="s">
        <v>130</v>
      </c>
      <c r="CF1201" s="0" t="s">
        <v>130</v>
      </c>
      <c r="CG1201" s="0" t="s">
        <v>130</v>
      </c>
      <c r="CH1201" s="0" t="s">
        <v>130</v>
      </c>
      <c r="CI1201" s="0" t="s">
        <v>130</v>
      </c>
      <c r="CJ1201" s="0" t="s">
        <v>130</v>
      </c>
      <c r="CK1201" s="0" t="s">
        <v>130</v>
      </c>
      <c r="CL1201" s="0" t="s">
        <v>130</v>
      </c>
      <c r="CM1201" s="0" t="s">
        <v>130</v>
      </c>
      <c r="CN1201" s="0" t="s">
        <v>130</v>
      </c>
      <c r="CO1201" s="0" t="s">
        <v>130</v>
      </c>
      <c r="CP1201" s="0" t="s">
        <v>130</v>
      </c>
      <c r="CQ1201" s="0" t="s">
        <v>130</v>
      </c>
      <c r="CR1201" s="0" t="s">
        <v>130</v>
      </c>
      <c r="CS1201" s="0" t="s">
        <v>130</v>
      </c>
      <c r="CT1201" s="0" t="s">
        <v>3559</v>
      </c>
    </row>
    <row r="1202">
      <c r="A1202" s="14">
        <v>307493</v>
      </c>
      <c r="B1202" s="0" t="s">
        <v>3560</v>
      </c>
      <c r="C1202" s="16">
        <f>HYPERLINK("https://eosportal.federatedhermes.com/companies/Q29tcGFueQppNzM3Njc=", "Crown Castle Inc")</f>
      </c>
      <c r="D1202" s="0" t="s">
        <v>23</v>
      </c>
      <c r="E1202" s="0" t="s">
        <v>1034</v>
      </c>
      <c r="F1202" s="16">
        <f>HYPERLINK("https://eosportal.federatedhermes.com/engagements/RW5nYWdlbWVudAppMjU5OTk=", "Board composition")</f>
      </c>
      <c r="G1202" s="14" t="s">
        <v>3561</v>
      </c>
      <c r="H1202" s="0" t="s">
        <v>130</v>
      </c>
      <c r="I1202" s="14" t="s">
        <v>131</v>
      </c>
      <c r="J1202" s="0" t="s">
        <v>153</v>
      </c>
      <c r="K1202" s="0" t="s">
        <v>154</v>
      </c>
      <c r="L1202" s="0" t="s">
        <v>268</v>
      </c>
      <c r="M1202" s="0" t="s">
        <v>135</v>
      </c>
      <c r="N1202" s="0" t="s">
        <v>136</v>
      </c>
      <c r="O1202" s="0" t="s">
        <v>238</v>
      </c>
      <c r="Q1202" s="0" t="s">
        <v>130</v>
      </c>
      <c r="R1202" s="0" t="s">
        <v>130</v>
      </c>
      <c r="S1202" s="14">
        <v>0</v>
      </c>
      <c r="T1202" s="0" t="s">
        <v>583</v>
      </c>
      <c r="U1202" s="0" t="s">
        <v>221</v>
      </c>
      <c r="V1202" s="14" t="s">
        <v>583</v>
      </c>
      <c r="W1202" s="0" t="s">
        <v>221</v>
      </c>
      <c r="X1202" s="14" t="s">
        <v>583</v>
      </c>
      <c r="Y1202" s="0" t="s">
        <v>221</v>
      </c>
      <c r="Z1202" s="14" t="s">
        <v>3562</v>
      </c>
      <c r="AA1202" s="0" t="s">
        <v>223</v>
      </c>
      <c r="AB1202" s="14" t="s">
        <v>138</v>
      </c>
      <c r="AD1202" s="0" t="s">
        <v>20</v>
      </c>
      <c r="AF1202" s="0">
        <v>0</v>
      </c>
      <c r="AG1202" s="0">
        <v>0</v>
      </c>
      <c r="AH1202" s="0" t="s">
        <v>140</v>
      </c>
      <c r="AI1202" s="0" t="s">
        <v>479</v>
      </c>
      <c r="AL1202" s="14"/>
      <c r="AN1202" s="14"/>
      <c r="AQ1202" s="0" t="s">
        <v>130</v>
      </c>
      <c r="AR1202" s="0" t="s">
        <v>130</v>
      </c>
      <c r="AS1202" s="0" t="s">
        <v>130</v>
      </c>
      <c r="AT1202" s="0" t="s">
        <v>130</v>
      </c>
      <c r="AU1202" s="0" t="s">
        <v>141</v>
      </c>
      <c r="AV1202" s="0" t="s">
        <v>130</v>
      </c>
      <c r="AW1202" s="0" t="s">
        <v>130</v>
      </c>
      <c r="AX1202" s="0" t="s">
        <v>130</v>
      </c>
      <c r="AY1202" s="0" t="s">
        <v>130</v>
      </c>
      <c r="AZ1202" s="0" t="s">
        <v>141</v>
      </c>
      <c r="BA1202" s="0" t="s">
        <v>130</v>
      </c>
      <c r="BB1202" s="0" t="s">
        <v>130</v>
      </c>
      <c r="BC1202" s="0" t="s">
        <v>130</v>
      </c>
      <c r="BD1202" s="0" t="s">
        <v>130</v>
      </c>
      <c r="BE1202" s="0" t="s">
        <v>130</v>
      </c>
      <c r="BF1202" s="0" t="s">
        <v>130</v>
      </c>
      <c r="BG1202" s="0" t="s">
        <v>130</v>
      </c>
      <c r="BH1202" s="0" t="s">
        <v>130</v>
      </c>
      <c r="BI1202" s="0" t="s">
        <v>130</v>
      </c>
      <c r="BJ1202" s="0" t="s">
        <v>130</v>
      </c>
      <c r="BK1202" s="0" t="s">
        <v>130</v>
      </c>
      <c r="BL1202" s="0" t="s">
        <v>130</v>
      </c>
      <c r="BM1202" s="0" t="s">
        <v>130</v>
      </c>
      <c r="BN1202" s="0" t="s">
        <v>130</v>
      </c>
      <c r="BO1202" s="0" t="s">
        <v>130</v>
      </c>
      <c r="BP1202" s="0" t="s">
        <v>130</v>
      </c>
      <c r="BQ1202" s="0" t="s">
        <v>130</v>
      </c>
      <c r="BR1202" s="0" t="s">
        <v>130</v>
      </c>
      <c r="BS1202" s="0" t="s">
        <v>130</v>
      </c>
      <c r="BT1202" s="0" t="s">
        <v>130</v>
      </c>
      <c r="BU1202" s="0" t="s">
        <v>130</v>
      </c>
      <c r="BV1202" s="0" t="s">
        <v>130</v>
      </c>
      <c r="BW1202" s="0" t="s">
        <v>130</v>
      </c>
      <c r="BX1202" s="0" t="s">
        <v>130</v>
      </c>
      <c r="BY1202" s="0" t="s">
        <v>130</v>
      </c>
      <c r="BZ1202" s="0" t="s">
        <v>130</v>
      </c>
      <c r="CA1202" s="0" t="s">
        <v>130</v>
      </c>
      <c r="CB1202" s="0" t="s">
        <v>130</v>
      </c>
      <c r="CC1202" s="0" t="s">
        <v>130</v>
      </c>
      <c r="CD1202" s="0" t="s">
        <v>130</v>
      </c>
      <c r="CE1202" s="0" t="s">
        <v>130</v>
      </c>
      <c r="CF1202" s="0" t="s">
        <v>130</v>
      </c>
      <c r="CG1202" s="0" t="s">
        <v>130</v>
      </c>
      <c r="CH1202" s="0" t="s">
        <v>130</v>
      </c>
      <c r="CI1202" s="0" t="s">
        <v>130</v>
      </c>
      <c r="CJ1202" s="0" t="s">
        <v>130</v>
      </c>
      <c r="CK1202" s="0" t="s">
        <v>141</v>
      </c>
      <c r="CL1202" s="0" t="s">
        <v>130</v>
      </c>
      <c r="CM1202" s="0" t="s">
        <v>130</v>
      </c>
      <c r="CN1202" s="0" t="s">
        <v>130</v>
      </c>
      <c r="CO1202" s="0" t="s">
        <v>130</v>
      </c>
      <c r="CP1202" s="0" t="s">
        <v>130</v>
      </c>
      <c r="CQ1202" s="0" t="s">
        <v>130</v>
      </c>
      <c r="CR1202" s="0" t="s">
        <v>130</v>
      </c>
      <c r="CS1202" s="0" t="s">
        <v>130</v>
      </c>
      <c r="CT1202" s="0" t="s">
        <v>3563</v>
      </c>
    </row>
    <row r="1203">
      <c r="A1203" s="14">
        <v>307493</v>
      </c>
      <c r="B1203" s="0" t="s">
        <v>3560</v>
      </c>
      <c r="C1203" s="16">
        <f>HYPERLINK("https://eosportal.federatedhermes.com/companies/Q29tcGFueQppNzM3Njc=", "Crown Castle Inc")</f>
      </c>
      <c r="D1203" s="0" t="s">
        <v>25</v>
      </c>
      <c r="E1203" s="0" t="s">
        <v>3564</v>
      </c>
      <c r="F1203" s="16">
        <f>HYPERLINK("https://eosportal.federatedhermes.com/engagements/RW5nYWdlbWVudAppMjYwMDU=", "Audit risk and oversight")</f>
      </c>
      <c r="G1203" s="14" t="s">
        <v>3565</v>
      </c>
      <c r="H1203" s="0" t="s">
        <v>130</v>
      </c>
      <c r="I1203" s="14" t="s">
        <v>131</v>
      </c>
      <c r="J1203" s="0" t="s">
        <v>132</v>
      </c>
      <c r="K1203" s="0" t="s">
        <v>170</v>
      </c>
      <c r="L1203" s="0" t="s">
        <v>310</v>
      </c>
      <c r="M1203" s="0" t="s">
        <v>135</v>
      </c>
      <c r="N1203" s="0" t="s">
        <v>136</v>
      </c>
      <c r="O1203" s="0" t="s">
        <v>238</v>
      </c>
      <c r="Q1203" s="0" t="s">
        <v>130</v>
      </c>
      <c r="R1203" s="0" t="s">
        <v>138</v>
      </c>
      <c r="S1203" s="14">
        <v>0</v>
      </c>
      <c r="T1203" s="0" t="s">
        <v>148</v>
      </c>
      <c r="U1203" s="0" t="s">
        <v>138</v>
      </c>
      <c r="V1203" s="14" t="s">
        <v>138</v>
      </c>
      <c r="W1203" s="0" t="s">
        <v>138</v>
      </c>
      <c r="X1203" s="14" t="s">
        <v>138</v>
      </c>
      <c r="Y1203" s="0" t="s">
        <v>138</v>
      </c>
      <c r="Z1203" s="14" t="s">
        <v>138</v>
      </c>
      <c r="AA1203" s="0" t="s">
        <v>138</v>
      </c>
      <c r="AB1203" s="14" t="s">
        <v>138</v>
      </c>
      <c r="AD1203" s="0" t="s">
        <v>138</v>
      </c>
      <c r="AF1203" s="0">
        <v>0</v>
      </c>
      <c r="AG1203" s="0">
        <v>0</v>
      </c>
      <c r="AH1203" s="0" t="s">
        <v>140</v>
      </c>
      <c r="AI1203" s="0" t="s">
        <v>138</v>
      </c>
      <c r="AL1203" s="14"/>
      <c r="AN1203" s="14"/>
      <c r="AQ1203" s="0" t="s">
        <v>130</v>
      </c>
      <c r="AR1203" s="0" t="s">
        <v>130</v>
      </c>
      <c r="AS1203" s="0" t="s">
        <v>130</v>
      </c>
      <c r="AT1203" s="0" t="s">
        <v>130</v>
      </c>
      <c r="AU1203" s="0" t="s">
        <v>130</v>
      </c>
      <c r="AV1203" s="0" t="s">
        <v>130</v>
      </c>
      <c r="AW1203" s="0" t="s">
        <v>130</v>
      </c>
      <c r="AX1203" s="0" t="s">
        <v>130</v>
      </c>
      <c r="AY1203" s="0" t="s">
        <v>130</v>
      </c>
      <c r="AZ1203" s="0" t="s">
        <v>130</v>
      </c>
      <c r="BA1203" s="0" t="s">
        <v>130</v>
      </c>
      <c r="BB1203" s="0" t="s">
        <v>130</v>
      </c>
      <c r="BC1203" s="0" t="s">
        <v>130</v>
      </c>
      <c r="BD1203" s="0" t="s">
        <v>130</v>
      </c>
      <c r="BE1203" s="0" t="s">
        <v>130</v>
      </c>
      <c r="BF1203" s="0" t="s">
        <v>130</v>
      </c>
      <c r="BG1203" s="0" t="s">
        <v>130</v>
      </c>
      <c r="BH1203" s="0" t="s">
        <v>130</v>
      </c>
      <c r="BI1203" s="0" t="s">
        <v>130</v>
      </c>
      <c r="BJ1203" s="0" t="s">
        <v>130</v>
      </c>
      <c r="BK1203" s="0" t="s">
        <v>130</v>
      </c>
      <c r="BL1203" s="0" t="s">
        <v>130</v>
      </c>
      <c r="BM1203" s="0" t="s">
        <v>130</v>
      </c>
      <c r="BN1203" s="0" t="s">
        <v>130</v>
      </c>
      <c r="BO1203" s="0" t="s">
        <v>130</v>
      </c>
      <c r="BP1203" s="0" t="s">
        <v>130</v>
      </c>
      <c r="BQ1203" s="0" t="s">
        <v>130</v>
      </c>
      <c r="BR1203" s="0" t="s">
        <v>130</v>
      </c>
      <c r="BS1203" s="0" t="s">
        <v>130</v>
      </c>
      <c r="BT1203" s="0" t="s">
        <v>130</v>
      </c>
      <c r="BU1203" s="0" t="s">
        <v>130</v>
      </c>
      <c r="BV1203" s="0" t="s">
        <v>130</v>
      </c>
      <c r="BW1203" s="0" t="s">
        <v>130</v>
      </c>
      <c r="BX1203" s="0" t="s">
        <v>130</v>
      </c>
      <c r="BY1203" s="0" t="s">
        <v>130</v>
      </c>
      <c r="BZ1203" s="0" t="s">
        <v>130</v>
      </c>
      <c r="CA1203" s="0" t="s">
        <v>130</v>
      </c>
      <c r="CB1203" s="0" t="s">
        <v>130</v>
      </c>
      <c r="CC1203" s="0" t="s">
        <v>130</v>
      </c>
      <c r="CD1203" s="0" t="s">
        <v>130</v>
      </c>
      <c r="CE1203" s="0" t="s">
        <v>130</v>
      </c>
      <c r="CF1203" s="0" t="s">
        <v>130</v>
      </c>
      <c r="CG1203" s="0" t="s">
        <v>130</v>
      </c>
      <c r="CH1203" s="0" t="s">
        <v>130</v>
      </c>
      <c r="CI1203" s="0" t="s">
        <v>130</v>
      </c>
      <c r="CJ1203" s="0" t="s">
        <v>130</v>
      </c>
      <c r="CK1203" s="0" t="s">
        <v>130</v>
      </c>
      <c r="CL1203" s="0" t="s">
        <v>130</v>
      </c>
      <c r="CM1203" s="0" t="s">
        <v>130</v>
      </c>
      <c r="CN1203" s="0" t="s">
        <v>130</v>
      </c>
      <c r="CO1203" s="0" t="s">
        <v>130</v>
      </c>
      <c r="CP1203" s="0" t="s">
        <v>130</v>
      </c>
      <c r="CQ1203" s="0" t="s">
        <v>130</v>
      </c>
      <c r="CR1203" s="0" t="s">
        <v>130</v>
      </c>
      <c r="CS1203" s="0" t="s">
        <v>130</v>
      </c>
      <c r="CT1203" s="0" t="s">
        <v>3566</v>
      </c>
    </row>
    <row r="1204">
      <c r="A1204" s="14">
        <v>307493</v>
      </c>
      <c r="B1204" s="0" t="s">
        <v>3560</v>
      </c>
      <c r="C1204" s="16">
        <f>HYPERLINK("https://eosportal.federatedhermes.com/companies/Q29tcGFueQppNzM3Njc=", "Crown Castle Inc")</f>
      </c>
      <c r="D1204" s="0" t="s">
        <v>25</v>
      </c>
      <c r="E1204" s="0" t="s">
        <v>3567</v>
      </c>
      <c r="F1204" s="16">
        <f>HYPERLINK("https://eosportal.federatedhermes.com/engagements/RW5nYWdlbWVudAppMjYwMDY=", "Workforce diversity")</f>
      </c>
      <c r="G1204" s="14" t="s">
        <v>3568</v>
      </c>
      <c r="H1204" s="0" t="s">
        <v>130</v>
      </c>
      <c r="I1204" s="14" t="s">
        <v>131</v>
      </c>
      <c r="J1204" s="0" t="s">
        <v>153</v>
      </c>
      <c r="K1204" s="0" t="s">
        <v>154</v>
      </c>
      <c r="L1204" s="0" t="s">
        <v>268</v>
      </c>
      <c r="M1204" s="0" t="s">
        <v>135</v>
      </c>
      <c r="N1204" s="0" t="s">
        <v>136</v>
      </c>
      <c r="O1204" s="0" t="s">
        <v>238</v>
      </c>
      <c r="Q1204" s="0" t="s">
        <v>130</v>
      </c>
      <c r="R1204" s="0" t="s">
        <v>138</v>
      </c>
      <c r="S1204" s="14">
        <v>0</v>
      </c>
      <c r="T1204" s="0" t="s">
        <v>139</v>
      </c>
      <c r="U1204" s="0" t="s">
        <v>138</v>
      </c>
      <c r="V1204" s="14" t="s">
        <v>138</v>
      </c>
      <c r="W1204" s="0" t="s">
        <v>138</v>
      </c>
      <c r="X1204" s="14" t="s">
        <v>138</v>
      </c>
      <c r="Y1204" s="0" t="s">
        <v>138</v>
      </c>
      <c r="Z1204" s="14" t="s">
        <v>138</v>
      </c>
      <c r="AA1204" s="0" t="s">
        <v>138</v>
      </c>
      <c r="AB1204" s="14" t="s">
        <v>138</v>
      </c>
      <c r="AD1204" s="0" t="s">
        <v>138</v>
      </c>
      <c r="AF1204" s="0">
        <v>0</v>
      </c>
      <c r="AG1204" s="0">
        <v>0</v>
      </c>
      <c r="AH1204" s="0" t="s">
        <v>140</v>
      </c>
      <c r="AI1204" s="0" t="s">
        <v>138</v>
      </c>
      <c r="AL1204" s="14"/>
      <c r="AN1204" s="14"/>
      <c r="AQ1204" s="0" t="s">
        <v>130</v>
      </c>
      <c r="AR1204" s="0" t="s">
        <v>130</v>
      </c>
      <c r="AS1204" s="0" t="s">
        <v>130</v>
      </c>
      <c r="AT1204" s="0" t="s">
        <v>130</v>
      </c>
      <c r="AU1204" s="0" t="s">
        <v>141</v>
      </c>
      <c r="AV1204" s="0" t="s">
        <v>130</v>
      </c>
      <c r="AW1204" s="0" t="s">
        <v>130</v>
      </c>
      <c r="AX1204" s="0" t="s">
        <v>130</v>
      </c>
      <c r="AY1204" s="0" t="s">
        <v>130</v>
      </c>
      <c r="AZ1204" s="0" t="s">
        <v>130</v>
      </c>
      <c r="BA1204" s="0" t="s">
        <v>130</v>
      </c>
      <c r="BB1204" s="0" t="s">
        <v>130</v>
      </c>
      <c r="BC1204" s="0" t="s">
        <v>130</v>
      </c>
      <c r="BD1204" s="0" t="s">
        <v>130</v>
      </c>
      <c r="BE1204" s="0" t="s">
        <v>130</v>
      </c>
      <c r="BF1204" s="0" t="s">
        <v>130</v>
      </c>
      <c r="BG1204" s="0" t="s">
        <v>130</v>
      </c>
      <c r="BH1204" s="0" t="s">
        <v>130</v>
      </c>
      <c r="BI1204" s="0" t="s">
        <v>130</v>
      </c>
      <c r="BJ1204" s="0" t="s">
        <v>130</v>
      </c>
      <c r="BK1204" s="0" t="s">
        <v>130</v>
      </c>
      <c r="BL1204" s="0" t="s">
        <v>130</v>
      </c>
      <c r="BM1204" s="0" t="s">
        <v>130</v>
      </c>
      <c r="BN1204" s="0" t="s">
        <v>130</v>
      </c>
      <c r="BO1204" s="0" t="s">
        <v>130</v>
      </c>
      <c r="BP1204" s="0" t="s">
        <v>130</v>
      </c>
      <c r="BQ1204" s="0" t="s">
        <v>130</v>
      </c>
      <c r="BR1204" s="0" t="s">
        <v>130</v>
      </c>
      <c r="BS1204" s="0" t="s">
        <v>130</v>
      </c>
      <c r="BT1204" s="0" t="s">
        <v>130</v>
      </c>
      <c r="BU1204" s="0" t="s">
        <v>130</v>
      </c>
      <c r="BV1204" s="0" t="s">
        <v>130</v>
      </c>
      <c r="BW1204" s="0" t="s">
        <v>130</v>
      </c>
      <c r="BX1204" s="0" t="s">
        <v>130</v>
      </c>
      <c r="BY1204" s="0" t="s">
        <v>130</v>
      </c>
      <c r="BZ1204" s="0" t="s">
        <v>130</v>
      </c>
      <c r="CA1204" s="0" t="s">
        <v>130</v>
      </c>
      <c r="CB1204" s="0" t="s">
        <v>130</v>
      </c>
      <c r="CC1204" s="0" t="s">
        <v>130</v>
      </c>
      <c r="CD1204" s="0" t="s">
        <v>130</v>
      </c>
      <c r="CE1204" s="0" t="s">
        <v>130</v>
      </c>
      <c r="CF1204" s="0" t="s">
        <v>130</v>
      </c>
      <c r="CG1204" s="0" t="s">
        <v>130</v>
      </c>
      <c r="CH1204" s="0" t="s">
        <v>130</v>
      </c>
      <c r="CI1204" s="0" t="s">
        <v>130</v>
      </c>
      <c r="CJ1204" s="0" t="s">
        <v>130</v>
      </c>
      <c r="CK1204" s="0" t="s">
        <v>141</v>
      </c>
      <c r="CL1204" s="0" t="s">
        <v>130</v>
      </c>
      <c r="CM1204" s="0" t="s">
        <v>130</v>
      </c>
      <c r="CN1204" s="0" t="s">
        <v>130</v>
      </c>
      <c r="CO1204" s="0" t="s">
        <v>130</v>
      </c>
      <c r="CP1204" s="0" t="s">
        <v>130</v>
      </c>
      <c r="CQ1204" s="0" t="s">
        <v>130</v>
      </c>
      <c r="CR1204" s="0" t="s">
        <v>130</v>
      </c>
      <c r="CS1204" s="0" t="s">
        <v>130</v>
      </c>
      <c r="CT1204" s="0" t="s">
        <v>3569</v>
      </c>
    </row>
    <row r="1205">
      <c r="A1205" s="14">
        <v>307493</v>
      </c>
      <c r="B1205" s="0" t="s">
        <v>3560</v>
      </c>
      <c r="C1205" s="16">
        <f>HYPERLINK("https://eosportal.federatedhermes.com/companies/Q29tcGFueQppNzM3Njc=", "Crown Castle Inc")</f>
      </c>
      <c r="D1205" s="0" t="s">
        <v>25</v>
      </c>
      <c r="E1205" s="0" t="s">
        <v>1900</v>
      </c>
      <c r="F1205" s="16">
        <f>HYPERLINK("https://eosportal.federatedhermes.com/engagements/RW5nYWdlbWVudAppMjYwMDc=", "Business purpose")</f>
      </c>
      <c r="G1205" s="14" t="s">
        <v>3570</v>
      </c>
      <c r="H1205" s="0" t="s">
        <v>130</v>
      </c>
      <c r="I1205" s="14" t="s">
        <v>131</v>
      </c>
      <c r="J1205" s="0" t="s">
        <v>132</v>
      </c>
      <c r="K1205" s="0" t="s">
        <v>133</v>
      </c>
      <c r="L1205" s="0" t="s">
        <v>134</v>
      </c>
      <c r="M1205" s="0" t="s">
        <v>135</v>
      </c>
      <c r="N1205" s="0" t="s">
        <v>136</v>
      </c>
      <c r="O1205" s="0" t="s">
        <v>238</v>
      </c>
      <c r="Q1205" s="0" t="s">
        <v>130</v>
      </c>
      <c r="R1205" s="0" t="s">
        <v>138</v>
      </c>
      <c r="S1205" s="14">
        <v>0</v>
      </c>
      <c r="T1205" s="0" t="s">
        <v>139</v>
      </c>
      <c r="U1205" s="0" t="s">
        <v>138</v>
      </c>
      <c r="V1205" s="14" t="s">
        <v>138</v>
      </c>
      <c r="W1205" s="0" t="s">
        <v>138</v>
      </c>
      <c r="X1205" s="14" t="s">
        <v>138</v>
      </c>
      <c r="Y1205" s="0" t="s">
        <v>138</v>
      </c>
      <c r="Z1205" s="14" t="s">
        <v>138</v>
      </c>
      <c r="AA1205" s="0" t="s">
        <v>138</v>
      </c>
      <c r="AB1205" s="14" t="s">
        <v>138</v>
      </c>
      <c r="AD1205" s="0" t="s">
        <v>138</v>
      </c>
      <c r="AF1205" s="0">
        <v>0</v>
      </c>
      <c r="AG1205" s="0">
        <v>0</v>
      </c>
      <c r="AH1205" s="0" t="s">
        <v>140</v>
      </c>
      <c r="AI1205" s="0" t="s">
        <v>138</v>
      </c>
      <c r="AL1205" s="14"/>
      <c r="AN1205" s="14"/>
      <c r="AQ1205" s="0" t="s">
        <v>130</v>
      </c>
      <c r="AR1205" s="0" t="s">
        <v>130</v>
      </c>
      <c r="AS1205" s="0" t="s">
        <v>130</v>
      </c>
      <c r="AT1205" s="0" t="s">
        <v>130</v>
      </c>
      <c r="AU1205" s="0" t="s">
        <v>130</v>
      </c>
      <c r="AV1205" s="0" t="s">
        <v>130</v>
      </c>
      <c r="AW1205" s="0" t="s">
        <v>130</v>
      </c>
      <c r="AX1205" s="0" t="s">
        <v>130</v>
      </c>
      <c r="AY1205" s="0" t="s">
        <v>130</v>
      </c>
      <c r="AZ1205" s="0" t="s">
        <v>130</v>
      </c>
      <c r="BA1205" s="0" t="s">
        <v>130</v>
      </c>
      <c r="BB1205" s="0" t="s">
        <v>130</v>
      </c>
      <c r="BC1205" s="0" t="s">
        <v>130</v>
      </c>
      <c r="BD1205" s="0" t="s">
        <v>130</v>
      </c>
      <c r="BE1205" s="0" t="s">
        <v>130</v>
      </c>
      <c r="BF1205" s="0" t="s">
        <v>130</v>
      </c>
      <c r="BG1205" s="0" t="s">
        <v>130</v>
      </c>
      <c r="BH1205" s="0" t="s">
        <v>130</v>
      </c>
      <c r="BI1205" s="0" t="s">
        <v>130</v>
      </c>
      <c r="BJ1205" s="0" t="s">
        <v>130</v>
      </c>
      <c r="BK1205" s="0" t="s">
        <v>130</v>
      </c>
      <c r="BL1205" s="0" t="s">
        <v>130</v>
      </c>
      <c r="BM1205" s="0" t="s">
        <v>130</v>
      </c>
      <c r="BN1205" s="0" t="s">
        <v>130</v>
      </c>
      <c r="BO1205" s="0" t="s">
        <v>130</v>
      </c>
      <c r="BP1205" s="0" t="s">
        <v>130</v>
      </c>
      <c r="BQ1205" s="0" t="s">
        <v>130</v>
      </c>
      <c r="BR1205" s="0" t="s">
        <v>130</v>
      </c>
      <c r="BS1205" s="0" t="s">
        <v>130</v>
      </c>
      <c r="BT1205" s="0" t="s">
        <v>130</v>
      </c>
      <c r="BU1205" s="0" t="s">
        <v>130</v>
      </c>
      <c r="BV1205" s="0" t="s">
        <v>130</v>
      </c>
      <c r="BW1205" s="0" t="s">
        <v>130</v>
      </c>
      <c r="BX1205" s="0" t="s">
        <v>130</v>
      </c>
      <c r="BY1205" s="0" t="s">
        <v>130</v>
      </c>
      <c r="BZ1205" s="0" t="s">
        <v>130</v>
      </c>
      <c r="CA1205" s="0" t="s">
        <v>130</v>
      </c>
      <c r="CB1205" s="0" t="s">
        <v>130</v>
      </c>
      <c r="CC1205" s="0" t="s">
        <v>130</v>
      </c>
      <c r="CD1205" s="0" t="s">
        <v>130</v>
      </c>
      <c r="CE1205" s="0" t="s">
        <v>130</v>
      </c>
      <c r="CF1205" s="0" t="s">
        <v>130</v>
      </c>
      <c r="CG1205" s="0" t="s">
        <v>130</v>
      </c>
      <c r="CH1205" s="0" t="s">
        <v>130</v>
      </c>
      <c r="CI1205" s="0" t="s">
        <v>130</v>
      </c>
      <c r="CJ1205" s="0" t="s">
        <v>130</v>
      </c>
      <c r="CK1205" s="0" t="s">
        <v>130</v>
      </c>
      <c r="CL1205" s="0" t="s">
        <v>130</v>
      </c>
      <c r="CM1205" s="0" t="s">
        <v>130</v>
      </c>
      <c r="CN1205" s="0" t="s">
        <v>130</v>
      </c>
      <c r="CO1205" s="0" t="s">
        <v>130</v>
      </c>
      <c r="CP1205" s="0" t="s">
        <v>130</v>
      </c>
      <c r="CQ1205" s="0" t="s">
        <v>130</v>
      </c>
      <c r="CR1205" s="0" t="s">
        <v>130</v>
      </c>
      <c r="CS1205" s="0" t="s">
        <v>130</v>
      </c>
      <c r="CT1205" s="0" t="s">
        <v>3571</v>
      </c>
    </row>
    <row r="1206">
      <c r="A1206" s="14">
        <v>307493</v>
      </c>
      <c r="B1206" s="0" t="s">
        <v>3560</v>
      </c>
      <c r="C1206" s="16">
        <f>HYPERLINK("https://eosportal.federatedhermes.com/companies/Q29tcGFueQppNzM3Njc=", "Crown Castle Inc")</f>
      </c>
      <c r="D1206" s="0" t="s">
        <v>25</v>
      </c>
      <c r="E1206" s="0" t="s">
        <v>143</v>
      </c>
      <c r="F1206" s="16">
        <f>HYPERLINK("https://eosportal.federatedhermes.com/engagements/RW5nYWdlbWVudAppMjYwMDg=", "Executive compensation")</f>
      </c>
      <c r="G1206" s="14" t="s">
        <v>3572</v>
      </c>
      <c r="H1206" s="0" t="s">
        <v>130</v>
      </c>
      <c r="I1206" s="14" t="s">
        <v>131</v>
      </c>
      <c r="J1206" s="0" t="s">
        <v>145</v>
      </c>
      <c r="K1206" s="0" t="s">
        <v>146</v>
      </c>
      <c r="L1206" s="0" t="s">
        <v>147</v>
      </c>
      <c r="M1206" s="0" t="s">
        <v>135</v>
      </c>
      <c r="N1206" s="0" t="s">
        <v>136</v>
      </c>
      <c r="O1206" s="0" t="s">
        <v>238</v>
      </c>
      <c r="Q1206" s="0" t="s">
        <v>141</v>
      </c>
      <c r="R1206" s="0" t="s">
        <v>138</v>
      </c>
      <c r="S1206" s="14">
        <v>1</v>
      </c>
      <c r="T1206" s="0" t="s">
        <v>193</v>
      </c>
      <c r="U1206" s="0" t="s">
        <v>138</v>
      </c>
      <c r="V1206" s="14" t="s">
        <v>138</v>
      </c>
      <c r="W1206" s="0" t="s">
        <v>138</v>
      </c>
      <c r="X1206" s="14" t="s">
        <v>138</v>
      </c>
      <c r="Y1206" s="0" t="s">
        <v>138</v>
      </c>
      <c r="Z1206" s="14" t="s">
        <v>138</v>
      </c>
      <c r="AA1206" s="0" t="s">
        <v>138</v>
      </c>
      <c r="AB1206" s="14" t="s">
        <v>138</v>
      </c>
      <c r="AD1206" s="0" t="s">
        <v>138</v>
      </c>
      <c r="AF1206" s="0">
        <v>0</v>
      </c>
      <c r="AG1206" s="0">
        <v>0</v>
      </c>
      <c r="AH1206" s="0" t="s">
        <v>140</v>
      </c>
      <c r="AI1206" s="0" t="s">
        <v>138</v>
      </c>
      <c r="AK1206" s="0" t="s">
        <v>1196</v>
      </c>
      <c r="AL1206" s="14"/>
      <c r="AN1206" s="14"/>
      <c r="AQ1206" s="0" t="s">
        <v>130</v>
      </c>
      <c r="AR1206" s="0" t="s">
        <v>130</v>
      </c>
      <c r="AS1206" s="0" t="s">
        <v>130</v>
      </c>
      <c r="AT1206" s="0" t="s">
        <v>130</v>
      </c>
      <c r="AU1206" s="0" t="s">
        <v>130</v>
      </c>
      <c r="AV1206" s="0" t="s">
        <v>130</v>
      </c>
      <c r="AW1206" s="0" t="s">
        <v>130</v>
      </c>
      <c r="AX1206" s="0" t="s">
        <v>130</v>
      </c>
      <c r="AY1206" s="0" t="s">
        <v>130</v>
      </c>
      <c r="AZ1206" s="0" t="s">
        <v>130</v>
      </c>
      <c r="BA1206" s="0" t="s">
        <v>130</v>
      </c>
      <c r="BB1206" s="0" t="s">
        <v>130</v>
      </c>
      <c r="BC1206" s="0" t="s">
        <v>130</v>
      </c>
      <c r="BD1206" s="0" t="s">
        <v>130</v>
      </c>
      <c r="BE1206" s="0" t="s">
        <v>130</v>
      </c>
      <c r="BF1206" s="0" t="s">
        <v>130</v>
      </c>
      <c r="BG1206" s="0" t="s">
        <v>130</v>
      </c>
      <c r="BH1206" s="0" t="s">
        <v>130</v>
      </c>
      <c r="BI1206" s="0" t="s">
        <v>130</v>
      </c>
      <c r="BJ1206" s="0" t="s">
        <v>130</v>
      </c>
      <c r="BK1206" s="0" t="s">
        <v>130</v>
      </c>
      <c r="BL1206" s="0" t="s">
        <v>130</v>
      </c>
      <c r="BM1206" s="0" t="s">
        <v>130</v>
      </c>
      <c r="BN1206" s="0" t="s">
        <v>130</v>
      </c>
      <c r="BO1206" s="0" t="s">
        <v>130</v>
      </c>
      <c r="BP1206" s="0" t="s">
        <v>130</v>
      </c>
      <c r="BQ1206" s="0" t="s">
        <v>130</v>
      </c>
      <c r="BR1206" s="0" t="s">
        <v>130</v>
      </c>
      <c r="BS1206" s="0" t="s">
        <v>130</v>
      </c>
      <c r="BT1206" s="0" t="s">
        <v>130</v>
      </c>
      <c r="BU1206" s="0" t="s">
        <v>130</v>
      </c>
      <c r="BV1206" s="0" t="s">
        <v>130</v>
      </c>
      <c r="BW1206" s="0" t="s">
        <v>130</v>
      </c>
      <c r="BX1206" s="0" t="s">
        <v>130</v>
      </c>
      <c r="BY1206" s="0" t="s">
        <v>130</v>
      </c>
      <c r="BZ1206" s="0" t="s">
        <v>130</v>
      </c>
      <c r="CA1206" s="0" t="s">
        <v>130</v>
      </c>
      <c r="CB1206" s="0" t="s">
        <v>130</v>
      </c>
      <c r="CC1206" s="0" t="s">
        <v>130</v>
      </c>
      <c r="CD1206" s="0" t="s">
        <v>130</v>
      </c>
      <c r="CE1206" s="0" t="s">
        <v>130</v>
      </c>
      <c r="CF1206" s="0" t="s">
        <v>130</v>
      </c>
      <c r="CG1206" s="0" t="s">
        <v>130</v>
      </c>
      <c r="CH1206" s="0" t="s">
        <v>130</v>
      </c>
      <c r="CI1206" s="0" t="s">
        <v>130</v>
      </c>
      <c r="CJ1206" s="0" t="s">
        <v>130</v>
      </c>
      <c r="CK1206" s="0" t="s">
        <v>130</v>
      </c>
      <c r="CL1206" s="0" t="s">
        <v>130</v>
      </c>
      <c r="CM1206" s="0" t="s">
        <v>130</v>
      </c>
      <c r="CN1206" s="0" t="s">
        <v>130</v>
      </c>
      <c r="CO1206" s="0" t="s">
        <v>130</v>
      </c>
      <c r="CP1206" s="0" t="s">
        <v>130</v>
      </c>
      <c r="CQ1206" s="0" t="s">
        <v>130</v>
      </c>
      <c r="CR1206" s="0" t="s">
        <v>130</v>
      </c>
      <c r="CS1206" s="0" t="s">
        <v>130</v>
      </c>
      <c r="CT1206" s="0" t="s">
        <v>3573</v>
      </c>
    </row>
    <row r="1207">
      <c r="A1207" s="14">
        <v>1404288</v>
      </c>
      <c r="B1207" s="0" t="s">
        <v>3574</v>
      </c>
      <c r="C1207" s="16">
        <f>HYPERLINK("https://eosportal.federatedhermes.com/companies/Q29tcGFueQppNDcwODA=", "PetroChina Co Ltd")</f>
      </c>
      <c r="D1207" s="0" t="s">
        <v>25</v>
      </c>
      <c r="E1207" s="0" t="s">
        <v>3027</v>
      </c>
      <c r="F1207" s="16">
        <f>HYPERLINK("https://eosportal.federatedhermes.com/engagements/RW5nYWdlbWVudAppMjYwNzU=", "Board gender diversity")</f>
      </c>
      <c r="G1207" s="14" t="s">
        <v>3575</v>
      </c>
      <c r="H1207" s="0" t="s">
        <v>141</v>
      </c>
      <c r="I1207" s="14" t="s">
        <v>636</v>
      </c>
      <c r="J1207" s="0" t="s">
        <v>145</v>
      </c>
      <c r="K1207" s="0" t="s">
        <v>164</v>
      </c>
      <c r="L1207" s="0" t="s">
        <v>165</v>
      </c>
      <c r="M1207" s="0" t="s">
        <v>2807</v>
      </c>
      <c r="N1207" s="0" t="s">
        <v>3272</v>
      </c>
      <c r="O1207" s="0" t="s">
        <v>542</v>
      </c>
      <c r="Q1207" s="0" t="s">
        <v>130</v>
      </c>
      <c r="R1207" s="0" t="s">
        <v>138</v>
      </c>
      <c r="S1207" s="14">
        <v>0</v>
      </c>
      <c r="T1207" s="0" t="s">
        <v>394</v>
      </c>
      <c r="U1207" s="0" t="s">
        <v>138</v>
      </c>
      <c r="V1207" s="14" t="s">
        <v>138</v>
      </c>
      <c r="W1207" s="0" t="s">
        <v>138</v>
      </c>
      <c r="X1207" s="14" t="s">
        <v>138</v>
      </c>
      <c r="Y1207" s="0" t="s">
        <v>138</v>
      </c>
      <c r="Z1207" s="14" t="s">
        <v>138</v>
      </c>
      <c r="AA1207" s="0" t="s">
        <v>138</v>
      </c>
      <c r="AB1207" s="14" t="s">
        <v>138</v>
      </c>
      <c r="AD1207" s="0" t="s">
        <v>138</v>
      </c>
      <c r="AF1207" s="0">
        <v>0</v>
      </c>
      <c r="AG1207" s="0">
        <v>0</v>
      </c>
      <c r="AH1207" s="0" t="s">
        <v>140</v>
      </c>
      <c r="AI1207" s="0" t="s">
        <v>138</v>
      </c>
      <c r="AL1207" s="14"/>
      <c r="AN1207" s="14"/>
      <c r="AQ1207" s="0" t="s">
        <v>130</v>
      </c>
      <c r="AR1207" s="0" t="s">
        <v>130</v>
      </c>
      <c r="AS1207" s="0" t="s">
        <v>130</v>
      </c>
      <c r="AT1207" s="0" t="s">
        <v>130</v>
      </c>
      <c r="AU1207" s="0" t="s">
        <v>141</v>
      </c>
      <c r="AV1207" s="0" t="s">
        <v>130</v>
      </c>
      <c r="AW1207" s="0" t="s">
        <v>130</v>
      </c>
      <c r="AX1207" s="0" t="s">
        <v>130</v>
      </c>
      <c r="AY1207" s="0" t="s">
        <v>130</v>
      </c>
      <c r="AZ1207" s="0" t="s">
        <v>130</v>
      </c>
      <c r="BA1207" s="0" t="s">
        <v>130</v>
      </c>
      <c r="BB1207" s="0" t="s">
        <v>130</v>
      </c>
      <c r="BC1207" s="0" t="s">
        <v>130</v>
      </c>
      <c r="BD1207" s="0" t="s">
        <v>130</v>
      </c>
      <c r="BE1207" s="0" t="s">
        <v>130</v>
      </c>
      <c r="BF1207" s="0" t="s">
        <v>130</v>
      </c>
      <c r="BG1207" s="0" t="s">
        <v>130</v>
      </c>
      <c r="BH1207" s="0" t="s">
        <v>130</v>
      </c>
      <c r="BI1207" s="0" t="s">
        <v>130</v>
      </c>
      <c r="BJ1207" s="0" t="s">
        <v>130</v>
      </c>
      <c r="BK1207" s="0" t="s">
        <v>130</v>
      </c>
      <c r="BL1207" s="0" t="s">
        <v>130</v>
      </c>
      <c r="BM1207" s="0" t="s">
        <v>130</v>
      </c>
      <c r="BN1207" s="0" t="s">
        <v>130</v>
      </c>
      <c r="BO1207" s="0" t="s">
        <v>130</v>
      </c>
      <c r="BP1207" s="0" t="s">
        <v>130</v>
      </c>
      <c r="BQ1207" s="0" t="s">
        <v>130</v>
      </c>
      <c r="BR1207" s="0" t="s">
        <v>130</v>
      </c>
      <c r="BS1207" s="0" t="s">
        <v>130</v>
      </c>
      <c r="BT1207" s="0" t="s">
        <v>130</v>
      </c>
      <c r="BU1207" s="0" t="s">
        <v>130</v>
      </c>
      <c r="BV1207" s="0" t="s">
        <v>130</v>
      </c>
      <c r="BW1207" s="0" t="s">
        <v>130</v>
      </c>
      <c r="BX1207" s="0" t="s">
        <v>130</v>
      </c>
      <c r="BY1207" s="0" t="s">
        <v>130</v>
      </c>
      <c r="BZ1207" s="0" t="s">
        <v>130</v>
      </c>
      <c r="CA1207" s="0" t="s">
        <v>130</v>
      </c>
      <c r="CB1207" s="0" t="s">
        <v>130</v>
      </c>
      <c r="CC1207" s="0" t="s">
        <v>130</v>
      </c>
      <c r="CD1207" s="0" t="s">
        <v>130</v>
      </c>
      <c r="CE1207" s="0" t="s">
        <v>130</v>
      </c>
      <c r="CF1207" s="0" t="s">
        <v>130</v>
      </c>
      <c r="CG1207" s="0" t="s">
        <v>130</v>
      </c>
      <c r="CH1207" s="0" t="s">
        <v>130</v>
      </c>
      <c r="CI1207" s="0" t="s">
        <v>130</v>
      </c>
      <c r="CJ1207" s="0" t="s">
        <v>130</v>
      </c>
      <c r="CK1207" s="0" t="s">
        <v>130</v>
      </c>
      <c r="CL1207" s="0" t="s">
        <v>130</v>
      </c>
      <c r="CM1207" s="0" t="s">
        <v>130</v>
      </c>
      <c r="CN1207" s="0" t="s">
        <v>130</v>
      </c>
      <c r="CO1207" s="0" t="s">
        <v>130</v>
      </c>
      <c r="CP1207" s="0" t="s">
        <v>130</v>
      </c>
      <c r="CQ1207" s="0" t="s">
        <v>130</v>
      </c>
      <c r="CR1207" s="0" t="s">
        <v>130</v>
      </c>
      <c r="CS1207" s="0" t="s">
        <v>130</v>
      </c>
      <c r="CT1207" s="0" t="s">
        <v>3576</v>
      </c>
    </row>
    <row r="1208">
      <c r="A1208" s="14">
        <v>1404288</v>
      </c>
      <c r="B1208" s="0" t="s">
        <v>3574</v>
      </c>
      <c r="C1208" s="16">
        <f>HYPERLINK("https://eosportal.federatedhermes.com/companies/Q29tcGFueQppNDcwODA=", "PetroChina Co Ltd")</f>
      </c>
      <c r="D1208" s="0" t="s">
        <v>25</v>
      </c>
      <c r="E1208" s="0" t="s">
        <v>3577</v>
      </c>
      <c r="F1208" s="16">
        <f>HYPERLINK("https://eosportal.federatedhermes.com/engagements/RW5nYWdlbWVudAppMjYwNzY=", "Minority protection")</f>
      </c>
      <c r="G1208" s="14" t="s">
        <v>3578</v>
      </c>
      <c r="H1208" s="0" t="s">
        <v>141</v>
      </c>
      <c r="I1208" s="14" t="s">
        <v>636</v>
      </c>
      <c r="J1208" s="0" t="s">
        <v>145</v>
      </c>
      <c r="K1208" s="0" t="s">
        <v>400</v>
      </c>
      <c r="L1208" s="0" t="s">
        <v>507</v>
      </c>
      <c r="M1208" s="0" t="s">
        <v>2807</v>
      </c>
      <c r="N1208" s="0" t="s">
        <v>3272</v>
      </c>
      <c r="O1208" s="0" t="s">
        <v>542</v>
      </c>
      <c r="Q1208" s="0" t="s">
        <v>130</v>
      </c>
      <c r="R1208" s="0" t="s">
        <v>138</v>
      </c>
      <c r="S1208" s="14">
        <v>0</v>
      </c>
      <c r="T1208" s="0" t="s">
        <v>1011</v>
      </c>
      <c r="U1208" s="0" t="s">
        <v>138</v>
      </c>
      <c r="V1208" s="14" t="s">
        <v>138</v>
      </c>
      <c r="W1208" s="0" t="s">
        <v>138</v>
      </c>
      <c r="X1208" s="14" t="s">
        <v>138</v>
      </c>
      <c r="Y1208" s="0" t="s">
        <v>138</v>
      </c>
      <c r="Z1208" s="14" t="s">
        <v>138</v>
      </c>
      <c r="AA1208" s="0" t="s">
        <v>138</v>
      </c>
      <c r="AB1208" s="14" t="s">
        <v>138</v>
      </c>
      <c r="AD1208" s="0" t="s">
        <v>138</v>
      </c>
      <c r="AF1208" s="0">
        <v>0</v>
      </c>
      <c r="AG1208" s="0">
        <v>0</v>
      </c>
      <c r="AH1208" s="0" t="s">
        <v>140</v>
      </c>
      <c r="AI1208" s="0" t="s">
        <v>138</v>
      </c>
      <c r="AL1208" s="14"/>
      <c r="AN1208" s="14"/>
      <c r="AQ1208" s="0" t="s">
        <v>130</v>
      </c>
      <c r="AR1208" s="0" t="s">
        <v>130</v>
      </c>
      <c r="AS1208" s="0" t="s">
        <v>130</v>
      </c>
      <c r="AT1208" s="0" t="s">
        <v>130</v>
      </c>
      <c r="AU1208" s="0" t="s">
        <v>130</v>
      </c>
      <c r="AV1208" s="0" t="s">
        <v>130</v>
      </c>
      <c r="AW1208" s="0" t="s">
        <v>130</v>
      </c>
      <c r="AX1208" s="0" t="s">
        <v>130</v>
      </c>
      <c r="AY1208" s="0" t="s">
        <v>130</v>
      </c>
      <c r="AZ1208" s="0" t="s">
        <v>130</v>
      </c>
      <c r="BA1208" s="0" t="s">
        <v>130</v>
      </c>
      <c r="BB1208" s="0" t="s">
        <v>130</v>
      </c>
      <c r="BC1208" s="0" t="s">
        <v>130</v>
      </c>
      <c r="BD1208" s="0" t="s">
        <v>130</v>
      </c>
      <c r="BE1208" s="0" t="s">
        <v>130</v>
      </c>
      <c r="BF1208" s="0" t="s">
        <v>130</v>
      </c>
      <c r="BG1208" s="0" t="s">
        <v>130</v>
      </c>
      <c r="BH1208" s="0" t="s">
        <v>130</v>
      </c>
      <c r="BI1208" s="0" t="s">
        <v>130</v>
      </c>
      <c r="BJ1208" s="0" t="s">
        <v>130</v>
      </c>
      <c r="BK1208" s="0" t="s">
        <v>130</v>
      </c>
      <c r="BL1208" s="0" t="s">
        <v>130</v>
      </c>
      <c r="BM1208" s="0" t="s">
        <v>130</v>
      </c>
      <c r="BN1208" s="0" t="s">
        <v>130</v>
      </c>
      <c r="BO1208" s="0" t="s">
        <v>130</v>
      </c>
      <c r="BP1208" s="0" t="s">
        <v>130</v>
      </c>
      <c r="BQ1208" s="0" t="s">
        <v>130</v>
      </c>
      <c r="BR1208" s="0" t="s">
        <v>130</v>
      </c>
      <c r="BS1208" s="0" t="s">
        <v>130</v>
      </c>
      <c r="BT1208" s="0" t="s">
        <v>130</v>
      </c>
      <c r="BU1208" s="0" t="s">
        <v>130</v>
      </c>
      <c r="BV1208" s="0" t="s">
        <v>130</v>
      </c>
      <c r="BW1208" s="0" t="s">
        <v>130</v>
      </c>
      <c r="BX1208" s="0" t="s">
        <v>130</v>
      </c>
      <c r="BY1208" s="0" t="s">
        <v>130</v>
      </c>
      <c r="BZ1208" s="0" t="s">
        <v>130</v>
      </c>
      <c r="CA1208" s="0" t="s">
        <v>130</v>
      </c>
      <c r="CB1208" s="0" t="s">
        <v>130</v>
      </c>
      <c r="CC1208" s="0" t="s">
        <v>130</v>
      </c>
      <c r="CD1208" s="0" t="s">
        <v>130</v>
      </c>
      <c r="CE1208" s="0" t="s">
        <v>130</v>
      </c>
      <c r="CF1208" s="0" t="s">
        <v>130</v>
      </c>
      <c r="CG1208" s="0" t="s">
        <v>130</v>
      </c>
      <c r="CH1208" s="0" t="s">
        <v>130</v>
      </c>
      <c r="CI1208" s="0" t="s">
        <v>130</v>
      </c>
      <c r="CJ1208" s="0" t="s">
        <v>130</v>
      </c>
      <c r="CK1208" s="0" t="s">
        <v>130</v>
      </c>
      <c r="CL1208" s="0" t="s">
        <v>130</v>
      </c>
      <c r="CM1208" s="0" t="s">
        <v>130</v>
      </c>
      <c r="CN1208" s="0" t="s">
        <v>130</v>
      </c>
      <c r="CO1208" s="0" t="s">
        <v>130</v>
      </c>
      <c r="CP1208" s="0" t="s">
        <v>130</v>
      </c>
      <c r="CQ1208" s="0" t="s">
        <v>130</v>
      </c>
      <c r="CR1208" s="0" t="s">
        <v>130</v>
      </c>
      <c r="CS1208" s="0" t="s">
        <v>130</v>
      </c>
      <c r="CT1208" s="0" t="s">
        <v>3579</v>
      </c>
    </row>
    <row r="1209">
      <c r="A1209" s="14">
        <v>1404288</v>
      </c>
      <c r="B1209" s="0" t="s">
        <v>3574</v>
      </c>
      <c r="C1209" s="16">
        <f>HYPERLINK("https://eosportal.federatedhermes.com/companies/Q29tcGFueQppNDcwODA=", "PetroChina Co Ltd")</f>
      </c>
      <c r="D1209" s="0" t="s">
        <v>25</v>
      </c>
      <c r="E1209" s="0" t="s">
        <v>3027</v>
      </c>
      <c r="F1209" s="16">
        <f>HYPERLINK("https://eosportal.federatedhermes.com/engagements/RW5nYWdlbWVudAppMjYwNzc=", "Board gender diversity")</f>
      </c>
      <c r="G1209" s="14" t="s">
        <v>3580</v>
      </c>
      <c r="H1209" s="0" t="s">
        <v>141</v>
      </c>
      <c r="I1209" s="14" t="s">
        <v>636</v>
      </c>
      <c r="J1209" s="0" t="s">
        <v>145</v>
      </c>
      <c r="K1209" s="0" t="s">
        <v>164</v>
      </c>
      <c r="L1209" s="0" t="s">
        <v>165</v>
      </c>
      <c r="M1209" s="0" t="s">
        <v>2807</v>
      </c>
      <c r="N1209" s="0" t="s">
        <v>3272</v>
      </c>
      <c r="O1209" s="0" t="s">
        <v>542</v>
      </c>
      <c r="Q1209" s="0" t="s">
        <v>130</v>
      </c>
      <c r="R1209" s="0" t="s">
        <v>138</v>
      </c>
      <c r="S1209" s="14">
        <v>0</v>
      </c>
      <c r="T1209" s="0" t="s">
        <v>394</v>
      </c>
      <c r="U1209" s="0" t="s">
        <v>138</v>
      </c>
      <c r="V1209" s="14" t="s">
        <v>138</v>
      </c>
      <c r="W1209" s="0" t="s">
        <v>138</v>
      </c>
      <c r="X1209" s="14" t="s">
        <v>138</v>
      </c>
      <c r="Y1209" s="0" t="s">
        <v>138</v>
      </c>
      <c r="Z1209" s="14" t="s">
        <v>138</v>
      </c>
      <c r="AA1209" s="0" t="s">
        <v>138</v>
      </c>
      <c r="AB1209" s="14" t="s">
        <v>138</v>
      </c>
      <c r="AD1209" s="0" t="s">
        <v>138</v>
      </c>
      <c r="AF1209" s="0">
        <v>0</v>
      </c>
      <c r="AG1209" s="0">
        <v>0</v>
      </c>
      <c r="AH1209" s="0" t="s">
        <v>140</v>
      </c>
      <c r="AI1209" s="0" t="s">
        <v>138</v>
      </c>
      <c r="AL1209" s="14"/>
      <c r="AN1209" s="14"/>
      <c r="AQ1209" s="0" t="s">
        <v>130</v>
      </c>
      <c r="AR1209" s="0" t="s">
        <v>130</v>
      </c>
      <c r="AS1209" s="0" t="s">
        <v>130</v>
      </c>
      <c r="AT1209" s="0" t="s">
        <v>130</v>
      </c>
      <c r="AU1209" s="0" t="s">
        <v>141</v>
      </c>
      <c r="AV1209" s="0" t="s">
        <v>130</v>
      </c>
      <c r="AW1209" s="0" t="s">
        <v>130</v>
      </c>
      <c r="AX1209" s="0" t="s">
        <v>130</v>
      </c>
      <c r="AY1209" s="0" t="s">
        <v>130</v>
      </c>
      <c r="AZ1209" s="0" t="s">
        <v>130</v>
      </c>
      <c r="BA1209" s="0" t="s">
        <v>130</v>
      </c>
      <c r="BB1209" s="0" t="s">
        <v>130</v>
      </c>
      <c r="BC1209" s="0" t="s">
        <v>130</v>
      </c>
      <c r="BD1209" s="0" t="s">
        <v>130</v>
      </c>
      <c r="BE1209" s="0" t="s">
        <v>130</v>
      </c>
      <c r="BF1209" s="0" t="s">
        <v>130</v>
      </c>
      <c r="BG1209" s="0" t="s">
        <v>130</v>
      </c>
      <c r="BH1209" s="0" t="s">
        <v>130</v>
      </c>
      <c r="BI1209" s="0" t="s">
        <v>130</v>
      </c>
      <c r="BJ1209" s="0" t="s">
        <v>130</v>
      </c>
      <c r="BK1209" s="0" t="s">
        <v>130</v>
      </c>
      <c r="BL1209" s="0" t="s">
        <v>130</v>
      </c>
      <c r="BM1209" s="0" t="s">
        <v>130</v>
      </c>
      <c r="BN1209" s="0" t="s">
        <v>130</v>
      </c>
      <c r="BO1209" s="0" t="s">
        <v>130</v>
      </c>
      <c r="BP1209" s="0" t="s">
        <v>130</v>
      </c>
      <c r="BQ1209" s="0" t="s">
        <v>130</v>
      </c>
      <c r="BR1209" s="0" t="s">
        <v>130</v>
      </c>
      <c r="BS1209" s="0" t="s">
        <v>130</v>
      </c>
      <c r="BT1209" s="0" t="s">
        <v>130</v>
      </c>
      <c r="BU1209" s="0" t="s">
        <v>130</v>
      </c>
      <c r="BV1209" s="0" t="s">
        <v>130</v>
      </c>
      <c r="BW1209" s="0" t="s">
        <v>130</v>
      </c>
      <c r="BX1209" s="0" t="s">
        <v>130</v>
      </c>
      <c r="BY1209" s="0" t="s">
        <v>130</v>
      </c>
      <c r="BZ1209" s="0" t="s">
        <v>130</v>
      </c>
      <c r="CA1209" s="0" t="s">
        <v>130</v>
      </c>
      <c r="CB1209" s="0" t="s">
        <v>130</v>
      </c>
      <c r="CC1209" s="0" t="s">
        <v>130</v>
      </c>
      <c r="CD1209" s="0" t="s">
        <v>130</v>
      </c>
      <c r="CE1209" s="0" t="s">
        <v>130</v>
      </c>
      <c r="CF1209" s="0" t="s">
        <v>130</v>
      </c>
      <c r="CG1209" s="0" t="s">
        <v>130</v>
      </c>
      <c r="CH1209" s="0" t="s">
        <v>130</v>
      </c>
      <c r="CI1209" s="0" t="s">
        <v>130</v>
      </c>
      <c r="CJ1209" s="0" t="s">
        <v>130</v>
      </c>
      <c r="CK1209" s="0" t="s">
        <v>130</v>
      </c>
      <c r="CL1209" s="0" t="s">
        <v>130</v>
      </c>
      <c r="CM1209" s="0" t="s">
        <v>130</v>
      </c>
      <c r="CN1209" s="0" t="s">
        <v>130</v>
      </c>
      <c r="CO1209" s="0" t="s">
        <v>130</v>
      </c>
      <c r="CP1209" s="0" t="s">
        <v>130</v>
      </c>
      <c r="CQ1209" s="0" t="s">
        <v>130</v>
      </c>
      <c r="CR1209" s="0" t="s">
        <v>130</v>
      </c>
      <c r="CS1209" s="0" t="s">
        <v>130</v>
      </c>
      <c r="CT1209" s="0" t="s">
        <v>3581</v>
      </c>
    </row>
    <row r="1210">
      <c r="A1210" s="14">
        <v>1404288</v>
      </c>
      <c r="B1210" s="0" t="s">
        <v>3574</v>
      </c>
      <c r="C1210" s="16">
        <f>HYPERLINK("https://eosportal.federatedhermes.com/companies/Q29tcGFueQppNDcwODA=", "PetroChina Co Ltd")</f>
      </c>
      <c r="D1210" s="0" t="s">
        <v>23</v>
      </c>
      <c r="E1210" s="0" t="s">
        <v>3582</v>
      </c>
      <c r="F1210" s="16">
        <f>HYPERLINK("https://eosportal.federatedhermes.com/engagements/RW5nYWdlbWVudAppMjYwNzg=", "Low carbon transition plan")</f>
      </c>
      <c r="G1210" s="14" t="s">
        <v>3583</v>
      </c>
      <c r="H1210" s="0" t="s">
        <v>141</v>
      </c>
      <c r="I1210" s="14" t="s">
        <v>636</v>
      </c>
      <c r="J1210" s="0" t="s">
        <v>197</v>
      </c>
      <c r="K1210" s="0" t="s">
        <v>198</v>
      </c>
      <c r="L1210" s="0" t="s">
        <v>216</v>
      </c>
      <c r="M1210" s="0" t="s">
        <v>2807</v>
      </c>
      <c r="N1210" s="0" t="s">
        <v>3272</v>
      </c>
      <c r="O1210" s="0" t="s">
        <v>542</v>
      </c>
      <c r="Q1210" s="0" t="s">
        <v>141</v>
      </c>
      <c r="R1210" s="0" t="s">
        <v>130</v>
      </c>
      <c r="S1210" s="14">
        <v>1</v>
      </c>
      <c r="T1210" s="0" t="s">
        <v>249</v>
      </c>
      <c r="U1210" s="0" t="s">
        <v>221</v>
      </c>
      <c r="V1210" s="14" t="s">
        <v>249</v>
      </c>
      <c r="W1210" s="0" t="s">
        <v>221</v>
      </c>
      <c r="X1210" s="14" t="s">
        <v>359</v>
      </c>
      <c r="Y1210" s="0" t="s">
        <v>223</v>
      </c>
      <c r="Z1210" s="14" t="s">
        <v>138</v>
      </c>
      <c r="AA1210" s="0" t="s">
        <v>224</v>
      </c>
      <c r="AB1210" s="14" t="s">
        <v>138</v>
      </c>
      <c r="AD1210" s="0" t="s">
        <v>17</v>
      </c>
      <c r="AF1210" s="0">
        <v>0</v>
      </c>
      <c r="AG1210" s="0">
        <v>0</v>
      </c>
      <c r="AH1210" s="0" t="s">
        <v>140</v>
      </c>
      <c r="AI1210" s="0" t="s">
        <v>225</v>
      </c>
      <c r="AK1210" s="0" t="s">
        <v>3584</v>
      </c>
      <c r="AL1210" s="14"/>
      <c r="AN1210" s="14"/>
      <c r="AQ1210" s="0" t="s">
        <v>130</v>
      </c>
      <c r="AR1210" s="0" t="s">
        <v>130</v>
      </c>
      <c r="AS1210" s="0" t="s">
        <v>130</v>
      </c>
      <c r="AT1210" s="0" t="s">
        <v>130</v>
      </c>
      <c r="AU1210" s="0" t="s">
        <v>130</v>
      </c>
      <c r="AV1210" s="0" t="s">
        <v>130</v>
      </c>
      <c r="AW1210" s="0" t="s">
        <v>141</v>
      </c>
      <c r="AX1210" s="0" t="s">
        <v>130</v>
      </c>
      <c r="AY1210" s="0" t="s">
        <v>130</v>
      </c>
      <c r="AZ1210" s="0" t="s">
        <v>130</v>
      </c>
      <c r="BA1210" s="0" t="s">
        <v>130</v>
      </c>
      <c r="BB1210" s="0" t="s">
        <v>130</v>
      </c>
      <c r="BC1210" s="0" t="s">
        <v>141</v>
      </c>
      <c r="BD1210" s="0" t="s">
        <v>130</v>
      </c>
      <c r="BE1210" s="0" t="s">
        <v>130</v>
      </c>
      <c r="BF1210" s="0" t="s">
        <v>130</v>
      </c>
      <c r="BG1210" s="0" t="s">
        <v>130</v>
      </c>
      <c r="BH1210" s="0" t="s">
        <v>141</v>
      </c>
      <c r="BI1210" s="0" t="s">
        <v>141</v>
      </c>
      <c r="BJ1210" s="0" t="s">
        <v>141</v>
      </c>
      <c r="BK1210" s="0" t="s">
        <v>130</v>
      </c>
      <c r="BL1210" s="0" t="s">
        <v>130</v>
      </c>
      <c r="BM1210" s="0" t="s">
        <v>130</v>
      </c>
      <c r="BN1210" s="0" t="s">
        <v>130</v>
      </c>
      <c r="BO1210" s="0" t="s">
        <v>130</v>
      </c>
      <c r="BP1210" s="0" t="s">
        <v>130</v>
      </c>
      <c r="BQ1210" s="0" t="s">
        <v>130</v>
      </c>
      <c r="BR1210" s="0" t="s">
        <v>130</v>
      </c>
      <c r="BS1210" s="0" t="s">
        <v>130</v>
      </c>
      <c r="BT1210" s="0" t="s">
        <v>130</v>
      </c>
      <c r="BU1210" s="0" t="s">
        <v>130</v>
      </c>
      <c r="BV1210" s="0" t="s">
        <v>141</v>
      </c>
      <c r="BW1210" s="0" t="s">
        <v>141</v>
      </c>
      <c r="BX1210" s="0" t="s">
        <v>130</v>
      </c>
      <c r="BY1210" s="0" t="s">
        <v>130</v>
      </c>
      <c r="BZ1210" s="0" t="s">
        <v>130</v>
      </c>
      <c r="CA1210" s="0" t="s">
        <v>130</v>
      </c>
      <c r="CB1210" s="0" t="s">
        <v>130</v>
      </c>
      <c r="CC1210" s="0" t="s">
        <v>130</v>
      </c>
      <c r="CD1210" s="0" t="s">
        <v>130</v>
      </c>
      <c r="CE1210" s="0" t="s">
        <v>130</v>
      </c>
      <c r="CF1210" s="0" t="s">
        <v>130</v>
      </c>
      <c r="CG1210" s="0" t="s">
        <v>130</v>
      </c>
      <c r="CH1210" s="0" t="s">
        <v>130</v>
      </c>
      <c r="CI1210" s="0" t="s">
        <v>130</v>
      </c>
      <c r="CJ1210" s="0" t="s">
        <v>130</v>
      </c>
      <c r="CK1210" s="0" t="s">
        <v>130</v>
      </c>
      <c r="CL1210" s="0" t="s">
        <v>130</v>
      </c>
      <c r="CM1210" s="0" t="s">
        <v>130</v>
      </c>
      <c r="CN1210" s="0" t="s">
        <v>130</v>
      </c>
      <c r="CO1210" s="0" t="s">
        <v>130</v>
      </c>
      <c r="CP1210" s="0" t="s">
        <v>130</v>
      </c>
      <c r="CQ1210" s="0" t="s">
        <v>130</v>
      </c>
      <c r="CR1210" s="0" t="s">
        <v>130</v>
      </c>
      <c r="CS1210" s="0" t="s">
        <v>130</v>
      </c>
      <c r="CT1210" s="0" t="s">
        <v>3585</v>
      </c>
    </row>
    <row r="1211">
      <c r="A1211" s="14">
        <v>1404288</v>
      </c>
      <c r="B1211" s="0" t="s">
        <v>3574</v>
      </c>
      <c r="C1211" s="16">
        <f>HYPERLINK("https://eosportal.federatedhermes.com/companies/Q29tcGFueQppNDcwODA=", "PetroChina Co Ltd")</f>
      </c>
      <c r="D1211" s="0" t="s">
        <v>25</v>
      </c>
      <c r="E1211" s="0" t="s">
        <v>3586</v>
      </c>
      <c r="F1211" s="16">
        <f>HYPERLINK("https://eosportal.federatedhermes.com/engagements/RW5nYWdlbWVudAppMjYwODc=", "General share issuance")</f>
      </c>
      <c r="G1211" s="14" t="s">
        <v>3587</v>
      </c>
      <c r="H1211" s="0" t="s">
        <v>141</v>
      </c>
      <c r="I1211" s="14" t="s">
        <v>636</v>
      </c>
      <c r="J1211" s="0" t="s">
        <v>145</v>
      </c>
      <c r="K1211" s="0" t="s">
        <v>400</v>
      </c>
      <c r="L1211" s="0" t="s">
        <v>401</v>
      </c>
      <c r="M1211" s="0" t="s">
        <v>2807</v>
      </c>
      <c r="N1211" s="0" t="s">
        <v>3272</v>
      </c>
      <c r="O1211" s="0" t="s">
        <v>542</v>
      </c>
      <c r="Q1211" s="0" t="s">
        <v>130</v>
      </c>
      <c r="R1211" s="0" t="s">
        <v>138</v>
      </c>
      <c r="S1211" s="14">
        <v>0</v>
      </c>
      <c r="T1211" s="0" t="s">
        <v>416</v>
      </c>
      <c r="U1211" s="0" t="s">
        <v>138</v>
      </c>
      <c r="V1211" s="14" t="s">
        <v>138</v>
      </c>
      <c r="W1211" s="0" t="s">
        <v>138</v>
      </c>
      <c r="X1211" s="14" t="s">
        <v>138</v>
      </c>
      <c r="Y1211" s="0" t="s">
        <v>138</v>
      </c>
      <c r="Z1211" s="14" t="s">
        <v>138</v>
      </c>
      <c r="AA1211" s="0" t="s">
        <v>138</v>
      </c>
      <c r="AB1211" s="14" t="s">
        <v>138</v>
      </c>
      <c r="AD1211" s="0" t="s">
        <v>138</v>
      </c>
      <c r="AF1211" s="0">
        <v>0</v>
      </c>
      <c r="AG1211" s="0">
        <v>0</v>
      </c>
      <c r="AH1211" s="0" t="s">
        <v>140</v>
      </c>
      <c r="AI1211" s="0" t="s">
        <v>138</v>
      </c>
      <c r="AL1211" s="14"/>
      <c r="AN1211" s="14"/>
      <c r="AQ1211" s="0" t="s">
        <v>130</v>
      </c>
      <c r="AR1211" s="0" t="s">
        <v>130</v>
      </c>
      <c r="AS1211" s="0" t="s">
        <v>130</v>
      </c>
      <c r="AT1211" s="0" t="s">
        <v>130</v>
      </c>
      <c r="AU1211" s="0" t="s">
        <v>130</v>
      </c>
      <c r="AV1211" s="0" t="s">
        <v>130</v>
      </c>
      <c r="AW1211" s="0" t="s">
        <v>130</v>
      </c>
      <c r="AX1211" s="0" t="s">
        <v>130</v>
      </c>
      <c r="AY1211" s="0" t="s">
        <v>130</v>
      </c>
      <c r="AZ1211" s="0" t="s">
        <v>130</v>
      </c>
      <c r="BA1211" s="0" t="s">
        <v>130</v>
      </c>
      <c r="BB1211" s="0" t="s">
        <v>130</v>
      </c>
      <c r="BC1211" s="0" t="s">
        <v>130</v>
      </c>
      <c r="BD1211" s="0" t="s">
        <v>130</v>
      </c>
      <c r="BE1211" s="0" t="s">
        <v>130</v>
      </c>
      <c r="BF1211" s="0" t="s">
        <v>130</v>
      </c>
      <c r="BG1211" s="0" t="s">
        <v>130</v>
      </c>
      <c r="BH1211" s="0" t="s">
        <v>130</v>
      </c>
      <c r="BI1211" s="0" t="s">
        <v>130</v>
      </c>
      <c r="BJ1211" s="0" t="s">
        <v>130</v>
      </c>
      <c r="BK1211" s="0" t="s">
        <v>130</v>
      </c>
      <c r="BL1211" s="0" t="s">
        <v>130</v>
      </c>
      <c r="BM1211" s="0" t="s">
        <v>130</v>
      </c>
      <c r="BN1211" s="0" t="s">
        <v>130</v>
      </c>
      <c r="BO1211" s="0" t="s">
        <v>130</v>
      </c>
      <c r="BP1211" s="0" t="s">
        <v>130</v>
      </c>
      <c r="BQ1211" s="0" t="s">
        <v>130</v>
      </c>
      <c r="BR1211" s="0" t="s">
        <v>130</v>
      </c>
      <c r="BS1211" s="0" t="s">
        <v>130</v>
      </c>
      <c r="BT1211" s="0" t="s">
        <v>130</v>
      </c>
      <c r="BU1211" s="0" t="s">
        <v>130</v>
      </c>
      <c r="BV1211" s="0" t="s">
        <v>130</v>
      </c>
      <c r="BW1211" s="0" t="s">
        <v>130</v>
      </c>
      <c r="BX1211" s="0" t="s">
        <v>130</v>
      </c>
      <c r="BY1211" s="0" t="s">
        <v>130</v>
      </c>
      <c r="BZ1211" s="0" t="s">
        <v>130</v>
      </c>
      <c r="CA1211" s="0" t="s">
        <v>130</v>
      </c>
      <c r="CB1211" s="0" t="s">
        <v>130</v>
      </c>
      <c r="CC1211" s="0" t="s">
        <v>130</v>
      </c>
      <c r="CD1211" s="0" t="s">
        <v>130</v>
      </c>
      <c r="CE1211" s="0" t="s">
        <v>130</v>
      </c>
      <c r="CF1211" s="0" t="s">
        <v>130</v>
      </c>
      <c r="CG1211" s="0" t="s">
        <v>130</v>
      </c>
      <c r="CH1211" s="0" t="s">
        <v>130</v>
      </c>
      <c r="CI1211" s="0" t="s">
        <v>130</v>
      </c>
      <c r="CJ1211" s="0" t="s">
        <v>130</v>
      </c>
      <c r="CK1211" s="0" t="s">
        <v>130</v>
      </c>
      <c r="CL1211" s="0" t="s">
        <v>130</v>
      </c>
      <c r="CM1211" s="0" t="s">
        <v>130</v>
      </c>
      <c r="CN1211" s="0" t="s">
        <v>130</v>
      </c>
      <c r="CO1211" s="0" t="s">
        <v>130</v>
      </c>
      <c r="CP1211" s="0" t="s">
        <v>130</v>
      </c>
      <c r="CQ1211" s="0" t="s">
        <v>130</v>
      </c>
      <c r="CR1211" s="0" t="s">
        <v>130</v>
      </c>
      <c r="CS1211" s="0" t="s">
        <v>130</v>
      </c>
      <c r="CT1211" s="0" t="s">
        <v>3588</v>
      </c>
    </row>
    <row r="1212">
      <c r="A1212" s="14">
        <v>1404288</v>
      </c>
      <c r="B1212" s="0" t="s">
        <v>3574</v>
      </c>
      <c r="C1212" s="16">
        <f>HYPERLINK("https://eosportal.federatedhermes.com/companies/Q29tcGFueQppNDcwODA=", "PetroChina Co Ltd")</f>
      </c>
      <c r="D1212" s="0" t="s">
        <v>25</v>
      </c>
      <c r="E1212" s="0" t="s">
        <v>3589</v>
      </c>
      <c r="F1212" s="16">
        <f>HYPERLINK("https://eosportal.federatedhermes.com/engagements/RW5nYWdlbWVudAppMjYwODg=", "Climate change &amp; emission reduction plan")</f>
      </c>
      <c r="G1212" s="14" t="s">
        <v>3589</v>
      </c>
      <c r="H1212" s="0" t="s">
        <v>141</v>
      </c>
      <c r="I1212" s="14" t="s">
        <v>636</v>
      </c>
      <c r="J1212" s="0" t="s">
        <v>197</v>
      </c>
      <c r="K1212" s="0" t="s">
        <v>198</v>
      </c>
      <c r="L1212" s="0" t="s">
        <v>216</v>
      </c>
      <c r="M1212" s="0" t="s">
        <v>2807</v>
      </c>
      <c r="N1212" s="0" t="s">
        <v>3272</v>
      </c>
      <c r="O1212" s="0" t="s">
        <v>542</v>
      </c>
      <c r="Q1212" s="0" t="s">
        <v>141</v>
      </c>
      <c r="R1212" s="0" t="s">
        <v>138</v>
      </c>
      <c r="S1212" s="14">
        <v>1</v>
      </c>
      <c r="T1212" s="0" t="s">
        <v>825</v>
      </c>
      <c r="U1212" s="0" t="s">
        <v>138</v>
      </c>
      <c r="V1212" s="14" t="s">
        <v>138</v>
      </c>
      <c r="W1212" s="0" t="s">
        <v>138</v>
      </c>
      <c r="X1212" s="14" t="s">
        <v>138</v>
      </c>
      <c r="Y1212" s="0" t="s">
        <v>138</v>
      </c>
      <c r="Z1212" s="14" t="s">
        <v>138</v>
      </c>
      <c r="AA1212" s="0" t="s">
        <v>138</v>
      </c>
      <c r="AB1212" s="14" t="s">
        <v>138</v>
      </c>
      <c r="AD1212" s="0" t="s">
        <v>138</v>
      </c>
      <c r="AF1212" s="0">
        <v>0</v>
      </c>
      <c r="AG1212" s="0">
        <v>0</v>
      </c>
      <c r="AH1212" s="0" t="s">
        <v>140</v>
      </c>
      <c r="AI1212" s="0" t="s">
        <v>138</v>
      </c>
      <c r="AK1212" s="0" t="s">
        <v>3584</v>
      </c>
      <c r="AL1212" s="14"/>
      <c r="AN1212" s="14"/>
      <c r="AQ1212" s="0" t="s">
        <v>130</v>
      </c>
      <c r="AR1212" s="0" t="s">
        <v>130</v>
      </c>
      <c r="AS1212" s="0" t="s">
        <v>130</v>
      </c>
      <c r="AT1212" s="0" t="s">
        <v>130</v>
      </c>
      <c r="AU1212" s="0" t="s">
        <v>130</v>
      </c>
      <c r="AV1212" s="0" t="s">
        <v>130</v>
      </c>
      <c r="AW1212" s="0" t="s">
        <v>141</v>
      </c>
      <c r="AX1212" s="0" t="s">
        <v>130</v>
      </c>
      <c r="AY1212" s="0" t="s">
        <v>130</v>
      </c>
      <c r="AZ1212" s="0" t="s">
        <v>130</v>
      </c>
      <c r="BA1212" s="0" t="s">
        <v>130</v>
      </c>
      <c r="BB1212" s="0" t="s">
        <v>130</v>
      </c>
      <c r="BC1212" s="0" t="s">
        <v>141</v>
      </c>
      <c r="BD1212" s="0" t="s">
        <v>130</v>
      </c>
      <c r="BE1212" s="0" t="s">
        <v>130</v>
      </c>
      <c r="BF1212" s="0" t="s">
        <v>130</v>
      </c>
      <c r="BG1212" s="0" t="s">
        <v>130</v>
      </c>
      <c r="BH1212" s="0" t="s">
        <v>141</v>
      </c>
      <c r="BI1212" s="0" t="s">
        <v>141</v>
      </c>
      <c r="BJ1212" s="0" t="s">
        <v>141</v>
      </c>
      <c r="BK1212" s="0" t="s">
        <v>130</v>
      </c>
      <c r="BL1212" s="0" t="s">
        <v>130</v>
      </c>
      <c r="BM1212" s="0" t="s">
        <v>130</v>
      </c>
      <c r="BN1212" s="0" t="s">
        <v>130</v>
      </c>
      <c r="BO1212" s="0" t="s">
        <v>130</v>
      </c>
      <c r="BP1212" s="0" t="s">
        <v>130</v>
      </c>
      <c r="BQ1212" s="0" t="s">
        <v>130</v>
      </c>
      <c r="BR1212" s="0" t="s">
        <v>130</v>
      </c>
      <c r="BS1212" s="0" t="s">
        <v>130</v>
      </c>
      <c r="BT1212" s="0" t="s">
        <v>130</v>
      </c>
      <c r="BU1212" s="0" t="s">
        <v>130</v>
      </c>
      <c r="BV1212" s="0" t="s">
        <v>141</v>
      </c>
      <c r="BW1212" s="0" t="s">
        <v>141</v>
      </c>
      <c r="BX1212" s="0" t="s">
        <v>130</v>
      </c>
      <c r="BY1212" s="0" t="s">
        <v>130</v>
      </c>
      <c r="BZ1212" s="0" t="s">
        <v>130</v>
      </c>
      <c r="CA1212" s="0" t="s">
        <v>130</v>
      </c>
      <c r="CB1212" s="0" t="s">
        <v>130</v>
      </c>
      <c r="CC1212" s="0" t="s">
        <v>130</v>
      </c>
      <c r="CD1212" s="0" t="s">
        <v>130</v>
      </c>
      <c r="CE1212" s="0" t="s">
        <v>130</v>
      </c>
      <c r="CF1212" s="0" t="s">
        <v>130</v>
      </c>
      <c r="CG1212" s="0" t="s">
        <v>130</v>
      </c>
      <c r="CH1212" s="0" t="s">
        <v>130</v>
      </c>
      <c r="CI1212" s="0" t="s">
        <v>130</v>
      </c>
      <c r="CJ1212" s="0" t="s">
        <v>130</v>
      </c>
      <c r="CK1212" s="0" t="s">
        <v>130</v>
      </c>
      <c r="CL1212" s="0" t="s">
        <v>130</v>
      </c>
      <c r="CM1212" s="0" t="s">
        <v>130</v>
      </c>
      <c r="CN1212" s="0" t="s">
        <v>130</v>
      </c>
      <c r="CO1212" s="0" t="s">
        <v>130</v>
      </c>
      <c r="CP1212" s="0" t="s">
        <v>130</v>
      </c>
      <c r="CQ1212" s="0" t="s">
        <v>130</v>
      </c>
      <c r="CR1212" s="0" t="s">
        <v>130</v>
      </c>
      <c r="CS1212" s="0" t="s">
        <v>130</v>
      </c>
      <c r="CT1212" s="0" t="s">
        <v>3590</v>
      </c>
    </row>
    <row r="1213">
      <c r="A1213" s="14">
        <v>1404288</v>
      </c>
      <c r="B1213" s="0" t="s">
        <v>3574</v>
      </c>
      <c r="C1213" s="16">
        <f>HYPERLINK("https://eosportal.federatedhermes.com/companies/Q29tcGFueQppNDcwODA=", "PetroChina Co Ltd")</f>
      </c>
      <c r="D1213" s="0" t="s">
        <v>25</v>
      </c>
      <c r="E1213" s="0" t="s">
        <v>3591</v>
      </c>
      <c r="F1213" s="16">
        <f>HYPERLINK("https://eosportal.federatedhermes.com/engagements/RW5nYWdlbWVudAppMjYwOTA=", "Financial guarantee")</f>
      </c>
      <c r="G1213" s="14" t="s">
        <v>3592</v>
      </c>
      <c r="H1213" s="0" t="s">
        <v>141</v>
      </c>
      <c r="I1213" s="14" t="s">
        <v>636</v>
      </c>
      <c r="J1213" s="0" t="s">
        <v>145</v>
      </c>
      <c r="K1213" s="0" t="s">
        <v>400</v>
      </c>
      <c r="L1213" s="0" t="s">
        <v>507</v>
      </c>
      <c r="M1213" s="0" t="s">
        <v>2807</v>
      </c>
      <c r="N1213" s="0" t="s">
        <v>3272</v>
      </c>
      <c r="O1213" s="0" t="s">
        <v>542</v>
      </c>
      <c r="Q1213" s="0" t="s">
        <v>130</v>
      </c>
      <c r="R1213" s="0" t="s">
        <v>138</v>
      </c>
      <c r="S1213" s="14">
        <v>0</v>
      </c>
      <c r="T1213" s="0" t="s">
        <v>487</v>
      </c>
      <c r="U1213" s="0" t="s">
        <v>138</v>
      </c>
      <c r="V1213" s="14" t="s">
        <v>138</v>
      </c>
      <c r="W1213" s="0" t="s">
        <v>138</v>
      </c>
      <c r="X1213" s="14" t="s">
        <v>138</v>
      </c>
      <c r="Y1213" s="0" t="s">
        <v>138</v>
      </c>
      <c r="Z1213" s="14" t="s">
        <v>138</v>
      </c>
      <c r="AA1213" s="0" t="s">
        <v>138</v>
      </c>
      <c r="AB1213" s="14" t="s">
        <v>138</v>
      </c>
      <c r="AD1213" s="0" t="s">
        <v>138</v>
      </c>
      <c r="AF1213" s="0">
        <v>0</v>
      </c>
      <c r="AG1213" s="0">
        <v>0</v>
      </c>
      <c r="AH1213" s="0" t="s">
        <v>140</v>
      </c>
      <c r="AI1213" s="0" t="s">
        <v>138</v>
      </c>
      <c r="AL1213" s="14"/>
      <c r="AN1213" s="14"/>
      <c r="AQ1213" s="0" t="s">
        <v>130</v>
      </c>
      <c r="AR1213" s="0" t="s">
        <v>130</v>
      </c>
      <c r="AS1213" s="0" t="s">
        <v>130</v>
      </c>
      <c r="AT1213" s="0" t="s">
        <v>130</v>
      </c>
      <c r="AU1213" s="0" t="s">
        <v>130</v>
      </c>
      <c r="AV1213" s="0" t="s">
        <v>130</v>
      </c>
      <c r="AW1213" s="0" t="s">
        <v>130</v>
      </c>
      <c r="AX1213" s="0" t="s">
        <v>130</v>
      </c>
      <c r="AY1213" s="0" t="s">
        <v>130</v>
      </c>
      <c r="AZ1213" s="0" t="s">
        <v>130</v>
      </c>
      <c r="BA1213" s="0" t="s">
        <v>130</v>
      </c>
      <c r="BB1213" s="0" t="s">
        <v>130</v>
      </c>
      <c r="BC1213" s="0" t="s">
        <v>130</v>
      </c>
      <c r="BD1213" s="0" t="s">
        <v>130</v>
      </c>
      <c r="BE1213" s="0" t="s">
        <v>130</v>
      </c>
      <c r="BF1213" s="0" t="s">
        <v>130</v>
      </c>
      <c r="BG1213" s="0" t="s">
        <v>130</v>
      </c>
      <c r="BH1213" s="0" t="s">
        <v>130</v>
      </c>
      <c r="BI1213" s="0" t="s">
        <v>130</v>
      </c>
      <c r="BJ1213" s="0" t="s">
        <v>130</v>
      </c>
      <c r="BK1213" s="0" t="s">
        <v>130</v>
      </c>
      <c r="BL1213" s="0" t="s">
        <v>130</v>
      </c>
      <c r="BM1213" s="0" t="s">
        <v>130</v>
      </c>
      <c r="BN1213" s="0" t="s">
        <v>130</v>
      </c>
      <c r="BO1213" s="0" t="s">
        <v>130</v>
      </c>
      <c r="BP1213" s="0" t="s">
        <v>130</v>
      </c>
      <c r="BQ1213" s="0" t="s">
        <v>130</v>
      </c>
      <c r="BR1213" s="0" t="s">
        <v>130</v>
      </c>
      <c r="BS1213" s="0" t="s">
        <v>130</v>
      </c>
      <c r="BT1213" s="0" t="s">
        <v>130</v>
      </c>
      <c r="BU1213" s="0" t="s">
        <v>130</v>
      </c>
      <c r="BV1213" s="0" t="s">
        <v>130</v>
      </c>
      <c r="BW1213" s="0" t="s">
        <v>130</v>
      </c>
      <c r="BX1213" s="0" t="s">
        <v>130</v>
      </c>
      <c r="BY1213" s="0" t="s">
        <v>130</v>
      </c>
      <c r="BZ1213" s="0" t="s">
        <v>130</v>
      </c>
      <c r="CA1213" s="0" t="s">
        <v>130</v>
      </c>
      <c r="CB1213" s="0" t="s">
        <v>130</v>
      </c>
      <c r="CC1213" s="0" t="s">
        <v>130</v>
      </c>
      <c r="CD1213" s="0" t="s">
        <v>130</v>
      </c>
      <c r="CE1213" s="0" t="s">
        <v>130</v>
      </c>
      <c r="CF1213" s="0" t="s">
        <v>130</v>
      </c>
      <c r="CG1213" s="0" t="s">
        <v>130</v>
      </c>
      <c r="CH1213" s="0" t="s">
        <v>130</v>
      </c>
      <c r="CI1213" s="0" t="s">
        <v>130</v>
      </c>
      <c r="CJ1213" s="0" t="s">
        <v>130</v>
      </c>
      <c r="CK1213" s="0" t="s">
        <v>130</v>
      </c>
      <c r="CL1213" s="0" t="s">
        <v>130</v>
      </c>
      <c r="CM1213" s="0" t="s">
        <v>130</v>
      </c>
      <c r="CN1213" s="0" t="s">
        <v>130</v>
      </c>
      <c r="CO1213" s="0" t="s">
        <v>130</v>
      </c>
      <c r="CP1213" s="0" t="s">
        <v>130</v>
      </c>
      <c r="CQ1213" s="0" t="s">
        <v>130</v>
      </c>
      <c r="CR1213" s="0" t="s">
        <v>130</v>
      </c>
      <c r="CS1213" s="0" t="s">
        <v>130</v>
      </c>
      <c r="CT1213" s="0" t="s">
        <v>3593</v>
      </c>
    </row>
    <row r="1214">
      <c r="A1214" s="14">
        <v>313657</v>
      </c>
      <c r="B1214" s="0" t="s">
        <v>3594</v>
      </c>
      <c r="C1214" s="16">
        <f>HYPERLINK("https://eosportal.federatedhermes.com/companies/Q29tcGFueQppODU4NzU=", "NVIDIA Corp")</f>
      </c>
      <c r="D1214" s="0" t="s">
        <v>25</v>
      </c>
      <c r="E1214" s="0" t="s">
        <v>1381</v>
      </c>
      <c r="F1214" s="16">
        <f>HYPERLINK("https://eosportal.federatedhermes.com/engagements/RW5nYWdlbWVudAppMjYxMDQ=", "Strategy")</f>
      </c>
      <c r="G1214" s="14" t="s">
        <v>3595</v>
      </c>
      <c r="H1214" s="0" t="s">
        <v>141</v>
      </c>
      <c r="I1214" s="14" t="s">
        <v>191</v>
      </c>
      <c r="J1214" s="0" t="s">
        <v>132</v>
      </c>
      <c r="K1214" s="0" t="s">
        <v>133</v>
      </c>
      <c r="L1214" s="0" t="s">
        <v>160</v>
      </c>
      <c r="M1214" s="0" t="s">
        <v>135</v>
      </c>
      <c r="N1214" s="0" t="s">
        <v>136</v>
      </c>
      <c r="O1214" s="0" t="s">
        <v>1125</v>
      </c>
      <c r="Q1214" s="0" t="s">
        <v>141</v>
      </c>
      <c r="R1214" s="0" t="s">
        <v>138</v>
      </c>
      <c r="S1214" s="14">
        <v>1</v>
      </c>
      <c r="T1214" s="0" t="s">
        <v>343</v>
      </c>
      <c r="U1214" s="0" t="s">
        <v>138</v>
      </c>
      <c r="V1214" s="14" t="s">
        <v>138</v>
      </c>
      <c r="W1214" s="0" t="s">
        <v>138</v>
      </c>
      <c r="X1214" s="14" t="s">
        <v>138</v>
      </c>
      <c r="Y1214" s="0" t="s">
        <v>138</v>
      </c>
      <c r="Z1214" s="14" t="s">
        <v>138</v>
      </c>
      <c r="AA1214" s="0" t="s">
        <v>138</v>
      </c>
      <c r="AB1214" s="14" t="s">
        <v>138</v>
      </c>
      <c r="AD1214" s="0" t="s">
        <v>138</v>
      </c>
      <c r="AF1214" s="0">
        <v>0</v>
      </c>
      <c r="AG1214" s="0">
        <v>0</v>
      </c>
      <c r="AH1214" s="0" t="s">
        <v>140</v>
      </c>
      <c r="AI1214" s="0" t="s">
        <v>138</v>
      </c>
      <c r="AK1214" s="0" t="s">
        <v>3596</v>
      </c>
      <c r="AL1214" s="14"/>
      <c r="AN1214" s="14"/>
      <c r="AQ1214" s="0" t="s">
        <v>130</v>
      </c>
      <c r="AR1214" s="0" t="s">
        <v>130</v>
      </c>
      <c r="AS1214" s="0" t="s">
        <v>130</v>
      </c>
      <c r="AT1214" s="0" t="s">
        <v>130</v>
      </c>
      <c r="AU1214" s="0" t="s">
        <v>130</v>
      </c>
      <c r="AV1214" s="0" t="s">
        <v>130</v>
      </c>
      <c r="AW1214" s="0" t="s">
        <v>130</v>
      </c>
      <c r="AX1214" s="0" t="s">
        <v>130</v>
      </c>
      <c r="AY1214" s="0" t="s">
        <v>130</v>
      </c>
      <c r="AZ1214" s="0" t="s">
        <v>130</v>
      </c>
      <c r="BA1214" s="0" t="s">
        <v>130</v>
      </c>
      <c r="BB1214" s="0" t="s">
        <v>130</v>
      </c>
      <c r="BC1214" s="0" t="s">
        <v>130</v>
      </c>
      <c r="BD1214" s="0" t="s">
        <v>130</v>
      </c>
      <c r="BE1214" s="0" t="s">
        <v>130</v>
      </c>
      <c r="BF1214" s="0" t="s">
        <v>130</v>
      </c>
      <c r="BG1214" s="0" t="s">
        <v>130</v>
      </c>
      <c r="BH1214" s="0" t="s">
        <v>130</v>
      </c>
      <c r="BI1214" s="0" t="s">
        <v>130</v>
      </c>
      <c r="BJ1214" s="0" t="s">
        <v>130</v>
      </c>
      <c r="BK1214" s="0" t="s">
        <v>130</v>
      </c>
      <c r="BL1214" s="0" t="s">
        <v>130</v>
      </c>
      <c r="BM1214" s="0" t="s">
        <v>130</v>
      </c>
      <c r="BN1214" s="0" t="s">
        <v>130</v>
      </c>
      <c r="BO1214" s="0" t="s">
        <v>130</v>
      </c>
      <c r="BP1214" s="0" t="s">
        <v>130</v>
      </c>
      <c r="BQ1214" s="0" t="s">
        <v>130</v>
      </c>
      <c r="BR1214" s="0" t="s">
        <v>130</v>
      </c>
      <c r="BS1214" s="0" t="s">
        <v>130</v>
      </c>
      <c r="BT1214" s="0" t="s">
        <v>130</v>
      </c>
      <c r="BU1214" s="0" t="s">
        <v>130</v>
      </c>
      <c r="BV1214" s="0" t="s">
        <v>130</v>
      </c>
      <c r="BW1214" s="0" t="s">
        <v>130</v>
      </c>
      <c r="BX1214" s="0" t="s">
        <v>130</v>
      </c>
      <c r="BY1214" s="0" t="s">
        <v>130</v>
      </c>
      <c r="BZ1214" s="0" t="s">
        <v>130</v>
      </c>
      <c r="CA1214" s="0" t="s">
        <v>130</v>
      </c>
      <c r="CB1214" s="0" t="s">
        <v>130</v>
      </c>
      <c r="CC1214" s="0" t="s">
        <v>130</v>
      </c>
      <c r="CD1214" s="0" t="s">
        <v>130</v>
      </c>
      <c r="CE1214" s="0" t="s">
        <v>130</v>
      </c>
      <c r="CF1214" s="0" t="s">
        <v>130</v>
      </c>
      <c r="CG1214" s="0" t="s">
        <v>130</v>
      </c>
      <c r="CH1214" s="0" t="s">
        <v>130</v>
      </c>
      <c r="CI1214" s="0" t="s">
        <v>130</v>
      </c>
      <c r="CJ1214" s="0" t="s">
        <v>130</v>
      </c>
      <c r="CK1214" s="0" t="s">
        <v>130</v>
      </c>
      <c r="CL1214" s="0" t="s">
        <v>130</v>
      </c>
      <c r="CM1214" s="0" t="s">
        <v>130</v>
      </c>
      <c r="CN1214" s="0" t="s">
        <v>130</v>
      </c>
      <c r="CO1214" s="0" t="s">
        <v>130</v>
      </c>
      <c r="CP1214" s="0" t="s">
        <v>130</v>
      </c>
      <c r="CQ1214" s="0" t="s">
        <v>130</v>
      </c>
      <c r="CR1214" s="0" t="s">
        <v>130</v>
      </c>
      <c r="CS1214" s="0" t="s">
        <v>130</v>
      </c>
      <c r="CT1214" s="0" t="s">
        <v>3597</v>
      </c>
    </row>
    <row r="1215">
      <c r="A1215" s="14">
        <v>313657</v>
      </c>
      <c r="B1215" s="0" t="s">
        <v>3594</v>
      </c>
      <c r="C1215" s="16">
        <f>HYPERLINK("https://eosportal.federatedhermes.com/companies/Q29tcGFueQppODU4NzU=", "NVIDIA Corp")</f>
      </c>
      <c r="D1215" s="0" t="s">
        <v>25</v>
      </c>
      <c r="E1215" s="0" t="s">
        <v>3598</v>
      </c>
      <c r="F1215" s="16">
        <f>HYPERLINK("https://eosportal.federatedhermes.com/engagements/RW5nYWdlbWVudAppMjYxMDU=", "Science-Based Targets &amp; Renewables")</f>
      </c>
      <c r="G1215" s="14" t="s">
        <v>3599</v>
      </c>
      <c r="H1215" s="0" t="s">
        <v>141</v>
      </c>
      <c r="I1215" s="14" t="s">
        <v>191</v>
      </c>
      <c r="J1215" s="0" t="s">
        <v>197</v>
      </c>
      <c r="K1215" s="0" t="s">
        <v>198</v>
      </c>
      <c r="L1215" s="0" t="s">
        <v>216</v>
      </c>
      <c r="M1215" s="0" t="s">
        <v>135</v>
      </c>
      <c r="N1215" s="0" t="s">
        <v>136</v>
      </c>
      <c r="O1215" s="0" t="s">
        <v>1125</v>
      </c>
      <c r="Q1215" s="0" t="s">
        <v>141</v>
      </c>
      <c r="R1215" s="0" t="s">
        <v>138</v>
      </c>
      <c r="S1215" s="14">
        <v>1</v>
      </c>
      <c r="T1215" s="0" t="s">
        <v>193</v>
      </c>
      <c r="U1215" s="0" t="s">
        <v>138</v>
      </c>
      <c r="V1215" s="14" t="s">
        <v>138</v>
      </c>
      <c r="W1215" s="0" t="s">
        <v>138</v>
      </c>
      <c r="X1215" s="14" t="s">
        <v>138</v>
      </c>
      <c r="Y1215" s="0" t="s">
        <v>138</v>
      </c>
      <c r="Z1215" s="14" t="s">
        <v>138</v>
      </c>
      <c r="AA1215" s="0" t="s">
        <v>138</v>
      </c>
      <c r="AB1215" s="14" t="s">
        <v>138</v>
      </c>
      <c r="AD1215" s="0" t="s">
        <v>138</v>
      </c>
      <c r="AF1215" s="0">
        <v>0</v>
      </c>
      <c r="AG1215" s="0">
        <v>0</v>
      </c>
      <c r="AH1215" s="0" t="s">
        <v>140</v>
      </c>
      <c r="AI1215" s="0" t="s">
        <v>138</v>
      </c>
      <c r="AK1215" s="0" t="s">
        <v>3596</v>
      </c>
      <c r="AL1215" s="14"/>
      <c r="AN1215" s="14"/>
      <c r="AQ1215" s="0" t="s">
        <v>130</v>
      </c>
      <c r="AR1215" s="0" t="s">
        <v>130</v>
      </c>
      <c r="AS1215" s="0" t="s">
        <v>130</v>
      </c>
      <c r="AT1215" s="0" t="s">
        <v>130</v>
      </c>
      <c r="AU1215" s="0" t="s">
        <v>130</v>
      </c>
      <c r="AV1215" s="0" t="s">
        <v>130</v>
      </c>
      <c r="AW1215" s="0" t="s">
        <v>141</v>
      </c>
      <c r="AX1215" s="0" t="s">
        <v>130</v>
      </c>
      <c r="AY1215" s="0" t="s">
        <v>130</v>
      </c>
      <c r="AZ1215" s="0" t="s">
        <v>130</v>
      </c>
      <c r="BA1215" s="0" t="s">
        <v>130</v>
      </c>
      <c r="BB1215" s="0" t="s">
        <v>130</v>
      </c>
      <c r="BC1215" s="0" t="s">
        <v>141</v>
      </c>
      <c r="BD1215" s="0" t="s">
        <v>130</v>
      </c>
      <c r="BE1215" s="0" t="s">
        <v>130</v>
      </c>
      <c r="BF1215" s="0" t="s">
        <v>130</v>
      </c>
      <c r="BG1215" s="0" t="s">
        <v>130</v>
      </c>
      <c r="BH1215" s="0" t="s">
        <v>141</v>
      </c>
      <c r="BI1215" s="0" t="s">
        <v>141</v>
      </c>
      <c r="BJ1215" s="0" t="s">
        <v>141</v>
      </c>
      <c r="BK1215" s="0" t="s">
        <v>130</v>
      </c>
      <c r="BL1215" s="0" t="s">
        <v>130</v>
      </c>
      <c r="BM1215" s="0" t="s">
        <v>130</v>
      </c>
      <c r="BN1215" s="0" t="s">
        <v>130</v>
      </c>
      <c r="BO1215" s="0" t="s">
        <v>130</v>
      </c>
      <c r="BP1215" s="0" t="s">
        <v>130</v>
      </c>
      <c r="BQ1215" s="0" t="s">
        <v>130</v>
      </c>
      <c r="BR1215" s="0" t="s">
        <v>130</v>
      </c>
      <c r="BS1215" s="0" t="s">
        <v>130</v>
      </c>
      <c r="BT1215" s="0" t="s">
        <v>130</v>
      </c>
      <c r="BU1215" s="0" t="s">
        <v>130</v>
      </c>
      <c r="BV1215" s="0" t="s">
        <v>141</v>
      </c>
      <c r="BW1215" s="0" t="s">
        <v>141</v>
      </c>
      <c r="BX1215" s="0" t="s">
        <v>130</v>
      </c>
      <c r="BY1215" s="0" t="s">
        <v>130</v>
      </c>
      <c r="BZ1215" s="0" t="s">
        <v>130</v>
      </c>
      <c r="CA1215" s="0" t="s">
        <v>130</v>
      </c>
      <c r="CB1215" s="0" t="s">
        <v>130</v>
      </c>
      <c r="CC1215" s="0" t="s">
        <v>130</v>
      </c>
      <c r="CD1215" s="0" t="s">
        <v>130</v>
      </c>
      <c r="CE1215" s="0" t="s">
        <v>130</v>
      </c>
      <c r="CF1215" s="0" t="s">
        <v>130</v>
      </c>
      <c r="CG1215" s="0" t="s">
        <v>130</v>
      </c>
      <c r="CH1215" s="0" t="s">
        <v>130</v>
      </c>
      <c r="CI1215" s="0" t="s">
        <v>130</v>
      </c>
      <c r="CJ1215" s="0" t="s">
        <v>130</v>
      </c>
      <c r="CK1215" s="0" t="s">
        <v>130</v>
      </c>
      <c r="CL1215" s="0" t="s">
        <v>130</v>
      </c>
      <c r="CM1215" s="0" t="s">
        <v>130</v>
      </c>
      <c r="CN1215" s="0" t="s">
        <v>130</v>
      </c>
      <c r="CO1215" s="0" t="s">
        <v>130</v>
      </c>
      <c r="CP1215" s="0" t="s">
        <v>130</v>
      </c>
      <c r="CQ1215" s="0" t="s">
        <v>130</v>
      </c>
      <c r="CR1215" s="0" t="s">
        <v>130</v>
      </c>
      <c r="CS1215" s="0" t="s">
        <v>130</v>
      </c>
      <c r="CT1215" s="0" t="s">
        <v>3600</v>
      </c>
    </row>
    <row r="1216">
      <c r="A1216" s="14">
        <v>313657</v>
      </c>
      <c r="B1216" s="0" t="s">
        <v>3594</v>
      </c>
      <c r="C1216" s="16">
        <f>HYPERLINK("https://eosportal.federatedhermes.com/companies/Q29tcGFueQppODU4NzU=", "NVIDIA Corp")</f>
      </c>
      <c r="D1216" s="0" t="s">
        <v>25</v>
      </c>
      <c r="E1216" s="0" t="s">
        <v>3601</v>
      </c>
      <c r="F1216" s="16">
        <f>HYPERLINK("https://eosportal.federatedhermes.com/engagements/RW5nYWdlbWVudAppMjYxMDY=", "Responsible Sourcing of Cobalt")</f>
      </c>
      <c r="G1216" s="14" t="s">
        <v>3602</v>
      </c>
      <c r="H1216" s="0" t="s">
        <v>141</v>
      </c>
      <c r="I1216" s="14" t="s">
        <v>191</v>
      </c>
      <c r="J1216" s="0" t="s">
        <v>153</v>
      </c>
      <c r="K1216" s="0" t="s">
        <v>243</v>
      </c>
      <c r="L1216" s="0" t="s">
        <v>244</v>
      </c>
      <c r="M1216" s="0" t="s">
        <v>135</v>
      </c>
      <c r="N1216" s="0" t="s">
        <v>136</v>
      </c>
      <c r="O1216" s="0" t="s">
        <v>1125</v>
      </c>
      <c r="Q1216" s="0" t="s">
        <v>130</v>
      </c>
      <c r="R1216" s="0" t="s">
        <v>138</v>
      </c>
      <c r="S1216" s="14">
        <v>0</v>
      </c>
      <c r="T1216" s="0" t="s">
        <v>193</v>
      </c>
      <c r="U1216" s="0" t="s">
        <v>138</v>
      </c>
      <c r="V1216" s="14" t="s">
        <v>138</v>
      </c>
      <c r="W1216" s="0" t="s">
        <v>138</v>
      </c>
      <c r="X1216" s="14" t="s">
        <v>138</v>
      </c>
      <c r="Y1216" s="0" t="s">
        <v>138</v>
      </c>
      <c r="Z1216" s="14" t="s">
        <v>138</v>
      </c>
      <c r="AA1216" s="0" t="s">
        <v>138</v>
      </c>
      <c r="AB1216" s="14" t="s">
        <v>138</v>
      </c>
      <c r="AD1216" s="0" t="s">
        <v>138</v>
      </c>
      <c r="AF1216" s="0">
        <v>0</v>
      </c>
      <c r="AG1216" s="0">
        <v>0</v>
      </c>
      <c r="AH1216" s="0" t="s">
        <v>140</v>
      </c>
      <c r="AI1216" s="0" t="s">
        <v>138</v>
      </c>
      <c r="AL1216" s="14"/>
      <c r="AN1216" s="14"/>
      <c r="AQ1216" s="0" t="s">
        <v>130</v>
      </c>
      <c r="AR1216" s="0" t="s">
        <v>130</v>
      </c>
      <c r="AS1216" s="0" t="s">
        <v>130</v>
      </c>
      <c r="AT1216" s="0" t="s">
        <v>130</v>
      </c>
      <c r="AU1216" s="0" t="s">
        <v>130</v>
      </c>
      <c r="AV1216" s="0" t="s">
        <v>130</v>
      </c>
      <c r="AW1216" s="0" t="s">
        <v>130</v>
      </c>
      <c r="AX1216" s="0" t="s">
        <v>141</v>
      </c>
      <c r="AY1216" s="0" t="s">
        <v>130</v>
      </c>
      <c r="AZ1216" s="0" t="s">
        <v>130</v>
      </c>
      <c r="BA1216" s="0" t="s">
        <v>130</v>
      </c>
      <c r="BB1216" s="0" t="s">
        <v>130</v>
      </c>
      <c r="BC1216" s="0" t="s">
        <v>130</v>
      </c>
      <c r="BD1216" s="0" t="s">
        <v>130</v>
      </c>
      <c r="BE1216" s="0" t="s">
        <v>130</v>
      </c>
      <c r="BF1216" s="0" t="s">
        <v>130</v>
      </c>
      <c r="BG1216" s="0" t="s">
        <v>130</v>
      </c>
      <c r="BH1216" s="0" t="s">
        <v>130</v>
      </c>
      <c r="BI1216" s="0" t="s">
        <v>130</v>
      </c>
      <c r="BJ1216" s="0" t="s">
        <v>130</v>
      </c>
      <c r="BK1216" s="0" t="s">
        <v>130</v>
      </c>
      <c r="BL1216" s="0" t="s">
        <v>130</v>
      </c>
      <c r="BM1216" s="0" t="s">
        <v>130</v>
      </c>
      <c r="BN1216" s="0" t="s">
        <v>130</v>
      </c>
      <c r="BO1216" s="0" t="s">
        <v>130</v>
      </c>
      <c r="BP1216" s="0" t="s">
        <v>130</v>
      </c>
      <c r="BQ1216" s="0" t="s">
        <v>130</v>
      </c>
      <c r="BR1216" s="0" t="s">
        <v>130</v>
      </c>
      <c r="BS1216" s="0" t="s">
        <v>130</v>
      </c>
      <c r="BT1216" s="0" t="s">
        <v>130</v>
      </c>
      <c r="BU1216" s="0" t="s">
        <v>130</v>
      </c>
      <c r="BV1216" s="0" t="s">
        <v>130</v>
      </c>
      <c r="BW1216" s="0" t="s">
        <v>130</v>
      </c>
      <c r="BX1216" s="0" t="s">
        <v>130</v>
      </c>
      <c r="BY1216" s="0" t="s">
        <v>130</v>
      </c>
      <c r="BZ1216" s="0" t="s">
        <v>130</v>
      </c>
      <c r="CA1216" s="0" t="s">
        <v>130</v>
      </c>
      <c r="CB1216" s="0" t="s">
        <v>130</v>
      </c>
      <c r="CC1216" s="0" t="s">
        <v>130</v>
      </c>
      <c r="CD1216" s="0" t="s">
        <v>130</v>
      </c>
      <c r="CE1216" s="0" t="s">
        <v>130</v>
      </c>
      <c r="CF1216" s="0" t="s">
        <v>130</v>
      </c>
      <c r="CG1216" s="0" t="s">
        <v>130</v>
      </c>
      <c r="CH1216" s="0" t="s">
        <v>130</v>
      </c>
      <c r="CI1216" s="0" t="s">
        <v>130</v>
      </c>
      <c r="CJ1216" s="0" t="s">
        <v>130</v>
      </c>
      <c r="CK1216" s="0" t="s">
        <v>130</v>
      </c>
      <c r="CL1216" s="0" t="s">
        <v>130</v>
      </c>
      <c r="CM1216" s="0" t="s">
        <v>130</v>
      </c>
      <c r="CN1216" s="0" t="s">
        <v>130</v>
      </c>
      <c r="CO1216" s="0" t="s">
        <v>130</v>
      </c>
      <c r="CP1216" s="0" t="s">
        <v>130</v>
      </c>
      <c r="CQ1216" s="0" t="s">
        <v>130</v>
      </c>
      <c r="CR1216" s="0" t="s">
        <v>130</v>
      </c>
      <c r="CS1216" s="0" t="s">
        <v>130</v>
      </c>
      <c r="CT1216" s="0" t="s">
        <v>3603</v>
      </c>
    </row>
    <row r="1217">
      <c r="A1217" s="14">
        <v>313657</v>
      </c>
      <c r="B1217" s="0" t="s">
        <v>3594</v>
      </c>
      <c r="C1217" s="16">
        <f>HYPERLINK("https://eosportal.federatedhermes.com/companies/Q29tcGFueQppODU4NzU=", "NVIDIA Corp")</f>
      </c>
      <c r="D1217" s="0" t="s">
        <v>25</v>
      </c>
      <c r="E1217" s="0" t="s">
        <v>3604</v>
      </c>
      <c r="F1217" s="16">
        <f>HYPERLINK("https://eosportal.federatedhermes.com/engagements/RW5nYWdlbWVudAppMjYxMDc=", "Human Capital Performance &amp; Disclosure")</f>
      </c>
      <c r="G1217" s="14" t="s">
        <v>3605</v>
      </c>
      <c r="H1217" s="0" t="s">
        <v>141</v>
      </c>
      <c r="I1217" s="14" t="s">
        <v>191</v>
      </c>
      <c r="J1217" s="0" t="s">
        <v>153</v>
      </c>
      <c r="K1217" s="0" t="s">
        <v>154</v>
      </c>
      <c r="L1217" s="0" t="s">
        <v>268</v>
      </c>
      <c r="M1217" s="0" t="s">
        <v>135</v>
      </c>
      <c r="N1217" s="0" t="s">
        <v>136</v>
      </c>
      <c r="O1217" s="0" t="s">
        <v>1125</v>
      </c>
      <c r="Q1217" s="0" t="s">
        <v>130</v>
      </c>
      <c r="R1217" s="0" t="s">
        <v>138</v>
      </c>
      <c r="S1217" s="14">
        <v>0</v>
      </c>
      <c r="T1217" s="0" t="s">
        <v>193</v>
      </c>
      <c r="U1217" s="0" t="s">
        <v>138</v>
      </c>
      <c r="V1217" s="14" t="s">
        <v>138</v>
      </c>
      <c r="W1217" s="0" t="s">
        <v>138</v>
      </c>
      <c r="X1217" s="14" t="s">
        <v>138</v>
      </c>
      <c r="Y1217" s="0" t="s">
        <v>138</v>
      </c>
      <c r="Z1217" s="14" t="s">
        <v>138</v>
      </c>
      <c r="AA1217" s="0" t="s">
        <v>138</v>
      </c>
      <c r="AB1217" s="14" t="s">
        <v>138</v>
      </c>
      <c r="AD1217" s="0" t="s">
        <v>138</v>
      </c>
      <c r="AF1217" s="0">
        <v>0</v>
      </c>
      <c r="AG1217" s="0">
        <v>0</v>
      </c>
      <c r="AH1217" s="0" t="s">
        <v>140</v>
      </c>
      <c r="AI1217" s="0" t="s">
        <v>138</v>
      </c>
      <c r="AL1217" s="14"/>
      <c r="AN1217" s="14"/>
      <c r="AQ1217" s="0" t="s">
        <v>130</v>
      </c>
      <c r="AR1217" s="0" t="s">
        <v>130</v>
      </c>
      <c r="AS1217" s="0" t="s">
        <v>130</v>
      </c>
      <c r="AT1217" s="0" t="s">
        <v>130</v>
      </c>
      <c r="AU1217" s="0" t="s">
        <v>130</v>
      </c>
      <c r="AV1217" s="0" t="s">
        <v>130</v>
      </c>
      <c r="AW1217" s="0" t="s">
        <v>130</v>
      </c>
      <c r="AX1217" s="0" t="s">
        <v>130</v>
      </c>
      <c r="AY1217" s="0" t="s">
        <v>130</v>
      </c>
      <c r="AZ1217" s="0" t="s">
        <v>130</v>
      </c>
      <c r="BA1217" s="0" t="s">
        <v>130</v>
      </c>
      <c r="BB1217" s="0" t="s">
        <v>130</v>
      </c>
      <c r="BC1217" s="0" t="s">
        <v>130</v>
      </c>
      <c r="BD1217" s="0" t="s">
        <v>130</v>
      </c>
      <c r="BE1217" s="0" t="s">
        <v>130</v>
      </c>
      <c r="BF1217" s="0" t="s">
        <v>130</v>
      </c>
      <c r="BG1217" s="0" t="s">
        <v>130</v>
      </c>
      <c r="BH1217" s="0" t="s">
        <v>130</v>
      </c>
      <c r="BI1217" s="0" t="s">
        <v>130</v>
      </c>
      <c r="BJ1217" s="0" t="s">
        <v>130</v>
      </c>
      <c r="BK1217" s="0" t="s">
        <v>130</v>
      </c>
      <c r="BL1217" s="0" t="s">
        <v>130</v>
      </c>
      <c r="BM1217" s="0" t="s">
        <v>130</v>
      </c>
      <c r="BN1217" s="0" t="s">
        <v>130</v>
      </c>
      <c r="BO1217" s="0" t="s">
        <v>130</v>
      </c>
      <c r="BP1217" s="0" t="s">
        <v>130</v>
      </c>
      <c r="BQ1217" s="0" t="s">
        <v>130</v>
      </c>
      <c r="BR1217" s="0" t="s">
        <v>130</v>
      </c>
      <c r="BS1217" s="0" t="s">
        <v>130</v>
      </c>
      <c r="BT1217" s="0" t="s">
        <v>130</v>
      </c>
      <c r="BU1217" s="0" t="s">
        <v>130</v>
      </c>
      <c r="BV1217" s="0" t="s">
        <v>130</v>
      </c>
      <c r="BW1217" s="0" t="s">
        <v>130</v>
      </c>
      <c r="BX1217" s="0" t="s">
        <v>130</v>
      </c>
      <c r="BY1217" s="0" t="s">
        <v>130</v>
      </c>
      <c r="BZ1217" s="0" t="s">
        <v>130</v>
      </c>
      <c r="CA1217" s="0" t="s">
        <v>130</v>
      </c>
      <c r="CB1217" s="0" t="s">
        <v>130</v>
      </c>
      <c r="CC1217" s="0" t="s">
        <v>130</v>
      </c>
      <c r="CD1217" s="0" t="s">
        <v>130</v>
      </c>
      <c r="CE1217" s="0" t="s">
        <v>130</v>
      </c>
      <c r="CF1217" s="0" t="s">
        <v>130</v>
      </c>
      <c r="CG1217" s="0" t="s">
        <v>130</v>
      </c>
      <c r="CH1217" s="0" t="s">
        <v>130</v>
      </c>
      <c r="CI1217" s="0" t="s">
        <v>130</v>
      </c>
      <c r="CJ1217" s="0" t="s">
        <v>130</v>
      </c>
      <c r="CK1217" s="0" t="s">
        <v>141</v>
      </c>
      <c r="CL1217" s="0" t="s">
        <v>130</v>
      </c>
      <c r="CM1217" s="0" t="s">
        <v>130</v>
      </c>
      <c r="CN1217" s="0" t="s">
        <v>130</v>
      </c>
      <c r="CO1217" s="0" t="s">
        <v>130</v>
      </c>
      <c r="CP1217" s="0" t="s">
        <v>130</v>
      </c>
      <c r="CQ1217" s="0" t="s">
        <v>130</v>
      </c>
      <c r="CR1217" s="0" t="s">
        <v>130</v>
      </c>
      <c r="CS1217" s="0" t="s">
        <v>130</v>
      </c>
      <c r="CT1217" s="0" t="s">
        <v>3606</v>
      </c>
    </row>
    <row r="1218">
      <c r="A1218" s="14">
        <v>313657</v>
      </c>
      <c r="B1218" s="0" t="s">
        <v>3594</v>
      </c>
      <c r="C1218" s="16">
        <f>HYPERLINK("https://eosportal.federatedhermes.com/companies/Q29tcGFueQppODU4NzU=", "NVIDIA Corp")</f>
      </c>
      <c r="D1218" s="0" t="s">
        <v>25</v>
      </c>
      <c r="E1218" s="0" t="s">
        <v>729</v>
      </c>
      <c r="F1218" s="16">
        <f>HYPERLINK("https://eosportal.federatedhermes.com/engagements/RW5nYWdlbWVudAppMjYxMDg=", "Board diversity")</f>
      </c>
      <c r="G1218" s="14" t="s">
        <v>3607</v>
      </c>
      <c r="H1218" s="0" t="s">
        <v>141</v>
      </c>
      <c r="I1218" s="14" t="s">
        <v>191</v>
      </c>
      <c r="J1218" s="0" t="s">
        <v>145</v>
      </c>
      <c r="K1218" s="0" t="s">
        <v>164</v>
      </c>
      <c r="L1218" s="0" t="s">
        <v>165</v>
      </c>
      <c r="M1218" s="0" t="s">
        <v>135</v>
      </c>
      <c r="N1218" s="0" t="s">
        <v>136</v>
      </c>
      <c r="O1218" s="0" t="s">
        <v>1125</v>
      </c>
      <c r="Q1218" s="0" t="s">
        <v>130</v>
      </c>
      <c r="R1218" s="0" t="s">
        <v>138</v>
      </c>
      <c r="S1218" s="14">
        <v>0</v>
      </c>
      <c r="T1218" s="0" t="s">
        <v>148</v>
      </c>
      <c r="U1218" s="0" t="s">
        <v>138</v>
      </c>
      <c r="V1218" s="14" t="s">
        <v>138</v>
      </c>
      <c r="W1218" s="0" t="s">
        <v>138</v>
      </c>
      <c r="X1218" s="14" t="s">
        <v>138</v>
      </c>
      <c r="Y1218" s="0" t="s">
        <v>138</v>
      </c>
      <c r="Z1218" s="14" t="s">
        <v>138</v>
      </c>
      <c r="AA1218" s="0" t="s">
        <v>138</v>
      </c>
      <c r="AB1218" s="14" t="s">
        <v>138</v>
      </c>
      <c r="AD1218" s="0" t="s">
        <v>138</v>
      </c>
      <c r="AF1218" s="0">
        <v>0</v>
      </c>
      <c r="AG1218" s="0">
        <v>0</v>
      </c>
      <c r="AH1218" s="0" t="s">
        <v>140</v>
      </c>
      <c r="AI1218" s="0" t="s">
        <v>138</v>
      </c>
      <c r="AL1218" s="14"/>
      <c r="AN1218" s="14"/>
      <c r="AQ1218" s="0" t="s">
        <v>130</v>
      </c>
      <c r="AR1218" s="0" t="s">
        <v>130</v>
      </c>
      <c r="AS1218" s="0" t="s">
        <v>130</v>
      </c>
      <c r="AT1218" s="0" t="s">
        <v>130</v>
      </c>
      <c r="AU1218" s="0" t="s">
        <v>141</v>
      </c>
      <c r="AV1218" s="0" t="s">
        <v>130</v>
      </c>
      <c r="AW1218" s="0" t="s">
        <v>130</v>
      </c>
      <c r="AX1218" s="0" t="s">
        <v>130</v>
      </c>
      <c r="AY1218" s="0" t="s">
        <v>130</v>
      </c>
      <c r="AZ1218" s="0" t="s">
        <v>141</v>
      </c>
      <c r="BA1218" s="0" t="s">
        <v>130</v>
      </c>
      <c r="BB1218" s="0" t="s">
        <v>130</v>
      </c>
      <c r="BC1218" s="0" t="s">
        <v>130</v>
      </c>
      <c r="BD1218" s="0" t="s">
        <v>130</v>
      </c>
      <c r="BE1218" s="0" t="s">
        <v>130</v>
      </c>
      <c r="BF1218" s="0" t="s">
        <v>130</v>
      </c>
      <c r="BG1218" s="0" t="s">
        <v>130</v>
      </c>
      <c r="BH1218" s="0" t="s">
        <v>130</v>
      </c>
      <c r="BI1218" s="0" t="s">
        <v>130</v>
      </c>
      <c r="BJ1218" s="0" t="s">
        <v>130</v>
      </c>
      <c r="BK1218" s="0" t="s">
        <v>130</v>
      </c>
      <c r="BL1218" s="0" t="s">
        <v>130</v>
      </c>
      <c r="BM1218" s="0" t="s">
        <v>130</v>
      </c>
      <c r="BN1218" s="0" t="s">
        <v>130</v>
      </c>
      <c r="BO1218" s="0" t="s">
        <v>130</v>
      </c>
      <c r="BP1218" s="0" t="s">
        <v>130</v>
      </c>
      <c r="BQ1218" s="0" t="s">
        <v>130</v>
      </c>
      <c r="BR1218" s="0" t="s">
        <v>130</v>
      </c>
      <c r="BS1218" s="0" t="s">
        <v>130</v>
      </c>
      <c r="BT1218" s="0" t="s">
        <v>130</v>
      </c>
      <c r="BU1218" s="0" t="s">
        <v>130</v>
      </c>
      <c r="BV1218" s="0" t="s">
        <v>130</v>
      </c>
      <c r="BW1218" s="0" t="s">
        <v>130</v>
      </c>
      <c r="BX1218" s="0" t="s">
        <v>130</v>
      </c>
      <c r="BY1218" s="0" t="s">
        <v>130</v>
      </c>
      <c r="BZ1218" s="0" t="s">
        <v>130</v>
      </c>
      <c r="CA1218" s="0" t="s">
        <v>130</v>
      </c>
      <c r="CB1218" s="0" t="s">
        <v>130</v>
      </c>
      <c r="CC1218" s="0" t="s">
        <v>130</v>
      </c>
      <c r="CD1218" s="0" t="s">
        <v>130</v>
      </c>
      <c r="CE1218" s="0" t="s">
        <v>130</v>
      </c>
      <c r="CF1218" s="0" t="s">
        <v>130</v>
      </c>
      <c r="CG1218" s="0" t="s">
        <v>130</v>
      </c>
      <c r="CH1218" s="0" t="s">
        <v>130</v>
      </c>
      <c r="CI1218" s="0" t="s">
        <v>130</v>
      </c>
      <c r="CJ1218" s="0" t="s">
        <v>130</v>
      </c>
      <c r="CK1218" s="0" t="s">
        <v>130</v>
      </c>
      <c r="CL1218" s="0" t="s">
        <v>130</v>
      </c>
      <c r="CM1218" s="0" t="s">
        <v>130</v>
      </c>
      <c r="CN1218" s="0" t="s">
        <v>130</v>
      </c>
      <c r="CO1218" s="0" t="s">
        <v>130</v>
      </c>
      <c r="CP1218" s="0" t="s">
        <v>130</v>
      </c>
      <c r="CQ1218" s="0" t="s">
        <v>130</v>
      </c>
      <c r="CR1218" s="0" t="s">
        <v>130</v>
      </c>
      <c r="CS1218" s="0" t="s">
        <v>130</v>
      </c>
      <c r="CT1218" s="0" t="s">
        <v>3608</v>
      </c>
    </row>
    <row r="1219">
      <c r="A1219" s="14">
        <v>313657</v>
      </c>
      <c r="B1219" s="0" t="s">
        <v>3594</v>
      </c>
      <c r="C1219" s="16">
        <f>HYPERLINK("https://eosportal.federatedhermes.com/companies/Q29tcGFueQppODU4NzU=", "NVIDIA Corp")</f>
      </c>
      <c r="D1219" s="0" t="s">
        <v>25</v>
      </c>
      <c r="E1219" s="0" t="s">
        <v>3609</v>
      </c>
      <c r="F1219" s="16">
        <f>HYPERLINK("https://eosportal.federatedhermes.com/engagements/RW5nYWdlbWVudAppMjYxMDk=", "Long serving directors")</f>
      </c>
      <c r="G1219" s="14" t="s">
        <v>3610</v>
      </c>
      <c r="H1219" s="0" t="s">
        <v>141</v>
      </c>
      <c r="I1219" s="14" t="s">
        <v>191</v>
      </c>
      <c r="J1219" s="0" t="s">
        <v>145</v>
      </c>
      <c r="K1219" s="0" t="s">
        <v>164</v>
      </c>
      <c r="L1219" s="0" t="s">
        <v>165</v>
      </c>
      <c r="M1219" s="0" t="s">
        <v>135</v>
      </c>
      <c r="N1219" s="0" t="s">
        <v>136</v>
      </c>
      <c r="O1219" s="0" t="s">
        <v>1125</v>
      </c>
      <c r="Q1219" s="0" t="s">
        <v>130</v>
      </c>
      <c r="R1219" s="0" t="s">
        <v>138</v>
      </c>
      <c r="S1219" s="14">
        <v>0</v>
      </c>
      <c r="T1219" s="0" t="s">
        <v>239</v>
      </c>
      <c r="U1219" s="0" t="s">
        <v>138</v>
      </c>
      <c r="V1219" s="14" t="s">
        <v>138</v>
      </c>
      <c r="W1219" s="0" t="s">
        <v>138</v>
      </c>
      <c r="X1219" s="14" t="s">
        <v>138</v>
      </c>
      <c r="Y1219" s="0" t="s">
        <v>138</v>
      </c>
      <c r="Z1219" s="14" t="s">
        <v>138</v>
      </c>
      <c r="AA1219" s="0" t="s">
        <v>138</v>
      </c>
      <c r="AB1219" s="14" t="s">
        <v>138</v>
      </c>
      <c r="AD1219" s="0" t="s">
        <v>138</v>
      </c>
      <c r="AF1219" s="0">
        <v>0</v>
      </c>
      <c r="AG1219" s="0">
        <v>0</v>
      </c>
      <c r="AH1219" s="0" t="s">
        <v>140</v>
      </c>
      <c r="AI1219" s="0" t="s">
        <v>138</v>
      </c>
      <c r="AL1219" s="14"/>
      <c r="AN1219" s="14"/>
      <c r="AQ1219" s="0" t="s">
        <v>130</v>
      </c>
      <c r="AR1219" s="0" t="s">
        <v>130</v>
      </c>
      <c r="AS1219" s="0" t="s">
        <v>130</v>
      </c>
      <c r="AT1219" s="0" t="s">
        <v>130</v>
      </c>
      <c r="AU1219" s="0" t="s">
        <v>130</v>
      </c>
      <c r="AV1219" s="0" t="s">
        <v>130</v>
      </c>
      <c r="AW1219" s="0" t="s">
        <v>130</v>
      </c>
      <c r="AX1219" s="0" t="s">
        <v>130</v>
      </c>
      <c r="AY1219" s="0" t="s">
        <v>130</v>
      </c>
      <c r="AZ1219" s="0" t="s">
        <v>130</v>
      </c>
      <c r="BA1219" s="0" t="s">
        <v>130</v>
      </c>
      <c r="BB1219" s="0" t="s">
        <v>130</v>
      </c>
      <c r="BC1219" s="0" t="s">
        <v>130</v>
      </c>
      <c r="BD1219" s="0" t="s">
        <v>130</v>
      </c>
      <c r="BE1219" s="0" t="s">
        <v>130</v>
      </c>
      <c r="BF1219" s="0" t="s">
        <v>130</v>
      </c>
      <c r="BG1219" s="0" t="s">
        <v>130</v>
      </c>
      <c r="BH1219" s="0" t="s">
        <v>130</v>
      </c>
      <c r="BI1219" s="0" t="s">
        <v>130</v>
      </c>
      <c r="BJ1219" s="0" t="s">
        <v>130</v>
      </c>
      <c r="BK1219" s="0" t="s">
        <v>130</v>
      </c>
      <c r="BL1219" s="0" t="s">
        <v>130</v>
      </c>
      <c r="BM1219" s="0" t="s">
        <v>130</v>
      </c>
      <c r="BN1219" s="0" t="s">
        <v>130</v>
      </c>
      <c r="BO1219" s="0" t="s">
        <v>130</v>
      </c>
      <c r="BP1219" s="0" t="s">
        <v>130</v>
      </c>
      <c r="BQ1219" s="0" t="s">
        <v>130</v>
      </c>
      <c r="BR1219" s="0" t="s">
        <v>130</v>
      </c>
      <c r="BS1219" s="0" t="s">
        <v>130</v>
      </c>
      <c r="BT1219" s="0" t="s">
        <v>130</v>
      </c>
      <c r="BU1219" s="0" t="s">
        <v>130</v>
      </c>
      <c r="BV1219" s="0" t="s">
        <v>130</v>
      </c>
      <c r="BW1219" s="0" t="s">
        <v>130</v>
      </c>
      <c r="BX1219" s="0" t="s">
        <v>130</v>
      </c>
      <c r="BY1219" s="0" t="s">
        <v>130</v>
      </c>
      <c r="BZ1219" s="0" t="s">
        <v>130</v>
      </c>
      <c r="CA1219" s="0" t="s">
        <v>130</v>
      </c>
      <c r="CB1219" s="0" t="s">
        <v>130</v>
      </c>
      <c r="CC1219" s="0" t="s">
        <v>130</v>
      </c>
      <c r="CD1219" s="0" t="s">
        <v>130</v>
      </c>
      <c r="CE1219" s="0" t="s">
        <v>130</v>
      </c>
      <c r="CF1219" s="0" t="s">
        <v>130</v>
      </c>
      <c r="CG1219" s="0" t="s">
        <v>130</v>
      </c>
      <c r="CH1219" s="0" t="s">
        <v>130</v>
      </c>
      <c r="CI1219" s="0" t="s">
        <v>130</v>
      </c>
      <c r="CJ1219" s="0" t="s">
        <v>130</v>
      </c>
      <c r="CK1219" s="0" t="s">
        <v>130</v>
      </c>
      <c r="CL1219" s="0" t="s">
        <v>130</v>
      </c>
      <c r="CM1219" s="0" t="s">
        <v>130</v>
      </c>
      <c r="CN1219" s="0" t="s">
        <v>130</v>
      </c>
      <c r="CO1219" s="0" t="s">
        <v>130</v>
      </c>
      <c r="CP1219" s="0" t="s">
        <v>130</v>
      </c>
      <c r="CQ1219" s="0" t="s">
        <v>130</v>
      </c>
      <c r="CR1219" s="0" t="s">
        <v>130</v>
      </c>
      <c r="CS1219" s="0" t="s">
        <v>130</v>
      </c>
      <c r="CT1219" s="0" t="s">
        <v>3611</v>
      </c>
    </row>
    <row r="1220">
      <c r="A1220" s="14">
        <v>313657</v>
      </c>
      <c r="B1220" s="0" t="s">
        <v>3594</v>
      </c>
      <c r="C1220" s="16">
        <f>HYPERLINK("https://eosportal.federatedhermes.com/companies/Q29tcGFueQppODU4NzU=", "NVIDIA Corp")</f>
      </c>
      <c r="D1220" s="0" t="s">
        <v>25</v>
      </c>
      <c r="E1220" s="0" t="s">
        <v>143</v>
      </c>
      <c r="F1220" s="16">
        <f>HYPERLINK("https://eosportal.federatedhermes.com/engagements/RW5nYWdlbWVudAppMjYxMTA=", "Executive compensation")</f>
      </c>
      <c r="G1220" s="14" t="s">
        <v>3612</v>
      </c>
      <c r="H1220" s="0" t="s">
        <v>141</v>
      </c>
      <c r="I1220" s="14" t="s">
        <v>191</v>
      </c>
      <c r="J1220" s="0" t="s">
        <v>145</v>
      </c>
      <c r="K1220" s="0" t="s">
        <v>146</v>
      </c>
      <c r="L1220" s="0" t="s">
        <v>147</v>
      </c>
      <c r="M1220" s="0" t="s">
        <v>135</v>
      </c>
      <c r="N1220" s="0" t="s">
        <v>136</v>
      </c>
      <c r="O1220" s="0" t="s">
        <v>1125</v>
      </c>
      <c r="Q1220" s="0" t="s">
        <v>130</v>
      </c>
      <c r="R1220" s="0" t="s">
        <v>138</v>
      </c>
      <c r="S1220" s="14">
        <v>0</v>
      </c>
      <c r="T1220" s="0" t="s">
        <v>148</v>
      </c>
      <c r="U1220" s="0" t="s">
        <v>138</v>
      </c>
      <c r="V1220" s="14" t="s">
        <v>138</v>
      </c>
      <c r="W1220" s="0" t="s">
        <v>138</v>
      </c>
      <c r="X1220" s="14" t="s">
        <v>138</v>
      </c>
      <c r="Y1220" s="0" t="s">
        <v>138</v>
      </c>
      <c r="Z1220" s="14" t="s">
        <v>138</v>
      </c>
      <c r="AA1220" s="0" t="s">
        <v>138</v>
      </c>
      <c r="AB1220" s="14" t="s">
        <v>138</v>
      </c>
      <c r="AD1220" s="0" t="s">
        <v>138</v>
      </c>
      <c r="AF1220" s="0">
        <v>0</v>
      </c>
      <c r="AG1220" s="0">
        <v>0</v>
      </c>
      <c r="AH1220" s="0" t="s">
        <v>140</v>
      </c>
      <c r="AI1220" s="0" t="s">
        <v>138</v>
      </c>
      <c r="AL1220" s="14"/>
      <c r="AN1220" s="14"/>
      <c r="AQ1220" s="0" t="s">
        <v>130</v>
      </c>
      <c r="AR1220" s="0" t="s">
        <v>130</v>
      </c>
      <c r="AS1220" s="0" t="s">
        <v>130</v>
      </c>
      <c r="AT1220" s="0" t="s">
        <v>130</v>
      </c>
      <c r="AU1220" s="0" t="s">
        <v>130</v>
      </c>
      <c r="AV1220" s="0" t="s">
        <v>130</v>
      </c>
      <c r="AW1220" s="0" t="s">
        <v>130</v>
      </c>
      <c r="AX1220" s="0" t="s">
        <v>130</v>
      </c>
      <c r="AY1220" s="0" t="s">
        <v>130</v>
      </c>
      <c r="AZ1220" s="0" t="s">
        <v>130</v>
      </c>
      <c r="BA1220" s="0" t="s">
        <v>130</v>
      </c>
      <c r="BB1220" s="0" t="s">
        <v>130</v>
      </c>
      <c r="BC1220" s="0" t="s">
        <v>130</v>
      </c>
      <c r="BD1220" s="0" t="s">
        <v>130</v>
      </c>
      <c r="BE1220" s="0" t="s">
        <v>130</v>
      </c>
      <c r="BF1220" s="0" t="s">
        <v>130</v>
      </c>
      <c r="BG1220" s="0" t="s">
        <v>130</v>
      </c>
      <c r="BH1220" s="0" t="s">
        <v>130</v>
      </c>
      <c r="BI1220" s="0" t="s">
        <v>130</v>
      </c>
      <c r="BJ1220" s="0" t="s">
        <v>130</v>
      </c>
      <c r="BK1220" s="0" t="s">
        <v>130</v>
      </c>
      <c r="BL1220" s="0" t="s">
        <v>130</v>
      </c>
      <c r="BM1220" s="0" t="s">
        <v>130</v>
      </c>
      <c r="BN1220" s="0" t="s">
        <v>130</v>
      </c>
      <c r="BO1220" s="0" t="s">
        <v>130</v>
      </c>
      <c r="BP1220" s="0" t="s">
        <v>130</v>
      </c>
      <c r="BQ1220" s="0" t="s">
        <v>130</v>
      </c>
      <c r="BR1220" s="0" t="s">
        <v>130</v>
      </c>
      <c r="BS1220" s="0" t="s">
        <v>130</v>
      </c>
      <c r="BT1220" s="0" t="s">
        <v>130</v>
      </c>
      <c r="BU1220" s="0" t="s">
        <v>130</v>
      </c>
      <c r="BV1220" s="0" t="s">
        <v>130</v>
      </c>
      <c r="BW1220" s="0" t="s">
        <v>130</v>
      </c>
      <c r="BX1220" s="0" t="s">
        <v>130</v>
      </c>
      <c r="BY1220" s="0" t="s">
        <v>130</v>
      </c>
      <c r="BZ1220" s="0" t="s">
        <v>130</v>
      </c>
      <c r="CA1220" s="0" t="s">
        <v>130</v>
      </c>
      <c r="CB1220" s="0" t="s">
        <v>130</v>
      </c>
      <c r="CC1220" s="0" t="s">
        <v>130</v>
      </c>
      <c r="CD1220" s="0" t="s">
        <v>130</v>
      </c>
      <c r="CE1220" s="0" t="s">
        <v>130</v>
      </c>
      <c r="CF1220" s="0" t="s">
        <v>130</v>
      </c>
      <c r="CG1220" s="0" t="s">
        <v>130</v>
      </c>
      <c r="CH1220" s="0" t="s">
        <v>130</v>
      </c>
      <c r="CI1220" s="0" t="s">
        <v>130</v>
      </c>
      <c r="CJ1220" s="0" t="s">
        <v>130</v>
      </c>
      <c r="CK1220" s="0" t="s">
        <v>130</v>
      </c>
      <c r="CL1220" s="0" t="s">
        <v>130</v>
      </c>
      <c r="CM1220" s="0" t="s">
        <v>130</v>
      </c>
      <c r="CN1220" s="0" t="s">
        <v>130</v>
      </c>
      <c r="CO1220" s="0" t="s">
        <v>130</v>
      </c>
      <c r="CP1220" s="0" t="s">
        <v>130</v>
      </c>
      <c r="CQ1220" s="0" t="s">
        <v>130</v>
      </c>
      <c r="CR1220" s="0" t="s">
        <v>130</v>
      </c>
      <c r="CS1220" s="0" t="s">
        <v>130</v>
      </c>
      <c r="CT1220" s="0" t="s">
        <v>3613</v>
      </c>
    </row>
    <row r="1221">
      <c r="A1221" s="14">
        <v>313098</v>
      </c>
      <c r="B1221" s="0" t="s">
        <v>3614</v>
      </c>
      <c r="C1221" s="16">
        <f>HYPERLINK("https://eosportal.federatedhermes.com/companies/Q29tcGFueQppNzMyNzk=", "Ameren Corp")</f>
      </c>
      <c r="D1221" s="0" t="s">
        <v>25</v>
      </c>
      <c r="E1221" s="0" t="s">
        <v>146</v>
      </c>
      <c r="F1221" s="16">
        <f>HYPERLINK("https://eosportal.federatedhermes.com/engagements/RW5nYWdlbWVudAppMjYxMjE=", "Executive Remuneration")</f>
      </c>
      <c r="G1221" s="14" t="s">
        <v>3615</v>
      </c>
      <c r="H1221" s="0" t="s">
        <v>141</v>
      </c>
      <c r="I1221" s="14" t="s">
        <v>636</v>
      </c>
      <c r="J1221" s="0" t="s">
        <v>145</v>
      </c>
      <c r="K1221" s="0" t="s">
        <v>146</v>
      </c>
      <c r="L1221" s="0" t="s">
        <v>147</v>
      </c>
      <c r="M1221" s="0" t="s">
        <v>135</v>
      </c>
      <c r="N1221" s="0" t="s">
        <v>136</v>
      </c>
      <c r="O1221" s="0" t="s">
        <v>192</v>
      </c>
      <c r="Q1221" s="0" t="s">
        <v>141</v>
      </c>
      <c r="R1221" s="0" t="s">
        <v>138</v>
      </c>
      <c r="S1221" s="14">
        <v>1</v>
      </c>
      <c r="T1221" s="0" t="s">
        <v>355</v>
      </c>
      <c r="U1221" s="0" t="s">
        <v>138</v>
      </c>
      <c r="V1221" s="14" t="s">
        <v>138</v>
      </c>
      <c r="W1221" s="0" t="s">
        <v>138</v>
      </c>
      <c r="X1221" s="14" t="s">
        <v>138</v>
      </c>
      <c r="Y1221" s="0" t="s">
        <v>138</v>
      </c>
      <c r="Z1221" s="14" t="s">
        <v>138</v>
      </c>
      <c r="AA1221" s="0" t="s">
        <v>138</v>
      </c>
      <c r="AB1221" s="14" t="s">
        <v>138</v>
      </c>
      <c r="AD1221" s="0" t="s">
        <v>138</v>
      </c>
      <c r="AF1221" s="0">
        <v>0</v>
      </c>
      <c r="AG1221" s="0">
        <v>0</v>
      </c>
      <c r="AH1221" s="0" t="s">
        <v>140</v>
      </c>
      <c r="AI1221" s="0" t="s">
        <v>138</v>
      </c>
      <c r="AK1221" s="0" t="s">
        <v>149</v>
      </c>
      <c r="AL1221" s="14"/>
      <c r="AN1221" s="14"/>
      <c r="AQ1221" s="0" t="s">
        <v>130</v>
      </c>
      <c r="AR1221" s="0" t="s">
        <v>130</v>
      </c>
      <c r="AS1221" s="0" t="s">
        <v>130</v>
      </c>
      <c r="AT1221" s="0" t="s">
        <v>130</v>
      </c>
      <c r="AU1221" s="0" t="s">
        <v>130</v>
      </c>
      <c r="AV1221" s="0" t="s">
        <v>130</v>
      </c>
      <c r="AW1221" s="0" t="s">
        <v>130</v>
      </c>
      <c r="AX1221" s="0" t="s">
        <v>130</v>
      </c>
      <c r="AY1221" s="0" t="s">
        <v>130</v>
      </c>
      <c r="AZ1221" s="0" t="s">
        <v>130</v>
      </c>
      <c r="BA1221" s="0" t="s">
        <v>130</v>
      </c>
      <c r="BB1221" s="0" t="s">
        <v>130</v>
      </c>
      <c r="BC1221" s="0" t="s">
        <v>130</v>
      </c>
      <c r="BD1221" s="0" t="s">
        <v>130</v>
      </c>
      <c r="BE1221" s="0" t="s">
        <v>130</v>
      </c>
      <c r="BF1221" s="0" t="s">
        <v>130</v>
      </c>
      <c r="BG1221" s="0" t="s">
        <v>130</v>
      </c>
      <c r="BH1221" s="0" t="s">
        <v>130</v>
      </c>
      <c r="BI1221" s="0" t="s">
        <v>130</v>
      </c>
      <c r="BJ1221" s="0" t="s">
        <v>130</v>
      </c>
      <c r="BK1221" s="0" t="s">
        <v>130</v>
      </c>
      <c r="BL1221" s="0" t="s">
        <v>130</v>
      </c>
      <c r="BM1221" s="0" t="s">
        <v>130</v>
      </c>
      <c r="BN1221" s="0" t="s">
        <v>130</v>
      </c>
      <c r="BO1221" s="0" t="s">
        <v>130</v>
      </c>
      <c r="BP1221" s="0" t="s">
        <v>130</v>
      </c>
      <c r="BQ1221" s="0" t="s">
        <v>130</v>
      </c>
      <c r="BR1221" s="0" t="s">
        <v>130</v>
      </c>
      <c r="BS1221" s="0" t="s">
        <v>130</v>
      </c>
      <c r="BT1221" s="0" t="s">
        <v>130</v>
      </c>
      <c r="BU1221" s="0" t="s">
        <v>130</v>
      </c>
      <c r="BV1221" s="0" t="s">
        <v>130</v>
      </c>
      <c r="BW1221" s="0" t="s">
        <v>130</v>
      </c>
      <c r="BX1221" s="0" t="s">
        <v>130</v>
      </c>
      <c r="BY1221" s="0" t="s">
        <v>130</v>
      </c>
      <c r="BZ1221" s="0" t="s">
        <v>130</v>
      </c>
      <c r="CA1221" s="0" t="s">
        <v>130</v>
      </c>
      <c r="CB1221" s="0" t="s">
        <v>130</v>
      </c>
      <c r="CC1221" s="0" t="s">
        <v>130</v>
      </c>
      <c r="CD1221" s="0" t="s">
        <v>130</v>
      </c>
      <c r="CE1221" s="0" t="s">
        <v>130</v>
      </c>
      <c r="CF1221" s="0" t="s">
        <v>130</v>
      </c>
      <c r="CG1221" s="0" t="s">
        <v>130</v>
      </c>
      <c r="CH1221" s="0" t="s">
        <v>130</v>
      </c>
      <c r="CI1221" s="0" t="s">
        <v>130</v>
      </c>
      <c r="CJ1221" s="0" t="s">
        <v>130</v>
      </c>
      <c r="CK1221" s="0" t="s">
        <v>130</v>
      </c>
      <c r="CL1221" s="0" t="s">
        <v>130</v>
      </c>
      <c r="CM1221" s="0" t="s">
        <v>130</v>
      </c>
      <c r="CN1221" s="0" t="s">
        <v>130</v>
      </c>
      <c r="CO1221" s="0" t="s">
        <v>130</v>
      </c>
      <c r="CP1221" s="0" t="s">
        <v>130</v>
      </c>
      <c r="CQ1221" s="0" t="s">
        <v>130</v>
      </c>
      <c r="CR1221" s="0" t="s">
        <v>130</v>
      </c>
      <c r="CS1221" s="0" t="s">
        <v>130</v>
      </c>
      <c r="CT1221" s="0" t="s">
        <v>3616</v>
      </c>
    </row>
    <row r="1222">
      <c r="A1222" s="14">
        <v>313098</v>
      </c>
      <c r="B1222" s="0" t="s">
        <v>3614</v>
      </c>
      <c r="C1222" s="16">
        <f>HYPERLINK("https://eosportal.federatedhermes.com/companies/Q29tcGFueQppNzMyNzk=", "Ameren Corp")</f>
      </c>
      <c r="D1222" s="0" t="s">
        <v>25</v>
      </c>
      <c r="E1222" s="0" t="s">
        <v>3617</v>
      </c>
      <c r="F1222" s="16">
        <f>HYPERLINK("https://eosportal.federatedhermes.com/engagements/RW5nYWdlbWVudAppMjYxMjI=", "Independent Chair")</f>
      </c>
      <c r="G1222" s="14" t="s">
        <v>3618</v>
      </c>
      <c r="H1222" s="0" t="s">
        <v>141</v>
      </c>
      <c r="I1222" s="14" t="s">
        <v>636</v>
      </c>
      <c r="J1222" s="0" t="s">
        <v>145</v>
      </c>
      <c r="K1222" s="0" t="s">
        <v>164</v>
      </c>
      <c r="L1222" s="0" t="s">
        <v>165</v>
      </c>
      <c r="M1222" s="0" t="s">
        <v>135</v>
      </c>
      <c r="N1222" s="0" t="s">
        <v>136</v>
      </c>
      <c r="O1222" s="0" t="s">
        <v>192</v>
      </c>
      <c r="Q1222" s="0" t="s">
        <v>130</v>
      </c>
      <c r="R1222" s="0" t="s">
        <v>138</v>
      </c>
      <c r="S1222" s="14">
        <v>0</v>
      </c>
      <c r="T1222" s="0" t="s">
        <v>148</v>
      </c>
      <c r="U1222" s="0" t="s">
        <v>138</v>
      </c>
      <c r="V1222" s="14" t="s">
        <v>138</v>
      </c>
      <c r="W1222" s="0" t="s">
        <v>138</v>
      </c>
      <c r="X1222" s="14" t="s">
        <v>138</v>
      </c>
      <c r="Y1222" s="0" t="s">
        <v>138</v>
      </c>
      <c r="Z1222" s="14" t="s">
        <v>138</v>
      </c>
      <c r="AA1222" s="0" t="s">
        <v>138</v>
      </c>
      <c r="AB1222" s="14" t="s">
        <v>138</v>
      </c>
      <c r="AD1222" s="0" t="s">
        <v>138</v>
      </c>
      <c r="AF1222" s="0">
        <v>0</v>
      </c>
      <c r="AG1222" s="0">
        <v>0</v>
      </c>
      <c r="AH1222" s="0" t="s">
        <v>140</v>
      </c>
      <c r="AI1222" s="0" t="s">
        <v>138</v>
      </c>
      <c r="AL1222" s="14"/>
      <c r="AN1222" s="14"/>
      <c r="AQ1222" s="0" t="s">
        <v>130</v>
      </c>
      <c r="AR1222" s="0" t="s">
        <v>130</v>
      </c>
      <c r="AS1222" s="0" t="s">
        <v>130</v>
      </c>
      <c r="AT1222" s="0" t="s">
        <v>130</v>
      </c>
      <c r="AU1222" s="0" t="s">
        <v>130</v>
      </c>
      <c r="AV1222" s="0" t="s">
        <v>130</v>
      </c>
      <c r="AW1222" s="0" t="s">
        <v>130</v>
      </c>
      <c r="AX1222" s="0" t="s">
        <v>130</v>
      </c>
      <c r="AY1222" s="0" t="s">
        <v>130</v>
      </c>
      <c r="AZ1222" s="0" t="s">
        <v>130</v>
      </c>
      <c r="BA1222" s="0" t="s">
        <v>130</v>
      </c>
      <c r="BB1222" s="0" t="s">
        <v>130</v>
      </c>
      <c r="BC1222" s="0" t="s">
        <v>130</v>
      </c>
      <c r="BD1222" s="0" t="s">
        <v>130</v>
      </c>
      <c r="BE1222" s="0" t="s">
        <v>130</v>
      </c>
      <c r="BF1222" s="0" t="s">
        <v>130</v>
      </c>
      <c r="BG1222" s="0" t="s">
        <v>130</v>
      </c>
      <c r="BH1222" s="0" t="s">
        <v>130</v>
      </c>
      <c r="BI1222" s="0" t="s">
        <v>130</v>
      </c>
      <c r="BJ1222" s="0" t="s">
        <v>130</v>
      </c>
      <c r="BK1222" s="0" t="s">
        <v>130</v>
      </c>
      <c r="BL1222" s="0" t="s">
        <v>130</v>
      </c>
      <c r="BM1222" s="0" t="s">
        <v>130</v>
      </c>
      <c r="BN1222" s="0" t="s">
        <v>130</v>
      </c>
      <c r="BO1222" s="0" t="s">
        <v>130</v>
      </c>
      <c r="BP1222" s="0" t="s">
        <v>130</v>
      </c>
      <c r="BQ1222" s="0" t="s">
        <v>130</v>
      </c>
      <c r="BR1222" s="0" t="s">
        <v>130</v>
      </c>
      <c r="BS1222" s="0" t="s">
        <v>130</v>
      </c>
      <c r="BT1222" s="0" t="s">
        <v>130</v>
      </c>
      <c r="BU1222" s="0" t="s">
        <v>130</v>
      </c>
      <c r="BV1222" s="0" t="s">
        <v>130</v>
      </c>
      <c r="BW1222" s="0" t="s">
        <v>130</v>
      </c>
      <c r="BX1222" s="0" t="s">
        <v>130</v>
      </c>
      <c r="BY1222" s="0" t="s">
        <v>130</v>
      </c>
      <c r="BZ1222" s="0" t="s">
        <v>130</v>
      </c>
      <c r="CA1222" s="0" t="s">
        <v>130</v>
      </c>
      <c r="CB1222" s="0" t="s">
        <v>130</v>
      </c>
      <c r="CC1222" s="0" t="s">
        <v>130</v>
      </c>
      <c r="CD1222" s="0" t="s">
        <v>130</v>
      </c>
      <c r="CE1222" s="0" t="s">
        <v>130</v>
      </c>
      <c r="CF1222" s="0" t="s">
        <v>130</v>
      </c>
      <c r="CG1222" s="0" t="s">
        <v>130</v>
      </c>
      <c r="CH1222" s="0" t="s">
        <v>130</v>
      </c>
      <c r="CI1222" s="0" t="s">
        <v>130</v>
      </c>
      <c r="CJ1222" s="0" t="s">
        <v>130</v>
      </c>
      <c r="CK1222" s="0" t="s">
        <v>130</v>
      </c>
      <c r="CL1222" s="0" t="s">
        <v>130</v>
      </c>
      <c r="CM1222" s="0" t="s">
        <v>130</v>
      </c>
      <c r="CN1222" s="0" t="s">
        <v>130</v>
      </c>
      <c r="CO1222" s="0" t="s">
        <v>130</v>
      </c>
      <c r="CP1222" s="0" t="s">
        <v>130</v>
      </c>
      <c r="CQ1222" s="0" t="s">
        <v>130</v>
      </c>
      <c r="CR1222" s="0" t="s">
        <v>130</v>
      </c>
      <c r="CS1222" s="0" t="s">
        <v>130</v>
      </c>
      <c r="CT1222" s="0" t="s">
        <v>3619</v>
      </c>
    </row>
    <row r="1223">
      <c r="A1223" s="14">
        <v>313098</v>
      </c>
      <c r="B1223" s="0" t="s">
        <v>3614</v>
      </c>
      <c r="C1223" s="16">
        <f>HYPERLINK("https://eosportal.federatedhermes.com/companies/Q29tcGFueQppNzMyNzk=", "Ameren Corp")</f>
      </c>
      <c r="D1223" s="0" t="s">
        <v>25</v>
      </c>
      <c r="E1223" s="0" t="s">
        <v>907</v>
      </c>
      <c r="F1223" s="16">
        <f>HYPERLINK("https://eosportal.federatedhermes.com/engagements/RW5nYWdlbWVudAppMjYxMjM=", "Climate change")</f>
      </c>
      <c r="G1223" s="14" t="s">
        <v>3620</v>
      </c>
      <c r="H1223" s="0" t="s">
        <v>141</v>
      </c>
      <c r="I1223" s="14" t="s">
        <v>636</v>
      </c>
      <c r="J1223" s="0" t="s">
        <v>197</v>
      </c>
      <c r="K1223" s="0" t="s">
        <v>198</v>
      </c>
      <c r="L1223" s="0" t="s">
        <v>199</v>
      </c>
      <c r="M1223" s="0" t="s">
        <v>135</v>
      </c>
      <c r="N1223" s="0" t="s">
        <v>136</v>
      </c>
      <c r="O1223" s="0" t="s">
        <v>192</v>
      </c>
      <c r="Q1223" s="0" t="s">
        <v>141</v>
      </c>
      <c r="R1223" s="0" t="s">
        <v>138</v>
      </c>
      <c r="S1223" s="14">
        <v>1</v>
      </c>
      <c r="T1223" s="0" t="s">
        <v>416</v>
      </c>
      <c r="U1223" s="0" t="s">
        <v>138</v>
      </c>
      <c r="V1223" s="14" t="s">
        <v>138</v>
      </c>
      <c r="W1223" s="0" t="s">
        <v>138</v>
      </c>
      <c r="X1223" s="14" t="s">
        <v>138</v>
      </c>
      <c r="Y1223" s="0" t="s">
        <v>138</v>
      </c>
      <c r="Z1223" s="14" t="s">
        <v>138</v>
      </c>
      <c r="AA1223" s="0" t="s">
        <v>138</v>
      </c>
      <c r="AB1223" s="14" t="s">
        <v>138</v>
      </c>
      <c r="AD1223" s="0" t="s">
        <v>138</v>
      </c>
      <c r="AF1223" s="0">
        <v>0</v>
      </c>
      <c r="AG1223" s="0">
        <v>0</v>
      </c>
      <c r="AH1223" s="0" t="s">
        <v>140</v>
      </c>
      <c r="AI1223" s="0" t="s">
        <v>138</v>
      </c>
      <c r="AK1223" s="0" t="s">
        <v>149</v>
      </c>
      <c r="AL1223" s="14"/>
      <c r="AN1223" s="14"/>
      <c r="AQ1223" s="0" t="s">
        <v>130</v>
      </c>
      <c r="AR1223" s="0" t="s">
        <v>130</v>
      </c>
      <c r="AS1223" s="0" t="s">
        <v>130</v>
      </c>
      <c r="AT1223" s="0" t="s">
        <v>130</v>
      </c>
      <c r="AU1223" s="0" t="s">
        <v>130</v>
      </c>
      <c r="AV1223" s="0" t="s">
        <v>130</v>
      </c>
      <c r="AW1223" s="0" t="s">
        <v>130</v>
      </c>
      <c r="AX1223" s="0" t="s">
        <v>130</v>
      </c>
      <c r="AY1223" s="0" t="s">
        <v>130</v>
      </c>
      <c r="AZ1223" s="0" t="s">
        <v>130</v>
      </c>
      <c r="BA1223" s="0" t="s">
        <v>130</v>
      </c>
      <c r="BB1223" s="0" t="s">
        <v>141</v>
      </c>
      <c r="BC1223" s="0" t="s">
        <v>130</v>
      </c>
      <c r="BD1223" s="0" t="s">
        <v>130</v>
      </c>
      <c r="BE1223" s="0" t="s">
        <v>130</v>
      </c>
      <c r="BF1223" s="0" t="s">
        <v>130</v>
      </c>
      <c r="BG1223" s="0" t="s">
        <v>130</v>
      </c>
      <c r="BH1223" s="0" t="s">
        <v>130</v>
      </c>
      <c r="BI1223" s="0" t="s">
        <v>130</v>
      </c>
      <c r="BJ1223" s="0" t="s">
        <v>130</v>
      </c>
      <c r="BK1223" s="0" t="s">
        <v>130</v>
      </c>
      <c r="BL1223" s="0" t="s">
        <v>130</v>
      </c>
      <c r="BM1223" s="0" t="s">
        <v>130</v>
      </c>
      <c r="BN1223" s="0" t="s">
        <v>130</v>
      </c>
      <c r="BO1223" s="0" t="s">
        <v>130</v>
      </c>
      <c r="BP1223" s="0" t="s">
        <v>130</v>
      </c>
      <c r="BQ1223" s="0" t="s">
        <v>130</v>
      </c>
      <c r="BR1223" s="0" t="s">
        <v>130</v>
      </c>
      <c r="BS1223" s="0" t="s">
        <v>130</v>
      </c>
      <c r="BT1223" s="0" t="s">
        <v>130</v>
      </c>
      <c r="BU1223" s="0" t="s">
        <v>130</v>
      </c>
      <c r="BV1223" s="0" t="s">
        <v>130</v>
      </c>
      <c r="BW1223" s="0" t="s">
        <v>130</v>
      </c>
      <c r="BX1223" s="0" t="s">
        <v>130</v>
      </c>
      <c r="BY1223" s="0" t="s">
        <v>130</v>
      </c>
      <c r="BZ1223" s="0" t="s">
        <v>130</v>
      </c>
      <c r="CA1223" s="0" t="s">
        <v>130</v>
      </c>
      <c r="CB1223" s="0" t="s">
        <v>130</v>
      </c>
      <c r="CC1223" s="0" t="s">
        <v>130</v>
      </c>
      <c r="CD1223" s="0" t="s">
        <v>130</v>
      </c>
      <c r="CE1223" s="0" t="s">
        <v>130</v>
      </c>
      <c r="CF1223" s="0" t="s">
        <v>130</v>
      </c>
      <c r="CG1223" s="0" t="s">
        <v>130</v>
      </c>
      <c r="CH1223" s="0" t="s">
        <v>130</v>
      </c>
      <c r="CI1223" s="0" t="s">
        <v>130</v>
      </c>
      <c r="CJ1223" s="0" t="s">
        <v>130</v>
      </c>
      <c r="CK1223" s="0" t="s">
        <v>130</v>
      </c>
      <c r="CL1223" s="0" t="s">
        <v>130</v>
      </c>
      <c r="CM1223" s="0" t="s">
        <v>130</v>
      </c>
      <c r="CN1223" s="0" t="s">
        <v>130</v>
      </c>
      <c r="CO1223" s="0" t="s">
        <v>130</v>
      </c>
      <c r="CP1223" s="0" t="s">
        <v>130</v>
      </c>
      <c r="CQ1223" s="0" t="s">
        <v>130</v>
      </c>
      <c r="CR1223" s="0" t="s">
        <v>130</v>
      </c>
      <c r="CS1223" s="0" t="s">
        <v>130</v>
      </c>
      <c r="CT1223" s="0" t="s">
        <v>3621</v>
      </c>
    </row>
    <row r="1224">
      <c r="A1224" s="14">
        <v>313098</v>
      </c>
      <c r="B1224" s="0" t="s">
        <v>3614</v>
      </c>
      <c r="C1224" s="16">
        <f>HYPERLINK("https://eosportal.federatedhermes.com/companies/Q29tcGFueQppNzMyNzk=", "Ameren Corp")</f>
      </c>
      <c r="D1224" s="0" t="s">
        <v>25</v>
      </c>
      <c r="E1224" s="0" t="s">
        <v>773</v>
      </c>
      <c r="F1224" s="16">
        <f>HYPERLINK("https://eosportal.federatedhermes.com/engagements/RW5nYWdlbWVudAppMjYxMjQ=", "Best practice actions to limit climate change exposure")</f>
      </c>
      <c r="G1224" s="14" t="s">
        <v>3622</v>
      </c>
      <c r="H1224" s="0" t="s">
        <v>141</v>
      </c>
      <c r="I1224" s="14" t="s">
        <v>636</v>
      </c>
      <c r="J1224" s="0" t="s">
        <v>197</v>
      </c>
      <c r="K1224" s="0" t="s">
        <v>198</v>
      </c>
      <c r="L1224" s="0" t="s">
        <v>199</v>
      </c>
      <c r="M1224" s="0" t="s">
        <v>135</v>
      </c>
      <c r="N1224" s="0" t="s">
        <v>136</v>
      </c>
      <c r="O1224" s="0" t="s">
        <v>192</v>
      </c>
      <c r="Q1224" s="0" t="s">
        <v>130</v>
      </c>
      <c r="R1224" s="0" t="s">
        <v>138</v>
      </c>
      <c r="S1224" s="14">
        <v>0</v>
      </c>
      <c r="T1224" s="0" t="s">
        <v>591</v>
      </c>
      <c r="U1224" s="0" t="s">
        <v>138</v>
      </c>
      <c r="V1224" s="14" t="s">
        <v>138</v>
      </c>
      <c r="W1224" s="0" t="s">
        <v>138</v>
      </c>
      <c r="X1224" s="14" t="s">
        <v>138</v>
      </c>
      <c r="Y1224" s="0" t="s">
        <v>138</v>
      </c>
      <c r="Z1224" s="14" t="s">
        <v>138</v>
      </c>
      <c r="AA1224" s="0" t="s">
        <v>138</v>
      </c>
      <c r="AB1224" s="14" t="s">
        <v>138</v>
      </c>
      <c r="AD1224" s="0" t="s">
        <v>138</v>
      </c>
      <c r="AF1224" s="0">
        <v>0</v>
      </c>
      <c r="AG1224" s="0">
        <v>0</v>
      </c>
      <c r="AH1224" s="0" t="s">
        <v>140</v>
      </c>
      <c r="AI1224" s="0" t="s">
        <v>138</v>
      </c>
      <c r="AL1224" s="14"/>
      <c r="AN1224" s="14"/>
      <c r="AQ1224" s="0" t="s">
        <v>130</v>
      </c>
      <c r="AR1224" s="0" t="s">
        <v>130</v>
      </c>
      <c r="AS1224" s="0" t="s">
        <v>130</v>
      </c>
      <c r="AT1224" s="0" t="s">
        <v>130</v>
      </c>
      <c r="AU1224" s="0" t="s">
        <v>130</v>
      </c>
      <c r="AV1224" s="0" t="s">
        <v>130</v>
      </c>
      <c r="AW1224" s="0" t="s">
        <v>130</v>
      </c>
      <c r="AX1224" s="0" t="s">
        <v>130</v>
      </c>
      <c r="AY1224" s="0" t="s">
        <v>130</v>
      </c>
      <c r="AZ1224" s="0" t="s">
        <v>130</v>
      </c>
      <c r="BA1224" s="0" t="s">
        <v>130</v>
      </c>
      <c r="BB1224" s="0" t="s">
        <v>141</v>
      </c>
      <c r="BC1224" s="0" t="s">
        <v>130</v>
      </c>
      <c r="BD1224" s="0" t="s">
        <v>130</v>
      </c>
      <c r="BE1224" s="0" t="s">
        <v>130</v>
      </c>
      <c r="BF1224" s="0" t="s">
        <v>130</v>
      </c>
      <c r="BG1224" s="0" t="s">
        <v>130</v>
      </c>
      <c r="BH1224" s="0" t="s">
        <v>130</v>
      </c>
      <c r="BI1224" s="0" t="s">
        <v>130</v>
      </c>
      <c r="BJ1224" s="0" t="s">
        <v>130</v>
      </c>
      <c r="BK1224" s="0" t="s">
        <v>130</v>
      </c>
      <c r="BL1224" s="0" t="s">
        <v>130</v>
      </c>
      <c r="BM1224" s="0" t="s">
        <v>130</v>
      </c>
      <c r="BN1224" s="0" t="s">
        <v>130</v>
      </c>
      <c r="BO1224" s="0" t="s">
        <v>130</v>
      </c>
      <c r="BP1224" s="0" t="s">
        <v>130</v>
      </c>
      <c r="BQ1224" s="0" t="s">
        <v>130</v>
      </c>
      <c r="BR1224" s="0" t="s">
        <v>130</v>
      </c>
      <c r="BS1224" s="0" t="s">
        <v>130</v>
      </c>
      <c r="BT1224" s="0" t="s">
        <v>130</v>
      </c>
      <c r="BU1224" s="0" t="s">
        <v>130</v>
      </c>
      <c r="BV1224" s="0" t="s">
        <v>130</v>
      </c>
      <c r="BW1224" s="0" t="s">
        <v>130</v>
      </c>
      <c r="BX1224" s="0" t="s">
        <v>130</v>
      </c>
      <c r="BY1224" s="0" t="s">
        <v>130</v>
      </c>
      <c r="BZ1224" s="0" t="s">
        <v>130</v>
      </c>
      <c r="CA1224" s="0" t="s">
        <v>130</v>
      </c>
      <c r="CB1224" s="0" t="s">
        <v>130</v>
      </c>
      <c r="CC1224" s="0" t="s">
        <v>130</v>
      </c>
      <c r="CD1224" s="0" t="s">
        <v>130</v>
      </c>
      <c r="CE1224" s="0" t="s">
        <v>130</v>
      </c>
      <c r="CF1224" s="0" t="s">
        <v>130</v>
      </c>
      <c r="CG1224" s="0" t="s">
        <v>130</v>
      </c>
      <c r="CH1224" s="0" t="s">
        <v>130</v>
      </c>
      <c r="CI1224" s="0" t="s">
        <v>130</v>
      </c>
      <c r="CJ1224" s="0" t="s">
        <v>130</v>
      </c>
      <c r="CK1224" s="0" t="s">
        <v>130</v>
      </c>
      <c r="CL1224" s="0" t="s">
        <v>130</v>
      </c>
      <c r="CM1224" s="0" t="s">
        <v>130</v>
      </c>
      <c r="CN1224" s="0" t="s">
        <v>130</v>
      </c>
      <c r="CO1224" s="0" t="s">
        <v>130</v>
      </c>
      <c r="CP1224" s="0" t="s">
        <v>130</v>
      </c>
      <c r="CQ1224" s="0" t="s">
        <v>130</v>
      </c>
      <c r="CR1224" s="0" t="s">
        <v>130</v>
      </c>
      <c r="CS1224" s="0" t="s">
        <v>130</v>
      </c>
      <c r="CT1224" s="0" t="s">
        <v>3623</v>
      </c>
    </row>
    <row r="1225">
      <c r="A1225" s="14">
        <v>1442748</v>
      </c>
      <c r="B1225" s="0" t="s">
        <v>3624</v>
      </c>
      <c r="C1225" s="16">
        <f>HYPERLINK("https://eosportal.federatedhermes.com/companies/Q29tcGFueQppNjI1MDA=", "Mitsubishi UFJ Financial Group Inc")</f>
      </c>
      <c r="D1225" s="0" t="s">
        <v>25</v>
      </c>
      <c r="E1225" s="0" t="s">
        <v>1399</v>
      </c>
      <c r="F1225" s="16">
        <f>HYPERLINK("https://eosportal.federatedhermes.com/engagements/RW5nYWdlbWVudAppMjYxODU=", "Allegiant shareholdings")</f>
      </c>
      <c r="G1225" s="14" t="s">
        <v>3625</v>
      </c>
      <c r="H1225" s="0" t="s">
        <v>141</v>
      </c>
      <c r="I1225" s="14" t="s">
        <v>1645</v>
      </c>
      <c r="J1225" s="0" t="s">
        <v>145</v>
      </c>
      <c r="K1225" s="0" t="s">
        <v>400</v>
      </c>
      <c r="L1225" s="0" t="s">
        <v>507</v>
      </c>
      <c r="M1225" s="0" t="s">
        <v>802</v>
      </c>
      <c r="N1225" s="0" t="s">
        <v>952</v>
      </c>
      <c r="O1225" s="0" t="s">
        <v>238</v>
      </c>
      <c r="Q1225" s="0" t="s">
        <v>141</v>
      </c>
      <c r="R1225" s="0" t="s">
        <v>138</v>
      </c>
      <c r="S1225" s="14">
        <v>1</v>
      </c>
      <c r="T1225" s="0" t="s">
        <v>320</v>
      </c>
      <c r="U1225" s="0" t="s">
        <v>138</v>
      </c>
      <c r="V1225" s="14" t="s">
        <v>138</v>
      </c>
      <c r="W1225" s="0" t="s">
        <v>138</v>
      </c>
      <c r="X1225" s="14" t="s">
        <v>138</v>
      </c>
      <c r="Y1225" s="0" t="s">
        <v>138</v>
      </c>
      <c r="Z1225" s="14" t="s">
        <v>138</v>
      </c>
      <c r="AA1225" s="0" t="s">
        <v>138</v>
      </c>
      <c r="AB1225" s="14" t="s">
        <v>138</v>
      </c>
      <c r="AD1225" s="0" t="s">
        <v>138</v>
      </c>
      <c r="AF1225" s="0">
        <v>0</v>
      </c>
      <c r="AG1225" s="0">
        <v>0</v>
      </c>
      <c r="AH1225" s="0" t="s">
        <v>140</v>
      </c>
      <c r="AI1225" s="0" t="s">
        <v>138</v>
      </c>
      <c r="AK1225" s="0" t="s">
        <v>3626</v>
      </c>
      <c r="AL1225" s="14"/>
      <c r="AN1225" s="14"/>
      <c r="AQ1225" s="0" t="s">
        <v>130</v>
      </c>
      <c r="AR1225" s="0" t="s">
        <v>130</v>
      </c>
      <c r="AS1225" s="0" t="s">
        <v>130</v>
      </c>
      <c r="AT1225" s="0" t="s">
        <v>130</v>
      </c>
      <c r="AU1225" s="0" t="s">
        <v>130</v>
      </c>
      <c r="AV1225" s="0" t="s">
        <v>130</v>
      </c>
      <c r="AW1225" s="0" t="s">
        <v>130</v>
      </c>
      <c r="AX1225" s="0" t="s">
        <v>130</v>
      </c>
      <c r="AY1225" s="0" t="s">
        <v>130</v>
      </c>
      <c r="AZ1225" s="0" t="s">
        <v>130</v>
      </c>
      <c r="BA1225" s="0" t="s">
        <v>130</v>
      </c>
      <c r="BB1225" s="0" t="s">
        <v>130</v>
      </c>
      <c r="BC1225" s="0" t="s">
        <v>130</v>
      </c>
      <c r="BD1225" s="0" t="s">
        <v>130</v>
      </c>
      <c r="BE1225" s="0" t="s">
        <v>130</v>
      </c>
      <c r="BF1225" s="0" t="s">
        <v>130</v>
      </c>
      <c r="BG1225" s="0" t="s">
        <v>130</v>
      </c>
      <c r="BH1225" s="0" t="s">
        <v>130</v>
      </c>
      <c r="BI1225" s="0" t="s">
        <v>130</v>
      </c>
      <c r="BJ1225" s="0" t="s">
        <v>130</v>
      </c>
      <c r="BK1225" s="0" t="s">
        <v>130</v>
      </c>
      <c r="BL1225" s="0" t="s">
        <v>130</v>
      </c>
      <c r="BM1225" s="0" t="s">
        <v>130</v>
      </c>
      <c r="BN1225" s="0" t="s">
        <v>130</v>
      </c>
      <c r="BO1225" s="0" t="s">
        <v>130</v>
      </c>
      <c r="BP1225" s="0" t="s">
        <v>130</v>
      </c>
      <c r="BQ1225" s="0" t="s">
        <v>130</v>
      </c>
      <c r="BR1225" s="0" t="s">
        <v>130</v>
      </c>
      <c r="BS1225" s="0" t="s">
        <v>130</v>
      </c>
      <c r="BT1225" s="0" t="s">
        <v>130</v>
      </c>
      <c r="BU1225" s="0" t="s">
        <v>130</v>
      </c>
      <c r="BV1225" s="0" t="s">
        <v>130</v>
      </c>
      <c r="BW1225" s="0" t="s">
        <v>130</v>
      </c>
      <c r="BX1225" s="0" t="s">
        <v>130</v>
      </c>
      <c r="BY1225" s="0" t="s">
        <v>130</v>
      </c>
      <c r="BZ1225" s="0" t="s">
        <v>130</v>
      </c>
      <c r="CA1225" s="0" t="s">
        <v>130</v>
      </c>
      <c r="CB1225" s="0" t="s">
        <v>130</v>
      </c>
      <c r="CC1225" s="0" t="s">
        <v>130</v>
      </c>
      <c r="CD1225" s="0" t="s">
        <v>130</v>
      </c>
      <c r="CE1225" s="0" t="s">
        <v>130</v>
      </c>
      <c r="CF1225" s="0" t="s">
        <v>130</v>
      </c>
      <c r="CG1225" s="0" t="s">
        <v>130</v>
      </c>
      <c r="CH1225" s="0" t="s">
        <v>130</v>
      </c>
      <c r="CI1225" s="0" t="s">
        <v>130</v>
      </c>
      <c r="CJ1225" s="0" t="s">
        <v>130</v>
      </c>
      <c r="CK1225" s="0" t="s">
        <v>130</v>
      </c>
      <c r="CL1225" s="0" t="s">
        <v>130</v>
      </c>
      <c r="CM1225" s="0" t="s">
        <v>130</v>
      </c>
      <c r="CN1225" s="0" t="s">
        <v>130</v>
      </c>
      <c r="CO1225" s="0" t="s">
        <v>130</v>
      </c>
      <c r="CP1225" s="0" t="s">
        <v>130</v>
      </c>
      <c r="CQ1225" s="0" t="s">
        <v>130</v>
      </c>
      <c r="CR1225" s="0" t="s">
        <v>130</v>
      </c>
      <c r="CS1225" s="0" t="s">
        <v>130</v>
      </c>
      <c r="CT1225" s="0" t="s">
        <v>3627</v>
      </c>
    </row>
    <row r="1226">
      <c r="A1226" s="14">
        <v>1442748</v>
      </c>
      <c r="B1226" s="0" t="s">
        <v>3624</v>
      </c>
      <c r="C1226" s="16">
        <f>HYPERLINK("https://eosportal.federatedhermes.com/companies/Q29tcGFueQppNjI1MDA=", "Mitsubishi UFJ Financial Group Inc")</f>
      </c>
      <c r="D1226" s="0" t="s">
        <v>25</v>
      </c>
      <c r="E1226" s="0" t="s">
        <v>3628</v>
      </c>
      <c r="F1226" s="16">
        <f>HYPERLINK("https://eosportal.federatedhermes.com/engagements/RW5nYWdlbWVudAppMjYxODg=", "Board access")</f>
      </c>
      <c r="G1226" s="14" t="s">
        <v>3629</v>
      </c>
      <c r="H1226" s="0" t="s">
        <v>141</v>
      </c>
      <c r="I1226" s="14" t="s">
        <v>1645</v>
      </c>
      <c r="J1226" s="0" t="s">
        <v>132</v>
      </c>
      <c r="K1226" s="0" t="s">
        <v>170</v>
      </c>
      <c r="L1226" s="0" t="s">
        <v>171</v>
      </c>
      <c r="M1226" s="0" t="s">
        <v>802</v>
      </c>
      <c r="N1226" s="0" t="s">
        <v>952</v>
      </c>
      <c r="O1226" s="0" t="s">
        <v>238</v>
      </c>
      <c r="Q1226" s="0" t="s">
        <v>130</v>
      </c>
      <c r="R1226" s="0" t="s">
        <v>138</v>
      </c>
      <c r="S1226" s="14">
        <v>0</v>
      </c>
      <c r="T1226" s="0" t="s">
        <v>1011</v>
      </c>
      <c r="U1226" s="0" t="s">
        <v>138</v>
      </c>
      <c r="V1226" s="14" t="s">
        <v>138</v>
      </c>
      <c r="W1226" s="0" t="s">
        <v>138</v>
      </c>
      <c r="X1226" s="14" t="s">
        <v>138</v>
      </c>
      <c r="Y1226" s="0" t="s">
        <v>138</v>
      </c>
      <c r="Z1226" s="14" t="s">
        <v>138</v>
      </c>
      <c r="AA1226" s="0" t="s">
        <v>138</v>
      </c>
      <c r="AB1226" s="14" t="s">
        <v>138</v>
      </c>
      <c r="AD1226" s="0" t="s">
        <v>138</v>
      </c>
      <c r="AF1226" s="0">
        <v>0</v>
      </c>
      <c r="AG1226" s="0">
        <v>0</v>
      </c>
      <c r="AH1226" s="0" t="s">
        <v>140</v>
      </c>
      <c r="AI1226" s="0" t="s">
        <v>138</v>
      </c>
      <c r="AL1226" s="14"/>
      <c r="AN1226" s="14"/>
      <c r="AQ1226" s="0" t="s">
        <v>130</v>
      </c>
      <c r="AR1226" s="0" t="s">
        <v>130</v>
      </c>
      <c r="AS1226" s="0" t="s">
        <v>130</v>
      </c>
      <c r="AT1226" s="0" t="s">
        <v>130</v>
      </c>
      <c r="AU1226" s="0" t="s">
        <v>130</v>
      </c>
      <c r="AV1226" s="0" t="s">
        <v>130</v>
      </c>
      <c r="AW1226" s="0" t="s">
        <v>130</v>
      </c>
      <c r="AX1226" s="0" t="s">
        <v>130</v>
      </c>
      <c r="AY1226" s="0" t="s">
        <v>130</v>
      </c>
      <c r="AZ1226" s="0" t="s">
        <v>130</v>
      </c>
      <c r="BA1226" s="0" t="s">
        <v>130</v>
      </c>
      <c r="BB1226" s="0" t="s">
        <v>130</v>
      </c>
      <c r="BC1226" s="0" t="s">
        <v>130</v>
      </c>
      <c r="BD1226" s="0" t="s">
        <v>130</v>
      </c>
      <c r="BE1226" s="0" t="s">
        <v>130</v>
      </c>
      <c r="BF1226" s="0" t="s">
        <v>130</v>
      </c>
      <c r="BG1226" s="0" t="s">
        <v>130</v>
      </c>
      <c r="BH1226" s="0" t="s">
        <v>130</v>
      </c>
      <c r="BI1226" s="0" t="s">
        <v>130</v>
      </c>
      <c r="BJ1226" s="0" t="s">
        <v>130</v>
      </c>
      <c r="BK1226" s="0" t="s">
        <v>130</v>
      </c>
      <c r="BL1226" s="0" t="s">
        <v>130</v>
      </c>
      <c r="BM1226" s="0" t="s">
        <v>130</v>
      </c>
      <c r="BN1226" s="0" t="s">
        <v>130</v>
      </c>
      <c r="BO1226" s="0" t="s">
        <v>130</v>
      </c>
      <c r="BP1226" s="0" t="s">
        <v>130</v>
      </c>
      <c r="BQ1226" s="0" t="s">
        <v>130</v>
      </c>
      <c r="BR1226" s="0" t="s">
        <v>130</v>
      </c>
      <c r="BS1226" s="0" t="s">
        <v>130</v>
      </c>
      <c r="BT1226" s="0" t="s">
        <v>130</v>
      </c>
      <c r="BU1226" s="0" t="s">
        <v>130</v>
      </c>
      <c r="BV1226" s="0" t="s">
        <v>130</v>
      </c>
      <c r="BW1226" s="0" t="s">
        <v>130</v>
      </c>
      <c r="BX1226" s="0" t="s">
        <v>130</v>
      </c>
      <c r="BY1226" s="0" t="s">
        <v>130</v>
      </c>
      <c r="BZ1226" s="0" t="s">
        <v>130</v>
      </c>
      <c r="CA1226" s="0" t="s">
        <v>130</v>
      </c>
      <c r="CB1226" s="0" t="s">
        <v>130</v>
      </c>
      <c r="CC1226" s="0" t="s">
        <v>130</v>
      </c>
      <c r="CD1226" s="0" t="s">
        <v>130</v>
      </c>
      <c r="CE1226" s="0" t="s">
        <v>130</v>
      </c>
      <c r="CF1226" s="0" t="s">
        <v>130</v>
      </c>
      <c r="CG1226" s="0" t="s">
        <v>130</v>
      </c>
      <c r="CH1226" s="0" t="s">
        <v>130</v>
      </c>
      <c r="CI1226" s="0" t="s">
        <v>130</v>
      </c>
      <c r="CJ1226" s="0" t="s">
        <v>130</v>
      </c>
      <c r="CK1226" s="0" t="s">
        <v>130</v>
      </c>
      <c r="CL1226" s="0" t="s">
        <v>130</v>
      </c>
      <c r="CM1226" s="0" t="s">
        <v>130</v>
      </c>
      <c r="CN1226" s="0" t="s">
        <v>130</v>
      </c>
      <c r="CO1226" s="0" t="s">
        <v>130</v>
      </c>
      <c r="CP1226" s="0" t="s">
        <v>130</v>
      </c>
      <c r="CQ1226" s="0" t="s">
        <v>130</v>
      </c>
      <c r="CR1226" s="0" t="s">
        <v>130</v>
      </c>
      <c r="CS1226" s="0" t="s">
        <v>130</v>
      </c>
      <c r="CT1226" s="0" t="s">
        <v>3630</v>
      </c>
    </row>
    <row r="1227">
      <c r="A1227" s="14">
        <v>1442748</v>
      </c>
      <c r="B1227" s="0" t="s">
        <v>3624</v>
      </c>
      <c r="C1227" s="16">
        <f>HYPERLINK("https://eosportal.federatedhermes.com/companies/Q29tcGFueQppNjI1MDA=", "Mitsubishi UFJ Financial Group Inc")</f>
      </c>
      <c r="D1227" s="0" t="s">
        <v>25</v>
      </c>
      <c r="E1227" s="0" t="s">
        <v>873</v>
      </c>
      <c r="F1227" s="16">
        <f>HYPERLINK("https://eosportal.federatedhermes.com/engagements/RW5nYWdlbWVudAppMjYxODk=", "Risk management")</f>
      </c>
      <c r="G1227" s="14" t="s">
        <v>3631</v>
      </c>
      <c r="H1227" s="0" t="s">
        <v>141</v>
      </c>
      <c r="I1227" s="14" t="s">
        <v>1645</v>
      </c>
      <c r="J1227" s="0" t="s">
        <v>132</v>
      </c>
      <c r="K1227" s="0" t="s">
        <v>260</v>
      </c>
      <c r="L1227" s="0" t="s">
        <v>261</v>
      </c>
      <c r="M1227" s="0" t="s">
        <v>802</v>
      </c>
      <c r="N1227" s="0" t="s">
        <v>952</v>
      </c>
      <c r="O1227" s="0" t="s">
        <v>238</v>
      </c>
      <c r="Q1227" s="0" t="s">
        <v>130</v>
      </c>
      <c r="R1227" s="0" t="s">
        <v>138</v>
      </c>
      <c r="S1227" s="14">
        <v>0</v>
      </c>
      <c r="T1227" s="0" t="s">
        <v>804</v>
      </c>
      <c r="U1227" s="0" t="s">
        <v>138</v>
      </c>
      <c r="V1227" s="14" t="s">
        <v>138</v>
      </c>
      <c r="W1227" s="0" t="s">
        <v>138</v>
      </c>
      <c r="X1227" s="14" t="s">
        <v>138</v>
      </c>
      <c r="Y1227" s="0" t="s">
        <v>138</v>
      </c>
      <c r="Z1227" s="14" t="s">
        <v>138</v>
      </c>
      <c r="AA1227" s="0" t="s">
        <v>138</v>
      </c>
      <c r="AB1227" s="14" t="s">
        <v>138</v>
      </c>
      <c r="AD1227" s="0" t="s">
        <v>138</v>
      </c>
      <c r="AF1227" s="0">
        <v>0</v>
      </c>
      <c r="AG1227" s="0">
        <v>0</v>
      </c>
      <c r="AH1227" s="0" t="s">
        <v>140</v>
      </c>
      <c r="AI1227" s="0" t="s">
        <v>138</v>
      </c>
      <c r="AL1227" s="14"/>
      <c r="AN1227" s="14"/>
      <c r="AQ1227" s="0" t="s">
        <v>130</v>
      </c>
      <c r="AR1227" s="0" t="s">
        <v>130</v>
      </c>
      <c r="AS1227" s="0" t="s">
        <v>130</v>
      </c>
      <c r="AT1227" s="0" t="s">
        <v>130</v>
      </c>
      <c r="AU1227" s="0" t="s">
        <v>130</v>
      </c>
      <c r="AV1227" s="0" t="s">
        <v>130</v>
      </c>
      <c r="AW1227" s="0" t="s">
        <v>130</v>
      </c>
      <c r="AX1227" s="0" t="s">
        <v>130</v>
      </c>
      <c r="AY1227" s="0" t="s">
        <v>130</v>
      </c>
      <c r="AZ1227" s="0" t="s">
        <v>130</v>
      </c>
      <c r="BA1227" s="0" t="s">
        <v>130</v>
      </c>
      <c r="BB1227" s="0" t="s">
        <v>130</v>
      </c>
      <c r="BC1227" s="0" t="s">
        <v>130</v>
      </c>
      <c r="BD1227" s="0" t="s">
        <v>130</v>
      </c>
      <c r="BE1227" s="0" t="s">
        <v>130</v>
      </c>
      <c r="BF1227" s="0" t="s">
        <v>130</v>
      </c>
      <c r="BG1227" s="0" t="s">
        <v>130</v>
      </c>
      <c r="BH1227" s="0" t="s">
        <v>130</v>
      </c>
      <c r="BI1227" s="0" t="s">
        <v>130</v>
      </c>
      <c r="BJ1227" s="0" t="s">
        <v>130</v>
      </c>
      <c r="BK1227" s="0" t="s">
        <v>130</v>
      </c>
      <c r="BL1227" s="0" t="s">
        <v>130</v>
      </c>
      <c r="BM1227" s="0" t="s">
        <v>130</v>
      </c>
      <c r="BN1227" s="0" t="s">
        <v>130</v>
      </c>
      <c r="BO1227" s="0" t="s">
        <v>130</v>
      </c>
      <c r="BP1227" s="0" t="s">
        <v>130</v>
      </c>
      <c r="BQ1227" s="0" t="s">
        <v>130</v>
      </c>
      <c r="BR1227" s="0" t="s">
        <v>130</v>
      </c>
      <c r="BS1227" s="0" t="s">
        <v>130</v>
      </c>
      <c r="BT1227" s="0" t="s">
        <v>130</v>
      </c>
      <c r="BU1227" s="0" t="s">
        <v>130</v>
      </c>
      <c r="BV1227" s="0" t="s">
        <v>130</v>
      </c>
      <c r="BW1227" s="0" t="s">
        <v>130</v>
      </c>
      <c r="BX1227" s="0" t="s">
        <v>130</v>
      </c>
      <c r="BY1227" s="0" t="s">
        <v>130</v>
      </c>
      <c r="BZ1227" s="0" t="s">
        <v>130</v>
      </c>
      <c r="CA1227" s="0" t="s">
        <v>130</v>
      </c>
      <c r="CB1227" s="0" t="s">
        <v>130</v>
      </c>
      <c r="CC1227" s="0" t="s">
        <v>130</v>
      </c>
      <c r="CD1227" s="0" t="s">
        <v>130</v>
      </c>
      <c r="CE1227" s="0" t="s">
        <v>130</v>
      </c>
      <c r="CF1227" s="0" t="s">
        <v>130</v>
      </c>
      <c r="CG1227" s="0" t="s">
        <v>130</v>
      </c>
      <c r="CH1227" s="0" t="s">
        <v>130</v>
      </c>
      <c r="CI1227" s="0" t="s">
        <v>130</v>
      </c>
      <c r="CJ1227" s="0" t="s">
        <v>130</v>
      </c>
      <c r="CK1227" s="0" t="s">
        <v>130</v>
      </c>
      <c r="CL1227" s="0" t="s">
        <v>130</v>
      </c>
      <c r="CM1227" s="0" t="s">
        <v>130</v>
      </c>
      <c r="CN1227" s="0" t="s">
        <v>130</v>
      </c>
      <c r="CO1227" s="0" t="s">
        <v>130</v>
      </c>
      <c r="CP1227" s="0" t="s">
        <v>130</v>
      </c>
      <c r="CQ1227" s="0" t="s">
        <v>130</v>
      </c>
      <c r="CR1227" s="0" t="s">
        <v>130</v>
      </c>
      <c r="CS1227" s="0" t="s">
        <v>130</v>
      </c>
      <c r="CT1227" s="0" t="s">
        <v>3632</v>
      </c>
    </row>
    <row r="1228">
      <c r="A1228" s="14">
        <v>1442748</v>
      </c>
      <c r="B1228" s="0" t="s">
        <v>3624</v>
      </c>
      <c r="C1228" s="16">
        <f>HYPERLINK("https://eosportal.federatedhermes.com/companies/Q29tcGFueQppNjI1MDA=", "Mitsubishi UFJ Financial Group Inc")</f>
      </c>
      <c r="D1228" s="0" t="s">
        <v>25</v>
      </c>
      <c r="E1228" s="0" t="s">
        <v>3633</v>
      </c>
      <c r="F1228" s="16">
        <f>HYPERLINK("https://eosportal.federatedhermes.com/engagements/RW5nYWdlbWVudAppMjYxOTA=", "ESG investor meeting")</f>
      </c>
      <c r="G1228" s="14" t="s">
        <v>3634</v>
      </c>
      <c r="H1228" s="0" t="s">
        <v>141</v>
      </c>
      <c r="I1228" s="14" t="s">
        <v>1645</v>
      </c>
      <c r="J1228" s="0" t="s">
        <v>153</v>
      </c>
      <c r="K1228" s="0" t="s">
        <v>243</v>
      </c>
      <c r="L1228" s="0" t="s">
        <v>244</v>
      </c>
      <c r="M1228" s="0" t="s">
        <v>802</v>
      </c>
      <c r="N1228" s="0" t="s">
        <v>952</v>
      </c>
      <c r="O1228" s="0" t="s">
        <v>238</v>
      </c>
      <c r="Q1228" s="0" t="s">
        <v>130</v>
      </c>
      <c r="R1228" s="0" t="s">
        <v>138</v>
      </c>
      <c r="S1228" s="14">
        <v>0</v>
      </c>
      <c r="T1228" s="0" t="s">
        <v>333</v>
      </c>
      <c r="U1228" s="0" t="s">
        <v>138</v>
      </c>
      <c r="V1228" s="14" t="s">
        <v>138</v>
      </c>
      <c r="W1228" s="0" t="s">
        <v>138</v>
      </c>
      <c r="X1228" s="14" t="s">
        <v>138</v>
      </c>
      <c r="Y1228" s="0" t="s">
        <v>138</v>
      </c>
      <c r="Z1228" s="14" t="s">
        <v>138</v>
      </c>
      <c r="AA1228" s="0" t="s">
        <v>138</v>
      </c>
      <c r="AB1228" s="14" t="s">
        <v>138</v>
      </c>
      <c r="AD1228" s="0" t="s">
        <v>138</v>
      </c>
      <c r="AF1228" s="0">
        <v>0</v>
      </c>
      <c r="AG1228" s="0">
        <v>0</v>
      </c>
      <c r="AH1228" s="0" t="s">
        <v>140</v>
      </c>
      <c r="AI1228" s="0" t="s">
        <v>138</v>
      </c>
      <c r="AL1228" s="14"/>
      <c r="AN1228" s="14"/>
      <c r="AQ1228" s="0" t="s">
        <v>130</v>
      </c>
      <c r="AR1228" s="0" t="s">
        <v>130</v>
      </c>
      <c r="AS1228" s="0" t="s">
        <v>130</v>
      </c>
      <c r="AT1228" s="0" t="s">
        <v>130</v>
      </c>
      <c r="AU1228" s="0" t="s">
        <v>130</v>
      </c>
      <c r="AV1228" s="0" t="s">
        <v>130</v>
      </c>
      <c r="AW1228" s="0" t="s">
        <v>130</v>
      </c>
      <c r="AX1228" s="0" t="s">
        <v>130</v>
      </c>
      <c r="AY1228" s="0" t="s">
        <v>130</v>
      </c>
      <c r="AZ1228" s="0" t="s">
        <v>130</v>
      </c>
      <c r="BA1228" s="0" t="s">
        <v>130</v>
      </c>
      <c r="BB1228" s="0" t="s">
        <v>130</v>
      </c>
      <c r="BC1228" s="0" t="s">
        <v>130</v>
      </c>
      <c r="BD1228" s="0" t="s">
        <v>130</v>
      </c>
      <c r="BE1228" s="0" t="s">
        <v>130</v>
      </c>
      <c r="BF1228" s="0" t="s">
        <v>130</v>
      </c>
      <c r="BG1228" s="0" t="s">
        <v>130</v>
      </c>
      <c r="BH1228" s="0" t="s">
        <v>130</v>
      </c>
      <c r="BI1228" s="0" t="s">
        <v>130</v>
      </c>
      <c r="BJ1228" s="0" t="s">
        <v>130</v>
      </c>
      <c r="BK1228" s="0" t="s">
        <v>130</v>
      </c>
      <c r="BL1228" s="0" t="s">
        <v>130</v>
      </c>
      <c r="BM1228" s="0" t="s">
        <v>130</v>
      </c>
      <c r="BN1228" s="0" t="s">
        <v>130</v>
      </c>
      <c r="BO1228" s="0" t="s">
        <v>130</v>
      </c>
      <c r="BP1228" s="0" t="s">
        <v>130</v>
      </c>
      <c r="BQ1228" s="0" t="s">
        <v>130</v>
      </c>
      <c r="BR1228" s="0" t="s">
        <v>130</v>
      </c>
      <c r="BS1228" s="0" t="s">
        <v>130</v>
      </c>
      <c r="BT1228" s="0" t="s">
        <v>130</v>
      </c>
      <c r="BU1228" s="0" t="s">
        <v>130</v>
      </c>
      <c r="BV1228" s="0" t="s">
        <v>130</v>
      </c>
      <c r="BW1228" s="0" t="s">
        <v>130</v>
      </c>
      <c r="BX1228" s="0" t="s">
        <v>130</v>
      </c>
      <c r="BY1228" s="0" t="s">
        <v>130</v>
      </c>
      <c r="BZ1228" s="0" t="s">
        <v>130</v>
      </c>
      <c r="CA1228" s="0" t="s">
        <v>130</v>
      </c>
      <c r="CB1228" s="0" t="s">
        <v>130</v>
      </c>
      <c r="CC1228" s="0" t="s">
        <v>130</v>
      </c>
      <c r="CD1228" s="0" t="s">
        <v>130</v>
      </c>
      <c r="CE1228" s="0" t="s">
        <v>130</v>
      </c>
      <c r="CF1228" s="0" t="s">
        <v>130</v>
      </c>
      <c r="CG1228" s="0" t="s">
        <v>130</v>
      </c>
      <c r="CH1228" s="0" t="s">
        <v>130</v>
      </c>
      <c r="CI1228" s="0" t="s">
        <v>130</v>
      </c>
      <c r="CJ1228" s="0" t="s">
        <v>130</v>
      </c>
      <c r="CK1228" s="0" t="s">
        <v>130</v>
      </c>
      <c r="CL1228" s="0" t="s">
        <v>130</v>
      </c>
      <c r="CM1228" s="0" t="s">
        <v>130</v>
      </c>
      <c r="CN1228" s="0" t="s">
        <v>130</v>
      </c>
      <c r="CO1228" s="0" t="s">
        <v>130</v>
      </c>
      <c r="CP1228" s="0" t="s">
        <v>130</v>
      </c>
      <c r="CQ1228" s="0" t="s">
        <v>130</v>
      </c>
      <c r="CR1228" s="0" t="s">
        <v>130</v>
      </c>
      <c r="CS1228" s="0" t="s">
        <v>130</v>
      </c>
      <c r="CT1228" s="0" t="s">
        <v>3635</v>
      </c>
    </row>
    <row r="1229">
      <c r="A1229" s="14">
        <v>1442748</v>
      </c>
      <c r="B1229" s="0" t="s">
        <v>3624</v>
      </c>
      <c r="C1229" s="16">
        <f>HYPERLINK("https://eosportal.federatedhermes.com/companies/Q29tcGFueQppNjI1MDA=", "Mitsubishi UFJ Financial Group Inc")</f>
      </c>
      <c r="D1229" s="0" t="s">
        <v>23</v>
      </c>
      <c r="E1229" s="0" t="s">
        <v>3636</v>
      </c>
      <c r="F1229" s="16">
        <f>HYPERLINK("https://eosportal.federatedhermes.com/engagements/RW5nYWdlbWVudAppMjYxOTE=", "Publication of AI governance principles")</f>
      </c>
      <c r="G1229" s="14" t="s">
        <v>3637</v>
      </c>
      <c r="H1229" s="0" t="s">
        <v>141</v>
      </c>
      <c r="I1229" s="14" t="s">
        <v>1645</v>
      </c>
      <c r="J1229" s="0" t="s">
        <v>153</v>
      </c>
      <c r="K1229" s="0" t="s">
        <v>243</v>
      </c>
      <c r="L1229" s="0" t="s">
        <v>537</v>
      </c>
      <c r="M1229" s="0" t="s">
        <v>802</v>
      </c>
      <c r="N1229" s="0" t="s">
        <v>952</v>
      </c>
      <c r="O1229" s="0" t="s">
        <v>238</v>
      </c>
      <c r="Q1229" s="0" t="s">
        <v>130</v>
      </c>
      <c r="R1229" s="0" t="s">
        <v>141</v>
      </c>
      <c r="S1229" s="14">
        <v>0</v>
      </c>
      <c r="T1229" s="0" t="s">
        <v>148</v>
      </c>
      <c r="U1229" s="0" t="s">
        <v>221</v>
      </c>
      <c r="V1229" s="14" t="s">
        <v>148</v>
      </c>
      <c r="W1229" s="0" t="s">
        <v>221</v>
      </c>
      <c r="X1229" s="14" t="s">
        <v>139</v>
      </c>
      <c r="Y1229" s="0" t="s">
        <v>221</v>
      </c>
      <c r="Z1229" s="14" t="s">
        <v>2428</v>
      </c>
      <c r="AA1229" s="0" t="s">
        <v>221</v>
      </c>
      <c r="AB1229" s="14" t="s">
        <v>361</v>
      </c>
      <c r="AC1229" s="0" t="s">
        <v>20</v>
      </c>
      <c r="AD1229" s="0" t="s">
        <v>362</v>
      </c>
      <c r="AE1229" s="0" t="s">
        <v>363</v>
      </c>
      <c r="AF1229" s="0">
        <v>1</v>
      </c>
      <c r="AG1229" s="0">
        <v>0</v>
      </c>
      <c r="AH1229" s="0" t="s">
        <v>140</v>
      </c>
      <c r="AI1229" s="0" t="s">
        <v>221</v>
      </c>
      <c r="AJ1229" s="0" t="s">
        <v>364</v>
      </c>
      <c r="AL1229" s="14" t="s">
        <v>3638</v>
      </c>
      <c r="AM1229" s="0" t="s">
        <v>580</v>
      </c>
      <c r="AN1229" s="14"/>
      <c r="AQ1229" s="0" t="s">
        <v>130</v>
      </c>
      <c r="AR1229" s="0" t="s">
        <v>130</v>
      </c>
      <c r="AS1229" s="0" t="s">
        <v>130</v>
      </c>
      <c r="AT1229" s="0" t="s">
        <v>130</v>
      </c>
      <c r="AU1229" s="0" t="s">
        <v>130</v>
      </c>
      <c r="AV1229" s="0" t="s">
        <v>130</v>
      </c>
      <c r="AW1229" s="0" t="s">
        <v>130</v>
      </c>
      <c r="AX1229" s="0" t="s">
        <v>130</v>
      </c>
      <c r="AY1229" s="0" t="s">
        <v>130</v>
      </c>
      <c r="AZ1229" s="0" t="s">
        <v>130</v>
      </c>
      <c r="BA1229" s="0" t="s">
        <v>130</v>
      </c>
      <c r="BB1229" s="0" t="s">
        <v>130</v>
      </c>
      <c r="BC1229" s="0" t="s">
        <v>130</v>
      </c>
      <c r="BD1229" s="0" t="s">
        <v>130</v>
      </c>
      <c r="BE1229" s="0" t="s">
        <v>130</v>
      </c>
      <c r="BF1229" s="0" t="s">
        <v>141</v>
      </c>
      <c r="BG1229" s="0" t="s">
        <v>130</v>
      </c>
      <c r="BH1229" s="0" t="s">
        <v>130</v>
      </c>
      <c r="BI1229" s="0" t="s">
        <v>130</v>
      </c>
      <c r="BJ1229" s="0" t="s">
        <v>130</v>
      </c>
      <c r="BK1229" s="0" t="s">
        <v>130</v>
      </c>
      <c r="BL1229" s="0" t="s">
        <v>130</v>
      </c>
      <c r="BM1229" s="0" t="s">
        <v>130</v>
      </c>
      <c r="BN1229" s="0" t="s">
        <v>130</v>
      </c>
      <c r="BO1229" s="0" t="s">
        <v>130</v>
      </c>
      <c r="BP1229" s="0" t="s">
        <v>130</v>
      </c>
      <c r="BQ1229" s="0" t="s">
        <v>130</v>
      </c>
      <c r="BR1229" s="0" t="s">
        <v>130</v>
      </c>
      <c r="BS1229" s="0" t="s">
        <v>130</v>
      </c>
      <c r="BT1229" s="0" t="s">
        <v>130</v>
      </c>
      <c r="BU1229" s="0" t="s">
        <v>130</v>
      </c>
      <c r="BV1229" s="0" t="s">
        <v>130</v>
      </c>
      <c r="BW1229" s="0" t="s">
        <v>130</v>
      </c>
      <c r="BX1229" s="0" t="s">
        <v>130</v>
      </c>
      <c r="BY1229" s="0" t="s">
        <v>130</v>
      </c>
      <c r="BZ1229" s="0" t="s">
        <v>130</v>
      </c>
      <c r="CA1229" s="0" t="s">
        <v>130</v>
      </c>
      <c r="CB1229" s="0" t="s">
        <v>130</v>
      </c>
      <c r="CC1229" s="0" t="s">
        <v>130</v>
      </c>
      <c r="CD1229" s="0" t="s">
        <v>130</v>
      </c>
      <c r="CE1229" s="0" t="s">
        <v>130</v>
      </c>
      <c r="CF1229" s="0" t="s">
        <v>130</v>
      </c>
      <c r="CG1229" s="0" t="s">
        <v>130</v>
      </c>
      <c r="CH1229" s="0" t="s">
        <v>130</v>
      </c>
      <c r="CI1229" s="0" t="s">
        <v>130</v>
      </c>
      <c r="CJ1229" s="0" t="s">
        <v>130</v>
      </c>
      <c r="CK1229" s="0" t="s">
        <v>130</v>
      </c>
      <c r="CL1229" s="0" t="s">
        <v>130</v>
      </c>
      <c r="CM1229" s="0" t="s">
        <v>130</v>
      </c>
      <c r="CN1229" s="0" t="s">
        <v>130</v>
      </c>
      <c r="CO1229" s="0" t="s">
        <v>130</v>
      </c>
      <c r="CP1229" s="0" t="s">
        <v>130</v>
      </c>
      <c r="CQ1229" s="0" t="s">
        <v>130</v>
      </c>
      <c r="CR1229" s="0" t="s">
        <v>130</v>
      </c>
      <c r="CS1229" s="0" t="s">
        <v>130</v>
      </c>
      <c r="CT1229" s="0" t="s">
        <v>3639</v>
      </c>
    </row>
    <row r="1230">
      <c r="A1230" s="14">
        <v>1442748</v>
      </c>
      <c r="B1230" s="0" t="s">
        <v>3624</v>
      </c>
      <c r="C1230" s="16">
        <f>HYPERLINK("https://eosportal.federatedhermes.com/companies/Q29tcGFueQppNjI1MDA=", "Mitsubishi UFJ Financial Group Inc")</f>
      </c>
      <c r="D1230" s="0" t="s">
        <v>23</v>
      </c>
      <c r="E1230" s="0" t="s">
        <v>3640</v>
      </c>
      <c r="F1230" s="16">
        <f>HYPERLINK("https://eosportal.federatedhermes.com/engagements/RW5nYWdlbWVudAppMjYxOTI=", "Substantial reduction in strategic shareholdings")</f>
      </c>
      <c r="G1230" s="14" t="s">
        <v>3641</v>
      </c>
      <c r="H1230" s="0" t="s">
        <v>141</v>
      </c>
      <c r="I1230" s="14" t="s">
        <v>1645</v>
      </c>
      <c r="J1230" s="0" t="s">
        <v>145</v>
      </c>
      <c r="K1230" s="0" t="s">
        <v>400</v>
      </c>
      <c r="L1230" s="0" t="s">
        <v>507</v>
      </c>
      <c r="M1230" s="0" t="s">
        <v>802</v>
      </c>
      <c r="N1230" s="0" t="s">
        <v>952</v>
      </c>
      <c r="O1230" s="0" t="s">
        <v>238</v>
      </c>
      <c r="Q1230" s="0" t="s">
        <v>130</v>
      </c>
      <c r="R1230" s="0" t="s">
        <v>141</v>
      </c>
      <c r="S1230" s="14">
        <v>0</v>
      </c>
      <c r="T1230" s="0" t="s">
        <v>148</v>
      </c>
      <c r="U1230" s="0" t="s">
        <v>221</v>
      </c>
      <c r="V1230" s="14" t="s">
        <v>148</v>
      </c>
      <c r="W1230" s="0" t="s">
        <v>221</v>
      </c>
      <c r="X1230" s="14" t="s">
        <v>206</v>
      </c>
      <c r="Y1230" s="0" t="s">
        <v>221</v>
      </c>
      <c r="Z1230" s="14" t="s">
        <v>2842</v>
      </c>
      <c r="AA1230" s="0" t="s">
        <v>221</v>
      </c>
      <c r="AB1230" s="14" t="s">
        <v>361</v>
      </c>
      <c r="AC1230" s="0" t="s">
        <v>20</v>
      </c>
      <c r="AD1230" s="0" t="s">
        <v>362</v>
      </c>
      <c r="AE1230" s="0" t="s">
        <v>363</v>
      </c>
      <c r="AF1230" s="0">
        <v>1</v>
      </c>
      <c r="AG1230" s="0">
        <v>0</v>
      </c>
      <c r="AH1230" s="0" t="s">
        <v>140</v>
      </c>
      <c r="AI1230" s="0" t="s">
        <v>221</v>
      </c>
      <c r="AJ1230" s="0" t="s">
        <v>364</v>
      </c>
      <c r="AL1230" s="14" t="s">
        <v>3642</v>
      </c>
      <c r="AM1230" s="0" t="s">
        <v>580</v>
      </c>
      <c r="AN1230" s="14"/>
      <c r="AQ1230" s="0" t="s">
        <v>130</v>
      </c>
      <c r="AR1230" s="0" t="s">
        <v>130</v>
      </c>
      <c r="AS1230" s="0" t="s">
        <v>130</v>
      </c>
      <c r="AT1230" s="0" t="s">
        <v>130</v>
      </c>
      <c r="AU1230" s="0" t="s">
        <v>130</v>
      </c>
      <c r="AV1230" s="0" t="s">
        <v>130</v>
      </c>
      <c r="AW1230" s="0" t="s">
        <v>130</v>
      </c>
      <c r="AX1230" s="0" t="s">
        <v>130</v>
      </c>
      <c r="AY1230" s="0" t="s">
        <v>130</v>
      </c>
      <c r="AZ1230" s="0" t="s">
        <v>130</v>
      </c>
      <c r="BA1230" s="0" t="s">
        <v>130</v>
      </c>
      <c r="BB1230" s="0" t="s">
        <v>130</v>
      </c>
      <c r="BC1230" s="0" t="s">
        <v>130</v>
      </c>
      <c r="BD1230" s="0" t="s">
        <v>130</v>
      </c>
      <c r="BE1230" s="0" t="s">
        <v>130</v>
      </c>
      <c r="BF1230" s="0" t="s">
        <v>130</v>
      </c>
      <c r="BG1230" s="0" t="s">
        <v>130</v>
      </c>
      <c r="BH1230" s="0" t="s">
        <v>130</v>
      </c>
      <c r="BI1230" s="0" t="s">
        <v>130</v>
      </c>
      <c r="BJ1230" s="0" t="s">
        <v>130</v>
      </c>
      <c r="BK1230" s="0" t="s">
        <v>130</v>
      </c>
      <c r="BL1230" s="0" t="s">
        <v>130</v>
      </c>
      <c r="BM1230" s="0" t="s">
        <v>130</v>
      </c>
      <c r="BN1230" s="0" t="s">
        <v>130</v>
      </c>
      <c r="BO1230" s="0" t="s">
        <v>130</v>
      </c>
      <c r="BP1230" s="0" t="s">
        <v>130</v>
      </c>
      <c r="BQ1230" s="0" t="s">
        <v>130</v>
      </c>
      <c r="BR1230" s="0" t="s">
        <v>130</v>
      </c>
      <c r="BS1230" s="0" t="s">
        <v>130</v>
      </c>
      <c r="BT1230" s="0" t="s">
        <v>130</v>
      </c>
      <c r="BU1230" s="0" t="s">
        <v>130</v>
      </c>
      <c r="BV1230" s="0" t="s">
        <v>130</v>
      </c>
      <c r="BW1230" s="0" t="s">
        <v>130</v>
      </c>
      <c r="BX1230" s="0" t="s">
        <v>130</v>
      </c>
      <c r="BY1230" s="0" t="s">
        <v>130</v>
      </c>
      <c r="BZ1230" s="0" t="s">
        <v>130</v>
      </c>
      <c r="CA1230" s="0" t="s">
        <v>130</v>
      </c>
      <c r="CB1230" s="0" t="s">
        <v>130</v>
      </c>
      <c r="CC1230" s="0" t="s">
        <v>130</v>
      </c>
      <c r="CD1230" s="0" t="s">
        <v>130</v>
      </c>
      <c r="CE1230" s="0" t="s">
        <v>130</v>
      </c>
      <c r="CF1230" s="0" t="s">
        <v>130</v>
      </c>
      <c r="CG1230" s="0" t="s">
        <v>130</v>
      </c>
      <c r="CH1230" s="0" t="s">
        <v>130</v>
      </c>
      <c r="CI1230" s="0" t="s">
        <v>130</v>
      </c>
      <c r="CJ1230" s="0" t="s">
        <v>130</v>
      </c>
      <c r="CK1230" s="0" t="s">
        <v>130</v>
      </c>
      <c r="CL1230" s="0" t="s">
        <v>130</v>
      </c>
      <c r="CM1230" s="0" t="s">
        <v>130</v>
      </c>
      <c r="CN1230" s="0" t="s">
        <v>130</v>
      </c>
      <c r="CO1230" s="0" t="s">
        <v>130</v>
      </c>
      <c r="CP1230" s="0" t="s">
        <v>130</v>
      </c>
      <c r="CQ1230" s="0" t="s">
        <v>130</v>
      </c>
      <c r="CR1230" s="0" t="s">
        <v>130</v>
      </c>
      <c r="CS1230" s="0" t="s">
        <v>130</v>
      </c>
      <c r="CT1230" s="0" t="s">
        <v>3643</v>
      </c>
    </row>
    <row r="1231">
      <c r="A1231" s="14">
        <v>1442748</v>
      </c>
      <c r="B1231" s="0" t="s">
        <v>3624</v>
      </c>
      <c r="C1231" s="16">
        <f>HYPERLINK("https://eosportal.federatedhermes.com/companies/Q29tcGFueQppNjI1MDA=", "Mitsubishi UFJ Financial Group Inc")</f>
      </c>
      <c r="D1231" s="0" t="s">
        <v>25</v>
      </c>
      <c r="E1231" s="0" t="s">
        <v>3644</v>
      </c>
      <c r="F1231" s="16">
        <f>HYPERLINK("https://eosportal.federatedhermes.com/engagements/RW5nYWdlbWVudAppMjYxOTM=", "SIFI engagement")</f>
      </c>
      <c r="G1231" s="14" t="s">
        <v>3645</v>
      </c>
      <c r="H1231" s="0" t="s">
        <v>141</v>
      </c>
      <c r="I1231" s="14" t="s">
        <v>1645</v>
      </c>
      <c r="J1231" s="0" t="s">
        <v>153</v>
      </c>
      <c r="K1231" s="0" t="s">
        <v>154</v>
      </c>
      <c r="L1231" s="0" t="s">
        <v>306</v>
      </c>
      <c r="M1231" s="0" t="s">
        <v>802</v>
      </c>
      <c r="N1231" s="0" t="s">
        <v>952</v>
      </c>
      <c r="O1231" s="0" t="s">
        <v>238</v>
      </c>
      <c r="Q1231" s="0" t="s">
        <v>130</v>
      </c>
      <c r="R1231" s="0" t="s">
        <v>138</v>
      </c>
      <c r="S1231" s="14">
        <v>0</v>
      </c>
      <c r="T1231" s="0" t="s">
        <v>874</v>
      </c>
      <c r="U1231" s="0" t="s">
        <v>138</v>
      </c>
      <c r="V1231" s="14" t="s">
        <v>138</v>
      </c>
      <c r="W1231" s="0" t="s">
        <v>138</v>
      </c>
      <c r="X1231" s="14" t="s">
        <v>138</v>
      </c>
      <c r="Y1231" s="0" t="s">
        <v>138</v>
      </c>
      <c r="Z1231" s="14" t="s">
        <v>138</v>
      </c>
      <c r="AA1231" s="0" t="s">
        <v>138</v>
      </c>
      <c r="AB1231" s="14" t="s">
        <v>138</v>
      </c>
      <c r="AD1231" s="0" t="s">
        <v>138</v>
      </c>
      <c r="AF1231" s="0">
        <v>0</v>
      </c>
      <c r="AG1231" s="0">
        <v>0</v>
      </c>
      <c r="AH1231" s="0" t="s">
        <v>140</v>
      </c>
      <c r="AI1231" s="0" t="s">
        <v>138</v>
      </c>
      <c r="AL1231" s="14"/>
      <c r="AN1231" s="14"/>
      <c r="AQ1231" s="0" t="s">
        <v>130</v>
      </c>
      <c r="AR1231" s="0" t="s">
        <v>130</v>
      </c>
      <c r="AS1231" s="0" t="s">
        <v>130</v>
      </c>
      <c r="AT1231" s="0" t="s">
        <v>130</v>
      </c>
      <c r="AU1231" s="0" t="s">
        <v>130</v>
      </c>
      <c r="AV1231" s="0" t="s">
        <v>130</v>
      </c>
      <c r="AW1231" s="0" t="s">
        <v>130</v>
      </c>
      <c r="AX1231" s="0" t="s">
        <v>130</v>
      </c>
      <c r="AY1231" s="0" t="s">
        <v>130</v>
      </c>
      <c r="AZ1231" s="0" t="s">
        <v>130</v>
      </c>
      <c r="BA1231" s="0" t="s">
        <v>130</v>
      </c>
      <c r="BB1231" s="0" t="s">
        <v>130</v>
      </c>
      <c r="BC1231" s="0" t="s">
        <v>130</v>
      </c>
      <c r="BD1231" s="0" t="s">
        <v>130</v>
      </c>
      <c r="BE1231" s="0" t="s">
        <v>130</v>
      </c>
      <c r="BF1231" s="0" t="s">
        <v>130</v>
      </c>
      <c r="BG1231" s="0" t="s">
        <v>130</v>
      </c>
      <c r="BH1231" s="0" t="s">
        <v>130</v>
      </c>
      <c r="BI1231" s="0" t="s">
        <v>130</v>
      </c>
      <c r="BJ1231" s="0" t="s">
        <v>130</v>
      </c>
      <c r="BK1231" s="0" t="s">
        <v>130</v>
      </c>
      <c r="BL1231" s="0" t="s">
        <v>130</v>
      </c>
      <c r="BM1231" s="0" t="s">
        <v>130</v>
      </c>
      <c r="BN1231" s="0" t="s">
        <v>130</v>
      </c>
      <c r="BO1231" s="0" t="s">
        <v>130</v>
      </c>
      <c r="BP1231" s="0" t="s">
        <v>130</v>
      </c>
      <c r="BQ1231" s="0" t="s">
        <v>130</v>
      </c>
      <c r="BR1231" s="0" t="s">
        <v>130</v>
      </c>
      <c r="BS1231" s="0" t="s">
        <v>130</v>
      </c>
      <c r="BT1231" s="0" t="s">
        <v>130</v>
      </c>
      <c r="BU1231" s="0" t="s">
        <v>130</v>
      </c>
      <c r="BV1231" s="0" t="s">
        <v>130</v>
      </c>
      <c r="BW1231" s="0" t="s">
        <v>130</v>
      </c>
      <c r="BX1231" s="0" t="s">
        <v>130</v>
      </c>
      <c r="BY1231" s="0" t="s">
        <v>130</v>
      </c>
      <c r="BZ1231" s="0" t="s">
        <v>130</v>
      </c>
      <c r="CA1231" s="0" t="s">
        <v>130</v>
      </c>
      <c r="CB1231" s="0" t="s">
        <v>130</v>
      </c>
      <c r="CC1231" s="0" t="s">
        <v>130</v>
      </c>
      <c r="CD1231" s="0" t="s">
        <v>130</v>
      </c>
      <c r="CE1231" s="0" t="s">
        <v>130</v>
      </c>
      <c r="CF1231" s="0" t="s">
        <v>130</v>
      </c>
      <c r="CG1231" s="0" t="s">
        <v>130</v>
      </c>
      <c r="CH1231" s="0" t="s">
        <v>130</v>
      </c>
      <c r="CI1231" s="0" t="s">
        <v>130</v>
      </c>
      <c r="CJ1231" s="0" t="s">
        <v>130</v>
      </c>
      <c r="CK1231" s="0" t="s">
        <v>130</v>
      </c>
      <c r="CL1231" s="0" t="s">
        <v>130</v>
      </c>
      <c r="CM1231" s="0" t="s">
        <v>130</v>
      </c>
      <c r="CN1231" s="0" t="s">
        <v>130</v>
      </c>
      <c r="CO1231" s="0" t="s">
        <v>130</v>
      </c>
      <c r="CP1231" s="0" t="s">
        <v>130</v>
      </c>
      <c r="CQ1231" s="0" t="s">
        <v>130</v>
      </c>
      <c r="CR1231" s="0" t="s">
        <v>130</v>
      </c>
      <c r="CS1231" s="0" t="s">
        <v>130</v>
      </c>
      <c r="CT1231" s="0" t="s">
        <v>3646</v>
      </c>
    </row>
    <row r="1232">
      <c r="A1232" s="14">
        <v>1442748</v>
      </c>
      <c r="B1232" s="0" t="s">
        <v>3624</v>
      </c>
      <c r="C1232" s="16">
        <f>HYPERLINK("https://eosportal.federatedhermes.com/companies/Q29tcGFueQppNjI1MDA=", "Mitsubishi UFJ Financial Group Inc")</f>
      </c>
      <c r="D1232" s="0" t="s">
        <v>25</v>
      </c>
      <c r="E1232" s="0" t="s">
        <v>3647</v>
      </c>
      <c r="F1232" s="16">
        <f>HYPERLINK("https://eosportal.federatedhermes.com/engagements/RW5nYWdlbWVudAppMjYyMDM=", "Responsible investment and stewardship")</f>
      </c>
      <c r="G1232" s="14" t="s">
        <v>3648</v>
      </c>
      <c r="H1232" s="0" t="s">
        <v>141</v>
      </c>
      <c r="I1232" s="14" t="s">
        <v>1645</v>
      </c>
      <c r="J1232" s="0" t="s">
        <v>132</v>
      </c>
      <c r="K1232" s="0" t="s">
        <v>133</v>
      </c>
      <c r="L1232" s="0" t="s">
        <v>160</v>
      </c>
      <c r="M1232" s="0" t="s">
        <v>802</v>
      </c>
      <c r="N1232" s="0" t="s">
        <v>952</v>
      </c>
      <c r="O1232" s="0" t="s">
        <v>238</v>
      </c>
      <c r="Q1232" s="0" t="s">
        <v>130</v>
      </c>
      <c r="R1232" s="0" t="s">
        <v>138</v>
      </c>
      <c r="S1232" s="14">
        <v>0</v>
      </c>
      <c r="T1232" s="0" t="s">
        <v>707</v>
      </c>
      <c r="U1232" s="0" t="s">
        <v>138</v>
      </c>
      <c r="V1232" s="14" t="s">
        <v>138</v>
      </c>
      <c r="W1232" s="0" t="s">
        <v>138</v>
      </c>
      <c r="X1232" s="14" t="s">
        <v>138</v>
      </c>
      <c r="Y1232" s="0" t="s">
        <v>138</v>
      </c>
      <c r="Z1232" s="14" t="s">
        <v>138</v>
      </c>
      <c r="AA1232" s="0" t="s">
        <v>138</v>
      </c>
      <c r="AB1232" s="14" t="s">
        <v>138</v>
      </c>
      <c r="AD1232" s="0" t="s">
        <v>138</v>
      </c>
      <c r="AF1232" s="0">
        <v>0</v>
      </c>
      <c r="AG1232" s="0">
        <v>0</v>
      </c>
      <c r="AH1232" s="0" t="s">
        <v>140</v>
      </c>
      <c r="AI1232" s="0" t="s">
        <v>138</v>
      </c>
      <c r="AL1232" s="14"/>
      <c r="AN1232" s="14"/>
      <c r="AQ1232" s="0" t="s">
        <v>130</v>
      </c>
      <c r="AR1232" s="0" t="s">
        <v>130</v>
      </c>
      <c r="AS1232" s="0" t="s">
        <v>130</v>
      </c>
      <c r="AT1232" s="0" t="s">
        <v>130</v>
      </c>
      <c r="AU1232" s="0" t="s">
        <v>130</v>
      </c>
      <c r="AV1232" s="0" t="s">
        <v>130</v>
      </c>
      <c r="AW1232" s="0" t="s">
        <v>130</v>
      </c>
      <c r="AX1232" s="0" t="s">
        <v>130</v>
      </c>
      <c r="AY1232" s="0" t="s">
        <v>130</v>
      </c>
      <c r="AZ1232" s="0" t="s">
        <v>130</v>
      </c>
      <c r="BA1232" s="0" t="s">
        <v>130</v>
      </c>
      <c r="BB1232" s="0" t="s">
        <v>130</v>
      </c>
      <c r="BC1232" s="0" t="s">
        <v>130</v>
      </c>
      <c r="BD1232" s="0" t="s">
        <v>130</v>
      </c>
      <c r="BE1232" s="0" t="s">
        <v>130</v>
      </c>
      <c r="BF1232" s="0" t="s">
        <v>130</v>
      </c>
      <c r="BG1232" s="0" t="s">
        <v>130</v>
      </c>
      <c r="BH1232" s="0" t="s">
        <v>130</v>
      </c>
      <c r="BI1232" s="0" t="s">
        <v>130</v>
      </c>
      <c r="BJ1232" s="0" t="s">
        <v>130</v>
      </c>
      <c r="BK1232" s="0" t="s">
        <v>130</v>
      </c>
      <c r="BL1232" s="0" t="s">
        <v>130</v>
      </c>
      <c r="BM1232" s="0" t="s">
        <v>130</v>
      </c>
      <c r="BN1232" s="0" t="s">
        <v>130</v>
      </c>
      <c r="BO1232" s="0" t="s">
        <v>130</v>
      </c>
      <c r="BP1232" s="0" t="s">
        <v>130</v>
      </c>
      <c r="BQ1232" s="0" t="s">
        <v>130</v>
      </c>
      <c r="BR1232" s="0" t="s">
        <v>130</v>
      </c>
      <c r="BS1232" s="0" t="s">
        <v>130</v>
      </c>
      <c r="BT1232" s="0" t="s">
        <v>130</v>
      </c>
      <c r="BU1232" s="0" t="s">
        <v>130</v>
      </c>
      <c r="BV1232" s="0" t="s">
        <v>130</v>
      </c>
      <c r="BW1232" s="0" t="s">
        <v>130</v>
      </c>
      <c r="BX1232" s="0" t="s">
        <v>130</v>
      </c>
      <c r="BY1232" s="0" t="s">
        <v>130</v>
      </c>
      <c r="BZ1232" s="0" t="s">
        <v>130</v>
      </c>
      <c r="CA1232" s="0" t="s">
        <v>130</v>
      </c>
      <c r="CB1232" s="0" t="s">
        <v>130</v>
      </c>
      <c r="CC1232" s="0" t="s">
        <v>130</v>
      </c>
      <c r="CD1232" s="0" t="s">
        <v>130</v>
      </c>
      <c r="CE1232" s="0" t="s">
        <v>130</v>
      </c>
      <c r="CF1232" s="0" t="s">
        <v>130</v>
      </c>
      <c r="CG1232" s="0" t="s">
        <v>130</v>
      </c>
      <c r="CH1232" s="0" t="s">
        <v>130</v>
      </c>
      <c r="CI1232" s="0" t="s">
        <v>130</v>
      </c>
      <c r="CJ1232" s="0" t="s">
        <v>130</v>
      </c>
      <c r="CK1232" s="0" t="s">
        <v>130</v>
      </c>
      <c r="CL1232" s="0" t="s">
        <v>130</v>
      </c>
      <c r="CM1232" s="0" t="s">
        <v>130</v>
      </c>
      <c r="CN1232" s="0" t="s">
        <v>130</v>
      </c>
      <c r="CO1232" s="0" t="s">
        <v>130</v>
      </c>
      <c r="CP1232" s="0" t="s">
        <v>130</v>
      </c>
      <c r="CQ1232" s="0" t="s">
        <v>130</v>
      </c>
      <c r="CR1232" s="0" t="s">
        <v>130</v>
      </c>
      <c r="CS1232" s="0" t="s">
        <v>130</v>
      </c>
      <c r="CT1232" s="0" t="s">
        <v>3649</v>
      </c>
    </row>
    <row r="1233">
      <c r="A1233" s="14">
        <v>1442748</v>
      </c>
      <c r="B1233" s="0" t="s">
        <v>3624</v>
      </c>
      <c r="C1233" s="16">
        <f>HYPERLINK("https://eosportal.federatedhermes.com/companies/Q29tcGFueQppNjI1MDA=", "Mitsubishi UFJ Financial Group Inc")</f>
      </c>
      <c r="D1233" s="0" t="s">
        <v>25</v>
      </c>
      <c r="E1233" s="0" t="s">
        <v>198</v>
      </c>
      <c r="F1233" s="16">
        <f>HYPERLINK("https://eosportal.federatedhermes.com/engagements/RW5nYWdlbWVudAppMjYyMDQ=", "Climate Change")</f>
      </c>
      <c r="G1233" s="14" t="s">
        <v>496</v>
      </c>
      <c r="H1233" s="0" t="s">
        <v>141</v>
      </c>
      <c r="I1233" s="14" t="s">
        <v>1645</v>
      </c>
      <c r="J1233" s="0" t="s">
        <v>197</v>
      </c>
      <c r="K1233" s="0" t="s">
        <v>198</v>
      </c>
      <c r="L1233" s="0" t="s">
        <v>216</v>
      </c>
      <c r="M1233" s="0" t="s">
        <v>802</v>
      </c>
      <c r="N1233" s="0" t="s">
        <v>952</v>
      </c>
      <c r="O1233" s="0" t="s">
        <v>238</v>
      </c>
      <c r="Q1233" s="0" t="s">
        <v>130</v>
      </c>
      <c r="R1233" s="0" t="s">
        <v>138</v>
      </c>
      <c r="S1233" s="14">
        <v>0</v>
      </c>
      <c r="T1233" s="0" t="s">
        <v>327</v>
      </c>
      <c r="U1233" s="0" t="s">
        <v>138</v>
      </c>
      <c r="V1233" s="14" t="s">
        <v>138</v>
      </c>
      <c r="W1233" s="0" t="s">
        <v>138</v>
      </c>
      <c r="X1233" s="14" t="s">
        <v>138</v>
      </c>
      <c r="Y1233" s="0" t="s">
        <v>138</v>
      </c>
      <c r="Z1233" s="14" t="s">
        <v>138</v>
      </c>
      <c r="AA1233" s="0" t="s">
        <v>138</v>
      </c>
      <c r="AB1233" s="14" t="s">
        <v>138</v>
      </c>
      <c r="AD1233" s="0" t="s">
        <v>138</v>
      </c>
      <c r="AF1233" s="0">
        <v>0</v>
      </c>
      <c r="AG1233" s="0">
        <v>0</v>
      </c>
      <c r="AH1233" s="0" t="s">
        <v>140</v>
      </c>
      <c r="AI1233" s="0" t="s">
        <v>138</v>
      </c>
      <c r="AL1233" s="14"/>
      <c r="AN1233" s="14"/>
      <c r="AQ1233" s="0" t="s">
        <v>130</v>
      </c>
      <c r="AR1233" s="0" t="s">
        <v>130</v>
      </c>
      <c r="AS1233" s="0" t="s">
        <v>130</v>
      </c>
      <c r="AT1233" s="0" t="s">
        <v>130</v>
      </c>
      <c r="AU1233" s="0" t="s">
        <v>130</v>
      </c>
      <c r="AV1233" s="0" t="s">
        <v>130</v>
      </c>
      <c r="AW1233" s="0" t="s">
        <v>141</v>
      </c>
      <c r="AX1233" s="0" t="s">
        <v>130</v>
      </c>
      <c r="AY1233" s="0" t="s">
        <v>130</v>
      </c>
      <c r="AZ1233" s="0" t="s">
        <v>130</v>
      </c>
      <c r="BA1233" s="0" t="s">
        <v>130</v>
      </c>
      <c r="BB1233" s="0" t="s">
        <v>130</v>
      </c>
      <c r="BC1233" s="0" t="s">
        <v>141</v>
      </c>
      <c r="BD1233" s="0" t="s">
        <v>130</v>
      </c>
      <c r="BE1233" s="0" t="s">
        <v>130</v>
      </c>
      <c r="BF1233" s="0" t="s">
        <v>130</v>
      </c>
      <c r="BG1233" s="0" t="s">
        <v>130</v>
      </c>
      <c r="BH1233" s="0" t="s">
        <v>141</v>
      </c>
      <c r="BI1233" s="0" t="s">
        <v>141</v>
      </c>
      <c r="BJ1233" s="0" t="s">
        <v>141</v>
      </c>
      <c r="BK1233" s="0" t="s">
        <v>130</v>
      </c>
      <c r="BL1233" s="0" t="s">
        <v>130</v>
      </c>
      <c r="BM1233" s="0" t="s">
        <v>130</v>
      </c>
      <c r="BN1233" s="0" t="s">
        <v>130</v>
      </c>
      <c r="BO1233" s="0" t="s">
        <v>130</v>
      </c>
      <c r="BP1233" s="0" t="s">
        <v>130</v>
      </c>
      <c r="BQ1233" s="0" t="s">
        <v>130</v>
      </c>
      <c r="BR1233" s="0" t="s">
        <v>130</v>
      </c>
      <c r="BS1233" s="0" t="s">
        <v>130</v>
      </c>
      <c r="BT1233" s="0" t="s">
        <v>130</v>
      </c>
      <c r="BU1233" s="0" t="s">
        <v>130</v>
      </c>
      <c r="BV1233" s="0" t="s">
        <v>141</v>
      </c>
      <c r="BW1233" s="0" t="s">
        <v>141</v>
      </c>
      <c r="BX1233" s="0" t="s">
        <v>130</v>
      </c>
      <c r="BY1233" s="0" t="s">
        <v>130</v>
      </c>
      <c r="BZ1233" s="0" t="s">
        <v>130</v>
      </c>
      <c r="CA1233" s="0" t="s">
        <v>130</v>
      </c>
      <c r="CB1233" s="0" t="s">
        <v>130</v>
      </c>
      <c r="CC1233" s="0" t="s">
        <v>130</v>
      </c>
      <c r="CD1233" s="0" t="s">
        <v>130</v>
      </c>
      <c r="CE1233" s="0" t="s">
        <v>130</v>
      </c>
      <c r="CF1233" s="0" t="s">
        <v>130</v>
      </c>
      <c r="CG1233" s="0" t="s">
        <v>130</v>
      </c>
      <c r="CH1233" s="0" t="s">
        <v>130</v>
      </c>
      <c r="CI1233" s="0" t="s">
        <v>130</v>
      </c>
      <c r="CJ1233" s="0" t="s">
        <v>130</v>
      </c>
      <c r="CK1233" s="0" t="s">
        <v>130</v>
      </c>
      <c r="CL1233" s="0" t="s">
        <v>130</v>
      </c>
      <c r="CM1233" s="0" t="s">
        <v>130</v>
      </c>
      <c r="CN1233" s="0" t="s">
        <v>130</v>
      </c>
      <c r="CO1233" s="0" t="s">
        <v>130</v>
      </c>
      <c r="CP1233" s="0" t="s">
        <v>130</v>
      </c>
      <c r="CQ1233" s="0" t="s">
        <v>130</v>
      </c>
      <c r="CR1233" s="0" t="s">
        <v>130</v>
      </c>
      <c r="CS1233" s="0" t="s">
        <v>130</v>
      </c>
      <c r="CT1233" s="0" t="s">
        <v>3650</v>
      </c>
    </row>
    <row r="1234">
      <c r="A1234" s="14">
        <v>1442748</v>
      </c>
      <c r="B1234" s="0" t="s">
        <v>3624</v>
      </c>
      <c r="C1234" s="16">
        <f>HYPERLINK("https://eosportal.federatedhermes.com/companies/Q29tcGFueQppNjI1MDA=", "Mitsubishi UFJ Financial Group Inc")</f>
      </c>
      <c r="D1234" s="0" t="s">
        <v>25</v>
      </c>
      <c r="E1234" s="0" t="s">
        <v>2323</v>
      </c>
      <c r="F1234" s="16">
        <f>HYPERLINK("https://eosportal.federatedhermes.com/engagements/RW5nYWdlbWVudAppMjYyMDU=", "Artificial intelligence (AI) governance")</f>
      </c>
      <c r="G1234" s="14" t="s">
        <v>3651</v>
      </c>
      <c r="H1234" s="0" t="s">
        <v>141</v>
      </c>
      <c r="I1234" s="14" t="s">
        <v>1645</v>
      </c>
      <c r="J1234" s="0" t="s">
        <v>153</v>
      </c>
      <c r="K1234" s="0" t="s">
        <v>243</v>
      </c>
      <c r="L1234" s="0" t="s">
        <v>537</v>
      </c>
      <c r="M1234" s="0" t="s">
        <v>802</v>
      </c>
      <c r="N1234" s="0" t="s">
        <v>952</v>
      </c>
      <c r="O1234" s="0" t="s">
        <v>238</v>
      </c>
      <c r="Q1234" s="0" t="s">
        <v>130</v>
      </c>
      <c r="R1234" s="0" t="s">
        <v>138</v>
      </c>
      <c r="S1234" s="14">
        <v>0</v>
      </c>
      <c r="T1234" s="0" t="s">
        <v>394</v>
      </c>
      <c r="U1234" s="0" t="s">
        <v>138</v>
      </c>
      <c r="V1234" s="14" t="s">
        <v>138</v>
      </c>
      <c r="W1234" s="0" t="s">
        <v>138</v>
      </c>
      <c r="X1234" s="14" t="s">
        <v>138</v>
      </c>
      <c r="Y1234" s="0" t="s">
        <v>138</v>
      </c>
      <c r="Z1234" s="14" t="s">
        <v>138</v>
      </c>
      <c r="AA1234" s="0" t="s">
        <v>138</v>
      </c>
      <c r="AB1234" s="14" t="s">
        <v>138</v>
      </c>
      <c r="AD1234" s="0" t="s">
        <v>138</v>
      </c>
      <c r="AF1234" s="0">
        <v>0</v>
      </c>
      <c r="AG1234" s="0">
        <v>0</v>
      </c>
      <c r="AH1234" s="0" t="s">
        <v>140</v>
      </c>
      <c r="AI1234" s="0" t="s">
        <v>138</v>
      </c>
      <c r="AL1234" s="14"/>
      <c r="AN1234" s="14"/>
      <c r="AQ1234" s="0" t="s">
        <v>130</v>
      </c>
      <c r="AR1234" s="0" t="s">
        <v>130</v>
      </c>
      <c r="AS1234" s="0" t="s">
        <v>130</v>
      </c>
      <c r="AT1234" s="0" t="s">
        <v>130</v>
      </c>
      <c r="AU1234" s="0" t="s">
        <v>130</v>
      </c>
      <c r="AV1234" s="0" t="s">
        <v>130</v>
      </c>
      <c r="AW1234" s="0" t="s">
        <v>130</v>
      </c>
      <c r="AX1234" s="0" t="s">
        <v>130</v>
      </c>
      <c r="AY1234" s="0" t="s">
        <v>130</v>
      </c>
      <c r="AZ1234" s="0" t="s">
        <v>130</v>
      </c>
      <c r="BA1234" s="0" t="s">
        <v>130</v>
      </c>
      <c r="BB1234" s="0" t="s">
        <v>130</v>
      </c>
      <c r="BC1234" s="0" t="s">
        <v>130</v>
      </c>
      <c r="BD1234" s="0" t="s">
        <v>130</v>
      </c>
      <c r="BE1234" s="0" t="s">
        <v>130</v>
      </c>
      <c r="BF1234" s="0" t="s">
        <v>141</v>
      </c>
      <c r="BG1234" s="0" t="s">
        <v>130</v>
      </c>
      <c r="BH1234" s="0" t="s">
        <v>130</v>
      </c>
      <c r="BI1234" s="0" t="s">
        <v>130</v>
      </c>
      <c r="BJ1234" s="0" t="s">
        <v>130</v>
      </c>
      <c r="BK1234" s="0" t="s">
        <v>130</v>
      </c>
      <c r="BL1234" s="0" t="s">
        <v>130</v>
      </c>
      <c r="BM1234" s="0" t="s">
        <v>130</v>
      </c>
      <c r="BN1234" s="0" t="s">
        <v>130</v>
      </c>
      <c r="BO1234" s="0" t="s">
        <v>130</v>
      </c>
      <c r="BP1234" s="0" t="s">
        <v>130</v>
      </c>
      <c r="BQ1234" s="0" t="s">
        <v>130</v>
      </c>
      <c r="BR1234" s="0" t="s">
        <v>130</v>
      </c>
      <c r="BS1234" s="0" t="s">
        <v>130</v>
      </c>
      <c r="BT1234" s="0" t="s">
        <v>130</v>
      </c>
      <c r="BU1234" s="0" t="s">
        <v>130</v>
      </c>
      <c r="BV1234" s="0" t="s">
        <v>130</v>
      </c>
      <c r="BW1234" s="0" t="s">
        <v>130</v>
      </c>
      <c r="BX1234" s="0" t="s">
        <v>130</v>
      </c>
      <c r="BY1234" s="0" t="s">
        <v>130</v>
      </c>
      <c r="BZ1234" s="0" t="s">
        <v>130</v>
      </c>
      <c r="CA1234" s="0" t="s">
        <v>130</v>
      </c>
      <c r="CB1234" s="0" t="s">
        <v>130</v>
      </c>
      <c r="CC1234" s="0" t="s">
        <v>130</v>
      </c>
      <c r="CD1234" s="0" t="s">
        <v>130</v>
      </c>
      <c r="CE1234" s="0" t="s">
        <v>130</v>
      </c>
      <c r="CF1234" s="0" t="s">
        <v>130</v>
      </c>
      <c r="CG1234" s="0" t="s">
        <v>130</v>
      </c>
      <c r="CH1234" s="0" t="s">
        <v>130</v>
      </c>
      <c r="CI1234" s="0" t="s">
        <v>130</v>
      </c>
      <c r="CJ1234" s="0" t="s">
        <v>130</v>
      </c>
      <c r="CK1234" s="0" t="s">
        <v>130</v>
      </c>
      <c r="CL1234" s="0" t="s">
        <v>130</v>
      </c>
      <c r="CM1234" s="0" t="s">
        <v>130</v>
      </c>
      <c r="CN1234" s="0" t="s">
        <v>130</v>
      </c>
      <c r="CO1234" s="0" t="s">
        <v>130</v>
      </c>
      <c r="CP1234" s="0" t="s">
        <v>130</v>
      </c>
      <c r="CQ1234" s="0" t="s">
        <v>130</v>
      </c>
      <c r="CR1234" s="0" t="s">
        <v>130</v>
      </c>
      <c r="CS1234" s="0" t="s">
        <v>130</v>
      </c>
      <c r="CT1234" s="0" t="s">
        <v>3652</v>
      </c>
    </row>
    <row r="1235">
      <c r="A1235" s="14">
        <v>1442748</v>
      </c>
      <c r="B1235" s="0" t="s">
        <v>3624</v>
      </c>
      <c r="C1235" s="16">
        <f>HYPERLINK("https://eosportal.federatedhermes.com/companies/Q29tcGFueQppNjI1MDA=", "Mitsubishi UFJ Financial Group Inc")</f>
      </c>
      <c r="D1235" s="0" t="s">
        <v>25</v>
      </c>
      <c r="E1235" s="0" t="s">
        <v>1729</v>
      </c>
      <c r="F1235" s="16">
        <f>HYPERLINK("https://eosportal.federatedhermes.com/engagements/RW5nYWdlbWVudAppMjYyMDY=", "Business strategy")</f>
      </c>
      <c r="G1235" s="14" t="s">
        <v>3653</v>
      </c>
      <c r="H1235" s="0" t="s">
        <v>141</v>
      </c>
      <c r="I1235" s="14" t="s">
        <v>1645</v>
      </c>
      <c r="J1235" s="0" t="s">
        <v>132</v>
      </c>
      <c r="K1235" s="0" t="s">
        <v>133</v>
      </c>
      <c r="L1235" s="0" t="s">
        <v>160</v>
      </c>
      <c r="M1235" s="0" t="s">
        <v>802</v>
      </c>
      <c r="N1235" s="0" t="s">
        <v>952</v>
      </c>
      <c r="O1235" s="0" t="s">
        <v>238</v>
      </c>
      <c r="Q1235" s="0" t="s">
        <v>141</v>
      </c>
      <c r="R1235" s="0" t="s">
        <v>138</v>
      </c>
      <c r="S1235" s="14">
        <v>1</v>
      </c>
      <c r="T1235" s="0" t="s">
        <v>1011</v>
      </c>
      <c r="U1235" s="0" t="s">
        <v>138</v>
      </c>
      <c r="V1235" s="14" t="s">
        <v>138</v>
      </c>
      <c r="W1235" s="0" t="s">
        <v>138</v>
      </c>
      <c r="X1235" s="14" t="s">
        <v>138</v>
      </c>
      <c r="Y1235" s="0" t="s">
        <v>138</v>
      </c>
      <c r="Z1235" s="14" t="s">
        <v>138</v>
      </c>
      <c r="AA1235" s="0" t="s">
        <v>138</v>
      </c>
      <c r="AB1235" s="14" t="s">
        <v>138</v>
      </c>
      <c r="AD1235" s="0" t="s">
        <v>138</v>
      </c>
      <c r="AF1235" s="0">
        <v>0</v>
      </c>
      <c r="AG1235" s="0">
        <v>0</v>
      </c>
      <c r="AH1235" s="0" t="s">
        <v>140</v>
      </c>
      <c r="AI1235" s="0" t="s">
        <v>138</v>
      </c>
      <c r="AK1235" s="0" t="s">
        <v>3626</v>
      </c>
      <c r="AL1235" s="14"/>
      <c r="AN1235" s="14"/>
      <c r="AQ1235" s="0" t="s">
        <v>130</v>
      </c>
      <c r="AR1235" s="0" t="s">
        <v>130</v>
      </c>
      <c r="AS1235" s="0" t="s">
        <v>130</v>
      </c>
      <c r="AT1235" s="0" t="s">
        <v>130</v>
      </c>
      <c r="AU1235" s="0" t="s">
        <v>130</v>
      </c>
      <c r="AV1235" s="0" t="s">
        <v>130</v>
      </c>
      <c r="AW1235" s="0" t="s">
        <v>130</v>
      </c>
      <c r="AX1235" s="0" t="s">
        <v>130</v>
      </c>
      <c r="AY1235" s="0" t="s">
        <v>130</v>
      </c>
      <c r="AZ1235" s="0" t="s">
        <v>130</v>
      </c>
      <c r="BA1235" s="0" t="s">
        <v>130</v>
      </c>
      <c r="BB1235" s="0" t="s">
        <v>130</v>
      </c>
      <c r="BC1235" s="0" t="s">
        <v>130</v>
      </c>
      <c r="BD1235" s="0" t="s">
        <v>130</v>
      </c>
      <c r="BE1235" s="0" t="s">
        <v>130</v>
      </c>
      <c r="BF1235" s="0" t="s">
        <v>130</v>
      </c>
      <c r="BG1235" s="0" t="s">
        <v>130</v>
      </c>
      <c r="BH1235" s="0" t="s">
        <v>130</v>
      </c>
      <c r="BI1235" s="0" t="s">
        <v>130</v>
      </c>
      <c r="BJ1235" s="0" t="s">
        <v>130</v>
      </c>
      <c r="BK1235" s="0" t="s">
        <v>130</v>
      </c>
      <c r="BL1235" s="0" t="s">
        <v>130</v>
      </c>
      <c r="BM1235" s="0" t="s">
        <v>130</v>
      </c>
      <c r="BN1235" s="0" t="s">
        <v>130</v>
      </c>
      <c r="BO1235" s="0" t="s">
        <v>130</v>
      </c>
      <c r="BP1235" s="0" t="s">
        <v>130</v>
      </c>
      <c r="BQ1235" s="0" t="s">
        <v>130</v>
      </c>
      <c r="BR1235" s="0" t="s">
        <v>130</v>
      </c>
      <c r="BS1235" s="0" t="s">
        <v>130</v>
      </c>
      <c r="BT1235" s="0" t="s">
        <v>130</v>
      </c>
      <c r="BU1235" s="0" t="s">
        <v>130</v>
      </c>
      <c r="BV1235" s="0" t="s">
        <v>130</v>
      </c>
      <c r="BW1235" s="0" t="s">
        <v>130</v>
      </c>
      <c r="BX1235" s="0" t="s">
        <v>130</v>
      </c>
      <c r="BY1235" s="0" t="s">
        <v>130</v>
      </c>
      <c r="BZ1235" s="0" t="s">
        <v>130</v>
      </c>
      <c r="CA1235" s="0" t="s">
        <v>130</v>
      </c>
      <c r="CB1235" s="0" t="s">
        <v>130</v>
      </c>
      <c r="CC1235" s="0" t="s">
        <v>130</v>
      </c>
      <c r="CD1235" s="0" t="s">
        <v>130</v>
      </c>
      <c r="CE1235" s="0" t="s">
        <v>130</v>
      </c>
      <c r="CF1235" s="0" t="s">
        <v>130</v>
      </c>
      <c r="CG1235" s="0" t="s">
        <v>130</v>
      </c>
      <c r="CH1235" s="0" t="s">
        <v>130</v>
      </c>
      <c r="CI1235" s="0" t="s">
        <v>130</v>
      </c>
      <c r="CJ1235" s="0" t="s">
        <v>130</v>
      </c>
      <c r="CK1235" s="0" t="s">
        <v>130</v>
      </c>
      <c r="CL1235" s="0" t="s">
        <v>130</v>
      </c>
      <c r="CM1235" s="0" t="s">
        <v>130</v>
      </c>
      <c r="CN1235" s="0" t="s">
        <v>130</v>
      </c>
      <c r="CO1235" s="0" t="s">
        <v>130</v>
      </c>
      <c r="CP1235" s="0" t="s">
        <v>130</v>
      </c>
      <c r="CQ1235" s="0" t="s">
        <v>130</v>
      </c>
      <c r="CR1235" s="0" t="s">
        <v>130</v>
      </c>
      <c r="CS1235" s="0" t="s">
        <v>130</v>
      </c>
      <c r="CT1235" s="0" t="s">
        <v>3654</v>
      </c>
    </row>
    <row r="1236">
      <c r="A1236" s="14">
        <v>328455</v>
      </c>
      <c r="B1236" s="0" t="s">
        <v>3655</v>
      </c>
      <c r="C1236" s="16">
        <f>HYPERLINK("https://eosportal.federatedhermes.com/companies/Q29tcGFueQppNjc3Mjk=", "Fortum OYJ")</f>
      </c>
      <c r="D1236" s="0" t="s">
        <v>25</v>
      </c>
      <c r="E1236" s="0" t="s">
        <v>2179</v>
      </c>
      <c r="F1236" s="16">
        <f>HYPERLINK("https://eosportal.federatedhermes.com/engagements/RW5nYWdlbWVudAppMjYyMjU=", "Business Strategy")</f>
      </c>
      <c r="G1236" s="14" t="s">
        <v>3656</v>
      </c>
      <c r="H1236" s="0" t="s">
        <v>130</v>
      </c>
      <c r="I1236" s="14" t="s">
        <v>319</v>
      </c>
      <c r="J1236" s="0" t="s">
        <v>132</v>
      </c>
      <c r="K1236" s="0" t="s">
        <v>133</v>
      </c>
      <c r="L1236" s="0" t="s">
        <v>160</v>
      </c>
      <c r="M1236" s="0" t="s">
        <v>378</v>
      </c>
      <c r="N1236" s="0" t="s">
        <v>3657</v>
      </c>
      <c r="O1236" s="0" t="s">
        <v>192</v>
      </c>
      <c r="Q1236" s="0" t="s">
        <v>130</v>
      </c>
      <c r="R1236" s="0" t="s">
        <v>138</v>
      </c>
      <c r="S1236" s="14">
        <v>0</v>
      </c>
      <c r="T1236" s="0" t="s">
        <v>825</v>
      </c>
      <c r="U1236" s="0" t="s">
        <v>138</v>
      </c>
      <c r="V1236" s="14" t="s">
        <v>138</v>
      </c>
      <c r="W1236" s="0" t="s">
        <v>138</v>
      </c>
      <c r="X1236" s="14" t="s">
        <v>138</v>
      </c>
      <c r="Y1236" s="0" t="s">
        <v>138</v>
      </c>
      <c r="Z1236" s="14" t="s">
        <v>138</v>
      </c>
      <c r="AA1236" s="0" t="s">
        <v>138</v>
      </c>
      <c r="AB1236" s="14" t="s">
        <v>138</v>
      </c>
      <c r="AD1236" s="0" t="s">
        <v>138</v>
      </c>
      <c r="AF1236" s="0">
        <v>0</v>
      </c>
      <c r="AG1236" s="0">
        <v>0</v>
      </c>
      <c r="AH1236" s="0" t="s">
        <v>140</v>
      </c>
      <c r="AI1236" s="0" t="s">
        <v>138</v>
      </c>
      <c r="AL1236" s="14"/>
      <c r="AN1236" s="14"/>
      <c r="AQ1236" s="0" t="s">
        <v>130</v>
      </c>
      <c r="AR1236" s="0" t="s">
        <v>130</v>
      </c>
      <c r="AS1236" s="0" t="s">
        <v>130</v>
      </c>
      <c r="AT1236" s="0" t="s">
        <v>130</v>
      </c>
      <c r="AU1236" s="0" t="s">
        <v>130</v>
      </c>
      <c r="AV1236" s="0" t="s">
        <v>130</v>
      </c>
      <c r="AW1236" s="0" t="s">
        <v>130</v>
      </c>
      <c r="AX1236" s="0" t="s">
        <v>130</v>
      </c>
      <c r="AY1236" s="0" t="s">
        <v>130</v>
      </c>
      <c r="AZ1236" s="0" t="s">
        <v>130</v>
      </c>
      <c r="BA1236" s="0" t="s">
        <v>130</v>
      </c>
      <c r="BB1236" s="0" t="s">
        <v>130</v>
      </c>
      <c r="BC1236" s="0" t="s">
        <v>130</v>
      </c>
      <c r="BD1236" s="0" t="s">
        <v>130</v>
      </c>
      <c r="BE1236" s="0" t="s">
        <v>130</v>
      </c>
      <c r="BF1236" s="0" t="s">
        <v>130</v>
      </c>
      <c r="BG1236" s="0" t="s">
        <v>130</v>
      </c>
      <c r="BH1236" s="0" t="s">
        <v>130</v>
      </c>
      <c r="BI1236" s="0" t="s">
        <v>130</v>
      </c>
      <c r="BJ1236" s="0" t="s">
        <v>130</v>
      </c>
      <c r="BK1236" s="0" t="s">
        <v>130</v>
      </c>
      <c r="BL1236" s="0" t="s">
        <v>130</v>
      </c>
      <c r="BM1236" s="0" t="s">
        <v>130</v>
      </c>
      <c r="BN1236" s="0" t="s">
        <v>130</v>
      </c>
      <c r="BO1236" s="0" t="s">
        <v>130</v>
      </c>
      <c r="BP1236" s="0" t="s">
        <v>130</v>
      </c>
      <c r="BQ1236" s="0" t="s">
        <v>130</v>
      </c>
      <c r="BR1236" s="0" t="s">
        <v>130</v>
      </c>
      <c r="BS1236" s="0" t="s">
        <v>130</v>
      </c>
      <c r="BT1236" s="0" t="s">
        <v>130</v>
      </c>
      <c r="BU1236" s="0" t="s">
        <v>130</v>
      </c>
      <c r="BV1236" s="0" t="s">
        <v>130</v>
      </c>
      <c r="BW1236" s="0" t="s">
        <v>130</v>
      </c>
      <c r="BX1236" s="0" t="s">
        <v>130</v>
      </c>
      <c r="BY1236" s="0" t="s">
        <v>130</v>
      </c>
      <c r="BZ1236" s="0" t="s">
        <v>130</v>
      </c>
      <c r="CA1236" s="0" t="s">
        <v>130</v>
      </c>
      <c r="CB1236" s="0" t="s">
        <v>130</v>
      </c>
      <c r="CC1236" s="0" t="s">
        <v>130</v>
      </c>
      <c r="CD1236" s="0" t="s">
        <v>130</v>
      </c>
      <c r="CE1236" s="0" t="s">
        <v>130</v>
      </c>
      <c r="CF1236" s="0" t="s">
        <v>130</v>
      </c>
      <c r="CG1236" s="0" t="s">
        <v>130</v>
      </c>
      <c r="CH1236" s="0" t="s">
        <v>130</v>
      </c>
      <c r="CI1236" s="0" t="s">
        <v>130</v>
      </c>
      <c r="CJ1236" s="0" t="s">
        <v>130</v>
      </c>
      <c r="CK1236" s="0" t="s">
        <v>130</v>
      </c>
      <c r="CL1236" s="0" t="s">
        <v>130</v>
      </c>
      <c r="CM1236" s="0" t="s">
        <v>130</v>
      </c>
      <c r="CN1236" s="0" t="s">
        <v>130</v>
      </c>
      <c r="CO1236" s="0" t="s">
        <v>130</v>
      </c>
      <c r="CP1236" s="0" t="s">
        <v>130</v>
      </c>
      <c r="CQ1236" s="0" t="s">
        <v>130</v>
      </c>
      <c r="CR1236" s="0" t="s">
        <v>130</v>
      </c>
      <c r="CS1236" s="0" t="s">
        <v>130</v>
      </c>
      <c r="CT1236" s="0" t="s">
        <v>3658</v>
      </c>
    </row>
    <row r="1237">
      <c r="A1237" s="14">
        <v>328455</v>
      </c>
      <c r="B1237" s="0" t="s">
        <v>3655</v>
      </c>
      <c r="C1237" s="16">
        <f>HYPERLINK("https://eosportal.federatedhermes.com/companies/Q29tcGFueQppNjc3Mjk=", "Fortum OYJ")</f>
      </c>
      <c r="D1237" s="0" t="s">
        <v>25</v>
      </c>
      <c r="E1237" s="0" t="s">
        <v>3659</v>
      </c>
      <c r="F1237" s="16">
        <f>HYPERLINK("https://eosportal.federatedhermes.com/engagements/RW5nYWdlbWVudAppMjYyMjY=", "Remuneration practices and targets")</f>
      </c>
      <c r="G1237" s="14" t="s">
        <v>3660</v>
      </c>
      <c r="H1237" s="0" t="s">
        <v>130</v>
      </c>
      <c r="I1237" s="14" t="s">
        <v>319</v>
      </c>
      <c r="J1237" s="0" t="s">
        <v>145</v>
      </c>
      <c r="K1237" s="0" t="s">
        <v>146</v>
      </c>
      <c r="L1237" s="0" t="s">
        <v>147</v>
      </c>
      <c r="M1237" s="0" t="s">
        <v>378</v>
      </c>
      <c r="N1237" s="0" t="s">
        <v>3657</v>
      </c>
      <c r="O1237" s="0" t="s">
        <v>192</v>
      </c>
      <c r="Q1237" s="0" t="s">
        <v>130</v>
      </c>
      <c r="R1237" s="0" t="s">
        <v>138</v>
      </c>
      <c r="S1237" s="14">
        <v>0</v>
      </c>
      <c r="T1237" s="0" t="s">
        <v>355</v>
      </c>
      <c r="U1237" s="0" t="s">
        <v>138</v>
      </c>
      <c r="V1237" s="14" t="s">
        <v>138</v>
      </c>
      <c r="W1237" s="0" t="s">
        <v>138</v>
      </c>
      <c r="X1237" s="14" t="s">
        <v>138</v>
      </c>
      <c r="Y1237" s="0" t="s">
        <v>138</v>
      </c>
      <c r="Z1237" s="14" t="s">
        <v>138</v>
      </c>
      <c r="AA1237" s="0" t="s">
        <v>138</v>
      </c>
      <c r="AB1237" s="14" t="s">
        <v>138</v>
      </c>
      <c r="AD1237" s="0" t="s">
        <v>138</v>
      </c>
      <c r="AF1237" s="0">
        <v>0</v>
      </c>
      <c r="AG1237" s="0">
        <v>0</v>
      </c>
      <c r="AH1237" s="0" t="s">
        <v>140</v>
      </c>
      <c r="AI1237" s="0" t="s">
        <v>138</v>
      </c>
      <c r="AL1237" s="14"/>
      <c r="AN1237" s="14"/>
      <c r="AQ1237" s="0" t="s">
        <v>130</v>
      </c>
      <c r="AR1237" s="0" t="s">
        <v>130</v>
      </c>
      <c r="AS1237" s="0" t="s">
        <v>130</v>
      </c>
      <c r="AT1237" s="0" t="s">
        <v>130</v>
      </c>
      <c r="AU1237" s="0" t="s">
        <v>130</v>
      </c>
      <c r="AV1237" s="0" t="s">
        <v>130</v>
      </c>
      <c r="AW1237" s="0" t="s">
        <v>130</v>
      </c>
      <c r="AX1237" s="0" t="s">
        <v>130</v>
      </c>
      <c r="AY1237" s="0" t="s">
        <v>130</v>
      </c>
      <c r="AZ1237" s="0" t="s">
        <v>130</v>
      </c>
      <c r="BA1237" s="0" t="s">
        <v>130</v>
      </c>
      <c r="BB1237" s="0" t="s">
        <v>130</v>
      </c>
      <c r="BC1237" s="0" t="s">
        <v>130</v>
      </c>
      <c r="BD1237" s="0" t="s">
        <v>130</v>
      </c>
      <c r="BE1237" s="0" t="s">
        <v>130</v>
      </c>
      <c r="BF1237" s="0" t="s">
        <v>130</v>
      </c>
      <c r="BG1237" s="0" t="s">
        <v>130</v>
      </c>
      <c r="BH1237" s="0" t="s">
        <v>130</v>
      </c>
      <c r="BI1237" s="0" t="s">
        <v>130</v>
      </c>
      <c r="BJ1237" s="0" t="s">
        <v>130</v>
      </c>
      <c r="BK1237" s="0" t="s">
        <v>130</v>
      </c>
      <c r="BL1237" s="0" t="s">
        <v>130</v>
      </c>
      <c r="BM1237" s="0" t="s">
        <v>130</v>
      </c>
      <c r="BN1237" s="0" t="s">
        <v>130</v>
      </c>
      <c r="BO1237" s="0" t="s">
        <v>130</v>
      </c>
      <c r="BP1237" s="0" t="s">
        <v>130</v>
      </c>
      <c r="BQ1237" s="0" t="s">
        <v>130</v>
      </c>
      <c r="BR1237" s="0" t="s">
        <v>130</v>
      </c>
      <c r="BS1237" s="0" t="s">
        <v>130</v>
      </c>
      <c r="BT1237" s="0" t="s">
        <v>130</v>
      </c>
      <c r="BU1237" s="0" t="s">
        <v>130</v>
      </c>
      <c r="BV1237" s="0" t="s">
        <v>130</v>
      </c>
      <c r="BW1237" s="0" t="s">
        <v>130</v>
      </c>
      <c r="BX1237" s="0" t="s">
        <v>130</v>
      </c>
      <c r="BY1237" s="0" t="s">
        <v>130</v>
      </c>
      <c r="BZ1237" s="0" t="s">
        <v>130</v>
      </c>
      <c r="CA1237" s="0" t="s">
        <v>130</v>
      </c>
      <c r="CB1237" s="0" t="s">
        <v>130</v>
      </c>
      <c r="CC1237" s="0" t="s">
        <v>130</v>
      </c>
      <c r="CD1237" s="0" t="s">
        <v>130</v>
      </c>
      <c r="CE1237" s="0" t="s">
        <v>130</v>
      </c>
      <c r="CF1237" s="0" t="s">
        <v>130</v>
      </c>
      <c r="CG1237" s="0" t="s">
        <v>130</v>
      </c>
      <c r="CH1237" s="0" t="s">
        <v>130</v>
      </c>
      <c r="CI1237" s="0" t="s">
        <v>130</v>
      </c>
      <c r="CJ1237" s="0" t="s">
        <v>130</v>
      </c>
      <c r="CK1237" s="0" t="s">
        <v>130</v>
      </c>
      <c r="CL1237" s="0" t="s">
        <v>130</v>
      </c>
      <c r="CM1237" s="0" t="s">
        <v>130</v>
      </c>
      <c r="CN1237" s="0" t="s">
        <v>130</v>
      </c>
      <c r="CO1237" s="0" t="s">
        <v>130</v>
      </c>
      <c r="CP1237" s="0" t="s">
        <v>130</v>
      </c>
      <c r="CQ1237" s="0" t="s">
        <v>130</v>
      </c>
      <c r="CR1237" s="0" t="s">
        <v>130</v>
      </c>
      <c r="CS1237" s="0" t="s">
        <v>130</v>
      </c>
      <c r="CT1237" s="0" t="s">
        <v>3661</v>
      </c>
    </row>
    <row r="1238">
      <c r="A1238" s="14">
        <v>328455</v>
      </c>
      <c r="B1238" s="0" t="s">
        <v>3655</v>
      </c>
      <c r="C1238" s="16">
        <f>HYPERLINK("https://eosportal.federatedhermes.com/companies/Q29tcGFueQppNjc3Mjk=", "Fortum OYJ")</f>
      </c>
      <c r="D1238" s="0" t="s">
        <v>25</v>
      </c>
      <c r="E1238" s="0" t="s">
        <v>934</v>
      </c>
      <c r="F1238" s="16">
        <f>HYPERLINK("https://eosportal.federatedhermes.com/engagements/RW5nYWdlbWVudAppMjYyMjc=", "Adoption of Science-based targets")</f>
      </c>
      <c r="G1238" s="14" t="s">
        <v>3662</v>
      </c>
      <c r="H1238" s="0" t="s">
        <v>130</v>
      </c>
      <c r="I1238" s="14" t="s">
        <v>319</v>
      </c>
      <c r="J1238" s="0" t="s">
        <v>197</v>
      </c>
      <c r="K1238" s="0" t="s">
        <v>198</v>
      </c>
      <c r="L1238" s="0" t="s">
        <v>216</v>
      </c>
      <c r="M1238" s="0" t="s">
        <v>378</v>
      </c>
      <c r="N1238" s="0" t="s">
        <v>3657</v>
      </c>
      <c r="O1238" s="0" t="s">
        <v>192</v>
      </c>
      <c r="Q1238" s="0" t="s">
        <v>130</v>
      </c>
      <c r="R1238" s="0" t="s">
        <v>138</v>
      </c>
      <c r="S1238" s="14">
        <v>0</v>
      </c>
      <c r="T1238" s="0" t="s">
        <v>487</v>
      </c>
      <c r="U1238" s="0" t="s">
        <v>138</v>
      </c>
      <c r="V1238" s="14" t="s">
        <v>138</v>
      </c>
      <c r="W1238" s="0" t="s">
        <v>138</v>
      </c>
      <c r="X1238" s="14" t="s">
        <v>138</v>
      </c>
      <c r="Y1238" s="0" t="s">
        <v>138</v>
      </c>
      <c r="Z1238" s="14" t="s">
        <v>138</v>
      </c>
      <c r="AA1238" s="0" t="s">
        <v>138</v>
      </c>
      <c r="AB1238" s="14" t="s">
        <v>138</v>
      </c>
      <c r="AD1238" s="0" t="s">
        <v>138</v>
      </c>
      <c r="AF1238" s="0">
        <v>0</v>
      </c>
      <c r="AG1238" s="0">
        <v>0</v>
      </c>
      <c r="AH1238" s="0" t="s">
        <v>140</v>
      </c>
      <c r="AI1238" s="0" t="s">
        <v>138</v>
      </c>
      <c r="AL1238" s="14"/>
      <c r="AN1238" s="14"/>
      <c r="AQ1238" s="0" t="s">
        <v>130</v>
      </c>
      <c r="AR1238" s="0" t="s">
        <v>130</v>
      </c>
      <c r="AS1238" s="0" t="s">
        <v>130</v>
      </c>
      <c r="AT1238" s="0" t="s">
        <v>130</v>
      </c>
      <c r="AU1238" s="0" t="s">
        <v>130</v>
      </c>
      <c r="AV1238" s="0" t="s">
        <v>130</v>
      </c>
      <c r="AW1238" s="0" t="s">
        <v>141</v>
      </c>
      <c r="AX1238" s="0" t="s">
        <v>130</v>
      </c>
      <c r="AY1238" s="0" t="s">
        <v>130</v>
      </c>
      <c r="AZ1238" s="0" t="s">
        <v>130</v>
      </c>
      <c r="BA1238" s="0" t="s">
        <v>130</v>
      </c>
      <c r="BB1238" s="0" t="s">
        <v>130</v>
      </c>
      <c r="BC1238" s="0" t="s">
        <v>141</v>
      </c>
      <c r="BD1238" s="0" t="s">
        <v>130</v>
      </c>
      <c r="BE1238" s="0" t="s">
        <v>130</v>
      </c>
      <c r="BF1238" s="0" t="s">
        <v>130</v>
      </c>
      <c r="BG1238" s="0" t="s">
        <v>130</v>
      </c>
      <c r="BH1238" s="0" t="s">
        <v>141</v>
      </c>
      <c r="BI1238" s="0" t="s">
        <v>141</v>
      </c>
      <c r="BJ1238" s="0" t="s">
        <v>141</v>
      </c>
      <c r="BK1238" s="0" t="s">
        <v>130</v>
      </c>
      <c r="BL1238" s="0" t="s">
        <v>130</v>
      </c>
      <c r="BM1238" s="0" t="s">
        <v>130</v>
      </c>
      <c r="BN1238" s="0" t="s">
        <v>130</v>
      </c>
      <c r="BO1238" s="0" t="s">
        <v>130</v>
      </c>
      <c r="BP1238" s="0" t="s">
        <v>130</v>
      </c>
      <c r="BQ1238" s="0" t="s">
        <v>130</v>
      </c>
      <c r="BR1238" s="0" t="s">
        <v>130</v>
      </c>
      <c r="BS1238" s="0" t="s">
        <v>130</v>
      </c>
      <c r="BT1238" s="0" t="s">
        <v>130</v>
      </c>
      <c r="BU1238" s="0" t="s">
        <v>130</v>
      </c>
      <c r="BV1238" s="0" t="s">
        <v>141</v>
      </c>
      <c r="BW1238" s="0" t="s">
        <v>141</v>
      </c>
      <c r="BX1238" s="0" t="s">
        <v>130</v>
      </c>
      <c r="BY1238" s="0" t="s">
        <v>130</v>
      </c>
      <c r="BZ1238" s="0" t="s">
        <v>130</v>
      </c>
      <c r="CA1238" s="0" t="s">
        <v>130</v>
      </c>
      <c r="CB1238" s="0" t="s">
        <v>130</v>
      </c>
      <c r="CC1238" s="0" t="s">
        <v>130</v>
      </c>
      <c r="CD1238" s="0" t="s">
        <v>130</v>
      </c>
      <c r="CE1238" s="0" t="s">
        <v>130</v>
      </c>
      <c r="CF1238" s="0" t="s">
        <v>130</v>
      </c>
      <c r="CG1238" s="0" t="s">
        <v>130</v>
      </c>
      <c r="CH1238" s="0" t="s">
        <v>130</v>
      </c>
      <c r="CI1238" s="0" t="s">
        <v>130</v>
      </c>
      <c r="CJ1238" s="0" t="s">
        <v>130</v>
      </c>
      <c r="CK1238" s="0" t="s">
        <v>130</v>
      </c>
      <c r="CL1238" s="0" t="s">
        <v>130</v>
      </c>
      <c r="CM1238" s="0" t="s">
        <v>130</v>
      </c>
      <c r="CN1238" s="0" t="s">
        <v>130</v>
      </c>
      <c r="CO1238" s="0" t="s">
        <v>130</v>
      </c>
      <c r="CP1238" s="0" t="s">
        <v>130</v>
      </c>
      <c r="CQ1238" s="0" t="s">
        <v>130</v>
      </c>
      <c r="CR1238" s="0" t="s">
        <v>130</v>
      </c>
      <c r="CS1238" s="0" t="s">
        <v>130</v>
      </c>
      <c r="CT1238" s="0" t="s">
        <v>3663</v>
      </c>
    </row>
    <row r="1239">
      <c r="A1239" s="14">
        <v>328683</v>
      </c>
      <c r="B1239" s="0" t="s">
        <v>3664</v>
      </c>
      <c r="C1239" s="16">
        <f>HYPERLINK("https://eosportal.federatedhermes.com/companies/Q29tcGFueQppNTg5MjI=", "Mercedes-Benz Group AG")</f>
      </c>
      <c r="D1239" s="0" t="s">
        <v>25</v>
      </c>
      <c r="E1239" s="0" t="s">
        <v>2649</v>
      </c>
      <c r="F1239" s="16">
        <f>HYPERLINK("https://eosportal.federatedhermes.com/engagements/RW5nYWdlbWVudAppMjYyNDA=", "Alleged German car cartel")</f>
      </c>
      <c r="G1239" s="14" t="s">
        <v>2650</v>
      </c>
      <c r="H1239" s="0" t="s">
        <v>141</v>
      </c>
      <c r="I1239" s="14" t="s">
        <v>1645</v>
      </c>
      <c r="J1239" s="0" t="s">
        <v>153</v>
      </c>
      <c r="K1239" s="0" t="s">
        <v>185</v>
      </c>
      <c r="L1239" s="0" t="s">
        <v>186</v>
      </c>
      <c r="M1239" s="0" t="s">
        <v>378</v>
      </c>
      <c r="N1239" s="0" t="s">
        <v>2485</v>
      </c>
      <c r="O1239" s="0" t="s">
        <v>425</v>
      </c>
      <c r="Q1239" s="0" t="s">
        <v>130</v>
      </c>
      <c r="R1239" s="0" t="s">
        <v>138</v>
      </c>
      <c r="S1239" s="14">
        <v>0</v>
      </c>
      <c r="T1239" s="0" t="s">
        <v>314</v>
      </c>
      <c r="U1239" s="0" t="s">
        <v>138</v>
      </c>
      <c r="V1239" s="14" t="s">
        <v>138</v>
      </c>
      <c r="W1239" s="0" t="s">
        <v>138</v>
      </c>
      <c r="X1239" s="14" t="s">
        <v>138</v>
      </c>
      <c r="Y1239" s="0" t="s">
        <v>138</v>
      </c>
      <c r="Z1239" s="14" t="s">
        <v>138</v>
      </c>
      <c r="AA1239" s="0" t="s">
        <v>138</v>
      </c>
      <c r="AB1239" s="14" t="s">
        <v>138</v>
      </c>
      <c r="AD1239" s="0" t="s">
        <v>138</v>
      </c>
      <c r="AF1239" s="0">
        <v>0</v>
      </c>
      <c r="AG1239" s="0">
        <v>0</v>
      </c>
      <c r="AH1239" s="0" t="s">
        <v>140</v>
      </c>
      <c r="AI1239" s="0" t="s">
        <v>138</v>
      </c>
      <c r="AL1239" s="14"/>
      <c r="AN1239" s="14"/>
      <c r="AQ1239" s="0" t="s">
        <v>130</v>
      </c>
      <c r="AR1239" s="0" t="s">
        <v>130</v>
      </c>
      <c r="AS1239" s="0" t="s">
        <v>130</v>
      </c>
      <c r="AT1239" s="0" t="s">
        <v>130</v>
      </c>
      <c r="AU1239" s="0" t="s">
        <v>130</v>
      </c>
      <c r="AV1239" s="0" t="s">
        <v>130</v>
      </c>
      <c r="AW1239" s="0" t="s">
        <v>130</v>
      </c>
      <c r="AX1239" s="0" t="s">
        <v>130</v>
      </c>
      <c r="AY1239" s="0" t="s">
        <v>130</v>
      </c>
      <c r="AZ1239" s="0" t="s">
        <v>130</v>
      </c>
      <c r="BA1239" s="0" t="s">
        <v>130</v>
      </c>
      <c r="BB1239" s="0" t="s">
        <v>130</v>
      </c>
      <c r="BC1239" s="0" t="s">
        <v>130</v>
      </c>
      <c r="BD1239" s="0" t="s">
        <v>130</v>
      </c>
      <c r="BE1239" s="0" t="s">
        <v>130</v>
      </c>
      <c r="BF1239" s="0" t="s">
        <v>130</v>
      </c>
      <c r="BG1239" s="0" t="s">
        <v>130</v>
      </c>
      <c r="BH1239" s="0" t="s">
        <v>130</v>
      </c>
      <c r="BI1239" s="0" t="s">
        <v>130</v>
      </c>
      <c r="BJ1239" s="0" t="s">
        <v>130</v>
      </c>
      <c r="BK1239" s="0" t="s">
        <v>130</v>
      </c>
      <c r="BL1239" s="0" t="s">
        <v>130</v>
      </c>
      <c r="BM1239" s="0" t="s">
        <v>130</v>
      </c>
      <c r="BN1239" s="0" t="s">
        <v>130</v>
      </c>
      <c r="BO1239" s="0" t="s">
        <v>130</v>
      </c>
      <c r="BP1239" s="0" t="s">
        <v>130</v>
      </c>
      <c r="BQ1239" s="0" t="s">
        <v>130</v>
      </c>
      <c r="BR1239" s="0" t="s">
        <v>130</v>
      </c>
      <c r="BS1239" s="0" t="s">
        <v>130</v>
      </c>
      <c r="BT1239" s="0" t="s">
        <v>130</v>
      </c>
      <c r="BU1239" s="0" t="s">
        <v>130</v>
      </c>
      <c r="BV1239" s="0" t="s">
        <v>130</v>
      </c>
      <c r="BW1239" s="0" t="s">
        <v>130</v>
      </c>
      <c r="BX1239" s="0" t="s">
        <v>130</v>
      </c>
      <c r="BY1239" s="0" t="s">
        <v>130</v>
      </c>
      <c r="BZ1239" s="0" t="s">
        <v>130</v>
      </c>
      <c r="CA1239" s="0" t="s">
        <v>130</v>
      </c>
      <c r="CB1239" s="0" t="s">
        <v>130</v>
      </c>
      <c r="CC1239" s="0" t="s">
        <v>130</v>
      </c>
      <c r="CD1239" s="0" t="s">
        <v>130</v>
      </c>
      <c r="CE1239" s="0" t="s">
        <v>130</v>
      </c>
      <c r="CF1239" s="0" t="s">
        <v>130</v>
      </c>
      <c r="CG1239" s="0" t="s">
        <v>130</v>
      </c>
      <c r="CH1239" s="0" t="s">
        <v>130</v>
      </c>
      <c r="CI1239" s="0" t="s">
        <v>130</v>
      </c>
      <c r="CJ1239" s="0" t="s">
        <v>130</v>
      </c>
      <c r="CK1239" s="0" t="s">
        <v>130</v>
      </c>
      <c r="CL1239" s="0" t="s">
        <v>130</v>
      </c>
      <c r="CM1239" s="0" t="s">
        <v>130</v>
      </c>
      <c r="CN1239" s="0" t="s">
        <v>130</v>
      </c>
      <c r="CO1239" s="0" t="s">
        <v>130</v>
      </c>
      <c r="CP1239" s="0" t="s">
        <v>130</v>
      </c>
      <c r="CQ1239" s="0" t="s">
        <v>130</v>
      </c>
      <c r="CR1239" s="0" t="s">
        <v>130</v>
      </c>
      <c r="CS1239" s="0" t="s">
        <v>130</v>
      </c>
      <c r="CT1239" s="0" t="s">
        <v>3665</v>
      </c>
    </row>
    <row r="1240">
      <c r="A1240" s="14">
        <v>328683</v>
      </c>
      <c r="B1240" s="0" t="s">
        <v>3664</v>
      </c>
      <c r="C1240" s="16">
        <f>HYPERLINK("https://eosportal.federatedhermes.com/companies/Q29tcGFueQppNTg5MjI=", "Mercedes-Benz Group AG")</f>
      </c>
      <c r="D1240" s="0" t="s">
        <v>25</v>
      </c>
      <c r="E1240" s="0" t="s">
        <v>3666</v>
      </c>
      <c r="F1240" s="16">
        <f>HYPERLINK("https://eosportal.federatedhermes.com/engagements/RW5nYWdlbWVudAppMjYyNDE=", "Antitrust compliance")</f>
      </c>
      <c r="G1240" s="14" t="s">
        <v>3667</v>
      </c>
      <c r="H1240" s="0" t="s">
        <v>141</v>
      </c>
      <c r="I1240" s="14" t="s">
        <v>1645</v>
      </c>
      <c r="J1240" s="0" t="s">
        <v>153</v>
      </c>
      <c r="K1240" s="0" t="s">
        <v>185</v>
      </c>
      <c r="L1240" s="0" t="s">
        <v>186</v>
      </c>
      <c r="M1240" s="0" t="s">
        <v>378</v>
      </c>
      <c r="N1240" s="0" t="s">
        <v>2485</v>
      </c>
      <c r="O1240" s="0" t="s">
        <v>425</v>
      </c>
      <c r="Q1240" s="0" t="s">
        <v>141</v>
      </c>
      <c r="R1240" s="0" t="s">
        <v>138</v>
      </c>
      <c r="S1240" s="14">
        <v>1</v>
      </c>
      <c r="T1240" s="0" t="s">
        <v>457</v>
      </c>
      <c r="U1240" s="0" t="s">
        <v>138</v>
      </c>
      <c r="V1240" s="14" t="s">
        <v>138</v>
      </c>
      <c r="W1240" s="0" t="s">
        <v>138</v>
      </c>
      <c r="X1240" s="14" t="s">
        <v>138</v>
      </c>
      <c r="Y1240" s="0" t="s">
        <v>138</v>
      </c>
      <c r="Z1240" s="14" t="s">
        <v>138</v>
      </c>
      <c r="AA1240" s="0" t="s">
        <v>138</v>
      </c>
      <c r="AB1240" s="14" t="s">
        <v>138</v>
      </c>
      <c r="AD1240" s="0" t="s">
        <v>138</v>
      </c>
      <c r="AF1240" s="0">
        <v>0</v>
      </c>
      <c r="AG1240" s="0">
        <v>0</v>
      </c>
      <c r="AH1240" s="0" t="s">
        <v>140</v>
      </c>
      <c r="AI1240" s="0" t="s">
        <v>138</v>
      </c>
      <c r="AK1240" s="0" t="s">
        <v>2523</v>
      </c>
      <c r="AL1240" s="14"/>
      <c r="AN1240" s="14"/>
      <c r="AQ1240" s="0" t="s">
        <v>130</v>
      </c>
      <c r="AR1240" s="0" t="s">
        <v>130</v>
      </c>
      <c r="AS1240" s="0" t="s">
        <v>130</v>
      </c>
      <c r="AT1240" s="0" t="s">
        <v>130</v>
      </c>
      <c r="AU1240" s="0" t="s">
        <v>130</v>
      </c>
      <c r="AV1240" s="0" t="s">
        <v>130</v>
      </c>
      <c r="AW1240" s="0" t="s">
        <v>130</v>
      </c>
      <c r="AX1240" s="0" t="s">
        <v>130</v>
      </c>
      <c r="AY1240" s="0" t="s">
        <v>130</v>
      </c>
      <c r="AZ1240" s="0" t="s">
        <v>130</v>
      </c>
      <c r="BA1240" s="0" t="s">
        <v>130</v>
      </c>
      <c r="BB1240" s="0" t="s">
        <v>130</v>
      </c>
      <c r="BC1240" s="0" t="s">
        <v>130</v>
      </c>
      <c r="BD1240" s="0" t="s">
        <v>130</v>
      </c>
      <c r="BE1240" s="0" t="s">
        <v>130</v>
      </c>
      <c r="BF1240" s="0" t="s">
        <v>130</v>
      </c>
      <c r="BG1240" s="0" t="s">
        <v>130</v>
      </c>
      <c r="BH1240" s="0" t="s">
        <v>130</v>
      </c>
      <c r="BI1240" s="0" t="s">
        <v>130</v>
      </c>
      <c r="BJ1240" s="0" t="s">
        <v>130</v>
      </c>
      <c r="BK1240" s="0" t="s">
        <v>130</v>
      </c>
      <c r="BL1240" s="0" t="s">
        <v>130</v>
      </c>
      <c r="BM1240" s="0" t="s">
        <v>130</v>
      </c>
      <c r="BN1240" s="0" t="s">
        <v>130</v>
      </c>
      <c r="BO1240" s="0" t="s">
        <v>130</v>
      </c>
      <c r="BP1240" s="0" t="s">
        <v>130</v>
      </c>
      <c r="BQ1240" s="0" t="s">
        <v>130</v>
      </c>
      <c r="BR1240" s="0" t="s">
        <v>130</v>
      </c>
      <c r="BS1240" s="0" t="s">
        <v>130</v>
      </c>
      <c r="BT1240" s="0" t="s">
        <v>130</v>
      </c>
      <c r="BU1240" s="0" t="s">
        <v>130</v>
      </c>
      <c r="BV1240" s="0" t="s">
        <v>130</v>
      </c>
      <c r="BW1240" s="0" t="s">
        <v>130</v>
      </c>
      <c r="BX1240" s="0" t="s">
        <v>130</v>
      </c>
      <c r="BY1240" s="0" t="s">
        <v>130</v>
      </c>
      <c r="BZ1240" s="0" t="s">
        <v>130</v>
      </c>
      <c r="CA1240" s="0" t="s">
        <v>130</v>
      </c>
      <c r="CB1240" s="0" t="s">
        <v>130</v>
      </c>
      <c r="CC1240" s="0" t="s">
        <v>130</v>
      </c>
      <c r="CD1240" s="0" t="s">
        <v>130</v>
      </c>
      <c r="CE1240" s="0" t="s">
        <v>130</v>
      </c>
      <c r="CF1240" s="0" t="s">
        <v>130</v>
      </c>
      <c r="CG1240" s="0" t="s">
        <v>130</v>
      </c>
      <c r="CH1240" s="0" t="s">
        <v>130</v>
      </c>
      <c r="CI1240" s="0" t="s">
        <v>130</v>
      </c>
      <c r="CJ1240" s="0" t="s">
        <v>130</v>
      </c>
      <c r="CK1240" s="0" t="s">
        <v>130</v>
      </c>
      <c r="CL1240" s="0" t="s">
        <v>130</v>
      </c>
      <c r="CM1240" s="0" t="s">
        <v>130</v>
      </c>
      <c r="CN1240" s="0" t="s">
        <v>130</v>
      </c>
      <c r="CO1240" s="0" t="s">
        <v>130</v>
      </c>
      <c r="CP1240" s="0" t="s">
        <v>130</v>
      </c>
      <c r="CQ1240" s="0" t="s">
        <v>130</v>
      </c>
      <c r="CR1240" s="0" t="s">
        <v>130</v>
      </c>
      <c r="CS1240" s="0" t="s">
        <v>130</v>
      </c>
      <c r="CT1240" s="0" t="s">
        <v>3668</v>
      </c>
    </row>
    <row r="1241">
      <c r="A1241" s="14">
        <v>328683</v>
      </c>
      <c r="B1241" s="0" t="s">
        <v>3664</v>
      </c>
      <c r="C1241" s="16">
        <f>HYPERLINK("https://eosportal.federatedhermes.com/companies/Q29tcGFueQppNTg5MjI=", "Mercedes-Benz Group AG")</f>
      </c>
      <c r="D1241" s="0" t="s">
        <v>25</v>
      </c>
      <c r="E1241" s="0" t="s">
        <v>3669</v>
      </c>
      <c r="F1241" s="16">
        <f>HYPERLINK("https://eosportal.federatedhermes.com/engagements/RW5nYWdlbWVudAppMjYyNDI=", "Human Rights in the Suppy Chain")</f>
      </c>
      <c r="G1241" s="14" t="s">
        <v>3670</v>
      </c>
      <c r="H1241" s="0" t="s">
        <v>141</v>
      </c>
      <c r="I1241" s="14" t="s">
        <v>1645</v>
      </c>
      <c r="J1241" s="0" t="s">
        <v>153</v>
      </c>
      <c r="K1241" s="0" t="s">
        <v>243</v>
      </c>
      <c r="L1241" s="0" t="s">
        <v>244</v>
      </c>
      <c r="M1241" s="0" t="s">
        <v>378</v>
      </c>
      <c r="N1241" s="0" t="s">
        <v>2485</v>
      </c>
      <c r="O1241" s="0" t="s">
        <v>425</v>
      </c>
      <c r="Q1241" s="0" t="s">
        <v>130</v>
      </c>
      <c r="R1241" s="0" t="s">
        <v>138</v>
      </c>
      <c r="S1241" s="14">
        <v>0</v>
      </c>
      <c r="T1241" s="0" t="s">
        <v>333</v>
      </c>
      <c r="U1241" s="0" t="s">
        <v>138</v>
      </c>
      <c r="V1241" s="14" t="s">
        <v>138</v>
      </c>
      <c r="W1241" s="0" t="s">
        <v>138</v>
      </c>
      <c r="X1241" s="14" t="s">
        <v>138</v>
      </c>
      <c r="Y1241" s="0" t="s">
        <v>138</v>
      </c>
      <c r="Z1241" s="14" t="s">
        <v>138</v>
      </c>
      <c r="AA1241" s="0" t="s">
        <v>138</v>
      </c>
      <c r="AB1241" s="14" t="s">
        <v>138</v>
      </c>
      <c r="AD1241" s="0" t="s">
        <v>138</v>
      </c>
      <c r="AF1241" s="0">
        <v>0</v>
      </c>
      <c r="AG1241" s="0">
        <v>0</v>
      </c>
      <c r="AH1241" s="0" t="s">
        <v>140</v>
      </c>
      <c r="AI1241" s="0" t="s">
        <v>138</v>
      </c>
      <c r="AL1241" s="14"/>
      <c r="AN1241" s="14"/>
      <c r="AQ1241" s="0" t="s">
        <v>130</v>
      </c>
      <c r="AR1241" s="0" t="s">
        <v>130</v>
      </c>
      <c r="AS1241" s="0" t="s">
        <v>130</v>
      </c>
      <c r="AT1241" s="0" t="s">
        <v>130</v>
      </c>
      <c r="AU1241" s="0" t="s">
        <v>130</v>
      </c>
      <c r="AV1241" s="0" t="s">
        <v>130</v>
      </c>
      <c r="AW1241" s="0" t="s">
        <v>130</v>
      </c>
      <c r="AX1241" s="0" t="s">
        <v>141</v>
      </c>
      <c r="AY1241" s="0" t="s">
        <v>130</v>
      </c>
      <c r="AZ1241" s="0" t="s">
        <v>130</v>
      </c>
      <c r="BA1241" s="0" t="s">
        <v>130</v>
      </c>
      <c r="BB1241" s="0" t="s">
        <v>130</v>
      </c>
      <c r="BC1241" s="0" t="s">
        <v>130</v>
      </c>
      <c r="BD1241" s="0" t="s">
        <v>130</v>
      </c>
      <c r="BE1241" s="0" t="s">
        <v>130</v>
      </c>
      <c r="BF1241" s="0" t="s">
        <v>130</v>
      </c>
      <c r="BG1241" s="0" t="s">
        <v>130</v>
      </c>
      <c r="BH1241" s="0" t="s">
        <v>130</v>
      </c>
      <c r="BI1241" s="0" t="s">
        <v>130</v>
      </c>
      <c r="BJ1241" s="0" t="s">
        <v>130</v>
      </c>
      <c r="BK1241" s="0" t="s">
        <v>130</v>
      </c>
      <c r="BL1241" s="0" t="s">
        <v>130</v>
      </c>
      <c r="BM1241" s="0" t="s">
        <v>130</v>
      </c>
      <c r="BN1241" s="0" t="s">
        <v>130</v>
      </c>
      <c r="BO1241" s="0" t="s">
        <v>130</v>
      </c>
      <c r="BP1241" s="0" t="s">
        <v>130</v>
      </c>
      <c r="BQ1241" s="0" t="s">
        <v>130</v>
      </c>
      <c r="BR1241" s="0" t="s">
        <v>130</v>
      </c>
      <c r="BS1241" s="0" t="s">
        <v>130</v>
      </c>
      <c r="BT1241" s="0" t="s">
        <v>130</v>
      </c>
      <c r="BU1241" s="0" t="s">
        <v>130</v>
      </c>
      <c r="BV1241" s="0" t="s">
        <v>130</v>
      </c>
      <c r="BW1241" s="0" t="s">
        <v>130</v>
      </c>
      <c r="BX1241" s="0" t="s">
        <v>130</v>
      </c>
      <c r="BY1241" s="0" t="s">
        <v>130</v>
      </c>
      <c r="BZ1241" s="0" t="s">
        <v>130</v>
      </c>
      <c r="CA1241" s="0" t="s">
        <v>130</v>
      </c>
      <c r="CB1241" s="0" t="s">
        <v>130</v>
      </c>
      <c r="CC1241" s="0" t="s">
        <v>130</v>
      </c>
      <c r="CD1241" s="0" t="s">
        <v>130</v>
      </c>
      <c r="CE1241" s="0" t="s">
        <v>130</v>
      </c>
      <c r="CF1241" s="0" t="s">
        <v>130</v>
      </c>
      <c r="CG1241" s="0" t="s">
        <v>130</v>
      </c>
      <c r="CH1241" s="0" t="s">
        <v>130</v>
      </c>
      <c r="CI1241" s="0" t="s">
        <v>130</v>
      </c>
      <c r="CJ1241" s="0" t="s">
        <v>130</v>
      </c>
      <c r="CK1241" s="0" t="s">
        <v>130</v>
      </c>
      <c r="CL1241" s="0" t="s">
        <v>130</v>
      </c>
      <c r="CM1241" s="0" t="s">
        <v>130</v>
      </c>
      <c r="CN1241" s="0" t="s">
        <v>130</v>
      </c>
      <c r="CO1241" s="0" t="s">
        <v>130</v>
      </c>
      <c r="CP1241" s="0" t="s">
        <v>130</v>
      </c>
      <c r="CQ1241" s="0" t="s">
        <v>130</v>
      </c>
      <c r="CR1241" s="0" t="s">
        <v>130</v>
      </c>
      <c r="CS1241" s="0" t="s">
        <v>130</v>
      </c>
      <c r="CT1241" s="0" t="s">
        <v>3671</v>
      </c>
    </row>
    <row r="1242">
      <c r="A1242" s="14">
        <v>328683</v>
      </c>
      <c r="B1242" s="0" t="s">
        <v>3664</v>
      </c>
      <c r="C1242" s="16">
        <f>HYPERLINK("https://eosportal.federatedhermes.com/companies/Q29tcGFueQppNTg5MjI=", "Mercedes-Benz Group AG")</f>
      </c>
      <c r="D1242" s="0" t="s">
        <v>25</v>
      </c>
      <c r="E1242" s="0" t="s">
        <v>3672</v>
      </c>
      <c r="F1242" s="16">
        <f>HYPERLINK("https://eosportal.federatedhermes.com/engagements/RW5nYWdlbWVudAppMjYyNDM=", "Emissions scandal")</f>
      </c>
      <c r="G1242" s="14" t="s">
        <v>3673</v>
      </c>
      <c r="H1242" s="0" t="s">
        <v>141</v>
      </c>
      <c r="I1242" s="14" t="s">
        <v>1645</v>
      </c>
      <c r="J1242" s="0" t="s">
        <v>197</v>
      </c>
      <c r="K1242" s="0" t="s">
        <v>348</v>
      </c>
      <c r="L1242" s="0" t="s">
        <v>650</v>
      </c>
      <c r="M1242" s="0" t="s">
        <v>378</v>
      </c>
      <c r="N1242" s="0" t="s">
        <v>2485</v>
      </c>
      <c r="O1242" s="0" t="s">
        <v>425</v>
      </c>
      <c r="Q1242" s="0" t="s">
        <v>130</v>
      </c>
      <c r="R1242" s="0" t="s">
        <v>138</v>
      </c>
      <c r="S1242" s="14">
        <v>0</v>
      </c>
      <c r="T1242" s="0" t="s">
        <v>390</v>
      </c>
      <c r="U1242" s="0" t="s">
        <v>138</v>
      </c>
      <c r="V1242" s="14" t="s">
        <v>138</v>
      </c>
      <c r="W1242" s="0" t="s">
        <v>138</v>
      </c>
      <c r="X1242" s="14" t="s">
        <v>138</v>
      </c>
      <c r="Y1242" s="0" t="s">
        <v>138</v>
      </c>
      <c r="Z1242" s="14" t="s">
        <v>138</v>
      </c>
      <c r="AA1242" s="0" t="s">
        <v>138</v>
      </c>
      <c r="AB1242" s="14" t="s">
        <v>138</v>
      </c>
      <c r="AD1242" s="0" t="s">
        <v>138</v>
      </c>
      <c r="AF1242" s="0">
        <v>0</v>
      </c>
      <c r="AG1242" s="0">
        <v>0</v>
      </c>
      <c r="AH1242" s="0" t="s">
        <v>140</v>
      </c>
      <c r="AI1242" s="0" t="s">
        <v>138</v>
      </c>
      <c r="AL1242" s="14"/>
      <c r="AN1242" s="14"/>
      <c r="AQ1242" s="0" t="s">
        <v>130</v>
      </c>
      <c r="AR1242" s="0" t="s">
        <v>130</v>
      </c>
      <c r="AS1242" s="0" t="s">
        <v>141</v>
      </c>
      <c r="AT1242" s="0" t="s">
        <v>130</v>
      </c>
      <c r="AU1242" s="0" t="s">
        <v>130</v>
      </c>
      <c r="AV1242" s="0" t="s">
        <v>130</v>
      </c>
      <c r="AW1242" s="0" t="s">
        <v>130</v>
      </c>
      <c r="AX1242" s="0" t="s">
        <v>130</v>
      </c>
      <c r="AY1242" s="0" t="s">
        <v>130</v>
      </c>
      <c r="AZ1242" s="0" t="s">
        <v>130</v>
      </c>
      <c r="BA1242" s="0" t="s">
        <v>130</v>
      </c>
      <c r="BB1242" s="0" t="s">
        <v>141</v>
      </c>
      <c r="BC1242" s="0" t="s">
        <v>130</v>
      </c>
      <c r="BD1242" s="0" t="s">
        <v>130</v>
      </c>
      <c r="BE1242" s="0" t="s">
        <v>130</v>
      </c>
      <c r="BF1242" s="0" t="s">
        <v>130</v>
      </c>
      <c r="BG1242" s="0" t="s">
        <v>130</v>
      </c>
      <c r="BH1242" s="0" t="s">
        <v>130</v>
      </c>
      <c r="BI1242" s="0" t="s">
        <v>130</v>
      </c>
      <c r="BJ1242" s="0" t="s">
        <v>130</v>
      </c>
      <c r="BK1242" s="0" t="s">
        <v>130</v>
      </c>
      <c r="BL1242" s="0" t="s">
        <v>130</v>
      </c>
      <c r="BM1242" s="0" t="s">
        <v>130</v>
      </c>
      <c r="BN1242" s="0" t="s">
        <v>130</v>
      </c>
      <c r="BO1242" s="0" t="s">
        <v>130</v>
      </c>
      <c r="BP1242" s="0" t="s">
        <v>130</v>
      </c>
      <c r="BQ1242" s="0" t="s">
        <v>130</v>
      </c>
      <c r="BR1242" s="0" t="s">
        <v>130</v>
      </c>
      <c r="BS1242" s="0" t="s">
        <v>130</v>
      </c>
      <c r="BT1242" s="0" t="s">
        <v>130</v>
      </c>
      <c r="BU1242" s="0" t="s">
        <v>130</v>
      </c>
      <c r="BV1242" s="0" t="s">
        <v>130</v>
      </c>
      <c r="BW1242" s="0" t="s">
        <v>130</v>
      </c>
      <c r="BX1242" s="0" t="s">
        <v>130</v>
      </c>
      <c r="BY1242" s="0" t="s">
        <v>130</v>
      </c>
      <c r="BZ1242" s="0" t="s">
        <v>130</v>
      </c>
      <c r="CA1242" s="0" t="s">
        <v>130</v>
      </c>
      <c r="CB1242" s="0" t="s">
        <v>130</v>
      </c>
      <c r="CC1242" s="0" t="s">
        <v>130</v>
      </c>
      <c r="CD1242" s="0" t="s">
        <v>130</v>
      </c>
      <c r="CE1242" s="0" t="s">
        <v>130</v>
      </c>
      <c r="CF1242" s="0" t="s">
        <v>130</v>
      </c>
      <c r="CG1242" s="0" t="s">
        <v>130</v>
      </c>
      <c r="CH1242" s="0" t="s">
        <v>130</v>
      </c>
      <c r="CI1242" s="0" t="s">
        <v>130</v>
      </c>
      <c r="CJ1242" s="0" t="s">
        <v>130</v>
      </c>
      <c r="CK1242" s="0" t="s">
        <v>130</v>
      </c>
      <c r="CL1242" s="0" t="s">
        <v>130</v>
      </c>
      <c r="CM1242" s="0" t="s">
        <v>130</v>
      </c>
      <c r="CN1242" s="0" t="s">
        <v>130</v>
      </c>
      <c r="CO1242" s="0" t="s">
        <v>130</v>
      </c>
      <c r="CP1242" s="0" t="s">
        <v>130</v>
      </c>
      <c r="CQ1242" s="0" t="s">
        <v>130</v>
      </c>
      <c r="CR1242" s="0" t="s">
        <v>130</v>
      </c>
      <c r="CS1242" s="0" t="s">
        <v>130</v>
      </c>
      <c r="CT1242" s="0" t="s">
        <v>3674</v>
      </c>
    </row>
    <row r="1243">
      <c r="A1243" s="14">
        <v>328683</v>
      </c>
      <c r="B1243" s="0" t="s">
        <v>3664</v>
      </c>
      <c r="C1243" s="16">
        <f>HYPERLINK("https://eosportal.federatedhermes.com/companies/Q29tcGFueQppNTg5MjI=", "Mercedes-Benz Group AG")</f>
      </c>
      <c r="D1243" s="0" t="s">
        <v>25</v>
      </c>
      <c r="E1243" s="0" t="s">
        <v>1034</v>
      </c>
      <c r="F1243" s="16">
        <f>HYPERLINK("https://eosportal.federatedhermes.com/engagements/RW5nYWdlbWVudAppMjYyNDQ=", "Board composition")</f>
      </c>
      <c r="G1243" s="14" t="s">
        <v>3675</v>
      </c>
      <c r="H1243" s="0" t="s">
        <v>141</v>
      </c>
      <c r="I1243" s="14" t="s">
        <v>1645</v>
      </c>
      <c r="J1243" s="0" t="s">
        <v>145</v>
      </c>
      <c r="K1243" s="0" t="s">
        <v>164</v>
      </c>
      <c r="L1243" s="0" t="s">
        <v>165</v>
      </c>
      <c r="M1243" s="0" t="s">
        <v>378</v>
      </c>
      <c r="N1243" s="0" t="s">
        <v>2485</v>
      </c>
      <c r="O1243" s="0" t="s">
        <v>425</v>
      </c>
      <c r="Q1243" s="0" t="s">
        <v>141</v>
      </c>
      <c r="R1243" s="0" t="s">
        <v>138</v>
      </c>
      <c r="S1243" s="14">
        <v>1</v>
      </c>
      <c r="T1243" s="0" t="s">
        <v>384</v>
      </c>
      <c r="U1243" s="0" t="s">
        <v>138</v>
      </c>
      <c r="V1243" s="14" t="s">
        <v>138</v>
      </c>
      <c r="W1243" s="0" t="s">
        <v>138</v>
      </c>
      <c r="X1243" s="14" t="s">
        <v>138</v>
      </c>
      <c r="Y1243" s="0" t="s">
        <v>138</v>
      </c>
      <c r="Z1243" s="14" t="s">
        <v>138</v>
      </c>
      <c r="AA1243" s="0" t="s">
        <v>138</v>
      </c>
      <c r="AB1243" s="14" t="s">
        <v>138</v>
      </c>
      <c r="AD1243" s="0" t="s">
        <v>138</v>
      </c>
      <c r="AF1243" s="0">
        <v>0</v>
      </c>
      <c r="AG1243" s="0">
        <v>0</v>
      </c>
      <c r="AH1243" s="0" t="s">
        <v>140</v>
      </c>
      <c r="AI1243" s="0" t="s">
        <v>138</v>
      </c>
      <c r="AK1243" s="0" t="s">
        <v>2523</v>
      </c>
      <c r="AL1243" s="14"/>
      <c r="AN1243" s="14"/>
      <c r="AQ1243" s="0" t="s">
        <v>130</v>
      </c>
      <c r="AR1243" s="0" t="s">
        <v>130</v>
      </c>
      <c r="AS1243" s="0" t="s">
        <v>130</v>
      </c>
      <c r="AT1243" s="0" t="s">
        <v>130</v>
      </c>
      <c r="AU1243" s="0" t="s">
        <v>130</v>
      </c>
      <c r="AV1243" s="0" t="s">
        <v>130</v>
      </c>
      <c r="AW1243" s="0" t="s">
        <v>130</v>
      </c>
      <c r="AX1243" s="0" t="s">
        <v>130</v>
      </c>
      <c r="AY1243" s="0" t="s">
        <v>130</v>
      </c>
      <c r="AZ1243" s="0" t="s">
        <v>130</v>
      </c>
      <c r="BA1243" s="0" t="s">
        <v>130</v>
      </c>
      <c r="BB1243" s="0" t="s">
        <v>130</v>
      </c>
      <c r="BC1243" s="0" t="s">
        <v>130</v>
      </c>
      <c r="BD1243" s="0" t="s">
        <v>130</v>
      </c>
      <c r="BE1243" s="0" t="s">
        <v>130</v>
      </c>
      <c r="BF1243" s="0" t="s">
        <v>130</v>
      </c>
      <c r="BG1243" s="0" t="s">
        <v>130</v>
      </c>
      <c r="BH1243" s="0" t="s">
        <v>130</v>
      </c>
      <c r="BI1243" s="0" t="s">
        <v>130</v>
      </c>
      <c r="BJ1243" s="0" t="s">
        <v>130</v>
      </c>
      <c r="BK1243" s="0" t="s">
        <v>130</v>
      </c>
      <c r="BL1243" s="0" t="s">
        <v>130</v>
      </c>
      <c r="BM1243" s="0" t="s">
        <v>130</v>
      </c>
      <c r="BN1243" s="0" t="s">
        <v>130</v>
      </c>
      <c r="BO1243" s="0" t="s">
        <v>130</v>
      </c>
      <c r="BP1243" s="0" t="s">
        <v>130</v>
      </c>
      <c r="BQ1243" s="0" t="s">
        <v>130</v>
      </c>
      <c r="BR1243" s="0" t="s">
        <v>130</v>
      </c>
      <c r="BS1243" s="0" t="s">
        <v>130</v>
      </c>
      <c r="BT1243" s="0" t="s">
        <v>130</v>
      </c>
      <c r="BU1243" s="0" t="s">
        <v>130</v>
      </c>
      <c r="BV1243" s="0" t="s">
        <v>130</v>
      </c>
      <c r="BW1243" s="0" t="s">
        <v>130</v>
      </c>
      <c r="BX1243" s="0" t="s">
        <v>130</v>
      </c>
      <c r="BY1243" s="0" t="s">
        <v>130</v>
      </c>
      <c r="BZ1243" s="0" t="s">
        <v>130</v>
      </c>
      <c r="CA1243" s="0" t="s">
        <v>130</v>
      </c>
      <c r="CB1243" s="0" t="s">
        <v>130</v>
      </c>
      <c r="CC1243" s="0" t="s">
        <v>130</v>
      </c>
      <c r="CD1243" s="0" t="s">
        <v>130</v>
      </c>
      <c r="CE1243" s="0" t="s">
        <v>130</v>
      </c>
      <c r="CF1243" s="0" t="s">
        <v>130</v>
      </c>
      <c r="CG1243" s="0" t="s">
        <v>130</v>
      </c>
      <c r="CH1243" s="0" t="s">
        <v>130</v>
      </c>
      <c r="CI1243" s="0" t="s">
        <v>130</v>
      </c>
      <c r="CJ1243" s="0" t="s">
        <v>130</v>
      </c>
      <c r="CK1243" s="0" t="s">
        <v>130</v>
      </c>
      <c r="CL1243" s="0" t="s">
        <v>130</v>
      </c>
      <c r="CM1243" s="0" t="s">
        <v>130</v>
      </c>
      <c r="CN1243" s="0" t="s">
        <v>130</v>
      </c>
      <c r="CO1243" s="0" t="s">
        <v>130</v>
      </c>
      <c r="CP1243" s="0" t="s">
        <v>130</v>
      </c>
      <c r="CQ1243" s="0" t="s">
        <v>130</v>
      </c>
      <c r="CR1243" s="0" t="s">
        <v>130</v>
      </c>
      <c r="CS1243" s="0" t="s">
        <v>130</v>
      </c>
      <c r="CT1243" s="0" t="s">
        <v>3676</v>
      </c>
    </row>
    <row r="1244">
      <c r="A1244" s="14">
        <v>328683</v>
      </c>
      <c r="B1244" s="0" t="s">
        <v>3664</v>
      </c>
      <c r="C1244" s="16">
        <f>HYPERLINK("https://eosportal.federatedhermes.com/companies/Q29tcGFueQppNTg5MjI=", "Mercedes-Benz Group AG")</f>
      </c>
      <c r="D1244" s="0" t="s">
        <v>25</v>
      </c>
      <c r="E1244" s="0" t="s">
        <v>298</v>
      </c>
      <c r="F1244" s="16">
        <f>HYPERLINK("https://eosportal.federatedhermes.com/engagements/RW5nYWdlbWVudAppMjYyNDU=", "Corporate culture")</f>
      </c>
      <c r="G1244" s="14" t="s">
        <v>3677</v>
      </c>
      <c r="H1244" s="0" t="s">
        <v>141</v>
      </c>
      <c r="I1244" s="14" t="s">
        <v>1645</v>
      </c>
      <c r="J1244" s="0" t="s">
        <v>153</v>
      </c>
      <c r="K1244" s="0" t="s">
        <v>185</v>
      </c>
      <c r="L1244" s="0" t="s">
        <v>186</v>
      </c>
      <c r="M1244" s="0" t="s">
        <v>378</v>
      </c>
      <c r="N1244" s="0" t="s">
        <v>2485</v>
      </c>
      <c r="O1244" s="0" t="s">
        <v>425</v>
      </c>
      <c r="Q1244" s="0" t="s">
        <v>130</v>
      </c>
      <c r="R1244" s="0" t="s">
        <v>138</v>
      </c>
      <c r="S1244" s="14">
        <v>0</v>
      </c>
      <c r="T1244" s="0" t="s">
        <v>384</v>
      </c>
      <c r="U1244" s="0" t="s">
        <v>138</v>
      </c>
      <c r="V1244" s="14" t="s">
        <v>138</v>
      </c>
      <c r="W1244" s="0" t="s">
        <v>138</v>
      </c>
      <c r="X1244" s="14" t="s">
        <v>138</v>
      </c>
      <c r="Y1244" s="0" t="s">
        <v>138</v>
      </c>
      <c r="Z1244" s="14" t="s">
        <v>138</v>
      </c>
      <c r="AA1244" s="0" t="s">
        <v>138</v>
      </c>
      <c r="AB1244" s="14" t="s">
        <v>138</v>
      </c>
      <c r="AD1244" s="0" t="s">
        <v>138</v>
      </c>
      <c r="AF1244" s="0">
        <v>0</v>
      </c>
      <c r="AG1244" s="0">
        <v>0</v>
      </c>
      <c r="AH1244" s="0" t="s">
        <v>140</v>
      </c>
      <c r="AI1244" s="0" t="s">
        <v>138</v>
      </c>
      <c r="AL1244" s="14"/>
      <c r="AN1244" s="14"/>
      <c r="AQ1244" s="0" t="s">
        <v>130</v>
      </c>
      <c r="AR1244" s="0" t="s">
        <v>130</v>
      </c>
      <c r="AS1244" s="0" t="s">
        <v>130</v>
      </c>
      <c r="AT1244" s="0" t="s">
        <v>130</v>
      </c>
      <c r="AU1244" s="0" t="s">
        <v>130</v>
      </c>
      <c r="AV1244" s="0" t="s">
        <v>130</v>
      </c>
      <c r="AW1244" s="0" t="s">
        <v>130</v>
      </c>
      <c r="AX1244" s="0" t="s">
        <v>130</v>
      </c>
      <c r="AY1244" s="0" t="s">
        <v>130</v>
      </c>
      <c r="AZ1244" s="0" t="s">
        <v>130</v>
      </c>
      <c r="BA1244" s="0" t="s">
        <v>130</v>
      </c>
      <c r="BB1244" s="0" t="s">
        <v>130</v>
      </c>
      <c r="BC1244" s="0" t="s">
        <v>130</v>
      </c>
      <c r="BD1244" s="0" t="s">
        <v>130</v>
      </c>
      <c r="BE1244" s="0" t="s">
        <v>130</v>
      </c>
      <c r="BF1244" s="0" t="s">
        <v>130</v>
      </c>
      <c r="BG1244" s="0" t="s">
        <v>130</v>
      </c>
      <c r="BH1244" s="0" t="s">
        <v>130</v>
      </c>
      <c r="BI1244" s="0" t="s">
        <v>130</v>
      </c>
      <c r="BJ1244" s="0" t="s">
        <v>130</v>
      </c>
      <c r="BK1244" s="0" t="s">
        <v>130</v>
      </c>
      <c r="BL1244" s="0" t="s">
        <v>130</v>
      </c>
      <c r="BM1244" s="0" t="s">
        <v>130</v>
      </c>
      <c r="BN1244" s="0" t="s">
        <v>130</v>
      </c>
      <c r="BO1244" s="0" t="s">
        <v>130</v>
      </c>
      <c r="BP1244" s="0" t="s">
        <v>130</v>
      </c>
      <c r="BQ1244" s="0" t="s">
        <v>130</v>
      </c>
      <c r="BR1244" s="0" t="s">
        <v>130</v>
      </c>
      <c r="BS1244" s="0" t="s">
        <v>130</v>
      </c>
      <c r="BT1244" s="0" t="s">
        <v>130</v>
      </c>
      <c r="BU1244" s="0" t="s">
        <v>130</v>
      </c>
      <c r="BV1244" s="0" t="s">
        <v>130</v>
      </c>
      <c r="BW1244" s="0" t="s">
        <v>130</v>
      </c>
      <c r="BX1244" s="0" t="s">
        <v>130</v>
      </c>
      <c r="BY1244" s="0" t="s">
        <v>130</v>
      </c>
      <c r="BZ1244" s="0" t="s">
        <v>130</v>
      </c>
      <c r="CA1244" s="0" t="s">
        <v>130</v>
      </c>
      <c r="CB1244" s="0" t="s">
        <v>130</v>
      </c>
      <c r="CC1244" s="0" t="s">
        <v>130</v>
      </c>
      <c r="CD1244" s="0" t="s">
        <v>130</v>
      </c>
      <c r="CE1244" s="0" t="s">
        <v>130</v>
      </c>
      <c r="CF1244" s="0" t="s">
        <v>130</v>
      </c>
      <c r="CG1244" s="0" t="s">
        <v>130</v>
      </c>
      <c r="CH1244" s="0" t="s">
        <v>130</v>
      </c>
      <c r="CI1244" s="0" t="s">
        <v>130</v>
      </c>
      <c r="CJ1244" s="0" t="s">
        <v>130</v>
      </c>
      <c r="CK1244" s="0" t="s">
        <v>130</v>
      </c>
      <c r="CL1244" s="0" t="s">
        <v>130</v>
      </c>
      <c r="CM1244" s="0" t="s">
        <v>130</v>
      </c>
      <c r="CN1244" s="0" t="s">
        <v>130</v>
      </c>
      <c r="CO1244" s="0" t="s">
        <v>130</v>
      </c>
      <c r="CP1244" s="0" t="s">
        <v>130</v>
      </c>
      <c r="CQ1244" s="0" t="s">
        <v>130</v>
      </c>
      <c r="CR1244" s="0" t="s">
        <v>130</v>
      </c>
      <c r="CS1244" s="0" t="s">
        <v>130</v>
      </c>
      <c r="CT1244" s="0" t="s">
        <v>3678</v>
      </c>
    </row>
    <row r="1245">
      <c r="A1245" s="14">
        <v>328683</v>
      </c>
      <c r="B1245" s="0" t="s">
        <v>3664</v>
      </c>
      <c r="C1245" s="16">
        <f>HYPERLINK("https://eosportal.federatedhermes.com/companies/Q29tcGFueQppNTg5MjI=", "Mercedes-Benz Group AG")</f>
      </c>
      <c r="D1245" s="0" t="s">
        <v>23</v>
      </c>
      <c r="E1245" s="0" t="s">
        <v>2627</v>
      </c>
      <c r="F1245" s="16">
        <f>HYPERLINK("https://eosportal.federatedhermes.com/engagements/RW5nYWdlbWVudAppMjYyNDk=", "Paris-aligned accounts")</f>
      </c>
      <c r="G1245" s="14" t="s">
        <v>3679</v>
      </c>
      <c r="H1245" s="0" t="s">
        <v>141</v>
      </c>
      <c r="I1245" s="14" t="s">
        <v>1645</v>
      </c>
      <c r="J1245" s="0" t="s">
        <v>197</v>
      </c>
      <c r="K1245" s="0" t="s">
        <v>198</v>
      </c>
      <c r="L1245" s="0" t="s">
        <v>199</v>
      </c>
      <c r="M1245" s="0" t="s">
        <v>378</v>
      </c>
      <c r="N1245" s="0" t="s">
        <v>2485</v>
      </c>
      <c r="O1245" s="0" t="s">
        <v>425</v>
      </c>
      <c r="Q1245" s="0" t="s">
        <v>141</v>
      </c>
      <c r="R1245" s="0" t="s">
        <v>130</v>
      </c>
      <c r="S1245" s="14">
        <v>2</v>
      </c>
      <c r="T1245" s="0" t="s">
        <v>583</v>
      </c>
      <c r="U1245" s="0" t="s">
        <v>221</v>
      </c>
      <c r="V1245" s="14" t="s">
        <v>583</v>
      </c>
      <c r="W1245" s="0" t="s">
        <v>221</v>
      </c>
      <c r="X1245" s="14" t="s">
        <v>478</v>
      </c>
      <c r="Y1245" s="0" t="s">
        <v>221</v>
      </c>
      <c r="Z1245" s="14" t="s">
        <v>446</v>
      </c>
      <c r="AA1245" s="0" t="s">
        <v>223</v>
      </c>
      <c r="AB1245" s="14" t="s">
        <v>138</v>
      </c>
      <c r="AD1245" s="0" t="s">
        <v>20</v>
      </c>
      <c r="AF1245" s="0">
        <v>0</v>
      </c>
      <c r="AG1245" s="0">
        <v>0</v>
      </c>
      <c r="AH1245" s="0" t="s">
        <v>140</v>
      </c>
      <c r="AI1245" s="0" t="s">
        <v>479</v>
      </c>
      <c r="AK1245" s="0" t="s">
        <v>3207</v>
      </c>
      <c r="AL1245" s="14"/>
      <c r="AN1245" s="14"/>
      <c r="AQ1245" s="0" t="s">
        <v>130</v>
      </c>
      <c r="AR1245" s="0" t="s">
        <v>130</v>
      </c>
      <c r="AS1245" s="0" t="s">
        <v>130</v>
      </c>
      <c r="AT1245" s="0" t="s">
        <v>130</v>
      </c>
      <c r="AU1245" s="0" t="s">
        <v>130</v>
      </c>
      <c r="AV1245" s="0" t="s">
        <v>130</v>
      </c>
      <c r="AW1245" s="0" t="s">
        <v>130</v>
      </c>
      <c r="AX1245" s="0" t="s">
        <v>130</v>
      </c>
      <c r="AY1245" s="0" t="s">
        <v>130</v>
      </c>
      <c r="AZ1245" s="0" t="s">
        <v>130</v>
      </c>
      <c r="BA1245" s="0" t="s">
        <v>130</v>
      </c>
      <c r="BB1245" s="0" t="s">
        <v>141</v>
      </c>
      <c r="BC1245" s="0" t="s">
        <v>130</v>
      </c>
      <c r="BD1245" s="0" t="s">
        <v>130</v>
      </c>
      <c r="BE1245" s="0" t="s">
        <v>130</v>
      </c>
      <c r="BF1245" s="0" t="s">
        <v>130</v>
      </c>
      <c r="BG1245" s="0" t="s">
        <v>130</v>
      </c>
      <c r="BH1245" s="0" t="s">
        <v>130</v>
      </c>
      <c r="BI1245" s="0" t="s">
        <v>130</v>
      </c>
      <c r="BJ1245" s="0" t="s">
        <v>130</v>
      </c>
      <c r="BK1245" s="0" t="s">
        <v>130</v>
      </c>
      <c r="BL1245" s="0" t="s">
        <v>130</v>
      </c>
      <c r="BM1245" s="0" t="s">
        <v>130</v>
      </c>
      <c r="BN1245" s="0" t="s">
        <v>130</v>
      </c>
      <c r="BO1245" s="0" t="s">
        <v>130</v>
      </c>
      <c r="BP1245" s="0" t="s">
        <v>130</v>
      </c>
      <c r="BQ1245" s="0" t="s">
        <v>130</v>
      </c>
      <c r="BR1245" s="0" t="s">
        <v>130</v>
      </c>
      <c r="BS1245" s="0" t="s">
        <v>130</v>
      </c>
      <c r="BT1245" s="0" t="s">
        <v>130</v>
      </c>
      <c r="BU1245" s="0" t="s">
        <v>130</v>
      </c>
      <c r="BV1245" s="0" t="s">
        <v>130</v>
      </c>
      <c r="BW1245" s="0" t="s">
        <v>130</v>
      </c>
      <c r="BX1245" s="0" t="s">
        <v>130</v>
      </c>
      <c r="BY1245" s="0" t="s">
        <v>130</v>
      </c>
      <c r="BZ1245" s="0" t="s">
        <v>130</v>
      </c>
      <c r="CA1245" s="0" t="s">
        <v>130</v>
      </c>
      <c r="CB1245" s="0" t="s">
        <v>130</v>
      </c>
      <c r="CC1245" s="0" t="s">
        <v>130</v>
      </c>
      <c r="CD1245" s="0" t="s">
        <v>130</v>
      </c>
      <c r="CE1245" s="0" t="s">
        <v>130</v>
      </c>
      <c r="CF1245" s="0" t="s">
        <v>130</v>
      </c>
      <c r="CG1245" s="0" t="s">
        <v>130</v>
      </c>
      <c r="CH1245" s="0" t="s">
        <v>130</v>
      </c>
      <c r="CI1245" s="0" t="s">
        <v>130</v>
      </c>
      <c r="CJ1245" s="0" t="s">
        <v>130</v>
      </c>
      <c r="CK1245" s="0" t="s">
        <v>130</v>
      </c>
      <c r="CL1245" s="0" t="s">
        <v>130</v>
      </c>
      <c r="CM1245" s="0" t="s">
        <v>130</v>
      </c>
      <c r="CN1245" s="0" t="s">
        <v>130</v>
      </c>
      <c r="CO1245" s="0" t="s">
        <v>130</v>
      </c>
      <c r="CP1245" s="0" t="s">
        <v>130</v>
      </c>
      <c r="CQ1245" s="0" t="s">
        <v>130</v>
      </c>
      <c r="CR1245" s="0" t="s">
        <v>130</v>
      </c>
      <c r="CS1245" s="0" t="s">
        <v>130</v>
      </c>
      <c r="CT1245" s="0" t="s">
        <v>3680</v>
      </c>
    </row>
    <row r="1246">
      <c r="A1246" s="14">
        <v>328683</v>
      </c>
      <c r="B1246" s="0" t="s">
        <v>3664</v>
      </c>
      <c r="C1246" s="16">
        <f>HYPERLINK("https://eosportal.federatedhermes.com/companies/Q29tcGFueQppNTg5MjI=", "Mercedes-Benz Group AG")</f>
      </c>
      <c r="D1246" s="0" t="s">
        <v>25</v>
      </c>
      <c r="E1246" s="0" t="s">
        <v>3681</v>
      </c>
      <c r="F1246" s="16">
        <f>HYPERLINK("https://eosportal.federatedhermes.com/engagements/RW5nYWdlbWVudAppMjYyNTE=", "Corporate Lobbying")</f>
      </c>
      <c r="G1246" s="14" t="s">
        <v>3682</v>
      </c>
      <c r="H1246" s="0" t="s">
        <v>141</v>
      </c>
      <c r="I1246" s="14" t="s">
        <v>1645</v>
      </c>
      <c r="J1246" s="0" t="s">
        <v>197</v>
      </c>
      <c r="K1246" s="0" t="s">
        <v>198</v>
      </c>
      <c r="L1246" s="0" t="s">
        <v>199</v>
      </c>
      <c r="M1246" s="0" t="s">
        <v>378</v>
      </c>
      <c r="N1246" s="0" t="s">
        <v>2485</v>
      </c>
      <c r="O1246" s="0" t="s">
        <v>425</v>
      </c>
      <c r="Q1246" s="0" t="s">
        <v>141</v>
      </c>
      <c r="R1246" s="0" t="s">
        <v>138</v>
      </c>
      <c r="S1246" s="14">
        <v>1</v>
      </c>
      <c r="T1246" s="0" t="s">
        <v>333</v>
      </c>
      <c r="U1246" s="0" t="s">
        <v>138</v>
      </c>
      <c r="V1246" s="14" t="s">
        <v>138</v>
      </c>
      <c r="W1246" s="0" t="s">
        <v>138</v>
      </c>
      <c r="X1246" s="14" t="s">
        <v>138</v>
      </c>
      <c r="Y1246" s="0" t="s">
        <v>138</v>
      </c>
      <c r="Z1246" s="14" t="s">
        <v>138</v>
      </c>
      <c r="AA1246" s="0" t="s">
        <v>138</v>
      </c>
      <c r="AB1246" s="14" t="s">
        <v>138</v>
      </c>
      <c r="AD1246" s="0" t="s">
        <v>138</v>
      </c>
      <c r="AF1246" s="0">
        <v>0</v>
      </c>
      <c r="AG1246" s="0">
        <v>0</v>
      </c>
      <c r="AH1246" s="0" t="s">
        <v>140</v>
      </c>
      <c r="AI1246" s="0" t="s">
        <v>138</v>
      </c>
      <c r="AK1246" s="0" t="s">
        <v>2044</v>
      </c>
      <c r="AL1246" s="14"/>
      <c r="AN1246" s="14"/>
      <c r="AQ1246" s="0" t="s">
        <v>130</v>
      </c>
      <c r="AR1246" s="0" t="s">
        <v>130</v>
      </c>
      <c r="AS1246" s="0" t="s">
        <v>130</v>
      </c>
      <c r="AT1246" s="0" t="s">
        <v>130</v>
      </c>
      <c r="AU1246" s="0" t="s">
        <v>130</v>
      </c>
      <c r="AV1246" s="0" t="s">
        <v>130</v>
      </c>
      <c r="AW1246" s="0" t="s">
        <v>130</v>
      </c>
      <c r="AX1246" s="0" t="s">
        <v>130</v>
      </c>
      <c r="AY1246" s="0" t="s">
        <v>130</v>
      </c>
      <c r="AZ1246" s="0" t="s">
        <v>130</v>
      </c>
      <c r="BA1246" s="0" t="s">
        <v>130</v>
      </c>
      <c r="BB1246" s="0" t="s">
        <v>141</v>
      </c>
      <c r="BC1246" s="0" t="s">
        <v>130</v>
      </c>
      <c r="BD1246" s="0" t="s">
        <v>130</v>
      </c>
      <c r="BE1246" s="0" t="s">
        <v>130</v>
      </c>
      <c r="BF1246" s="0" t="s">
        <v>130</v>
      </c>
      <c r="BG1246" s="0" t="s">
        <v>130</v>
      </c>
      <c r="BH1246" s="0" t="s">
        <v>130</v>
      </c>
      <c r="BI1246" s="0" t="s">
        <v>130</v>
      </c>
      <c r="BJ1246" s="0" t="s">
        <v>130</v>
      </c>
      <c r="BK1246" s="0" t="s">
        <v>130</v>
      </c>
      <c r="BL1246" s="0" t="s">
        <v>130</v>
      </c>
      <c r="BM1246" s="0" t="s">
        <v>130</v>
      </c>
      <c r="BN1246" s="0" t="s">
        <v>130</v>
      </c>
      <c r="BO1246" s="0" t="s">
        <v>130</v>
      </c>
      <c r="BP1246" s="0" t="s">
        <v>130</v>
      </c>
      <c r="BQ1246" s="0" t="s">
        <v>130</v>
      </c>
      <c r="BR1246" s="0" t="s">
        <v>130</v>
      </c>
      <c r="BS1246" s="0" t="s">
        <v>130</v>
      </c>
      <c r="BT1246" s="0" t="s">
        <v>130</v>
      </c>
      <c r="BU1246" s="0" t="s">
        <v>130</v>
      </c>
      <c r="BV1246" s="0" t="s">
        <v>130</v>
      </c>
      <c r="BW1246" s="0" t="s">
        <v>130</v>
      </c>
      <c r="BX1246" s="0" t="s">
        <v>130</v>
      </c>
      <c r="BY1246" s="0" t="s">
        <v>130</v>
      </c>
      <c r="BZ1246" s="0" t="s">
        <v>130</v>
      </c>
      <c r="CA1246" s="0" t="s">
        <v>130</v>
      </c>
      <c r="CB1246" s="0" t="s">
        <v>130</v>
      </c>
      <c r="CC1246" s="0" t="s">
        <v>130</v>
      </c>
      <c r="CD1246" s="0" t="s">
        <v>130</v>
      </c>
      <c r="CE1246" s="0" t="s">
        <v>130</v>
      </c>
      <c r="CF1246" s="0" t="s">
        <v>130</v>
      </c>
      <c r="CG1246" s="0" t="s">
        <v>130</v>
      </c>
      <c r="CH1246" s="0" t="s">
        <v>130</v>
      </c>
      <c r="CI1246" s="0" t="s">
        <v>130</v>
      </c>
      <c r="CJ1246" s="0" t="s">
        <v>130</v>
      </c>
      <c r="CK1246" s="0" t="s">
        <v>130</v>
      </c>
      <c r="CL1246" s="0" t="s">
        <v>130</v>
      </c>
      <c r="CM1246" s="0" t="s">
        <v>130</v>
      </c>
      <c r="CN1246" s="0" t="s">
        <v>130</v>
      </c>
      <c r="CO1246" s="0" t="s">
        <v>130</v>
      </c>
      <c r="CP1246" s="0" t="s">
        <v>130</v>
      </c>
      <c r="CQ1246" s="0" t="s">
        <v>130</v>
      </c>
      <c r="CR1246" s="0" t="s">
        <v>130</v>
      </c>
      <c r="CS1246" s="0" t="s">
        <v>130</v>
      </c>
      <c r="CT1246" s="0" t="s">
        <v>3683</v>
      </c>
    </row>
    <row r="1247">
      <c r="A1247" s="14">
        <v>328683</v>
      </c>
      <c r="B1247" s="0" t="s">
        <v>3664</v>
      </c>
      <c r="C1247" s="16">
        <f>HYPERLINK("https://eosportal.federatedhermes.com/companies/Q29tcGFueQppNTg5MjI=", "Mercedes-Benz Group AG")</f>
      </c>
      <c r="D1247" s="0" t="s">
        <v>25</v>
      </c>
      <c r="E1247" s="0" t="s">
        <v>3684</v>
      </c>
      <c r="F1247" s="16">
        <f>HYPERLINK("https://eosportal.federatedhermes.com/engagements/RW5nYWdlbWVudAppMjYyNTI=", "Reform of executive remuneration policy")</f>
      </c>
      <c r="G1247" s="14" t="s">
        <v>3685</v>
      </c>
      <c r="H1247" s="0" t="s">
        <v>141</v>
      </c>
      <c r="I1247" s="14" t="s">
        <v>1645</v>
      </c>
      <c r="J1247" s="0" t="s">
        <v>145</v>
      </c>
      <c r="K1247" s="0" t="s">
        <v>146</v>
      </c>
      <c r="L1247" s="0" t="s">
        <v>147</v>
      </c>
      <c r="M1247" s="0" t="s">
        <v>378</v>
      </c>
      <c r="N1247" s="0" t="s">
        <v>2485</v>
      </c>
      <c r="O1247" s="0" t="s">
        <v>425</v>
      </c>
      <c r="Q1247" s="0" t="s">
        <v>141</v>
      </c>
      <c r="R1247" s="0" t="s">
        <v>138</v>
      </c>
      <c r="S1247" s="14">
        <v>1</v>
      </c>
      <c r="T1247" s="0" t="s">
        <v>384</v>
      </c>
      <c r="U1247" s="0" t="s">
        <v>138</v>
      </c>
      <c r="V1247" s="14" t="s">
        <v>138</v>
      </c>
      <c r="W1247" s="0" t="s">
        <v>138</v>
      </c>
      <c r="X1247" s="14" t="s">
        <v>138</v>
      </c>
      <c r="Y1247" s="0" t="s">
        <v>138</v>
      </c>
      <c r="Z1247" s="14" t="s">
        <v>138</v>
      </c>
      <c r="AA1247" s="0" t="s">
        <v>138</v>
      </c>
      <c r="AB1247" s="14" t="s">
        <v>138</v>
      </c>
      <c r="AD1247" s="0" t="s">
        <v>138</v>
      </c>
      <c r="AF1247" s="0">
        <v>0</v>
      </c>
      <c r="AG1247" s="0">
        <v>0</v>
      </c>
      <c r="AH1247" s="0" t="s">
        <v>140</v>
      </c>
      <c r="AI1247" s="0" t="s">
        <v>138</v>
      </c>
      <c r="AK1247" s="0" t="s">
        <v>2523</v>
      </c>
      <c r="AL1247" s="14"/>
      <c r="AN1247" s="14"/>
      <c r="AQ1247" s="0" t="s">
        <v>130</v>
      </c>
      <c r="AR1247" s="0" t="s">
        <v>130</v>
      </c>
      <c r="AS1247" s="0" t="s">
        <v>130</v>
      </c>
      <c r="AT1247" s="0" t="s">
        <v>130</v>
      </c>
      <c r="AU1247" s="0" t="s">
        <v>130</v>
      </c>
      <c r="AV1247" s="0" t="s">
        <v>130</v>
      </c>
      <c r="AW1247" s="0" t="s">
        <v>130</v>
      </c>
      <c r="AX1247" s="0" t="s">
        <v>130</v>
      </c>
      <c r="AY1247" s="0" t="s">
        <v>130</v>
      </c>
      <c r="AZ1247" s="0" t="s">
        <v>130</v>
      </c>
      <c r="BA1247" s="0" t="s">
        <v>130</v>
      </c>
      <c r="BB1247" s="0" t="s">
        <v>130</v>
      </c>
      <c r="BC1247" s="0" t="s">
        <v>130</v>
      </c>
      <c r="BD1247" s="0" t="s">
        <v>130</v>
      </c>
      <c r="BE1247" s="0" t="s">
        <v>130</v>
      </c>
      <c r="BF1247" s="0" t="s">
        <v>130</v>
      </c>
      <c r="BG1247" s="0" t="s">
        <v>130</v>
      </c>
      <c r="BH1247" s="0" t="s">
        <v>130</v>
      </c>
      <c r="BI1247" s="0" t="s">
        <v>130</v>
      </c>
      <c r="BJ1247" s="0" t="s">
        <v>130</v>
      </c>
      <c r="BK1247" s="0" t="s">
        <v>130</v>
      </c>
      <c r="BL1247" s="0" t="s">
        <v>130</v>
      </c>
      <c r="BM1247" s="0" t="s">
        <v>130</v>
      </c>
      <c r="BN1247" s="0" t="s">
        <v>130</v>
      </c>
      <c r="BO1247" s="0" t="s">
        <v>130</v>
      </c>
      <c r="BP1247" s="0" t="s">
        <v>130</v>
      </c>
      <c r="BQ1247" s="0" t="s">
        <v>130</v>
      </c>
      <c r="BR1247" s="0" t="s">
        <v>130</v>
      </c>
      <c r="BS1247" s="0" t="s">
        <v>130</v>
      </c>
      <c r="BT1247" s="0" t="s">
        <v>130</v>
      </c>
      <c r="BU1247" s="0" t="s">
        <v>130</v>
      </c>
      <c r="BV1247" s="0" t="s">
        <v>130</v>
      </c>
      <c r="BW1247" s="0" t="s">
        <v>130</v>
      </c>
      <c r="BX1247" s="0" t="s">
        <v>130</v>
      </c>
      <c r="BY1247" s="0" t="s">
        <v>130</v>
      </c>
      <c r="BZ1247" s="0" t="s">
        <v>130</v>
      </c>
      <c r="CA1247" s="0" t="s">
        <v>130</v>
      </c>
      <c r="CB1247" s="0" t="s">
        <v>130</v>
      </c>
      <c r="CC1247" s="0" t="s">
        <v>130</v>
      </c>
      <c r="CD1247" s="0" t="s">
        <v>130</v>
      </c>
      <c r="CE1247" s="0" t="s">
        <v>130</v>
      </c>
      <c r="CF1247" s="0" t="s">
        <v>130</v>
      </c>
      <c r="CG1247" s="0" t="s">
        <v>130</v>
      </c>
      <c r="CH1247" s="0" t="s">
        <v>130</v>
      </c>
      <c r="CI1247" s="0" t="s">
        <v>130</v>
      </c>
      <c r="CJ1247" s="0" t="s">
        <v>130</v>
      </c>
      <c r="CK1247" s="0" t="s">
        <v>130</v>
      </c>
      <c r="CL1247" s="0" t="s">
        <v>130</v>
      </c>
      <c r="CM1247" s="0" t="s">
        <v>130</v>
      </c>
      <c r="CN1247" s="0" t="s">
        <v>130</v>
      </c>
      <c r="CO1247" s="0" t="s">
        <v>130</v>
      </c>
      <c r="CP1247" s="0" t="s">
        <v>130</v>
      </c>
      <c r="CQ1247" s="0" t="s">
        <v>130</v>
      </c>
      <c r="CR1247" s="0" t="s">
        <v>130</v>
      </c>
      <c r="CS1247" s="0" t="s">
        <v>130</v>
      </c>
      <c r="CT1247" s="0" t="s">
        <v>3686</v>
      </c>
    </row>
    <row r="1248">
      <c r="A1248" s="14">
        <v>328683</v>
      </c>
      <c r="B1248" s="0" t="s">
        <v>3664</v>
      </c>
      <c r="C1248" s="16">
        <f>HYPERLINK("https://eosportal.federatedhermes.com/companies/Q29tcGFueQppNTg5MjI=", "Mercedes-Benz Group AG")</f>
      </c>
      <c r="D1248" s="0" t="s">
        <v>25</v>
      </c>
      <c r="E1248" s="0" t="s">
        <v>164</v>
      </c>
      <c r="F1248" s="16">
        <f>HYPERLINK("https://eosportal.federatedhermes.com/engagements/RW5nYWdlbWVudAppMjYyNTU=", "Board Effectiveness")</f>
      </c>
      <c r="G1248" s="14" t="s">
        <v>2578</v>
      </c>
      <c r="H1248" s="0" t="s">
        <v>141</v>
      </c>
      <c r="I1248" s="14" t="s">
        <v>1645</v>
      </c>
      <c r="J1248" s="0" t="s">
        <v>145</v>
      </c>
      <c r="K1248" s="0" t="s">
        <v>164</v>
      </c>
      <c r="L1248" s="0" t="s">
        <v>165</v>
      </c>
      <c r="M1248" s="0" t="s">
        <v>378</v>
      </c>
      <c r="N1248" s="0" t="s">
        <v>2485</v>
      </c>
      <c r="O1248" s="0" t="s">
        <v>425</v>
      </c>
      <c r="Q1248" s="0" t="s">
        <v>141</v>
      </c>
      <c r="R1248" s="0" t="s">
        <v>138</v>
      </c>
      <c r="S1248" s="14">
        <v>1</v>
      </c>
      <c r="T1248" s="0" t="s">
        <v>394</v>
      </c>
      <c r="U1248" s="0" t="s">
        <v>138</v>
      </c>
      <c r="V1248" s="14" t="s">
        <v>138</v>
      </c>
      <c r="W1248" s="0" t="s">
        <v>138</v>
      </c>
      <c r="X1248" s="14" t="s">
        <v>138</v>
      </c>
      <c r="Y1248" s="0" t="s">
        <v>138</v>
      </c>
      <c r="Z1248" s="14" t="s">
        <v>138</v>
      </c>
      <c r="AA1248" s="0" t="s">
        <v>138</v>
      </c>
      <c r="AB1248" s="14" t="s">
        <v>138</v>
      </c>
      <c r="AD1248" s="0" t="s">
        <v>138</v>
      </c>
      <c r="AF1248" s="0">
        <v>0</v>
      </c>
      <c r="AG1248" s="0">
        <v>0</v>
      </c>
      <c r="AH1248" s="0" t="s">
        <v>140</v>
      </c>
      <c r="AI1248" s="0" t="s">
        <v>138</v>
      </c>
      <c r="AK1248" s="0" t="s">
        <v>2523</v>
      </c>
      <c r="AL1248" s="14"/>
      <c r="AN1248" s="14"/>
      <c r="AQ1248" s="0" t="s">
        <v>130</v>
      </c>
      <c r="AR1248" s="0" t="s">
        <v>130</v>
      </c>
      <c r="AS1248" s="0" t="s">
        <v>130</v>
      </c>
      <c r="AT1248" s="0" t="s">
        <v>130</v>
      </c>
      <c r="AU1248" s="0" t="s">
        <v>130</v>
      </c>
      <c r="AV1248" s="0" t="s">
        <v>130</v>
      </c>
      <c r="AW1248" s="0" t="s">
        <v>130</v>
      </c>
      <c r="AX1248" s="0" t="s">
        <v>130</v>
      </c>
      <c r="AY1248" s="0" t="s">
        <v>130</v>
      </c>
      <c r="AZ1248" s="0" t="s">
        <v>130</v>
      </c>
      <c r="BA1248" s="0" t="s">
        <v>130</v>
      </c>
      <c r="BB1248" s="0" t="s">
        <v>130</v>
      </c>
      <c r="BC1248" s="0" t="s">
        <v>130</v>
      </c>
      <c r="BD1248" s="0" t="s">
        <v>130</v>
      </c>
      <c r="BE1248" s="0" t="s">
        <v>130</v>
      </c>
      <c r="BF1248" s="0" t="s">
        <v>130</v>
      </c>
      <c r="BG1248" s="0" t="s">
        <v>130</v>
      </c>
      <c r="BH1248" s="0" t="s">
        <v>130</v>
      </c>
      <c r="BI1248" s="0" t="s">
        <v>130</v>
      </c>
      <c r="BJ1248" s="0" t="s">
        <v>130</v>
      </c>
      <c r="BK1248" s="0" t="s">
        <v>130</v>
      </c>
      <c r="BL1248" s="0" t="s">
        <v>130</v>
      </c>
      <c r="BM1248" s="0" t="s">
        <v>130</v>
      </c>
      <c r="BN1248" s="0" t="s">
        <v>130</v>
      </c>
      <c r="BO1248" s="0" t="s">
        <v>130</v>
      </c>
      <c r="BP1248" s="0" t="s">
        <v>130</v>
      </c>
      <c r="BQ1248" s="0" t="s">
        <v>130</v>
      </c>
      <c r="BR1248" s="0" t="s">
        <v>130</v>
      </c>
      <c r="BS1248" s="0" t="s">
        <v>130</v>
      </c>
      <c r="BT1248" s="0" t="s">
        <v>130</v>
      </c>
      <c r="BU1248" s="0" t="s">
        <v>130</v>
      </c>
      <c r="BV1248" s="0" t="s">
        <v>130</v>
      </c>
      <c r="BW1248" s="0" t="s">
        <v>130</v>
      </c>
      <c r="BX1248" s="0" t="s">
        <v>130</v>
      </c>
      <c r="BY1248" s="0" t="s">
        <v>130</v>
      </c>
      <c r="BZ1248" s="0" t="s">
        <v>130</v>
      </c>
      <c r="CA1248" s="0" t="s">
        <v>130</v>
      </c>
      <c r="CB1248" s="0" t="s">
        <v>130</v>
      </c>
      <c r="CC1248" s="0" t="s">
        <v>130</v>
      </c>
      <c r="CD1248" s="0" t="s">
        <v>130</v>
      </c>
      <c r="CE1248" s="0" t="s">
        <v>130</v>
      </c>
      <c r="CF1248" s="0" t="s">
        <v>130</v>
      </c>
      <c r="CG1248" s="0" t="s">
        <v>130</v>
      </c>
      <c r="CH1248" s="0" t="s">
        <v>130</v>
      </c>
      <c r="CI1248" s="0" t="s">
        <v>130</v>
      </c>
      <c r="CJ1248" s="0" t="s">
        <v>130</v>
      </c>
      <c r="CK1248" s="0" t="s">
        <v>130</v>
      </c>
      <c r="CL1248" s="0" t="s">
        <v>130</v>
      </c>
      <c r="CM1248" s="0" t="s">
        <v>130</v>
      </c>
      <c r="CN1248" s="0" t="s">
        <v>130</v>
      </c>
      <c r="CO1248" s="0" t="s">
        <v>130</v>
      </c>
      <c r="CP1248" s="0" t="s">
        <v>130</v>
      </c>
      <c r="CQ1248" s="0" t="s">
        <v>130</v>
      </c>
      <c r="CR1248" s="0" t="s">
        <v>130</v>
      </c>
      <c r="CS1248" s="0" t="s">
        <v>130</v>
      </c>
      <c r="CT1248" s="0" t="s">
        <v>3687</v>
      </c>
    </row>
    <row r="1249">
      <c r="A1249" s="14">
        <v>328683</v>
      </c>
      <c r="B1249" s="0" t="s">
        <v>3664</v>
      </c>
      <c r="C1249" s="16">
        <f>HYPERLINK("https://eosportal.federatedhermes.com/companies/Q29tcGFueQppNTg5MjI=", "Mercedes-Benz Group AG")</f>
      </c>
      <c r="D1249" s="0" t="s">
        <v>25</v>
      </c>
      <c r="E1249" s="0" t="s">
        <v>2627</v>
      </c>
      <c r="F1249" s="16">
        <f>HYPERLINK("https://eosportal.federatedhermes.com/engagements/RW5nYWdlbWVudAppMjYyNTY=", "Paris-aligned accounts")</f>
      </c>
      <c r="G1249" s="14" t="s">
        <v>2640</v>
      </c>
      <c r="H1249" s="0" t="s">
        <v>141</v>
      </c>
      <c r="I1249" s="14" t="s">
        <v>1645</v>
      </c>
      <c r="J1249" s="0" t="s">
        <v>197</v>
      </c>
      <c r="K1249" s="0" t="s">
        <v>198</v>
      </c>
      <c r="L1249" s="0" t="s">
        <v>199</v>
      </c>
      <c r="M1249" s="0" t="s">
        <v>378</v>
      </c>
      <c r="N1249" s="0" t="s">
        <v>2485</v>
      </c>
      <c r="O1249" s="0" t="s">
        <v>425</v>
      </c>
      <c r="Q1249" s="0" t="s">
        <v>141</v>
      </c>
      <c r="R1249" s="0" t="s">
        <v>138</v>
      </c>
      <c r="S1249" s="14">
        <v>2</v>
      </c>
      <c r="T1249" s="0" t="s">
        <v>583</v>
      </c>
      <c r="U1249" s="0" t="s">
        <v>138</v>
      </c>
      <c r="V1249" s="14" t="s">
        <v>138</v>
      </c>
      <c r="W1249" s="0" t="s">
        <v>138</v>
      </c>
      <c r="X1249" s="14" t="s">
        <v>138</v>
      </c>
      <c r="Y1249" s="0" t="s">
        <v>138</v>
      </c>
      <c r="Z1249" s="14" t="s">
        <v>138</v>
      </c>
      <c r="AA1249" s="0" t="s">
        <v>138</v>
      </c>
      <c r="AB1249" s="14" t="s">
        <v>138</v>
      </c>
      <c r="AD1249" s="0" t="s">
        <v>138</v>
      </c>
      <c r="AF1249" s="0">
        <v>0</v>
      </c>
      <c r="AG1249" s="0">
        <v>0</v>
      </c>
      <c r="AH1249" s="0" t="s">
        <v>140</v>
      </c>
      <c r="AI1249" s="0" t="s">
        <v>138</v>
      </c>
      <c r="AK1249" s="0" t="s">
        <v>3207</v>
      </c>
      <c r="AL1249" s="14"/>
      <c r="AN1249" s="14"/>
      <c r="AQ1249" s="0" t="s">
        <v>130</v>
      </c>
      <c r="AR1249" s="0" t="s">
        <v>130</v>
      </c>
      <c r="AS1249" s="0" t="s">
        <v>130</v>
      </c>
      <c r="AT1249" s="0" t="s">
        <v>130</v>
      </c>
      <c r="AU1249" s="0" t="s">
        <v>130</v>
      </c>
      <c r="AV1249" s="0" t="s">
        <v>130</v>
      </c>
      <c r="AW1249" s="0" t="s">
        <v>130</v>
      </c>
      <c r="AX1249" s="0" t="s">
        <v>130</v>
      </c>
      <c r="AY1249" s="0" t="s">
        <v>130</v>
      </c>
      <c r="AZ1249" s="0" t="s">
        <v>130</v>
      </c>
      <c r="BA1249" s="0" t="s">
        <v>130</v>
      </c>
      <c r="BB1249" s="0" t="s">
        <v>141</v>
      </c>
      <c r="BC1249" s="0" t="s">
        <v>130</v>
      </c>
      <c r="BD1249" s="0" t="s">
        <v>130</v>
      </c>
      <c r="BE1249" s="0" t="s">
        <v>130</v>
      </c>
      <c r="BF1249" s="0" t="s">
        <v>130</v>
      </c>
      <c r="BG1249" s="0" t="s">
        <v>130</v>
      </c>
      <c r="BH1249" s="0" t="s">
        <v>130</v>
      </c>
      <c r="BI1249" s="0" t="s">
        <v>130</v>
      </c>
      <c r="BJ1249" s="0" t="s">
        <v>130</v>
      </c>
      <c r="BK1249" s="0" t="s">
        <v>130</v>
      </c>
      <c r="BL1249" s="0" t="s">
        <v>130</v>
      </c>
      <c r="BM1249" s="0" t="s">
        <v>130</v>
      </c>
      <c r="BN1249" s="0" t="s">
        <v>130</v>
      </c>
      <c r="BO1249" s="0" t="s">
        <v>130</v>
      </c>
      <c r="BP1249" s="0" t="s">
        <v>130</v>
      </c>
      <c r="BQ1249" s="0" t="s">
        <v>130</v>
      </c>
      <c r="BR1249" s="0" t="s">
        <v>130</v>
      </c>
      <c r="BS1249" s="0" t="s">
        <v>130</v>
      </c>
      <c r="BT1249" s="0" t="s">
        <v>130</v>
      </c>
      <c r="BU1249" s="0" t="s">
        <v>130</v>
      </c>
      <c r="BV1249" s="0" t="s">
        <v>130</v>
      </c>
      <c r="BW1249" s="0" t="s">
        <v>130</v>
      </c>
      <c r="BX1249" s="0" t="s">
        <v>130</v>
      </c>
      <c r="BY1249" s="0" t="s">
        <v>130</v>
      </c>
      <c r="BZ1249" s="0" t="s">
        <v>130</v>
      </c>
      <c r="CA1249" s="0" t="s">
        <v>130</v>
      </c>
      <c r="CB1249" s="0" t="s">
        <v>130</v>
      </c>
      <c r="CC1249" s="0" t="s">
        <v>130</v>
      </c>
      <c r="CD1249" s="0" t="s">
        <v>130</v>
      </c>
      <c r="CE1249" s="0" t="s">
        <v>130</v>
      </c>
      <c r="CF1249" s="0" t="s">
        <v>130</v>
      </c>
      <c r="CG1249" s="0" t="s">
        <v>130</v>
      </c>
      <c r="CH1249" s="0" t="s">
        <v>130</v>
      </c>
      <c r="CI1249" s="0" t="s">
        <v>130</v>
      </c>
      <c r="CJ1249" s="0" t="s">
        <v>130</v>
      </c>
      <c r="CK1249" s="0" t="s">
        <v>130</v>
      </c>
      <c r="CL1249" s="0" t="s">
        <v>130</v>
      </c>
      <c r="CM1249" s="0" t="s">
        <v>130</v>
      </c>
      <c r="CN1249" s="0" t="s">
        <v>130</v>
      </c>
      <c r="CO1249" s="0" t="s">
        <v>130</v>
      </c>
      <c r="CP1249" s="0" t="s">
        <v>130</v>
      </c>
      <c r="CQ1249" s="0" t="s">
        <v>130</v>
      </c>
      <c r="CR1249" s="0" t="s">
        <v>130</v>
      </c>
      <c r="CS1249" s="0" t="s">
        <v>130</v>
      </c>
      <c r="CT1249" s="0" t="s">
        <v>3688</v>
      </c>
    </row>
    <row r="1250">
      <c r="A1250" s="14">
        <v>328683</v>
      </c>
      <c r="B1250" s="0" t="s">
        <v>3664</v>
      </c>
      <c r="C1250" s="16">
        <f>HYPERLINK("https://eosportal.federatedhermes.com/companies/Q29tcGFueQppNTg5MjI=", "Mercedes-Benz Group AG")</f>
      </c>
      <c r="D1250" s="0" t="s">
        <v>25</v>
      </c>
      <c r="E1250" s="0" t="s">
        <v>1833</v>
      </c>
      <c r="F1250" s="16">
        <f>HYPERLINK("https://eosportal.federatedhermes.com/engagements/RW5nYWdlbWVudAppMjYyNTc=", "Climate Action 100+")</f>
      </c>
      <c r="G1250" s="14" t="s">
        <v>1833</v>
      </c>
      <c r="H1250" s="0" t="s">
        <v>141</v>
      </c>
      <c r="I1250" s="14" t="s">
        <v>1645</v>
      </c>
      <c r="J1250" s="0" t="s">
        <v>197</v>
      </c>
      <c r="K1250" s="0" t="s">
        <v>198</v>
      </c>
      <c r="L1250" s="0" t="s">
        <v>199</v>
      </c>
      <c r="M1250" s="0" t="s">
        <v>378</v>
      </c>
      <c r="N1250" s="0" t="s">
        <v>2485</v>
      </c>
      <c r="O1250" s="0" t="s">
        <v>425</v>
      </c>
      <c r="Q1250" s="0" t="s">
        <v>141</v>
      </c>
      <c r="R1250" s="0" t="s">
        <v>138</v>
      </c>
      <c r="S1250" s="14">
        <v>1</v>
      </c>
      <c r="T1250" s="0" t="s">
        <v>333</v>
      </c>
      <c r="U1250" s="0" t="s">
        <v>138</v>
      </c>
      <c r="V1250" s="14" t="s">
        <v>138</v>
      </c>
      <c r="W1250" s="0" t="s">
        <v>138</v>
      </c>
      <c r="X1250" s="14" t="s">
        <v>138</v>
      </c>
      <c r="Y1250" s="0" t="s">
        <v>138</v>
      </c>
      <c r="Z1250" s="14" t="s">
        <v>138</v>
      </c>
      <c r="AA1250" s="0" t="s">
        <v>138</v>
      </c>
      <c r="AB1250" s="14" t="s">
        <v>138</v>
      </c>
      <c r="AD1250" s="0" t="s">
        <v>138</v>
      </c>
      <c r="AF1250" s="0">
        <v>0</v>
      </c>
      <c r="AG1250" s="0">
        <v>0</v>
      </c>
      <c r="AH1250" s="0" t="s">
        <v>140</v>
      </c>
      <c r="AI1250" s="0" t="s">
        <v>138</v>
      </c>
      <c r="AK1250" s="0" t="s">
        <v>2044</v>
      </c>
      <c r="AL1250" s="14"/>
      <c r="AN1250" s="14"/>
      <c r="AQ1250" s="0" t="s">
        <v>130</v>
      </c>
      <c r="AR1250" s="0" t="s">
        <v>130</v>
      </c>
      <c r="AS1250" s="0" t="s">
        <v>130</v>
      </c>
      <c r="AT1250" s="0" t="s">
        <v>130</v>
      </c>
      <c r="AU1250" s="0" t="s">
        <v>130</v>
      </c>
      <c r="AV1250" s="0" t="s">
        <v>130</v>
      </c>
      <c r="AW1250" s="0" t="s">
        <v>130</v>
      </c>
      <c r="AX1250" s="0" t="s">
        <v>130</v>
      </c>
      <c r="AY1250" s="0" t="s">
        <v>130</v>
      </c>
      <c r="AZ1250" s="0" t="s">
        <v>130</v>
      </c>
      <c r="BA1250" s="0" t="s">
        <v>130</v>
      </c>
      <c r="BB1250" s="0" t="s">
        <v>141</v>
      </c>
      <c r="BC1250" s="0" t="s">
        <v>130</v>
      </c>
      <c r="BD1250" s="0" t="s">
        <v>130</v>
      </c>
      <c r="BE1250" s="0" t="s">
        <v>130</v>
      </c>
      <c r="BF1250" s="0" t="s">
        <v>130</v>
      </c>
      <c r="BG1250" s="0" t="s">
        <v>130</v>
      </c>
      <c r="BH1250" s="0" t="s">
        <v>130</v>
      </c>
      <c r="BI1250" s="0" t="s">
        <v>130</v>
      </c>
      <c r="BJ1250" s="0" t="s">
        <v>130</v>
      </c>
      <c r="BK1250" s="0" t="s">
        <v>130</v>
      </c>
      <c r="BL1250" s="0" t="s">
        <v>130</v>
      </c>
      <c r="BM1250" s="0" t="s">
        <v>130</v>
      </c>
      <c r="BN1250" s="0" t="s">
        <v>130</v>
      </c>
      <c r="BO1250" s="0" t="s">
        <v>130</v>
      </c>
      <c r="BP1250" s="0" t="s">
        <v>130</v>
      </c>
      <c r="BQ1250" s="0" t="s">
        <v>130</v>
      </c>
      <c r="BR1250" s="0" t="s">
        <v>130</v>
      </c>
      <c r="BS1250" s="0" t="s">
        <v>130</v>
      </c>
      <c r="BT1250" s="0" t="s">
        <v>130</v>
      </c>
      <c r="BU1250" s="0" t="s">
        <v>130</v>
      </c>
      <c r="BV1250" s="0" t="s">
        <v>130</v>
      </c>
      <c r="BW1250" s="0" t="s">
        <v>130</v>
      </c>
      <c r="BX1250" s="0" t="s">
        <v>130</v>
      </c>
      <c r="BY1250" s="0" t="s">
        <v>130</v>
      </c>
      <c r="BZ1250" s="0" t="s">
        <v>130</v>
      </c>
      <c r="CA1250" s="0" t="s">
        <v>130</v>
      </c>
      <c r="CB1250" s="0" t="s">
        <v>130</v>
      </c>
      <c r="CC1250" s="0" t="s">
        <v>130</v>
      </c>
      <c r="CD1250" s="0" t="s">
        <v>130</v>
      </c>
      <c r="CE1250" s="0" t="s">
        <v>130</v>
      </c>
      <c r="CF1250" s="0" t="s">
        <v>130</v>
      </c>
      <c r="CG1250" s="0" t="s">
        <v>130</v>
      </c>
      <c r="CH1250" s="0" t="s">
        <v>130</v>
      </c>
      <c r="CI1250" s="0" t="s">
        <v>130</v>
      </c>
      <c r="CJ1250" s="0" t="s">
        <v>130</v>
      </c>
      <c r="CK1250" s="0" t="s">
        <v>130</v>
      </c>
      <c r="CL1250" s="0" t="s">
        <v>130</v>
      </c>
      <c r="CM1250" s="0" t="s">
        <v>130</v>
      </c>
      <c r="CN1250" s="0" t="s">
        <v>130</v>
      </c>
      <c r="CO1250" s="0" t="s">
        <v>130</v>
      </c>
      <c r="CP1250" s="0" t="s">
        <v>130</v>
      </c>
      <c r="CQ1250" s="0" t="s">
        <v>130</v>
      </c>
      <c r="CR1250" s="0" t="s">
        <v>130</v>
      </c>
      <c r="CS1250" s="0" t="s">
        <v>130</v>
      </c>
      <c r="CT1250" s="0" t="s">
        <v>3689</v>
      </c>
    </row>
    <row r="1251">
      <c r="A1251" s="14">
        <v>328683</v>
      </c>
      <c r="B1251" s="0" t="s">
        <v>3664</v>
      </c>
      <c r="C1251" s="16">
        <f>HYPERLINK("https://eosportal.federatedhermes.com/companies/Q29tcGFueQppNTg5MjI=", "Mercedes-Benz Group AG")</f>
      </c>
      <c r="D1251" s="0" t="s">
        <v>25</v>
      </c>
      <c r="E1251" s="0" t="s">
        <v>3690</v>
      </c>
      <c r="F1251" s="16">
        <f>HYPERLINK("https://eosportal.federatedhermes.com/engagements/RW5nYWdlbWVudAppMjYyNTg=", "Spin-offf of a majority interest in Daimler Truck")</f>
      </c>
      <c r="G1251" s="14" t="s">
        <v>3691</v>
      </c>
      <c r="H1251" s="0" t="s">
        <v>141</v>
      </c>
      <c r="I1251" s="14" t="s">
        <v>1645</v>
      </c>
      <c r="J1251" s="0" t="s">
        <v>145</v>
      </c>
      <c r="K1251" s="0" t="s">
        <v>400</v>
      </c>
      <c r="L1251" s="0" t="s">
        <v>401</v>
      </c>
      <c r="M1251" s="0" t="s">
        <v>378</v>
      </c>
      <c r="N1251" s="0" t="s">
        <v>2485</v>
      </c>
      <c r="O1251" s="0" t="s">
        <v>425</v>
      </c>
      <c r="Q1251" s="0" t="s">
        <v>130</v>
      </c>
      <c r="R1251" s="0" t="s">
        <v>138</v>
      </c>
      <c r="S1251" s="14">
        <v>0</v>
      </c>
      <c r="T1251" s="0" t="s">
        <v>327</v>
      </c>
      <c r="U1251" s="0" t="s">
        <v>138</v>
      </c>
      <c r="V1251" s="14" t="s">
        <v>138</v>
      </c>
      <c r="W1251" s="0" t="s">
        <v>138</v>
      </c>
      <c r="X1251" s="14" t="s">
        <v>138</v>
      </c>
      <c r="Y1251" s="0" t="s">
        <v>138</v>
      </c>
      <c r="Z1251" s="14" t="s">
        <v>138</v>
      </c>
      <c r="AA1251" s="0" t="s">
        <v>138</v>
      </c>
      <c r="AB1251" s="14" t="s">
        <v>138</v>
      </c>
      <c r="AD1251" s="0" t="s">
        <v>138</v>
      </c>
      <c r="AF1251" s="0">
        <v>0</v>
      </c>
      <c r="AG1251" s="0">
        <v>0</v>
      </c>
      <c r="AH1251" s="0" t="s">
        <v>140</v>
      </c>
      <c r="AI1251" s="0" t="s">
        <v>138</v>
      </c>
      <c r="AL1251" s="14"/>
      <c r="AN1251" s="14"/>
      <c r="AQ1251" s="0" t="s">
        <v>130</v>
      </c>
      <c r="AR1251" s="0" t="s">
        <v>130</v>
      </c>
      <c r="AS1251" s="0" t="s">
        <v>130</v>
      </c>
      <c r="AT1251" s="0" t="s">
        <v>130</v>
      </c>
      <c r="AU1251" s="0" t="s">
        <v>130</v>
      </c>
      <c r="AV1251" s="0" t="s">
        <v>130</v>
      </c>
      <c r="AW1251" s="0" t="s">
        <v>130</v>
      </c>
      <c r="AX1251" s="0" t="s">
        <v>130</v>
      </c>
      <c r="AY1251" s="0" t="s">
        <v>130</v>
      </c>
      <c r="AZ1251" s="0" t="s">
        <v>130</v>
      </c>
      <c r="BA1251" s="0" t="s">
        <v>130</v>
      </c>
      <c r="BB1251" s="0" t="s">
        <v>130</v>
      </c>
      <c r="BC1251" s="0" t="s">
        <v>130</v>
      </c>
      <c r="BD1251" s="0" t="s">
        <v>130</v>
      </c>
      <c r="BE1251" s="0" t="s">
        <v>130</v>
      </c>
      <c r="BF1251" s="0" t="s">
        <v>130</v>
      </c>
      <c r="BG1251" s="0" t="s">
        <v>130</v>
      </c>
      <c r="BH1251" s="0" t="s">
        <v>130</v>
      </c>
      <c r="BI1251" s="0" t="s">
        <v>130</v>
      </c>
      <c r="BJ1251" s="0" t="s">
        <v>130</v>
      </c>
      <c r="BK1251" s="0" t="s">
        <v>130</v>
      </c>
      <c r="BL1251" s="0" t="s">
        <v>130</v>
      </c>
      <c r="BM1251" s="0" t="s">
        <v>130</v>
      </c>
      <c r="BN1251" s="0" t="s">
        <v>130</v>
      </c>
      <c r="BO1251" s="0" t="s">
        <v>130</v>
      </c>
      <c r="BP1251" s="0" t="s">
        <v>130</v>
      </c>
      <c r="BQ1251" s="0" t="s">
        <v>130</v>
      </c>
      <c r="BR1251" s="0" t="s">
        <v>130</v>
      </c>
      <c r="BS1251" s="0" t="s">
        <v>130</v>
      </c>
      <c r="BT1251" s="0" t="s">
        <v>130</v>
      </c>
      <c r="BU1251" s="0" t="s">
        <v>130</v>
      </c>
      <c r="BV1251" s="0" t="s">
        <v>130</v>
      </c>
      <c r="BW1251" s="0" t="s">
        <v>130</v>
      </c>
      <c r="BX1251" s="0" t="s">
        <v>130</v>
      </c>
      <c r="BY1251" s="0" t="s">
        <v>130</v>
      </c>
      <c r="BZ1251" s="0" t="s">
        <v>130</v>
      </c>
      <c r="CA1251" s="0" t="s">
        <v>130</v>
      </c>
      <c r="CB1251" s="0" t="s">
        <v>130</v>
      </c>
      <c r="CC1251" s="0" t="s">
        <v>130</v>
      </c>
      <c r="CD1251" s="0" t="s">
        <v>130</v>
      </c>
      <c r="CE1251" s="0" t="s">
        <v>130</v>
      </c>
      <c r="CF1251" s="0" t="s">
        <v>130</v>
      </c>
      <c r="CG1251" s="0" t="s">
        <v>130</v>
      </c>
      <c r="CH1251" s="0" t="s">
        <v>130</v>
      </c>
      <c r="CI1251" s="0" t="s">
        <v>130</v>
      </c>
      <c r="CJ1251" s="0" t="s">
        <v>130</v>
      </c>
      <c r="CK1251" s="0" t="s">
        <v>130</v>
      </c>
      <c r="CL1251" s="0" t="s">
        <v>130</v>
      </c>
      <c r="CM1251" s="0" t="s">
        <v>130</v>
      </c>
      <c r="CN1251" s="0" t="s">
        <v>130</v>
      </c>
      <c r="CO1251" s="0" t="s">
        <v>130</v>
      </c>
      <c r="CP1251" s="0" t="s">
        <v>130</v>
      </c>
      <c r="CQ1251" s="0" t="s">
        <v>130</v>
      </c>
      <c r="CR1251" s="0" t="s">
        <v>130</v>
      </c>
      <c r="CS1251" s="0" t="s">
        <v>130</v>
      </c>
      <c r="CT1251" s="0" t="s">
        <v>3692</v>
      </c>
    </row>
    <row r="1252">
      <c r="A1252" s="14">
        <v>328683</v>
      </c>
      <c r="B1252" s="0" t="s">
        <v>3664</v>
      </c>
      <c r="C1252" s="16">
        <f>HYPERLINK("https://eosportal.federatedhermes.com/companies/Q29tcGFueQppNTg5MjI=", "Mercedes-Benz Group AG")</f>
      </c>
      <c r="D1252" s="0" t="s">
        <v>25</v>
      </c>
      <c r="E1252" s="0" t="s">
        <v>2686</v>
      </c>
      <c r="F1252" s="16">
        <f>HYPERLINK("https://eosportal.federatedhermes.com/engagements/RW5nYWdlbWVudAppMjYyNTk=", "Covid-19 response")</f>
      </c>
      <c r="G1252" s="14" t="s">
        <v>3414</v>
      </c>
      <c r="H1252" s="0" t="s">
        <v>141</v>
      </c>
      <c r="I1252" s="14" t="s">
        <v>1645</v>
      </c>
      <c r="J1252" s="0" t="s">
        <v>132</v>
      </c>
      <c r="K1252" s="0" t="s">
        <v>260</v>
      </c>
      <c r="L1252" s="0" t="s">
        <v>261</v>
      </c>
      <c r="M1252" s="0" t="s">
        <v>378</v>
      </c>
      <c r="N1252" s="0" t="s">
        <v>2485</v>
      </c>
      <c r="O1252" s="0" t="s">
        <v>425</v>
      </c>
      <c r="Q1252" s="0" t="s">
        <v>130</v>
      </c>
      <c r="R1252" s="0" t="s">
        <v>138</v>
      </c>
      <c r="S1252" s="14">
        <v>0</v>
      </c>
      <c r="T1252" s="0" t="s">
        <v>148</v>
      </c>
      <c r="U1252" s="0" t="s">
        <v>138</v>
      </c>
      <c r="V1252" s="14" t="s">
        <v>138</v>
      </c>
      <c r="W1252" s="0" t="s">
        <v>138</v>
      </c>
      <c r="X1252" s="14" t="s">
        <v>138</v>
      </c>
      <c r="Y1252" s="0" t="s">
        <v>138</v>
      </c>
      <c r="Z1252" s="14" t="s">
        <v>138</v>
      </c>
      <c r="AA1252" s="0" t="s">
        <v>138</v>
      </c>
      <c r="AB1252" s="14" t="s">
        <v>138</v>
      </c>
      <c r="AD1252" s="0" t="s">
        <v>138</v>
      </c>
      <c r="AF1252" s="0">
        <v>0</v>
      </c>
      <c r="AG1252" s="0">
        <v>0</v>
      </c>
      <c r="AH1252" s="0" t="s">
        <v>140</v>
      </c>
      <c r="AI1252" s="0" t="s">
        <v>138</v>
      </c>
      <c r="AL1252" s="14"/>
      <c r="AN1252" s="14"/>
      <c r="AQ1252" s="0" t="s">
        <v>130</v>
      </c>
      <c r="AR1252" s="0" t="s">
        <v>130</v>
      </c>
      <c r="AS1252" s="0" t="s">
        <v>130</v>
      </c>
      <c r="AT1252" s="0" t="s">
        <v>130</v>
      </c>
      <c r="AU1252" s="0" t="s">
        <v>130</v>
      </c>
      <c r="AV1252" s="0" t="s">
        <v>130</v>
      </c>
      <c r="AW1252" s="0" t="s">
        <v>130</v>
      </c>
      <c r="AX1252" s="0" t="s">
        <v>130</v>
      </c>
      <c r="AY1252" s="0" t="s">
        <v>130</v>
      </c>
      <c r="AZ1252" s="0" t="s">
        <v>130</v>
      </c>
      <c r="BA1252" s="0" t="s">
        <v>130</v>
      </c>
      <c r="BB1252" s="0" t="s">
        <v>130</v>
      </c>
      <c r="BC1252" s="0" t="s">
        <v>130</v>
      </c>
      <c r="BD1252" s="0" t="s">
        <v>130</v>
      </c>
      <c r="BE1252" s="0" t="s">
        <v>130</v>
      </c>
      <c r="BF1252" s="0" t="s">
        <v>130</v>
      </c>
      <c r="BG1252" s="0" t="s">
        <v>130</v>
      </c>
      <c r="BH1252" s="0" t="s">
        <v>130</v>
      </c>
      <c r="BI1252" s="0" t="s">
        <v>130</v>
      </c>
      <c r="BJ1252" s="0" t="s">
        <v>130</v>
      </c>
      <c r="BK1252" s="0" t="s">
        <v>130</v>
      </c>
      <c r="BL1252" s="0" t="s">
        <v>130</v>
      </c>
      <c r="BM1252" s="0" t="s">
        <v>130</v>
      </c>
      <c r="BN1252" s="0" t="s">
        <v>130</v>
      </c>
      <c r="BO1252" s="0" t="s">
        <v>130</v>
      </c>
      <c r="BP1252" s="0" t="s">
        <v>130</v>
      </c>
      <c r="BQ1252" s="0" t="s">
        <v>130</v>
      </c>
      <c r="BR1252" s="0" t="s">
        <v>130</v>
      </c>
      <c r="BS1252" s="0" t="s">
        <v>130</v>
      </c>
      <c r="BT1252" s="0" t="s">
        <v>130</v>
      </c>
      <c r="BU1252" s="0" t="s">
        <v>130</v>
      </c>
      <c r="BV1252" s="0" t="s">
        <v>130</v>
      </c>
      <c r="BW1252" s="0" t="s">
        <v>130</v>
      </c>
      <c r="BX1252" s="0" t="s">
        <v>130</v>
      </c>
      <c r="BY1252" s="0" t="s">
        <v>130</v>
      </c>
      <c r="BZ1252" s="0" t="s">
        <v>130</v>
      </c>
      <c r="CA1252" s="0" t="s">
        <v>130</v>
      </c>
      <c r="CB1252" s="0" t="s">
        <v>130</v>
      </c>
      <c r="CC1252" s="0" t="s">
        <v>130</v>
      </c>
      <c r="CD1252" s="0" t="s">
        <v>130</v>
      </c>
      <c r="CE1252" s="0" t="s">
        <v>130</v>
      </c>
      <c r="CF1252" s="0" t="s">
        <v>130</v>
      </c>
      <c r="CG1252" s="0" t="s">
        <v>130</v>
      </c>
      <c r="CH1252" s="0" t="s">
        <v>130</v>
      </c>
      <c r="CI1252" s="0" t="s">
        <v>130</v>
      </c>
      <c r="CJ1252" s="0" t="s">
        <v>130</v>
      </c>
      <c r="CK1252" s="0" t="s">
        <v>130</v>
      </c>
      <c r="CL1252" s="0" t="s">
        <v>130</v>
      </c>
      <c r="CM1252" s="0" t="s">
        <v>130</v>
      </c>
      <c r="CN1252" s="0" t="s">
        <v>130</v>
      </c>
      <c r="CO1252" s="0" t="s">
        <v>130</v>
      </c>
      <c r="CP1252" s="0" t="s">
        <v>130</v>
      </c>
      <c r="CQ1252" s="0" t="s">
        <v>130</v>
      </c>
      <c r="CR1252" s="0" t="s">
        <v>130</v>
      </c>
      <c r="CS1252" s="0" t="s">
        <v>130</v>
      </c>
      <c r="CT1252" s="0" t="s">
        <v>3693</v>
      </c>
    </row>
    <row r="1253">
      <c r="A1253" s="14">
        <v>1475463</v>
      </c>
      <c r="B1253" s="0" t="s">
        <v>3694</v>
      </c>
      <c r="C1253" s="16">
        <f>HYPERLINK("https://eosportal.federatedhermes.com/companies/Q29tcGFueQppODU4OTA=", "Experian PLC")</f>
      </c>
      <c r="D1253" s="0" t="s">
        <v>25</v>
      </c>
      <c r="E1253" s="0" t="s">
        <v>912</v>
      </c>
      <c r="F1253" s="16">
        <f>HYPERLINK("https://eosportal.federatedhermes.com/engagements/RW5nYWdlbWVudAppMjYzMjM=", "Executive remuneration")</f>
      </c>
      <c r="G1253" s="14" t="s">
        <v>3695</v>
      </c>
      <c r="H1253" s="0" t="s">
        <v>130</v>
      </c>
      <c r="I1253" s="14" t="s">
        <v>319</v>
      </c>
      <c r="J1253" s="0" t="s">
        <v>145</v>
      </c>
      <c r="K1253" s="0" t="s">
        <v>146</v>
      </c>
      <c r="L1253" s="0" t="s">
        <v>147</v>
      </c>
      <c r="M1253" s="0" t="s">
        <v>378</v>
      </c>
      <c r="N1253" s="0" t="s">
        <v>409</v>
      </c>
      <c r="O1253" s="0" t="s">
        <v>176</v>
      </c>
      <c r="Q1253" s="0" t="s">
        <v>130</v>
      </c>
      <c r="R1253" s="0" t="s">
        <v>138</v>
      </c>
      <c r="S1253" s="14">
        <v>0</v>
      </c>
      <c r="T1253" s="0" t="s">
        <v>314</v>
      </c>
      <c r="U1253" s="0" t="s">
        <v>138</v>
      </c>
      <c r="V1253" s="14" t="s">
        <v>138</v>
      </c>
      <c r="W1253" s="0" t="s">
        <v>138</v>
      </c>
      <c r="X1253" s="14" t="s">
        <v>138</v>
      </c>
      <c r="Y1253" s="0" t="s">
        <v>138</v>
      </c>
      <c r="Z1253" s="14" t="s">
        <v>138</v>
      </c>
      <c r="AA1253" s="0" t="s">
        <v>138</v>
      </c>
      <c r="AB1253" s="14" t="s">
        <v>138</v>
      </c>
      <c r="AD1253" s="0" t="s">
        <v>138</v>
      </c>
      <c r="AF1253" s="0">
        <v>0</v>
      </c>
      <c r="AG1253" s="0">
        <v>0</v>
      </c>
      <c r="AH1253" s="0" t="s">
        <v>140</v>
      </c>
      <c r="AI1253" s="0" t="s">
        <v>138</v>
      </c>
      <c r="AL1253" s="14"/>
      <c r="AN1253" s="14"/>
      <c r="AQ1253" s="0" t="s">
        <v>130</v>
      </c>
      <c r="AR1253" s="0" t="s">
        <v>130</v>
      </c>
      <c r="AS1253" s="0" t="s">
        <v>130</v>
      </c>
      <c r="AT1253" s="0" t="s">
        <v>130</v>
      </c>
      <c r="AU1253" s="0" t="s">
        <v>130</v>
      </c>
      <c r="AV1253" s="0" t="s">
        <v>130</v>
      </c>
      <c r="AW1253" s="0" t="s">
        <v>130</v>
      </c>
      <c r="AX1253" s="0" t="s">
        <v>130</v>
      </c>
      <c r="AY1253" s="0" t="s">
        <v>130</v>
      </c>
      <c r="AZ1253" s="0" t="s">
        <v>130</v>
      </c>
      <c r="BA1253" s="0" t="s">
        <v>130</v>
      </c>
      <c r="BB1253" s="0" t="s">
        <v>130</v>
      </c>
      <c r="BC1253" s="0" t="s">
        <v>130</v>
      </c>
      <c r="BD1253" s="0" t="s">
        <v>130</v>
      </c>
      <c r="BE1253" s="0" t="s">
        <v>130</v>
      </c>
      <c r="BF1253" s="0" t="s">
        <v>130</v>
      </c>
      <c r="BG1253" s="0" t="s">
        <v>130</v>
      </c>
      <c r="BH1253" s="0" t="s">
        <v>130</v>
      </c>
      <c r="BI1253" s="0" t="s">
        <v>130</v>
      </c>
      <c r="BJ1253" s="0" t="s">
        <v>130</v>
      </c>
      <c r="BK1253" s="0" t="s">
        <v>130</v>
      </c>
      <c r="BL1253" s="0" t="s">
        <v>130</v>
      </c>
      <c r="BM1253" s="0" t="s">
        <v>130</v>
      </c>
      <c r="BN1253" s="0" t="s">
        <v>130</v>
      </c>
      <c r="BO1253" s="0" t="s">
        <v>130</v>
      </c>
      <c r="BP1253" s="0" t="s">
        <v>130</v>
      </c>
      <c r="BQ1253" s="0" t="s">
        <v>130</v>
      </c>
      <c r="BR1253" s="0" t="s">
        <v>130</v>
      </c>
      <c r="BS1253" s="0" t="s">
        <v>130</v>
      </c>
      <c r="BT1253" s="0" t="s">
        <v>130</v>
      </c>
      <c r="BU1253" s="0" t="s">
        <v>130</v>
      </c>
      <c r="BV1253" s="0" t="s">
        <v>130</v>
      </c>
      <c r="BW1253" s="0" t="s">
        <v>130</v>
      </c>
      <c r="BX1253" s="0" t="s">
        <v>130</v>
      </c>
      <c r="BY1253" s="0" t="s">
        <v>130</v>
      </c>
      <c r="BZ1253" s="0" t="s">
        <v>130</v>
      </c>
      <c r="CA1253" s="0" t="s">
        <v>130</v>
      </c>
      <c r="CB1253" s="0" t="s">
        <v>130</v>
      </c>
      <c r="CC1253" s="0" t="s">
        <v>130</v>
      </c>
      <c r="CD1253" s="0" t="s">
        <v>130</v>
      </c>
      <c r="CE1253" s="0" t="s">
        <v>130</v>
      </c>
      <c r="CF1253" s="0" t="s">
        <v>130</v>
      </c>
      <c r="CG1253" s="0" t="s">
        <v>130</v>
      </c>
      <c r="CH1253" s="0" t="s">
        <v>130</v>
      </c>
      <c r="CI1253" s="0" t="s">
        <v>130</v>
      </c>
      <c r="CJ1253" s="0" t="s">
        <v>130</v>
      </c>
      <c r="CK1253" s="0" t="s">
        <v>130</v>
      </c>
      <c r="CL1253" s="0" t="s">
        <v>130</v>
      </c>
      <c r="CM1253" s="0" t="s">
        <v>130</v>
      </c>
      <c r="CN1253" s="0" t="s">
        <v>130</v>
      </c>
      <c r="CO1253" s="0" t="s">
        <v>130</v>
      </c>
      <c r="CP1253" s="0" t="s">
        <v>130</v>
      </c>
      <c r="CQ1253" s="0" t="s">
        <v>130</v>
      </c>
      <c r="CR1253" s="0" t="s">
        <v>130</v>
      </c>
      <c r="CS1253" s="0" t="s">
        <v>130</v>
      </c>
      <c r="CT1253" s="0" t="s">
        <v>3696</v>
      </c>
    </row>
    <row r="1254">
      <c r="A1254" s="14">
        <v>344500</v>
      </c>
      <c r="B1254" s="0" t="s">
        <v>3697</v>
      </c>
      <c r="C1254" s="16">
        <f>HYPERLINK("https://eosportal.federatedhermes.com/companies/Q29tcGFueQppNjY1MDA=", "Republic Services Inc")</f>
      </c>
      <c r="D1254" s="0" t="s">
        <v>25</v>
      </c>
      <c r="E1254" s="0" t="s">
        <v>3698</v>
      </c>
      <c r="F1254" s="16">
        <f>HYPERLINK("https://eosportal.federatedhermes.com/engagements/RW5nYWdlbWVudAppMjYzODQ=", "Encourage better remuneration practice")</f>
      </c>
      <c r="G1254" s="14" t="s">
        <v>3699</v>
      </c>
      <c r="H1254" s="0" t="s">
        <v>130</v>
      </c>
      <c r="I1254" s="14" t="s">
        <v>319</v>
      </c>
      <c r="J1254" s="0" t="s">
        <v>145</v>
      </c>
      <c r="K1254" s="0" t="s">
        <v>146</v>
      </c>
      <c r="L1254" s="0" t="s">
        <v>147</v>
      </c>
      <c r="M1254" s="0" t="s">
        <v>135</v>
      </c>
      <c r="N1254" s="0" t="s">
        <v>136</v>
      </c>
      <c r="O1254" s="0" t="s">
        <v>176</v>
      </c>
      <c r="Q1254" s="0" t="s">
        <v>130</v>
      </c>
      <c r="R1254" s="0" t="s">
        <v>138</v>
      </c>
      <c r="S1254" s="14">
        <v>0</v>
      </c>
      <c r="T1254" s="0" t="s">
        <v>181</v>
      </c>
      <c r="U1254" s="0" t="s">
        <v>138</v>
      </c>
      <c r="V1254" s="14" t="s">
        <v>138</v>
      </c>
      <c r="W1254" s="0" t="s">
        <v>138</v>
      </c>
      <c r="X1254" s="14" t="s">
        <v>138</v>
      </c>
      <c r="Y1254" s="0" t="s">
        <v>138</v>
      </c>
      <c r="Z1254" s="14" t="s">
        <v>138</v>
      </c>
      <c r="AA1254" s="0" t="s">
        <v>138</v>
      </c>
      <c r="AB1254" s="14" t="s">
        <v>138</v>
      </c>
      <c r="AD1254" s="0" t="s">
        <v>138</v>
      </c>
      <c r="AF1254" s="0">
        <v>0</v>
      </c>
      <c r="AG1254" s="0">
        <v>0</v>
      </c>
      <c r="AH1254" s="0" t="s">
        <v>140</v>
      </c>
      <c r="AI1254" s="0" t="s">
        <v>138</v>
      </c>
      <c r="AL1254" s="14"/>
      <c r="AN1254" s="14"/>
      <c r="AQ1254" s="0" t="s">
        <v>130</v>
      </c>
      <c r="AR1254" s="0" t="s">
        <v>130</v>
      </c>
      <c r="AS1254" s="0" t="s">
        <v>130</v>
      </c>
      <c r="AT1254" s="0" t="s">
        <v>130</v>
      </c>
      <c r="AU1254" s="0" t="s">
        <v>130</v>
      </c>
      <c r="AV1254" s="0" t="s">
        <v>130</v>
      </c>
      <c r="AW1254" s="0" t="s">
        <v>130</v>
      </c>
      <c r="AX1254" s="0" t="s">
        <v>130</v>
      </c>
      <c r="AY1254" s="0" t="s">
        <v>130</v>
      </c>
      <c r="AZ1254" s="0" t="s">
        <v>130</v>
      </c>
      <c r="BA1254" s="0" t="s">
        <v>130</v>
      </c>
      <c r="BB1254" s="0" t="s">
        <v>130</v>
      </c>
      <c r="BC1254" s="0" t="s">
        <v>130</v>
      </c>
      <c r="BD1254" s="0" t="s">
        <v>130</v>
      </c>
      <c r="BE1254" s="0" t="s">
        <v>130</v>
      </c>
      <c r="BF1254" s="0" t="s">
        <v>130</v>
      </c>
      <c r="BG1254" s="0" t="s">
        <v>130</v>
      </c>
      <c r="BH1254" s="0" t="s">
        <v>130</v>
      </c>
      <c r="BI1254" s="0" t="s">
        <v>130</v>
      </c>
      <c r="BJ1254" s="0" t="s">
        <v>130</v>
      </c>
      <c r="BK1254" s="0" t="s">
        <v>130</v>
      </c>
      <c r="BL1254" s="0" t="s">
        <v>130</v>
      </c>
      <c r="BM1254" s="0" t="s">
        <v>130</v>
      </c>
      <c r="BN1254" s="0" t="s">
        <v>130</v>
      </c>
      <c r="BO1254" s="0" t="s">
        <v>130</v>
      </c>
      <c r="BP1254" s="0" t="s">
        <v>130</v>
      </c>
      <c r="BQ1254" s="0" t="s">
        <v>130</v>
      </c>
      <c r="BR1254" s="0" t="s">
        <v>130</v>
      </c>
      <c r="BS1254" s="0" t="s">
        <v>130</v>
      </c>
      <c r="BT1254" s="0" t="s">
        <v>130</v>
      </c>
      <c r="BU1254" s="0" t="s">
        <v>130</v>
      </c>
      <c r="BV1254" s="0" t="s">
        <v>130</v>
      </c>
      <c r="BW1254" s="0" t="s">
        <v>130</v>
      </c>
      <c r="BX1254" s="0" t="s">
        <v>130</v>
      </c>
      <c r="BY1254" s="0" t="s">
        <v>130</v>
      </c>
      <c r="BZ1254" s="0" t="s">
        <v>130</v>
      </c>
      <c r="CA1254" s="0" t="s">
        <v>130</v>
      </c>
      <c r="CB1254" s="0" t="s">
        <v>130</v>
      </c>
      <c r="CC1254" s="0" t="s">
        <v>130</v>
      </c>
      <c r="CD1254" s="0" t="s">
        <v>130</v>
      </c>
      <c r="CE1254" s="0" t="s">
        <v>130</v>
      </c>
      <c r="CF1254" s="0" t="s">
        <v>130</v>
      </c>
      <c r="CG1254" s="0" t="s">
        <v>130</v>
      </c>
      <c r="CH1254" s="0" t="s">
        <v>130</v>
      </c>
      <c r="CI1254" s="0" t="s">
        <v>130</v>
      </c>
      <c r="CJ1254" s="0" t="s">
        <v>130</v>
      </c>
      <c r="CK1254" s="0" t="s">
        <v>130</v>
      </c>
      <c r="CL1254" s="0" t="s">
        <v>130</v>
      </c>
      <c r="CM1254" s="0" t="s">
        <v>130</v>
      </c>
      <c r="CN1254" s="0" t="s">
        <v>130</v>
      </c>
      <c r="CO1254" s="0" t="s">
        <v>130</v>
      </c>
      <c r="CP1254" s="0" t="s">
        <v>130</v>
      </c>
      <c r="CQ1254" s="0" t="s">
        <v>130</v>
      </c>
      <c r="CR1254" s="0" t="s">
        <v>130</v>
      </c>
      <c r="CS1254" s="0" t="s">
        <v>130</v>
      </c>
      <c r="CT1254" s="0" t="s">
        <v>3700</v>
      </c>
    </row>
    <row r="1255">
      <c r="A1255" s="14">
        <v>1747817</v>
      </c>
      <c r="B1255" s="0" t="s">
        <v>3701</v>
      </c>
      <c r="C1255" s="16">
        <f>HYPERLINK("https://eosportal.federatedhermes.com/companies/Q29tcGFueQppNzQ3MjA=", "Axon Enterprise Inc")</f>
      </c>
      <c r="D1255" s="0" t="s">
        <v>25</v>
      </c>
      <c r="E1255" s="0" t="s">
        <v>3702</v>
      </c>
      <c r="F1255" s="16">
        <f>HYPERLINK("https://eosportal.federatedhermes.com/engagements/RW5nYWdlbWVudAppMjY0MjE=", "Classified Board")</f>
      </c>
      <c r="G1255" s="14" t="s">
        <v>3703</v>
      </c>
      <c r="H1255" s="0" t="s">
        <v>130</v>
      </c>
      <c r="I1255" s="14" t="s">
        <v>131</v>
      </c>
      <c r="J1255" s="0" t="s">
        <v>145</v>
      </c>
      <c r="K1255" s="0" t="s">
        <v>400</v>
      </c>
      <c r="L1255" s="0" t="s">
        <v>507</v>
      </c>
      <c r="M1255" s="0" t="s">
        <v>135</v>
      </c>
      <c r="N1255" s="0" t="s">
        <v>136</v>
      </c>
      <c r="O1255" s="0" t="s">
        <v>176</v>
      </c>
      <c r="Q1255" s="0" t="s">
        <v>130</v>
      </c>
      <c r="R1255" s="0" t="s">
        <v>138</v>
      </c>
      <c r="S1255" s="14">
        <v>0</v>
      </c>
      <c r="T1255" s="0" t="s">
        <v>355</v>
      </c>
      <c r="U1255" s="0" t="s">
        <v>138</v>
      </c>
      <c r="V1255" s="14" t="s">
        <v>138</v>
      </c>
      <c r="W1255" s="0" t="s">
        <v>138</v>
      </c>
      <c r="X1255" s="14" t="s">
        <v>138</v>
      </c>
      <c r="Y1255" s="0" t="s">
        <v>138</v>
      </c>
      <c r="Z1255" s="14" t="s">
        <v>138</v>
      </c>
      <c r="AA1255" s="0" t="s">
        <v>138</v>
      </c>
      <c r="AB1255" s="14" t="s">
        <v>138</v>
      </c>
      <c r="AD1255" s="0" t="s">
        <v>138</v>
      </c>
      <c r="AF1255" s="0">
        <v>0</v>
      </c>
      <c r="AG1255" s="0">
        <v>0</v>
      </c>
      <c r="AH1255" s="0" t="s">
        <v>140</v>
      </c>
      <c r="AI1255" s="0" t="s">
        <v>138</v>
      </c>
      <c r="AL1255" s="14"/>
      <c r="AN1255" s="14"/>
      <c r="AQ1255" s="0" t="s">
        <v>130</v>
      </c>
      <c r="AR1255" s="0" t="s">
        <v>130</v>
      </c>
      <c r="AS1255" s="0" t="s">
        <v>130</v>
      </c>
      <c r="AT1255" s="0" t="s">
        <v>130</v>
      </c>
      <c r="AU1255" s="0" t="s">
        <v>130</v>
      </c>
      <c r="AV1255" s="0" t="s">
        <v>130</v>
      </c>
      <c r="AW1255" s="0" t="s">
        <v>130</v>
      </c>
      <c r="AX1255" s="0" t="s">
        <v>130</v>
      </c>
      <c r="AY1255" s="0" t="s">
        <v>130</v>
      </c>
      <c r="AZ1255" s="0" t="s">
        <v>130</v>
      </c>
      <c r="BA1255" s="0" t="s">
        <v>130</v>
      </c>
      <c r="BB1255" s="0" t="s">
        <v>130</v>
      </c>
      <c r="BC1255" s="0" t="s">
        <v>130</v>
      </c>
      <c r="BD1255" s="0" t="s">
        <v>130</v>
      </c>
      <c r="BE1255" s="0" t="s">
        <v>130</v>
      </c>
      <c r="BF1255" s="0" t="s">
        <v>130</v>
      </c>
      <c r="BG1255" s="0" t="s">
        <v>130</v>
      </c>
      <c r="BH1255" s="0" t="s">
        <v>130</v>
      </c>
      <c r="BI1255" s="0" t="s">
        <v>130</v>
      </c>
      <c r="BJ1255" s="0" t="s">
        <v>130</v>
      </c>
      <c r="BK1255" s="0" t="s">
        <v>130</v>
      </c>
      <c r="BL1255" s="0" t="s">
        <v>130</v>
      </c>
      <c r="BM1255" s="0" t="s">
        <v>130</v>
      </c>
      <c r="BN1255" s="0" t="s">
        <v>130</v>
      </c>
      <c r="BO1255" s="0" t="s">
        <v>130</v>
      </c>
      <c r="BP1255" s="0" t="s">
        <v>130</v>
      </c>
      <c r="BQ1255" s="0" t="s">
        <v>130</v>
      </c>
      <c r="BR1255" s="0" t="s">
        <v>130</v>
      </c>
      <c r="BS1255" s="0" t="s">
        <v>130</v>
      </c>
      <c r="BT1255" s="0" t="s">
        <v>130</v>
      </c>
      <c r="BU1255" s="0" t="s">
        <v>130</v>
      </c>
      <c r="BV1255" s="0" t="s">
        <v>130</v>
      </c>
      <c r="BW1255" s="0" t="s">
        <v>130</v>
      </c>
      <c r="BX1255" s="0" t="s">
        <v>130</v>
      </c>
      <c r="BY1255" s="0" t="s">
        <v>130</v>
      </c>
      <c r="BZ1255" s="0" t="s">
        <v>130</v>
      </c>
      <c r="CA1255" s="0" t="s">
        <v>130</v>
      </c>
      <c r="CB1255" s="0" t="s">
        <v>130</v>
      </c>
      <c r="CC1255" s="0" t="s">
        <v>130</v>
      </c>
      <c r="CD1255" s="0" t="s">
        <v>130</v>
      </c>
      <c r="CE1255" s="0" t="s">
        <v>130</v>
      </c>
      <c r="CF1255" s="0" t="s">
        <v>130</v>
      </c>
      <c r="CG1255" s="0" t="s">
        <v>130</v>
      </c>
      <c r="CH1255" s="0" t="s">
        <v>130</v>
      </c>
      <c r="CI1255" s="0" t="s">
        <v>130</v>
      </c>
      <c r="CJ1255" s="0" t="s">
        <v>130</v>
      </c>
      <c r="CK1255" s="0" t="s">
        <v>130</v>
      </c>
      <c r="CL1255" s="0" t="s">
        <v>130</v>
      </c>
      <c r="CM1255" s="0" t="s">
        <v>130</v>
      </c>
      <c r="CN1255" s="0" t="s">
        <v>130</v>
      </c>
      <c r="CO1255" s="0" t="s">
        <v>130</v>
      </c>
      <c r="CP1255" s="0" t="s">
        <v>130</v>
      </c>
      <c r="CQ1255" s="0" t="s">
        <v>130</v>
      </c>
      <c r="CR1255" s="0" t="s">
        <v>130</v>
      </c>
      <c r="CS1255" s="0" t="s">
        <v>130</v>
      </c>
      <c r="CT1255" s="0" t="s">
        <v>3704</v>
      </c>
    </row>
    <row r="1256">
      <c r="A1256" s="14">
        <v>1750153</v>
      </c>
      <c r="B1256" s="0" t="s">
        <v>3705</v>
      </c>
      <c r="C1256" s="16">
        <f>HYPERLINK("https://eosportal.federatedhermes.com/companies/Q29tcGFueQppNzc5MjU=", "Mastercard Inc")</f>
      </c>
      <c r="D1256" s="0" t="s">
        <v>25</v>
      </c>
      <c r="E1256" s="0" t="s">
        <v>2208</v>
      </c>
      <c r="F1256" s="16">
        <f>HYPERLINK("https://eosportal.federatedhermes.com/engagements/RW5nYWdlbWVudAppMjY0NjM=", "Artificial intelligence")</f>
      </c>
      <c r="G1256" s="14" t="s">
        <v>3706</v>
      </c>
      <c r="H1256" s="0" t="s">
        <v>141</v>
      </c>
      <c r="I1256" s="14" t="s">
        <v>131</v>
      </c>
      <c r="J1256" s="0" t="s">
        <v>153</v>
      </c>
      <c r="K1256" s="0" t="s">
        <v>243</v>
      </c>
      <c r="L1256" s="0" t="s">
        <v>537</v>
      </c>
      <c r="M1256" s="0" t="s">
        <v>135</v>
      </c>
      <c r="N1256" s="0" t="s">
        <v>136</v>
      </c>
      <c r="O1256" s="0" t="s">
        <v>137</v>
      </c>
      <c r="Q1256" s="0" t="s">
        <v>141</v>
      </c>
      <c r="R1256" s="0" t="s">
        <v>138</v>
      </c>
      <c r="S1256" s="14">
        <v>2</v>
      </c>
      <c r="T1256" s="0" t="s">
        <v>148</v>
      </c>
      <c r="U1256" s="0" t="s">
        <v>138</v>
      </c>
      <c r="V1256" s="14" t="s">
        <v>138</v>
      </c>
      <c r="W1256" s="0" t="s">
        <v>138</v>
      </c>
      <c r="X1256" s="14" t="s">
        <v>138</v>
      </c>
      <c r="Y1256" s="0" t="s">
        <v>138</v>
      </c>
      <c r="Z1256" s="14" t="s">
        <v>138</v>
      </c>
      <c r="AA1256" s="0" t="s">
        <v>138</v>
      </c>
      <c r="AB1256" s="14" t="s">
        <v>138</v>
      </c>
      <c r="AD1256" s="0" t="s">
        <v>138</v>
      </c>
      <c r="AF1256" s="0">
        <v>0</v>
      </c>
      <c r="AG1256" s="0">
        <v>0</v>
      </c>
      <c r="AH1256" s="0" t="s">
        <v>140</v>
      </c>
      <c r="AI1256" s="0" t="s">
        <v>138</v>
      </c>
      <c r="AK1256" s="0" t="s">
        <v>1470</v>
      </c>
      <c r="AL1256" s="14"/>
      <c r="AN1256" s="14"/>
      <c r="AQ1256" s="0" t="s">
        <v>130</v>
      </c>
      <c r="AR1256" s="0" t="s">
        <v>130</v>
      </c>
      <c r="AS1256" s="0" t="s">
        <v>130</v>
      </c>
      <c r="AT1256" s="0" t="s">
        <v>130</v>
      </c>
      <c r="AU1256" s="0" t="s">
        <v>130</v>
      </c>
      <c r="AV1256" s="0" t="s">
        <v>130</v>
      </c>
      <c r="AW1256" s="0" t="s">
        <v>130</v>
      </c>
      <c r="AX1256" s="0" t="s">
        <v>130</v>
      </c>
      <c r="AY1256" s="0" t="s">
        <v>130</v>
      </c>
      <c r="AZ1256" s="0" t="s">
        <v>141</v>
      </c>
      <c r="BA1256" s="0" t="s">
        <v>130</v>
      </c>
      <c r="BB1256" s="0" t="s">
        <v>130</v>
      </c>
      <c r="BC1256" s="0" t="s">
        <v>130</v>
      </c>
      <c r="BD1256" s="0" t="s">
        <v>130</v>
      </c>
      <c r="BE1256" s="0" t="s">
        <v>130</v>
      </c>
      <c r="BF1256" s="0" t="s">
        <v>141</v>
      </c>
      <c r="BG1256" s="0" t="s">
        <v>130</v>
      </c>
      <c r="BH1256" s="0" t="s">
        <v>130</v>
      </c>
      <c r="BI1256" s="0" t="s">
        <v>130</v>
      </c>
      <c r="BJ1256" s="0" t="s">
        <v>130</v>
      </c>
      <c r="BK1256" s="0" t="s">
        <v>130</v>
      </c>
      <c r="BL1256" s="0" t="s">
        <v>130</v>
      </c>
      <c r="BM1256" s="0" t="s">
        <v>130</v>
      </c>
      <c r="BN1256" s="0" t="s">
        <v>130</v>
      </c>
      <c r="BO1256" s="0" t="s">
        <v>130</v>
      </c>
      <c r="BP1256" s="0" t="s">
        <v>130</v>
      </c>
      <c r="BQ1256" s="0" t="s">
        <v>130</v>
      </c>
      <c r="BR1256" s="0" t="s">
        <v>130</v>
      </c>
      <c r="BS1256" s="0" t="s">
        <v>130</v>
      </c>
      <c r="BT1256" s="0" t="s">
        <v>130</v>
      </c>
      <c r="BU1256" s="0" t="s">
        <v>130</v>
      </c>
      <c r="BV1256" s="0" t="s">
        <v>130</v>
      </c>
      <c r="BW1256" s="0" t="s">
        <v>130</v>
      </c>
      <c r="BX1256" s="0" t="s">
        <v>130</v>
      </c>
      <c r="BY1256" s="0" t="s">
        <v>130</v>
      </c>
      <c r="BZ1256" s="0" t="s">
        <v>130</v>
      </c>
      <c r="CA1256" s="0" t="s">
        <v>130</v>
      </c>
      <c r="CB1256" s="0" t="s">
        <v>130</v>
      </c>
      <c r="CC1256" s="0" t="s">
        <v>130</v>
      </c>
      <c r="CD1256" s="0" t="s">
        <v>130</v>
      </c>
      <c r="CE1256" s="0" t="s">
        <v>130</v>
      </c>
      <c r="CF1256" s="0" t="s">
        <v>130</v>
      </c>
      <c r="CG1256" s="0" t="s">
        <v>130</v>
      </c>
      <c r="CH1256" s="0" t="s">
        <v>130</v>
      </c>
      <c r="CI1256" s="0" t="s">
        <v>130</v>
      </c>
      <c r="CJ1256" s="0" t="s">
        <v>130</v>
      </c>
      <c r="CK1256" s="0" t="s">
        <v>130</v>
      </c>
      <c r="CL1256" s="0" t="s">
        <v>130</v>
      </c>
      <c r="CM1256" s="0" t="s">
        <v>130</v>
      </c>
      <c r="CN1256" s="0" t="s">
        <v>130</v>
      </c>
      <c r="CO1256" s="0" t="s">
        <v>130</v>
      </c>
      <c r="CP1256" s="0" t="s">
        <v>130</v>
      </c>
      <c r="CQ1256" s="0" t="s">
        <v>130</v>
      </c>
      <c r="CR1256" s="0" t="s">
        <v>130</v>
      </c>
      <c r="CS1256" s="0" t="s">
        <v>130</v>
      </c>
      <c r="CT1256" s="0" t="s">
        <v>3707</v>
      </c>
    </row>
    <row r="1257">
      <c r="A1257" s="14">
        <v>1750153</v>
      </c>
      <c r="B1257" s="0" t="s">
        <v>3705</v>
      </c>
      <c r="C1257" s="16">
        <f>HYPERLINK("https://eosportal.federatedhermes.com/companies/Q29tcGFueQppNzc5MjU=", "Mastercard Inc")</f>
      </c>
      <c r="D1257" s="0" t="s">
        <v>25</v>
      </c>
      <c r="E1257" s="0" t="s">
        <v>3708</v>
      </c>
      <c r="F1257" s="16">
        <f>HYPERLINK("https://eosportal.federatedhermes.com/engagements/RW5nYWdlbWVudAppMjY0NjQ=", "Human rights in high risk regions")</f>
      </c>
      <c r="G1257" s="14" t="s">
        <v>3709</v>
      </c>
      <c r="H1257" s="0" t="s">
        <v>141</v>
      </c>
      <c r="I1257" s="14" t="s">
        <v>131</v>
      </c>
      <c r="J1257" s="0" t="s">
        <v>153</v>
      </c>
      <c r="K1257" s="0" t="s">
        <v>243</v>
      </c>
      <c r="L1257" s="0" t="s">
        <v>456</v>
      </c>
      <c r="M1257" s="0" t="s">
        <v>135</v>
      </c>
      <c r="N1257" s="0" t="s">
        <v>136</v>
      </c>
      <c r="O1257" s="0" t="s">
        <v>137</v>
      </c>
      <c r="Q1257" s="0" t="s">
        <v>130</v>
      </c>
      <c r="R1257" s="0" t="s">
        <v>138</v>
      </c>
      <c r="S1257" s="14">
        <v>0</v>
      </c>
      <c r="T1257" s="0" t="s">
        <v>139</v>
      </c>
      <c r="U1257" s="0" t="s">
        <v>138</v>
      </c>
      <c r="V1257" s="14" t="s">
        <v>138</v>
      </c>
      <c r="W1257" s="0" t="s">
        <v>138</v>
      </c>
      <c r="X1257" s="14" t="s">
        <v>138</v>
      </c>
      <c r="Y1257" s="0" t="s">
        <v>138</v>
      </c>
      <c r="Z1257" s="14" t="s">
        <v>138</v>
      </c>
      <c r="AA1257" s="0" t="s">
        <v>138</v>
      </c>
      <c r="AB1257" s="14" t="s">
        <v>138</v>
      </c>
      <c r="AD1257" s="0" t="s">
        <v>138</v>
      </c>
      <c r="AF1257" s="0">
        <v>0</v>
      </c>
      <c r="AG1257" s="0">
        <v>0</v>
      </c>
      <c r="AH1257" s="0" t="s">
        <v>140</v>
      </c>
      <c r="AI1257" s="0" t="s">
        <v>138</v>
      </c>
      <c r="AL1257" s="14"/>
      <c r="AN1257" s="14"/>
      <c r="AQ1257" s="0" t="s">
        <v>130</v>
      </c>
      <c r="AR1257" s="0" t="s">
        <v>130</v>
      </c>
      <c r="AS1257" s="0" t="s">
        <v>130</v>
      </c>
      <c r="AT1257" s="0" t="s">
        <v>130</v>
      </c>
      <c r="AU1257" s="0" t="s">
        <v>130</v>
      </c>
      <c r="AV1257" s="0" t="s">
        <v>130</v>
      </c>
      <c r="AW1257" s="0" t="s">
        <v>130</v>
      </c>
      <c r="AX1257" s="0" t="s">
        <v>141</v>
      </c>
      <c r="AY1257" s="0" t="s">
        <v>130</v>
      </c>
      <c r="AZ1257" s="0" t="s">
        <v>130</v>
      </c>
      <c r="BA1257" s="0" t="s">
        <v>130</v>
      </c>
      <c r="BB1257" s="0" t="s">
        <v>130</v>
      </c>
      <c r="BC1257" s="0" t="s">
        <v>130</v>
      </c>
      <c r="BD1257" s="0" t="s">
        <v>130</v>
      </c>
      <c r="BE1257" s="0" t="s">
        <v>130</v>
      </c>
      <c r="BF1257" s="0" t="s">
        <v>141</v>
      </c>
      <c r="BG1257" s="0" t="s">
        <v>130</v>
      </c>
      <c r="BH1257" s="0" t="s">
        <v>130</v>
      </c>
      <c r="BI1257" s="0" t="s">
        <v>130</v>
      </c>
      <c r="BJ1257" s="0" t="s">
        <v>130</v>
      </c>
      <c r="BK1257" s="0" t="s">
        <v>130</v>
      </c>
      <c r="BL1257" s="0" t="s">
        <v>130</v>
      </c>
      <c r="BM1257" s="0" t="s">
        <v>130</v>
      </c>
      <c r="BN1257" s="0" t="s">
        <v>130</v>
      </c>
      <c r="BO1257" s="0" t="s">
        <v>130</v>
      </c>
      <c r="BP1257" s="0" t="s">
        <v>130</v>
      </c>
      <c r="BQ1257" s="0" t="s">
        <v>130</v>
      </c>
      <c r="BR1257" s="0" t="s">
        <v>130</v>
      </c>
      <c r="BS1257" s="0" t="s">
        <v>130</v>
      </c>
      <c r="BT1257" s="0" t="s">
        <v>130</v>
      </c>
      <c r="BU1257" s="0" t="s">
        <v>130</v>
      </c>
      <c r="BV1257" s="0" t="s">
        <v>130</v>
      </c>
      <c r="BW1257" s="0" t="s">
        <v>130</v>
      </c>
      <c r="BX1257" s="0" t="s">
        <v>130</v>
      </c>
      <c r="BY1257" s="0" t="s">
        <v>130</v>
      </c>
      <c r="BZ1257" s="0" t="s">
        <v>130</v>
      </c>
      <c r="CA1257" s="0" t="s">
        <v>130</v>
      </c>
      <c r="CB1257" s="0" t="s">
        <v>130</v>
      </c>
      <c r="CC1257" s="0" t="s">
        <v>130</v>
      </c>
      <c r="CD1257" s="0" t="s">
        <v>130</v>
      </c>
      <c r="CE1257" s="0" t="s">
        <v>130</v>
      </c>
      <c r="CF1257" s="0" t="s">
        <v>130</v>
      </c>
      <c r="CG1257" s="0" t="s">
        <v>130</v>
      </c>
      <c r="CH1257" s="0" t="s">
        <v>130</v>
      </c>
      <c r="CI1257" s="0" t="s">
        <v>130</v>
      </c>
      <c r="CJ1257" s="0" t="s">
        <v>130</v>
      </c>
      <c r="CK1257" s="0" t="s">
        <v>130</v>
      </c>
      <c r="CL1257" s="0" t="s">
        <v>130</v>
      </c>
      <c r="CM1257" s="0" t="s">
        <v>130</v>
      </c>
      <c r="CN1257" s="0" t="s">
        <v>130</v>
      </c>
      <c r="CO1257" s="0" t="s">
        <v>130</v>
      </c>
      <c r="CP1257" s="0" t="s">
        <v>130</v>
      </c>
      <c r="CQ1257" s="0" t="s">
        <v>130</v>
      </c>
      <c r="CR1257" s="0" t="s">
        <v>130</v>
      </c>
      <c r="CS1257" s="0" t="s">
        <v>130</v>
      </c>
      <c r="CT1257" s="0" t="s">
        <v>3710</v>
      </c>
    </row>
    <row r="1258">
      <c r="A1258" s="14">
        <v>1750153</v>
      </c>
      <c r="B1258" s="0" t="s">
        <v>3705</v>
      </c>
      <c r="C1258" s="16">
        <f>HYPERLINK("https://eosportal.federatedhermes.com/companies/Q29tcGFueQppNzc5MjU=", "Mastercard Inc")</f>
      </c>
      <c r="D1258" s="0" t="s">
        <v>25</v>
      </c>
      <c r="E1258" s="0" t="s">
        <v>3711</v>
      </c>
      <c r="F1258" s="16">
        <f>HYPERLINK("https://eosportal.federatedhermes.com/engagements/RW5nYWdlbWVudAppMjY0NjU=", "Controversy linked to General OECD Issue - Anti Competitive Practices")</f>
      </c>
      <c r="G1258" s="14" t="s">
        <v>3712</v>
      </c>
      <c r="H1258" s="0" t="s">
        <v>141</v>
      </c>
      <c r="I1258" s="14" t="s">
        <v>131</v>
      </c>
      <c r="J1258" s="0" t="s">
        <v>132</v>
      </c>
      <c r="K1258" s="0" t="s">
        <v>260</v>
      </c>
      <c r="L1258" s="0" t="s">
        <v>261</v>
      </c>
      <c r="M1258" s="0" t="s">
        <v>135</v>
      </c>
      <c r="N1258" s="0" t="s">
        <v>136</v>
      </c>
      <c r="O1258" s="0" t="s">
        <v>137</v>
      </c>
      <c r="Q1258" s="0" t="s">
        <v>130</v>
      </c>
      <c r="R1258" s="0" t="s">
        <v>138</v>
      </c>
      <c r="S1258" s="14">
        <v>0</v>
      </c>
      <c r="T1258" s="0" t="s">
        <v>710</v>
      </c>
      <c r="U1258" s="0" t="s">
        <v>138</v>
      </c>
      <c r="V1258" s="14" t="s">
        <v>138</v>
      </c>
      <c r="W1258" s="0" t="s">
        <v>138</v>
      </c>
      <c r="X1258" s="14" t="s">
        <v>138</v>
      </c>
      <c r="Y1258" s="0" t="s">
        <v>138</v>
      </c>
      <c r="Z1258" s="14" t="s">
        <v>138</v>
      </c>
      <c r="AA1258" s="0" t="s">
        <v>138</v>
      </c>
      <c r="AB1258" s="14" t="s">
        <v>138</v>
      </c>
      <c r="AD1258" s="0" t="s">
        <v>138</v>
      </c>
      <c r="AF1258" s="0">
        <v>0</v>
      </c>
      <c r="AG1258" s="0">
        <v>0</v>
      </c>
      <c r="AH1258" s="0" t="s">
        <v>140</v>
      </c>
      <c r="AI1258" s="0" t="s">
        <v>138</v>
      </c>
      <c r="AL1258" s="14"/>
      <c r="AN1258" s="14"/>
      <c r="AQ1258" s="0" t="s">
        <v>130</v>
      </c>
      <c r="AR1258" s="0" t="s">
        <v>130</v>
      </c>
      <c r="AS1258" s="0" t="s">
        <v>130</v>
      </c>
      <c r="AT1258" s="0" t="s">
        <v>130</v>
      </c>
      <c r="AU1258" s="0" t="s">
        <v>130</v>
      </c>
      <c r="AV1258" s="0" t="s">
        <v>130</v>
      </c>
      <c r="AW1258" s="0" t="s">
        <v>130</v>
      </c>
      <c r="AX1258" s="0" t="s">
        <v>130</v>
      </c>
      <c r="AY1258" s="0" t="s">
        <v>130</v>
      </c>
      <c r="AZ1258" s="0" t="s">
        <v>130</v>
      </c>
      <c r="BA1258" s="0" t="s">
        <v>130</v>
      </c>
      <c r="BB1258" s="0" t="s">
        <v>130</v>
      </c>
      <c r="BC1258" s="0" t="s">
        <v>130</v>
      </c>
      <c r="BD1258" s="0" t="s">
        <v>130</v>
      </c>
      <c r="BE1258" s="0" t="s">
        <v>130</v>
      </c>
      <c r="BF1258" s="0" t="s">
        <v>130</v>
      </c>
      <c r="BG1258" s="0" t="s">
        <v>130</v>
      </c>
      <c r="BH1258" s="0" t="s">
        <v>130</v>
      </c>
      <c r="BI1258" s="0" t="s">
        <v>130</v>
      </c>
      <c r="BJ1258" s="0" t="s">
        <v>130</v>
      </c>
      <c r="BK1258" s="0" t="s">
        <v>130</v>
      </c>
      <c r="BL1258" s="0" t="s">
        <v>130</v>
      </c>
      <c r="BM1258" s="0" t="s">
        <v>130</v>
      </c>
      <c r="BN1258" s="0" t="s">
        <v>130</v>
      </c>
      <c r="BO1258" s="0" t="s">
        <v>130</v>
      </c>
      <c r="BP1258" s="0" t="s">
        <v>141</v>
      </c>
      <c r="BQ1258" s="0" t="s">
        <v>130</v>
      </c>
      <c r="BR1258" s="0" t="s">
        <v>130</v>
      </c>
      <c r="BS1258" s="0" t="s">
        <v>130</v>
      </c>
      <c r="BT1258" s="0" t="s">
        <v>130</v>
      </c>
      <c r="BU1258" s="0" t="s">
        <v>130</v>
      </c>
      <c r="BV1258" s="0" t="s">
        <v>130</v>
      </c>
      <c r="BW1258" s="0" t="s">
        <v>130</v>
      </c>
      <c r="BX1258" s="0" t="s">
        <v>130</v>
      </c>
      <c r="BY1258" s="0" t="s">
        <v>130</v>
      </c>
      <c r="BZ1258" s="0" t="s">
        <v>130</v>
      </c>
      <c r="CA1258" s="0" t="s">
        <v>130</v>
      </c>
      <c r="CB1258" s="0" t="s">
        <v>130</v>
      </c>
      <c r="CC1258" s="0" t="s">
        <v>130</v>
      </c>
      <c r="CD1258" s="0" t="s">
        <v>130</v>
      </c>
      <c r="CE1258" s="0" t="s">
        <v>130</v>
      </c>
      <c r="CF1258" s="0" t="s">
        <v>130</v>
      </c>
      <c r="CG1258" s="0" t="s">
        <v>130</v>
      </c>
      <c r="CH1258" s="0" t="s">
        <v>130</v>
      </c>
      <c r="CI1258" s="0" t="s">
        <v>130</v>
      </c>
      <c r="CJ1258" s="0" t="s">
        <v>130</v>
      </c>
      <c r="CK1258" s="0" t="s">
        <v>130</v>
      </c>
      <c r="CL1258" s="0" t="s">
        <v>130</v>
      </c>
      <c r="CM1258" s="0" t="s">
        <v>130</v>
      </c>
      <c r="CN1258" s="0" t="s">
        <v>130</v>
      </c>
      <c r="CO1258" s="0" t="s">
        <v>130</v>
      </c>
      <c r="CP1258" s="0" t="s">
        <v>130</v>
      </c>
      <c r="CQ1258" s="0" t="s">
        <v>130</v>
      </c>
      <c r="CR1258" s="0" t="s">
        <v>130</v>
      </c>
      <c r="CS1258" s="0" t="s">
        <v>130</v>
      </c>
      <c r="CT1258" s="0" t="s">
        <v>3713</v>
      </c>
    </row>
    <row r="1259">
      <c r="A1259" s="14">
        <v>1750153</v>
      </c>
      <c r="B1259" s="0" t="s">
        <v>3705</v>
      </c>
      <c r="C1259" s="16">
        <f>HYPERLINK("https://eosportal.federatedhermes.com/companies/Q29tcGFueQppNzc5MjU=", "Mastercard Inc")</f>
      </c>
      <c r="D1259" s="0" t="s">
        <v>25</v>
      </c>
      <c r="E1259" s="0" t="s">
        <v>143</v>
      </c>
      <c r="F1259" s="16">
        <f>HYPERLINK("https://eosportal.federatedhermes.com/engagements/RW5nYWdlbWVudAppMjY0NjY=", "Executive compensation")</f>
      </c>
      <c r="G1259" s="14" t="s">
        <v>3714</v>
      </c>
      <c r="H1259" s="0" t="s">
        <v>141</v>
      </c>
      <c r="I1259" s="14" t="s">
        <v>131</v>
      </c>
      <c r="J1259" s="0" t="s">
        <v>145</v>
      </c>
      <c r="K1259" s="0" t="s">
        <v>146</v>
      </c>
      <c r="L1259" s="0" t="s">
        <v>147</v>
      </c>
      <c r="M1259" s="0" t="s">
        <v>135</v>
      </c>
      <c r="N1259" s="0" t="s">
        <v>136</v>
      </c>
      <c r="O1259" s="0" t="s">
        <v>137</v>
      </c>
      <c r="Q1259" s="0" t="s">
        <v>130</v>
      </c>
      <c r="R1259" s="0" t="s">
        <v>138</v>
      </c>
      <c r="S1259" s="14">
        <v>0</v>
      </c>
      <c r="T1259" s="0" t="s">
        <v>166</v>
      </c>
      <c r="U1259" s="0" t="s">
        <v>138</v>
      </c>
      <c r="V1259" s="14" t="s">
        <v>138</v>
      </c>
      <c r="W1259" s="0" t="s">
        <v>138</v>
      </c>
      <c r="X1259" s="14" t="s">
        <v>138</v>
      </c>
      <c r="Y1259" s="0" t="s">
        <v>138</v>
      </c>
      <c r="Z1259" s="14" t="s">
        <v>138</v>
      </c>
      <c r="AA1259" s="0" t="s">
        <v>138</v>
      </c>
      <c r="AB1259" s="14" t="s">
        <v>138</v>
      </c>
      <c r="AD1259" s="0" t="s">
        <v>138</v>
      </c>
      <c r="AF1259" s="0">
        <v>0</v>
      </c>
      <c r="AG1259" s="0">
        <v>0</v>
      </c>
      <c r="AH1259" s="0" t="s">
        <v>140</v>
      </c>
      <c r="AI1259" s="0" t="s">
        <v>138</v>
      </c>
      <c r="AL1259" s="14"/>
      <c r="AN1259" s="14"/>
      <c r="AQ1259" s="0" t="s">
        <v>130</v>
      </c>
      <c r="AR1259" s="0" t="s">
        <v>130</v>
      </c>
      <c r="AS1259" s="0" t="s">
        <v>130</v>
      </c>
      <c r="AT1259" s="0" t="s">
        <v>130</v>
      </c>
      <c r="AU1259" s="0" t="s">
        <v>130</v>
      </c>
      <c r="AV1259" s="0" t="s">
        <v>130</v>
      </c>
      <c r="AW1259" s="0" t="s">
        <v>130</v>
      </c>
      <c r="AX1259" s="0" t="s">
        <v>130</v>
      </c>
      <c r="AY1259" s="0" t="s">
        <v>130</v>
      </c>
      <c r="AZ1259" s="0" t="s">
        <v>130</v>
      </c>
      <c r="BA1259" s="0" t="s">
        <v>130</v>
      </c>
      <c r="BB1259" s="0" t="s">
        <v>130</v>
      </c>
      <c r="BC1259" s="0" t="s">
        <v>130</v>
      </c>
      <c r="BD1259" s="0" t="s">
        <v>130</v>
      </c>
      <c r="BE1259" s="0" t="s">
        <v>130</v>
      </c>
      <c r="BF1259" s="0" t="s">
        <v>130</v>
      </c>
      <c r="BG1259" s="0" t="s">
        <v>130</v>
      </c>
      <c r="BH1259" s="0" t="s">
        <v>130</v>
      </c>
      <c r="BI1259" s="0" t="s">
        <v>130</v>
      </c>
      <c r="BJ1259" s="0" t="s">
        <v>130</v>
      </c>
      <c r="BK1259" s="0" t="s">
        <v>130</v>
      </c>
      <c r="BL1259" s="0" t="s">
        <v>130</v>
      </c>
      <c r="BM1259" s="0" t="s">
        <v>130</v>
      </c>
      <c r="BN1259" s="0" t="s">
        <v>130</v>
      </c>
      <c r="BO1259" s="0" t="s">
        <v>130</v>
      </c>
      <c r="BP1259" s="0" t="s">
        <v>130</v>
      </c>
      <c r="BQ1259" s="0" t="s">
        <v>130</v>
      </c>
      <c r="BR1259" s="0" t="s">
        <v>130</v>
      </c>
      <c r="BS1259" s="0" t="s">
        <v>130</v>
      </c>
      <c r="BT1259" s="0" t="s">
        <v>130</v>
      </c>
      <c r="BU1259" s="0" t="s">
        <v>130</v>
      </c>
      <c r="BV1259" s="0" t="s">
        <v>130</v>
      </c>
      <c r="BW1259" s="0" t="s">
        <v>130</v>
      </c>
      <c r="BX1259" s="0" t="s">
        <v>130</v>
      </c>
      <c r="BY1259" s="0" t="s">
        <v>130</v>
      </c>
      <c r="BZ1259" s="0" t="s">
        <v>130</v>
      </c>
      <c r="CA1259" s="0" t="s">
        <v>130</v>
      </c>
      <c r="CB1259" s="0" t="s">
        <v>130</v>
      </c>
      <c r="CC1259" s="0" t="s">
        <v>130</v>
      </c>
      <c r="CD1259" s="0" t="s">
        <v>130</v>
      </c>
      <c r="CE1259" s="0" t="s">
        <v>130</v>
      </c>
      <c r="CF1259" s="0" t="s">
        <v>130</v>
      </c>
      <c r="CG1259" s="0" t="s">
        <v>130</v>
      </c>
      <c r="CH1259" s="0" t="s">
        <v>130</v>
      </c>
      <c r="CI1259" s="0" t="s">
        <v>130</v>
      </c>
      <c r="CJ1259" s="0" t="s">
        <v>130</v>
      </c>
      <c r="CK1259" s="0" t="s">
        <v>130</v>
      </c>
      <c r="CL1259" s="0" t="s">
        <v>130</v>
      </c>
      <c r="CM1259" s="0" t="s">
        <v>130</v>
      </c>
      <c r="CN1259" s="0" t="s">
        <v>130</v>
      </c>
      <c r="CO1259" s="0" t="s">
        <v>130</v>
      </c>
      <c r="CP1259" s="0" t="s">
        <v>130</v>
      </c>
      <c r="CQ1259" s="0" t="s">
        <v>130</v>
      </c>
      <c r="CR1259" s="0" t="s">
        <v>130</v>
      </c>
      <c r="CS1259" s="0" t="s">
        <v>130</v>
      </c>
      <c r="CT1259" s="0" t="s">
        <v>3715</v>
      </c>
    </row>
    <row r="1260">
      <c r="A1260" s="14">
        <v>1750153</v>
      </c>
      <c r="B1260" s="0" t="s">
        <v>3705</v>
      </c>
      <c r="C1260" s="16">
        <f>HYPERLINK("https://eosportal.federatedhermes.com/companies/Q29tcGFueQppNzc5MjU=", "Mastercard Inc")</f>
      </c>
      <c r="D1260" s="0" t="s">
        <v>25</v>
      </c>
      <c r="E1260" s="0" t="s">
        <v>729</v>
      </c>
      <c r="F1260" s="16">
        <f>HYPERLINK("https://eosportal.federatedhermes.com/engagements/RW5nYWdlbWVudAppMjY0Njc=", "Board diversity")</f>
      </c>
      <c r="G1260" s="14" t="s">
        <v>3716</v>
      </c>
      <c r="H1260" s="0" t="s">
        <v>141</v>
      </c>
      <c r="I1260" s="14" t="s">
        <v>131</v>
      </c>
      <c r="J1260" s="0" t="s">
        <v>145</v>
      </c>
      <c r="K1260" s="0" t="s">
        <v>164</v>
      </c>
      <c r="L1260" s="0" t="s">
        <v>165</v>
      </c>
      <c r="M1260" s="0" t="s">
        <v>135</v>
      </c>
      <c r="N1260" s="0" t="s">
        <v>136</v>
      </c>
      <c r="O1260" s="0" t="s">
        <v>137</v>
      </c>
      <c r="Q1260" s="0" t="s">
        <v>130</v>
      </c>
      <c r="R1260" s="0" t="s">
        <v>138</v>
      </c>
      <c r="S1260" s="14">
        <v>0</v>
      </c>
      <c r="T1260" s="0" t="s">
        <v>249</v>
      </c>
      <c r="U1260" s="0" t="s">
        <v>138</v>
      </c>
      <c r="V1260" s="14" t="s">
        <v>138</v>
      </c>
      <c r="W1260" s="0" t="s">
        <v>138</v>
      </c>
      <c r="X1260" s="14" t="s">
        <v>138</v>
      </c>
      <c r="Y1260" s="0" t="s">
        <v>138</v>
      </c>
      <c r="Z1260" s="14" t="s">
        <v>138</v>
      </c>
      <c r="AA1260" s="0" t="s">
        <v>138</v>
      </c>
      <c r="AB1260" s="14" t="s">
        <v>138</v>
      </c>
      <c r="AD1260" s="0" t="s">
        <v>138</v>
      </c>
      <c r="AF1260" s="0">
        <v>0</v>
      </c>
      <c r="AG1260" s="0">
        <v>0</v>
      </c>
      <c r="AH1260" s="0" t="s">
        <v>140</v>
      </c>
      <c r="AI1260" s="0" t="s">
        <v>138</v>
      </c>
      <c r="AL1260" s="14"/>
      <c r="AN1260" s="14"/>
      <c r="AQ1260" s="0" t="s">
        <v>130</v>
      </c>
      <c r="AR1260" s="0" t="s">
        <v>130</v>
      </c>
      <c r="AS1260" s="0" t="s">
        <v>130</v>
      </c>
      <c r="AT1260" s="0" t="s">
        <v>130</v>
      </c>
      <c r="AU1260" s="0" t="s">
        <v>141</v>
      </c>
      <c r="AV1260" s="0" t="s">
        <v>130</v>
      </c>
      <c r="AW1260" s="0" t="s">
        <v>130</v>
      </c>
      <c r="AX1260" s="0" t="s">
        <v>130</v>
      </c>
      <c r="AY1260" s="0" t="s">
        <v>130</v>
      </c>
      <c r="AZ1260" s="0" t="s">
        <v>141</v>
      </c>
      <c r="BA1260" s="0" t="s">
        <v>130</v>
      </c>
      <c r="BB1260" s="0" t="s">
        <v>130</v>
      </c>
      <c r="BC1260" s="0" t="s">
        <v>130</v>
      </c>
      <c r="BD1260" s="0" t="s">
        <v>130</v>
      </c>
      <c r="BE1260" s="0" t="s">
        <v>130</v>
      </c>
      <c r="BF1260" s="0" t="s">
        <v>130</v>
      </c>
      <c r="BG1260" s="0" t="s">
        <v>130</v>
      </c>
      <c r="BH1260" s="0" t="s">
        <v>130</v>
      </c>
      <c r="BI1260" s="0" t="s">
        <v>130</v>
      </c>
      <c r="BJ1260" s="0" t="s">
        <v>130</v>
      </c>
      <c r="BK1260" s="0" t="s">
        <v>130</v>
      </c>
      <c r="BL1260" s="0" t="s">
        <v>130</v>
      </c>
      <c r="BM1260" s="0" t="s">
        <v>130</v>
      </c>
      <c r="BN1260" s="0" t="s">
        <v>130</v>
      </c>
      <c r="BO1260" s="0" t="s">
        <v>130</v>
      </c>
      <c r="BP1260" s="0" t="s">
        <v>130</v>
      </c>
      <c r="BQ1260" s="0" t="s">
        <v>130</v>
      </c>
      <c r="BR1260" s="0" t="s">
        <v>130</v>
      </c>
      <c r="BS1260" s="0" t="s">
        <v>130</v>
      </c>
      <c r="BT1260" s="0" t="s">
        <v>130</v>
      </c>
      <c r="BU1260" s="0" t="s">
        <v>130</v>
      </c>
      <c r="BV1260" s="0" t="s">
        <v>130</v>
      </c>
      <c r="BW1260" s="0" t="s">
        <v>130</v>
      </c>
      <c r="BX1260" s="0" t="s">
        <v>130</v>
      </c>
      <c r="BY1260" s="0" t="s">
        <v>130</v>
      </c>
      <c r="BZ1260" s="0" t="s">
        <v>130</v>
      </c>
      <c r="CA1260" s="0" t="s">
        <v>130</v>
      </c>
      <c r="CB1260" s="0" t="s">
        <v>130</v>
      </c>
      <c r="CC1260" s="0" t="s">
        <v>130</v>
      </c>
      <c r="CD1260" s="0" t="s">
        <v>130</v>
      </c>
      <c r="CE1260" s="0" t="s">
        <v>130</v>
      </c>
      <c r="CF1260" s="0" t="s">
        <v>130</v>
      </c>
      <c r="CG1260" s="0" t="s">
        <v>130</v>
      </c>
      <c r="CH1260" s="0" t="s">
        <v>130</v>
      </c>
      <c r="CI1260" s="0" t="s">
        <v>130</v>
      </c>
      <c r="CJ1260" s="0" t="s">
        <v>130</v>
      </c>
      <c r="CK1260" s="0" t="s">
        <v>130</v>
      </c>
      <c r="CL1260" s="0" t="s">
        <v>130</v>
      </c>
      <c r="CM1260" s="0" t="s">
        <v>130</v>
      </c>
      <c r="CN1260" s="0" t="s">
        <v>130</v>
      </c>
      <c r="CO1260" s="0" t="s">
        <v>130</v>
      </c>
      <c r="CP1260" s="0" t="s">
        <v>130</v>
      </c>
      <c r="CQ1260" s="0" t="s">
        <v>130</v>
      </c>
      <c r="CR1260" s="0" t="s">
        <v>130</v>
      </c>
      <c r="CS1260" s="0" t="s">
        <v>130</v>
      </c>
      <c r="CT1260" s="0" t="s">
        <v>3717</v>
      </c>
    </row>
    <row r="1261">
      <c r="A1261" s="14">
        <v>1750153</v>
      </c>
      <c r="B1261" s="0" t="s">
        <v>3705</v>
      </c>
      <c r="C1261" s="16">
        <f>HYPERLINK("https://eosportal.federatedhermes.com/companies/Q29tcGFueQppNzc5MjU=", "Mastercard Inc")</f>
      </c>
      <c r="D1261" s="0" t="s">
        <v>25</v>
      </c>
      <c r="E1261" s="0" t="s">
        <v>1922</v>
      </c>
      <c r="F1261" s="16">
        <f>HYPERLINK("https://eosportal.federatedhermes.com/engagements/RW5nYWdlbWVudAppMjY0Njg=", "Tax")</f>
      </c>
      <c r="G1261" s="14" t="s">
        <v>3718</v>
      </c>
      <c r="H1261" s="0" t="s">
        <v>141</v>
      </c>
      <c r="I1261" s="14" t="s">
        <v>131</v>
      </c>
      <c r="J1261" s="0" t="s">
        <v>153</v>
      </c>
      <c r="K1261" s="0" t="s">
        <v>185</v>
      </c>
      <c r="L1261" s="0" t="s">
        <v>548</v>
      </c>
      <c r="M1261" s="0" t="s">
        <v>135</v>
      </c>
      <c r="N1261" s="0" t="s">
        <v>136</v>
      </c>
      <c r="O1261" s="0" t="s">
        <v>137</v>
      </c>
      <c r="Q1261" s="0" t="s">
        <v>130</v>
      </c>
      <c r="R1261" s="0" t="s">
        <v>138</v>
      </c>
      <c r="S1261" s="14">
        <v>0</v>
      </c>
      <c r="T1261" s="0" t="s">
        <v>343</v>
      </c>
      <c r="U1261" s="0" t="s">
        <v>138</v>
      </c>
      <c r="V1261" s="14" t="s">
        <v>138</v>
      </c>
      <c r="W1261" s="0" t="s">
        <v>138</v>
      </c>
      <c r="X1261" s="14" t="s">
        <v>138</v>
      </c>
      <c r="Y1261" s="0" t="s">
        <v>138</v>
      </c>
      <c r="Z1261" s="14" t="s">
        <v>138</v>
      </c>
      <c r="AA1261" s="0" t="s">
        <v>138</v>
      </c>
      <c r="AB1261" s="14" t="s">
        <v>138</v>
      </c>
      <c r="AD1261" s="0" t="s">
        <v>138</v>
      </c>
      <c r="AF1261" s="0">
        <v>0</v>
      </c>
      <c r="AG1261" s="0">
        <v>0</v>
      </c>
      <c r="AH1261" s="0" t="s">
        <v>140</v>
      </c>
      <c r="AI1261" s="0" t="s">
        <v>138</v>
      </c>
      <c r="AL1261" s="14"/>
      <c r="AN1261" s="14"/>
      <c r="AQ1261" s="0" t="s">
        <v>130</v>
      </c>
      <c r="AR1261" s="0" t="s">
        <v>130</v>
      </c>
      <c r="AS1261" s="0" t="s">
        <v>130</v>
      </c>
      <c r="AT1261" s="0" t="s">
        <v>130</v>
      </c>
      <c r="AU1261" s="0" t="s">
        <v>130</v>
      </c>
      <c r="AV1261" s="0" t="s">
        <v>130</v>
      </c>
      <c r="AW1261" s="0" t="s">
        <v>130</v>
      </c>
      <c r="AX1261" s="0" t="s">
        <v>130</v>
      </c>
      <c r="AY1261" s="0" t="s">
        <v>130</v>
      </c>
      <c r="AZ1261" s="0" t="s">
        <v>130</v>
      </c>
      <c r="BA1261" s="0" t="s">
        <v>130</v>
      </c>
      <c r="BB1261" s="0" t="s">
        <v>130</v>
      </c>
      <c r="BC1261" s="0" t="s">
        <v>130</v>
      </c>
      <c r="BD1261" s="0" t="s">
        <v>130</v>
      </c>
      <c r="BE1261" s="0" t="s">
        <v>130</v>
      </c>
      <c r="BF1261" s="0" t="s">
        <v>130</v>
      </c>
      <c r="BG1261" s="0" t="s">
        <v>130</v>
      </c>
      <c r="BH1261" s="0" t="s">
        <v>130</v>
      </c>
      <c r="BI1261" s="0" t="s">
        <v>130</v>
      </c>
      <c r="BJ1261" s="0" t="s">
        <v>130</v>
      </c>
      <c r="BK1261" s="0" t="s">
        <v>130</v>
      </c>
      <c r="BL1261" s="0" t="s">
        <v>130</v>
      </c>
      <c r="BM1261" s="0" t="s">
        <v>130</v>
      </c>
      <c r="BN1261" s="0" t="s">
        <v>130</v>
      </c>
      <c r="BO1261" s="0" t="s">
        <v>130</v>
      </c>
      <c r="BP1261" s="0" t="s">
        <v>130</v>
      </c>
      <c r="BQ1261" s="0" t="s">
        <v>130</v>
      </c>
      <c r="BR1261" s="0" t="s">
        <v>130</v>
      </c>
      <c r="BS1261" s="0" t="s">
        <v>130</v>
      </c>
      <c r="BT1261" s="0" t="s">
        <v>130</v>
      </c>
      <c r="BU1261" s="0" t="s">
        <v>130</v>
      </c>
      <c r="BV1261" s="0" t="s">
        <v>130</v>
      </c>
      <c r="BW1261" s="0" t="s">
        <v>130</v>
      </c>
      <c r="BX1261" s="0" t="s">
        <v>130</v>
      </c>
      <c r="BY1261" s="0" t="s">
        <v>130</v>
      </c>
      <c r="BZ1261" s="0" t="s">
        <v>130</v>
      </c>
      <c r="CA1261" s="0" t="s">
        <v>130</v>
      </c>
      <c r="CB1261" s="0" t="s">
        <v>130</v>
      </c>
      <c r="CC1261" s="0" t="s">
        <v>130</v>
      </c>
      <c r="CD1261" s="0" t="s">
        <v>130</v>
      </c>
      <c r="CE1261" s="0" t="s">
        <v>130</v>
      </c>
      <c r="CF1261" s="0" t="s">
        <v>130</v>
      </c>
      <c r="CG1261" s="0" t="s">
        <v>130</v>
      </c>
      <c r="CH1261" s="0" t="s">
        <v>130</v>
      </c>
      <c r="CI1261" s="0" t="s">
        <v>130</v>
      </c>
      <c r="CJ1261" s="0" t="s">
        <v>130</v>
      </c>
      <c r="CK1261" s="0" t="s">
        <v>130</v>
      </c>
      <c r="CL1261" s="0" t="s">
        <v>130</v>
      </c>
      <c r="CM1261" s="0" t="s">
        <v>130</v>
      </c>
      <c r="CN1261" s="0" t="s">
        <v>130</v>
      </c>
      <c r="CO1261" s="0" t="s">
        <v>130</v>
      </c>
      <c r="CP1261" s="0" t="s">
        <v>130</v>
      </c>
      <c r="CQ1261" s="0" t="s">
        <v>130</v>
      </c>
      <c r="CR1261" s="0" t="s">
        <v>130</v>
      </c>
      <c r="CS1261" s="0" t="s">
        <v>130</v>
      </c>
      <c r="CT1261" s="0" t="s">
        <v>3719</v>
      </c>
    </row>
    <row r="1262">
      <c r="A1262" s="14">
        <v>350245</v>
      </c>
      <c r="B1262" s="0" t="s">
        <v>3720</v>
      </c>
      <c r="C1262" s="16">
        <f>HYPERLINK("https://eosportal.federatedhermes.com/companies/Q29tcGFueQppNzkxMTQ=", "Sempra")</f>
      </c>
      <c r="D1262" s="0" t="s">
        <v>25</v>
      </c>
      <c r="E1262" s="0" t="s">
        <v>3721</v>
      </c>
      <c r="F1262" s="16">
        <f>HYPERLINK("https://eosportal.federatedhermes.com/engagements/RW5nYWdlbWVudAppMjY1MjM=", "Sempra Energy - Governance - Remuneration")</f>
      </c>
      <c r="G1262" s="14" t="s">
        <v>3722</v>
      </c>
      <c r="H1262" s="0" t="s">
        <v>130</v>
      </c>
      <c r="I1262" s="14" t="s">
        <v>319</v>
      </c>
      <c r="J1262" s="0" t="s">
        <v>145</v>
      </c>
      <c r="K1262" s="0" t="s">
        <v>146</v>
      </c>
      <c r="L1262" s="0" t="s">
        <v>147</v>
      </c>
      <c r="M1262" s="0" t="s">
        <v>135</v>
      </c>
      <c r="N1262" s="0" t="s">
        <v>136</v>
      </c>
      <c r="O1262" s="0" t="s">
        <v>192</v>
      </c>
      <c r="Q1262" s="0" t="s">
        <v>141</v>
      </c>
      <c r="R1262" s="0" t="s">
        <v>138</v>
      </c>
      <c r="S1262" s="14">
        <v>1</v>
      </c>
      <c r="T1262" s="0" t="s">
        <v>1529</v>
      </c>
      <c r="U1262" s="0" t="s">
        <v>138</v>
      </c>
      <c r="V1262" s="14" t="s">
        <v>138</v>
      </c>
      <c r="W1262" s="0" t="s">
        <v>138</v>
      </c>
      <c r="X1262" s="14" t="s">
        <v>138</v>
      </c>
      <c r="Y1262" s="0" t="s">
        <v>138</v>
      </c>
      <c r="Z1262" s="14" t="s">
        <v>138</v>
      </c>
      <c r="AA1262" s="0" t="s">
        <v>138</v>
      </c>
      <c r="AB1262" s="14" t="s">
        <v>138</v>
      </c>
      <c r="AD1262" s="0" t="s">
        <v>138</v>
      </c>
      <c r="AF1262" s="0">
        <v>0</v>
      </c>
      <c r="AG1262" s="0">
        <v>0</v>
      </c>
      <c r="AH1262" s="0" t="s">
        <v>140</v>
      </c>
      <c r="AI1262" s="0" t="s">
        <v>138</v>
      </c>
      <c r="AK1262" s="0" t="s">
        <v>2529</v>
      </c>
      <c r="AL1262" s="14"/>
      <c r="AN1262" s="14"/>
      <c r="AQ1262" s="0" t="s">
        <v>130</v>
      </c>
      <c r="AR1262" s="0" t="s">
        <v>130</v>
      </c>
      <c r="AS1262" s="0" t="s">
        <v>130</v>
      </c>
      <c r="AT1262" s="0" t="s">
        <v>130</v>
      </c>
      <c r="AU1262" s="0" t="s">
        <v>130</v>
      </c>
      <c r="AV1262" s="0" t="s">
        <v>130</v>
      </c>
      <c r="AW1262" s="0" t="s">
        <v>130</v>
      </c>
      <c r="AX1262" s="0" t="s">
        <v>130</v>
      </c>
      <c r="AY1262" s="0" t="s">
        <v>130</v>
      </c>
      <c r="AZ1262" s="0" t="s">
        <v>130</v>
      </c>
      <c r="BA1262" s="0" t="s">
        <v>130</v>
      </c>
      <c r="BB1262" s="0" t="s">
        <v>130</v>
      </c>
      <c r="BC1262" s="0" t="s">
        <v>130</v>
      </c>
      <c r="BD1262" s="0" t="s">
        <v>130</v>
      </c>
      <c r="BE1262" s="0" t="s">
        <v>130</v>
      </c>
      <c r="BF1262" s="0" t="s">
        <v>130</v>
      </c>
      <c r="BG1262" s="0" t="s">
        <v>130</v>
      </c>
      <c r="BH1262" s="0" t="s">
        <v>130</v>
      </c>
      <c r="BI1262" s="0" t="s">
        <v>130</v>
      </c>
      <c r="BJ1262" s="0" t="s">
        <v>130</v>
      </c>
      <c r="BK1262" s="0" t="s">
        <v>130</v>
      </c>
      <c r="BL1262" s="0" t="s">
        <v>130</v>
      </c>
      <c r="BM1262" s="0" t="s">
        <v>130</v>
      </c>
      <c r="BN1262" s="0" t="s">
        <v>130</v>
      </c>
      <c r="BO1262" s="0" t="s">
        <v>130</v>
      </c>
      <c r="BP1262" s="0" t="s">
        <v>130</v>
      </c>
      <c r="BQ1262" s="0" t="s">
        <v>130</v>
      </c>
      <c r="BR1262" s="0" t="s">
        <v>130</v>
      </c>
      <c r="BS1262" s="0" t="s">
        <v>130</v>
      </c>
      <c r="BT1262" s="0" t="s">
        <v>130</v>
      </c>
      <c r="BU1262" s="0" t="s">
        <v>130</v>
      </c>
      <c r="BV1262" s="0" t="s">
        <v>130</v>
      </c>
      <c r="BW1262" s="0" t="s">
        <v>130</v>
      </c>
      <c r="BX1262" s="0" t="s">
        <v>130</v>
      </c>
      <c r="BY1262" s="0" t="s">
        <v>130</v>
      </c>
      <c r="BZ1262" s="0" t="s">
        <v>130</v>
      </c>
      <c r="CA1262" s="0" t="s">
        <v>130</v>
      </c>
      <c r="CB1262" s="0" t="s">
        <v>130</v>
      </c>
      <c r="CC1262" s="0" t="s">
        <v>130</v>
      </c>
      <c r="CD1262" s="0" t="s">
        <v>130</v>
      </c>
      <c r="CE1262" s="0" t="s">
        <v>130</v>
      </c>
      <c r="CF1262" s="0" t="s">
        <v>130</v>
      </c>
      <c r="CG1262" s="0" t="s">
        <v>130</v>
      </c>
      <c r="CH1262" s="0" t="s">
        <v>130</v>
      </c>
      <c r="CI1262" s="0" t="s">
        <v>130</v>
      </c>
      <c r="CJ1262" s="0" t="s">
        <v>130</v>
      </c>
      <c r="CK1262" s="0" t="s">
        <v>130</v>
      </c>
      <c r="CL1262" s="0" t="s">
        <v>130</v>
      </c>
      <c r="CM1262" s="0" t="s">
        <v>130</v>
      </c>
      <c r="CN1262" s="0" t="s">
        <v>130</v>
      </c>
      <c r="CO1262" s="0" t="s">
        <v>130</v>
      </c>
      <c r="CP1262" s="0" t="s">
        <v>130</v>
      </c>
      <c r="CQ1262" s="0" t="s">
        <v>130</v>
      </c>
      <c r="CR1262" s="0" t="s">
        <v>130</v>
      </c>
      <c r="CS1262" s="0" t="s">
        <v>130</v>
      </c>
      <c r="CT1262" s="0" t="s">
        <v>3723</v>
      </c>
    </row>
    <row r="1263">
      <c r="A1263" s="14">
        <v>350245</v>
      </c>
      <c r="B1263" s="0" t="s">
        <v>3720</v>
      </c>
      <c r="C1263" s="16">
        <f>HYPERLINK("https://eosportal.federatedhermes.com/companies/Q29tcGFueQppNzkxMTQ=", "Sempra")</f>
      </c>
      <c r="D1263" s="0" t="s">
        <v>25</v>
      </c>
      <c r="E1263" s="0" t="s">
        <v>934</v>
      </c>
      <c r="F1263" s="16">
        <f>HYPERLINK("https://eosportal.federatedhermes.com/engagements/RW5nYWdlbWVudAppMjY1MjQ=", "Adoption of Science-based targets")</f>
      </c>
      <c r="G1263" s="14" t="s">
        <v>687</v>
      </c>
      <c r="H1263" s="0" t="s">
        <v>130</v>
      </c>
      <c r="I1263" s="14" t="s">
        <v>319</v>
      </c>
      <c r="J1263" s="0" t="s">
        <v>197</v>
      </c>
      <c r="K1263" s="0" t="s">
        <v>198</v>
      </c>
      <c r="L1263" s="0" t="s">
        <v>216</v>
      </c>
      <c r="M1263" s="0" t="s">
        <v>135</v>
      </c>
      <c r="N1263" s="0" t="s">
        <v>136</v>
      </c>
      <c r="O1263" s="0" t="s">
        <v>192</v>
      </c>
      <c r="Q1263" s="0" t="s">
        <v>130</v>
      </c>
      <c r="R1263" s="0" t="s">
        <v>138</v>
      </c>
      <c r="S1263" s="14">
        <v>0</v>
      </c>
      <c r="T1263" s="0" t="s">
        <v>333</v>
      </c>
      <c r="U1263" s="0" t="s">
        <v>138</v>
      </c>
      <c r="V1263" s="14" t="s">
        <v>138</v>
      </c>
      <c r="W1263" s="0" t="s">
        <v>138</v>
      </c>
      <c r="X1263" s="14" t="s">
        <v>138</v>
      </c>
      <c r="Y1263" s="0" t="s">
        <v>138</v>
      </c>
      <c r="Z1263" s="14" t="s">
        <v>138</v>
      </c>
      <c r="AA1263" s="0" t="s">
        <v>138</v>
      </c>
      <c r="AB1263" s="14" t="s">
        <v>138</v>
      </c>
      <c r="AD1263" s="0" t="s">
        <v>138</v>
      </c>
      <c r="AF1263" s="0">
        <v>0</v>
      </c>
      <c r="AG1263" s="0">
        <v>0</v>
      </c>
      <c r="AH1263" s="0" t="s">
        <v>140</v>
      </c>
      <c r="AI1263" s="0" t="s">
        <v>138</v>
      </c>
      <c r="AL1263" s="14"/>
      <c r="AN1263" s="14"/>
      <c r="AQ1263" s="0" t="s">
        <v>130</v>
      </c>
      <c r="AR1263" s="0" t="s">
        <v>130</v>
      </c>
      <c r="AS1263" s="0" t="s">
        <v>130</v>
      </c>
      <c r="AT1263" s="0" t="s">
        <v>130</v>
      </c>
      <c r="AU1263" s="0" t="s">
        <v>130</v>
      </c>
      <c r="AV1263" s="0" t="s">
        <v>130</v>
      </c>
      <c r="AW1263" s="0" t="s">
        <v>130</v>
      </c>
      <c r="AX1263" s="0" t="s">
        <v>130</v>
      </c>
      <c r="AY1263" s="0" t="s">
        <v>130</v>
      </c>
      <c r="AZ1263" s="0" t="s">
        <v>130</v>
      </c>
      <c r="BA1263" s="0" t="s">
        <v>130</v>
      </c>
      <c r="BB1263" s="0" t="s">
        <v>130</v>
      </c>
      <c r="BC1263" s="0" t="s">
        <v>141</v>
      </c>
      <c r="BD1263" s="0" t="s">
        <v>130</v>
      </c>
      <c r="BE1263" s="0" t="s">
        <v>130</v>
      </c>
      <c r="BF1263" s="0" t="s">
        <v>130</v>
      </c>
      <c r="BG1263" s="0" t="s">
        <v>130</v>
      </c>
      <c r="BH1263" s="0" t="s">
        <v>141</v>
      </c>
      <c r="BI1263" s="0" t="s">
        <v>141</v>
      </c>
      <c r="BJ1263" s="0" t="s">
        <v>141</v>
      </c>
      <c r="BK1263" s="0" t="s">
        <v>130</v>
      </c>
      <c r="BL1263" s="0" t="s">
        <v>130</v>
      </c>
      <c r="BM1263" s="0" t="s">
        <v>130</v>
      </c>
      <c r="BN1263" s="0" t="s">
        <v>130</v>
      </c>
      <c r="BO1263" s="0" t="s">
        <v>130</v>
      </c>
      <c r="BP1263" s="0" t="s">
        <v>130</v>
      </c>
      <c r="BQ1263" s="0" t="s">
        <v>130</v>
      </c>
      <c r="BR1263" s="0" t="s">
        <v>130</v>
      </c>
      <c r="BS1263" s="0" t="s">
        <v>130</v>
      </c>
      <c r="BT1263" s="0" t="s">
        <v>130</v>
      </c>
      <c r="BU1263" s="0" t="s">
        <v>130</v>
      </c>
      <c r="BV1263" s="0" t="s">
        <v>141</v>
      </c>
      <c r="BW1263" s="0" t="s">
        <v>141</v>
      </c>
      <c r="BX1263" s="0" t="s">
        <v>130</v>
      </c>
      <c r="BY1263" s="0" t="s">
        <v>130</v>
      </c>
      <c r="BZ1263" s="0" t="s">
        <v>130</v>
      </c>
      <c r="CA1263" s="0" t="s">
        <v>130</v>
      </c>
      <c r="CB1263" s="0" t="s">
        <v>130</v>
      </c>
      <c r="CC1263" s="0" t="s">
        <v>130</v>
      </c>
      <c r="CD1263" s="0" t="s">
        <v>130</v>
      </c>
      <c r="CE1263" s="0" t="s">
        <v>130</v>
      </c>
      <c r="CF1263" s="0" t="s">
        <v>130</v>
      </c>
      <c r="CG1263" s="0" t="s">
        <v>130</v>
      </c>
      <c r="CH1263" s="0" t="s">
        <v>130</v>
      </c>
      <c r="CI1263" s="0" t="s">
        <v>130</v>
      </c>
      <c r="CJ1263" s="0" t="s">
        <v>130</v>
      </c>
      <c r="CK1263" s="0" t="s">
        <v>130</v>
      </c>
      <c r="CL1263" s="0" t="s">
        <v>130</v>
      </c>
      <c r="CM1263" s="0" t="s">
        <v>130</v>
      </c>
      <c r="CN1263" s="0" t="s">
        <v>130</v>
      </c>
      <c r="CO1263" s="0" t="s">
        <v>130</v>
      </c>
      <c r="CP1263" s="0" t="s">
        <v>130</v>
      </c>
      <c r="CQ1263" s="0" t="s">
        <v>130</v>
      </c>
      <c r="CR1263" s="0" t="s">
        <v>130</v>
      </c>
      <c r="CS1263" s="0" t="s">
        <v>130</v>
      </c>
      <c r="CT1263" s="0" t="s">
        <v>3724</v>
      </c>
    </row>
    <row r="1264">
      <c r="A1264" s="14">
        <v>364913</v>
      </c>
      <c r="B1264" s="0" t="s">
        <v>3725</v>
      </c>
      <c r="C1264" s="16">
        <f>HYPERLINK("https://eosportal.federatedhermes.com/companies/Q29tcGFueQppNzQwNjQ=", "Centene Corp")</f>
      </c>
      <c r="D1264" s="0" t="s">
        <v>25</v>
      </c>
      <c r="E1264" s="0" t="s">
        <v>3726</v>
      </c>
      <c r="F1264" s="16">
        <f>HYPERLINK("https://eosportal.federatedhermes.com/engagements/RW5nYWdlbWVudAppMjY1MzQ=", "Sustainability disclosures")</f>
      </c>
      <c r="G1264" s="14" t="s">
        <v>3727</v>
      </c>
      <c r="H1264" s="0" t="s">
        <v>130</v>
      </c>
      <c r="I1264" s="14" t="s">
        <v>319</v>
      </c>
      <c r="J1264" s="0" t="s">
        <v>132</v>
      </c>
      <c r="K1264" s="0" t="s">
        <v>170</v>
      </c>
      <c r="L1264" s="0" t="s">
        <v>171</v>
      </c>
      <c r="M1264" s="0" t="s">
        <v>135</v>
      </c>
      <c r="N1264" s="0" t="s">
        <v>136</v>
      </c>
      <c r="O1264" s="0" t="s">
        <v>274</v>
      </c>
      <c r="Q1264" s="0" t="s">
        <v>141</v>
      </c>
      <c r="R1264" s="0" t="s">
        <v>138</v>
      </c>
      <c r="S1264" s="14">
        <v>1</v>
      </c>
      <c r="T1264" s="0" t="s">
        <v>139</v>
      </c>
      <c r="U1264" s="0" t="s">
        <v>138</v>
      </c>
      <c r="V1264" s="14" t="s">
        <v>138</v>
      </c>
      <c r="W1264" s="0" t="s">
        <v>138</v>
      </c>
      <c r="X1264" s="14" t="s">
        <v>138</v>
      </c>
      <c r="Y1264" s="0" t="s">
        <v>138</v>
      </c>
      <c r="Z1264" s="14" t="s">
        <v>138</v>
      </c>
      <c r="AA1264" s="0" t="s">
        <v>138</v>
      </c>
      <c r="AB1264" s="14" t="s">
        <v>138</v>
      </c>
      <c r="AD1264" s="0" t="s">
        <v>138</v>
      </c>
      <c r="AF1264" s="0">
        <v>0</v>
      </c>
      <c r="AG1264" s="0">
        <v>0</v>
      </c>
      <c r="AH1264" s="0" t="s">
        <v>140</v>
      </c>
      <c r="AI1264" s="0" t="s">
        <v>138</v>
      </c>
      <c r="AK1264" s="0" t="s">
        <v>233</v>
      </c>
      <c r="AL1264" s="14"/>
      <c r="AN1264" s="14"/>
      <c r="AQ1264" s="0" t="s">
        <v>130</v>
      </c>
      <c r="AR1264" s="0" t="s">
        <v>130</v>
      </c>
      <c r="AS1264" s="0" t="s">
        <v>130</v>
      </c>
      <c r="AT1264" s="0" t="s">
        <v>130</v>
      </c>
      <c r="AU1264" s="0" t="s">
        <v>130</v>
      </c>
      <c r="AV1264" s="0" t="s">
        <v>130</v>
      </c>
      <c r="AW1264" s="0" t="s">
        <v>130</v>
      </c>
      <c r="AX1264" s="0" t="s">
        <v>130</v>
      </c>
      <c r="AY1264" s="0" t="s">
        <v>130</v>
      </c>
      <c r="AZ1264" s="0" t="s">
        <v>130</v>
      </c>
      <c r="BA1264" s="0" t="s">
        <v>130</v>
      </c>
      <c r="BB1264" s="0" t="s">
        <v>130</v>
      </c>
      <c r="BC1264" s="0" t="s">
        <v>130</v>
      </c>
      <c r="BD1264" s="0" t="s">
        <v>130</v>
      </c>
      <c r="BE1264" s="0" t="s">
        <v>130</v>
      </c>
      <c r="BF1264" s="0" t="s">
        <v>130</v>
      </c>
      <c r="BG1264" s="0" t="s">
        <v>130</v>
      </c>
      <c r="BH1264" s="0" t="s">
        <v>130</v>
      </c>
      <c r="BI1264" s="0" t="s">
        <v>130</v>
      </c>
      <c r="BJ1264" s="0" t="s">
        <v>130</v>
      </c>
      <c r="BK1264" s="0" t="s">
        <v>130</v>
      </c>
      <c r="BL1264" s="0" t="s">
        <v>130</v>
      </c>
      <c r="BM1264" s="0" t="s">
        <v>130</v>
      </c>
      <c r="BN1264" s="0" t="s">
        <v>130</v>
      </c>
      <c r="BO1264" s="0" t="s">
        <v>130</v>
      </c>
      <c r="BP1264" s="0" t="s">
        <v>130</v>
      </c>
      <c r="BQ1264" s="0" t="s">
        <v>130</v>
      </c>
      <c r="BR1264" s="0" t="s">
        <v>130</v>
      </c>
      <c r="BS1264" s="0" t="s">
        <v>130</v>
      </c>
      <c r="BT1264" s="0" t="s">
        <v>130</v>
      </c>
      <c r="BU1264" s="0" t="s">
        <v>130</v>
      </c>
      <c r="BV1264" s="0" t="s">
        <v>130</v>
      </c>
      <c r="BW1264" s="0" t="s">
        <v>130</v>
      </c>
      <c r="BX1264" s="0" t="s">
        <v>130</v>
      </c>
      <c r="BY1264" s="0" t="s">
        <v>130</v>
      </c>
      <c r="BZ1264" s="0" t="s">
        <v>130</v>
      </c>
      <c r="CA1264" s="0" t="s">
        <v>130</v>
      </c>
      <c r="CB1264" s="0" t="s">
        <v>130</v>
      </c>
      <c r="CC1264" s="0" t="s">
        <v>130</v>
      </c>
      <c r="CD1264" s="0" t="s">
        <v>130</v>
      </c>
      <c r="CE1264" s="0" t="s">
        <v>130</v>
      </c>
      <c r="CF1264" s="0" t="s">
        <v>130</v>
      </c>
      <c r="CG1264" s="0" t="s">
        <v>130</v>
      </c>
      <c r="CH1264" s="0" t="s">
        <v>130</v>
      </c>
      <c r="CI1264" s="0" t="s">
        <v>130</v>
      </c>
      <c r="CJ1264" s="0" t="s">
        <v>130</v>
      </c>
      <c r="CK1264" s="0" t="s">
        <v>130</v>
      </c>
      <c r="CL1264" s="0" t="s">
        <v>130</v>
      </c>
      <c r="CM1264" s="0" t="s">
        <v>130</v>
      </c>
      <c r="CN1264" s="0" t="s">
        <v>130</v>
      </c>
      <c r="CO1264" s="0" t="s">
        <v>130</v>
      </c>
      <c r="CP1264" s="0" t="s">
        <v>130</v>
      </c>
      <c r="CQ1264" s="0" t="s">
        <v>130</v>
      </c>
      <c r="CR1264" s="0" t="s">
        <v>130</v>
      </c>
      <c r="CS1264" s="0" t="s">
        <v>130</v>
      </c>
      <c r="CT1264" s="0" t="s">
        <v>3728</v>
      </c>
    </row>
    <row r="1265">
      <c r="A1265" s="14">
        <v>364913</v>
      </c>
      <c r="B1265" s="0" t="s">
        <v>3725</v>
      </c>
      <c r="C1265" s="16">
        <f>HYPERLINK("https://eosportal.federatedhermes.com/companies/Q29tcGFueQppNzQwNjQ=", "Centene Corp")</f>
      </c>
      <c r="D1265" s="0" t="s">
        <v>25</v>
      </c>
      <c r="E1265" s="0" t="s">
        <v>729</v>
      </c>
      <c r="F1265" s="16">
        <f>HYPERLINK("https://eosportal.federatedhermes.com/engagements/RW5nYWdlbWVudAppMjY1MzU=", "Board diversity")</f>
      </c>
      <c r="G1265" s="14" t="s">
        <v>3729</v>
      </c>
      <c r="H1265" s="0" t="s">
        <v>130</v>
      </c>
      <c r="I1265" s="14" t="s">
        <v>319</v>
      </c>
      <c r="J1265" s="0" t="s">
        <v>145</v>
      </c>
      <c r="K1265" s="0" t="s">
        <v>164</v>
      </c>
      <c r="L1265" s="0" t="s">
        <v>165</v>
      </c>
      <c r="M1265" s="0" t="s">
        <v>135</v>
      </c>
      <c r="N1265" s="0" t="s">
        <v>136</v>
      </c>
      <c r="O1265" s="0" t="s">
        <v>274</v>
      </c>
      <c r="Q1265" s="0" t="s">
        <v>130</v>
      </c>
      <c r="R1265" s="0" t="s">
        <v>138</v>
      </c>
      <c r="S1265" s="14">
        <v>0</v>
      </c>
      <c r="T1265" s="0" t="s">
        <v>139</v>
      </c>
      <c r="U1265" s="0" t="s">
        <v>138</v>
      </c>
      <c r="V1265" s="14" t="s">
        <v>138</v>
      </c>
      <c r="W1265" s="0" t="s">
        <v>138</v>
      </c>
      <c r="X1265" s="14" t="s">
        <v>138</v>
      </c>
      <c r="Y1265" s="0" t="s">
        <v>138</v>
      </c>
      <c r="Z1265" s="14" t="s">
        <v>138</v>
      </c>
      <c r="AA1265" s="0" t="s">
        <v>138</v>
      </c>
      <c r="AB1265" s="14" t="s">
        <v>138</v>
      </c>
      <c r="AD1265" s="0" t="s">
        <v>138</v>
      </c>
      <c r="AF1265" s="0">
        <v>0</v>
      </c>
      <c r="AG1265" s="0">
        <v>0</v>
      </c>
      <c r="AH1265" s="0" t="s">
        <v>140</v>
      </c>
      <c r="AI1265" s="0" t="s">
        <v>138</v>
      </c>
      <c r="AL1265" s="14"/>
      <c r="AN1265" s="14"/>
      <c r="AQ1265" s="0" t="s">
        <v>130</v>
      </c>
      <c r="AR1265" s="0" t="s">
        <v>130</v>
      </c>
      <c r="AS1265" s="0" t="s">
        <v>130</v>
      </c>
      <c r="AT1265" s="0" t="s">
        <v>130</v>
      </c>
      <c r="AU1265" s="0" t="s">
        <v>141</v>
      </c>
      <c r="AV1265" s="0" t="s">
        <v>130</v>
      </c>
      <c r="AW1265" s="0" t="s">
        <v>130</v>
      </c>
      <c r="AX1265" s="0" t="s">
        <v>130</v>
      </c>
      <c r="AY1265" s="0" t="s">
        <v>130</v>
      </c>
      <c r="AZ1265" s="0" t="s">
        <v>141</v>
      </c>
      <c r="BA1265" s="0" t="s">
        <v>130</v>
      </c>
      <c r="BB1265" s="0" t="s">
        <v>130</v>
      </c>
      <c r="BC1265" s="0" t="s">
        <v>130</v>
      </c>
      <c r="BD1265" s="0" t="s">
        <v>130</v>
      </c>
      <c r="BE1265" s="0" t="s">
        <v>130</v>
      </c>
      <c r="BF1265" s="0" t="s">
        <v>130</v>
      </c>
      <c r="BG1265" s="0" t="s">
        <v>130</v>
      </c>
      <c r="BH1265" s="0" t="s">
        <v>130</v>
      </c>
      <c r="BI1265" s="0" t="s">
        <v>130</v>
      </c>
      <c r="BJ1265" s="0" t="s">
        <v>130</v>
      </c>
      <c r="BK1265" s="0" t="s">
        <v>130</v>
      </c>
      <c r="BL1265" s="0" t="s">
        <v>130</v>
      </c>
      <c r="BM1265" s="0" t="s">
        <v>130</v>
      </c>
      <c r="BN1265" s="0" t="s">
        <v>130</v>
      </c>
      <c r="BO1265" s="0" t="s">
        <v>130</v>
      </c>
      <c r="BP1265" s="0" t="s">
        <v>130</v>
      </c>
      <c r="BQ1265" s="0" t="s">
        <v>130</v>
      </c>
      <c r="BR1265" s="0" t="s">
        <v>130</v>
      </c>
      <c r="BS1265" s="0" t="s">
        <v>130</v>
      </c>
      <c r="BT1265" s="0" t="s">
        <v>130</v>
      </c>
      <c r="BU1265" s="0" t="s">
        <v>130</v>
      </c>
      <c r="BV1265" s="0" t="s">
        <v>130</v>
      </c>
      <c r="BW1265" s="0" t="s">
        <v>130</v>
      </c>
      <c r="BX1265" s="0" t="s">
        <v>130</v>
      </c>
      <c r="BY1265" s="0" t="s">
        <v>130</v>
      </c>
      <c r="BZ1265" s="0" t="s">
        <v>130</v>
      </c>
      <c r="CA1265" s="0" t="s">
        <v>130</v>
      </c>
      <c r="CB1265" s="0" t="s">
        <v>130</v>
      </c>
      <c r="CC1265" s="0" t="s">
        <v>130</v>
      </c>
      <c r="CD1265" s="0" t="s">
        <v>130</v>
      </c>
      <c r="CE1265" s="0" t="s">
        <v>130</v>
      </c>
      <c r="CF1265" s="0" t="s">
        <v>130</v>
      </c>
      <c r="CG1265" s="0" t="s">
        <v>130</v>
      </c>
      <c r="CH1265" s="0" t="s">
        <v>130</v>
      </c>
      <c r="CI1265" s="0" t="s">
        <v>130</v>
      </c>
      <c r="CJ1265" s="0" t="s">
        <v>130</v>
      </c>
      <c r="CK1265" s="0" t="s">
        <v>130</v>
      </c>
      <c r="CL1265" s="0" t="s">
        <v>130</v>
      </c>
      <c r="CM1265" s="0" t="s">
        <v>130</v>
      </c>
      <c r="CN1265" s="0" t="s">
        <v>130</v>
      </c>
      <c r="CO1265" s="0" t="s">
        <v>130</v>
      </c>
      <c r="CP1265" s="0" t="s">
        <v>130</v>
      </c>
      <c r="CQ1265" s="0" t="s">
        <v>130</v>
      </c>
      <c r="CR1265" s="0" t="s">
        <v>130</v>
      </c>
      <c r="CS1265" s="0" t="s">
        <v>130</v>
      </c>
      <c r="CT1265" s="0" t="s">
        <v>3730</v>
      </c>
    </row>
    <row r="1266">
      <c r="A1266" s="14">
        <v>364913</v>
      </c>
      <c r="B1266" s="0" t="s">
        <v>3725</v>
      </c>
      <c r="C1266" s="16">
        <f>HYPERLINK("https://eosportal.federatedhermes.com/companies/Q29tcGFueQppNzQwNjQ=", "Centene Corp")</f>
      </c>
      <c r="D1266" s="0" t="s">
        <v>25</v>
      </c>
      <c r="E1266" s="0" t="s">
        <v>3731</v>
      </c>
      <c r="F1266" s="16">
        <f>HYPERLINK("https://eosportal.federatedhermes.com/engagements/RW5nYWdlbWVudAppMjY1MzY=", "Lobbying and poltical disclosures")</f>
      </c>
      <c r="G1266" s="14" t="s">
        <v>3732</v>
      </c>
      <c r="H1266" s="0" t="s">
        <v>130</v>
      </c>
      <c r="I1266" s="14" t="s">
        <v>319</v>
      </c>
      <c r="J1266" s="0" t="s">
        <v>153</v>
      </c>
      <c r="K1266" s="0" t="s">
        <v>185</v>
      </c>
      <c r="L1266" s="0" t="s">
        <v>186</v>
      </c>
      <c r="M1266" s="0" t="s">
        <v>135</v>
      </c>
      <c r="N1266" s="0" t="s">
        <v>136</v>
      </c>
      <c r="O1266" s="0" t="s">
        <v>274</v>
      </c>
      <c r="Q1266" s="0" t="s">
        <v>130</v>
      </c>
      <c r="R1266" s="0" t="s">
        <v>138</v>
      </c>
      <c r="S1266" s="14">
        <v>0</v>
      </c>
      <c r="T1266" s="0" t="s">
        <v>139</v>
      </c>
      <c r="U1266" s="0" t="s">
        <v>138</v>
      </c>
      <c r="V1266" s="14" t="s">
        <v>138</v>
      </c>
      <c r="W1266" s="0" t="s">
        <v>138</v>
      </c>
      <c r="X1266" s="14" t="s">
        <v>138</v>
      </c>
      <c r="Y1266" s="0" t="s">
        <v>138</v>
      </c>
      <c r="Z1266" s="14" t="s">
        <v>138</v>
      </c>
      <c r="AA1266" s="0" t="s">
        <v>138</v>
      </c>
      <c r="AB1266" s="14" t="s">
        <v>138</v>
      </c>
      <c r="AD1266" s="0" t="s">
        <v>138</v>
      </c>
      <c r="AF1266" s="0">
        <v>0</v>
      </c>
      <c r="AG1266" s="0">
        <v>0</v>
      </c>
      <c r="AH1266" s="0" t="s">
        <v>140</v>
      </c>
      <c r="AI1266" s="0" t="s">
        <v>138</v>
      </c>
      <c r="AL1266" s="14"/>
      <c r="AN1266" s="14"/>
      <c r="AQ1266" s="0" t="s">
        <v>130</v>
      </c>
      <c r="AR1266" s="0" t="s">
        <v>130</v>
      </c>
      <c r="AS1266" s="0" t="s">
        <v>130</v>
      </c>
      <c r="AT1266" s="0" t="s">
        <v>130</v>
      </c>
      <c r="AU1266" s="0" t="s">
        <v>130</v>
      </c>
      <c r="AV1266" s="0" t="s">
        <v>130</v>
      </c>
      <c r="AW1266" s="0" t="s">
        <v>130</v>
      </c>
      <c r="AX1266" s="0" t="s">
        <v>130</v>
      </c>
      <c r="AY1266" s="0" t="s">
        <v>130</v>
      </c>
      <c r="AZ1266" s="0" t="s">
        <v>130</v>
      </c>
      <c r="BA1266" s="0" t="s">
        <v>130</v>
      </c>
      <c r="BB1266" s="0" t="s">
        <v>141</v>
      </c>
      <c r="BC1266" s="0" t="s">
        <v>130</v>
      </c>
      <c r="BD1266" s="0" t="s">
        <v>130</v>
      </c>
      <c r="BE1266" s="0" t="s">
        <v>130</v>
      </c>
      <c r="BF1266" s="0" t="s">
        <v>130</v>
      </c>
      <c r="BG1266" s="0" t="s">
        <v>130</v>
      </c>
      <c r="BH1266" s="0" t="s">
        <v>130</v>
      </c>
      <c r="BI1266" s="0" t="s">
        <v>130</v>
      </c>
      <c r="BJ1266" s="0" t="s">
        <v>130</v>
      </c>
      <c r="BK1266" s="0" t="s">
        <v>130</v>
      </c>
      <c r="BL1266" s="0" t="s">
        <v>130</v>
      </c>
      <c r="BM1266" s="0" t="s">
        <v>130</v>
      </c>
      <c r="BN1266" s="0" t="s">
        <v>130</v>
      </c>
      <c r="BO1266" s="0" t="s">
        <v>130</v>
      </c>
      <c r="BP1266" s="0" t="s">
        <v>130</v>
      </c>
      <c r="BQ1266" s="0" t="s">
        <v>130</v>
      </c>
      <c r="BR1266" s="0" t="s">
        <v>130</v>
      </c>
      <c r="BS1266" s="0" t="s">
        <v>130</v>
      </c>
      <c r="BT1266" s="0" t="s">
        <v>130</v>
      </c>
      <c r="BU1266" s="0" t="s">
        <v>130</v>
      </c>
      <c r="BV1266" s="0" t="s">
        <v>130</v>
      </c>
      <c r="BW1266" s="0" t="s">
        <v>130</v>
      </c>
      <c r="BX1266" s="0" t="s">
        <v>130</v>
      </c>
      <c r="BY1266" s="0" t="s">
        <v>130</v>
      </c>
      <c r="BZ1266" s="0" t="s">
        <v>130</v>
      </c>
      <c r="CA1266" s="0" t="s">
        <v>130</v>
      </c>
      <c r="CB1266" s="0" t="s">
        <v>130</v>
      </c>
      <c r="CC1266" s="0" t="s">
        <v>130</v>
      </c>
      <c r="CD1266" s="0" t="s">
        <v>130</v>
      </c>
      <c r="CE1266" s="0" t="s">
        <v>130</v>
      </c>
      <c r="CF1266" s="0" t="s">
        <v>130</v>
      </c>
      <c r="CG1266" s="0" t="s">
        <v>130</v>
      </c>
      <c r="CH1266" s="0" t="s">
        <v>130</v>
      </c>
      <c r="CI1266" s="0" t="s">
        <v>130</v>
      </c>
      <c r="CJ1266" s="0" t="s">
        <v>130</v>
      </c>
      <c r="CK1266" s="0" t="s">
        <v>130</v>
      </c>
      <c r="CL1266" s="0" t="s">
        <v>130</v>
      </c>
      <c r="CM1266" s="0" t="s">
        <v>130</v>
      </c>
      <c r="CN1266" s="0" t="s">
        <v>130</v>
      </c>
      <c r="CO1266" s="0" t="s">
        <v>130</v>
      </c>
      <c r="CP1266" s="0" t="s">
        <v>130</v>
      </c>
      <c r="CQ1266" s="0" t="s">
        <v>130</v>
      </c>
      <c r="CR1266" s="0" t="s">
        <v>130</v>
      </c>
      <c r="CS1266" s="0" t="s">
        <v>130</v>
      </c>
      <c r="CT1266" s="0" t="s">
        <v>3733</v>
      </c>
    </row>
    <row r="1267">
      <c r="A1267" s="14">
        <v>364913</v>
      </c>
      <c r="B1267" s="0" t="s">
        <v>3725</v>
      </c>
      <c r="C1267" s="16">
        <f>HYPERLINK("https://eosportal.federatedhermes.com/companies/Q29tcGFueQppNzQwNjQ=", "Centene Corp")</f>
      </c>
      <c r="D1267" s="0" t="s">
        <v>25</v>
      </c>
      <c r="E1267" s="0" t="s">
        <v>236</v>
      </c>
      <c r="F1267" s="16">
        <f>HYPERLINK("https://eosportal.federatedhermes.com/engagements/RW5nYWdlbWVudAppMjY1Mzc=", "Executive pay")</f>
      </c>
      <c r="G1267" s="14" t="s">
        <v>3734</v>
      </c>
      <c r="H1267" s="0" t="s">
        <v>130</v>
      </c>
      <c r="I1267" s="14" t="s">
        <v>319</v>
      </c>
      <c r="J1267" s="0" t="s">
        <v>145</v>
      </c>
      <c r="K1267" s="0" t="s">
        <v>146</v>
      </c>
      <c r="L1267" s="0" t="s">
        <v>500</v>
      </c>
      <c r="M1267" s="0" t="s">
        <v>135</v>
      </c>
      <c r="N1267" s="0" t="s">
        <v>136</v>
      </c>
      <c r="O1267" s="0" t="s">
        <v>274</v>
      </c>
      <c r="Q1267" s="0" t="s">
        <v>130</v>
      </c>
      <c r="R1267" s="0" t="s">
        <v>138</v>
      </c>
      <c r="S1267" s="14">
        <v>0</v>
      </c>
      <c r="T1267" s="0" t="s">
        <v>139</v>
      </c>
      <c r="U1267" s="0" t="s">
        <v>138</v>
      </c>
      <c r="V1267" s="14" t="s">
        <v>138</v>
      </c>
      <c r="W1267" s="0" t="s">
        <v>138</v>
      </c>
      <c r="X1267" s="14" t="s">
        <v>138</v>
      </c>
      <c r="Y1267" s="0" t="s">
        <v>138</v>
      </c>
      <c r="Z1267" s="14" t="s">
        <v>138</v>
      </c>
      <c r="AA1267" s="0" t="s">
        <v>138</v>
      </c>
      <c r="AB1267" s="14" t="s">
        <v>138</v>
      </c>
      <c r="AD1267" s="0" t="s">
        <v>138</v>
      </c>
      <c r="AF1267" s="0">
        <v>0</v>
      </c>
      <c r="AG1267" s="0">
        <v>0</v>
      </c>
      <c r="AH1267" s="0" t="s">
        <v>140</v>
      </c>
      <c r="AI1267" s="0" t="s">
        <v>138</v>
      </c>
      <c r="AL1267" s="14"/>
      <c r="AN1267" s="14"/>
      <c r="AQ1267" s="0" t="s">
        <v>130</v>
      </c>
      <c r="AR1267" s="0" t="s">
        <v>130</v>
      </c>
      <c r="AS1267" s="0" t="s">
        <v>130</v>
      </c>
      <c r="AT1267" s="0" t="s">
        <v>130</v>
      </c>
      <c r="AU1267" s="0" t="s">
        <v>130</v>
      </c>
      <c r="AV1267" s="0" t="s">
        <v>130</v>
      </c>
      <c r="AW1267" s="0" t="s">
        <v>130</v>
      </c>
      <c r="AX1267" s="0" t="s">
        <v>130</v>
      </c>
      <c r="AY1267" s="0" t="s">
        <v>130</v>
      </c>
      <c r="AZ1267" s="0" t="s">
        <v>130</v>
      </c>
      <c r="BA1267" s="0" t="s">
        <v>130</v>
      </c>
      <c r="BB1267" s="0" t="s">
        <v>130</v>
      </c>
      <c r="BC1267" s="0" t="s">
        <v>130</v>
      </c>
      <c r="BD1267" s="0" t="s">
        <v>130</v>
      </c>
      <c r="BE1267" s="0" t="s">
        <v>130</v>
      </c>
      <c r="BF1267" s="0" t="s">
        <v>130</v>
      </c>
      <c r="BG1267" s="0" t="s">
        <v>130</v>
      </c>
      <c r="BH1267" s="0" t="s">
        <v>130</v>
      </c>
      <c r="BI1267" s="0" t="s">
        <v>130</v>
      </c>
      <c r="BJ1267" s="0" t="s">
        <v>130</v>
      </c>
      <c r="BK1267" s="0" t="s">
        <v>130</v>
      </c>
      <c r="BL1267" s="0" t="s">
        <v>130</v>
      </c>
      <c r="BM1267" s="0" t="s">
        <v>130</v>
      </c>
      <c r="BN1267" s="0" t="s">
        <v>130</v>
      </c>
      <c r="BO1267" s="0" t="s">
        <v>130</v>
      </c>
      <c r="BP1267" s="0" t="s">
        <v>130</v>
      </c>
      <c r="BQ1267" s="0" t="s">
        <v>130</v>
      </c>
      <c r="BR1267" s="0" t="s">
        <v>130</v>
      </c>
      <c r="BS1267" s="0" t="s">
        <v>130</v>
      </c>
      <c r="BT1267" s="0" t="s">
        <v>130</v>
      </c>
      <c r="BU1267" s="0" t="s">
        <v>130</v>
      </c>
      <c r="BV1267" s="0" t="s">
        <v>130</v>
      </c>
      <c r="BW1267" s="0" t="s">
        <v>130</v>
      </c>
      <c r="BX1267" s="0" t="s">
        <v>130</v>
      </c>
      <c r="BY1267" s="0" t="s">
        <v>130</v>
      </c>
      <c r="BZ1267" s="0" t="s">
        <v>130</v>
      </c>
      <c r="CA1267" s="0" t="s">
        <v>130</v>
      </c>
      <c r="CB1267" s="0" t="s">
        <v>130</v>
      </c>
      <c r="CC1267" s="0" t="s">
        <v>130</v>
      </c>
      <c r="CD1267" s="0" t="s">
        <v>130</v>
      </c>
      <c r="CE1267" s="0" t="s">
        <v>130</v>
      </c>
      <c r="CF1267" s="0" t="s">
        <v>130</v>
      </c>
      <c r="CG1267" s="0" t="s">
        <v>130</v>
      </c>
      <c r="CH1267" s="0" t="s">
        <v>130</v>
      </c>
      <c r="CI1267" s="0" t="s">
        <v>130</v>
      </c>
      <c r="CJ1267" s="0" t="s">
        <v>130</v>
      </c>
      <c r="CK1267" s="0" t="s">
        <v>130</v>
      </c>
      <c r="CL1267" s="0" t="s">
        <v>130</v>
      </c>
      <c r="CM1267" s="0" t="s">
        <v>130</v>
      </c>
      <c r="CN1267" s="0" t="s">
        <v>130</v>
      </c>
      <c r="CO1267" s="0" t="s">
        <v>130</v>
      </c>
      <c r="CP1267" s="0" t="s">
        <v>130</v>
      </c>
      <c r="CQ1267" s="0" t="s">
        <v>130</v>
      </c>
      <c r="CR1267" s="0" t="s">
        <v>130</v>
      </c>
      <c r="CS1267" s="0" t="s">
        <v>130</v>
      </c>
      <c r="CT1267" s="0" t="s">
        <v>3735</v>
      </c>
    </row>
    <row r="1268">
      <c r="A1268" s="14">
        <v>368234</v>
      </c>
      <c r="B1268" s="0" t="s">
        <v>3736</v>
      </c>
      <c r="C1268" s="16">
        <f>HYPERLINK("https://eosportal.federatedhermes.com/companies/Q29tcGFueQppNjc3MzU=", "Advance Auto Parts Inc")</f>
      </c>
      <c r="D1268" s="0" t="s">
        <v>25</v>
      </c>
      <c r="E1268" s="0" t="s">
        <v>3737</v>
      </c>
      <c r="F1268" s="16">
        <f>HYPERLINK("https://eosportal.federatedhermes.com/engagements/RW5nYWdlbWVudAppMjY1NDM=", "Sustainability Reporting")</f>
      </c>
      <c r="G1268" s="14" t="s">
        <v>3738</v>
      </c>
      <c r="H1268" s="0" t="s">
        <v>130</v>
      </c>
      <c r="I1268" s="14" t="s">
        <v>131</v>
      </c>
      <c r="J1268" s="0" t="s">
        <v>132</v>
      </c>
      <c r="K1268" s="0" t="s">
        <v>170</v>
      </c>
      <c r="L1268" s="0" t="s">
        <v>171</v>
      </c>
      <c r="M1268" s="0" t="s">
        <v>135</v>
      </c>
      <c r="N1268" s="0" t="s">
        <v>136</v>
      </c>
      <c r="O1268" s="0" t="s">
        <v>643</v>
      </c>
      <c r="Q1268" s="0" t="s">
        <v>130</v>
      </c>
      <c r="R1268" s="0" t="s">
        <v>138</v>
      </c>
      <c r="S1268" s="14">
        <v>0</v>
      </c>
      <c r="T1268" s="0" t="s">
        <v>139</v>
      </c>
      <c r="U1268" s="0" t="s">
        <v>138</v>
      </c>
      <c r="V1268" s="14" t="s">
        <v>138</v>
      </c>
      <c r="W1268" s="0" t="s">
        <v>138</v>
      </c>
      <c r="X1268" s="14" t="s">
        <v>138</v>
      </c>
      <c r="Y1268" s="0" t="s">
        <v>138</v>
      </c>
      <c r="Z1268" s="14" t="s">
        <v>138</v>
      </c>
      <c r="AA1268" s="0" t="s">
        <v>138</v>
      </c>
      <c r="AB1268" s="14" t="s">
        <v>138</v>
      </c>
      <c r="AD1268" s="0" t="s">
        <v>138</v>
      </c>
      <c r="AF1268" s="0">
        <v>0</v>
      </c>
      <c r="AG1268" s="0">
        <v>0</v>
      </c>
      <c r="AH1268" s="0" t="s">
        <v>140</v>
      </c>
      <c r="AI1268" s="0" t="s">
        <v>138</v>
      </c>
      <c r="AL1268" s="14"/>
      <c r="AN1268" s="14"/>
      <c r="AQ1268" s="0" t="s">
        <v>130</v>
      </c>
      <c r="AR1268" s="0" t="s">
        <v>130</v>
      </c>
      <c r="AS1268" s="0" t="s">
        <v>130</v>
      </c>
      <c r="AT1268" s="0" t="s">
        <v>130</v>
      </c>
      <c r="AU1268" s="0" t="s">
        <v>130</v>
      </c>
      <c r="AV1268" s="0" t="s">
        <v>130</v>
      </c>
      <c r="AW1268" s="0" t="s">
        <v>130</v>
      </c>
      <c r="AX1268" s="0" t="s">
        <v>130</v>
      </c>
      <c r="AY1268" s="0" t="s">
        <v>130</v>
      </c>
      <c r="AZ1268" s="0" t="s">
        <v>130</v>
      </c>
      <c r="BA1268" s="0" t="s">
        <v>130</v>
      </c>
      <c r="BB1268" s="0" t="s">
        <v>130</v>
      </c>
      <c r="BC1268" s="0" t="s">
        <v>130</v>
      </c>
      <c r="BD1268" s="0" t="s">
        <v>130</v>
      </c>
      <c r="BE1268" s="0" t="s">
        <v>130</v>
      </c>
      <c r="BF1268" s="0" t="s">
        <v>130</v>
      </c>
      <c r="BG1268" s="0" t="s">
        <v>130</v>
      </c>
      <c r="BH1268" s="0" t="s">
        <v>130</v>
      </c>
      <c r="BI1268" s="0" t="s">
        <v>130</v>
      </c>
      <c r="BJ1268" s="0" t="s">
        <v>130</v>
      </c>
      <c r="BK1268" s="0" t="s">
        <v>130</v>
      </c>
      <c r="BL1268" s="0" t="s">
        <v>130</v>
      </c>
      <c r="BM1268" s="0" t="s">
        <v>130</v>
      </c>
      <c r="BN1268" s="0" t="s">
        <v>130</v>
      </c>
      <c r="BO1268" s="0" t="s">
        <v>130</v>
      </c>
      <c r="BP1268" s="0" t="s">
        <v>130</v>
      </c>
      <c r="BQ1268" s="0" t="s">
        <v>130</v>
      </c>
      <c r="BR1268" s="0" t="s">
        <v>130</v>
      </c>
      <c r="BS1268" s="0" t="s">
        <v>130</v>
      </c>
      <c r="BT1268" s="0" t="s">
        <v>130</v>
      </c>
      <c r="BU1268" s="0" t="s">
        <v>130</v>
      </c>
      <c r="BV1268" s="0" t="s">
        <v>130</v>
      </c>
      <c r="BW1268" s="0" t="s">
        <v>130</v>
      </c>
      <c r="BX1268" s="0" t="s">
        <v>130</v>
      </c>
      <c r="BY1268" s="0" t="s">
        <v>130</v>
      </c>
      <c r="BZ1268" s="0" t="s">
        <v>130</v>
      </c>
      <c r="CA1268" s="0" t="s">
        <v>130</v>
      </c>
      <c r="CB1268" s="0" t="s">
        <v>130</v>
      </c>
      <c r="CC1268" s="0" t="s">
        <v>130</v>
      </c>
      <c r="CD1268" s="0" t="s">
        <v>130</v>
      </c>
      <c r="CE1268" s="0" t="s">
        <v>130</v>
      </c>
      <c r="CF1268" s="0" t="s">
        <v>130</v>
      </c>
      <c r="CG1268" s="0" t="s">
        <v>130</v>
      </c>
      <c r="CH1268" s="0" t="s">
        <v>130</v>
      </c>
      <c r="CI1268" s="0" t="s">
        <v>130</v>
      </c>
      <c r="CJ1268" s="0" t="s">
        <v>130</v>
      </c>
      <c r="CK1268" s="0" t="s">
        <v>130</v>
      </c>
      <c r="CL1268" s="0" t="s">
        <v>130</v>
      </c>
      <c r="CM1268" s="0" t="s">
        <v>130</v>
      </c>
      <c r="CN1268" s="0" t="s">
        <v>130</v>
      </c>
      <c r="CO1268" s="0" t="s">
        <v>130</v>
      </c>
      <c r="CP1268" s="0" t="s">
        <v>130</v>
      </c>
      <c r="CQ1268" s="0" t="s">
        <v>130</v>
      </c>
      <c r="CR1268" s="0" t="s">
        <v>130</v>
      </c>
      <c r="CS1268" s="0" t="s">
        <v>130</v>
      </c>
      <c r="CT1268" s="0" t="s">
        <v>3739</v>
      </c>
    </row>
    <row r="1269">
      <c r="A1269" s="14">
        <v>368234</v>
      </c>
      <c r="B1269" s="0" t="s">
        <v>3736</v>
      </c>
      <c r="C1269" s="16">
        <f>HYPERLINK("https://eosportal.federatedhermes.com/companies/Q29tcGFueQppNjc3MzU=", "Advance Auto Parts Inc")</f>
      </c>
      <c r="D1269" s="0" t="s">
        <v>25</v>
      </c>
      <c r="E1269" s="0" t="s">
        <v>3740</v>
      </c>
      <c r="F1269" s="16">
        <f>HYPERLINK("https://eosportal.federatedhermes.com/engagements/RW5nYWdlbWVudAppMjY1NDQ=", "Workforce training")</f>
      </c>
      <c r="G1269" s="14" t="s">
        <v>3741</v>
      </c>
      <c r="H1269" s="0" t="s">
        <v>130</v>
      </c>
      <c r="I1269" s="14" t="s">
        <v>131</v>
      </c>
      <c r="J1269" s="0" t="s">
        <v>153</v>
      </c>
      <c r="K1269" s="0" t="s">
        <v>154</v>
      </c>
      <c r="L1269" s="0" t="s">
        <v>268</v>
      </c>
      <c r="M1269" s="0" t="s">
        <v>135</v>
      </c>
      <c r="N1269" s="0" t="s">
        <v>136</v>
      </c>
      <c r="O1269" s="0" t="s">
        <v>643</v>
      </c>
      <c r="Q1269" s="0" t="s">
        <v>130</v>
      </c>
      <c r="R1269" s="0" t="s">
        <v>138</v>
      </c>
      <c r="S1269" s="14">
        <v>0</v>
      </c>
      <c r="T1269" s="0" t="s">
        <v>583</v>
      </c>
      <c r="U1269" s="0" t="s">
        <v>138</v>
      </c>
      <c r="V1269" s="14" t="s">
        <v>138</v>
      </c>
      <c r="W1269" s="0" t="s">
        <v>138</v>
      </c>
      <c r="X1269" s="14" t="s">
        <v>138</v>
      </c>
      <c r="Y1269" s="0" t="s">
        <v>138</v>
      </c>
      <c r="Z1269" s="14" t="s">
        <v>138</v>
      </c>
      <c r="AA1269" s="0" t="s">
        <v>138</v>
      </c>
      <c r="AB1269" s="14" t="s">
        <v>138</v>
      </c>
      <c r="AD1269" s="0" t="s">
        <v>138</v>
      </c>
      <c r="AF1269" s="0">
        <v>0</v>
      </c>
      <c r="AG1269" s="0">
        <v>0</v>
      </c>
      <c r="AH1269" s="0" t="s">
        <v>140</v>
      </c>
      <c r="AI1269" s="0" t="s">
        <v>138</v>
      </c>
      <c r="AL1269" s="14"/>
      <c r="AN1269" s="14"/>
      <c r="AQ1269" s="0" t="s">
        <v>130</v>
      </c>
      <c r="AR1269" s="0" t="s">
        <v>130</v>
      </c>
      <c r="AS1269" s="0" t="s">
        <v>130</v>
      </c>
      <c r="AT1269" s="0" t="s">
        <v>130</v>
      </c>
      <c r="AU1269" s="0" t="s">
        <v>130</v>
      </c>
      <c r="AV1269" s="0" t="s">
        <v>130</v>
      </c>
      <c r="AW1269" s="0" t="s">
        <v>130</v>
      </c>
      <c r="AX1269" s="0" t="s">
        <v>130</v>
      </c>
      <c r="AY1269" s="0" t="s">
        <v>130</v>
      </c>
      <c r="AZ1269" s="0" t="s">
        <v>130</v>
      </c>
      <c r="BA1269" s="0" t="s">
        <v>130</v>
      </c>
      <c r="BB1269" s="0" t="s">
        <v>130</v>
      </c>
      <c r="BC1269" s="0" t="s">
        <v>130</v>
      </c>
      <c r="BD1269" s="0" t="s">
        <v>130</v>
      </c>
      <c r="BE1269" s="0" t="s">
        <v>130</v>
      </c>
      <c r="BF1269" s="0" t="s">
        <v>130</v>
      </c>
      <c r="BG1269" s="0" t="s">
        <v>130</v>
      </c>
      <c r="BH1269" s="0" t="s">
        <v>130</v>
      </c>
      <c r="BI1269" s="0" t="s">
        <v>130</v>
      </c>
      <c r="BJ1269" s="0" t="s">
        <v>130</v>
      </c>
      <c r="BK1269" s="0" t="s">
        <v>130</v>
      </c>
      <c r="BL1269" s="0" t="s">
        <v>130</v>
      </c>
      <c r="BM1269" s="0" t="s">
        <v>130</v>
      </c>
      <c r="BN1269" s="0" t="s">
        <v>130</v>
      </c>
      <c r="BO1269" s="0" t="s">
        <v>130</v>
      </c>
      <c r="BP1269" s="0" t="s">
        <v>130</v>
      </c>
      <c r="BQ1269" s="0" t="s">
        <v>130</v>
      </c>
      <c r="BR1269" s="0" t="s">
        <v>130</v>
      </c>
      <c r="BS1269" s="0" t="s">
        <v>130</v>
      </c>
      <c r="BT1269" s="0" t="s">
        <v>130</v>
      </c>
      <c r="BU1269" s="0" t="s">
        <v>130</v>
      </c>
      <c r="BV1269" s="0" t="s">
        <v>130</v>
      </c>
      <c r="BW1269" s="0" t="s">
        <v>130</v>
      </c>
      <c r="BX1269" s="0" t="s">
        <v>130</v>
      </c>
      <c r="BY1269" s="0" t="s">
        <v>130</v>
      </c>
      <c r="BZ1269" s="0" t="s">
        <v>130</v>
      </c>
      <c r="CA1269" s="0" t="s">
        <v>130</v>
      </c>
      <c r="CB1269" s="0" t="s">
        <v>130</v>
      </c>
      <c r="CC1269" s="0" t="s">
        <v>130</v>
      </c>
      <c r="CD1269" s="0" t="s">
        <v>130</v>
      </c>
      <c r="CE1269" s="0" t="s">
        <v>130</v>
      </c>
      <c r="CF1269" s="0" t="s">
        <v>130</v>
      </c>
      <c r="CG1269" s="0" t="s">
        <v>130</v>
      </c>
      <c r="CH1269" s="0" t="s">
        <v>130</v>
      </c>
      <c r="CI1269" s="0" t="s">
        <v>130</v>
      </c>
      <c r="CJ1269" s="0" t="s">
        <v>130</v>
      </c>
      <c r="CK1269" s="0" t="s">
        <v>141</v>
      </c>
      <c r="CL1269" s="0" t="s">
        <v>130</v>
      </c>
      <c r="CM1269" s="0" t="s">
        <v>130</v>
      </c>
      <c r="CN1269" s="0" t="s">
        <v>130</v>
      </c>
      <c r="CO1269" s="0" t="s">
        <v>130</v>
      </c>
      <c r="CP1269" s="0" t="s">
        <v>130</v>
      </c>
      <c r="CQ1269" s="0" t="s">
        <v>130</v>
      </c>
      <c r="CR1269" s="0" t="s">
        <v>130</v>
      </c>
      <c r="CS1269" s="0" t="s">
        <v>130</v>
      </c>
      <c r="CT1269" s="0" t="s">
        <v>3742</v>
      </c>
    </row>
    <row r="1270">
      <c r="A1270" s="14">
        <v>368234</v>
      </c>
      <c r="B1270" s="0" t="s">
        <v>3736</v>
      </c>
      <c r="C1270" s="16">
        <f>HYPERLINK("https://eosportal.federatedhermes.com/companies/Q29tcGFueQppNjc3MzU=", "Advance Auto Parts Inc")</f>
      </c>
      <c r="D1270" s="0" t="s">
        <v>23</v>
      </c>
      <c r="E1270" s="0" t="s">
        <v>3743</v>
      </c>
      <c r="F1270" s="16">
        <f>HYPERLINK("https://eosportal.federatedhermes.com/engagements/RW5nYWdlbWVudAppMjY1NDU=", "Human rights in supply chain")</f>
      </c>
      <c r="G1270" s="14" t="s">
        <v>3744</v>
      </c>
      <c r="H1270" s="0" t="s">
        <v>130</v>
      </c>
      <c r="I1270" s="14" t="s">
        <v>131</v>
      </c>
      <c r="J1270" s="0" t="s">
        <v>153</v>
      </c>
      <c r="K1270" s="0" t="s">
        <v>243</v>
      </c>
      <c r="L1270" s="0" t="s">
        <v>244</v>
      </c>
      <c r="M1270" s="0" t="s">
        <v>135</v>
      </c>
      <c r="N1270" s="0" t="s">
        <v>136</v>
      </c>
      <c r="O1270" s="0" t="s">
        <v>643</v>
      </c>
      <c r="Q1270" s="0" t="s">
        <v>141</v>
      </c>
      <c r="R1270" s="0" t="s">
        <v>130</v>
      </c>
      <c r="S1270" s="14">
        <v>1</v>
      </c>
      <c r="T1270" s="0" t="s">
        <v>583</v>
      </c>
      <c r="U1270" s="0" t="s">
        <v>221</v>
      </c>
      <c r="V1270" s="14" t="s">
        <v>583</v>
      </c>
      <c r="W1270" s="0" t="s">
        <v>221</v>
      </c>
      <c r="X1270" s="14" t="s">
        <v>583</v>
      </c>
      <c r="Y1270" s="0" t="s">
        <v>223</v>
      </c>
      <c r="Z1270" s="14" t="s">
        <v>138</v>
      </c>
      <c r="AA1270" s="0" t="s">
        <v>224</v>
      </c>
      <c r="AB1270" s="14" t="s">
        <v>138</v>
      </c>
      <c r="AD1270" s="0" t="s">
        <v>17</v>
      </c>
      <c r="AF1270" s="0">
        <v>0</v>
      </c>
      <c r="AG1270" s="0">
        <v>0</v>
      </c>
      <c r="AH1270" s="0" t="s">
        <v>140</v>
      </c>
      <c r="AI1270" s="0" t="s">
        <v>232</v>
      </c>
      <c r="AK1270" s="0" t="s">
        <v>2044</v>
      </c>
      <c r="AL1270" s="14"/>
      <c r="AN1270" s="14"/>
      <c r="AQ1270" s="0" t="s">
        <v>130</v>
      </c>
      <c r="AR1270" s="0" t="s">
        <v>130</v>
      </c>
      <c r="AS1270" s="0" t="s">
        <v>130</v>
      </c>
      <c r="AT1270" s="0" t="s">
        <v>130</v>
      </c>
      <c r="AU1270" s="0" t="s">
        <v>130</v>
      </c>
      <c r="AV1270" s="0" t="s">
        <v>130</v>
      </c>
      <c r="AW1270" s="0" t="s">
        <v>130</v>
      </c>
      <c r="AX1270" s="0" t="s">
        <v>141</v>
      </c>
      <c r="AY1270" s="0" t="s">
        <v>130</v>
      </c>
      <c r="AZ1270" s="0" t="s">
        <v>130</v>
      </c>
      <c r="BA1270" s="0" t="s">
        <v>130</v>
      </c>
      <c r="BB1270" s="0" t="s">
        <v>130</v>
      </c>
      <c r="BC1270" s="0" t="s">
        <v>130</v>
      </c>
      <c r="BD1270" s="0" t="s">
        <v>130</v>
      </c>
      <c r="BE1270" s="0" t="s">
        <v>130</v>
      </c>
      <c r="BF1270" s="0" t="s">
        <v>130</v>
      </c>
      <c r="BG1270" s="0" t="s">
        <v>130</v>
      </c>
      <c r="BH1270" s="0" t="s">
        <v>130</v>
      </c>
      <c r="BI1270" s="0" t="s">
        <v>130</v>
      </c>
      <c r="BJ1270" s="0" t="s">
        <v>130</v>
      </c>
      <c r="BK1270" s="0" t="s">
        <v>130</v>
      </c>
      <c r="BL1270" s="0" t="s">
        <v>130</v>
      </c>
      <c r="BM1270" s="0" t="s">
        <v>130</v>
      </c>
      <c r="BN1270" s="0" t="s">
        <v>130</v>
      </c>
      <c r="BO1270" s="0" t="s">
        <v>130</v>
      </c>
      <c r="BP1270" s="0" t="s">
        <v>130</v>
      </c>
      <c r="BQ1270" s="0" t="s">
        <v>130</v>
      </c>
      <c r="BR1270" s="0" t="s">
        <v>130</v>
      </c>
      <c r="BS1270" s="0" t="s">
        <v>130</v>
      </c>
      <c r="BT1270" s="0" t="s">
        <v>130</v>
      </c>
      <c r="BU1270" s="0" t="s">
        <v>130</v>
      </c>
      <c r="BV1270" s="0" t="s">
        <v>130</v>
      </c>
      <c r="BW1270" s="0" t="s">
        <v>130</v>
      </c>
      <c r="BX1270" s="0" t="s">
        <v>130</v>
      </c>
      <c r="BY1270" s="0" t="s">
        <v>130</v>
      </c>
      <c r="BZ1270" s="0" t="s">
        <v>130</v>
      </c>
      <c r="CA1270" s="0" t="s">
        <v>130</v>
      </c>
      <c r="CB1270" s="0" t="s">
        <v>130</v>
      </c>
      <c r="CC1270" s="0" t="s">
        <v>130</v>
      </c>
      <c r="CD1270" s="0" t="s">
        <v>130</v>
      </c>
      <c r="CE1270" s="0" t="s">
        <v>130</v>
      </c>
      <c r="CF1270" s="0" t="s">
        <v>130</v>
      </c>
      <c r="CG1270" s="0" t="s">
        <v>130</v>
      </c>
      <c r="CH1270" s="0" t="s">
        <v>130</v>
      </c>
      <c r="CI1270" s="0" t="s">
        <v>130</v>
      </c>
      <c r="CJ1270" s="0" t="s">
        <v>130</v>
      </c>
      <c r="CK1270" s="0" t="s">
        <v>130</v>
      </c>
      <c r="CL1270" s="0" t="s">
        <v>130</v>
      </c>
      <c r="CM1270" s="0" t="s">
        <v>130</v>
      </c>
      <c r="CN1270" s="0" t="s">
        <v>130</v>
      </c>
      <c r="CO1270" s="0" t="s">
        <v>130</v>
      </c>
      <c r="CP1270" s="0" t="s">
        <v>130</v>
      </c>
      <c r="CQ1270" s="0" t="s">
        <v>130</v>
      </c>
      <c r="CR1270" s="0" t="s">
        <v>130</v>
      </c>
      <c r="CS1270" s="0" t="s">
        <v>130</v>
      </c>
      <c r="CT1270" s="0" t="s">
        <v>3745</v>
      </c>
    </row>
    <row r="1271">
      <c r="A1271" s="14">
        <v>368234</v>
      </c>
      <c r="B1271" s="0" t="s">
        <v>3736</v>
      </c>
      <c r="C1271" s="16">
        <f>HYPERLINK("https://eosportal.federatedhermes.com/companies/Q29tcGFueQppNjc3MzU=", "Advance Auto Parts Inc")</f>
      </c>
      <c r="D1271" s="0" t="s">
        <v>23</v>
      </c>
      <c r="E1271" s="0" t="s">
        <v>3746</v>
      </c>
      <c r="F1271" s="16">
        <f>HYPERLINK("https://eosportal.federatedhermes.com/engagements/RW5nYWdlbWVudAppMjY1NDY=", "Talent management strategy focused on senior management and workforce.")</f>
      </c>
      <c r="G1271" s="14" t="s">
        <v>3747</v>
      </c>
      <c r="H1271" s="0" t="s">
        <v>130</v>
      </c>
      <c r="I1271" s="14" t="s">
        <v>131</v>
      </c>
      <c r="J1271" s="0" t="s">
        <v>153</v>
      </c>
      <c r="K1271" s="0" t="s">
        <v>154</v>
      </c>
      <c r="L1271" s="0" t="s">
        <v>268</v>
      </c>
      <c r="M1271" s="0" t="s">
        <v>135</v>
      </c>
      <c r="N1271" s="0" t="s">
        <v>136</v>
      </c>
      <c r="O1271" s="0" t="s">
        <v>643</v>
      </c>
      <c r="Q1271" s="0" t="s">
        <v>130</v>
      </c>
      <c r="R1271" s="0" t="s">
        <v>130</v>
      </c>
      <c r="S1271" s="14">
        <v>0</v>
      </c>
      <c r="T1271" s="0" t="s">
        <v>583</v>
      </c>
      <c r="U1271" s="0" t="s">
        <v>221</v>
      </c>
      <c r="V1271" s="14" t="s">
        <v>583</v>
      </c>
      <c r="W1271" s="0" t="s">
        <v>221</v>
      </c>
      <c r="X1271" s="14" t="s">
        <v>583</v>
      </c>
      <c r="Y1271" s="0" t="s">
        <v>221</v>
      </c>
      <c r="Z1271" s="14" t="s">
        <v>231</v>
      </c>
      <c r="AA1271" s="0" t="s">
        <v>1255</v>
      </c>
      <c r="AB1271" s="14" t="s">
        <v>361</v>
      </c>
      <c r="AD1271" s="0" t="s">
        <v>1256</v>
      </c>
      <c r="AF1271" s="0">
        <v>0</v>
      </c>
      <c r="AG1271" s="0">
        <v>0</v>
      </c>
      <c r="AH1271" s="0" t="s">
        <v>140</v>
      </c>
      <c r="AI1271" s="0" t="s">
        <v>1255</v>
      </c>
      <c r="AJ1271" s="0" t="s">
        <v>3748</v>
      </c>
      <c r="AL1271" s="14"/>
      <c r="AN1271" s="14"/>
      <c r="AQ1271" s="0" t="s">
        <v>130</v>
      </c>
      <c r="AR1271" s="0" t="s">
        <v>130</v>
      </c>
      <c r="AS1271" s="0" t="s">
        <v>130</v>
      </c>
      <c r="AT1271" s="0" t="s">
        <v>130</v>
      </c>
      <c r="AU1271" s="0" t="s">
        <v>130</v>
      </c>
      <c r="AV1271" s="0" t="s">
        <v>130</v>
      </c>
      <c r="AW1271" s="0" t="s">
        <v>130</v>
      </c>
      <c r="AX1271" s="0" t="s">
        <v>130</v>
      </c>
      <c r="AY1271" s="0" t="s">
        <v>130</v>
      </c>
      <c r="AZ1271" s="0" t="s">
        <v>130</v>
      </c>
      <c r="BA1271" s="0" t="s">
        <v>130</v>
      </c>
      <c r="BB1271" s="0" t="s">
        <v>130</v>
      </c>
      <c r="BC1271" s="0" t="s">
        <v>130</v>
      </c>
      <c r="BD1271" s="0" t="s">
        <v>130</v>
      </c>
      <c r="BE1271" s="0" t="s">
        <v>130</v>
      </c>
      <c r="BF1271" s="0" t="s">
        <v>130</v>
      </c>
      <c r="BG1271" s="0" t="s">
        <v>130</v>
      </c>
      <c r="BH1271" s="0" t="s">
        <v>130</v>
      </c>
      <c r="BI1271" s="0" t="s">
        <v>130</v>
      </c>
      <c r="BJ1271" s="0" t="s">
        <v>130</v>
      </c>
      <c r="BK1271" s="0" t="s">
        <v>130</v>
      </c>
      <c r="BL1271" s="0" t="s">
        <v>130</v>
      </c>
      <c r="BM1271" s="0" t="s">
        <v>130</v>
      </c>
      <c r="BN1271" s="0" t="s">
        <v>130</v>
      </c>
      <c r="BO1271" s="0" t="s">
        <v>130</v>
      </c>
      <c r="BP1271" s="0" t="s">
        <v>130</v>
      </c>
      <c r="BQ1271" s="0" t="s">
        <v>130</v>
      </c>
      <c r="BR1271" s="0" t="s">
        <v>130</v>
      </c>
      <c r="BS1271" s="0" t="s">
        <v>130</v>
      </c>
      <c r="BT1271" s="0" t="s">
        <v>130</v>
      </c>
      <c r="BU1271" s="0" t="s">
        <v>130</v>
      </c>
      <c r="BV1271" s="0" t="s">
        <v>130</v>
      </c>
      <c r="BW1271" s="0" t="s">
        <v>130</v>
      </c>
      <c r="BX1271" s="0" t="s">
        <v>130</v>
      </c>
      <c r="BY1271" s="0" t="s">
        <v>130</v>
      </c>
      <c r="BZ1271" s="0" t="s">
        <v>130</v>
      </c>
      <c r="CA1271" s="0" t="s">
        <v>130</v>
      </c>
      <c r="CB1271" s="0" t="s">
        <v>130</v>
      </c>
      <c r="CC1271" s="0" t="s">
        <v>130</v>
      </c>
      <c r="CD1271" s="0" t="s">
        <v>130</v>
      </c>
      <c r="CE1271" s="0" t="s">
        <v>130</v>
      </c>
      <c r="CF1271" s="0" t="s">
        <v>130</v>
      </c>
      <c r="CG1271" s="0" t="s">
        <v>130</v>
      </c>
      <c r="CH1271" s="0" t="s">
        <v>130</v>
      </c>
      <c r="CI1271" s="0" t="s">
        <v>130</v>
      </c>
      <c r="CJ1271" s="0" t="s">
        <v>130</v>
      </c>
      <c r="CK1271" s="0" t="s">
        <v>141</v>
      </c>
      <c r="CL1271" s="0" t="s">
        <v>130</v>
      </c>
      <c r="CM1271" s="0" t="s">
        <v>130</v>
      </c>
      <c r="CN1271" s="0" t="s">
        <v>130</v>
      </c>
      <c r="CO1271" s="0" t="s">
        <v>130</v>
      </c>
      <c r="CP1271" s="0" t="s">
        <v>130</v>
      </c>
      <c r="CQ1271" s="0" t="s">
        <v>130</v>
      </c>
      <c r="CR1271" s="0" t="s">
        <v>130</v>
      </c>
      <c r="CS1271" s="0" t="s">
        <v>130</v>
      </c>
      <c r="CT1271" s="0" t="s">
        <v>3749</v>
      </c>
    </row>
    <row r="1272">
      <c r="A1272" s="14">
        <v>368234</v>
      </c>
      <c r="B1272" s="0" t="s">
        <v>3736</v>
      </c>
      <c r="C1272" s="16">
        <f>HYPERLINK("https://eosportal.federatedhermes.com/companies/Q29tcGFueQppNjc3MzU=", "Advance Auto Parts Inc")</f>
      </c>
      <c r="D1272" s="0" t="s">
        <v>23</v>
      </c>
      <c r="E1272" s="0" t="s">
        <v>228</v>
      </c>
      <c r="F1272" s="16">
        <f>HYPERLINK("https://eosportal.federatedhermes.com/engagements/RW5nYWdlbWVudAppMjY1NDc=", "Climate strategy")</f>
      </c>
      <c r="G1272" s="14" t="s">
        <v>477</v>
      </c>
      <c r="H1272" s="0" t="s">
        <v>130</v>
      </c>
      <c r="I1272" s="14" t="s">
        <v>131</v>
      </c>
      <c r="J1272" s="0" t="s">
        <v>197</v>
      </c>
      <c r="K1272" s="0" t="s">
        <v>198</v>
      </c>
      <c r="L1272" s="0" t="s">
        <v>220</v>
      </c>
      <c r="M1272" s="0" t="s">
        <v>135</v>
      </c>
      <c r="N1272" s="0" t="s">
        <v>136</v>
      </c>
      <c r="O1272" s="0" t="s">
        <v>643</v>
      </c>
      <c r="Q1272" s="0" t="s">
        <v>130</v>
      </c>
      <c r="R1272" s="0" t="s">
        <v>130</v>
      </c>
      <c r="S1272" s="14">
        <v>0</v>
      </c>
      <c r="T1272" s="0" t="s">
        <v>583</v>
      </c>
      <c r="U1272" s="0" t="s">
        <v>221</v>
      </c>
      <c r="V1272" s="14" t="s">
        <v>583</v>
      </c>
      <c r="W1272" s="0" t="s">
        <v>221</v>
      </c>
      <c r="X1272" s="14" t="s">
        <v>583</v>
      </c>
      <c r="Y1272" s="0" t="s">
        <v>223</v>
      </c>
      <c r="Z1272" s="14" t="s">
        <v>138</v>
      </c>
      <c r="AA1272" s="0" t="s">
        <v>224</v>
      </c>
      <c r="AB1272" s="14" t="s">
        <v>138</v>
      </c>
      <c r="AD1272" s="0" t="s">
        <v>17</v>
      </c>
      <c r="AF1272" s="0">
        <v>0</v>
      </c>
      <c r="AG1272" s="0">
        <v>0</v>
      </c>
      <c r="AH1272" s="0" t="s">
        <v>140</v>
      </c>
      <c r="AI1272" s="0" t="s">
        <v>232</v>
      </c>
      <c r="AL1272" s="14"/>
      <c r="AN1272" s="14"/>
      <c r="AQ1272" s="0" t="s">
        <v>130</v>
      </c>
      <c r="AR1272" s="0" t="s">
        <v>130</v>
      </c>
      <c r="AS1272" s="0" t="s">
        <v>130</v>
      </c>
      <c r="AT1272" s="0" t="s">
        <v>130</v>
      </c>
      <c r="AU1272" s="0" t="s">
        <v>130</v>
      </c>
      <c r="AV1272" s="0" t="s">
        <v>130</v>
      </c>
      <c r="AW1272" s="0" t="s">
        <v>141</v>
      </c>
      <c r="AX1272" s="0" t="s">
        <v>130</v>
      </c>
      <c r="AY1272" s="0" t="s">
        <v>141</v>
      </c>
      <c r="AZ1272" s="0" t="s">
        <v>130</v>
      </c>
      <c r="BA1272" s="0" t="s">
        <v>130</v>
      </c>
      <c r="BB1272" s="0" t="s">
        <v>130</v>
      </c>
      <c r="BC1272" s="0" t="s">
        <v>141</v>
      </c>
      <c r="BD1272" s="0" t="s">
        <v>130</v>
      </c>
      <c r="BE1272" s="0" t="s">
        <v>130</v>
      </c>
      <c r="BF1272" s="0" t="s">
        <v>130</v>
      </c>
      <c r="BG1272" s="0" t="s">
        <v>130</v>
      </c>
      <c r="BH1272" s="0" t="s">
        <v>141</v>
      </c>
      <c r="BI1272" s="0" t="s">
        <v>141</v>
      </c>
      <c r="BJ1272" s="0" t="s">
        <v>141</v>
      </c>
      <c r="BK1272" s="0" t="s">
        <v>130</v>
      </c>
      <c r="BL1272" s="0" t="s">
        <v>130</v>
      </c>
      <c r="BM1272" s="0" t="s">
        <v>130</v>
      </c>
      <c r="BN1272" s="0" t="s">
        <v>130</v>
      </c>
      <c r="BO1272" s="0" t="s">
        <v>130</v>
      </c>
      <c r="BP1272" s="0" t="s">
        <v>130</v>
      </c>
      <c r="BQ1272" s="0" t="s">
        <v>130</v>
      </c>
      <c r="BR1272" s="0" t="s">
        <v>130</v>
      </c>
      <c r="BS1272" s="0" t="s">
        <v>130</v>
      </c>
      <c r="BT1272" s="0" t="s">
        <v>130</v>
      </c>
      <c r="BU1272" s="0" t="s">
        <v>130</v>
      </c>
      <c r="BV1272" s="0" t="s">
        <v>141</v>
      </c>
      <c r="BW1272" s="0" t="s">
        <v>141</v>
      </c>
      <c r="BX1272" s="0" t="s">
        <v>130</v>
      </c>
      <c r="BY1272" s="0" t="s">
        <v>130</v>
      </c>
      <c r="BZ1272" s="0" t="s">
        <v>130</v>
      </c>
      <c r="CA1272" s="0" t="s">
        <v>130</v>
      </c>
      <c r="CB1272" s="0" t="s">
        <v>130</v>
      </c>
      <c r="CC1272" s="0" t="s">
        <v>130</v>
      </c>
      <c r="CD1272" s="0" t="s">
        <v>130</v>
      </c>
      <c r="CE1272" s="0" t="s">
        <v>130</v>
      </c>
      <c r="CF1272" s="0" t="s">
        <v>130</v>
      </c>
      <c r="CG1272" s="0" t="s">
        <v>130</v>
      </c>
      <c r="CH1272" s="0" t="s">
        <v>130</v>
      </c>
      <c r="CI1272" s="0" t="s">
        <v>130</v>
      </c>
      <c r="CJ1272" s="0" t="s">
        <v>130</v>
      </c>
      <c r="CK1272" s="0" t="s">
        <v>130</v>
      </c>
      <c r="CL1272" s="0" t="s">
        <v>130</v>
      </c>
      <c r="CM1272" s="0" t="s">
        <v>130</v>
      </c>
      <c r="CN1272" s="0" t="s">
        <v>130</v>
      </c>
      <c r="CO1272" s="0" t="s">
        <v>130</v>
      </c>
      <c r="CP1272" s="0" t="s">
        <v>130</v>
      </c>
      <c r="CQ1272" s="0" t="s">
        <v>130</v>
      </c>
      <c r="CR1272" s="0" t="s">
        <v>130</v>
      </c>
      <c r="CS1272" s="0" t="s">
        <v>130</v>
      </c>
      <c r="CT1272" s="0" t="s">
        <v>3750</v>
      </c>
    </row>
    <row r="1273">
      <c r="A1273" s="14">
        <v>376102</v>
      </c>
      <c r="B1273" s="0" t="s">
        <v>3751</v>
      </c>
      <c r="C1273" s="16">
        <f>HYPERLINK("https://eosportal.federatedhermes.com/companies/Q29tcGFueQppNTU3NDY=", "Carter's Inc")</f>
      </c>
      <c r="D1273" s="0" t="s">
        <v>25</v>
      </c>
      <c r="E1273" s="0" t="s">
        <v>459</v>
      </c>
      <c r="F1273" s="16">
        <f>HYPERLINK("https://eosportal.federatedhermes.com/engagements/RW5nYWdlbWVudAppMjY1NTI=", "Human capital management")</f>
      </c>
      <c r="G1273" s="14" t="s">
        <v>3752</v>
      </c>
      <c r="H1273" s="0" t="s">
        <v>130</v>
      </c>
      <c r="I1273" s="14" t="s">
        <v>319</v>
      </c>
      <c r="J1273" s="0" t="s">
        <v>153</v>
      </c>
      <c r="K1273" s="0" t="s">
        <v>154</v>
      </c>
      <c r="L1273" s="0" t="s">
        <v>268</v>
      </c>
      <c r="M1273" s="0" t="s">
        <v>135</v>
      </c>
      <c r="N1273" s="0" t="s">
        <v>136</v>
      </c>
      <c r="O1273" s="0" t="s">
        <v>332</v>
      </c>
      <c r="Q1273" s="0" t="s">
        <v>141</v>
      </c>
      <c r="R1273" s="0" t="s">
        <v>138</v>
      </c>
      <c r="S1273" s="14">
        <v>2</v>
      </c>
      <c r="T1273" s="0" t="s">
        <v>303</v>
      </c>
      <c r="U1273" s="0" t="s">
        <v>138</v>
      </c>
      <c r="V1273" s="14" t="s">
        <v>138</v>
      </c>
      <c r="W1273" s="0" t="s">
        <v>138</v>
      </c>
      <c r="X1273" s="14" t="s">
        <v>138</v>
      </c>
      <c r="Y1273" s="0" t="s">
        <v>138</v>
      </c>
      <c r="Z1273" s="14" t="s">
        <v>138</v>
      </c>
      <c r="AA1273" s="0" t="s">
        <v>138</v>
      </c>
      <c r="AB1273" s="14" t="s">
        <v>138</v>
      </c>
      <c r="AD1273" s="0" t="s">
        <v>138</v>
      </c>
      <c r="AF1273" s="0">
        <v>0</v>
      </c>
      <c r="AG1273" s="0">
        <v>0</v>
      </c>
      <c r="AH1273" s="0" t="s">
        <v>140</v>
      </c>
      <c r="AI1273" s="0" t="s">
        <v>138</v>
      </c>
      <c r="AK1273" s="0" t="s">
        <v>3753</v>
      </c>
      <c r="AL1273" s="14"/>
      <c r="AN1273" s="14"/>
      <c r="AQ1273" s="0" t="s">
        <v>130</v>
      </c>
      <c r="AR1273" s="0" t="s">
        <v>130</v>
      </c>
      <c r="AS1273" s="0" t="s">
        <v>130</v>
      </c>
      <c r="AT1273" s="0" t="s">
        <v>130</v>
      </c>
      <c r="AU1273" s="0" t="s">
        <v>130</v>
      </c>
      <c r="AV1273" s="0" t="s">
        <v>130</v>
      </c>
      <c r="AW1273" s="0" t="s">
        <v>130</v>
      </c>
      <c r="AX1273" s="0" t="s">
        <v>130</v>
      </c>
      <c r="AY1273" s="0" t="s">
        <v>130</v>
      </c>
      <c r="AZ1273" s="0" t="s">
        <v>130</v>
      </c>
      <c r="BA1273" s="0" t="s">
        <v>130</v>
      </c>
      <c r="BB1273" s="0" t="s">
        <v>130</v>
      </c>
      <c r="BC1273" s="0" t="s">
        <v>130</v>
      </c>
      <c r="BD1273" s="0" t="s">
        <v>130</v>
      </c>
      <c r="BE1273" s="0" t="s">
        <v>130</v>
      </c>
      <c r="BF1273" s="0" t="s">
        <v>130</v>
      </c>
      <c r="BG1273" s="0" t="s">
        <v>130</v>
      </c>
      <c r="BH1273" s="0" t="s">
        <v>130</v>
      </c>
      <c r="BI1273" s="0" t="s">
        <v>130</v>
      </c>
      <c r="BJ1273" s="0" t="s">
        <v>130</v>
      </c>
      <c r="BK1273" s="0" t="s">
        <v>130</v>
      </c>
      <c r="BL1273" s="0" t="s">
        <v>130</v>
      </c>
      <c r="BM1273" s="0" t="s">
        <v>130</v>
      </c>
      <c r="BN1273" s="0" t="s">
        <v>130</v>
      </c>
      <c r="BO1273" s="0" t="s">
        <v>130</v>
      </c>
      <c r="BP1273" s="0" t="s">
        <v>130</v>
      </c>
      <c r="BQ1273" s="0" t="s">
        <v>130</v>
      </c>
      <c r="BR1273" s="0" t="s">
        <v>130</v>
      </c>
      <c r="BS1273" s="0" t="s">
        <v>130</v>
      </c>
      <c r="BT1273" s="0" t="s">
        <v>130</v>
      </c>
      <c r="BU1273" s="0" t="s">
        <v>130</v>
      </c>
      <c r="BV1273" s="0" t="s">
        <v>130</v>
      </c>
      <c r="BW1273" s="0" t="s">
        <v>130</v>
      </c>
      <c r="BX1273" s="0" t="s">
        <v>130</v>
      </c>
      <c r="BY1273" s="0" t="s">
        <v>130</v>
      </c>
      <c r="BZ1273" s="0" t="s">
        <v>130</v>
      </c>
      <c r="CA1273" s="0" t="s">
        <v>130</v>
      </c>
      <c r="CB1273" s="0" t="s">
        <v>130</v>
      </c>
      <c r="CC1273" s="0" t="s">
        <v>130</v>
      </c>
      <c r="CD1273" s="0" t="s">
        <v>130</v>
      </c>
      <c r="CE1273" s="0" t="s">
        <v>130</v>
      </c>
      <c r="CF1273" s="0" t="s">
        <v>130</v>
      </c>
      <c r="CG1273" s="0" t="s">
        <v>130</v>
      </c>
      <c r="CH1273" s="0" t="s">
        <v>130</v>
      </c>
      <c r="CI1273" s="0" t="s">
        <v>130</v>
      </c>
      <c r="CJ1273" s="0" t="s">
        <v>130</v>
      </c>
      <c r="CK1273" s="0" t="s">
        <v>141</v>
      </c>
      <c r="CL1273" s="0" t="s">
        <v>130</v>
      </c>
      <c r="CM1273" s="0" t="s">
        <v>130</v>
      </c>
      <c r="CN1273" s="0" t="s">
        <v>130</v>
      </c>
      <c r="CO1273" s="0" t="s">
        <v>130</v>
      </c>
      <c r="CP1273" s="0" t="s">
        <v>130</v>
      </c>
      <c r="CQ1273" s="0" t="s">
        <v>130</v>
      </c>
      <c r="CR1273" s="0" t="s">
        <v>130</v>
      </c>
      <c r="CS1273" s="0" t="s">
        <v>130</v>
      </c>
      <c r="CT1273" s="0" t="s">
        <v>3754</v>
      </c>
    </row>
    <row r="1274">
      <c r="A1274" s="14">
        <v>376102</v>
      </c>
      <c r="B1274" s="0" t="s">
        <v>3751</v>
      </c>
      <c r="C1274" s="16">
        <f>HYPERLINK("https://eosportal.federatedhermes.com/companies/Q29tcGFueQppNTU3NDY=", "Carter's Inc")</f>
      </c>
      <c r="D1274" s="0" t="s">
        <v>25</v>
      </c>
      <c r="E1274" s="0" t="s">
        <v>3755</v>
      </c>
      <c r="F1274" s="16">
        <f>HYPERLINK("https://eosportal.federatedhermes.com/engagements/RW5nYWdlbWVudAppMjY1NTY=", "Value chain rights")</f>
      </c>
      <c r="G1274" s="14" t="s">
        <v>3756</v>
      </c>
      <c r="H1274" s="0" t="s">
        <v>130</v>
      </c>
      <c r="I1274" s="14" t="s">
        <v>319</v>
      </c>
      <c r="J1274" s="0" t="s">
        <v>153</v>
      </c>
      <c r="K1274" s="0" t="s">
        <v>243</v>
      </c>
      <c r="L1274" s="0" t="s">
        <v>244</v>
      </c>
      <c r="M1274" s="0" t="s">
        <v>135</v>
      </c>
      <c r="N1274" s="0" t="s">
        <v>136</v>
      </c>
      <c r="O1274" s="0" t="s">
        <v>332</v>
      </c>
      <c r="Q1274" s="0" t="s">
        <v>141</v>
      </c>
      <c r="R1274" s="0" t="s">
        <v>138</v>
      </c>
      <c r="S1274" s="14">
        <v>3</v>
      </c>
      <c r="T1274" s="0" t="s">
        <v>231</v>
      </c>
      <c r="U1274" s="0" t="s">
        <v>138</v>
      </c>
      <c r="V1274" s="14" t="s">
        <v>138</v>
      </c>
      <c r="W1274" s="0" t="s">
        <v>138</v>
      </c>
      <c r="X1274" s="14" t="s">
        <v>138</v>
      </c>
      <c r="Y1274" s="0" t="s">
        <v>138</v>
      </c>
      <c r="Z1274" s="14" t="s">
        <v>138</v>
      </c>
      <c r="AA1274" s="0" t="s">
        <v>138</v>
      </c>
      <c r="AB1274" s="14" t="s">
        <v>138</v>
      </c>
      <c r="AD1274" s="0" t="s">
        <v>138</v>
      </c>
      <c r="AF1274" s="0">
        <v>0</v>
      </c>
      <c r="AG1274" s="0">
        <v>0</v>
      </c>
      <c r="AH1274" s="0" t="s">
        <v>140</v>
      </c>
      <c r="AI1274" s="0" t="s">
        <v>138</v>
      </c>
      <c r="AK1274" s="0" t="s">
        <v>3753</v>
      </c>
      <c r="AL1274" s="14"/>
      <c r="AN1274" s="14"/>
      <c r="AQ1274" s="0" t="s">
        <v>130</v>
      </c>
      <c r="AR1274" s="0" t="s">
        <v>130</v>
      </c>
      <c r="AS1274" s="0" t="s">
        <v>130</v>
      </c>
      <c r="AT1274" s="0" t="s">
        <v>130</v>
      </c>
      <c r="AU1274" s="0" t="s">
        <v>130</v>
      </c>
      <c r="AV1274" s="0" t="s">
        <v>130</v>
      </c>
      <c r="AW1274" s="0" t="s">
        <v>130</v>
      </c>
      <c r="AX1274" s="0" t="s">
        <v>141</v>
      </c>
      <c r="AY1274" s="0" t="s">
        <v>130</v>
      </c>
      <c r="AZ1274" s="0" t="s">
        <v>130</v>
      </c>
      <c r="BA1274" s="0" t="s">
        <v>130</v>
      </c>
      <c r="BB1274" s="0" t="s">
        <v>130</v>
      </c>
      <c r="BC1274" s="0" t="s">
        <v>130</v>
      </c>
      <c r="BD1274" s="0" t="s">
        <v>130</v>
      </c>
      <c r="BE1274" s="0" t="s">
        <v>130</v>
      </c>
      <c r="BF1274" s="0" t="s">
        <v>130</v>
      </c>
      <c r="BG1274" s="0" t="s">
        <v>130</v>
      </c>
      <c r="BH1274" s="0" t="s">
        <v>130</v>
      </c>
      <c r="BI1274" s="0" t="s">
        <v>130</v>
      </c>
      <c r="BJ1274" s="0" t="s">
        <v>130</v>
      </c>
      <c r="BK1274" s="0" t="s">
        <v>130</v>
      </c>
      <c r="BL1274" s="0" t="s">
        <v>130</v>
      </c>
      <c r="BM1274" s="0" t="s">
        <v>130</v>
      </c>
      <c r="BN1274" s="0" t="s">
        <v>130</v>
      </c>
      <c r="BO1274" s="0" t="s">
        <v>130</v>
      </c>
      <c r="BP1274" s="0" t="s">
        <v>130</v>
      </c>
      <c r="BQ1274" s="0" t="s">
        <v>130</v>
      </c>
      <c r="BR1274" s="0" t="s">
        <v>130</v>
      </c>
      <c r="BS1274" s="0" t="s">
        <v>130</v>
      </c>
      <c r="BT1274" s="0" t="s">
        <v>130</v>
      </c>
      <c r="BU1274" s="0" t="s">
        <v>130</v>
      </c>
      <c r="BV1274" s="0" t="s">
        <v>130</v>
      </c>
      <c r="BW1274" s="0" t="s">
        <v>130</v>
      </c>
      <c r="BX1274" s="0" t="s">
        <v>130</v>
      </c>
      <c r="BY1274" s="0" t="s">
        <v>130</v>
      </c>
      <c r="BZ1274" s="0" t="s">
        <v>130</v>
      </c>
      <c r="CA1274" s="0" t="s">
        <v>130</v>
      </c>
      <c r="CB1274" s="0" t="s">
        <v>130</v>
      </c>
      <c r="CC1274" s="0" t="s">
        <v>130</v>
      </c>
      <c r="CD1274" s="0" t="s">
        <v>130</v>
      </c>
      <c r="CE1274" s="0" t="s">
        <v>130</v>
      </c>
      <c r="CF1274" s="0" t="s">
        <v>130</v>
      </c>
      <c r="CG1274" s="0" t="s">
        <v>130</v>
      </c>
      <c r="CH1274" s="0" t="s">
        <v>130</v>
      </c>
      <c r="CI1274" s="0" t="s">
        <v>130</v>
      </c>
      <c r="CJ1274" s="0" t="s">
        <v>130</v>
      </c>
      <c r="CK1274" s="0" t="s">
        <v>130</v>
      </c>
      <c r="CL1274" s="0" t="s">
        <v>130</v>
      </c>
      <c r="CM1274" s="0" t="s">
        <v>130</v>
      </c>
      <c r="CN1274" s="0" t="s">
        <v>130</v>
      </c>
      <c r="CO1274" s="0" t="s">
        <v>130</v>
      </c>
      <c r="CP1274" s="0" t="s">
        <v>130</v>
      </c>
      <c r="CQ1274" s="0" t="s">
        <v>130</v>
      </c>
      <c r="CR1274" s="0" t="s">
        <v>130</v>
      </c>
      <c r="CS1274" s="0" t="s">
        <v>130</v>
      </c>
      <c r="CT1274" s="0" t="s">
        <v>3757</v>
      </c>
    </row>
    <row r="1275">
      <c r="A1275" s="14">
        <v>376102</v>
      </c>
      <c r="B1275" s="0" t="s">
        <v>3751</v>
      </c>
      <c r="C1275" s="16">
        <f>HYPERLINK("https://eosportal.federatedhermes.com/companies/Q29tcGFueQppNTU3NDY=", "Carter's Inc")</f>
      </c>
      <c r="D1275" s="0" t="s">
        <v>25</v>
      </c>
      <c r="E1275" s="0" t="s">
        <v>341</v>
      </c>
      <c r="F1275" s="16">
        <f>HYPERLINK("https://eosportal.federatedhermes.com/engagements/RW5nYWdlbWVudAppMjY1NTk=", "Remuneration")</f>
      </c>
      <c r="G1275" s="14" t="s">
        <v>2696</v>
      </c>
      <c r="H1275" s="0" t="s">
        <v>130</v>
      </c>
      <c r="I1275" s="14" t="s">
        <v>319</v>
      </c>
      <c r="J1275" s="0" t="s">
        <v>145</v>
      </c>
      <c r="K1275" s="0" t="s">
        <v>146</v>
      </c>
      <c r="L1275" s="0" t="s">
        <v>147</v>
      </c>
      <c r="M1275" s="0" t="s">
        <v>135</v>
      </c>
      <c r="N1275" s="0" t="s">
        <v>136</v>
      </c>
      <c r="O1275" s="0" t="s">
        <v>332</v>
      </c>
      <c r="Q1275" s="0" t="s">
        <v>130</v>
      </c>
      <c r="R1275" s="0" t="s">
        <v>138</v>
      </c>
      <c r="S1275" s="14">
        <v>0</v>
      </c>
      <c r="T1275" s="0" t="s">
        <v>583</v>
      </c>
      <c r="U1275" s="0" t="s">
        <v>138</v>
      </c>
      <c r="V1275" s="14" t="s">
        <v>138</v>
      </c>
      <c r="W1275" s="0" t="s">
        <v>138</v>
      </c>
      <c r="X1275" s="14" t="s">
        <v>138</v>
      </c>
      <c r="Y1275" s="0" t="s">
        <v>138</v>
      </c>
      <c r="Z1275" s="14" t="s">
        <v>138</v>
      </c>
      <c r="AA1275" s="0" t="s">
        <v>138</v>
      </c>
      <c r="AB1275" s="14" t="s">
        <v>138</v>
      </c>
      <c r="AD1275" s="0" t="s">
        <v>138</v>
      </c>
      <c r="AF1275" s="0">
        <v>0</v>
      </c>
      <c r="AG1275" s="0">
        <v>0</v>
      </c>
      <c r="AH1275" s="0" t="s">
        <v>140</v>
      </c>
      <c r="AI1275" s="0" t="s">
        <v>138</v>
      </c>
      <c r="AL1275" s="14"/>
      <c r="AN1275" s="14"/>
      <c r="AQ1275" s="0" t="s">
        <v>130</v>
      </c>
      <c r="AR1275" s="0" t="s">
        <v>130</v>
      </c>
      <c r="AS1275" s="0" t="s">
        <v>130</v>
      </c>
      <c r="AT1275" s="0" t="s">
        <v>130</v>
      </c>
      <c r="AU1275" s="0" t="s">
        <v>130</v>
      </c>
      <c r="AV1275" s="0" t="s">
        <v>130</v>
      </c>
      <c r="AW1275" s="0" t="s">
        <v>130</v>
      </c>
      <c r="AX1275" s="0" t="s">
        <v>130</v>
      </c>
      <c r="AY1275" s="0" t="s">
        <v>130</v>
      </c>
      <c r="AZ1275" s="0" t="s">
        <v>130</v>
      </c>
      <c r="BA1275" s="0" t="s">
        <v>130</v>
      </c>
      <c r="BB1275" s="0" t="s">
        <v>130</v>
      </c>
      <c r="BC1275" s="0" t="s">
        <v>130</v>
      </c>
      <c r="BD1275" s="0" t="s">
        <v>130</v>
      </c>
      <c r="BE1275" s="0" t="s">
        <v>130</v>
      </c>
      <c r="BF1275" s="0" t="s">
        <v>130</v>
      </c>
      <c r="BG1275" s="0" t="s">
        <v>130</v>
      </c>
      <c r="BH1275" s="0" t="s">
        <v>130</v>
      </c>
      <c r="BI1275" s="0" t="s">
        <v>130</v>
      </c>
      <c r="BJ1275" s="0" t="s">
        <v>130</v>
      </c>
      <c r="BK1275" s="0" t="s">
        <v>130</v>
      </c>
      <c r="BL1275" s="0" t="s">
        <v>130</v>
      </c>
      <c r="BM1275" s="0" t="s">
        <v>130</v>
      </c>
      <c r="BN1275" s="0" t="s">
        <v>130</v>
      </c>
      <c r="BO1275" s="0" t="s">
        <v>130</v>
      </c>
      <c r="BP1275" s="0" t="s">
        <v>130</v>
      </c>
      <c r="BQ1275" s="0" t="s">
        <v>130</v>
      </c>
      <c r="BR1275" s="0" t="s">
        <v>130</v>
      </c>
      <c r="BS1275" s="0" t="s">
        <v>130</v>
      </c>
      <c r="BT1275" s="0" t="s">
        <v>130</v>
      </c>
      <c r="BU1275" s="0" t="s">
        <v>130</v>
      </c>
      <c r="BV1275" s="0" t="s">
        <v>130</v>
      </c>
      <c r="BW1275" s="0" t="s">
        <v>130</v>
      </c>
      <c r="BX1275" s="0" t="s">
        <v>130</v>
      </c>
      <c r="BY1275" s="0" t="s">
        <v>130</v>
      </c>
      <c r="BZ1275" s="0" t="s">
        <v>130</v>
      </c>
      <c r="CA1275" s="0" t="s">
        <v>130</v>
      </c>
      <c r="CB1275" s="0" t="s">
        <v>130</v>
      </c>
      <c r="CC1275" s="0" t="s">
        <v>130</v>
      </c>
      <c r="CD1275" s="0" t="s">
        <v>130</v>
      </c>
      <c r="CE1275" s="0" t="s">
        <v>130</v>
      </c>
      <c r="CF1275" s="0" t="s">
        <v>130</v>
      </c>
      <c r="CG1275" s="0" t="s">
        <v>130</v>
      </c>
      <c r="CH1275" s="0" t="s">
        <v>130</v>
      </c>
      <c r="CI1275" s="0" t="s">
        <v>130</v>
      </c>
      <c r="CJ1275" s="0" t="s">
        <v>130</v>
      </c>
      <c r="CK1275" s="0" t="s">
        <v>130</v>
      </c>
      <c r="CL1275" s="0" t="s">
        <v>130</v>
      </c>
      <c r="CM1275" s="0" t="s">
        <v>130</v>
      </c>
      <c r="CN1275" s="0" t="s">
        <v>130</v>
      </c>
      <c r="CO1275" s="0" t="s">
        <v>130</v>
      </c>
      <c r="CP1275" s="0" t="s">
        <v>130</v>
      </c>
      <c r="CQ1275" s="0" t="s">
        <v>130</v>
      </c>
      <c r="CR1275" s="0" t="s">
        <v>130</v>
      </c>
      <c r="CS1275" s="0" t="s">
        <v>130</v>
      </c>
      <c r="CT1275" s="0" t="s">
        <v>3758</v>
      </c>
    </row>
    <row r="1276">
      <c r="A1276" s="14">
        <v>359172</v>
      </c>
      <c r="B1276" s="0" t="s">
        <v>3759</v>
      </c>
      <c r="C1276" s="16">
        <f>HYPERLINK("https://eosportal.federatedhermes.com/companies/Q29tcGFueQppNjY5NTc=", "Moody's Corp")</f>
      </c>
      <c r="D1276" s="0" t="s">
        <v>25</v>
      </c>
      <c r="E1276" s="0" t="s">
        <v>3760</v>
      </c>
      <c r="F1276" s="16">
        <f>HYPERLINK("https://eosportal.federatedhermes.com/engagements/RW5nYWdlbWVudAppMjY1NjI=", "Ratings agencies role in financial crisis")</f>
      </c>
      <c r="G1276" s="14" t="s">
        <v>3761</v>
      </c>
      <c r="H1276" s="0" t="s">
        <v>130</v>
      </c>
      <c r="I1276" s="14" t="s">
        <v>319</v>
      </c>
      <c r="J1276" s="0" t="s">
        <v>132</v>
      </c>
      <c r="K1276" s="0" t="s">
        <v>260</v>
      </c>
      <c r="L1276" s="0" t="s">
        <v>261</v>
      </c>
      <c r="M1276" s="0" t="s">
        <v>135</v>
      </c>
      <c r="N1276" s="0" t="s">
        <v>136</v>
      </c>
      <c r="O1276" s="0" t="s">
        <v>238</v>
      </c>
      <c r="Q1276" s="0" t="s">
        <v>130</v>
      </c>
      <c r="R1276" s="0" t="s">
        <v>138</v>
      </c>
      <c r="S1276" s="14">
        <v>0</v>
      </c>
      <c r="T1276" s="0" t="s">
        <v>1243</v>
      </c>
      <c r="U1276" s="0" t="s">
        <v>138</v>
      </c>
      <c r="V1276" s="14" t="s">
        <v>138</v>
      </c>
      <c r="W1276" s="0" t="s">
        <v>138</v>
      </c>
      <c r="X1276" s="14" t="s">
        <v>138</v>
      </c>
      <c r="Y1276" s="0" t="s">
        <v>138</v>
      </c>
      <c r="Z1276" s="14" t="s">
        <v>138</v>
      </c>
      <c r="AA1276" s="0" t="s">
        <v>138</v>
      </c>
      <c r="AB1276" s="14" t="s">
        <v>138</v>
      </c>
      <c r="AD1276" s="0" t="s">
        <v>138</v>
      </c>
      <c r="AF1276" s="0">
        <v>0</v>
      </c>
      <c r="AG1276" s="0">
        <v>0</v>
      </c>
      <c r="AH1276" s="0" t="s">
        <v>140</v>
      </c>
      <c r="AI1276" s="0" t="s">
        <v>138</v>
      </c>
      <c r="AL1276" s="14"/>
      <c r="AN1276" s="14"/>
      <c r="AQ1276" s="0" t="s">
        <v>130</v>
      </c>
      <c r="AR1276" s="0" t="s">
        <v>130</v>
      </c>
      <c r="AS1276" s="0" t="s">
        <v>130</v>
      </c>
      <c r="AT1276" s="0" t="s">
        <v>130</v>
      </c>
      <c r="AU1276" s="0" t="s">
        <v>130</v>
      </c>
      <c r="AV1276" s="0" t="s">
        <v>130</v>
      </c>
      <c r="AW1276" s="0" t="s">
        <v>130</v>
      </c>
      <c r="AX1276" s="0" t="s">
        <v>130</v>
      </c>
      <c r="AY1276" s="0" t="s">
        <v>130</v>
      </c>
      <c r="AZ1276" s="0" t="s">
        <v>130</v>
      </c>
      <c r="BA1276" s="0" t="s">
        <v>130</v>
      </c>
      <c r="BB1276" s="0" t="s">
        <v>130</v>
      </c>
      <c r="BC1276" s="0" t="s">
        <v>130</v>
      </c>
      <c r="BD1276" s="0" t="s">
        <v>130</v>
      </c>
      <c r="BE1276" s="0" t="s">
        <v>130</v>
      </c>
      <c r="BF1276" s="0" t="s">
        <v>130</v>
      </c>
      <c r="BG1276" s="0" t="s">
        <v>130</v>
      </c>
      <c r="BH1276" s="0" t="s">
        <v>130</v>
      </c>
      <c r="BI1276" s="0" t="s">
        <v>130</v>
      </c>
      <c r="BJ1276" s="0" t="s">
        <v>130</v>
      </c>
      <c r="BK1276" s="0" t="s">
        <v>130</v>
      </c>
      <c r="BL1276" s="0" t="s">
        <v>130</v>
      </c>
      <c r="BM1276" s="0" t="s">
        <v>130</v>
      </c>
      <c r="BN1276" s="0" t="s">
        <v>130</v>
      </c>
      <c r="BO1276" s="0" t="s">
        <v>130</v>
      </c>
      <c r="BP1276" s="0" t="s">
        <v>130</v>
      </c>
      <c r="BQ1276" s="0" t="s">
        <v>130</v>
      </c>
      <c r="BR1276" s="0" t="s">
        <v>130</v>
      </c>
      <c r="BS1276" s="0" t="s">
        <v>130</v>
      </c>
      <c r="BT1276" s="0" t="s">
        <v>130</v>
      </c>
      <c r="BU1276" s="0" t="s">
        <v>130</v>
      </c>
      <c r="BV1276" s="0" t="s">
        <v>130</v>
      </c>
      <c r="BW1276" s="0" t="s">
        <v>130</v>
      </c>
      <c r="BX1276" s="0" t="s">
        <v>130</v>
      </c>
      <c r="BY1276" s="0" t="s">
        <v>130</v>
      </c>
      <c r="BZ1276" s="0" t="s">
        <v>130</v>
      </c>
      <c r="CA1276" s="0" t="s">
        <v>130</v>
      </c>
      <c r="CB1276" s="0" t="s">
        <v>130</v>
      </c>
      <c r="CC1276" s="0" t="s">
        <v>130</v>
      </c>
      <c r="CD1276" s="0" t="s">
        <v>130</v>
      </c>
      <c r="CE1276" s="0" t="s">
        <v>130</v>
      </c>
      <c r="CF1276" s="0" t="s">
        <v>130</v>
      </c>
      <c r="CG1276" s="0" t="s">
        <v>130</v>
      </c>
      <c r="CH1276" s="0" t="s">
        <v>130</v>
      </c>
      <c r="CI1276" s="0" t="s">
        <v>130</v>
      </c>
      <c r="CJ1276" s="0" t="s">
        <v>130</v>
      </c>
      <c r="CK1276" s="0" t="s">
        <v>130</v>
      </c>
      <c r="CL1276" s="0" t="s">
        <v>130</v>
      </c>
      <c r="CM1276" s="0" t="s">
        <v>130</v>
      </c>
      <c r="CN1276" s="0" t="s">
        <v>130</v>
      </c>
      <c r="CO1276" s="0" t="s">
        <v>130</v>
      </c>
      <c r="CP1276" s="0" t="s">
        <v>130</v>
      </c>
      <c r="CQ1276" s="0" t="s">
        <v>130</v>
      </c>
      <c r="CR1276" s="0" t="s">
        <v>130</v>
      </c>
      <c r="CS1276" s="0" t="s">
        <v>130</v>
      </c>
      <c r="CT1276" s="0" t="s">
        <v>3762</v>
      </c>
    </row>
    <row r="1277">
      <c r="A1277" s="14">
        <v>7044851</v>
      </c>
      <c r="B1277" s="0" t="s">
        <v>3763</v>
      </c>
      <c r="C1277" s="16">
        <f>HYPERLINK("https://eosportal.federatedhermes.com/companies/Q29tcGFueQppODQ2NDc=", "Compass Group PLC")</f>
      </c>
      <c r="D1277" s="0" t="s">
        <v>25</v>
      </c>
      <c r="E1277" s="0" t="s">
        <v>968</v>
      </c>
      <c r="F1277" s="16">
        <f>HYPERLINK("https://eosportal.federatedhermes.com/engagements/RW5nYWdlbWVudAppMjY1OTM=", "Board effectiveness")</f>
      </c>
      <c r="G1277" s="14" t="s">
        <v>3764</v>
      </c>
      <c r="H1277" s="0" t="s">
        <v>141</v>
      </c>
      <c r="I1277" s="14" t="s">
        <v>191</v>
      </c>
      <c r="J1277" s="0" t="s">
        <v>145</v>
      </c>
      <c r="K1277" s="0" t="s">
        <v>164</v>
      </c>
      <c r="L1277" s="0" t="s">
        <v>165</v>
      </c>
      <c r="M1277" s="0" t="s">
        <v>272</v>
      </c>
      <c r="N1277" s="0" t="s">
        <v>273</v>
      </c>
      <c r="O1277" s="0" t="s">
        <v>643</v>
      </c>
      <c r="Q1277" s="0" t="s">
        <v>130</v>
      </c>
      <c r="R1277" s="0" t="s">
        <v>138</v>
      </c>
      <c r="S1277" s="14">
        <v>0</v>
      </c>
      <c r="T1277" s="0" t="s">
        <v>288</v>
      </c>
      <c r="U1277" s="0" t="s">
        <v>138</v>
      </c>
      <c r="V1277" s="14" t="s">
        <v>138</v>
      </c>
      <c r="W1277" s="0" t="s">
        <v>138</v>
      </c>
      <c r="X1277" s="14" t="s">
        <v>138</v>
      </c>
      <c r="Y1277" s="0" t="s">
        <v>138</v>
      </c>
      <c r="Z1277" s="14" t="s">
        <v>138</v>
      </c>
      <c r="AA1277" s="0" t="s">
        <v>138</v>
      </c>
      <c r="AB1277" s="14" t="s">
        <v>138</v>
      </c>
      <c r="AD1277" s="0" t="s">
        <v>138</v>
      </c>
      <c r="AF1277" s="0">
        <v>0</v>
      </c>
      <c r="AG1277" s="0">
        <v>0</v>
      </c>
      <c r="AH1277" s="0" t="s">
        <v>140</v>
      </c>
      <c r="AI1277" s="0" t="s">
        <v>138</v>
      </c>
      <c r="AL1277" s="14"/>
      <c r="AN1277" s="14"/>
      <c r="AQ1277" s="0" t="s">
        <v>130</v>
      </c>
      <c r="AR1277" s="0" t="s">
        <v>130</v>
      </c>
      <c r="AS1277" s="0" t="s">
        <v>130</v>
      </c>
      <c r="AT1277" s="0" t="s">
        <v>130</v>
      </c>
      <c r="AU1277" s="0" t="s">
        <v>130</v>
      </c>
      <c r="AV1277" s="0" t="s">
        <v>130</v>
      </c>
      <c r="AW1277" s="0" t="s">
        <v>130</v>
      </c>
      <c r="AX1277" s="0" t="s">
        <v>130</v>
      </c>
      <c r="AY1277" s="0" t="s">
        <v>130</v>
      </c>
      <c r="AZ1277" s="0" t="s">
        <v>130</v>
      </c>
      <c r="BA1277" s="0" t="s">
        <v>130</v>
      </c>
      <c r="BB1277" s="0" t="s">
        <v>130</v>
      </c>
      <c r="BC1277" s="0" t="s">
        <v>130</v>
      </c>
      <c r="BD1277" s="0" t="s">
        <v>130</v>
      </c>
      <c r="BE1277" s="0" t="s">
        <v>130</v>
      </c>
      <c r="BF1277" s="0" t="s">
        <v>130</v>
      </c>
      <c r="BG1277" s="0" t="s">
        <v>130</v>
      </c>
      <c r="BH1277" s="0" t="s">
        <v>130</v>
      </c>
      <c r="BI1277" s="0" t="s">
        <v>130</v>
      </c>
      <c r="BJ1277" s="0" t="s">
        <v>130</v>
      </c>
      <c r="BK1277" s="0" t="s">
        <v>130</v>
      </c>
      <c r="BL1277" s="0" t="s">
        <v>130</v>
      </c>
      <c r="BM1277" s="0" t="s">
        <v>130</v>
      </c>
      <c r="BN1277" s="0" t="s">
        <v>130</v>
      </c>
      <c r="BO1277" s="0" t="s">
        <v>130</v>
      </c>
      <c r="BP1277" s="0" t="s">
        <v>130</v>
      </c>
      <c r="BQ1277" s="0" t="s">
        <v>130</v>
      </c>
      <c r="BR1277" s="0" t="s">
        <v>130</v>
      </c>
      <c r="BS1277" s="0" t="s">
        <v>130</v>
      </c>
      <c r="BT1277" s="0" t="s">
        <v>130</v>
      </c>
      <c r="BU1277" s="0" t="s">
        <v>130</v>
      </c>
      <c r="BV1277" s="0" t="s">
        <v>130</v>
      </c>
      <c r="BW1277" s="0" t="s">
        <v>130</v>
      </c>
      <c r="BX1277" s="0" t="s">
        <v>130</v>
      </c>
      <c r="BY1277" s="0" t="s">
        <v>130</v>
      </c>
      <c r="BZ1277" s="0" t="s">
        <v>130</v>
      </c>
      <c r="CA1277" s="0" t="s">
        <v>130</v>
      </c>
      <c r="CB1277" s="0" t="s">
        <v>130</v>
      </c>
      <c r="CC1277" s="0" t="s">
        <v>130</v>
      </c>
      <c r="CD1277" s="0" t="s">
        <v>130</v>
      </c>
      <c r="CE1277" s="0" t="s">
        <v>130</v>
      </c>
      <c r="CF1277" s="0" t="s">
        <v>130</v>
      </c>
      <c r="CG1277" s="0" t="s">
        <v>130</v>
      </c>
      <c r="CH1277" s="0" t="s">
        <v>130</v>
      </c>
      <c r="CI1277" s="0" t="s">
        <v>130</v>
      </c>
      <c r="CJ1277" s="0" t="s">
        <v>130</v>
      </c>
      <c r="CK1277" s="0" t="s">
        <v>130</v>
      </c>
      <c r="CL1277" s="0" t="s">
        <v>130</v>
      </c>
      <c r="CM1277" s="0" t="s">
        <v>130</v>
      </c>
      <c r="CN1277" s="0" t="s">
        <v>130</v>
      </c>
      <c r="CO1277" s="0" t="s">
        <v>130</v>
      </c>
      <c r="CP1277" s="0" t="s">
        <v>130</v>
      </c>
      <c r="CQ1277" s="0" t="s">
        <v>130</v>
      </c>
      <c r="CR1277" s="0" t="s">
        <v>130</v>
      </c>
      <c r="CS1277" s="0" t="s">
        <v>130</v>
      </c>
      <c r="CT1277" s="0" t="s">
        <v>3765</v>
      </c>
    </row>
    <row r="1278">
      <c r="A1278" s="14">
        <v>7044851</v>
      </c>
      <c r="B1278" s="0" t="s">
        <v>3763</v>
      </c>
      <c r="C1278" s="16">
        <f>HYPERLINK("https://eosportal.federatedhermes.com/companies/Q29tcGFueQppODQ2NDc=", "Compass Group PLC")</f>
      </c>
      <c r="D1278" s="0" t="s">
        <v>25</v>
      </c>
      <c r="E1278" s="0" t="s">
        <v>922</v>
      </c>
      <c r="F1278" s="16">
        <f>HYPERLINK("https://eosportal.federatedhermes.com/engagements/RW5nYWdlbWVudAppMjY1OTQ=", "Human rights")</f>
      </c>
      <c r="G1278" s="14" t="s">
        <v>3766</v>
      </c>
      <c r="H1278" s="0" t="s">
        <v>141</v>
      </c>
      <c r="I1278" s="14" t="s">
        <v>191</v>
      </c>
      <c r="J1278" s="0" t="s">
        <v>153</v>
      </c>
      <c r="K1278" s="0" t="s">
        <v>243</v>
      </c>
      <c r="L1278" s="0" t="s">
        <v>244</v>
      </c>
      <c r="M1278" s="0" t="s">
        <v>272</v>
      </c>
      <c r="N1278" s="0" t="s">
        <v>273</v>
      </c>
      <c r="O1278" s="0" t="s">
        <v>643</v>
      </c>
      <c r="Q1278" s="0" t="s">
        <v>130</v>
      </c>
      <c r="R1278" s="0" t="s">
        <v>138</v>
      </c>
      <c r="S1278" s="14">
        <v>0</v>
      </c>
      <c r="T1278" s="0" t="s">
        <v>139</v>
      </c>
      <c r="U1278" s="0" t="s">
        <v>138</v>
      </c>
      <c r="V1278" s="14" t="s">
        <v>138</v>
      </c>
      <c r="W1278" s="0" t="s">
        <v>138</v>
      </c>
      <c r="X1278" s="14" t="s">
        <v>138</v>
      </c>
      <c r="Y1278" s="0" t="s">
        <v>138</v>
      </c>
      <c r="Z1278" s="14" t="s">
        <v>138</v>
      </c>
      <c r="AA1278" s="0" t="s">
        <v>138</v>
      </c>
      <c r="AB1278" s="14" t="s">
        <v>138</v>
      </c>
      <c r="AD1278" s="0" t="s">
        <v>138</v>
      </c>
      <c r="AF1278" s="0">
        <v>0</v>
      </c>
      <c r="AG1278" s="0">
        <v>0</v>
      </c>
      <c r="AH1278" s="0" t="s">
        <v>140</v>
      </c>
      <c r="AI1278" s="0" t="s">
        <v>138</v>
      </c>
      <c r="AL1278" s="14"/>
      <c r="AN1278" s="14"/>
      <c r="AQ1278" s="0" t="s">
        <v>130</v>
      </c>
      <c r="AR1278" s="0" t="s">
        <v>130</v>
      </c>
      <c r="AS1278" s="0" t="s">
        <v>130</v>
      </c>
      <c r="AT1278" s="0" t="s">
        <v>130</v>
      </c>
      <c r="AU1278" s="0" t="s">
        <v>130</v>
      </c>
      <c r="AV1278" s="0" t="s">
        <v>130</v>
      </c>
      <c r="AW1278" s="0" t="s">
        <v>130</v>
      </c>
      <c r="AX1278" s="0" t="s">
        <v>141</v>
      </c>
      <c r="AY1278" s="0" t="s">
        <v>130</v>
      </c>
      <c r="AZ1278" s="0" t="s">
        <v>130</v>
      </c>
      <c r="BA1278" s="0" t="s">
        <v>130</v>
      </c>
      <c r="BB1278" s="0" t="s">
        <v>130</v>
      </c>
      <c r="BC1278" s="0" t="s">
        <v>130</v>
      </c>
      <c r="BD1278" s="0" t="s">
        <v>130</v>
      </c>
      <c r="BE1278" s="0" t="s">
        <v>130</v>
      </c>
      <c r="BF1278" s="0" t="s">
        <v>130</v>
      </c>
      <c r="BG1278" s="0" t="s">
        <v>130</v>
      </c>
      <c r="BH1278" s="0" t="s">
        <v>130</v>
      </c>
      <c r="BI1278" s="0" t="s">
        <v>130</v>
      </c>
      <c r="BJ1278" s="0" t="s">
        <v>130</v>
      </c>
      <c r="BK1278" s="0" t="s">
        <v>130</v>
      </c>
      <c r="BL1278" s="0" t="s">
        <v>130</v>
      </c>
      <c r="BM1278" s="0" t="s">
        <v>130</v>
      </c>
      <c r="BN1278" s="0" t="s">
        <v>130</v>
      </c>
      <c r="BO1278" s="0" t="s">
        <v>130</v>
      </c>
      <c r="BP1278" s="0" t="s">
        <v>130</v>
      </c>
      <c r="BQ1278" s="0" t="s">
        <v>130</v>
      </c>
      <c r="BR1278" s="0" t="s">
        <v>130</v>
      </c>
      <c r="BS1278" s="0" t="s">
        <v>130</v>
      </c>
      <c r="BT1278" s="0" t="s">
        <v>130</v>
      </c>
      <c r="BU1278" s="0" t="s">
        <v>130</v>
      </c>
      <c r="BV1278" s="0" t="s">
        <v>130</v>
      </c>
      <c r="BW1278" s="0" t="s">
        <v>130</v>
      </c>
      <c r="BX1278" s="0" t="s">
        <v>130</v>
      </c>
      <c r="BY1278" s="0" t="s">
        <v>130</v>
      </c>
      <c r="BZ1278" s="0" t="s">
        <v>130</v>
      </c>
      <c r="CA1278" s="0" t="s">
        <v>130</v>
      </c>
      <c r="CB1278" s="0" t="s">
        <v>130</v>
      </c>
      <c r="CC1278" s="0" t="s">
        <v>130</v>
      </c>
      <c r="CD1278" s="0" t="s">
        <v>130</v>
      </c>
      <c r="CE1278" s="0" t="s">
        <v>130</v>
      </c>
      <c r="CF1278" s="0" t="s">
        <v>130</v>
      </c>
      <c r="CG1278" s="0" t="s">
        <v>130</v>
      </c>
      <c r="CH1278" s="0" t="s">
        <v>130</v>
      </c>
      <c r="CI1278" s="0" t="s">
        <v>130</v>
      </c>
      <c r="CJ1278" s="0" t="s">
        <v>130</v>
      </c>
      <c r="CK1278" s="0" t="s">
        <v>130</v>
      </c>
      <c r="CL1278" s="0" t="s">
        <v>130</v>
      </c>
      <c r="CM1278" s="0" t="s">
        <v>130</v>
      </c>
      <c r="CN1278" s="0" t="s">
        <v>130</v>
      </c>
      <c r="CO1278" s="0" t="s">
        <v>130</v>
      </c>
      <c r="CP1278" s="0" t="s">
        <v>130</v>
      </c>
      <c r="CQ1278" s="0" t="s">
        <v>130</v>
      </c>
      <c r="CR1278" s="0" t="s">
        <v>130</v>
      </c>
      <c r="CS1278" s="0" t="s">
        <v>130</v>
      </c>
      <c r="CT1278" s="0" t="s">
        <v>3767</v>
      </c>
    </row>
    <row r="1279">
      <c r="A1279" s="14">
        <v>7044851</v>
      </c>
      <c r="B1279" s="0" t="s">
        <v>3763</v>
      </c>
      <c r="C1279" s="16">
        <f>HYPERLINK("https://eosportal.federatedhermes.com/companies/Q29tcGFueQppODQ2NDc=", "Compass Group PLC")</f>
      </c>
      <c r="D1279" s="0" t="s">
        <v>25</v>
      </c>
      <c r="E1279" s="0" t="s">
        <v>2567</v>
      </c>
      <c r="F1279" s="16">
        <f>HYPERLINK("https://eosportal.federatedhermes.com/engagements/RW5nYWdlbWVudAppMjY1OTU=", "Modern Slavery")</f>
      </c>
      <c r="G1279" s="14" t="s">
        <v>3768</v>
      </c>
      <c r="H1279" s="0" t="s">
        <v>141</v>
      </c>
      <c r="I1279" s="14" t="s">
        <v>191</v>
      </c>
      <c r="J1279" s="0" t="s">
        <v>153</v>
      </c>
      <c r="K1279" s="0" t="s">
        <v>243</v>
      </c>
      <c r="L1279" s="0" t="s">
        <v>244</v>
      </c>
      <c r="M1279" s="0" t="s">
        <v>272</v>
      </c>
      <c r="N1279" s="0" t="s">
        <v>273</v>
      </c>
      <c r="O1279" s="0" t="s">
        <v>643</v>
      </c>
      <c r="Q1279" s="0" t="s">
        <v>141</v>
      </c>
      <c r="R1279" s="0" t="s">
        <v>138</v>
      </c>
      <c r="S1279" s="14">
        <v>1</v>
      </c>
      <c r="T1279" s="0" t="s">
        <v>139</v>
      </c>
      <c r="U1279" s="0" t="s">
        <v>138</v>
      </c>
      <c r="V1279" s="14" t="s">
        <v>138</v>
      </c>
      <c r="W1279" s="0" t="s">
        <v>138</v>
      </c>
      <c r="X1279" s="14" t="s">
        <v>138</v>
      </c>
      <c r="Y1279" s="0" t="s">
        <v>138</v>
      </c>
      <c r="Z1279" s="14" t="s">
        <v>138</v>
      </c>
      <c r="AA1279" s="0" t="s">
        <v>138</v>
      </c>
      <c r="AB1279" s="14" t="s">
        <v>138</v>
      </c>
      <c r="AD1279" s="0" t="s">
        <v>138</v>
      </c>
      <c r="AF1279" s="0">
        <v>0</v>
      </c>
      <c r="AG1279" s="0">
        <v>0</v>
      </c>
      <c r="AH1279" s="0" t="s">
        <v>140</v>
      </c>
      <c r="AI1279" s="0" t="s">
        <v>138</v>
      </c>
      <c r="AK1279" s="0" t="s">
        <v>1853</v>
      </c>
      <c r="AL1279" s="14"/>
      <c r="AN1279" s="14"/>
      <c r="AQ1279" s="0" t="s">
        <v>130</v>
      </c>
      <c r="AR1279" s="0" t="s">
        <v>130</v>
      </c>
      <c r="AS1279" s="0" t="s">
        <v>130</v>
      </c>
      <c r="AT1279" s="0" t="s">
        <v>130</v>
      </c>
      <c r="AU1279" s="0" t="s">
        <v>130</v>
      </c>
      <c r="AV1279" s="0" t="s">
        <v>130</v>
      </c>
      <c r="AW1279" s="0" t="s">
        <v>130</v>
      </c>
      <c r="AX1279" s="0" t="s">
        <v>141</v>
      </c>
      <c r="AY1279" s="0" t="s">
        <v>130</v>
      </c>
      <c r="AZ1279" s="0" t="s">
        <v>130</v>
      </c>
      <c r="BA1279" s="0" t="s">
        <v>130</v>
      </c>
      <c r="BB1279" s="0" t="s">
        <v>130</v>
      </c>
      <c r="BC1279" s="0" t="s">
        <v>130</v>
      </c>
      <c r="BD1279" s="0" t="s">
        <v>130</v>
      </c>
      <c r="BE1279" s="0" t="s">
        <v>130</v>
      </c>
      <c r="BF1279" s="0" t="s">
        <v>130</v>
      </c>
      <c r="BG1279" s="0" t="s">
        <v>130</v>
      </c>
      <c r="BH1279" s="0" t="s">
        <v>130</v>
      </c>
      <c r="BI1279" s="0" t="s">
        <v>130</v>
      </c>
      <c r="BJ1279" s="0" t="s">
        <v>130</v>
      </c>
      <c r="BK1279" s="0" t="s">
        <v>130</v>
      </c>
      <c r="BL1279" s="0" t="s">
        <v>130</v>
      </c>
      <c r="BM1279" s="0" t="s">
        <v>130</v>
      </c>
      <c r="BN1279" s="0" t="s">
        <v>130</v>
      </c>
      <c r="BO1279" s="0" t="s">
        <v>130</v>
      </c>
      <c r="BP1279" s="0" t="s">
        <v>130</v>
      </c>
      <c r="BQ1279" s="0" t="s">
        <v>130</v>
      </c>
      <c r="BR1279" s="0" t="s">
        <v>130</v>
      </c>
      <c r="BS1279" s="0" t="s">
        <v>130</v>
      </c>
      <c r="BT1279" s="0" t="s">
        <v>130</v>
      </c>
      <c r="BU1279" s="0" t="s">
        <v>130</v>
      </c>
      <c r="BV1279" s="0" t="s">
        <v>130</v>
      </c>
      <c r="BW1279" s="0" t="s">
        <v>130</v>
      </c>
      <c r="BX1279" s="0" t="s">
        <v>130</v>
      </c>
      <c r="BY1279" s="0" t="s">
        <v>130</v>
      </c>
      <c r="BZ1279" s="0" t="s">
        <v>130</v>
      </c>
      <c r="CA1279" s="0" t="s">
        <v>130</v>
      </c>
      <c r="CB1279" s="0" t="s">
        <v>130</v>
      </c>
      <c r="CC1279" s="0" t="s">
        <v>130</v>
      </c>
      <c r="CD1279" s="0" t="s">
        <v>130</v>
      </c>
      <c r="CE1279" s="0" t="s">
        <v>130</v>
      </c>
      <c r="CF1279" s="0" t="s">
        <v>130</v>
      </c>
      <c r="CG1279" s="0" t="s">
        <v>130</v>
      </c>
      <c r="CH1279" s="0" t="s">
        <v>130</v>
      </c>
      <c r="CI1279" s="0" t="s">
        <v>130</v>
      </c>
      <c r="CJ1279" s="0" t="s">
        <v>130</v>
      </c>
      <c r="CK1279" s="0" t="s">
        <v>130</v>
      </c>
      <c r="CL1279" s="0" t="s">
        <v>130</v>
      </c>
      <c r="CM1279" s="0" t="s">
        <v>130</v>
      </c>
      <c r="CN1279" s="0" t="s">
        <v>130</v>
      </c>
      <c r="CO1279" s="0" t="s">
        <v>130</v>
      </c>
      <c r="CP1279" s="0" t="s">
        <v>130</v>
      </c>
      <c r="CQ1279" s="0" t="s">
        <v>130</v>
      </c>
      <c r="CR1279" s="0" t="s">
        <v>130</v>
      </c>
      <c r="CS1279" s="0" t="s">
        <v>130</v>
      </c>
      <c r="CT1279" s="0" t="s">
        <v>3769</v>
      </c>
    </row>
    <row r="1280">
      <c r="A1280" s="14">
        <v>7044851</v>
      </c>
      <c r="B1280" s="0" t="s">
        <v>3763</v>
      </c>
      <c r="C1280" s="16">
        <f>HYPERLINK("https://eosportal.federatedhermes.com/companies/Q29tcGFueQppODQ2NDc=", "Compass Group PLC")</f>
      </c>
      <c r="D1280" s="0" t="s">
        <v>25</v>
      </c>
      <c r="E1280" s="0" t="s">
        <v>2379</v>
      </c>
      <c r="F1280" s="16">
        <f>HYPERLINK("https://eosportal.federatedhermes.com/engagements/RW5nYWdlbWVudAppMjY1OTY=", "Human capital reporting")</f>
      </c>
      <c r="G1280" s="14" t="s">
        <v>3770</v>
      </c>
      <c r="H1280" s="0" t="s">
        <v>141</v>
      </c>
      <c r="I1280" s="14" t="s">
        <v>191</v>
      </c>
      <c r="J1280" s="0" t="s">
        <v>153</v>
      </c>
      <c r="K1280" s="0" t="s">
        <v>154</v>
      </c>
      <c r="L1280" s="0" t="s">
        <v>268</v>
      </c>
      <c r="M1280" s="0" t="s">
        <v>272</v>
      </c>
      <c r="N1280" s="0" t="s">
        <v>273</v>
      </c>
      <c r="O1280" s="0" t="s">
        <v>643</v>
      </c>
      <c r="Q1280" s="0" t="s">
        <v>130</v>
      </c>
      <c r="R1280" s="0" t="s">
        <v>138</v>
      </c>
      <c r="S1280" s="14">
        <v>0</v>
      </c>
      <c r="T1280" s="0" t="s">
        <v>166</v>
      </c>
      <c r="U1280" s="0" t="s">
        <v>138</v>
      </c>
      <c r="V1280" s="14" t="s">
        <v>138</v>
      </c>
      <c r="W1280" s="0" t="s">
        <v>138</v>
      </c>
      <c r="X1280" s="14" t="s">
        <v>138</v>
      </c>
      <c r="Y1280" s="0" t="s">
        <v>138</v>
      </c>
      <c r="Z1280" s="14" t="s">
        <v>138</v>
      </c>
      <c r="AA1280" s="0" t="s">
        <v>138</v>
      </c>
      <c r="AB1280" s="14" t="s">
        <v>138</v>
      </c>
      <c r="AD1280" s="0" t="s">
        <v>138</v>
      </c>
      <c r="AF1280" s="0">
        <v>0</v>
      </c>
      <c r="AG1280" s="0">
        <v>0</v>
      </c>
      <c r="AH1280" s="0" t="s">
        <v>140</v>
      </c>
      <c r="AI1280" s="0" t="s">
        <v>138</v>
      </c>
      <c r="AL1280" s="14"/>
      <c r="AN1280" s="14"/>
      <c r="AQ1280" s="0" t="s">
        <v>130</v>
      </c>
      <c r="AR1280" s="0" t="s">
        <v>130</v>
      </c>
      <c r="AS1280" s="0" t="s">
        <v>130</v>
      </c>
      <c r="AT1280" s="0" t="s">
        <v>130</v>
      </c>
      <c r="AU1280" s="0" t="s">
        <v>130</v>
      </c>
      <c r="AV1280" s="0" t="s">
        <v>130</v>
      </c>
      <c r="AW1280" s="0" t="s">
        <v>130</v>
      </c>
      <c r="AX1280" s="0" t="s">
        <v>130</v>
      </c>
      <c r="AY1280" s="0" t="s">
        <v>130</v>
      </c>
      <c r="AZ1280" s="0" t="s">
        <v>130</v>
      </c>
      <c r="BA1280" s="0" t="s">
        <v>130</v>
      </c>
      <c r="BB1280" s="0" t="s">
        <v>130</v>
      </c>
      <c r="BC1280" s="0" t="s">
        <v>130</v>
      </c>
      <c r="BD1280" s="0" t="s">
        <v>130</v>
      </c>
      <c r="BE1280" s="0" t="s">
        <v>130</v>
      </c>
      <c r="BF1280" s="0" t="s">
        <v>130</v>
      </c>
      <c r="BG1280" s="0" t="s">
        <v>130</v>
      </c>
      <c r="BH1280" s="0" t="s">
        <v>130</v>
      </c>
      <c r="BI1280" s="0" t="s">
        <v>130</v>
      </c>
      <c r="BJ1280" s="0" t="s">
        <v>130</v>
      </c>
      <c r="BK1280" s="0" t="s">
        <v>130</v>
      </c>
      <c r="BL1280" s="0" t="s">
        <v>130</v>
      </c>
      <c r="BM1280" s="0" t="s">
        <v>130</v>
      </c>
      <c r="BN1280" s="0" t="s">
        <v>130</v>
      </c>
      <c r="BO1280" s="0" t="s">
        <v>130</v>
      </c>
      <c r="BP1280" s="0" t="s">
        <v>130</v>
      </c>
      <c r="BQ1280" s="0" t="s">
        <v>130</v>
      </c>
      <c r="BR1280" s="0" t="s">
        <v>130</v>
      </c>
      <c r="BS1280" s="0" t="s">
        <v>130</v>
      </c>
      <c r="BT1280" s="0" t="s">
        <v>130</v>
      </c>
      <c r="BU1280" s="0" t="s">
        <v>130</v>
      </c>
      <c r="BV1280" s="0" t="s">
        <v>130</v>
      </c>
      <c r="BW1280" s="0" t="s">
        <v>130</v>
      </c>
      <c r="BX1280" s="0" t="s">
        <v>130</v>
      </c>
      <c r="BY1280" s="0" t="s">
        <v>130</v>
      </c>
      <c r="BZ1280" s="0" t="s">
        <v>130</v>
      </c>
      <c r="CA1280" s="0" t="s">
        <v>130</v>
      </c>
      <c r="CB1280" s="0" t="s">
        <v>130</v>
      </c>
      <c r="CC1280" s="0" t="s">
        <v>130</v>
      </c>
      <c r="CD1280" s="0" t="s">
        <v>130</v>
      </c>
      <c r="CE1280" s="0" t="s">
        <v>130</v>
      </c>
      <c r="CF1280" s="0" t="s">
        <v>130</v>
      </c>
      <c r="CG1280" s="0" t="s">
        <v>130</v>
      </c>
      <c r="CH1280" s="0" t="s">
        <v>130</v>
      </c>
      <c r="CI1280" s="0" t="s">
        <v>130</v>
      </c>
      <c r="CJ1280" s="0" t="s">
        <v>130</v>
      </c>
      <c r="CK1280" s="0" t="s">
        <v>141</v>
      </c>
      <c r="CL1280" s="0" t="s">
        <v>130</v>
      </c>
      <c r="CM1280" s="0" t="s">
        <v>130</v>
      </c>
      <c r="CN1280" s="0" t="s">
        <v>130</v>
      </c>
      <c r="CO1280" s="0" t="s">
        <v>130</v>
      </c>
      <c r="CP1280" s="0" t="s">
        <v>130</v>
      </c>
      <c r="CQ1280" s="0" t="s">
        <v>130</v>
      </c>
      <c r="CR1280" s="0" t="s">
        <v>130</v>
      </c>
      <c r="CS1280" s="0" t="s">
        <v>130</v>
      </c>
      <c r="CT1280" s="0" t="s">
        <v>3771</v>
      </c>
    </row>
    <row r="1281">
      <c r="A1281" s="14">
        <v>7044851</v>
      </c>
      <c r="B1281" s="0" t="s">
        <v>3763</v>
      </c>
      <c r="C1281" s="16">
        <f>HYPERLINK("https://eosportal.federatedhermes.com/companies/Q29tcGFueQppODQ2NDc=", "Compass Group PLC")</f>
      </c>
      <c r="D1281" s="0" t="s">
        <v>25</v>
      </c>
      <c r="E1281" s="0" t="s">
        <v>3772</v>
      </c>
      <c r="F1281" s="16">
        <f>HYPERLINK("https://eosportal.federatedhermes.com/engagements/RW5nYWdlbWVudAppMjY1OTc=", "Conduct, Culture &amp; Ethics")</f>
      </c>
      <c r="G1281" s="14" t="s">
        <v>3773</v>
      </c>
      <c r="H1281" s="0" t="s">
        <v>141</v>
      </c>
      <c r="I1281" s="14" t="s">
        <v>191</v>
      </c>
      <c r="J1281" s="0" t="s">
        <v>153</v>
      </c>
      <c r="K1281" s="0" t="s">
        <v>185</v>
      </c>
      <c r="L1281" s="0" t="s">
        <v>186</v>
      </c>
      <c r="M1281" s="0" t="s">
        <v>272</v>
      </c>
      <c r="N1281" s="0" t="s">
        <v>273</v>
      </c>
      <c r="O1281" s="0" t="s">
        <v>643</v>
      </c>
      <c r="Q1281" s="0" t="s">
        <v>130</v>
      </c>
      <c r="R1281" s="0" t="s">
        <v>138</v>
      </c>
      <c r="S1281" s="14">
        <v>0</v>
      </c>
      <c r="T1281" s="0" t="s">
        <v>206</v>
      </c>
      <c r="U1281" s="0" t="s">
        <v>138</v>
      </c>
      <c r="V1281" s="14" t="s">
        <v>138</v>
      </c>
      <c r="W1281" s="0" t="s">
        <v>138</v>
      </c>
      <c r="X1281" s="14" t="s">
        <v>138</v>
      </c>
      <c r="Y1281" s="0" t="s">
        <v>138</v>
      </c>
      <c r="Z1281" s="14" t="s">
        <v>138</v>
      </c>
      <c r="AA1281" s="0" t="s">
        <v>138</v>
      </c>
      <c r="AB1281" s="14" t="s">
        <v>138</v>
      </c>
      <c r="AD1281" s="0" t="s">
        <v>138</v>
      </c>
      <c r="AF1281" s="0">
        <v>0</v>
      </c>
      <c r="AG1281" s="0">
        <v>0</v>
      </c>
      <c r="AH1281" s="0" t="s">
        <v>140</v>
      </c>
      <c r="AI1281" s="0" t="s">
        <v>138</v>
      </c>
      <c r="AL1281" s="14"/>
      <c r="AN1281" s="14"/>
      <c r="AQ1281" s="0" t="s">
        <v>130</v>
      </c>
      <c r="AR1281" s="0" t="s">
        <v>130</v>
      </c>
      <c r="AS1281" s="0" t="s">
        <v>130</v>
      </c>
      <c r="AT1281" s="0" t="s">
        <v>130</v>
      </c>
      <c r="AU1281" s="0" t="s">
        <v>130</v>
      </c>
      <c r="AV1281" s="0" t="s">
        <v>130</v>
      </c>
      <c r="AW1281" s="0" t="s">
        <v>130</v>
      </c>
      <c r="AX1281" s="0" t="s">
        <v>130</v>
      </c>
      <c r="AY1281" s="0" t="s">
        <v>130</v>
      </c>
      <c r="AZ1281" s="0" t="s">
        <v>130</v>
      </c>
      <c r="BA1281" s="0" t="s">
        <v>130</v>
      </c>
      <c r="BB1281" s="0" t="s">
        <v>130</v>
      </c>
      <c r="BC1281" s="0" t="s">
        <v>130</v>
      </c>
      <c r="BD1281" s="0" t="s">
        <v>130</v>
      </c>
      <c r="BE1281" s="0" t="s">
        <v>130</v>
      </c>
      <c r="BF1281" s="0" t="s">
        <v>130</v>
      </c>
      <c r="BG1281" s="0" t="s">
        <v>130</v>
      </c>
      <c r="BH1281" s="0" t="s">
        <v>130</v>
      </c>
      <c r="BI1281" s="0" t="s">
        <v>130</v>
      </c>
      <c r="BJ1281" s="0" t="s">
        <v>130</v>
      </c>
      <c r="BK1281" s="0" t="s">
        <v>130</v>
      </c>
      <c r="BL1281" s="0" t="s">
        <v>130</v>
      </c>
      <c r="BM1281" s="0" t="s">
        <v>130</v>
      </c>
      <c r="BN1281" s="0" t="s">
        <v>130</v>
      </c>
      <c r="BO1281" s="0" t="s">
        <v>130</v>
      </c>
      <c r="BP1281" s="0" t="s">
        <v>130</v>
      </c>
      <c r="BQ1281" s="0" t="s">
        <v>130</v>
      </c>
      <c r="BR1281" s="0" t="s">
        <v>130</v>
      </c>
      <c r="BS1281" s="0" t="s">
        <v>130</v>
      </c>
      <c r="BT1281" s="0" t="s">
        <v>130</v>
      </c>
      <c r="BU1281" s="0" t="s">
        <v>130</v>
      </c>
      <c r="BV1281" s="0" t="s">
        <v>130</v>
      </c>
      <c r="BW1281" s="0" t="s">
        <v>130</v>
      </c>
      <c r="BX1281" s="0" t="s">
        <v>130</v>
      </c>
      <c r="BY1281" s="0" t="s">
        <v>130</v>
      </c>
      <c r="BZ1281" s="0" t="s">
        <v>130</v>
      </c>
      <c r="CA1281" s="0" t="s">
        <v>130</v>
      </c>
      <c r="CB1281" s="0" t="s">
        <v>130</v>
      </c>
      <c r="CC1281" s="0" t="s">
        <v>130</v>
      </c>
      <c r="CD1281" s="0" t="s">
        <v>130</v>
      </c>
      <c r="CE1281" s="0" t="s">
        <v>130</v>
      </c>
      <c r="CF1281" s="0" t="s">
        <v>130</v>
      </c>
      <c r="CG1281" s="0" t="s">
        <v>130</v>
      </c>
      <c r="CH1281" s="0" t="s">
        <v>130</v>
      </c>
      <c r="CI1281" s="0" t="s">
        <v>130</v>
      </c>
      <c r="CJ1281" s="0" t="s">
        <v>130</v>
      </c>
      <c r="CK1281" s="0" t="s">
        <v>130</v>
      </c>
      <c r="CL1281" s="0" t="s">
        <v>130</v>
      </c>
      <c r="CM1281" s="0" t="s">
        <v>130</v>
      </c>
      <c r="CN1281" s="0" t="s">
        <v>130</v>
      </c>
      <c r="CO1281" s="0" t="s">
        <v>130</v>
      </c>
      <c r="CP1281" s="0" t="s">
        <v>130</v>
      </c>
      <c r="CQ1281" s="0" t="s">
        <v>130</v>
      </c>
      <c r="CR1281" s="0" t="s">
        <v>130</v>
      </c>
      <c r="CS1281" s="0" t="s">
        <v>130</v>
      </c>
      <c r="CT1281" s="0" t="s">
        <v>3774</v>
      </c>
    </row>
    <row r="1282">
      <c r="A1282" s="14">
        <v>7044851</v>
      </c>
      <c r="B1282" s="0" t="s">
        <v>3763</v>
      </c>
      <c r="C1282" s="16">
        <f>HYPERLINK("https://eosportal.federatedhermes.com/companies/Q29tcGFueQppODQ2NDc=", "Compass Group PLC")</f>
      </c>
      <c r="D1282" s="0" t="s">
        <v>25</v>
      </c>
      <c r="E1282" s="0" t="s">
        <v>3775</v>
      </c>
      <c r="F1282" s="16">
        <f>HYPERLINK("https://eosportal.federatedhermes.com/engagements/RW5nYWdlbWVudAppMjY1OTg=", "Food safety")</f>
      </c>
      <c r="G1282" s="14" t="s">
        <v>3776</v>
      </c>
      <c r="H1282" s="0" t="s">
        <v>141</v>
      </c>
      <c r="I1282" s="14" t="s">
        <v>191</v>
      </c>
      <c r="J1282" s="0" t="s">
        <v>153</v>
      </c>
      <c r="K1282" s="0" t="s">
        <v>185</v>
      </c>
      <c r="L1282" s="0" t="s">
        <v>186</v>
      </c>
      <c r="M1282" s="0" t="s">
        <v>272</v>
      </c>
      <c r="N1282" s="0" t="s">
        <v>273</v>
      </c>
      <c r="O1282" s="0" t="s">
        <v>643</v>
      </c>
      <c r="Q1282" s="0" t="s">
        <v>130</v>
      </c>
      <c r="R1282" s="0" t="s">
        <v>138</v>
      </c>
      <c r="S1282" s="14">
        <v>0</v>
      </c>
      <c r="T1282" s="0" t="s">
        <v>487</v>
      </c>
      <c r="U1282" s="0" t="s">
        <v>138</v>
      </c>
      <c r="V1282" s="14" t="s">
        <v>138</v>
      </c>
      <c r="W1282" s="0" t="s">
        <v>138</v>
      </c>
      <c r="X1282" s="14" t="s">
        <v>138</v>
      </c>
      <c r="Y1282" s="0" t="s">
        <v>138</v>
      </c>
      <c r="Z1282" s="14" t="s">
        <v>138</v>
      </c>
      <c r="AA1282" s="0" t="s">
        <v>138</v>
      </c>
      <c r="AB1282" s="14" t="s">
        <v>138</v>
      </c>
      <c r="AD1282" s="0" t="s">
        <v>138</v>
      </c>
      <c r="AF1282" s="0">
        <v>0</v>
      </c>
      <c r="AG1282" s="0">
        <v>0</v>
      </c>
      <c r="AH1282" s="0" t="s">
        <v>140</v>
      </c>
      <c r="AI1282" s="0" t="s">
        <v>138</v>
      </c>
      <c r="AL1282" s="14"/>
      <c r="AN1282" s="14"/>
      <c r="AQ1282" s="0" t="s">
        <v>130</v>
      </c>
      <c r="AR1282" s="0" t="s">
        <v>130</v>
      </c>
      <c r="AS1282" s="0" t="s">
        <v>141</v>
      </c>
      <c r="AT1282" s="0" t="s">
        <v>130</v>
      </c>
      <c r="AU1282" s="0" t="s">
        <v>130</v>
      </c>
      <c r="AV1282" s="0" t="s">
        <v>130</v>
      </c>
      <c r="AW1282" s="0" t="s">
        <v>130</v>
      </c>
      <c r="AX1282" s="0" t="s">
        <v>130</v>
      </c>
      <c r="AY1282" s="0" t="s">
        <v>130</v>
      </c>
      <c r="AZ1282" s="0" t="s">
        <v>130</v>
      </c>
      <c r="BA1282" s="0" t="s">
        <v>130</v>
      </c>
      <c r="BB1282" s="0" t="s">
        <v>130</v>
      </c>
      <c r="BC1282" s="0" t="s">
        <v>130</v>
      </c>
      <c r="BD1282" s="0" t="s">
        <v>130</v>
      </c>
      <c r="BE1282" s="0" t="s">
        <v>130</v>
      </c>
      <c r="BF1282" s="0" t="s">
        <v>130</v>
      </c>
      <c r="BG1282" s="0" t="s">
        <v>130</v>
      </c>
      <c r="BH1282" s="0" t="s">
        <v>130</v>
      </c>
      <c r="BI1282" s="0" t="s">
        <v>130</v>
      </c>
      <c r="BJ1282" s="0" t="s">
        <v>130</v>
      </c>
      <c r="BK1282" s="0" t="s">
        <v>130</v>
      </c>
      <c r="BL1282" s="0" t="s">
        <v>130</v>
      </c>
      <c r="BM1282" s="0" t="s">
        <v>130</v>
      </c>
      <c r="BN1282" s="0" t="s">
        <v>130</v>
      </c>
      <c r="BO1282" s="0" t="s">
        <v>130</v>
      </c>
      <c r="BP1282" s="0" t="s">
        <v>130</v>
      </c>
      <c r="BQ1282" s="0" t="s">
        <v>130</v>
      </c>
      <c r="BR1282" s="0" t="s">
        <v>130</v>
      </c>
      <c r="BS1282" s="0" t="s">
        <v>130</v>
      </c>
      <c r="BT1282" s="0" t="s">
        <v>130</v>
      </c>
      <c r="BU1282" s="0" t="s">
        <v>130</v>
      </c>
      <c r="BV1282" s="0" t="s">
        <v>130</v>
      </c>
      <c r="BW1282" s="0" t="s">
        <v>130</v>
      </c>
      <c r="BX1282" s="0" t="s">
        <v>130</v>
      </c>
      <c r="BY1282" s="0" t="s">
        <v>130</v>
      </c>
      <c r="BZ1282" s="0" t="s">
        <v>130</v>
      </c>
      <c r="CA1282" s="0" t="s">
        <v>130</v>
      </c>
      <c r="CB1282" s="0" t="s">
        <v>130</v>
      </c>
      <c r="CC1282" s="0" t="s">
        <v>130</v>
      </c>
      <c r="CD1282" s="0" t="s">
        <v>130</v>
      </c>
      <c r="CE1282" s="0" t="s">
        <v>130</v>
      </c>
      <c r="CF1282" s="0" t="s">
        <v>130</v>
      </c>
      <c r="CG1282" s="0" t="s">
        <v>130</v>
      </c>
      <c r="CH1282" s="0" t="s">
        <v>130</v>
      </c>
      <c r="CI1282" s="0" t="s">
        <v>130</v>
      </c>
      <c r="CJ1282" s="0" t="s">
        <v>130</v>
      </c>
      <c r="CK1282" s="0" t="s">
        <v>130</v>
      </c>
      <c r="CL1282" s="0" t="s">
        <v>130</v>
      </c>
      <c r="CM1282" s="0" t="s">
        <v>130</v>
      </c>
      <c r="CN1282" s="0" t="s">
        <v>130</v>
      </c>
      <c r="CO1282" s="0" t="s">
        <v>130</v>
      </c>
      <c r="CP1282" s="0" t="s">
        <v>130</v>
      </c>
      <c r="CQ1282" s="0" t="s">
        <v>130</v>
      </c>
      <c r="CR1282" s="0" t="s">
        <v>130</v>
      </c>
      <c r="CS1282" s="0" t="s">
        <v>130</v>
      </c>
      <c r="CT1282" s="0" t="s">
        <v>3777</v>
      </c>
    </row>
    <row r="1283">
      <c r="A1283" s="14">
        <v>7044851</v>
      </c>
      <c r="B1283" s="0" t="s">
        <v>3763</v>
      </c>
      <c r="C1283" s="16">
        <f>HYPERLINK("https://eosportal.federatedhermes.com/companies/Q29tcGFueQppODQ2NDc=", "Compass Group PLC")</f>
      </c>
      <c r="D1283" s="0" t="s">
        <v>25</v>
      </c>
      <c r="E1283" s="0" t="s">
        <v>3778</v>
      </c>
      <c r="F1283" s="16">
        <f>HYPERLINK("https://eosportal.federatedhermes.com/engagements/RW5nYWdlbWVudAppMjY1OTk=", "Animal health and welfare - use of antibiotics")</f>
      </c>
      <c r="G1283" s="14" t="s">
        <v>3779</v>
      </c>
      <c r="H1283" s="0" t="s">
        <v>141</v>
      </c>
      <c r="I1283" s="14" t="s">
        <v>191</v>
      </c>
      <c r="J1283" s="0" t="s">
        <v>197</v>
      </c>
      <c r="K1283" s="0" t="s">
        <v>337</v>
      </c>
      <c r="L1283" s="0" t="s">
        <v>1222</v>
      </c>
      <c r="M1283" s="0" t="s">
        <v>272</v>
      </c>
      <c r="N1283" s="0" t="s">
        <v>273</v>
      </c>
      <c r="O1283" s="0" t="s">
        <v>643</v>
      </c>
      <c r="Q1283" s="0" t="s">
        <v>130</v>
      </c>
      <c r="R1283" s="0" t="s">
        <v>138</v>
      </c>
      <c r="S1283" s="14">
        <v>0</v>
      </c>
      <c r="T1283" s="0" t="s">
        <v>359</v>
      </c>
      <c r="U1283" s="0" t="s">
        <v>138</v>
      </c>
      <c r="V1283" s="14" t="s">
        <v>138</v>
      </c>
      <c r="W1283" s="0" t="s">
        <v>138</v>
      </c>
      <c r="X1283" s="14" t="s">
        <v>138</v>
      </c>
      <c r="Y1283" s="0" t="s">
        <v>138</v>
      </c>
      <c r="Z1283" s="14" t="s">
        <v>138</v>
      </c>
      <c r="AA1283" s="0" t="s">
        <v>138</v>
      </c>
      <c r="AB1283" s="14" t="s">
        <v>138</v>
      </c>
      <c r="AD1283" s="0" t="s">
        <v>138</v>
      </c>
      <c r="AF1283" s="0">
        <v>0</v>
      </c>
      <c r="AG1283" s="0">
        <v>0</v>
      </c>
      <c r="AH1283" s="0" t="s">
        <v>140</v>
      </c>
      <c r="AI1283" s="0" t="s">
        <v>138</v>
      </c>
      <c r="AL1283" s="14"/>
      <c r="AN1283" s="14"/>
      <c r="AQ1283" s="0" t="s">
        <v>130</v>
      </c>
      <c r="AR1283" s="0" t="s">
        <v>130</v>
      </c>
      <c r="AS1283" s="0" t="s">
        <v>130</v>
      </c>
      <c r="AT1283" s="0" t="s">
        <v>130</v>
      </c>
      <c r="AU1283" s="0" t="s">
        <v>130</v>
      </c>
      <c r="AV1283" s="0" t="s">
        <v>130</v>
      </c>
      <c r="AW1283" s="0" t="s">
        <v>130</v>
      </c>
      <c r="AX1283" s="0" t="s">
        <v>130</v>
      </c>
      <c r="AY1283" s="0" t="s">
        <v>130</v>
      </c>
      <c r="AZ1283" s="0" t="s">
        <v>130</v>
      </c>
      <c r="BA1283" s="0" t="s">
        <v>130</v>
      </c>
      <c r="BB1283" s="0" t="s">
        <v>141</v>
      </c>
      <c r="BC1283" s="0" t="s">
        <v>130</v>
      </c>
      <c r="BD1283" s="0" t="s">
        <v>130</v>
      </c>
      <c r="BE1283" s="0" t="s">
        <v>130</v>
      </c>
      <c r="BF1283" s="0" t="s">
        <v>130</v>
      </c>
      <c r="BG1283" s="0" t="s">
        <v>130</v>
      </c>
      <c r="BH1283" s="0" t="s">
        <v>130</v>
      </c>
      <c r="BI1283" s="0" t="s">
        <v>130</v>
      </c>
      <c r="BJ1283" s="0" t="s">
        <v>130</v>
      </c>
      <c r="BK1283" s="0" t="s">
        <v>130</v>
      </c>
      <c r="BL1283" s="0" t="s">
        <v>130</v>
      </c>
      <c r="BM1283" s="0" t="s">
        <v>130</v>
      </c>
      <c r="BN1283" s="0" t="s">
        <v>130</v>
      </c>
      <c r="BO1283" s="0" t="s">
        <v>130</v>
      </c>
      <c r="BP1283" s="0" t="s">
        <v>130</v>
      </c>
      <c r="BQ1283" s="0" t="s">
        <v>130</v>
      </c>
      <c r="BR1283" s="0" t="s">
        <v>130</v>
      </c>
      <c r="BS1283" s="0" t="s">
        <v>130</v>
      </c>
      <c r="BT1283" s="0" t="s">
        <v>130</v>
      </c>
      <c r="BU1283" s="0" t="s">
        <v>130</v>
      </c>
      <c r="BV1283" s="0" t="s">
        <v>130</v>
      </c>
      <c r="BW1283" s="0" t="s">
        <v>130</v>
      </c>
      <c r="BX1283" s="0" t="s">
        <v>130</v>
      </c>
      <c r="BY1283" s="0" t="s">
        <v>130</v>
      </c>
      <c r="BZ1283" s="0" t="s">
        <v>130</v>
      </c>
      <c r="CA1283" s="0" t="s">
        <v>130</v>
      </c>
      <c r="CB1283" s="0" t="s">
        <v>130</v>
      </c>
      <c r="CC1283" s="0" t="s">
        <v>130</v>
      </c>
      <c r="CD1283" s="0" t="s">
        <v>130</v>
      </c>
      <c r="CE1283" s="0" t="s">
        <v>130</v>
      </c>
      <c r="CF1283" s="0" t="s">
        <v>130</v>
      </c>
      <c r="CG1283" s="0" t="s">
        <v>130</v>
      </c>
      <c r="CH1283" s="0" t="s">
        <v>130</v>
      </c>
      <c r="CI1283" s="0" t="s">
        <v>130</v>
      </c>
      <c r="CJ1283" s="0" t="s">
        <v>130</v>
      </c>
      <c r="CK1283" s="0" t="s">
        <v>130</v>
      </c>
      <c r="CL1283" s="0" t="s">
        <v>130</v>
      </c>
      <c r="CM1283" s="0" t="s">
        <v>130</v>
      </c>
      <c r="CN1283" s="0" t="s">
        <v>130</v>
      </c>
      <c r="CO1283" s="0" t="s">
        <v>130</v>
      </c>
      <c r="CP1283" s="0" t="s">
        <v>130</v>
      </c>
      <c r="CQ1283" s="0" t="s">
        <v>130</v>
      </c>
      <c r="CR1283" s="0" t="s">
        <v>130</v>
      </c>
      <c r="CS1283" s="0" t="s">
        <v>130</v>
      </c>
      <c r="CT1283" s="0" t="s">
        <v>3780</v>
      </c>
    </row>
    <row r="1284">
      <c r="A1284" s="14">
        <v>7044851</v>
      </c>
      <c r="B1284" s="0" t="s">
        <v>3763</v>
      </c>
      <c r="C1284" s="16">
        <f>HYPERLINK("https://eosportal.federatedhermes.com/companies/Q29tcGFueQppODQ2NDc=", "Compass Group PLC")</f>
      </c>
      <c r="D1284" s="0" t="s">
        <v>25</v>
      </c>
      <c r="E1284" s="0" t="s">
        <v>341</v>
      </c>
      <c r="F1284" s="16">
        <f>HYPERLINK("https://eosportal.federatedhermes.com/engagements/RW5nYWdlbWVudAppMjY2MDA=", "Remuneration")</f>
      </c>
      <c r="G1284" s="14" t="s">
        <v>342</v>
      </c>
      <c r="H1284" s="0" t="s">
        <v>141</v>
      </c>
      <c r="I1284" s="14" t="s">
        <v>191</v>
      </c>
      <c r="J1284" s="0" t="s">
        <v>145</v>
      </c>
      <c r="K1284" s="0" t="s">
        <v>146</v>
      </c>
      <c r="L1284" s="0" t="s">
        <v>147</v>
      </c>
      <c r="M1284" s="0" t="s">
        <v>272</v>
      </c>
      <c r="N1284" s="0" t="s">
        <v>273</v>
      </c>
      <c r="O1284" s="0" t="s">
        <v>643</v>
      </c>
      <c r="Q1284" s="0" t="s">
        <v>130</v>
      </c>
      <c r="R1284" s="0" t="s">
        <v>138</v>
      </c>
      <c r="S1284" s="14">
        <v>0</v>
      </c>
      <c r="T1284" s="0" t="s">
        <v>920</v>
      </c>
      <c r="U1284" s="0" t="s">
        <v>138</v>
      </c>
      <c r="V1284" s="14" t="s">
        <v>138</v>
      </c>
      <c r="W1284" s="0" t="s">
        <v>138</v>
      </c>
      <c r="X1284" s="14" t="s">
        <v>138</v>
      </c>
      <c r="Y1284" s="0" t="s">
        <v>138</v>
      </c>
      <c r="Z1284" s="14" t="s">
        <v>138</v>
      </c>
      <c r="AA1284" s="0" t="s">
        <v>138</v>
      </c>
      <c r="AB1284" s="14" t="s">
        <v>138</v>
      </c>
      <c r="AD1284" s="0" t="s">
        <v>138</v>
      </c>
      <c r="AF1284" s="0">
        <v>0</v>
      </c>
      <c r="AG1284" s="0">
        <v>0</v>
      </c>
      <c r="AH1284" s="0" t="s">
        <v>140</v>
      </c>
      <c r="AI1284" s="0" t="s">
        <v>138</v>
      </c>
      <c r="AL1284" s="14"/>
      <c r="AN1284" s="14"/>
      <c r="AQ1284" s="0" t="s">
        <v>130</v>
      </c>
      <c r="AR1284" s="0" t="s">
        <v>130</v>
      </c>
      <c r="AS1284" s="0" t="s">
        <v>130</v>
      </c>
      <c r="AT1284" s="0" t="s">
        <v>130</v>
      </c>
      <c r="AU1284" s="0" t="s">
        <v>130</v>
      </c>
      <c r="AV1284" s="0" t="s">
        <v>130</v>
      </c>
      <c r="AW1284" s="0" t="s">
        <v>130</v>
      </c>
      <c r="AX1284" s="0" t="s">
        <v>130</v>
      </c>
      <c r="AY1284" s="0" t="s">
        <v>130</v>
      </c>
      <c r="AZ1284" s="0" t="s">
        <v>130</v>
      </c>
      <c r="BA1284" s="0" t="s">
        <v>130</v>
      </c>
      <c r="BB1284" s="0" t="s">
        <v>130</v>
      </c>
      <c r="BC1284" s="0" t="s">
        <v>130</v>
      </c>
      <c r="BD1284" s="0" t="s">
        <v>130</v>
      </c>
      <c r="BE1284" s="0" t="s">
        <v>130</v>
      </c>
      <c r="BF1284" s="0" t="s">
        <v>130</v>
      </c>
      <c r="BG1284" s="0" t="s">
        <v>130</v>
      </c>
      <c r="BH1284" s="0" t="s">
        <v>130</v>
      </c>
      <c r="BI1284" s="0" t="s">
        <v>130</v>
      </c>
      <c r="BJ1284" s="0" t="s">
        <v>130</v>
      </c>
      <c r="BK1284" s="0" t="s">
        <v>130</v>
      </c>
      <c r="BL1284" s="0" t="s">
        <v>130</v>
      </c>
      <c r="BM1284" s="0" t="s">
        <v>130</v>
      </c>
      <c r="BN1284" s="0" t="s">
        <v>130</v>
      </c>
      <c r="BO1284" s="0" t="s">
        <v>130</v>
      </c>
      <c r="BP1284" s="0" t="s">
        <v>130</v>
      </c>
      <c r="BQ1284" s="0" t="s">
        <v>130</v>
      </c>
      <c r="BR1284" s="0" t="s">
        <v>130</v>
      </c>
      <c r="BS1284" s="0" t="s">
        <v>130</v>
      </c>
      <c r="BT1284" s="0" t="s">
        <v>130</v>
      </c>
      <c r="BU1284" s="0" t="s">
        <v>130</v>
      </c>
      <c r="BV1284" s="0" t="s">
        <v>130</v>
      </c>
      <c r="BW1284" s="0" t="s">
        <v>130</v>
      </c>
      <c r="BX1284" s="0" t="s">
        <v>130</v>
      </c>
      <c r="BY1284" s="0" t="s">
        <v>130</v>
      </c>
      <c r="BZ1284" s="0" t="s">
        <v>130</v>
      </c>
      <c r="CA1284" s="0" t="s">
        <v>130</v>
      </c>
      <c r="CB1284" s="0" t="s">
        <v>130</v>
      </c>
      <c r="CC1284" s="0" t="s">
        <v>130</v>
      </c>
      <c r="CD1284" s="0" t="s">
        <v>130</v>
      </c>
      <c r="CE1284" s="0" t="s">
        <v>130</v>
      </c>
      <c r="CF1284" s="0" t="s">
        <v>130</v>
      </c>
      <c r="CG1284" s="0" t="s">
        <v>130</v>
      </c>
      <c r="CH1284" s="0" t="s">
        <v>130</v>
      </c>
      <c r="CI1284" s="0" t="s">
        <v>130</v>
      </c>
      <c r="CJ1284" s="0" t="s">
        <v>130</v>
      </c>
      <c r="CK1284" s="0" t="s">
        <v>130</v>
      </c>
      <c r="CL1284" s="0" t="s">
        <v>130</v>
      </c>
      <c r="CM1284" s="0" t="s">
        <v>130</v>
      </c>
      <c r="CN1284" s="0" t="s">
        <v>130</v>
      </c>
      <c r="CO1284" s="0" t="s">
        <v>130</v>
      </c>
      <c r="CP1284" s="0" t="s">
        <v>130</v>
      </c>
      <c r="CQ1284" s="0" t="s">
        <v>130</v>
      </c>
      <c r="CR1284" s="0" t="s">
        <v>130</v>
      </c>
      <c r="CS1284" s="0" t="s">
        <v>130</v>
      </c>
      <c r="CT1284" s="0" t="s">
        <v>3781</v>
      </c>
    </row>
    <row r="1285">
      <c r="A1285" s="14">
        <v>7044851</v>
      </c>
      <c r="B1285" s="0" t="s">
        <v>3763</v>
      </c>
      <c r="C1285" s="16">
        <f>HYPERLINK("https://eosportal.federatedhermes.com/companies/Q29tcGFueQppODQ2NDc=", "Compass Group PLC")</f>
      </c>
      <c r="D1285" s="0" t="s">
        <v>25</v>
      </c>
      <c r="E1285" s="0" t="s">
        <v>418</v>
      </c>
      <c r="F1285" s="16">
        <f>HYPERLINK("https://eosportal.federatedhermes.com/engagements/RW5nYWdlbWVudAppMjY2MDE=", "Living Wage")</f>
      </c>
      <c r="G1285" s="14" t="s">
        <v>3782</v>
      </c>
      <c r="H1285" s="0" t="s">
        <v>141</v>
      </c>
      <c r="I1285" s="14" t="s">
        <v>191</v>
      </c>
      <c r="J1285" s="0" t="s">
        <v>153</v>
      </c>
      <c r="K1285" s="0" t="s">
        <v>154</v>
      </c>
      <c r="L1285" s="0" t="s">
        <v>306</v>
      </c>
      <c r="M1285" s="0" t="s">
        <v>272</v>
      </c>
      <c r="N1285" s="0" t="s">
        <v>273</v>
      </c>
      <c r="O1285" s="0" t="s">
        <v>643</v>
      </c>
      <c r="Q1285" s="0" t="s">
        <v>130</v>
      </c>
      <c r="R1285" s="0" t="s">
        <v>138</v>
      </c>
      <c r="S1285" s="14">
        <v>0</v>
      </c>
      <c r="T1285" s="0" t="s">
        <v>380</v>
      </c>
      <c r="U1285" s="0" t="s">
        <v>138</v>
      </c>
      <c r="V1285" s="14" t="s">
        <v>138</v>
      </c>
      <c r="W1285" s="0" t="s">
        <v>138</v>
      </c>
      <c r="X1285" s="14" t="s">
        <v>138</v>
      </c>
      <c r="Y1285" s="0" t="s">
        <v>138</v>
      </c>
      <c r="Z1285" s="14" t="s">
        <v>138</v>
      </c>
      <c r="AA1285" s="0" t="s">
        <v>138</v>
      </c>
      <c r="AB1285" s="14" t="s">
        <v>138</v>
      </c>
      <c r="AD1285" s="0" t="s">
        <v>138</v>
      </c>
      <c r="AF1285" s="0">
        <v>0</v>
      </c>
      <c r="AG1285" s="0">
        <v>0</v>
      </c>
      <c r="AH1285" s="0" t="s">
        <v>140</v>
      </c>
      <c r="AI1285" s="0" t="s">
        <v>138</v>
      </c>
      <c r="AL1285" s="14"/>
      <c r="AN1285" s="14"/>
      <c r="AQ1285" s="0" t="s">
        <v>141</v>
      </c>
      <c r="AR1285" s="0" t="s">
        <v>130</v>
      </c>
      <c r="AS1285" s="0" t="s">
        <v>130</v>
      </c>
      <c r="AT1285" s="0" t="s">
        <v>130</v>
      </c>
      <c r="AU1285" s="0" t="s">
        <v>130</v>
      </c>
      <c r="AV1285" s="0" t="s">
        <v>130</v>
      </c>
      <c r="AW1285" s="0" t="s">
        <v>130</v>
      </c>
      <c r="AX1285" s="0" t="s">
        <v>141</v>
      </c>
      <c r="AY1285" s="0" t="s">
        <v>130</v>
      </c>
      <c r="AZ1285" s="0" t="s">
        <v>141</v>
      </c>
      <c r="BA1285" s="0" t="s">
        <v>130</v>
      </c>
      <c r="BB1285" s="0" t="s">
        <v>130</v>
      </c>
      <c r="BC1285" s="0" t="s">
        <v>130</v>
      </c>
      <c r="BD1285" s="0" t="s">
        <v>130</v>
      </c>
      <c r="BE1285" s="0" t="s">
        <v>130</v>
      </c>
      <c r="BF1285" s="0" t="s">
        <v>130</v>
      </c>
      <c r="BG1285" s="0" t="s">
        <v>130</v>
      </c>
      <c r="BH1285" s="0" t="s">
        <v>130</v>
      </c>
      <c r="BI1285" s="0" t="s">
        <v>130</v>
      </c>
      <c r="BJ1285" s="0" t="s">
        <v>130</v>
      </c>
      <c r="BK1285" s="0" t="s">
        <v>130</v>
      </c>
      <c r="BL1285" s="0" t="s">
        <v>130</v>
      </c>
      <c r="BM1285" s="0" t="s">
        <v>130</v>
      </c>
      <c r="BN1285" s="0" t="s">
        <v>130</v>
      </c>
      <c r="BO1285" s="0" t="s">
        <v>130</v>
      </c>
      <c r="BP1285" s="0" t="s">
        <v>130</v>
      </c>
      <c r="BQ1285" s="0" t="s">
        <v>130</v>
      </c>
      <c r="BR1285" s="0" t="s">
        <v>130</v>
      </c>
      <c r="BS1285" s="0" t="s">
        <v>130</v>
      </c>
      <c r="BT1285" s="0" t="s">
        <v>130</v>
      </c>
      <c r="BU1285" s="0" t="s">
        <v>130</v>
      </c>
      <c r="BV1285" s="0" t="s">
        <v>130</v>
      </c>
      <c r="BW1285" s="0" t="s">
        <v>130</v>
      </c>
      <c r="BX1285" s="0" t="s">
        <v>130</v>
      </c>
      <c r="BY1285" s="0" t="s">
        <v>130</v>
      </c>
      <c r="BZ1285" s="0" t="s">
        <v>130</v>
      </c>
      <c r="CA1285" s="0" t="s">
        <v>130</v>
      </c>
      <c r="CB1285" s="0" t="s">
        <v>130</v>
      </c>
      <c r="CC1285" s="0" t="s">
        <v>130</v>
      </c>
      <c r="CD1285" s="0" t="s">
        <v>130</v>
      </c>
      <c r="CE1285" s="0" t="s">
        <v>130</v>
      </c>
      <c r="CF1285" s="0" t="s">
        <v>130</v>
      </c>
      <c r="CG1285" s="0" t="s">
        <v>130</v>
      </c>
      <c r="CH1285" s="0" t="s">
        <v>130</v>
      </c>
      <c r="CI1285" s="0" t="s">
        <v>130</v>
      </c>
      <c r="CJ1285" s="0" t="s">
        <v>130</v>
      </c>
      <c r="CK1285" s="0" t="s">
        <v>130</v>
      </c>
      <c r="CL1285" s="0" t="s">
        <v>130</v>
      </c>
      <c r="CM1285" s="0" t="s">
        <v>130</v>
      </c>
      <c r="CN1285" s="0" t="s">
        <v>130</v>
      </c>
      <c r="CO1285" s="0" t="s">
        <v>130</v>
      </c>
      <c r="CP1285" s="0" t="s">
        <v>130</v>
      </c>
      <c r="CQ1285" s="0" t="s">
        <v>130</v>
      </c>
      <c r="CR1285" s="0" t="s">
        <v>130</v>
      </c>
      <c r="CS1285" s="0" t="s">
        <v>130</v>
      </c>
      <c r="CT1285" s="0" t="s">
        <v>3783</v>
      </c>
    </row>
    <row r="1286">
      <c r="A1286" s="14">
        <v>7044851</v>
      </c>
      <c r="B1286" s="0" t="s">
        <v>3763</v>
      </c>
      <c r="C1286" s="16">
        <f>HYPERLINK("https://eosportal.federatedhermes.com/companies/Q29tcGFueQppODQ2NDc=", "Compass Group PLC")</f>
      </c>
      <c r="D1286" s="0" t="s">
        <v>25</v>
      </c>
      <c r="E1286" s="0" t="s">
        <v>652</v>
      </c>
      <c r="F1286" s="16">
        <f>HYPERLINK("https://eosportal.federatedhermes.com/engagements/RW5nYWdlbWVudAppMjY2MDI=", "Protein diversification")</f>
      </c>
      <c r="G1286" s="14" t="s">
        <v>3784</v>
      </c>
      <c r="H1286" s="0" t="s">
        <v>141</v>
      </c>
      <c r="I1286" s="14" t="s">
        <v>191</v>
      </c>
      <c r="J1286" s="0" t="s">
        <v>197</v>
      </c>
      <c r="K1286" s="0" t="s">
        <v>337</v>
      </c>
      <c r="L1286" s="0" t="s">
        <v>576</v>
      </c>
      <c r="M1286" s="0" t="s">
        <v>272</v>
      </c>
      <c r="N1286" s="0" t="s">
        <v>273</v>
      </c>
      <c r="O1286" s="0" t="s">
        <v>643</v>
      </c>
      <c r="Q1286" s="0" t="s">
        <v>130</v>
      </c>
      <c r="R1286" s="0" t="s">
        <v>138</v>
      </c>
      <c r="S1286" s="14">
        <v>0</v>
      </c>
      <c r="T1286" s="0" t="s">
        <v>359</v>
      </c>
      <c r="U1286" s="0" t="s">
        <v>138</v>
      </c>
      <c r="V1286" s="14" t="s">
        <v>138</v>
      </c>
      <c r="W1286" s="0" t="s">
        <v>138</v>
      </c>
      <c r="X1286" s="14" t="s">
        <v>138</v>
      </c>
      <c r="Y1286" s="0" t="s">
        <v>138</v>
      </c>
      <c r="Z1286" s="14" t="s">
        <v>138</v>
      </c>
      <c r="AA1286" s="0" t="s">
        <v>138</v>
      </c>
      <c r="AB1286" s="14" t="s">
        <v>138</v>
      </c>
      <c r="AD1286" s="0" t="s">
        <v>138</v>
      </c>
      <c r="AF1286" s="0">
        <v>0</v>
      </c>
      <c r="AG1286" s="0">
        <v>0</v>
      </c>
      <c r="AH1286" s="0" t="s">
        <v>140</v>
      </c>
      <c r="AI1286" s="0" t="s">
        <v>138</v>
      </c>
      <c r="AL1286" s="14"/>
      <c r="AN1286" s="14"/>
      <c r="AQ1286" s="0" t="s">
        <v>130</v>
      </c>
      <c r="AR1286" s="0" t="s">
        <v>141</v>
      </c>
      <c r="AS1286" s="0" t="s">
        <v>130</v>
      </c>
      <c r="AT1286" s="0" t="s">
        <v>130</v>
      </c>
      <c r="AU1286" s="0" t="s">
        <v>130</v>
      </c>
      <c r="AV1286" s="0" t="s">
        <v>130</v>
      </c>
      <c r="AW1286" s="0" t="s">
        <v>130</v>
      </c>
      <c r="AX1286" s="0" t="s">
        <v>130</v>
      </c>
      <c r="AY1286" s="0" t="s">
        <v>130</v>
      </c>
      <c r="AZ1286" s="0" t="s">
        <v>130</v>
      </c>
      <c r="BA1286" s="0" t="s">
        <v>130</v>
      </c>
      <c r="BB1286" s="0" t="s">
        <v>141</v>
      </c>
      <c r="BC1286" s="0" t="s">
        <v>130</v>
      </c>
      <c r="BD1286" s="0" t="s">
        <v>130</v>
      </c>
      <c r="BE1286" s="0" t="s">
        <v>141</v>
      </c>
      <c r="BF1286" s="0" t="s">
        <v>130</v>
      </c>
      <c r="BG1286" s="0" t="s">
        <v>130</v>
      </c>
      <c r="BH1286" s="0" t="s">
        <v>130</v>
      </c>
      <c r="BI1286" s="0" t="s">
        <v>130</v>
      </c>
      <c r="BJ1286" s="0" t="s">
        <v>130</v>
      </c>
      <c r="BK1286" s="0" t="s">
        <v>130</v>
      </c>
      <c r="BL1286" s="0" t="s">
        <v>130</v>
      </c>
      <c r="BM1286" s="0" t="s">
        <v>130</v>
      </c>
      <c r="BN1286" s="0" t="s">
        <v>130</v>
      </c>
      <c r="BO1286" s="0" t="s">
        <v>130</v>
      </c>
      <c r="BP1286" s="0" t="s">
        <v>130</v>
      </c>
      <c r="BQ1286" s="0" t="s">
        <v>130</v>
      </c>
      <c r="BR1286" s="0" t="s">
        <v>130</v>
      </c>
      <c r="BS1286" s="0" t="s">
        <v>130</v>
      </c>
      <c r="BT1286" s="0" t="s">
        <v>130</v>
      </c>
      <c r="BU1286" s="0" t="s">
        <v>130</v>
      </c>
      <c r="BV1286" s="0" t="s">
        <v>130</v>
      </c>
      <c r="BW1286" s="0" t="s">
        <v>130</v>
      </c>
      <c r="BX1286" s="0" t="s">
        <v>130</v>
      </c>
      <c r="BY1286" s="0" t="s">
        <v>130</v>
      </c>
      <c r="BZ1286" s="0" t="s">
        <v>130</v>
      </c>
      <c r="CA1286" s="0" t="s">
        <v>130</v>
      </c>
      <c r="CB1286" s="0" t="s">
        <v>130</v>
      </c>
      <c r="CC1286" s="0" t="s">
        <v>130</v>
      </c>
      <c r="CD1286" s="0" t="s">
        <v>130</v>
      </c>
      <c r="CE1286" s="0" t="s">
        <v>130</v>
      </c>
      <c r="CF1286" s="0" t="s">
        <v>130</v>
      </c>
      <c r="CG1286" s="0" t="s">
        <v>130</v>
      </c>
      <c r="CH1286" s="0" t="s">
        <v>130</v>
      </c>
      <c r="CI1286" s="0" t="s">
        <v>130</v>
      </c>
      <c r="CJ1286" s="0" t="s">
        <v>130</v>
      </c>
      <c r="CK1286" s="0" t="s">
        <v>130</v>
      </c>
      <c r="CL1286" s="0" t="s">
        <v>130</v>
      </c>
      <c r="CM1286" s="0" t="s">
        <v>130</v>
      </c>
      <c r="CN1286" s="0" t="s">
        <v>130</v>
      </c>
      <c r="CO1286" s="0" t="s">
        <v>130</v>
      </c>
      <c r="CP1286" s="0" t="s">
        <v>130</v>
      </c>
      <c r="CQ1286" s="0" t="s">
        <v>130</v>
      </c>
      <c r="CR1286" s="0" t="s">
        <v>130</v>
      </c>
      <c r="CS1286" s="0" t="s">
        <v>130</v>
      </c>
      <c r="CT1286" s="0" t="s">
        <v>3785</v>
      </c>
    </row>
    <row r="1287">
      <c r="A1287" s="14">
        <v>7044851</v>
      </c>
      <c r="B1287" s="0" t="s">
        <v>3763</v>
      </c>
      <c r="C1287" s="16">
        <f>HYPERLINK("https://eosportal.federatedhermes.com/companies/Q29tcGFueQppODQ2NDc=", "Compass Group PLC")</f>
      </c>
      <c r="D1287" s="0" t="s">
        <v>23</v>
      </c>
      <c r="E1287" s="0" t="s">
        <v>3786</v>
      </c>
      <c r="F1287" s="16">
        <f>HYPERLINK("https://eosportal.federatedhermes.com/engagements/RW5nYWdlbWVudAppMjY2MDU=", "Plastics")</f>
      </c>
      <c r="G1287" s="14" t="s">
        <v>3787</v>
      </c>
      <c r="H1287" s="0" t="s">
        <v>141</v>
      </c>
      <c r="I1287" s="14" t="s">
        <v>191</v>
      </c>
      <c r="J1287" s="0" t="s">
        <v>197</v>
      </c>
      <c r="K1287" s="0" t="s">
        <v>348</v>
      </c>
      <c r="L1287" s="0" t="s">
        <v>349</v>
      </c>
      <c r="M1287" s="0" t="s">
        <v>272</v>
      </c>
      <c r="N1287" s="0" t="s">
        <v>273</v>
      </c>
      <c r="O1287" s="0" t="s">
        <v>643</v>
      </c>
      <c r="Q1287" s="0" t="s">
        <v>141</v>
      </c>
      <c r="R1287" s="0" t="s">
        <v>141</v>
      </c>
      <c r="S1287" s="14">
        <v>1</v>
      </c>
      <c r="T1287" s="0" t="s">
        <v>359</v>
      </c>
      <c r="U1287" s="0" t="s">
        <v>221</v>
      </c>
      <c r="V1287" s="14" t="s">
        <v>359</v>
      </c>
      <c r="W1287" s="0" t="s">
        <v>221</v>
      </c>
      <c r="X1287" s="14" t="s">
        <v>359</v>
      </c>
      <c r="Y1287" s="0" t="s">
        <v>221</v>
      </c>
      <c r="Z1287" s="14" t="s">
        <v>597</v>
      </c>
      <c r="AA1287" s="0" t="s">
        <v>221</v>
      </c>
      <c r="AB1287" s="14" t="s">
        <v>361</v>
      </c>
      <c r="AC1287" s="0" t="s">
        <v>20</v>
      </c>
      <c r="AD1287" s="0" t="s">
        <v>362</v>
      </c>
      <c r="AE1287" s="0" t="s">
        <v>3788</v>
      </c>
      <c r="AF1287" s="0">
        <v>1</v>
      </c>
      <c r="AG1287" s="0">
        <v>0</v>
      </c>
      <c r="AH1287" s="0" t="s">
        <v>140</v>
      </c>
      <c r="AI1287" s="0" t="s">
        <v>221</v>
      </c>
      <c r="AJ1287" s="0" t="s">
        <v>748</v>
      </c>
      <c r="AK1287" s="0" t="s">
        <v>3789</v>
      </c>
      <c r="AL1287" s="14"/>
      <c r="AM1287" s="0" t="s">
        <v>580</v>
      </c>
      <c r="AN1287" s="14"/>
      <c r="AQ1287" s="0" t="s">
        <v>130</v>
      </c>
      <c r="AR1287" s="0" t="s">
        <v>130</v>
      </c>
      <c r="AS1287" s="0" t="s">
        <v>130</v>
      </c>
      <c r="AT1287" s="0" t="s">
        <v>130</v>
      </c>
      <c r="AU1287" s="0" t="s">
        <v>130</v>
      </c>
      <c r="AV1287" s="0" t="s">
        <v>130</v>
      </c>
      <c r="AW1287" s="0" t="s">
        <v>130</v>
      </c>
      <c r="AX1287" s="0" t="s">
        <v>130</v>
      </c>
      <c r="AY1287" s="0" t="s">
        <v>130</v>
      </c>
      <c r="AZ1287" s="0" t="s">
        <v>130</v>
      </c>
      <c r="BA1287" s="0" t="s">
        <v>141</v>
      </c>
      <c r="BB1287" s="0" t="s">
        <v>141</v>
      </c>
      <c r="BC1287" s="0" t="s">
        <v>130</v>
      </c>
      <c r="BD1287" s="0" t="s">
        <v>130</v>
      </c>
      <c r="BE1287" s="0" t="s">
        <v>130</v>
      </c>
      <c r="BF1287" s="0" t="s">
        <v>130</v>
      </c>
      <c r="BG1287" s="0" t="s">
        <v>130</v>
      </c>
      <c r="BH1287" s="0" t="s">
        <v>130</v>
      </c>
      <c r="BI1287" s="0" t="s">
        <v>130</v>
      </c>
      <c r="BJ1287" s="0" t="s">
        <v>130</v>
      </c>
      <c r="BK1287" s="0" t="s">
        <v>130</v>
      </c>
      <c r="BL1287" s="0" t="s">
        <v>130</v>
      </c>
      <c r="BM1287" s="0" t="s">
        <v>130</v>
      </c>
      <c r="BN1287" s="0" t="s">
        <v>130</v>
      </c>
      <c r="BO1287" s="0" t="s">
        <v>130</v>
      </c>
      <c r="BP1287" s="0" t="s">
        <v>130</v>
      </c>
      <c r="BQ1287" s="0" t="s">
        <v>130</v>
      </c>
      <c r="BR1287" s="0" t="s">
        <v>130</v>
      </c>
      <c r="BS1287" s="0" t="s">
        <v>130</v>
      </c>
      <c r="BT1287" s="0" t="s">
        <v>130</v>
      </c>
      <c r="BU1287" s="0" t="s">
        <v>130</v>
      </c>
      <c r="BV1287" s="0" t="s">
        <v>130</v>
      </c>
      <c r="BW1287" s="0" t="s">
        <v>130</v>
      </c>
      <c r="BX1287" s="0" t="s">
        <v>130</v>
      </c>
      <c r="BY1287" s="0" t="s">
        <v>130</v>
      </c>
      <c r="BZ1287" s="0" t="s">
        <v>130</v>
      </c>
      <c r="CA1287" s="0" t="s">
        <v>130</v>
      </c>
      <c r="CB1287" s="0" t="s">
        <v>130</v>
      </c>
      <c r="CC1287" s="0" t="s">
        <v>130</v>
      </c>
      <c r="CD1287" s="0" t="s">
        <v>141</v>
      </c>
      <c r="CE1287" s="0" t="s">
        <v>130</v>
      </c>
      <c r="CF1287" s="0" t="s">
        <v>130</v>
      </c>
      <c r="CG1287" s="0" t="s">
        <v>130</v>
      </c>
      <c r="CH1287" s="0" t="s">
        <v>130</v>
      </c>
      <c r="CI1287" s="0" t="s">
        <v>130</v>
      </c>
      <c r="CJ1287" s="0" t="s">
        <v>130</v>
      </c>
      <c r="CK1287" s="0" t="s">
        <v>130</v>
      </c>
      <c r="CL1287" s="0" t="s">
        <v>130</v>
      </c>
      <c r="CM1287" s="0" t="s">
        <v>130</v>
      </c>
      <c r="CN1287" s="0" t="s">
        <v>130</v>
      </c>
      <c r="CO1287" s="0" t="s">
        <v>130</v>
      </c>
      <c r="CP1287" s="0" t="s">
        <v>130</v>
      </c>
      <c r="CQ1287" s="0" t="s">
        <v>130</v>
      </c>
      <c r="CR1287" s="0" t="s">
        <v>130</v>
      </c>
      <c r="CS1287" s="0" t="s">
        <v>130</v>
      </c>
      <c r="CT1287" s="0" t="s">
        <v>3790</v>
      </c>
    </row>
    <row r="1288">
      <c r="A1288" s="14">
        <v>7044851</v>
      </c>
      <c r="B1288" s="0" t="s">
        <v>3763</v>
      </c>
      <c r="C1288" s="16">
        <f>HYPERLINK("https://eosportal.federatedhermes.com/companies/Q29tcGFueQppODQ2NDc=", "Compass Group PLC")</f>
      </c>
      <c r="D1288" s="0" t="s">
        <v>25</v>
      </c>
      <c r="E1288" s="0" t="s">
        <v>3791</v>
      </c>
      <c r="F1288" s="16">
        <f>HYPERLINK("https://eosportal.federatedhermes.com/engagements/RW5nYWdlbWVudAppMjY2MTQ=", "M&amp;A strategy")</f>
      </c>
      <c r="G1288" s="14" t="s">
        <v>3792</v>
      </c>
      <c r="H1288" s="0" t="s">
        <v>141</v>
      </c>
      <c r="I1288" s="14" t="s">
        <v>191</v>
      </c>
      <c r="J1288" s="0" t="s">
        <v>132</v>
      </c>
      <c r="K1288" s="0" t="s">
        <v>133</v>
      </c>
      <c r="L1288" s="0" t="s">
        <v>160</v>
      </c>
      <c r="M1288" s="0" t="s">
        <v>272</v>
      </c>
      <c r="N1288" s="0" t="s">
        <v>273</v>
      </c>
      <c r="O1288" s="0" t="s">
        <v>643</v>
      </c>
      <c r="Q1288" s="0" t="s">
        <v>130</v>
      </c>
      <c r="R1288" s="0" t="s">
        <v>138</v>
      </c>
      <c r="S1288" s="14">
        <v>0</v>
      </c>
      <c r="T1288" s="0" t="s">
        <v>380</v>
      </c>
      <c r="U1288" s="0" t="s">
        <v>138</v>
      </c>
      <c r="V1288" s="14" t="s">
        <v>138</v>
      </c>
      <c r="W1288" s="0" t="s">
        <v>138</v>
      </c>
      <c r="X1288" s="14" t="s">
        <v>138</v>
      </c>
      <c r="Y1288" s="0" t="s">
        <v>138</v>
      </c>
      <c r="Z1288" s="14" t="s">
        <v>138</v>
      </c>
      <c r="AA1288" s="0" t="s">
        <v>138</v>
      </c>
      <c r="AB1288" s="14" t="s">
        <v>138</v>
      </c>
      <c r="AD1288" s="0" t="s">
        <v>138</v>
      </c>
      <c r="AF1288" s="0">
        <v>0</v>
      </c>
      <c r="AG1288" s="0">
        <v>0</v>
      </c>
      <c r="AH1288" s="0" t="s">
        <v>140</v>
      </c>
      <c r="AI1288" s="0" t="s">
        <v>138</v>
      </c>
      <c r="AL1288" s="14"/>
      <c r="AN1288" s="14"/>
      <c r="AQ1288" s="0" t="s">
        <v>130</v>
      </c>
      <c r="AR1288" s="0" t="s">
        <v>130</v>
      </c>
      <c r="AS1288" s="0" t="s">
        <v>130</v>
      </c>
      <c r="AT1288" s="0" t="s">
        <v>130</v>
      </c>
      <c r="AU1288" s="0" t="s">
        <v>130</v>
      </c>
      <c r="AV1288" s="0" t="s">
        <v>130</v>
      </c>
      <c r="AW1288" s="0" t="s">
        <v>130</v>
      </c>
      <c r="AX1288" s="0" t="s">
        <v>130</v>
      </c>
      <c r="AY1288" s="0" t="s">
        <v>130</v>
      </c>
      <c r="AZ1288" s="0" t="s">
        <v>130</v>
      </c>
      <c r="BA1288" s="0" t="s">
        <v>130</v>
      </c>
      <c r="BB1288" s="0" t="s">
        <v>130</v>
      </c>
      <c r="BC1288" s="0" t="s">
        <v>130</v>
      </c>
      <c r="BD1288" s="0" t="s">
        <v>130</v>
      </c>
      <c r="BE1288" s="0" t="s">
        <v>130</v>
      </c>
      <c r="BF1288" s="0" t="s">
        <v>130</v>
      </c>
      <c r="BG1288" s="0" t="s">
        <v>130</v>
      </c>
      <c r="BH1288" s="0" t="s">
        <v>130</v>
      </c>
      <c r="BI1288" s="0" t="s">
        <v>130</v>
      </c>
      <c r="BJ1288" s="0" t="s">
        <v>130</v>
      </c>
      <c r="BK1288" s="0" t="s">
        <v>130</v>
      </c>
      <c r="BL1288" s="0" t="s">
        <v>130</v>
      </c>
      <c r="BM1288" s="0" t="s">
        <v>130</v>
      </c>
      <c r="BN1288" s="0" t="s">
        <v>130</v>
      </c>
      <c r="BO1288" s="0" t="s">
        <v>130</v>
      </c>
      <c r="BP1288" s="0" t="s">
        <v>130</v>
      </c>
      <c r="BQ1288" s="0" t="s">
        <v>130</v>
      </c>
      <c r="BR1288" s="0" t="s">
        <v>130</v>
      </c>
      <c r="BS1288" s="0" t="s">
        <v>130</v>
      </c>
      <c r="BT1288" s="0" t="s">
        <v>130</v>
      </c>
      <c r="BU1288" s="0" t="s">
        <v>130</v>
      </c>
      <c r="BV1288" s="0" t="s">
        <v>130</v>
      </c>
      <c r="BW1288" s="0" t="s">
        <v>130</v>
      </c>
      <c r="BX1288" s="0" t="s">
        <v>130</v>
      </c>
      <c r="BY1288" s="0" t="s">
        <v>130</v>
      </c>
      <c r="BZ1288" s="0" t="s">
        <v>130</v>
      </c>
      <c r="CA1288" s="0" t="s">
        <v>130</v>
      </c>
      <c r="CB1288" s="0" t="s">
        <v>130</v>
      </c>
      <c r="CC1288" s="0" t="s">
        <v>130</v>
      </c>
      <c r="CD1288" s="0" t="s">
        <v>130</v>
      </c>
      <c r="CE1288" s="0" t="s">
        <v>130</v>
      </c>
      <c r="CF1288" s="0" t="s">
        <v>130</v>
      </c>
      <c r="CG1288" s="0" t="s">
        <v>130</v>
      </c>
      <c r="CH1288" s="0" t="s">
        <v>130</v>
      </c>
      <c r="CI1288" s="0" t="s">
        <v>130</v>
      </c>
      <c r="CJ1288" s="0" t="s">
        <v>130</v>
      </c>
      <c r="CK1288" s="0" t="s">
        <v>130</v>
      </c>
      <c r="CL1288" s="0" t="s">
        <v>130</v>
      </c>
      <c r="CM1288" s="0" t="s">
        <v>130</v>
      </c>
      <c r="CN1288" s="0" t="s">
        <v>130</v>
      </c>
      <c r="CO1288" s="0" t="s">
        <v>130</v>
      </c>
      <c r="CP1288" s="0" t="s">
        <v>130</v>
      </c>
      <c r="CQ1288" s="0" t="s">
        <v>130</v>
      </c>
      <c r="CR1288" s="0" t="s">
        <v>130</v>
      </c>
      <c r="CS1288" s="0" t="s">
        <v>130</v>
      </c>
      <c r="CT1288" s="0" t="s">
        <v>3793</v>
      </c>
    </row>
    <row r="1289">
      <c r="A1289" s="14">
        <v>386346</v>
      </c>
      <c r="B1289" s="0" t="s">
        <v>3794</v>
      </c>
      <c r="C1289" s="16">
        <f>HYPERLINK("https://eosportal.federatedhermes.com/companies/Q29tcGFueQppNjcwMDI=", "Booking Holdings Inc")</f>
      </c>
      <c r="D1289" s="0" t="s">
        <v>25</v>
      </c>
      <c r="E1289" s="0" t="s">
        <v>1939</v>
      </c>
      <c r="F1289" s="16">
        <f>HYPERLINK("https://eosportal.federatedhermes.com/engagements/RW5nYWdlbWVudAppMjY2MjM=", "TCFD disclosure")</f>
      </c>
      <c r="G1289" s="14" t="s">
        <v>3795</v>
      </c>
      <c r="H1289" s="0" t="s">
        <v>141</v>
      </c>
      <c r="I1289" s="14" t="s">
        <v>636</v>
      </c>
      <c r="J1289" s="0" t="s">
        <v>197</v>
      </c>
      <c r="K1289" s="0" t="s">
        <v>348</v>
      </c>
      <c r="L1289" s="0" t="s">
        <v>650</v>
      </c>
      <c r="M1289" s="0" t="s">
        <v>135</v>
      </c>
      <c r="N1289" s="0" t="s">
        <v>136</v>
      </c>
      <c r="O1289" s="0" t="s">
        <v>643</v>
      </c>
      <c r="Q1289" s="0" t="s">
        <v>130</v>
      </c>
      <c r="R1289" s="0" t="s">
        <v>138</v>
      </c>
      <c r="S1289" s="14">
        <v>0</v>
      </c>
      <c r="T1289" s="0" t="s">
        <v>394</v>
      </c>
      <c r="U1289" s="0" t="s">
        <v>138</v>
      </c>
      <c r="V1289" s="14" t="s">
        <v>138</v>
      </c>
      <c r="W1289" s="0" t="s">
        <v>138</v>
      </c>
      <c r="X1289" s="14" t="s">
        <v>138</v>
      </c>
      <c r="Y1289" s="0" t="s">
        <v>138</v>
      </c>
      <c r="Z1289" s="14" t="s">
        <v>138</v>
      </c>
      <c r="AA1289" s="0" t="s">
        <v>138</v>
      </c>
      <c r="AB1289" s="14" t="s">
        <v>138</v>
      </c>
      <c r="AD1289" s="0" t="s">
        <v>138</v>
      </c>
      <c r="AF1289" s="0">
        <v>0</v>
      </c>
      <c r="AG1289" s="0">
        <v>0</v>
      </c>
      <c r="AH1289" s="0" t="s">
        <v>140</v>
      </c>
      <c r="AI1289" s="0" t="s">
        <v>138</v>
      </c>
      <c r="AL1289" s="14"/>
      <c r="AN1289" s="14"/>
      <c r="AQ1289" s="0" t="s">
        <v>130</v>
      </c>
      <c r="AR1289" s="0" t="s">
        <v>130</v>
      </c>
      <c r="AS1289" s="0" t="s">
        <v>130</v>
      </c>
      <c r="AT1289" s="0" t="s">
        <v>130</v>
      </c>
      <c r="AU1289" s="0" t="s">
        <v>130</v>
      </c>
      <c r="AV1289" s="0" t="s">
        <v>130</v>
      </c>
      <c r="AW1289" s="0" t="s">
        <v>130</v>
      </c>
      <c r="AX1289" s="0" t="s">
        <v>130</v>
      </c>
      <c r="AY1289" s="0" t="s">
        <v>130</v>
      </c>
      <c r="AZ1289" s="0" t="s">
        <v>130</v>
      </c>
      <c r="BA1289" s="0" t="s">
        <v>130</v>
      </c>
      <c r="BB1289" s="0" t="s">
        <v>141</v>
      </c>
      <c r="BC1289" s="0" t="s">
        <v>141</v>
      </c>
      <c r="BD1289" s="0" t="s">
        <v>130</v>
      </c>
      <c r="BE1289" s="0" t="s">
        <v>130</v>
      </c>
      <c r="BF1289" s="0" t="s">
        <v>130</v>
      </c>
      <c r="BG1289" s="0" t="s">
        <v>130</v>
      </c>
      <c r="BH1289" s="0" t="s">
        <v>130</v>
      </c>
      <c r="BI1289" s="0" t="s">
        <v>130</v>
      </c>
      <c r="BJ1289" s="0" t="s">
        <v>130</v>
      </c>
      <c r="BK1289" s="0" t="s">
        <v>130</v>
      </c>
      <c r="BL1289" s="0" t="s">
        <v>130</v>
      </c>
      <c r="BM1289" s="0" t="s">
        <v>130</v>
      </c>
      <c r="BN1289" s="0" t="s">
        <v>130</v>
      </c>
      <c r="BO1289" s="0" t="s">
        <v>130</v>
      </c>
      <c r="BP1289" s="0" t="s">
        <v>130</v>
      </c>
      <c r="BQ1289" s="0" t="s">
        <v>130</v>
      </c>
      <c r="BR1289" s="0" t="s">
        <v>130</v>
      </c>
      <c r="BS1289" s="0" t="s">
        <v>130</v>
      </c>
      <c r="BT1289" s="0" t="s">
        <v>130</v>
      </c>
      <c r="BU1289" s="0" t="s">
        <v>130</v>
      </c>
      <c r="BV1289" s="0" t="s">
        <v>130</v>
      </c>
      <c r="BW1289" s="0" t="s">
        <v>130</v>
      </c>
      <c r="BX1289" s="0" t="s">
        <v>130</v>
      </c>
      <c r="BY1289" s="0" t="s">
        <v>130</v>
      </c>
      <c r="BZ1289" s="0" t="s">
        <v>130</v>
      </c>
      <c r="CA1289" s="0" t="s">
        <v>130</v>
      </c>
      <c r="CB1289" s="0" t="s">
        <v>130</v>
      </c>
      <c r="CC1289" s="0" t="s">
        <v>130</v>
      </c>
      <c r="CD1289" s="0" t="s">
        <v>130</v>
      </c>
      <c r="CE1289" s="0" t="s">
        <v>130</v>
      </c>
      <c r="CF1289" s="0" t="s">
        <v>130</v>
      </c>
      <c r="CG1289" s="0" t="s">
        <v>130</v>
      </c>
      <c r="CH1289" s="0" t="s">
        <v>130</v>
      </c>
      <c r="CI1289" s="0" t="s">
        <v>130</v>
      </c>
      <c r="CJ1289" s="0" t="s">
        <v>130</v>
      </c>
      <c r="CK1289" s="0" t="s">
        <v>130</v>
      </c>
      <c r="CL1289" s="0" t="s">
        <v>130</v>
      </c>
      <c r="CM1289" s="0" t="s">
        <v>130</v>
      </c>
      <c r="CN1289" s="0" t="s">
        <v>130</v>
      </c>
      <c r="CO1289" s="0" t="s">
        <v>130</v>
      </c>
      <c r="CP1289" s="0" t="s">
        <v>130</v>
      </c>
      <c r="CQ1289" s="0" t="s">
        <v>130</v>
      </c>
      <c r="CR1289" s="0" t="s">
        <v>130</v>
      </c>
      <c r="CS1289" s="0" t="s">
        <v>130</v>
      </c>
      <c r="CT1289" s="0" t="s">
        <v>3796</v>
      </c>
    </row>
    <row r="1290">
      <c r="A1290" s="14">
        <v>386346</v>
      </c>
      <c r="B1290" s="0" t="s">
        <v>3794</v>
      </c>
      <c r="C1290" s="16">
        <f>HYPERLINK("https://eosportal.federatedhermes.com/companies/Q29tcGFueQppNjcwMDI=", "Booking Holdings Inc")</f>
      </c>
      <c r="D1290" s="0" t="s">
        <v>25</v>
      </c>
      <c r="E1290" s="0" t="s">
        <v>3797</v>
      </c>
      <c r="F1290" s="16">
        <f>HYPERLINK("https://eosportal.federatedhermes.com/engagements/RW5nYWdlbWVudAppMjY2MjQ=", "Threshold for shareholders to call special meeting")</f>
      </c>
      <c r="G1290" s="14" t="s">
        <v>3798</v>
      </c>
      <c r="H1290" s="0" t="s">
        <v>141</v>
      </c>
      <c r="I1290" s="14" t="s">
        <v>636</v>
      </c>
      <c r="J1290" s="0" t="s">
        <v>145</v>
      </c>
      <c r="K1290" s="0" t="s">
        <v>400</v>
      </c>
      <c r="L1290" s="0" t="s">
        <v>401</v>
      </c>
      <c r="M1290" s="0" t="s">
        <v>135</v>
      </c>
      <c r="N1290" s="0" t="s">
        <v>136</v>
      </c>
      <c r="O1290" s="0" t="s">
        <v>643</v>
      </c>
      <c r="Q1290" s="0" t="s">
        <v>130</v>
      </c>
      <c r="R1290" s="0" t="s">
        <v>138</v>
      </c>
      <c r="S1290" s="14">
        <v>0</v>
      </c>
      <c r="T1290" s="0" t="s">
        <v>239</v>
      </c>
      <c r="U1290" s="0" t="s">
        <v>138</v>
      </c>
      <c r="V1290" s="14" t="s">
        <v>138</v>
      </c>
      <c r="W1290" s="0" t="s">
        <v>138</v>
      </c>
      <c r="X1290" s="14" t="s">
        <v>138</v>
      </c>
      <c r="Y1290" s="0" t="s">
        <v>138</v>
      </c>
      <c r="Z1290" s="14" t="s">
        <v>138</v>
      </c>
      <c r="AA1290" s="0" t="s">
        <v>138</v>
      </c>
      <c r="AB1290" s="14" t="s">
        <v>138</v>
      </c>
      <c r="AD1290" s="0" t="s">
        <v>138</v>
      </c>
      <c r="AF1290" s="0">
        <v>0</v>
      </c>
      <c r="AG1290" s="0">
        <v>0</v>
      </c>
      <c r="AH1290" s="0" t="s">
        <v>140</v>
      </c>
      <c r="AI1290" s="0" t="s">
        <v>138</v>
      </c>
      <c r="AL1290" s="14"/>
      <c r="AN1290" s="14"/>
      <c r="AQ1290" s="0" t="s">
        <v>130</v>
      </c>
      <c r="AR1290" s="0" t="s">
        <v>130</v>
      </c>
      <c r="AS1290" s="0" t="s">
        <v>130</v>
      </c>
      <c r="AT1290" s="0" t="s">
        <v>130</v>
      </c>
      <c r="AU1290" s="0" t="s">
        <v>130</v>
      </c>
      <c r="AV1290" s="0" t="s">
        <v>130</v>
      </c>
      <c r="AW1290" s="0" t="s">
        <v>130</v>
      </c>
      <c r="AX1290" s="0" t="s">
        <v>130</v>
      </c>
      <c r="AY1290" s="0" t="s">
        <v>130</v>
      </c>
      <c r="AZ1290" s="0" t="s">
        <v>130</v>
      </c>
      <c r="BA1290" s="0" t="s">
        <v>130</v>
      </c>
      <c r="BB1290" s="0" t="s">
        <v>130</v>
      </c>
      <c r="BC1290" s="0" t="s">
        <v>130</v>
      </c>
      <c r="BD1290" s="0" t="s">
        <v>130</v>
      </c>
      <c r="BE1290" s="0" t="s">
        <v>130</v>
      </c>
      <c r="BF1290" s="0" t="s">
        <v>130</v>
      </c>
      <c r="BG1290" s="0" t="s">
        <v>130</v>
      </c>
      <c r="BH1290" s="0" t="s">
        <v>130</v>
      </c>
      <c r="BI1290" s="0" t="s">
        <v>130</v>
      </c>
      <c r="BJ1290" s="0" t="s">
        <v>130</v>
      </c>
      <c r="BK1290" s="0" t="s">
        <v>130</v>
      </c>
      <c r="BL1290" s="0" t="s">
        <v>130</v>
      </c>
      <c r="BM1290" s="0" t="s">
        <v>130</v>
      </c>
      <c r="BN1290" s="0" t="s">
        <v>130</v>
      </c>
      <c r="BO1290" s="0" t="s">
        <v>130</v>
      </c>
      <c r="BP1290" s="0" t="s">
        <v>130</v>
      </c>
      <c r="BQ1290" s="0" t="s">
        <v>130</v>
      </c>
      <c r="BR1290" s="0" t="s">
        <v>130</v>
      </c>
      <c r="BS1290" s="0" t="s">
        <v>130</v>
      </c>
      <c r="BT1290" s="0" t="s">
        <v>130</v>
      </c>
      <c r="BU1290" s="0" t="s">
        <v>130</v>
      </c>
      <c r="BV1290" s="0" t="s">
        <v>130</v>
      </c>
      <c r="BW1290" s="0" t="s">
        <v>130</v>
      </c>
      <c r="BX1290" s="0" t="s">
        <v>130</v>
      </c>
      <c r="BY1290" s="0" t="s">
        <v>130</v>
      </c>
      <c r="BZ1290" s="0" t="s">
        <v>130</v>
      </c>
      <c r="CA1290" s="0" t="s">
        <v>130</v>
      </c>
      <c r="CB1290" s="0" t="s">
        <v>130</v>
      </c>
      <c r="CC1290" s="0" t="s">
        <v>130</v>
      </c>
      <c r="CD1290" s="0" t="s">
        <v>130</v>
      </c>
      <c r="CE1290" s="0" t="s">
        <v>130</v>
      </c>
      <c r="CF1290" s="0" t="s">
        <v>130</v>
      </c>
      <c r="CG1290" s="0" t="s">
        <v>130</v>
      </c>
      <c r="CH1290" s="0" t="s">
        <v>130</v>
      </c>
      <c r="CI1290" s="0" t="s">
        <v>130</v>
      </c>
      <c r="CJ1290" s="0" t="s">
        <v>130</v>
      </c>
      <c r="CK1290" s="0" t="s">
        <v>130</v>
      </c>
      <c r="CL1290" s="0" t="s">
        <v>130</v>
      </c>
      <c r="CM1290" s="0" t="s">
        <v>130</v>
      </c>
      <c r="CN1290" s="0" t="s">
        <v>130</v>
      </c>
      <c r="CO1290" s="0" t="s">
        <v>130</v>
      </c>
      <c r="CP1290" s="0" t="s">
        <v>130</v>
      </c>
      <c r="CQ1290" s="0" t="s">
        <v>130</v>
      </c>
      <c r="CR1290" s="0" t="s">
        <v>130</v>
      </c>
      <c r="CS1290" s="0" t="s">
        <v>130</v>
      </c>
      <c r="CT1290" s="0" t="s">
        <v>3799</v>
      </c>
    </row>
    <row r="1291">
      <c r="A1291" s="14">
        <v>386346</v>
      </c>
      <c r="B1291" s="0" t="s">
        <v>3794</v>
      </c>
      <c r="C1291" s="16">
        <f>HYPERLINK("https://eosportal.federatedhermes.com/companies/Q29tcGFueQppNjcwMDI=", "Booking Holdings Inc")</f>
      </c>
      <c r="D1291" s="0" t="s">
        <v>25</v>
      </c>
      <c r="E1291" s="0" t="s">
        <v>912</v>
      </c>
      <c r="F1291" s="16">
        <f>HYPERLINK("https://eosportal.federatedhermes.com/engagements/RW5nYWdlbWVudAppMjY2MjU=", "Executive remuneration")</f>
      </c>
      <c r="G1291" s="14" t="s">
        <v>3800</v>
      </c>
      <c r="H1291" s="0" t="s">
        <v>141</v>
      </c>
      <c r="I1291" s="14" t="s">
        <v>636</v>
      </c>
      <c r="J1291" s="0" t="s">
        <v>145</v>
      </c>
      <c r="K1291" s="0" t="s">
        <v>146</v>
      </c>
      <c r="L1291" s="0" t="s">
        <v>147</v>
      </c>
      <c r="M1291" s="0" t="s">
        <v>135</v>
      </c>
      <c r="N1291" s="0" t="s">
        <v>136</v>
      </c>
      <c r="O1291" s="0" t="s">
        <v>643</v>
      </c>
      <c r="Q1291" s="0" t="s">
        <v>130</v>
      </c>
      <c r="R1291" s="0" t="s">
        <v>138</v>
      </c>
      <c r="S1291" s="14">
        <v>0</v>
      </c>
      <c r="T1291" s="0" t="s">
        <v>239</v>
      </c>
      <c r="U1291" s="0" t="s">
        <v>138</v>
      </c>
      <c r="V1291" s="14" t="s">
        <v>138</v>
      </c>
      <c r="W1291" s="0" t="s">
        <v>138</v>
      </c>
      <c r="X1291" s="14" t="s">
        <v>138</v>
      </c>
      <c r="Y1291" s="0" t="s">
        <v>138</v>
      </c>
      <c r="Z1291" s="14" t="s">
        <v>138</v>
      </c>
      <c r="AA1291" s="0" t="s">
        <v>138</v>
      </c>
      <c r="AB1291" s="14" t="s">
        <v>138</v>
      </c>
      <c r="AD1291" s="0" t="s">
        <v>138</v>
      </c>
      <c r="AF1291" s="0">
        <v>0</v>
      </c>
      <c r="AG1291" s="0">
        <v>0</v>
      </c>
      <c r="AH1291" s="0" t="s">
        <v>140</v>
      </c>
      <c r="AI1291" s="0" t="s">
        <v>138</v>
      </c>
      <c r="AL1291" s="14"/>
      <c r="AN1291" s="14"/>
      <c r="AQ1291" s="0" t="s">
        <v>130</v>
      </c>
      <c r="AR1291" s="0" t="s">
        <v>130</v>
      </c>
      <c r="AS1291" s="0" t="s">
        <v>130</v>
      </c>
      <c r="AT1291" s="0" t="s">
        <v>130</v>
      </c>
      <c r="AU1291" s="0" t="s">
        <v>130</v>
      </c>
      <c r="AV1291" s="0" t="s">
        <v>130</v>
      </c>
      <c r="AW1291" s="0" t="s">
        <v>130</v>
      </c>
      <c r="AX1291" s="0" t="s">
        <v>130</v>
      </c>
      <c r="AY1291" s="0" t="s">
        <v>130</v>
      </c>
      <c r="AZ1291" s="0" t="s">
        <v>130</v>
      </c>
      <c r="BA1291" s="0" t="s">
        <v>130</v>
      </c>
      <c r="BB1291" s="0" t="s">
        <v>130</v>
      </c>
      <c r="BC1291" s="0" t="s">
        <v>130</v>
      </c>
      <c r="BD1291" s="0" t="s">
        <v>130</v>
      </c>
      <c r="BE1291" s="0" t="s">
        <v>130</v>
      </c>
      <c r="BF1291" s="0" t="s">
        <v>130</v>
      </c>
      <c r="BG1291" s="0" t="s">
        <v>130</v>
      </c>
      <c r="BH1291" s="0" t="s">
        <v>130</v>
      </c>
      <c r="BI1291" s="0" t="s">
        <v>130</v>
      </c>
      <c r="BJ1291" s="0" t="s">
        <v>130</v>
      </c>
      <c r="BK1291" s="0" t="s">
        <v>130</v>
      </c>
      <c r="BL1291" s="0" t="s">
        <v>130</v>
      </c>
      <c r="BM1291" s="0" t="s">
        <v>130</v>
      </c>
      <c r="BN1291" s="0" t="s">
        <v>130</v>
      </c>
      <c r="BO1291" s="0" t="s">
        <v>130</v>
      </c>
      <c r="BP1291" s="0" t="s">
        <v>130</v>
      </c>
      <c r="BQ1291" s="0" t="s">
        <v>130</v>
      </c>
      <c r="BR1291" s="0" t="s">
        <v>130</v>
      </c>
      <c r="BS1291" s="0" t="s">
        <v>130</v>
      </c>
      <c r="BT1291" s="0" t="s">
        <v>130</v>
      </c>
      <c r="BU1291" s="0" t="s">
        <v>130</v>
      </c>
      <c r="BV1291" s="0" t="s">
        <v>130</v>
      </c>
      <c r="BW1291" s="0" t="s">
        <v>130</v>
      </c>
      <c r="BX1291" s="0" t="s">
        <v>130</v>
      </c>
      <c r="BY1291" s="0" t="s">
        <v>130</v>
      </c>
      <c r="BZ1291" s="0" t="s">
        <v>130</v>
      </c>
      <c r="CA1291" s="0" t="s">
        <v>130</v>
      </c>
      <c r="CB1291" s="0" t="s">
        <v>130</v>
      </c>
      <c r="CC1291" s="0" t="s">
        <v>130</v>
      </c>
      <c r="CD1291" s="0" t="s">
        <v>130</v>
      </c>
      <c r="CE1291" s="0" t="s">
        <v>130</v>
      </c>
      <c r="CF1291" s="0" t="s">
        <v>130</v>
      </c>
      <c r="CG1291" s="0" t="s">
        <v>130</v>
      </c>
      <c r="CH1291" s="0" t="s">
        <v>130</v>
      </c>
      <c r="CI1291" s="0" t="s">
        <v>130</v>
      </c>
      <c r="CJ1291" s="0" t="s">
        <v>130</v>
      </c>
      <c r="CK1291" s="0" t="s">
        <v>130</v>
      </c>
      <c r="CL1291" s="0" t="s">
        <v>130</v>
      </c>
      <c r="CM1291" s="0" t="s">
        <v>130</v>
      </c>
      <c r="CN1291" s="0" t="s">
        <v>130</v>
      </c>
      <c r="CO1291" s="0" t="s">
        <v>130</v>
      </c>
      <c r="CP1291" s="0" t="s">
        <v>130</v>
      </c>
      <c r="CQ1291" s="0" t="s">
        <v>130</v>
      </c>
      <c r="CR1291" s="0" t="s">
        <v>130</v>
      </c>
      <c r="CS1291" s="0" t="s">
        <v>130</v>
      </c>
      <c r="CT1291" s="0" t="s">
        <v>3801</v>
      </c>
    </row>
    <row r="1292">
      <c r="A1292" s="14">
        <v>386346</v>
      </c>
      <c r="B1292" s="0" t="s">
        <v>3794</v>
      </c>
      <c r="C1292" s="16">
        <f>HYPERLINK("https://eosportal.federatedhermes.com/companies/Q29tcGFueQppNjcwMDI=", "Booking Holdings Inc")</f>
      </c>
      <c r="D1292" s="0" t="s">
        <v>25</v>
      </c>
      <c r="E1292" s="0" t="s">
        <v>3802</v>
      </c>
      <c r="F1292" s="16">
        <f>HYPERLINK("https://eosportal.federatedhermes.com/engagements/RW5nYWdlbWVudAppMjY2MjY=", "Merger integration")</f>
      </c>
      <c r="G1292" s="14" t="s">
        <v>3803</v>
      </c>
      <c r="H1292" s="0" t="s">
        <v>141</v>
      </c>
      <c r="I1292" s="14" t="s">
        <v>636</v>
      </c>
      <c r="J1292" s="0" t="s">
        <v>153</v>
      </c>
      <c r="K1292" s="0" t="s">
        <v>243</v>
      </c>
      <c r="L1292" s="0" t="s">
        <v>244</v>
      </c>
      <c r="M1292" s="0" t="s">
        <v>135</v>
      </c>
      <c r="N1292" s="0" t="s">
        <v>136</v>
      </c>
      <c r="O1292" s="0" t="s">
        <v>643</v>
      </c>
      <c r="Q1292" s="0" t="s">
        <v>130</v>
      </c>
      <c r="R1292" s="0" t="s">
        <v>138</v>
      </c>
      <c r="S1292" s="14">
        <v>0</v>
      </c>
      <c r="T1292" s="0" t="s">
        <v>394</v>
      </c>
      <c r="U1292" s="0" t="s">
        <v>138</v>
      </c>
      <c r="V1292" s="14" t="s">
        <v>138</v>
      </c>
      <c r="W1292" s="0" t="s">
        <v>138</v>
      </c>
      <c r="X1292" s="14" t="s">
        <v>138</v>
      </c>
      <c r="Y1292" s="0" t="s">
        <v>138</v>
      </c>
      <c r="Z1292" s="14" t="s">
        <v>138</v>
      </c>
      <c r="AA1292" s="0" t="s">
        <v>138</v>
      </c>
      <c r="AB1292" s="14" t="s">
        <v>138</v>
      </c>
      <c r="AD1292" s="0" t="s">
        <v>138</v>
      </c>
      <c r="AF1292" s="0">
        <v>0</v>
      </c>
      <c r="AG1292" s="0">
        <v>0</v>
      </c>
      <c r="AH1292" s="0" t="s">
        <v>140</v>
      </c>
      <c r="AI1292" s="0" t="s">
        <v>138</v>
      </c>
      <c r="AL1292" s="14"/>
      <c r="AN1292" s="14"/>
      <c r="AQ1292" s="0" t="s">
        <v>130</v>
      </c>
      <c r="AR1292" s="0" t="s">
        <v>130</v>
      </c>
      <c r="AS1292" s="0" t="s">
        <v>130</v>
      </c>
      <c r="AT1292" s="0" t="s">
        <v>130</v>
      </c>
      <c r="AU1292" s="0" t="s">
        <v>130</v>
      </c>
      <c r="AV1292" s="0" t="s">
        <v>130</v>
      </c>
      <c r="AW1292" s="0" t="s">
        <v>130</v>
      </c>
      <c r="AX1292" s="0" t="s">
        <v>130</v>
      </c>
      <c r="AY1292" s="0" t="s">
        <v>130</v>
      </c>
      <c r="AZ1292" s="0" t="s">
        <v>130</v>
      </c>
      <c r="BA1292" s="0" t="s">
        <v>130</v>
      </c>
      <c r="BB1292" s="0" t="s">
        <v>130</v>
      </c>
      <c r="BC1292" s="0" t="s">
        <v>130</v>
      </c>
      <c r="BD1292" s="0" t="s">
        <v>130</v>
      </c>
      <c r="BE1292" s="0" t="s">
        <v>130</v>
      </c>
      <c r="BF1292" s="0" t="s">
        <v>130</v>
      </c>
      <c r="BG1292" s="0" t="s">
        <v>130</v>
      </c>
      <c r="BH1292" s="0" t="s">
        <v>130</v>
      </c>
      <c r="BI1292" s="0" t="s">
        <v>130</v>
      </c>
      <c r="BJ1292" s="0" t="s">
        <v>130</v>
      </c>
      <c r="BK1292" s="0" t="s">
        <v>130</v>
      </c>
      <c r="BL1292" s="0" t="s">
        <v>130</v>
      </c>
      <c r="BM1292" s="0" t="s">
        <v>130</v>
      </c>
      <c r="BN1292" s="0" t="s">
        <v>130</v>
      </c>
      <c r="BO1292" s="0" t="s">
        <v>130</v>
      </c>
      <c r="BP1292" s="0" t="s">
        <v>130</v>
      </c>
      <c r="BQ1292" s="0" t="s">
        <v>130</v>
      </c>
      <c r="BR1292" s="0" t="s">
        <v>130</v>
      </c>
      <c r="BS1292" s="0" t="s">
        <v>130</v>
      </c>
      <c r="BT1292" s="0" t="s">
        <v>130</v>
      </c>
      <c r="BU1292" s="0" t="s">
        <v>130</v>
      </c>
      <c r="BV1292" s="0" t="s">
        <v>130</v>
      </c>
      <c r="BW1292" s="0" t="s">
        <v>130</v>
      </c>
      <c r="BX1292" s="0" t="s">
        <v>130</v>
      </c>
      <c r="BY1292" s="0" t="s">
        <v>130</v>
      </c>
      <c r="BZ1292" s="0" t="s">
        <v>130</v>
      </c>
      <c r="CA1292" s="0" t="s">
        <v>130</v>
      </c>
      <c r="CB1292" s="0" t="s">
        <v>130</v>
      </c>
      <c r="CC1292" s="0" t="s">
        <v>130</v>
      </c>
      <c r="CD1292" s="0" t="s">
        <v>130</v>
      </c>
      <c r="CE1292" s="0" t="s">
        <v>130</v>
      </c>
      <c r="CF1292" s="0" t="s">
        <v>130</v>
      </c>
      <c r="CG1292" s="0" t="s">
        <v>130</v>
      </c>
      <c r="CH1292" s="0" t="s">
        <v>130</v>
      </c>
      <c r="CI1292" s="0" t="s">
        <v>130</v>
      </c>
      <c r="CJ1292" s="0" t="s">
        <v>130</v>
      </c>
      <c r="CK1292" s="0" t="s">
        <v>130</v>
      </c>
      <c r="CL1292" s="0" t="s">
        <v>130</v>
      </c>
      <c r="CM1292" s="0" t="s">
        <v>130</v>
      </c>
      <c r="CN1292" s="0" t="s">
        <v>130</v>
      </c>
      <c r="CO1292" s="0" t="s">
        <v>130</v>
      </c>
      <c r="CP1292" s="0" t="s">
        <v>130</v>
      </c>
      <c r="CQ1292" s="0" t="s">
        <v>130</v>
      </c>
      <c r="CR1292" s="0" t="s">
        <v>130</v>
      </c>
      <c r="CS1292" s="0" t="s">
        <v>130</v>
      </c>
      <c r="CT1292" s="0" t="s">
        <v>3804</v>
      </c>
    </row>
    <row r="1293">
      <c r="A1293" s="14">
        <v>386346</v>
      </c>
      <c r="B1293" s="0" t="s">
        <v>3794</v>
      </c>
      <c r="C1293" s="16">
        <f>HYPERLINK("https://eosportal.federatedhermes.com/companies/Q29tcGFueQppNjcwMDI=", "Booking Holdings Inc")</f>
      </c>
      <c r="D1293" s="0" t="s">
        <v>25</v>
      </c>
      <c r="E1293" s="0" t="s">
        <v>3805</v>
      </c>
      <c r="F1293" s="16">
        <f>HYPERLINK("https://eosportal.federatedhermes.com/engagements/RW5nYWdlbWVudAppMjY2Mjc=", "Cybersecurity/data privacy/AI")</f>
      </c>
      <c r="G1293" s="14" t="s">
        <v>3806</v>
      </c>
      <c r="H1293" s="0" t="s">
        <v>141</v>
      </c>
      <c r="I1293" s="14" t="s">
        <v>636</v>
      </c>
      <c r="J1293" s="0" t="s">
        <v>132</v>
      </c>
      <c r="K1293" s="0" t="s">
        <v>260</v>
      </c>
      <c r="L1293" s="0" t="s">
        <v>743</v>
      </c>
      <c r="M1293" s="0" t="s">
        <v>135</v>
      </c>
      <c r="N1293" s="0" t="s">
        <v>136</v>
      </c>
      <c r="O1293" s="0" t="s">
        <v>643</v>
      </c>
      <c r="Q1293" s="0" t="s">
        <v>130</v>
      </c>
      <c r="R1293" s="0" t="s">
        <v>138</v>
      </c>
      <c r="S1293" s="14">
        <v>0</v>
      </c>
      <c r="T1293" s="0" t="s">
        <v>394</v>
      </c>
      <c r="U1293" s="0" t="s">
        <v>138</v>
      </c>
      <c r="V1293" s="14" t="s">
        <v>138</v>
      </c>
      <c r="W1293" s="0" t="s">
        <v>138</v>
      </c>
      <c r="X1293" s="14" t="s">
        <v>138</v>
      </c>
      <c r="Y1293" s="0" t="s">
        <v>138</v>
      </c>
      <c r="Z1293" s="14" t="s">
        <v>138</v>
      </c>
      <c r="AA1293" s="0" t="s">
        <v>138</v>
      </c>
      <c r="AB1293" s="14" t="s">
        <v>138</v>
      </c>
      <c r="AD1293" s="0" t="s">
        <v>138</v>
      </c>
      <c r="AF1293" s="0">
        <v>0</v>
      </c>
      <c r="AG1293" s="0">
        <v>0</v>
      </c>
      <c r="AH1293" s="0" t="s">
        <v>140</v>
      </c>
      <c r="AI1293" s="0" t="s">
        <v>138</v>
      </c>
      <c r="AL1293" s="14"/>
      <c r="AN1293" s="14"/>
      <c r="AQ1293" s="0" t="s">
        <v>130</v>
      </c>
      <c r="AR1293" s="0" t="s">
        <v>130</v>
      </c>
      <c r="AS1293" s="0" t="s">
        <v>130</v>
      </c>
      <c r="AT1293" s="0" t="s">
        <v>130</v>
      </c>
      <c r="AU1293" s="0" t="s">
        <v>130</v>
      </c>
      <c r="AV1293" s="0" t="s">
        <v>130</v>
      </c>
      <c r="AW1293" s="0" t="s">
        <v>130</v>
      </c>
      <c r="AX1293" s="0" t="s">
        <v>130</v>
      </c>
      <c r="AY1293" s="0" t="s">
        <v>130</v>
      </c>
      <c r="AZ1293" s="0" t="s">
        <v>130</v>
      </c>
      <c r="BA1293" s="0" t="s">
        <v>130</v>
      </c>
      <c r="BB1293" s="0" t="s">
        <v>130</v>
      </c>
      <c r="BC1293" s="0" t="s">
        <v>130</v>
      </c>
      <c r="BD1293" s="0" t="s">
        <v>130</v>
      </c>
      <c r="BE1293" s="0" t="s">
        <v>130</v>
      </c>
      <c r="BF1293" s="0" t="s">
        <v>130</v>
      </c>
      <c r="BG1293" s="0" t="s">
        <v>130</v>
      </c>
      <c r="BH1293" s="0" t="s">
        <v>130</v>
      </c>
      <c r="BI1293" s="0" t="s">
        <v>130</v>
      </c>
      <c r="BJ1293" s="0" t="s">
        <v>130</v>
      </c>
      <c r="BK1293" s="0" t="s">
        <v>130</v>
      </c>
      <c r="BL1293" s="0" t="s">
        <v>130</v>
      </c>
      <c r="BM1293" s="0" t="s">
        <v>130</v>
      </c>
      <c r="BN1293" s="0" t="s">
        <v>130</v>
      </c>
      <c r="BO1293" s="0" t="s">
        <v>130</v>
      </c>
      <c r="BP1293" s="0" t="s">
        <v>130</v>
      </c>
      <c r="BQ1293" s="0" t="s">
        <v>130</v>
      </c>
      <c r="BR1293" s="0" t="s">
        <v>130</v>
      </c>
      <c r="BS1293" s="0" t="s">
        <v>130</v>
      </c>
      <c r="BT1293" s="0" t="s">
        <v>130</v>
      </c>
      <c r="BU1293" s="0" t="s">
        <v>130</v>
      </c>
      <c r="BV1293" s="0" t="s">
        <v>130</v>
      </c>
      <c r="BW1293" s="0" t="s">
        <v>130</v>
      </c>
      <c r="BX1293" s="0" t="s">
        <v>130</v>
      </c>
      <c r="BY1293" s="0" t="s">
        <v>130</v>
      </c>
      <c r="BZ1293" s="0" t="s">
        <v>130</v>
      </c>
      <c r="CA1293" s="0" t="s">
        <v>130</v>
      </c>
      <c r="CB1293" s="0" t="s">
        <v>130</v>
      </c>
      <c r="CC1293" s="0" t="s">
        <v>130</v>
      </c>
      <c r="CD1293" s="0" t="s">
        <v>130</v>
      </c>
      <c r="CE1293" s="0" t="s">
        <v>130</v>
      </c>
      <c r="CF1293" s="0" t="s">
        <v>130</v>
      </c>
      <c r="CG1293" s="0" t="s">
        <v>130</v>
      </c>
      <c r="CH1293" s="0" t="s">
        <v>130</v>
      </c>
      <c r="CI1293" s="0" t="s">
        <v>130</v>
      </c>
      <c r="CJ1293" s="0" t="s">
        <v>130</v>
      </c>
      <c r="CK1293" s="0" t="s">
        <v>130</v>
      </c>
      <c r="CL1293" s="0" t="s">
        <v>130</v>
      </c>
      <c r="CM1293" s="0" t="s">
        <v>130</v>
      </c>
      <c r="CN1293" s="0" t="s">
        <v>130</v>
      </c>
      <c r="CO1293" s="0" t="s">
        <v>130</v>
      </c>
      <c r="CP1293" s="0" t="s">
        <v>130</v>
      </c>
      <c r="CQ1293" s="0" t="s">
        <v>130</v>
      </c>
      <c r="CR1293" s="0" t="s">
        <v>130</v>
      </c>
      <c r="CS1293" s="0" t="s">
        <v>130</v>
      </c>
      <c r="CT1293" s="0" t="s">
        <v>3807</v>
      </c>
    </row>
    <row r="1294">
      <c r="A1294" s="14">
        <v>386346</v>
      </c>
      <c r="B1294" s="0" t="s">
        <v>3794</v>
      </c>
      <c r="C1294" s="16">
        <f>HYPERLINK("https://eosportal.federatedhermes.com/companies/Q29tcGFueQppNjcwMDI=", "Booking Holdings Inc")</f>
      </c>
      <c r="D1294" s="0" t="s">
        <v>25</v>
      </c>
      <c r="E1294" s="0" t="s">
        <v>3808</v>
      </c>
      <c r="F1294" s="16">
        <f>HYPERLINK("https://eosportal.federatedhermes.com/engagements/RW5nYWdlbWVudAppMjY2Mjg=", "Operations in conflict zones")</f>
      </c>
      <c r="G1294" s="14" t="s">
        <v>3809</v>
      </c>
      <c r="H1294" s="0" t="s">
        <v>141</v>
      </c>
      <c r="I1294" s="14" t="s">
        <v>636</v>
      </c>
      <c r="J1294" s="0" t="s">
        <v>153</v>
      </c>
      <c r="K1294" s="0" t="s">
        <v>243</v>
      </c>
      <c r="L1294" s="0" t="s">
        <v>456</v>
      </c>
      <c r="M1294" s="0" t="s">
        <v>135</v>
      </c>
      <c r="N1294" s="0" t="s">
        <v>136</v>
      </c>
      <c r="O1294" s="0" t="s">
        <v>643</v>
      </c>
      <c r="Q1294" s="0" t="s">
        <v>130</v>
      </c>
      <c r="R1294" s="0" t="s">
        <v>138</v>
      </c>
      <c r="S1294" s="14">
        <v>0</v>
      </c>
      <c r="T1294" s="0" t="s">
        <v>394</v>
      </c>
      <c r="U1294" s="0" t="s">
        <v>138</v>
      </c>
      <c r="V1294" s="14" t="s">
        <v>138</v>
      </c>
      <c r="W1294" s="0" t="s">
        <v>138</v>
      </c>
      <c r="X1294" s="14" t="s">
        <v>138</v>
      </c>
      <c r="Y1294" s="0" t="s">
        <v>138</v>
      </c>
      <c r="Z1294" s="14" t="s">
        <v>138</v>
      </c>
      <c r="AA1294" s="0" t="s">
        <v>138</v>
      </c>
      <c r="AB1294" s="14" t="s">
        <v>138</v>
      </c>
      <c r="AD1294" s="0" t="s">
        <v>138</v>
      </c>
      <c r="AF1294" s="0">
        <v>0</v>
      </c>
      <c r="AG1294" s="0">
        <v>0</v>
      </c>
      <c r="AH1294" s="0" t="s">
        <v>140</v>
      </c>
      <c r="AI1294" s="0" t="s">
        <v>138</v>
      </c>
      <c r="AL1294" s="14"/>
      <c r="AN1294" s="14"/>
      <c r="AQ1294" s="0" t="s">
        <v>130</v>
      </c>
      <c r="AR1294" s="0" t="s">
        <v>130</v>
      </c>
      <c r="AS1294" s="0" t="s">
        <v>130</v>
      </c>
      <c r="AT1294" s="0" t="s">
        <v>130</v>
      </c>
      <c r="AU1294" s="0" t="s">
        <v>130</v>
      </c>
      <c r="AV1294" s="0" t="s">
        <v>130</v>
      </c>
      <c r="AW1294" s="0" t="s">
        <v>130</v>
      </c>
      <c r="AX1294" s="0" t="s">
        <v>130</v>
      </c>
      <c r="AY1294" s="0" t="s">
        <v>130</v>
      </c>
      <c r="AZ1294" s="0" t="s">
        <v>130</v>
      </c>
      <c r="BA1294" s="0" t="s">
        <v>130</v>
      </c>
      <c r="BB1294" s="0" t="s">
        <v>130</v>
      </c>
      <c r="BC1294" s="0" t="s">
        <v>130</v>
      </c>
      <c r="BD1294" s="0" t="s">
        <v>130</v>
      </c>
      <c r="BE1294" s="0" t="s">
        <v>130</v>
      </c>
      <c r="BF1294" s="0" t="s">
        <v>141</v>
      </c>
      <c r="BG1294" s="0" t="s">
        <v>130</v>
      </c>
      <c r="BH1294" s="0" t="s">
        <v>130</v>
      </c>
      <c r="BI1294" s="0" t="s">
        <v>130</v>
      </c>
      <c r="BJ1294" s="0" t="s">
        <v>130</v>
      </c>
      <c r="BK1294" s="0" t="s">
        <v>130</v>
      </c>
      <c r="BL1294" s="0" t="s">
        <v>130</v>
      </c>
      <c r="BM1294" s="0" t="s">
        <v>130</v>
      </c>
      <c r="BN1294" s="0" t="s">
        <v>130</v>
      </c>
      <c r="BO1294" s="0" t="s">
        <v>130</v>
      </c>
      <c r="BP1294" s="0" t="s">
        <v>130</v>
      </c>
      <c r="BQ1294" s="0" t="s">
        <v>130</v>
      </c>
      <c r="BR1294" s="0" t="s">
        <v>130</v>
      </c>
      <c r="BS1294" s="0" t="s">
        <v>130</v>
      </c>
      <c r="BT1294" s="0" t="s">
        <v>130</v>
      </c>
      <c r="BU1294" s="0" t="s">
        <v>130</v>
      </c>
      <c r="BV1294" s="0" t="s">
        <v>130</v>
      </c>
      <c r="BW1294" s="0" t="s">
        <v>130</v>
      </c>
      <c r="BX1294" s="0" t="s">
        <v>130</v>
      </c>
      <c r="BY1294" s="0" t="s">
        <v>130</v>
      </c>
      <c r="BZ1294" s="0" t="s">
        <v>130</v>
      </c>
      <c r="CA1294" s="0" t="s">
        <v>130</v>
      </c>
      <c r="CB1294" s="0" t="s">
        <v>130</v>
      </c>
      <c r="CC1294" s="0" t="s">
        <v>130</v>
      </c>
      <c r="CD1294" s="0" t="s">
        <v>130</v>
      </c>
      <c r="CE1294" s="0" t="s">
        <v>130</v>
      </c>
      <c r="CF1294" s="0" t="s">
        <v>130</v>
      </c>
      <c r="CG1294" s="0" t="s">
        <v>130</v>
      </c>
      <c r="CH1294" s="0" t="s">
        <v>130</v>
      </c>
      <c r="CI1294" s="0" t="s">
        <v>130</v>
      </c>
      <c r="CJ1294" s="0" t="s">
        <v>130</v>
      </c>
      <c r="CK1294" s="0" t="s">
        <v>130</v>
      </c>
      <c r="CL1294" s="0" t="s">
        <v>130</v>
      </c>
      <c r="CM1294" s="0" t="s">
        <v>130</v>
      </c>
      <c r="CN1294" s="0" t="s">
        <v>130</v>
      </c>
      <c r="CO1294" s="0" t="s">
        <v>130</v>
      </c>
      <c r="CP1294" s="0" t="s">
        <v>130</v>
      </c>
      <c r="CQ1294" s="0" t="s">
        <v>130</v>
      </c>
      <c r="CR1294" s="0" t="s">
        <v>130</v>
      </c>
      <c r="CS1294" s="0" t="s">
        <v>130</v>
      </c>
      <c r="CT1294" s="0" t="s">
        <v>3810</v>
      </c>
    </row>
    <row r="1295">
      <c r="A1295" s="14">
        <v>386346</v>
      </c>
      <c r="B1295" s="0" t="s">
        <v>3794</v>
      </c>
      <c r="C1295" s="16">
        <f>HYPERLINK("https://eosportal.federatedhermes.com/companies/Q29tcGFueQppNjcwMDI=", "Booking Holdings Inc")</f>
      </c>
      <c r="D1295" s="0" t="s">
        <v>25</v>
      </c>
      <c r="E1295" s="0" t="s">
        <v>709</v>
      </c>
      <c r="F1295" s="16">
        <f>HYPERLINK("https://eosportal.federatedhermes.com/engagements/RW5nYWdlbWVudAppMjY2Mjk=", "Proxy access")</f>
      </c>
      <c r="G1295" s="14" t="s">
        <v>3811</v>
      </c>
      <c r="H1295" s="0" t="s">
        <v>141</v>
      </c>
      <c r="I1295" s="14" t="s">
        <v>636</v>
      </c>
      <c r="J1295" s="0" t="s">
        <v>145</v>
      </c>
      <c r="K1295" s="0" t="s">
        <v>400</v>
      </c>
      <c r="L1295" s="0" t="s">
        <v>507</v>
      </c>
      <c r="M1295" s="0" t="s">
        <v>135</v>
      </c>
      <c r="N1295" s="0" t="s">
        <v>136</v>
      </c>
      <c r="O1295" s="0" t="s">
        <v>643</v>
      </c>
      <c r="Q1295" s="0" t="s">
        <v>130</v>
      </c>
      <c r="R1295" s="0" t="s">
        <v>138</v>
      </c>
      <c r="S1295" s="14">
        <v>0</v>
      </c>
      <c r="T1295" s="0" t="s">
        <v>435</v>
      </c>
      <c r="U1295" s="0" t="s">
        <v>138</v>
      </c>
      <c r="V1295" s="14" t="s">
        <v>138</v>
      </c>
      <c r="W1295" s="0" t="s">
        <v>138</v>
      </c>
      <c r="X1295" s="14" t="s">
        <v>138</v>
      </c>
      <c r="Y1295" s="0" t="s">
        <v>138</v>
      </c>
      <c r="Z1295" s="14" t="s">
        <v>138</v>
      </c>
      <c r="AA1295" s="0" t="s">
        <v>138</v>
      </c>
      <c r="AB1295" s="14" t="s">
        <v>138</v>
      </c>
      <c r="AD1295" s="0" t="s">
        <v>138</v>
      </c>
      <c r="AF1295" s="0">
        <v>0</v>
      </c>
      <c r="AG1295" s="0">
        <v>0</v>
      </c>
      <c r="AH1295" s="0" t="s">
        <v>140</v>
      </c>
      <c r="AI1295" s="0" t="s">
        <v>138</v>
      </c>
      <c r="AL1295" s="14"/>
      <c r="AN1295" s="14"/>
      <c r="AQ1295" s="0" t="s">
        <v>130</v>
      </c>
      <c r="AR1295" s="0" t="s">
        <v>130</v>
      </c>
      <c r="AS1295" s="0" t="s">
        <v>130</v>
      </c>
      <c r="AT1295" s="0" t="s">
        <v>130</v>
      </c>
      <c r="AU1295" s="0" t="s">
        <v>130</v>
      </c>
      <c r="AV1295" s="0" t="s">
        <v>130</v>
      </c>
      <c r="AW1295" s="0" t="s">
        <v>130</v>
      </c>
      <c r="AX1295" s="0" t="s">
        <v>130</v>
      </c>
      <c r="AY1295" s="0" t="s">
        <v>130</v>
      </c>
      <c r="AZ1295" s="0" t="s">
        <v>130</v>
      </c>
      <c r="BA1295" s="0" t="s">
        <v>130</v>
      </c>
      <c r="BB1295" s="0" t="s">
        <v>130</v>
      </c>
      <c r="BC1295" s="0" t="s">
        <v>130</v>
      </c>
      <c r="BD1295" s="0" t="s">
        <v>130</v>
      </c>
      <c r="BE1295" s="0" t="s">
        <v>130</v>
      </c>
      <c r="BF1295" s="0" t="s">
        <v>130</v>
      </c>
      <c r="BG1295" s="0" t="s">
        <v>130</v>
      </c>
      <c r="BH1295" s="0" t="s">
        <v>130</v>
      </c>
      <c r="BI1295" s="0" t="s">
        <v>130</v>
      </c>
      <c r="BJ1295" s="0" t="s">
        <v>130</v>
      </c>
      <c r="BK1295" s="0" t="s">
        <v>130</v>
      </c>
      <c r="BL1295" s="0" t="s">
        <v>130</v>
      </c>
      <c r="BM1295" s="0" t="s">
        <v>130</v>
      </c>
      <c r="BN1295" s="0" t="s">
        <v>130</v>
      </c>
      <c r="BO1295" s="0" t="s">
        <v>130</v>
      </c>
      <c r="BP1295" s="0" t="s">
        <v>130</v>
      </c>
      <c r="BQ1295" s="0" t="s">
        <v>130</v>
      </c>
      <c r="BR1295" s="0" t="s">
        <v>130</v>
      </c>
      <c r="BS1295" s="0" t="s">
        <v>130</v>
      </c>
      <c r="BT1295" s="0" t="s">
        <v>130</v>
      </c>
      <c r="BU1295" s="0" t="s">
        <v>130</v>
      </c>
      <c r="BV1295" s="0" t="s">
        <v>130</v>
      </c>
      <c r="BW1295" s="0" t="s">
        <v>130</v>
      </c>
      <c r="BX1295" s="0" t="s">
        <v>130</v>
      </c>
      <c r="BY1295" s="0" t="s">
        <v>130</v>
      </c>
      <c r="BZ1295" s="0" t="s">
        <v>130</v>
      </c>
      <c r="CA1295" s="0" t="s">
        <v>130</v>
      </c>
      <c r="CB1295" s="0" t="s">
        <v>130</v>
      </c>
      <c r="CC1295" s="0" t="s">
        <v>130</v>
      </c>
      <c r="CD1295" s="0" t="s">
        <v>130</v>
      </c>
      <c r="CE1295" s="0" t="s">
        <v>130</v>
      </c>
      <c r="CF1295" s="0" t="s">
        <v>130</v>
      </c>
      <c r="CG1295" s="0" t="s">
        <v>130</v>
      </c>
      <c r="CH1295" s="0" t="s">
        <v>130</v>
      </c>
      <c r="CI1295" s="0" t="s">
        <v>130</v>
      </c>
      <c r="CJ1295" s="0" t="s">
        <v>130</v>
      </c>
      <c r="CK1295" s="0" t="s">
        <v>130</v>
      </c>
      <c r="CL1295" s="0" t="s">
        <v>130</v>
      </c>
      <c r="CM1295" s="0" t="s">
        <v>130</v>
      </c>
      <c r="CN1295" s="0" t="s">
        <v>130</v>
      </c>
      <c r="CO1295" s="0" t="s">
        <v>130</v>
      </c>
      <c r="CP1295" s="0" t="s">
        <v>130</v>
      </c>
      <c r="CQ1295" s="0" t="s">
        <v>130</v>
      </c>
      <c r="CR1295" s="0" t="s">
        <v>130</v>
      </c>
      <c r="CS1295" s="0" t="s">
        <v>130</v>
      </c>
      <c r="CT1295" s="0" t="s">
        <v>3812</v>
      </c>
    </row>
    <row r="1296">
      <c r="A1296" s="14">
        <v>7281855</v>
      </c>
      <c r="B1296" s="0" t="s">
        <v>3813</v>
      </c>
      <c r="C1296" s="16">
        <f>HYPERLINK("https://eosportal.federatedhermes.com/companies/Q29tcGFueQppODU4ODE=", "LG Chem Ltd")</f>
      </c>
      <c r="D1296" s="0" t="s">
        <v>25</v>
      </c>
      <c r="E1296" s="0" t="s">
        <v>1204</v>
      </c>
      <c r="F1296" s="16">
        <f>HYPERLINK("https://eosportal.federatedhermes.com/engagements/RW5nYWdlbWVudAppMjY2NzM=", "Political donations")</f>
      </c>
      <c r="G1296" s="14" t="s">
        <v>3814</v>
      </c>
      <c r="H1296" s="0" t="s">
        <v>141</v>
      </c>
      <c r="I1296" s="14" t="s">
        <v>191</v>
      </c>
      <c r="J1296" s="0" t="s">
        <v>153</v>
      </c>
      <c r="K1296" s="0" t="s">
        <v>185</v>
      </c>
      <c r="L1296" s="0" t="s">
        <v>186</v>
      </c>
      <c r="M1296" s="0" t="s">
        <v>802</v>
      </c>
      <c r="N1296" s="0" t="s">
        <v>2800</v>
      </c>
      <c r="O1296" s="0" t="s">
        <v>706</v>
      </c>
      <c r="Q1296" s="0" t="s">
        <v>130</v>
      </c>
      <c r="R1296" s="0" t="s">
        <v>138</v>
      </c>
      <c r="S1296" s="14">
        <v>0</v>
      </c>
      <c r="T1296" s="0" t="s">
        <v>239</v>
      </c>
      <c r="U1296" s="0" t="s">
        <v>138</v>
      </c>
      <c r="V1296" s="14" t="s">
        <v>138</v>
      </c>
      <c r="W1296" s="0" t="s">
        <v>138</v>
      </c>
      <c r="X1296" s="14" t="s">
        <v>138</v>
      </c>
      <c r="Y1296" s="0" t="s">
        <v>138</v>
      </c>
      <c r="Z1296" s="14" t="s">
        <v>138</v>
      </c>
      <c r="AA1296" s="0" t="s">
        <v>138</v>
      </c>
      <c r="AB1296" s="14" t="s">
        <v>138</v>
      </c>
      <c r="AD1296" s="0" t="s">
        <v>138</v>
      </c>
      <c r="AF1296" s="0">
        <v>0</v>
      </c>
      <c r="AG1296" s="0">
        <v>0</v>
      </c>
      <c r="AH1296" s="0" t="s">
        <v>140</v>
      </c>
      <c r="AI1296" s="0" t="s">
        <v>138</v>
      </c>
      <c r="AL1296" s="14"/>
      <c r="AN1296" s="14"/>
      <c r="AQ1296" s="0" t="s">
        <v>130</v>
      </c>
      <c r="AR1296" s="0" t="s">
        <v>130</v>
      </c>
      <c r="AS1296" s="0" t="s">
        <v>130</v>
      </c>
      <c r="AT1296" s="0" t="s">
        <v>130</v>
      </c>
      <c r="AU1296" s="0" t="s">
        <v>130</v>
      </c>
      <c r="AV1296" s="0" t="s">
        <v>130</v>
      </c>
      <c r="AW1296" s="0" t="s">
        <v>130</v>
      </c>
      <c r="AX1296" s="0" t="s">
        <v>130</v>
      </c>
      <c r="AY1296" s="0" t="s">
        <v>130</v>
      </c>
      <c r="AZ1296" s="0" t="s">
        <v>130</v>
      </c>
      <c r="BA1296" s="0" t="s">
        <v>130</v>
      </c>
      <c r="BB1296" s="0" t="s">
        <v>130</v>
      </c>
      <c r="BC1296" s="0" t="s">
        <v>130</v>
      </c>
      <c r="BD1296" s="0" t="s">
        <v>130</v>
      </c>
      <c r="BE1296" s="0" t="s">
        <v>130</v>
      </c>
      <c r="BF1296" s="0" t="s">
        <v>141</v>
      </c>
      <c r="BG1296" s="0" t="s">
        <v>130</v>
      </c>
      <c r="BH1296" s="0" t="s">
        <v>130</v>
      </c>
      <c r="BI1296" s="0" t="s">
        <v>130</v>
      </c>
      <c r="BJ1296" s="0" t="s">
        <v>130</v>
      </c>
      <c r="BK1296" s="0" t="s">
        <v>130</v>
      </c>
      <c r="BL1296" s="0" t="s">
        <v>130</v>
      </c>
      <c r="BM1296" s="0" t="s">
        <v>130</v>
      </c>
      <c r="BN1296" s="0" t="s">
        <v>130</v>
      </c>
      <c r="BO1296" s="0" t="s">
        <v>130</v>
      </c>
      <c r="BP1296" s="0" t="s">
        <v>130</v>
      </c>
      <c r="BQ1296" s="0" t="s">
        <v>130</v>
      </c>
      <c r="BR1296" s="0" t="s">
        <v>130</v>
      </c>
      <c r="BS1296" s="0" t="s">
        <v>130</v>
      </c>
      <c r="BT1296" s="0" t="s">
        <v>130</v>
      </c>
      <c r="BU1296" s="0" t="s">
        <v>130</v>
      </c>
      <c r="BV1296" s="0" t="s">
        <v>130</v>
      </c>
      <c r="BW1296" s="0" t="s">
        <v>130</v>
      </c>
      <c r="BX1296" s="0" t="s">
        <v>130</v>
      </c>
      <c r="BY1296" s="0" t="s">
        <v>130</v>
      </c>
      <c r="BZ1296" s="0" t="s">
        <v>130</v>
      </c>
      <c r="CA1296" s="0" t="s">
        <v>130</v>
      </c>
      <c r="CB1296" s="0" t="s">
        <v>130</v>
      </c>
      <c r="CC1296" s="0" t="s">
        <v>130</v>
      </c>
      <c r="CD1296" s="0" t="s">
        <v>130</v>
      </c>
      <c r="CE1296" s="0" t="s">
        <v>130</v>
      </c>
      <c r="CF1296" s="0" t="s">
        <v>130</v>
      </c>
      <c r="CG1296" s="0" t="s">
        <v>130</v>
      </c>
      <c r="CH1296" s="0" t="s">
        <v>130</v>
      </c>
      <c r="CI1296" s="0" t="s">
        <v>130</v>
      </c>
      <c r="CJ1296" s="0" t="s">
        <v>130</v>
      </c>
      <c r="CK1296" s="0" t="s">
        <v>130</v>
      </c>
      <c r="CL1296" s="0" t="s">
        <v>130</v>
      </c>
      <c r="CM1296" s="0" t="s">
        <v>130</v>
      </c>
      <c r="CN1296" s="0" t="s">
        <v>130</v>
      </c>
      <c r="CO1296" s="0" t="s">
        <v>130</v>
      </c>
      <c r="CP1296" s="0" t="s">
        <v>130</v>
      </c>
      <c r="CQ1296" s="0" t="s">
        <v>130</v>
      </c>
      <c r="CR1296" s="0" t="s">
        <v>130</v>
      </c>
      <c r="CS1296" s="0" t="s">
        <v>130</v>
      </c>
      <c r="CT1296" s="0" t="s">
        <v>3815</v>
      </c>
    </row>
    <row r="1297">
      <c r="A1297" s="14">
        <v>7281855</v>
      </c>
      <c r="B1297" s="0" t="s">
        <v>3813</v>
      </c>
      <c r="C1297" s="16">
        <f>HYPERLINK("https://eosportal.federatedhermes.com/companies/Q29tcGFueQppODU4ODE=", "LG Chem Ltd")</f>
      </c>
      <c r="D1297" s="0" t="s">
        <v>25</v>
      </c>
      <c r="E1297" s="0" t="s">
        <v>3816</v>
      </c>
      <c r="F1297" s="16">
        <f>HYPERLINK("https://eosportal.federatedhermes.com/engagements/RW5nYWdlbWVudAppMjY2NzQ=", "Bundled resolution")</f>
      </c>
      <c r="G1297" s="14" t="s">
        <v>3817</v>
      </c>
      <c r="H1297" s="0" t="s">
        <v>141</v>
      </c>
      <c r="I1297" s="14" t="s">
        <v>191</v>
      </c>
      <c r="J1297" s="0" t="s">
        <v>145</v>
      </c>
      <c r="K1297" s="0" t="s">
        <v>400</v>
      </c>
      <c r="L1297" s="0" t="s">
        <v>507</v>
      </c>
      <c r="M1297" s="0" t="s">
        <v>802</v>
      </c>
      <c r="N1297" s="0" t="s">
        <v>2800</v>
      </c>
      <c r="O1297" s="0" t="s">
        <v>706</v>
      </c>
      <c r="Q1297" s="0" t="s">
        <v>130</v>
      </c>
      <c r="R1297" s="0" t="s">
        <v>138</v>
      </c>
      <c r="S1297" s="14">
        <v>0</v>
      </c>
      <c r="T1297" s="0" t="s">
        <v>457</v>
      </c>
      <c r="U1297" s="0" t="s">
        <v>138</v>
      </c>
      <c r="V1297" s="14" t="s">
        <v>138</v>
      </c>
      <c r="W1297" s="0" t="s">
        <v>138</v>
      </c>
      <c r="X1297" s="14" t="s">
        <v>138</v>
      </c>
      <c r="Y1297" s="0" t="s">
        <v>138</v>
      </c>
      <c r="Z1297" s="14" t="s">
        <v>138</v>
      </c>
      <c r="AA1297" s="0" t="s">
        <v>138</v>
      </c>
      <c r="AB1297" s="14" t="s">
        <v>138</v>
      </c>
      <c r="AD1297" s="0" t="s">
        <v>138</v>
      </c>
      <c r="AF1297" s="0">
        <v>0</v>
      </c>
      <c r="AG1297" s="0">
        <v>0</v>
      </c>
      <c r="AH1297" s="0" t="s">
        <v>140</v>
      </c>
      <c r="AI1297" s="0" t="s">
        <v>138</v>
      </c>
      <c r="AL1297" s="14"/>
      <c r="AN1297" s="14"/>
      <c r="AQ1297" s="0" t="s">
        <v>130</v>
      </c>
      <c r="AR1297" s="0" t="s">
        <v>130</v>
      </c>
      <c r="AS1297" s="0" t="s">
        <v>130</v>
      </c>
      <c r="AT1297" s="0" t="s">
        <v>130</v>
      </c>
      <c r="AU1297" s="0" t="s">
        <v>130</v>
      </c>
      <c r="AV1297" s="0" t="s">
        <v>130</v>
      </c>
      <c r="AW1297" s="0" t="s">
        <v>130</v>
      </c>
      <c r="AX1297" s="0" t="s">
        <v>130</v>
      </c>
      <c r="AY1297" s="0" t="s">
        <v>130</v>
      </c>
      <c r="AZ1297" s="0" t="s">
        <v>130</v>
      </c>
      <c r="BA1297" s="0" t="s">
        <v>130</v>
      </c>
      <c r="BB1297" s="0" t="s">
        <v>130</v>
      </c>
      <c r="BC1297" s="0" t="s">
        <v>130</v>
      </c>
      <c r="BD1297" s="0" t="s">
        <v>130</v>
      </c>
      <c r="BE1297" s="0" t="s">
        <v>130</v>
      </c>
      <c r="BF1297" s="0" t="s">
        <v>130</v>
      </c>
      <c r="BG1297" s="0" t="s">
        <v>130</v>
      </c>
      <c r="BH1297" s="0" t="s">
        <v>130</v>
      </c>
      <c r="BI1297" s="0" t="s">
        <v>130</v>
      </c>
      <c r="BJ1297" s="0" t="s">
        <v>130</v>
      </c>
      <c r="BK1297" s="0" t="s">
        <v>130</v>
      </c>
      <c r="BL1297" s="0" t="s">
        <v>130</v>
      </c>
      <c r="BM1297" s="0" t="s">
        <v>130</v>
      </c>
      <c r="BN1297" s="0" t="s">
        <v>130</v>
      </c>
      <c r="BO1297" s="0" t="s">
        <v>130</v>
      </c>
      <c r="BP1297" s="0" t="s">
        <v>130</v>
      </c>
      <c r="BQ1297" s="0" t="s">
        <v>130</v>
      </c>
      <c r="BR1297" s="0" t="s">
        <v>130</v>
      </c>
      <c r="BS1297" s="0" t="s">
        <v>130</v>
      </c>
      <c r="BT1297" s="0" t="s">
        <v>130</v>
      </c>
      <c r="BU1297" s="0" t="s">
        <v>130</v>
      </c>
      <c r="BV1297" s="0" t="s">
        <v>130</v>
      </c>
      <c r="BW1297" s="0" t="s">
        <v>130</v>
      </c>
      <c r="BX1297" s="0" t="s">
        <v>130</v>
      </c>
      <c r="BY1297" s="0" t="s">
        <v>130</v>
      </c>
      <c r="BZ1297" s="0" t="s">
        <v>130</v>
      </c>
      <c r="CA1297" s="0" t="s">
        <v>130</v>
      </c>
      <c r="CB1297" s="0" t="s">
        <v>130</v>
      </c>
      <c r="CC1297" s="0" t="s">
        <v>130</v>
      </c>
      <c r="CD1297" s="0" t="s">
        <v>130</v>
      </c>
      <c r="CE1297" s="0" t="s">
        <v>130</v>
      </c>
      <c r="CF1297" s="0" t="s">
        <v>130</v>
      </c>
      <c r="CG1297" s="0" t="s">
        <v>130</v>
      </c>
      <c r="CH1297" s="0" t="s">
        <v>130</v>
      </c>
      <c r="CI1297" s="0" t="s">
        <v>130</v>
      </c>
      <c r="CJ1297" s="0" t="s">
        <v>130</v>
      </c>
      <c r="CK1297" s="0" t="s">
        <v>130</v>
      </c>
      <c r="CL1297" s="0" t="s">
        <v>130</v>
      </c>
      <c r="CM1297" s="0" t="s">
        <v>130</v>
      </c>
      <c r="CN1297" s="0" t="s">
        <v>130</v>
      </c>
      <c r="CO1297" s="0" t="s">
        <v>130</v>
      </c>
      <c r="CP1297" s="0" t="s">
        <v>130</v>
      </c>
      <c r="CQ1297" s="0" t="s">
        <v>130</v>
      </c>
      <c r="CR1297" s="0" t="s">
        <v>130</v>
      </c>
      <c r="CS1297" s="0" t="s">
        <v>130</v>
      </c>
      <c r="CT1297" s="0" t="s">
        <v>3818</v>
      </c>
    </row>
    <row r="1298">
      <c r="A1298" s="14">
        <v>7281855</v>
      </c>
      <c r="B1298" s="0" t="s">
        <v>3813</v>
      </c>
      <c r="C1298" s="16">
        <f>HYPERLINK("https://eosportal.federatedhermes.com/companies/Q29tcGFueQppODU4ODE=", "LG Chem Ltd")</f>
      </c>
      <c r="D1298" s="0" t="s">
        <v>25</v>
      </c>
      <c r="E1298" s="0" t="s">
        <v>3819</v>
      </c>
      <c r="F1298" s="16">
        <f>HYPERLINK("https://eosportal.federatedhermes.com/engagements/RW5nYWdlbWVudAppMjY2NzU=", "Chemicals management")</f>
      </c>
      <c r="G1298" s="14" t="s">
        <v>3820</v>
      </c>
      <c r="H1298" s="0" t="s">
        <v>141</v>
      </c>
      <c r="I1298" s="14" t="s">
        <v>191</v>
      </c>
      <c r="J1298" s="0" t="s">
        <v>197</v>
      </c>
      <c r="K1298" s="0" t="s">
        <v>348</v>
      </c>
      <c r="L1298" s="0" t="s">
        <v>650</v>
      </c>
      <c r="M1298" s="0" t="s">
        <v>802</v>
      </c>
      <c r="N1298" s="0" t="s">
        <v>2800</v>
      </c>
      <c r="O1298" s="0" t="s">
        <v>706</v>
      </c>
      <c r="Q1298" s="0" t="s">
        <v>141</v>
      </c>
      <c r="R1298" s="0" t="s">
        <v>138</v>
      </c>
      <c r="S1298" s="14">
        <v>1</v>
      </c>
      <c r="T1298" s="0" t="s">
        <v>920</v>
      </c>
      <c r="U1298" s="0" t="s">
        <v>138</v>
      </c>
      <c r="V1298" s="14" t="s">
        <v>138</v>
      </c>
      <c r="W1298" s="0" t="s">
        <v>138</v>
      </c>
      <c r="X1298" s="14" t="s">
        <v>138</v>
      </c>
      <c r="Y1298" s="0" t="s">
        <v>138</v>
      </c>
      <c r="Z1298" s="14" t="s">
        <v>138</v>
      </c>
      <c r="AA1298" s="0" t="s">
        <v>138</v>
      </c>
      <c r="AB1298" s="14" t="s">
        <v>138</v>
      </c>
      <c r="AD1298" s="0" t="s">
        <v>138</v>
      </c>
      <c r="AF1298" s="0">
        <v>0</v>
      </c>
      <c r="AG1298" s="0">
        <v>0</v>
      </c>
      <c r="AH1298" s="0" t="s">
        <v>140</v>
      </c>
      <c r="AI1298" s="0" t="s">
        <v>138</v>
      </c>
      <c r="AK1298" s="0" t="s">
        <v>714</v>
      </c>
      <c r="AL1298" s="14"/>
      <c r="AN1298" s="14"/>
      <c r="AQ1298" s="0" t="s">
        <v>130</v>
      </c>
      <c r="AR1298" s="0" t="s">
        <v>130</v>
      </c>
      <c r="AS1298" s="0" t="s">
        <v>141</v>
      </c>
      <c r="AT1298" s="0" t="s">
        <v>130</v>
      </c>
      <c r="AU1298" s="0" t="s">
        <v>130</v>
      </c>
      <c r="AV1298" s="0" t="s">
        <v>130</v>
      </c>
      <c r="AW1298" s="0" t="s">
        <v>130</v>
      </c>
      <c r="AX1298" s="0" t="s">
        <v>130</v>
      </c>
      <c r="AY1298" s="0" t="s">
        <v>130</v>
      </c>
      <c r="AZ1298" s="0" t="s">
        <v>130</v>
      </c>
      <c r="BA1298" s="0" t="s">
        <v>130</v>
      </c>
      <c r="BB1298" s="0" t="s">
        <v>141</v>
      </c>
      <c r="BC1298" s="0" t="s">
        <v>130</v>
      </c>
      <c r="BD1298" s="0" t="s">
        <v>130</v>
      </c>
      <c r="BE1298" s="0" t="s">
        <v>130</v>
      </c>
      <c r="BF1298" s="0" t="s">
        <v>130</v>
      </c>
      <c r="BG1298" s="0" t="s">
        <v>130</v>
      </c>
      <c r="BH1298" s="0" t="s">
        <v>130</v>
      </c>
      <c r="BI1298" s="0" t="s">
        <v>130</v>
      </c>
      <c r="BJ1298" s="0" t="s">
        <v>130</v>
      </c>
      <c r="BK1298" s="0" t="s">
        <v>130</v>
      </c>
      <c r="BL1298" s="0" t="s">
        <v>130</v>
      </c>
      <c r="BM1298" s="0" t="s">
        <v>130</v>
      </c>
      <c r="BN1298" s="0" t="s">
        <v>130</v>
      </c>
      <c r="BO1298" s="0" t="s">
        <v>130</v>
      </c>
      <c r="BP1298" s="0" t="s">
        <v>130</v>
      </c>
      <c r="BQ1298" s="0" t="s">
        <v>130</v>
      </c>
      <c r="BR1298" s="0" t="s">
        <v>130</v>
      </c>
      <c r="BS1298" s="0" t="s">
        <v>130</v>
      </c>
      <c r="BT1298" s="0" t="s">
        <v>130</v>
      </c>
      <c r="BU1298" s="0" t="s">
        <v>130</v>
      </c>
      <c r="BV1298" s="0" t="s">
        <v>130</v>
      </c>
      <c r="BW1298" s="0" t="s">
        <v>130</v>
      </c>
      <c r="BX1298" s="0" t="s">
        <v>130</v>
      </c>
      <c r="BY1298" s="0" t="s">
        <v>130</v>
      </c>
      <c r="BZ1298" s="0" t="s">
        <v>130</v>
      </c>
      <c r="CA1298" s="0" t="s">
        <v>130</v>
      </c>
      <c r="CB1298" s="0" t="s">
        <v>130</v>
      </c>
      <c r="CC1298" s="0" t="s">
        <v>130</v>
      </c>
      <c r="CD1298" s="0" t="s">
        <v>130</v>
      </c>
      <c r="CE1298" s="0" t="s">
        <v>130</v>
      </c>
      <c r="CF1298" s="0" t="s">
        <v>130</v>
      </c>
      <c r="CG1298" s="0" t="s">
        <v>130</v>
      </c>
      <c r="CH1298" s="0" t="s">
        <v>130</v>
      </c>
      <c r="CI1298" s="0" t="s">
        <v>130</v>
      </c>
      <c r="CJ1298" s="0" t="s">
        <v>130</v>
      </c>
      <c r="CK1298" s="0" t="s">
        <v>130</v>
      </c>
      <c r="CL1298" s="0" t="s">
        <v>130</v>
      </c>
      <c r="CM1298" s="0" t="s">
        <v>130</v>
      </c>
      <c r="CN1298" s="0" t="s">
        <v>130</v>
      </c>
      <c r="CO1298" s="0" t="s">
        <v>130</v>
      </c>
      <c r="CP1298" s="0" t="s">
        <v>130</v>
      </c>
      <c r="CQ1298" s="0" t="s">
        <v>130</v>
      </c>
      <c r="CR1298" s="0" t="s">
        <v>130</v>
      </c>
      <c r="CS1298" s="0" t="s">
        <v>130</v>
      </c>
      <c r="CT1298" s="0" t="s">
        <v>3821</v>
      </c>
    </row>
    <row r="1299">
      <c r="A1299" s="14">
        <v>7281855</v>
      </c>
      <c r="B1299" s="0" t="s">
        <v>3813</v>
      </c>
      <c r="C1299" s="16">
        <f>HYPERLINK("https://eosportal.federatedhermes.com/companies/Q29tcGFueQppODU4ODE=", "LG Chem Ltd")</f>
      </c>
      <c r="D1299" s="0" t="s">
        <v>25</v>
      </c>
      <c r="E1299" s="0" t="s">
        <v>1069</v>
      </c>
      <c r="F1299" s="16">
        <f>HYPERLINK("https://eosportal.federatedhermes.com/engagements/RW5nYWdlbWVudAppMjY2NzY=", "Water management")</f>
      </c>
      <c r="G1299" s="14" t="s">
        <v>3822</v>
      </c>
      <c r="H1299" s="0" t="s">
        <v>141</v>
      </c>
      <c r="I1299" s="14" t="s">
        <v>191</v>
      </c>
      <c r="J1299" s="0" t="s">
        <v>197</v>
      </c>
      <c r="K1299" s="0" t="s">
        <v>337</v>
      </c>
      <c r="L1299" s="0" t="s">
        <v>338</v>
      </c>
      <c r="M1299" s="0" t="s">
        <v>802</v>
      </c>
      <c r="N1299" s="0" t="s">
        <v>2800</v>
      </c>
      <c r="O1299" s="0" t="s">
        <v>706</v>
      </c>
      <c r="Q1299" s="0" t="s">
        <v>130</v>
      </c>
      <c r="R1299" s="0" t="s">
        <v>138</v>
      </c>
      <c r="S1299" s="14">
        <v>0</v>
      </c>
      <c r="T1299" s="0" t="s">
        <v>804</v>
      </c>
      <c r="U1299" s="0" t="s">
        <v>138</v>
      </c>
      <c r="V1299" s="14" t="s">
        <v>138</v>
      </c>
      <c r="W1299" s="0" t="s">
        <v>138</v>
      </c>
      <c r="X1299" s="14" t="s">
        <v>138</v>
      </c>
      <c r="Y1299" s="0" t="s">
        <v>138</v>
      </c>
      <c r="Z1299" s="14" t="s">
        <v>138</v>
      </c>
      <c r="AA1299" s="0" t="s">
        <v>138</v>
      </c>
      <c r="AB1299" s="14" t="s">
        <v>138</v>
      </c>
      <c r="AD1299" s="0" t="s">
        <v>138</v>
      </c>
      <c r="AF1299" s="0">
        <v>0</v>
      </c>
      <c r="AG1299" s="0">
        <v>0</v>
      </c>
      <c r="AH1299" s="0" t="s">
        <v>140</v>
      </c>
      <c r="AI1299" s="0" t="s">
        <v>138</v>
      </c>
      <c r="AL1299" s="14"/>
      <c r="AN1299" s="14"/>
      <c r="AQ1299" s="0" t="s">
        <v>130</v>
      </c>
      <c r="AR1299" s="0" t="s">
        <v>130</v>
      </c>
      <c r="AS1299" s="0" t="s">
        <v>130</v>
      </c>
      <c r="AT1299" s="0" t="s">
        <v>130</v>
      </c>
      <c r="AU1299" s="0" t="s">
        <v>130</v>
      </c>
      <c r="AV1299" s="0" t="s">
        <v>141</v>
      </c>
      <c r="AW1299" s="0" t="s">
        <v>130</v>
      </c>
      <c r="AX1299" s="0" t="s">
        <v>130</v>
      </c>
      <c r="AY1299" s="0" t="s">
        <v>130</v>
      </c>
      <c r="AZ1299" s="0" t="s">
        <v>130</v>
      </c>
      <c r="BA1299" s="0" t="s">
        <v>130</v>
      </c>
      <c r="BB1299" s="0" t="s">
        <v>130</v>
      </c>
      <c r="BC1299" s="0" t="s">
        <v>130</v>
      </c>
      <c r="BD1299" s="0" t="s">
        <v>130</v>
      </c>
      <c r="BE1299" s="0" t="s">
        <v>130</v>
      </c>
      <c r="BF1299" s="0" t="s">
        <v>130</v>
      </c>
      <c r="BG1299" s="0" t="s">
        <v>130</v>
      </c>
      <c r="BH1299" s="0" t="s">
        <v>130</v>
      </c>
      <c r="BI1299" s="0" t="s">
        <v>130</v>
      </c>
      <c r="BJ1299" s="0" t="s">
        <v>130</v>
      </c>
      <c r="BK1299" s="0" t="s">
        <v>130</v>
      </c>
      <c r="BL1299" s="0" t="s">
        <v>130</v>
      </c>
      <c r="BM1299" s="0" t="s">
        <v>130</v>
      </c>
      <c r="BN1299" s="0" t="s">
        <v>130</v>
      </c>
      <c r="BO1299" s="0" t="s">
        <v>130</v>
      </c>
      <c r="BP1299" s="0" t="s">
        <v>130</v>
      </c>
      <c r="BQ1299" s="0" t="s">
        <v>130</v>
      </c>
      <c r="BR1299" s="0" t="s">
        <v>130</v>
      </c>
      <c r="BS1299" s="0" t="s">
        <v>130</v>
      </c>
      <c r="BT1299" s="0" t="s">
        <v>130</v>
      </c>
      <c r="BU1299" s="0" t="s">
        <v>130</v>
      </c>
      <c r="BV1299" s="0" t="s">
        <v>130</v>
      </c>
      <c r="BW1299" s="0" t="s">
        <v>130</v>
      </c>
      <c r="BX1299" s="0" t="s">
        <v>141</v>
      </c>
      <c r="BY1299" s="0" t="s">
        <v>130</v>
      </c>
      <c r="BZ1299" s="0" t="s">
        <v>130</v>
      </c>
      <c r="CA1299" s="0" t="s">
        <v>130</v>
      </c>
      <c r="CB1299" s="0" t="s">
        <v>130</v>
      </c>
      <c r="CC1299" s="0" t="s">
        <v>130</v>
      </c>
      <c r="CD1299" s="0" t="s">
        <v>130</v>
      </c>
      <c r="CE1299" s="0" t="s">
        <v>130</v>
      </c>
      <c r="CF1299" s="0" t="s">
        <v>130</v>
      </c>
      <c r="CG1299" s="0" t="s">
        <v>130</v>
      </c>
      <c r="CH1299" s="0" t="s">
        <v>130</v>
      </c>
      <c r="CI1299" s="0" t="s">
        <v>130</v>
      </c>
      <c r="CJ1299" s="0" t="s">
        <v>130</v>
      </c>
      <c r="CK1299" s="0" t="s">
        <v>130</v>
      </c>
      <c r="CL1299" s="0" t="s">
        <v>130</v>
      </c>
      <c r="CM1299" s="0" t="s">
        <v>130</v>
      </c>
      <c r="CN1299" s="0" t="s">
        <v>130</v>
      </c>
      <c r="CO1299" s="0" t="s">
        <v>130</v>
      </c>
      <c r="CP1299" s="0" t="s">
        <v>130</v>
      </c>
      <c r="CQ1299" s="0" t="s">
        <v>130</v>
      </c>
      <c r="CR1299" s="0" t="s">
        <v>130</v>
      </c>
      <c r="CS1299" s="0" t="s">
        <v>130</v>
      </c>
      <c r="CT1299" s="0" t="s">
        <v>3823</v>
      </c>
    </row>
    <row r="1300">
      <c r="A1300" s="14">
        <v>7281855</v>
      </c>
      <c r="B1300" s="0" t="s">
        <v>3813</v>
      </c>
      <c r="C1300" s="16">
        <f>HYPERLINK("https://eosportal.federatedhermes.com/companies/Q29tcGFueQppODU4ODE=", "LG Chem Ltd")</f>
      </c>
      <c r="D1300" s="0" t="s">
        <v>25</v>
      </c>
      <c r="E1300" s="0" t="s">
        <v>3824</v>
      </c>
      <c r="F1300" s="16">
        <f>HYPERLINK("https://eosportal.federatedhermes.com/engagements/RW5nYWdlbWVudAppMjY2Nzc=", "Approval of financial statements at AGM")</f>
      </c>
      <c r="G1300" s="14" t="s">
        <v>2873</v>
      </c>
      <c r="H1300" s="0" t="s">
        <v>141</v>
      </c>
      <c r="I1300" s="14" t="s">
        <v>191</v>
      </c>
      <c r="J1300" s="0" t="s">
        <v>132</v>
      </c>
      <c r="K1300" s="0" t="s">
        <v>170</v>
      </c>
      <c r="L1300" s="0" t="s">
        <v>310</v>
      </c>
      <c r="M1300" s="0" t="s">
        <v>802</v>
      </c>
      <c r="N1300" s="0" t="s">
        <v>2800</v>
      </c>
      <c r="O1300" s="0" t="s">
        <v>706</v>
      </c>
      <c r="Q1300" s="0" t="s">
        <v>130</v>
      </c>
      <c r="R1300" s="0" t="s">
        <v>138</v>
      </c>
      <c r="S1300" s="14">
        <v>0</v>
      </c>
      <c r="T1300" s="0" t="s">
        <v>387</v>
      </c>
      <c r="U1300" s="0" t="s">
        <v>138</v>
      </c>
      <c r="V1300" s="14" t="s">
        <v>138</v>
      </c>
      <c r="W1300" s="0" t="s">
        <v>138</v>
      </c>
      <c r="X1300" s="14" t="s">
        <v>138</v>
      </c>
      <c r="Y1300" s="0" t="s">
        <v>138</v>
      </c>
      <c r="Z1300" s="14" t="s">
        <v>138</v>
      </c>
      <c r="AA1300" s="0" t="s">
        <v>138</v>
      </c>
      <c r="AB1300" s="14" t="s">
        <v>138</v>
      </c>
      <c r="AD1300" s="0" t="s">
        <v>138</v>
      </c>
      <c r="AF1300" s="0">
        <v>0</v>
      </c>
      <c r="AG1300" s="0">
        <v>0</v>
      </c>
      <c r="AH1300" s="0" t="s">
        <v>140</v>
      </c>
      <c r="AI1300" s="0" t="s">
        <v>138</v>
      </c>
      <c r="AL1300" s="14"/>
      <c r="AN1300" s="14"/>
      <c r="AQ1300" s="0" t="s">
        <v>130</v>
      </c>
      <c r="AR1300" s="0" t="s">
        <v>130</v>
      </c>
      <c r="AS1300" s="0" t="s">
        <v>130</v>
      </c>
      <c r="AT1300" s="0" t="s">
        <v>130</v>
      </c>
      <c r="AU1300" s="0" t="s">
        <v>130</v>
      </c>
      <c r="AV1300" s="0" t="s">
        <v>130</v>
      </c>
      <c r="AW1300" s="0" t="s">
        <v>130</v>
      </c>
      <c r="AX1300" s="0" t="s">
        <v>130</v>
      </c>
      <c r="AY1300" s="0" t="s">
        <v>130</v>
      </c>
      <c r="AZ1300" s="0" t="s">
        <v>130</v>
      </c>
      <c r="BA1300" s="0" t="s">
        <v>130</v>
      </c>
      <c r="BB1300" s="0" t="s">
        <v>130</v>
      </c>
      <c r="BC1300" s="0" t="s">
        <v>130</v>
      </c>
      <c r="BD1300" s="0" t="s">
        <v>130</v>
      </c>
      <c r="BE1300" s="0" t="s">
        <v>130</v>
      </c>
      <c r="BF1300" s="0" t="s">
        <v>130</v>
      </c>
      <c r="BG1300" s="0" t="s">
        <v>130</v>
      </c>
      <c r="BH1300" s="0" t="s">
        <v>130</v>
      </c>
      <c r="BI1300" s="0" t="s">
        <v>130</v>
      </c>
      <c r="BJ1300" s="0" t="s">
        <v>130</v>
      </c>
      <c r="BK1300" s="0" t="s">
        <v>130</v>
      </c>
      <c r="BL1300" s="0" t="s">
        <v>130</v>
      </c>
      <c r="BM1300" s="0" t="s">
        <v>130</v>
      </c>
      <c r="BN1300" s="0" t="s">
        <v>130</v>
      </c>
      <c r="BO1300" s="0" t="s">
        <v>130</v>
      </c>
      <c r="BP1300" s="0" t="s">
        <v>130</v>
      </c>
      <c r="BQ1300" s="0" t="s">
        <v>130</v>
      </c>
      <c r="BR1300" s="0" t="s">
        <v>130</v>
      </c>
      <c r="BS1300" s="0" t="s">
        <v>130</v>
      </c>
      <c r="BT1300" s="0" t="s">
        <v>130</v>
      </c>
      <c r="BU1300" s="0" t="s">
        <v>130</v>
      </c>
      <c r="BV1300" s="0" t="s">
        <v>130</v>
      </c>
      <c r="BW1300" s="0" t="s">
        <v>130</v>
      </c>
      <c r="BX1300" s="0" t="s">
        <v>130</v>
      </c>
      <c r="BY1300" s="0" t="s">
        <v>130</v>
      </c>
      <c r="BZ1300" s="0" t="s">
        <v>130</v>
      </c>
      <c r="CA1300" s="0" t="s">
        <v>130</v>
      </c>
      <c r="CB1300" s="0" t="s">
        <v>130</v>
      </c>
      <c r="CC1300" s="0" t="s">
        <v>130</v>
      </c>
      <c r="CD1300" s="0" t="s">
        <v>130</v>
      </c>
      <c r="CE1300" s="0" t="s">
        <v>130</v>
      </c>
      <c r="CF1300" s="0" t="s">
        <v>130</v>
      </c>
      <c r="CG1300" s="0" t="s">
        <v>130</v>
      </c>
      <c r="CH1300" s="0" t="s">
        <v>130</v>
      </c>
      <c r="CI1300" s="0" t="s">
        <v>130</v>
      </c>
      <c r="CJ1300" s="0" t="s">
        <v>130</v>
      </c>
      <c r="CK1300" s="0" t="s">
        <v>130</v>
      </c>
      <c r="CL1300" s="0" t="s">
        <v>130</v>
      </c>
      <c r="CM1300" s="0" t="s">
        <v>130</v>
      </c>
      <c r="CN1300" s="0" t="s">
        <v>130</v>
      </c>
      <c r="CO1300" s="0" t="s">
        <v>130</v>
      </c>
      <c r="CP1300" s="0" t="s">
        <v>130</v>
      </c>
      <c r="CQ1300" s="0" t="s">
        <v>130</v>
      </c>
      <c r="CR1300" s="0" t="s">
        <v>130</v>
      </c>
      <c r="CS1300" s="0" t="s">
        <v>130</v>
      </c>
      <c r="CT1300" s="0" t="s">
        <v>3825</v>
      </c>
    </row>
    <row r="1301">
      <c r="A1301" s="14">
        <v>7281855</v>
      </c>
      <c r="B1301" s="0" t="s">
        <v>3813</v>
      </c>
      <c r="C1301" s="16">
        <f>HYPERLINK("https://eosportal.federatedhermes.com/companies/Q29tcGFueQppODU4ODE=", "LG Chem Ltd")</f>
      </c>
      <c r="D1301" s="0" t="s">
        <v>25</v>
      </c>
      <c r="E1301" s="0" t="s">
        <v>1729</v>
      </c>
      <c r="F1301" s="16">
        <f>HYPERLINK("https://eosportal.federatedhermes.com/engagements/RW5nYWdlbWVudAppMjY2Nzg=", "Business strategy")</f>
      </c>
      <c r="G1301" s="14" t="s">
        <v>3826</v>
      </c>
      <c r="H1301" s="0" t="s">
        <v>141</v>
      </c>
      <c r="I1301" s="14" t="s">
        <v>191</v>
      </c>
      <c r="J1301" s="0" t="s">
        <v>153</v>
      </c>
      <c r="K1301" s="0" t="s">
        <v>243</v>
      </c>
      <c r="L1301" s="0" t="s">
        <v>244</v>
      </c>
      <c r="M1301" s="0" t="s">
        <v>802</v>
      </c>
      <c r="N1301" s="0" t="s">
        <v>2800</v>
      </c>
      <c r="O1301" s="0" t="s">
        <v>706</v>
      </c>
      <c r="Q1301" s="0" t="s">
        <v>130</v>
      </c>
      <c r="R1301" s="0" t="s">
        <v>138</v>
      </c>
      <c r="S1301" s="14">
        <v>0</v>
      </c>
      <c r="T1301" s="0" t="s">
        <v>333</v>
      </c>
      <c r="U1301" s="0" t="s">
        <v>138</v>
      </c>
      <c r="V1301" s="14" t="s">
        <v>138</v>
      </c>
      <c r="W1301" s="0" t="s">
        <v>138</v>
      </c>
      <c r="X1301" s="14" t="s">
        <v>138</v>
      </c>
      <c r="Y1301" s="0" t="s">
        <v>138</v>
      </c>
      <c r="Z1301" s="14" t="s">
        <v>138</v>
      </c>
      <c r="AA1301" s="0" t="s">
        <v>138</v>
      </c>
      <c r="AB1301" s="14" t="s">
        <v>138</v>
      </c>
      <c r="AD1301" s="0" t="s">
        <v>138</v>
      </c>
      <c r="AF1301" s="0">
        <v>0</v>
      </c>
      <c r="AG1301" s="0">
        <v>0</v>
      </c>
      <c r="AH1301" s="0" t="s">
        <v>140</v>
      </c>
      <c r="AI1301" s="0" t="s">
        <v>138</v>
      </c>
      <c r="AL1301" s="14"/>
      <c r="AN1301" s="14"/>
      <c r="AQ1301" s="0" t="s">
        <v>130</v>
      </c>
      <c r="AR1301" s="0" t="s">
        <v>130</v>
      </c>
      <c r="AS1301" s="0" t="s">
        <v>130</v>
      </c>
      <c r="AT1301" s="0" t="s">
        <v>130</v>
      </c>
      <c r="AU1301" s="0" t="s">
        <v>130</v>
      </c>
      <c r="AV1301" s="0" t="s">
        <v>130</v>
      </c>
      <c r="AW1301" s="0" t="s">
        <v>130</v>
      </c>
      <c r="AX1301" s="0" t="s">
        <v>130</v>
      </c>
      <c r="AY1301" s="0" t="s">
        <v>130</v>
      </c>
      <c r="AZ1301" s="0" t="s">
        <v>130</v>
      </c>
      <c r="BA1301" s="0" t="s">
        <v>130</v>
      </c>
      <c r="BB1301" s="0" t="s">
        <v>130</v>
      </c>
      <c r="BC1301" s="0" t="s">
        <v>130</v>
      </c>
      <c r="BD1301" s="0" t="s">
        <v>130</v>
      </c>
      <c r="BE1301" s="0" t="s">
        <v>130</v>
      </c>
      <c r="BF1301" s="0" t="s">
        <v>130</v>
      </c>
      <c r="BG1301" s="0" t="s">
        <v>130</v>
      </c>
      <c r="BH1301" s="0" t="s">
        <v>130</v>
      </c>
      <c r="BI1301" s="0" t="s">
        <v>130</v>
      </c>
      <c r="BJ1301" s="0" t="s">
        <v>130</v>
      </c>
      <c r="BK1301" s="0" t="s">
        <v>130</v>
      </c>
      <c r="BL1301" s="0" t="s">
        <v>130</v>
      </c>
      <c r="BM1301" s="0" t="s">
        <v>130</v>
      </c>
      <c r="BN1301" s="0" t="s">
        <v>130</v>
      </c>
      <c r="BO1301" s="0" t="s">
        <v>130</v>
      </c>
      <c r="BP1301" s="0" t="s">
        <v>130</v>
      </c>
      <c r="BQ1301" s="0" t="s">
        <v>130</v>
      </c>
      <c r="BR1301" s="0" t="s">
        <v>130</v>
      </c>
      <c r="BS1301" s="0" t="s">
        <v>130</v>
      </c>
      <c r="BT1301" s="0" t="s">
        <v>130</v>
      </c>
      <c r="BU1301" s="0" t="s">
        <v>130</v>
      </c>
      <c r="BV1301" s="0" t="s">
        <v>130</v>
      </c>
      <c r="BW1301" s="0" t="s">
        <v>130</v>
      </c>
      <c r="BX1301" s="0" t="s">
        <v>130</v>
      </c>
      <c r="BY1301" s="0" t="s">
        <v>130</v>
      </c>
      <c r="BZ1301" s="0" t="s">
        <v>130</v>
      </c>
      <c r="CA1301" s="0" t="s">
        <v>130</v>
      </c>
      <c r="CB1301" s="0" t="s">
        <v>130</v>
      </c>
      <c r="CC1301" s="0" t="s">
        <v>130</v>
      </c>
      <c r="CD1301" s="0" t="s">
        <v>130</v>
      </c>
      <c r="CE1301" s="0" t="s">
        <v>130</v>
      </c>
      <c r="CF1301" s="0" t="s">
        <v>130</v>
      </c>
      <c r="CG1301" s="0" t="s">
        <v>130</v>
      </c>
      <c r="CH1301" s="0" t="s">
        <v>130</v>
      </c>
      <c r="CI1301" s="0" t="s">
        <v>130</v>
      </c>
      <c r="CJ1301" s="0" t="s">
        <v>130</v>
      </c>
      <c r="CK1301" s="0" t="s">
        <v>130</v>
      </c>
      <c r="CL1301" s="0" t="s">
        <v>130</v>
      </c>
      <c r="CM1301" s="0" t="s">
        <v>130</v>
      </c>
      <c r="CN1301" s="0" t="s">
        <v>130</v>
      </c>
      <c r="CO1301" s="0" t="s">
        <v>130</v>
      </c>
      <c r="CP1301" s="0" t="s">
        <v>130</v>
      </c>
      <c r="CQ1301" s="0" t="s">
        <v>130</v>
      </c>
      <c r="CR1301" s="0" t="s">
        <v>130</v>
      </c>
      <c r="CS1301" s="0" t="s">
        <v>130</v>
      </c>
      <c r="CT1301" s="0" t="s">
        <v>3827</v>
      </c>
    </row>
    <row r="1302">
      <c r="A1302" s="14">
        <v>7281855</v>
      </c>
      <c r="B1302" s="0" t="s">
        <v>3813</v>
      </c>
      <c r="C1302" s="16">
        <f>HYPERLINK("https://eosportal.federatedhermes.com/companies/Q29tcGFueQppODU4ODE=", "LG Chem Ltd")</f>
      </c>
      <c r="D1302" s="0" t="s">
        <v>25</v>
      </c>
      <c r="E1302" s="0" t="s">
        <v>3828</v>
      </c>
      <c r="F1302" s="16">
        <f>HYPERLINK("https://eosportal.federatedhermes.com/engagements/RW5nYWdlbWVudAppMjY2Nzk=", "Business ethics")</f>
      </c>
      <c r="G1302" s="14" t="s">
        <v>3829</v>
      </c>
      <c r="H1302" s="0" t="s">
        <v>141</v>
      </c>
      <c r="I1302" s="14" t="s">
        <v>191</v>
      </c>
      <c r="J1302" s="0" t="s">
        <v>153</v>
      </c>
      <c r="K1302" s="0" t="s">
        <v>185</v>
      </c>
      <c r="L1302" s="0" t="s">
        <v>186</v>
      </c>
      <c r="M1302" s="0" t="s">
        <v>802</v>
      </c>
      <c r="N1302" s="0" t="s">
        <v>2800</v>
      </c>
      <c r="O1302" s="0" t="s">
        <v>706</v>
      </c>
      <c r="Q1302" s="0" t="s">
        <v>130</v>
      </c>
      <c r="R1302" s="0" t="s">
        <v>138</v>
      </c>
      <c r="S1302" s="14">
        <v>0</v>
      </c>
      <c r="T1302" s="0" t="s">
        <v>333</v>
      </c>
      <c r="U1302" s="0" t="s">
        <v>138</v>
      </c>
      <c r="V1302" s="14" t="s">
        <v>138</v>
      </c>
      <c r="W1302" s="0" t="s">
        <v>138</v>
      </c>
      <c r="X1302" s="14" t="s">
        <v>138</v>
      </c>
      <c r="Y1302" s="0" t="s">
        <v>138</v>
      </c>
      <c r="Z1302" s="14" t="s">
        <v>138</v>
      </c>
      <c r="AA1302" s="0" t="s">
        <v>138</v>
      </c>
      <c r="AB1302" s="14" t="s">
        <v>138</v>
      </c>
      <c r="AD1302" s="0" t="s">
        <v>138</v>
      </c>
      <c r="AF1302" s="0">
        <v>0</v>
      </c>
      <c r="AG1302" s="0">
        <v>0</v>
      </c>
      <c r="AH1302" s="0" t="s">
        <v>140</v>
      </c>
      <c r="AI1302" s="0" t="s">
        <v>138</v>
      </c>
      <c r="AL1302" s="14"/>
      <c r="AN1302" s="14"/>
      <c r="AQ1302" s="0" t="s">
        <v>130</v>
      </c>
      <c r="AR1302" s="0" t="s">
        <v>130</v>
      </c>
      <c r="AS1302" s="0" t="s">
        <v>130</v>
      </c>
      <c r="AT1302" s="0" t="s">
        <v>130</v>
      </c>
      <c r="AU1302" s="0" t="s">
        <v>130</v>
      </c>
      <c r="AV1302" s="0" t="s">
        <v>130</v>
      </c>
      <c r="AW1302" s="0" t="s">
        <v>130</v>
      </c>
      <c r="AX1302" s="0" t="s">
        <v>130</v>
      </c>
      <c r="AY1302" s="0" t="s">
        <v>130</v>
      </c>
      <c r="AZ1302" s="0" t="s">
        <v>130</v>
      </c>
      <c r="BA1302" s="0" t="s">
        <v>130</v>
      </c>
      <c r="BB1302" s="0" t="s">
        <v>130</v>
      </c>
      <c r="BC1302" s="0" t="s">
        <v>130</v>
      </c>
      <c r="BD1302" s="0" t="s">
        <v>130</v>
      </c>
      <c r="BE1302" s="0" t="s">
        <v>130</v>
      </c>
      <c r="BF1302" s="0" t="s">
        <v>141</v>
      </c>
      <c r="BG1302" s="0" t="s">
        <v>130</v>
      </c>
      <c r="BH1302" s="0" t="s">
        <v>130</v>
      </c>
      <c r="BI1302" s="0" t="s">
        <v>130</v>
      </c>
      <c r="BJ1302" s="0" t="s">
        <v>130</v>
      </c>
      <c r="BK1302" s="0" t="s">
        <v>130</v>
      </c>
      <c r="BL1302" s="0" t="s">
        <v>130</v>
      </c>
      <c r="BM1302" s="0" t="s">
        <v>130</v>
      </c>
      <c r="BN1302" s="0" t="s">
        <v>130</v>
      </c>
      <c r="BO1302" s="0" t="s">
        <v>130</v>
      </c>
      <c r="BP1302" s="0" t="s">
        <v>130</v>
      </c>
      <c r="BQ1302" s="0" t="s">
        <v>130</v>
      </c>
      <c r="BR1302" s="0" t="s">
        <v>130</v>
      </c>
      <c r="BS1302" s="0" t="s">
        <v>130</v>
      </c>
      <c r="BT1302" s="0" t="s">
        <v>130</v>
      </c>
      <c r="BU1302" s="0" t="s">
        <v>130</v>
      </c>
      <c r="BV1302" s="0" t="s">
        <v>130</v>
      </c>
      <c r="BW1302" s="0" t="s">
        <v>130</v>
      </c>
      <c r="BX1302" s="0" t="s">
        <v>130</v>
      </c>
      <c r="BY1302" s="0" t="s">
        <v>130</v>
      </c>
      <c r="BZ1302" s="0" t="s">
        <v>130</v>
      </c>
      <c r="CA1302" s="0" t="s">
        <v>130</v>
      </c>
      <c r="CB1302" s="0" t="s">
        <v>130</v>
      </c>
      <c r="CC1302" s="0" t="s">
        <v>130</v>
      </c>
      <c r="CD1302" s="0" t="s">
        <v>130</v>
      </c>
      <c r="CE1302" s="0" t="s">
        <v>130</v>
      </c>
      <c r="CF1302" s="0" t="s">
        <v>130</v>
      </c>
      <c r="CG1302" s="0" t="s">
        <v>130</v>
      </c>
      <c r="CH1302" s="0" t="s">
        <v>130</v>
      </c>
      <c r="CI1302" s="0" t="s">
        <v>130</v>
      </c>
      <c r="CJ1302" s="0" t="s">
        <v>130</v>
      </c>
      <c r="CK1302" s="0" t="s">
        <v>130</v>
      </c>
      <c r="CL1302" s="0" t="s">
        <v>130</v>
      </c>
      <c r="CM1302" s="0" t="s">
        <v>130</v>
      </c>
      <c r="CN1302" s="0" t="s">
        <v>130</v>
      </c>
      <c r="CO1302" s="0" t="s">
        <v>130</v>
      </c>
      <c r="CP1302" s="0" t="s">
        <v>130</v>
      </c>
      <c r="CQ1302" s="0" t="s">
        <v>130</v>
      </c>
      <c r="CR1302" s="0" t="s">
        <v>130</v>
      </c>
      <c r="CS1302" s="0" t="s">
        <v>130</v>
      </c>
      <c r="CT1302" s="0" t="s">
        <v>3830</v>
      </c>
    </row>
    <row r="1303">
      <c r="A1303" s="14">
        <v>7281855</v>
      </c>
      <c r="B1303" s="0" t="s">
        <v>3813</v>
      </c>
      <c r="C1303" s="16">
        <f>HYPERLINK("https://eosportal.federatedhermes.com/companies/Q29tcGFueQppODU4ODE=", "LG Chem Ltd")</f>
      </c>
      <c r="D1303" s="0" t="s">
        <v>25</v>
      </c>
      <c r="E1303" s="0" t="s">
        <v>3831</v>
      </c>
      <c r="F1303" s="16">
        <f>HYPERLINK("https://eosportal.federatedhermes.com/engagements/RW5nYWdlbWVudAppMjY2ODA=", "Protection of minority shareholders")</f>
      </c>
      <c r="G1303" s="14" t="s">
        <v>3832</v>
      </c>
      <c r="H1303" s="0" t="s">
        <v>141</v>
      </c>
      <c r="I1303" s="14" t="s">
        <v>191</v>
      </c>
      <c r="J1303" s="0" t="s">
        <v>145</v>
      </c>
      <c r="K1303" s="0" t="s">
        <v>400</v>
      </c>
      <c r="L1303" s="0" t="s">
        <v>507</v>
      </c>
      <c r="M1303" s="0" t="s">
        <v>802</v>
      </c>
      <c r="N1303" s="0" t="s">
        <v>2800</v>
      </c>
      <c r="O1303" s="0" t="s">
        <v>706</v>
      </c>
      <c r="Q1303" s="0" t="s">
        <v>130</v>
      </c>
      <c r="R1303" s="0" t="s">
        <v>138</v>
      </c>
      <c r="S1303" s="14">
        <v>0</v>
      </c>
      <c r="T1303" s="0" t="s">
        <v>333</v>
      </c>
      <c r="U1303" s="0" t="s">
        <v>138</v>
      </c>
      <c r="V1303" s="14" t="s">
        <v>138</v>
      </c>
      <c r="W1303" s="0" t="s">
        <v>138</v>
      </c>
      <c r="X1303" s="14" t="s">
        <v>138</v>
      </c>
      <c r="Y1303" s="0" t="s">
        <v>138</v>
      </c>
      <c r="Z1303" s="14" t="s">
        <v>138</v>
      </c>
      <c r="AA1303" s="0" t="s">
        <v>138</v>
      </c>
      <c r="AB1303" s="14" t="s">
        <v>138</v>
      </c>
      <c r="AD1303" s="0" t="s">
        <v>138</v>
      </c>
      <c r="AF1303" s="0">
        <v>0</v>
      </c>
      <c r="AG1303" s="0">
        <v>0</v>
      </c>
      <c r="AH1303" s="0" t="s">
        <v>140</v>
      </c>
      <c r="AI1303" s="0" t="s">
        <v>138</v>
      </c>
      <c r="AL1303" s="14"/>
      <c r="AN1303" s="14"/>
      <c r="AQ1303" s="0" t="s">
        <v>130</v>
      </c>
      <c r="AR1303" s="0" t="s">
        <v>130</v>
      </c>
      <c r="AS1303" s="0" t="s">
        <v>130</v>
      </c>
      <c r="AT1303" s="0" t="s">
        <v>130</v>
      </c>
      <c r="AU1303" s="0" t="s">
        <v>130</v>
      </c>
      <c r="AV1303" s="0" t="s">
        <v>130</v>
      </c>
      <c r="AW1303" s="0" t="s">
        <v>130</v>
      </c>
      <c r="AX1303" s="0" t="s">
        <v>130</v>
      </c>
      <c r="AY1303" s="0" t="s">
        <v>130</v>
      </c>
      <c r="AZ1303" s="0" t="s">
        <v>130</v>
      </c>
      <c r="BA1303" s="0" t="s">
        <v>130</v>
      </c>
      <c r="BB1303" s="0" t="s">
        <v>130</v>
      </c>
      <c r="BC1303" s="0" t="s">
        <v>130</v>
      </c>
      <c r="BD1303" s="0" t="s">
        <v>130</v>
      </c>
      <c r="BE1303" s="0" t="s">
        <v>130</v>
      </c>
      <c r="BF1303" s="0" t="s">
        <v>130</v>
      </c>
      <c r="BG1303" s="0" t="s">
        <v>130</v>
      </c>
      <c r="BH1303" s="0" t="s">
        <v>130</v>
      </c>
      <c r="BI1303" s="0" t="s">
        <v>130</v>
      </c>
      <c r="BJ1303" s="0" t="s">
        <v>130</v>
      </c>
      <c r="BK1303" s="0" t="s">
        <v>130</v>
      </c>
      <c r="BL1303" s="0" t="s">
        <v>130</v>
      </c>
      <c r="BM1303" s="0" t="s">
        <v>130</v>
      </c>
      <c r="BN1303" s="0" t="s">
        <v>130</v>
      </c>
      <c r="BO1303" s="0" t="s">
        <v>130</v>
      </c>
      <c r="BP1303" s="0" t="s">
        <v>130</v>
      </c>
      <c r="BQ1303" s="0" t="s">
        <v>130</v>
      </c>
      <c r="BR1303" s="0" t="s">
        <v>130</v>
      </c>
      <c r="BS1303" s="0" t="s">
        <v>130</v>
      </c>
      <c r="BT1303" s="0" t="s">
        <v>130</v>
      </c>
      <c r="BU1303" s="0" t="s">
        <v>130</v>
      </c>
      <c r="BV1303" s="0" t="s">
        <v>130</v>
      </c>
      <c r="BW1303" s="0" t="s">
        <v>130</v>
      </c>
      <c r="BX1303" s="0" t="s">
        <v>130</v>
      </c>
      <c r="BY1303" s="0" t="s">
        <v>130</v>
      </c>
      <c r="BZ1303" s="0" t="s">
        <v>130</v>
      </c>
      <c r="CA1303" s="0" t="s">
        <v>130</v>
      </c>
      <c r="CB1303" s="0" t="s">
        <v>130</v>
      </c>
      <c r="CC1303" s="0" t="s">
        <v>130</v>
      </c>
      <c r="CD1303" s="0" t="s">
        <v>130</v>
      </c>
      <c r="CE1303" s="0" t="s">
        <v>130</v>
      </c>
      <c r="CF1303" s="0" t="s">
        <v>130</v>
      </c>
      <c r="CG1303" s="0" t="s">
        <v>130</v>
      </c>
      <c r="CH1303" s="0" t="s">
        <v>130</v>
      </c>
      <c r="CI1303" s="0" t="s">
        <v>130</v>
      </c>
      <c r="CJ1303" s="0" t="s">
        <v>130</v>
      </c>
      <c r="CK1303" s="0" t="s">
        <v>130</v>
      </c>
      <c r="CL1303" s="0" t="s">
        <v>130</v>
      </c>
      <c r="CM1303" s="0" t="s">
        <v>130</v>
      </c>
      <c r="CN1303" s="0" t="s">
        <v>130</v>
      </c>
      <c r="CO1303" s="0" t="s">
        <v>130</v>
      </c>
      <c r="CP1303" s="0" t="s">
        <v>130</v>
      </c>
      <c r="CQ1303" s="0" t="s">
        <v>130</v>
      </c>
      <c r="CR1303" s="0" t="s">
        <v>130</v>
      </c>
      <c r="CS1303" s="0" t="s">
        <v>130</v>
      </c>
      <c r="CT1303" s="0" t="s">
        <v>3833</v>
      </c>
    </row>
    <row r="1304">
      <c r="A1304" s="14">
        <v>7281855</v>
      </c>
      <c r="B1304" s="0" t="s">
        <v>3813</v>
      </c>
      <c r="C1304" s="16">
        <f>HYPERLINK("https://eosportal.federatedhermes.com/companies/Q29tcGFueQppODU4ODE=", "LG Chem Ltd")</f>
      </c>
      <c r="D1304" s="0" t="s">
        <v>23</v>
      </c>
      <c r="E1304" s="0" t="s">
        <v>3834</v>
      </c>
      <c r="F1304" s="16">
        <f>HYPERLINK("https://eosportal.federatedhermes.com/engagements/RW5nYWdlbWVudAppMjY2ODE=", "Science-Based Carbon Emissions Reduction Targets")</f>
      </c>
      <c r="G1304" s="14" t="s">
        <v>3835</v>
      </c>
      <c r="H1304" s="0" t="s">
        <v>141</v>
      </c>
      <c r="I1304" s="14" t="s">
        <v>191</v>
      </c>
      <c r="J1304" s="0" t="s">
        <v>197</v>
      </c>
      <c r="K1304" s="0" t="s">
        <v>198</v>
      </c>
      <c r="L1304" s="0" t="s">
        <v>216</v>
      </c>
      <c r="M1304" s="0" t="s">
        <v>802</v>
      </c>
      <c r="N1304" s="0" t="s">
        <v>2800</v>
      </c>
      <c r="O1304" s="0" t="s">
        <v>706</v>
      </c>
      <c r="Q1304" s="0" t="s">
        <v>130</v>
      </c>
      <c r="R1304" s="0" t="s">
        <v>130</v>
      </c>
      <c r="S1304" s="14">
        <v>0</v>
      </c>
      <c r="T1304" s="0" t="s">
        <v>231</v>
      </c>
      <c r="U1304" s="0" t="s">
        <v>221</v>
      </c>
      <c r="V1304" s="14" t="s">
        <v>231</v>
      </c>
      <c r="W1304" s="0" t="s">
        <v>221</v>
      </c>
      <c r="X1304" s="14" t="s">
        <v>231</v>
      </c>
      <c r="Y1304" s="0" t="s">
        <v>221</v>
      </c>
      <c r="Z1304" s="14" t="s">
        <v>2270</v>
      </c>
      <c r="AA1304" s="0" t="s">
        <v>223</v>
      </c>
      <c r="AB1304" s="14" t="s">
        <v>138</v>
      </c>
      <c r="AD1304" s="0" t="s">
        <v>20</v>
      </c>
      <c r="AF1304" s="0">
        <v>0</v>
      </c>
      <c r="AG1304" s="0">
        <v>0</v>
      </c>
      <c r="AH1304" s="0" t="s">
        <v>140</v>
      </c>
      <c r="AI1304" s="0" t="s">
        <v>479</v>
      </c>
      <c r="AL1304" s="14"/>
      <c r="AN1304" s="14"/>
      <c r="AQ1304" s="0" t="s">
        <v>130</v>
      </c>
      <c r="AR1304" s="0" t="s">
        <v>130</v>
      </c>
      <c r="AS1304" s="0" t="s">
        <v>130</v>
      </c>
      <c r="AT1304" s="0" t="s">
        <v>130</v>
      </c>
      <c r="AU1304" s="0" t="s">
        <v>130</v>
      </c>
      <c r="AV1304" s="0" t="s">
        <v>130</v>
      </c>
      <c r="AW1304" s="0" t="s">
        <v>141</v>
      </c>
      <c r="AX1304" s="0" t="s">
        <v>130</v>
      </c>
      <c r="AY1304" s="0" t="s">
        <v>130</v>
      </c>
      <c r="AZ1304" s="0" t="s">
        <v>130</v>
      </c>
      <c r="BA1304" s="0" t="s">
        <v>130</v>
      </c>
      <c r="BB1304" s="0" t="s">
        <v>130</v>
      </c>
      <c r="BC1304" s="0" t="s">
        <v>141</v>
      </c>
      <c r="BD1304" s="0" t="s">
        <v>130</v>
      </c>
      <c r="BE1304" s="0" t="s">
        <v>130</v>
      </c>
      <c r="BF1304" s="0" t="s">
        <v>130</v>
      </c>
      <c r="BG1304" s="0" t="s">
        <v>130</v>
      </c>
      <c r="BH1304" s="0" t="s">
        <v>141</v>
      </c>
      <c r="BI1304" s="0" t="s">
        <v>141</v>
      </c>
      <c r="BJ1304" s="0" t="s">
        <v>141</v>
      </c>
      <c r="BK1304" s="0" t="s">
        <v>130</v>
      </c>
      <c r="BL1304" s="0" t="s">
        <v>130</v>
      </c>
      <c r="BM1304" s="0" t="s">
        <v>130</v>
      </c>
      <c r="BN1304" s="0" t="s">
        <v>130</v>
      </c>
      <c r="BO1304" s="0" t="s">
        <v>130</v>
      </c>
      <c r="BP1304" s="0" t="s">
        <v>130</v>
      </c>
      <c r="BQ1304" s="0" t="s">
        <v>130</v>
      </c>
      <c r="BR1304" s="0" t="s">
        <v>130</v>
      </c>
      <c r="BS1304" s="0" t="s">
        <v>130</v>
      </c>
      <c r="BT1304" s="0" t="s">
        <v>130</v>
      </c>
      <c r="BU1304" s="0" t="s">
        <v>130</v>
      </c>
      <c r="BV1304" s="0" t="s">
        <v>141</v>
      </c>
      <c r="BW1304" s="0" t="s">
        <v>141</v>
      </c>
      <c r="BX1304" s="0" t="s">
        <v>130</v>
      </c>
      <c r="BY1304" s="0" t="s">
        <v>130</v>
      </c>
      <c r="BZ1304" s="0" t="s">
        <v>130</v>
      </c>
      <c r="CA1304" s="0" t="s">
        <v>130</v>
      </c>
      <c r="CB1304" s="0" t="s">
        <v>130</v>
      </c>
      <c r="CC1304" s="0" t="s">
        <v>130</v>
      </c>
      <c r="CD1304" s="0" t="s">
        <v>130</v>
      </c>
      <c r="CE1304" s="0" t="s">
        <v>130</v>
      </c>
      <c r="CF1304" s="0" t="s">
        <v>130</v>
      </c>
      <c r="CG1304" s="0" t="s">
        <v>130</v>
      </c>
      <c r="CH1304" s="0" t="s">
        <v>130</v>
      </c>
      <c r="CI1304" s="0" t="s">
        <v>130</v>
      </c>
      <c r="CJ1304" s="0" t="s">
        <v>130</v>
      </c>
      <c r="CK1304" s="0" t="s">
        <v>130</v>
      </c>
      <c r="CL1304" s="0" t="s">
        <v>130</v>
      </c>
      <c r="CM1304" s="0" t="s">
        <v>130</v>
      </c>
      <c r="CN1304" s="0" t="s">
        <v>130</v>
      </c>
      <c r="CO1304" s="0" t="s">
        <v>130</v>
      </c>
      <c r="CP1304" s="0" t="s">
        <v>130</v>
      </c>
      <c r="CQ1304" s="0" t="s">
        <v>130</v>
      </c>
      <c r="CR1304" s="0" t="s">
        <v>130</v>
      </c>
      <c r="CS1304" s="0" t="s">
        <v>130</v>
      </c>
      <c r="CT1304" s="0" t="s">
        <v>3836</v>
      </c>
    </row>
    <row r="1305">
      <c r="A1305" s="14">
        <v>7281855</v>
      </c>
      <c r="B1305" s="0" t="s">
        <v>3813</v>
      </c>
      <c r="C1305" s="16">
        <f>HYPERLINK("https://eosportal.federatedhermes.com/companies/Q29tcGFueQppODU4ODE=", "LG Chem Ltd")</f>
      </c>
      <c r="D1305" s="0" t="s">
        <v>25</v>
      </c>
      <c r="E1305" s="0" t="s">
        <v>386</v>
      </c>
      <c r="F1305" s="16">
        <f>HYPERLINK("https://eosportal.federatedhermes.com/engagements/RW5nYWdlbWVudAppMjY2ODI=", "Board independence")</f>
      </c>
      <c r="G1305" s="14" t="s">
        <v>3837</v>
      </c>
      <c r="H1305" s="0" t="s">
        <v>141</v>
      </c>
      <c r="I1305" s="14" t="s">
        <v>191</v>
      </c>
      <c r="J1305" s="0" t="s">
        <v>145</v>
      </c>
      <c r="K1305" s="0" t="s">
        <v>164</v>
      </c>
      <c r="L1305" s="0" t="s">
        <v>165</v>
      </c>
      <c r="M1305" s="0" t="s">
        <v>802</v>
      </c>
      <c r="N1305" s="0" t="s">
        <v>2800</v>
      </c>
      <c r="O1305" s="0" t="s">
        <v>706</v>
      </c>
      <c r="Q1305" s="0" t="s">
        <v>130</v>
      </c>
      <c r="R1305" s="0" t="s">
        <v>138</v>
      </c>
      <c r="S1305" s="14">
        <v>0</v>
      </c>
      <c r="T1305" s="0" t="s">
        <v>394</v>
      </c>
      <c r="U1305" s="0" t="s">
        <v>138</v>
      </c>
      <c r="V1305" s="14" t="s">
        <v>138</v>
      </c>
      <c r="W1305" s="0" t="s">
        <v>138</v>
      </c>
      <c r="X1305" s="14" t="s">
        <v>138</v>
      </c>
      <c r="Y1305" s="0" t="s">
        <v>138</v>
      </c>
      <c r="Z1305" s="14" t="s">
        <v>138</v>
      </c>
      <c r="AA1305" s="0" t="s">
        <v>138</v>
      </c>
      <c r="AB1305" s="14" t="s">
        <v>138</v>
      </c>
      <c r="AD1305" s="0" t="s">
        <v>138</v>
      </c>
      <c r="AF1305" s="0">
        <v>0</v>
      </c>
      <c r="AG1305" s="0">
        <v>0</v>
      </c>
      <c r="AH1305" s="0" t="s">
        <v>140</v>
      </c>
      <c r="AI1305" s="0" t="s">
        <v>138</v>
      </c>
      <c r="AL1305" s="14"/>
      <c r="AN1305" s="14"/>
      <c r="AQ1305" s="0" t="s">
        <v>130</v>
      </c>
      <c r="AR1305" s="0" t="s">
        <v>130</v>
      </c>
      <c r="AS1305" s="0" t="s">
        <v>130</v>
      </c>
      <c r="AT1305" s="0" t="s">
        <v>130</v>
      </c>
      <c r="AU1305" s="0" t="s">
        <v>130</v>
      </c>
      <c r="AV1305" s="0" t="s">
        <v>130</v>
      </c>
      <c r="AW1305" s="0" t="s">
        <v>130</v>
      </c>
      <c r="AX1305" s="0" t="s">
        <v>130</v>
      </c>
      <c r="AY1305" s="0" t="s">
        <v>130</v>
      </c>
      <c r="AZ1305" s="0" t="s">
        <v>130</v>
      </c>
      <c r="BA1305" s="0" t="s">
        <v>130</v>
      </c>
      <c r="BB1305" s="0" t="s">
        <v>130</v>
      </c>
      <c r="BC1305" s="0" t="s">
        <v>130</v>
      </c>
      <c r="BD1305" s="0" t="s">
        <v>130</v>
      </c>
      <c r="BE1305" s="0" t="s">
        <v>130</v>
      </c>
      <c r="BF1305" s="0" t="s">
        <v>130</v>
      </c>
      <c r="BG1305" s="0" t="s">
        <v>130</v>
      </c>
      <c r="BH1305" s="0" t="s">
        <v>130</v>
      </c>
      <c r="BI1305" s="0" t="s">
        <v>130</v>
      </c>
      <c r="BJ1305" s="0" t="s">
        <v>130</v>
      </c>
      <c r="BK1305" s="0" t="s">
        <v>130</v>
      </c>
      <c r="BL1305" s="0" t="s">
        <v>130</v>
      </c>
      <c r="BM1305" s="0" t="s">
        <v>130</v>
      </c>
      <c r="BN1305" s="0" t="s">
        <v>130</v>
      </c>
      <c r="BO1305" s="0" t="s">
        <v>130</v>
      </c>
      <c r="BP1305" s="0" t="s">
        <v>130</v>
      </c>
      <c r="BQ1305" s="0" t="s">
        <v>130</v>
      </c>
      <c r="BR1305" s="0" t="s">
        <v>130</v>
      </c>
      <c r="BS1305" s="0" t="s">
        <v>130</v>
      </c>
      <c r="BT1305" s="0" t="s">
        <v>130</v>
      </c>
      <c r="BU1305" s="0" t="s">
        <v>130</v>
      </c>
      <c r="BV1305" s="0" t="s">
        <v>130</v>
      </c>
      <c r="BW1305" s="0" t="s">
        <v>130</v>
      </c>
      <c r="BX1305" s="0" t="s">
        <v>130</v>
      </c>
      <c r="BY1305" s="0" t="s">
        <v>130</v>
      </c>
      <c r="BZ1305" s="0" t="s">
        <v>130</v>
      </c>
      <c r="CA1305" s="0" t="s">
        <v>130</v>
      </c>
      <c r="CB1305" s="0" t="s">
        <v>130</v>
      </c>
      <c r="CC1305" s="0" t="s">
        <v>130</v>
      </c>
      <c r="CD1305" s="0" t="s">
        <v>130</v>
      </c>
      <c r="CE1305" s="0" t="s">
        <v>130</v>
      </c>
      <c r="CF1305" s="0" t="s">
        <v>130</v>
      </c>
      <c r="CG1305" s="0" t="s">
        <v>130</v>
      </c>
      <c r="CH1305" s="0" t="s">
        <v>130</v>
      </c>
      <c r="CI1305" s="0" t="s">
        <v>130</v>
      </c>
      <c r="CJ1305" s="0" t="s">
        <v>130</v>
      </c>
      <c r="CK1305" s="0" t="s">
        <v>130</v>
      </c>
      <c r="CL1305" s="0" t="s">
        <v>130</v>
      </c>
      <c r="CM1305" s="0" t="s">
        <v>130</v>
      </c>
      <c r="CN1305" s="0" t="s">
        <v>130</v>
      </c>
      <c r="CO1305" s="0" t="s">
        <v>130</v>
      </c>
      <c r="CP1305" s="0" t="s">
        <v>130</v>
      </c>
      <c r="CQ1305" s="0" t="s">
        <v>130</v>
      </c>
      <c r="CR1305" s="0" t="s">
        <v>130</v>
      </c>
      <c r="CS1305" s="0" t="s">
        <v>130</v>
      </c>
      <c r="CT1305" s="0" t="s">
        <v>3838</v>
      </c>
    </row>
    <row r="1306">
      <c r="A1306" s="14">
        <v>7281855</v>
      </c>
      <c r="B1306" s="0" t="s">
        <v>3813</v>
      </c>
      <c r="C1306" s="16">
        <f>HYPERLINK("https://eosportal.federatedhermes.com/companies/Q29tcGFueQppODU4ODE=", "LG Chem Ltd")</f>
      </c>
      <c r="D1306" s="0" t="s">
        <v>25</v>
      </c>
      <c r="E1306" s="0" t="s">
        <v>2734</v>
      </c>
      <c r="F1306" s="16">
        <f>HYPERLINK("https://eosportal.federatedhermes.com/engagements/RW5nYWdlbWVudAppMjY2ODM=", "Health and safety")</f>
      </c>
      <c r="G1306" s="14" t="s">
        <v>3839</v>
      </c>
      <c r="H1306" s="0" t="s">
        <v>141</v>
      </c>
      <c r="I1306" s="14" t="s">
        <v>191</v>
      </c>
      <c r="J1306" s="0" t="s">
        <v>153</v>
      </c>
      <c r="K1306" s="0" t="s">
        <v>154</v>
      </c>
      <c r="L1306" s="0" t="s">
        <v>155</v>
      </c>
      <c r="M1306" s="0" t="s">
        <v>802</v>
      </c>
      <c r="N1306" s="0" t="s">
        <v>2800</v>
      </c>
      <c r="O1306" s="0" t="s">
        <v>706</v>
      </c>
      <c r="Q1306" s="0" t="s">
        <v>130</v>
      </c>
      <c r="R1306" s="0" t="s">
        <v>138</v>
      </c>
      <c r="S1306" s="14">
        <v>0</v>
      </c>
      <c r="T1306" s="0" t="s">
        <v>804</v>
      </c>
      <c r="U1306" s="0" t="s">
        <v>138</v>
      </c>
      <c r="V1306" s="14" t="s">
        <v>138</v>
      </c>
      <c r="W1306" s="0" t="s">
        <v>138</v>
      </c>
      <c r="X1306" s="14" t="s">
        <v>138</v>
      </c>
      <c r="Y1306" s="0" t="s">
        <v>138</v>
      </c>
      <c r="Z1306" s="14" t="s">
        <v>138</v>
      </c>
      <c r="AA1306" s="0" t="s">
        <v>138</v>
      </c>
      <c r="AB1306" s="14" t="s">
        <v>138</v>
      </c>
      <c r="AD1306" s="0" t="s">
        <v>138</v>
      </c>
      <c r="AF1306" s="0">
        <v>0</v>
      </c>
      <c r="AG1306" s="0">
        <v>0</v>
      </c>
      <c r="AH1306" s="0" t="s">
        <v>140</v>
      </c>
      <c r="AI1306" s="0" t="s">
        <v>138</v>
      </c>
      <c r="AL1306" s="14"/>
      <c r="AN1306" s="14"/>
      <c r="AQ1306" s="0" t="s">
        <v>130</v>
      </c>
      <c r="AR1306" s="0" t="s">
        <v>130</v>
      </c>
      <c r="AS1306" s="0" t="s">
        <v>130</v>
      </c>
      <c r="AT1306" s="0" t="s">
        <v>130</v>
      </c>
      <c r="AU1306" s="0" t="s">
        <v>130</v>
      </c>
      <c r="AV1306" s="0" t="s">
        <v>130</v>
      </c>
      <c r="AW1306" s="0" t="s">
        <v>130</v>
      </c>
      <c r="AX1306" s="0" t="s">
        <v>141</v>
      </c>
      <c r="AY1306" s="0" t="s">
        <v>130</v>
      </c>
      <c r="AZ1306" s="0" t="s">
        <v>130</v>
      </c>
      <c r="BA1306" s="0" t="s">
        <v>130</v>
      </c>
      <c r="BB1306" s="0" t="s">
        <v>130</v>
      </c>
      <c r="BC1306" s="0" t="s">
        <v>130</v>
      </c>
      <c r="BD1306" s="0" t="s">
        <v>130</v>
      </c>
      <c r="BE1306" s="0" t="s">
        <v>130</v>
      </c>
      <c r="BF1306" s="0" t="s">
        <v>130</v>
      </c>
      <c r="BG1306" s="0" t="s">
        <v>130</v>
      </c>
      <c r="BH1306" s="0" t="s">
        <v>130</v>
      </c>
      <c r="BI1306" s="0" t="s">
        <v>130</v>
      </c>
      <c r="BJ1306" s="0" t="s">
        <v>130</v>
      </c>
      <c r="BK1306" s="0" t="s">
        <v>130</v>
      </c>
      <c r="BL1306" s="0" t="s">
        <v>130</v>
      </c>
      <c r="BM1306" s="0" t="s">
        <v>130</v>
      </c>
      <c r="BN1306" s="0" t="s">
        <v>130</v>
      </c>
      <c r="BO1306" s="0" t="s">
        <v>130</v>
      </c>
      <c r="BP1306" s="0" t="s">
        <v>130</v>
      </c>
      <c r="BQ1306" s="0" t="s">
        <v>130</v>
      </c>
      <c r="BR1306" s="0" t="s">
        <v>130</v>
      </c>
      <c r="BS1306" s="0" t="s">
        <v>130</v>
      </c>
      <c r="BT1306" s="0" t="s">
        <v>130</v>
      </c>
      <c r="BU1306" s="0" t="s">
        <v>130</v>
      </c>
      <c r="BV1306" s="0" t="s">
        <v>130</v>
      </c>
      <c r="BW1306" s="0" t="s">
        <v>130</v>
      </c>
      <c r="BX1306" s="0" t="s">
        <v>130</v>
      </c>
      <c r="BY1306" s="0" t="s">
        <v>130</v>
      </c>
      <c r="BZ1306" s="0" t="s">
        <v>130</v>
      </c>
      <c r="CA1306" s="0" t="s">
        <v>130</v>
      </c>
      <c r="CB1306" s="0" t="s">
        <v>130</v>
      </c>
      <c r="CC1306" s="0" t="s">
        <v>130</v>
      </c>
      <c r="CD1306" s="0" t="s">
        <v>130</v>
      </c>
      <c r="CE1306" s="0" t="s">
        <v>130</v>
      </c>
      <c r="CF1306" s="0" t="s">
        <v>130</v>
      </c>
      <c r="CG1306" s="0" t="s">
        <v>130</v>
      </c>
      <c r="CH1306" s="0" t="s">
        <v>130</v>
      </c>
      <c r="CI1306" s="0" t="s">
        <v>141</v>
      </c>
      <c r="CJ1306" s="0" t="s">
        <v>130</v>
      </c>
      <c r="CK1306" s="0" t="s">
        <v>130</v>
      </c>
      <c r="CL1306" s="0" t="s">
        <v>130</v>
      </c>
      <c r="CM1306" s="0" t="s">
        <v>130</v>
      </c>
      <c r="CN1306" s="0" t="s">
        <v>130</v>
      </c>
      <c r="CO1306" s="0" t="s">
        <v>130</v>
      </c>
      <c r="CP1306" s="0" t="s">
        <v>130</v>
      </c>
      <c r="CQ1306" s="0" t="s">
        <v>130</v>
      </c>
      <c r="CR1306" s="0" t="s">
        <v>130</v>
      </c>
      <c r="CS1306" s="0" t="s">
        <v>130</v>
      </c>
      <c r="CT1306" s="0" t="s">
        <v>3840</v>
      </c>
    </row>
    <row r="1307">
      <c r="A1307" s="14">
        <v>7344718</v>
      </c>
      <c r="B1307" s="0" t="s">
        <v>3841</v>
      </c>
      <c r="C1307" s="16">
        <f>HYPERLINK("https://eosportal.federatedhermes.com/companies/Q29tcGFueQppNDU0MTA=", "Chipotle Mexican Grill Inc")</f>
      </c>
      <c r="D1307" s="0" t="s">
        <v>25</v>
      </c>
      <c r="E1307" s="0" t="s">
        <v>3842</v>
      </c>
      <c r="F1307" s="16">
        <f>HYPERLINK("https://eosportal.federatedhermes.com/engagements/RW5nYWdlbWVudAppMjY3MDc=", "Compensation")</f>
      </c>
      <c r="G1307" s="14" t="s">
        <v>3842</v>
      </c>
      <c r="H1307" s="0" t="s">
        <v>130</v>
      </c>
      <c r="I1307" s="14" t="s">
        <v>319</v>
      </c>
      <c r="J1307" s="0" t="s">
        <v>145</v>
      </c>
      <c r="K1307" s="0" t="s">
        <v>146</v>
      </c>
      <c r="L1307" s="0" t="s">
        <v>147</v>
      </c>
      <c r="M1307" s="0" t="s">
        <v>135</v>
      </c>
      <c r="N1307" s="0" t="s">
        <v>136</v>
      </c>
      <c r="O1307" s="0" t="s">
        <v>643</v>
      </c>
      <c r="Q1307" s="0" t="s">
        <v>141</v>
      </c>
      <c r="R1307" s="0" t="s">
        <v>138</v>
      </c>
      <c r="S1307" s="14">
        <v>1</v>
      </c>
      <c r="T1307" s="0" t="s">
        <v>387</v>
      </c>
      <c r="U1307" s="0" t="s">
        <v>138</v>
      </c>
      <c r="V1307" s="14" t="s">
        <v>138</v>
      </c>
      <c r="W1307" s="0" t="s">
        <v>138</v>
      </c>
      <c r="X1307" s="14" t="s">
        <v>138</v>
      </c>
      <c r="Y1307" s="0" t="s">
        <v>138</v>
      </c>
      <c r="Z1307" s="14" t="s">
        <v>138</v>
      </c>
      <c r="AA1307" s="0" t="s">
        <v>138</v>
      </c>
      <c r="AB1307" s="14" t="s">
        <v>138</v>
      </c>
      <c r="AD1307" s="0" t="s">
        <v>138</v>
      </c>
      <c r="AF1307" s="0">
        <v>0</v>
      </c>
      <c r="AG1307" s="0">
        <v>0</v>
      </c>
      <c r="AH1307" s="0" t="s">
        <v>140</v>
      </c>
      <c r="AI1307" s="0" t="s">
        <v>138</v>
      </c>
      <c r="AK1307" s="0" t="s">
        <v>2588</v>
      </c>
      <c r="AL1307" s="14"/>
      <c r="AN1307" s="14"/>
      <c r="AQ1307" s="0" t="s">
        <v>130</v>
      </c>
      <c r="AR1307" s="0" t="s">
        <v>130</v>
      </c>
      <c r="AS1307" s="0" t="s">
        <v>130</v>
      </c>
      <c r="AT1307" s="0" t="s">
        <v>130</v>
      </c>
      <c r="AU1307" s="0" t="s">
        <v>130</v>
      </c>
      <c r="AV1307" s="0" t="s">
        <v>130</v>
      </c>
      <c r="AW1307" s="0" t="s">
        <v>130</v>
      </c>
      <c r="AX1307" s="0" t="s">
        <v>130</v>
      </c>
      <c r="AY1307" s="0" t="s">
        <v>130</v>
      </c>
      <c r="AZ1307" s="0" t="s">
        <v>130</v>
      </c>
      <c r="BA1307" s="0" t="s">
        <v>130</v>
      </c>
      <c r="BB1307" s="0" t="s">
        <v>130</v>
      </c>
      <c r="BC1307" s="0" t="s">
        <v>130</v>
      </c>
      <c r="BD1307" s="0" t="s">
        <v>130</v>
      </c>
      <c r="BE1307" s="0" t="s">
        <v>130</v>
      </c>
      <c r="BF1307" s="0" t="s">
        <v>130</v>
      </c>
      <c r="BG1307" s="0" t="s">
        <v>130</v>
      </c>
      <c r="BH1307" s="0" t="s">
        <v>130</v>
      </c>
      <c r="BI1307" s="0" t="s">
        <v>130</v>
      </c>
      <c r="BJ1307" s="0" t="s">
        <v>130</v>
      </c>
      <c r="BK1307" s="0" t="s">
        <v>130</v>
      </c>
      <c r="BL1307" s="0" t="s">
        <v>130</v>
      </c>
      <c r="BM1307" s="0" t="s">
        <v>130</v>
      </c>
      <c r="BN1307" s="0" t="s">
        <v>130</v>
      </c>
      <c r="BO1307" s="0" t="s">
        <v>130</v>
      </c>
      <c r="BP1307" s="0" t="s">
        <v>130</v>
      </c>
      <c r="BQ1307" s="0" t="s">
        <v>130</v>
      </c>
      <c r="BR1307" s="0" t="s">
        <v>130</v>
      </c>
      <c r="BS1307" s="0" t="s">
        <v>130</v>
      </c>
      <c r="BT1307" s="0" t="s">
        <v>130</v>
      </c>
      <c r="BU1307" s="0" t="s">
        <v>130</v>
      </c>
      <c r="BV1307" s="0" t="s">
        <v>130</v>
      </c>
      <c r="BW1307" s="0" t="s">
        <v>130</v>
      </c>
      <c r="BX1307" s="0" t="s">
        <v>130</v>
      </c>
      <c r="BY1307" s="0" t="s">
        <v>130</v>
      </c>
      <c r="BZ1307" s="0" t="s">
        <v>130</v>
      </c>
      <c r="CA1307" s="0" t="s">
        <v>130</v>
      </c>
      <c r="CB1307" s="0" t="s">
        <v>130</v>
      </c>
      <c r="CC1307" s="0" t="s">
        <v>130</v>
      </c>
      <c r="CD1307" s="0" t="s">
        <v>130</v>
      </c>
      <c r="CE1307" s="0" t="s">
        <v>130</v>
      </c>
      <c r="CF1307" s="0" t="s">
        <v>130</v>
      </c>
      <c r="CG1307" s="0" t="s">
        <v>130</v>
      </c>
      <c r="CH1307" s="0" t="s">
        <v>130</v>
      </c>
      <c r="CI1307" s="0" t="s">
        <v>130</v>
      </c>
      <c r="CJ1307" s="0" t="s">
        <v>130</v>
      </c>
      <c r="CK1307" s="0" t="s">
        <v>130</v>
      </c>
      <c r="CL1307" s="0" t="s">
        <v>130</v>
      </c>
      <c r="CM1307" s="0" t="s">
        <v>130</v>
      </c>
      <c r="CN1307" s="0" t="s">
        <v>130</v>
      </c>
      <c r="CO1307" s="0" t="s">
        <v>130</v>
      </c>
      <c r="CP1307" s="0" t="s">
        <v>130</v>
      </c>
      <c r="CQ1307" s="0" t="s">
        <v>130</v>
      </c>
      <c r="CR1307" s="0" t="s">
        <v>130</v>
      </c>
      <c r="CS1307" s="0" t="s">
        <v>130</v>
      </c>
      <c r="CT1307" s="0" t="s">
        <v>3843</v>
      </c>
    </row>
    <row r="1308">
      <c r="A1308" s="14">
        <v>7344718</v>
      </c>
      <c r="B1308" s="0" t="s">
        <v>3841</v>
      </c>
      <c r="C1308" s="16">
        <f>HYPERLINK("https://eosportal.federatedhermes.com/companies/Q29tcGFueQppNDU0MTA=", "Chipotle Mexican Grill Inc")</f>
      </c>
      <c r="D1308" s="0" t="s">
        <v>25</v>
      </c>
      <c r="E1308" s="0" t="s">
        <v>3844</v>
      </c>
      <c r="F1308" s="16">
        <f>HYPERLINK("https://eosportal.federatedhermes.com/engagements/RW5nYWdlbWVudAppMjY3MDg=", "ESG Disclosure")</f>
      </c>
      <c r="G1308" s="14" t="s">
        <v>3845</v>
      </c>
      <c r="H1308" s="0" t="s">
        <v>130</v>
      </c>
      <c r="I1308" s="14" t="s">
        <v>319</v>
      </c>
      <c r="J1308" s="0" t="s">
        <v>132</v>
      </c>
      <c r="K1308" s="0" t="s">
        <v>170</v>
      </c>
      <c r="L1308" s="0" t="s">
        <v>171</v>
      </c>
      <c r="M1308" s="0" t="s">
        <v>135</v>
      </c>
      <c r="N1308" s="0" t="s">
        <v>136</v>
      </c>
      <c r="O1308" s="0" t="s">
        <v>643</v>
      </c>
      <c r="Q1308" s="0" t="s">
        <v>130</v>
      </c>
      <c r="R1308" s="0" t="s">
        <v>138</v>
      </c>
      <c r="S1308" s="14">
        <v>0</v>
      </c>
      <c r="T1308" s="0" t="s">
        <v>181</v>
      </c>
      <c r="U1308" s="0" t="s">
        <v>138</v>
      </c>
      <c r="V1308" s="14" t="s">
        <v>138</v>
      </c>
      <c r="W1308" s="0" t="s">
        <v>138</v>
      </c>
      <c r="X1308" s="14" t="s">
        <v>138</v>
      </c>
      <c r="Y1308" s="0" t="s">
        <v>138</v>
      </c>
      <c r="Z1308" s="14" t="s">
        <v>138</v>
      </c>
      <c r="AA1308" s="0" t="s">
        <v>138</v>
      </c>
      <c r="AB1308" s="14" t="s">
        <v>138</v>
      </c>
      <c r="AD1308" s="0" t="s">
        <v>138</v>
      </c>
      <c r="AF1308" s="0">
        <v>0</v>
      </c>
      <c r="AG1308" s="0">
        <v>0</v>
      </c>
      <c r="AH1308" s="0" t="s">
        <v>140</v>
      </c>
      <c r="AI1308" s="0" t="s">
        <v>138</v>
      </c>
      <c r="AL1308" s="14"/>
      <c r="AN1308" s="14"/>
      <c r="AQ1308" s="0" t="s">
        <v>130</v>
      </c>
      <c r="AR1308" s="0" t="s">
        <v>130</v>
      </c>
      <c r="AS1308" s="0" t="s">
        <v>130</v>
      </c>
      <c r="AT1308" s="0" t="s">
        <v>130</v>
      </c>
      <c r="AU1308" s="0" t="s">
        <v>130</v>
      </c>
      <c r="AV1308" s="0" t="s">
        <v>130</v>
      </c>
      <c r="AW1308" s="0" t="s">
        <v>130</v>
      </c>
      <c r="AX1308" s="0" t="s">
        <v>130</v>
      </c>
      <c r="AY1308" s="0" t="s">
        <v>130</v>
      </c>
      <c r="AZ1308" s="0" t="s">
        <v>130</v>
      </c>
      <c r="BA1308" s="0" t="s">
        <v>130</v>
      </c>
      <c r="BB1308" s="0" t="s">
        <v>130</v>
      </c>
      <c r="BC1308" s="0" t="s">
        <v>130</v>
      </c>
      <c r="BD1308" s="0" t="s">
        <v>130</v>
      </c>
      <c r="BE1308" s="0" t="s">
        <v>130</v>
      </c>
      <c r="BF1308" s="0" t="s">
        <v>130</v>
      </c>
      <c r="BG1308" s="0" t="s">
        <v>130</v>
      </c>
      <c r="BH1308" s="0" t="s">
        <v>130</v>
      </c>
      <c r="BI1308" s="0" t="s">
        <v>130</v>
      </c>
      <c r="BJ1308" s="0" t="s">
        <v>130</v>
      </c>
      <c r="BK1308" s="0" t="s">
        <v>130</v>
      </c>
      <c r="BL1308" s="0" t="s">
        <v>130</v>
      </c>
      <c r="BM1308" s="0" t="s">
        <v>130</v>
      </c>
      <c r="BN1308" s="0" t="s">
        <v>130</v>
      </c>
      <c r="BO1308" s="0" t="s">
        <v>130</v>
      </c>
      <c r="BP1308" s="0" t="s">
        <v>130</v>
      </c>
      <c r="BQ1308" s="0" t="s">
        <v>130</v>
      </c>
      <c r="BR1308" s="0" t="s">
        <v>130</v>
      </c>
      <c r="BS1308" s="0" t="s">
        <v>130</v>
      </c>
      <c r="BT1308" s="0" t="s">
        <v>130</v>
      </c>
      <c r="BU1308" s="0" t="s">
        <v>130</v>
      </c>
      <c r="BV1308" s="0" t="s">
        <v>130</v>
      </c>
      <c r="BW1308" s="0" t="s">
        <v>130</v>
      </c>
      <c r="BX1308" s="0" t="s">
        <v>130</v>
      </c>
      <c r="BY1308" s="0" t="s">
        <v>130</v>
      </c>
      <c r="BZ1308" s="0" t="s">
        <v>130</v>
      </c>
      <c r="CA1308" s="0" t="s">
        <v>130</v>
      </c>
      <c r="CB1308" s="0" t="s">
        <v>130</v>
      </c>
      <c r="CC1308" s="0" t="s">
        <v>130</v>
      </c>
      <c r="CD1308" s="0" t="s">
        <v>130</v>
      </c>
      <c r="CE1308" s="0" t="s">
        <v>130</v>
      </c>
      <c r="CF1308" s="0" t="s">
        <v>130</v>
      </c>
      <c r="CG1308" s="0" t="s">
        <v>130</v>
      </c>
      <c r="CH1308" s="0" t="s">
        <v>130</v>
      </c>
      <c r="CI1308" s="0" t="s">
        <v>130</v>
      </c>
      <c r="CJ1308" s="0" t="s">
        <v>130</v>
      </c>
      <c r="CK1308" s="0" t="s">
        <v>130</v>
      </c>
      <c r="CL1308" s="0" t="s">
        <v>130</v>
      </c>
      <c r="CM1308" s="0" t="s">
        <v>130</v>
      </c>
      <c r="CN1308" s="0" t="s">
        <v>130</v>
      </c>
      <c r="CO1308" s="0" t="s">
        <v>130</v>
      </c>
      <c r="CP1308" s="0" t="s">
        <v>130</v>
      </c>
      <c r="CQ1308" s="0" t="s">
        <v>130</v>
      </c>
      <c r="CR1308" s="0" t="s">
        <v>130</v>
      </c>
      <c r="CS1308" s="0" t="s">
        <v>130</v>
      </c>
      <c r="CT1308" s="0" t="s">
        <v>3846</v>
      </c>
    </row>
    <row r="1309">
      <c r="A1309" s="14">
        <v>7774345</v>
      </c>
      <c r="B1309" s="0" t="s">
        <v>3847</v>
      </c>
      <c r="C1309" s="16">
        <f>HYPERLINK("https://eosportal.federatedhermes.com/companies/Q29tcGFueQppODMyNTM=", "Evolution Mining Ltd")</f>
      </c>
      <c r="D1309" s="0" t="s">
        <v>25</v>
      </c>
      <c r="E1309" s="0" t="s">
        <v>1034</v>
      </c>
      <c r="F1309" s="16">
        <f>HYPERLINK("https://eosportal.federatedhermes.com/engagements/RW5nYWdlbWVudAppMjY4NjI=", "Board composition")</f>
      </c>
      <c r="G1309" s="14" t="s">
        <v>3848</v>
      </c>
      <c r="H1309" s="0" t="s">
        <v>130</v>
      </c>
      <c r="I1309" s="14" t="s">
        <v>319</v>
      </c>
      <c r="J1309" s="0" t="s">
        <v>145</v>
      </c>
      <c r="K1309" s="0" t="s">
        <v>164</v>
      </c>
      <c r="L1309" s="0" t="s">
        <v>165</v>
      </c>
      <c r="M1309" s="0" t="s">
        <v>371</v>
      </c>
      <c r="N1309" s="0" t="s">
        <v>372</v>
      </c>
      <c r="O1309" s="0" t="s">
        <v>373</v>
      </c>
      <c r="Q1309" s="0" t="s">
        <v>130</v>
      </c>
      <c r="R1309" s="0" t="s">
        <v>138</v>
      </c>
      <c r="S1309" s="14">
        <v>0</v>
      </c>
      <c r="T1309" s="0" t="s">
        <v>139</v>
      </c>
      <c r="U1309" s="0" t="s">
        <v>138</v>
      </c>
      <c r="V1309" s="14" t="s">
        <v>138</v>
      </c>
      <c r="W1309" s="0" t="s">
        <v>138</v>
      </c>
      <c r="X1309" s="14" t="s">
        <v>138</v>
      </c>
      <c r="Y1309" s="0" t="s">
        <v>138</v>
      </c>
      <c r="Z1309" s="14" t="s">
        <v>138</v>
      </c>
      <c r="AA1309" s="0" t="s">
        <v>138</v>
      </c>
      <c r="AB1309" s="14" t="s">
        <v>138</v>
      </c>
      <c r="AD1309" s="0" t="s">
        <v>138</v>
      </c>
      <c r="AF1309" s="0">
        <v>0</v>
      </c>
      <c r="AG1309" s="0">
        <v>0</v>
      </c>
      <c r="AH1309" s="0" t="s">
        <v>140</v>
      </c>
      <c r="AI1309" s="0" t="s">
        <v>138</v>
      </c>
      <c r="AL1309" s="14"/>
      <c r="AN1309" s="14"/>
      <c r="AQ1309" s="0" t="s">
        <v>130</v>
      </c>
      <c r="AR1309" s="0" t="s">
        <v>130</v>
      </c>
      <c r="AS1309" s="0" t="s">
        <v>130</v>
      </c>
      <c r="AT1309" s="0" t="s">
        <v>130</v>
      </c>
      <c r="AU1309" s="0" t="s">
        <v>141</v>
      </c>
      <c r="AV1309" s="0" t="s">
        <v>130</v>
      </c>
      <c r="AW1309" s="0" t="s">
        <v>130</v>
      </c>
      <c r="AX1309" s="0" t="s">
        <v>130</v>
      </c>
      <c r="AY1309" s="0" t="s">
        <v>130</v>
      </c>
      <c r="AZ1309" s="0" t="s">
        <v>130</v>
      </c>
      <c r="BA1309" s="0" t="s">
        <v>130</v>
      </c>
      <c r="BB1309" s="0" t="s">
        <v>130</v>
      </c>
      <c r="BC1309" s="0" t="s">
        <v>130</v>
      </c>
      <c r="BD1309" s="0" t="s">
        <v>130</v>
      </c>
      <c r="BE1309" s="0" t="s">
        <v>130</v>
      </c>
      <c r="BF1309" s="0" t="s">
        <v>130</v>
      </c>
      <c r="BG1309" s="0" t="s">
        <v>130</v>
      </c>
      <c r="BH1309" s="0" t="s">
        <v>130</v>
      </c>
      <c r="BI1309" s="0" t="s">
        <v>130</v>
      </c>
      <c r="BJ1309" s="0" t="s">
        <v>130</v>
      </c>
      <c r="BK1309" s="0" t="s">
        <v>130</v>
      </c>
      <c r="BL1309" s="0" t="s">
        <v>130</v>
      </c>
      <c r="BM1309" s="0" t="s">
        <v>130</v>
      </c>
      <c r="BN1309" s="0" t="s">
        <v>130</v>
      </c>
      <c r="BO1309" s="0" t="s">
        <v>130</v>
      </c>
      <c r="BP1309" s="0" t="s">
        <v>130</v>
      </c>
      <c r="BQ1309" s="0" t="s">
        <v>130</v>
      </c>
      <c r="BR1309" s="0" t="s">
        <v>130</v>
      </c>
      <c r="BS1309" s="0" t="s">
        <v>130</v>
      </c>
      <c r="BT1309" s="0" t="s">
        <v>130</v>
      </c>
      <c r="BU1309" s="0" t="s">
        <v>130</v>
      </c>
      <c r="BV1309" s="0" t="s">
        <v>130</v>
      </c>
      <c r="BW1309" s="0" t="s">
        <v>130</v>
      </c>
      <c r="BX1309" s="0" t="s">
        <v>130</v>
      </c>
      <c r="BY1309" s="0" t="s">
        <v>130</v>
      </c>
      <c r="BZ1309" s="0" t="s">
        <v>130</v>
      </c>
      <c r="CA1309" s="0" t="s">
        <v>130</v>
      </c>
      <c r="CB1309" s="0" t="s">
        <v>130</v>
      </c>
      <c r="CC1309" s="0" t="s">
        <v>130</v>
      </c>
      <c r="CD1309" s="0" t="s">
        <v>130</v>
      </c>
      <c r="CE1309" s="0" t="s">
        <v>130</v>
      </c>
      <c r="CF1309" s="0" t="s">
        <v>130</v>
      </c>
      <c r="CG1309" s="0" t="s">
        <v>130</v>
      </c>
      <c r="CH1309" s="0" t="s">
        <v>130</v>
      </c>
      <c r="CI1309" s="0" t="s">
        <v>130</v>
      </c>
      <c r="CJ1309" s="0" t="s">
        <v>130</v>
      </c>
      <c r="CK1309" s="0" t="s">
        <v>130</v>
      </c>
      <c r="CL1309" s="0" t="s">
        <v>130</v>
      </c>
      <c r="CM1309" s="0" t="s">
        <v>130</v>
      </c>
      <c r="CN1309" s="0" t="s">
        <v>130</v>
      </c>
      <c r="CO1309" s="0" t="s">
        <v>130</v>
      </c>
      <c r="CP1309" s="0" t="s">
        <v>130</v>
      </c>
      <c r="CQ1309" s="0" t="s">
        <v>130</v>
      </c>
      <c r="CR1309" s="0" t="s">
        <v>130</v>
      </c>
      <c r="CS1309" s="0" t="s">
        <v>130</v>
      </c>
      <c r="CT1309" s="0" t="s">
        <v>3849</v>
      </c>
    </row>
    <row r="1310">
      <c r="A1310" s="14">
        <v>7774345</v>
      </c>
      <c r="B1310" s="0" t="s">
        <v>3847</v>
      </c>
      <c r="C1310" s="16">
        <f>HYPERLINK("https://eosportal.federatedhermes.com/companies/Q29tcGFueQppODMyNTM=", "Evolution Mining Ltd")</f>
      </c>
      <c r="D1310" s="0" t="s">
        <v>25</v>
      </c>
      <c r="E1310" s="0" t="s">
        <v>341</v>
      </c>
      <c r="F1310" s="16">
        <f>HYPERLINK("https://eosportal.federatedhermes.com/engagements/RW5nYWdlbWVudAppMjY4NjM=", "Remuneration")</f>
      </c>
      <c r="G1310" s="14" t="s">
        <v>2696</v>
      </c>
      <c r="H1310" s="0" t="s">
        <v>130</v>
      </c>
      <c r="I1310" s="14" t="s">
        <v>319</v>
      </c>
      <c r="J1310" s="0" t="s">
        <v>145</v>
      </c>
      <c r="K1310" s="0" t="s">
        <v>146</v>
      </c>
      <c r="L1310" s="0" t="s">
        <v>147</v>
      </c>
      <c r="M1310" s="0" t="s">
        <v>371</v>
      </c>
      <c r="N1310" s="0" t="s">
        <v>372</v>
      </c>
      <c r="O1310" s="0" t="s">
        <v>373</v>
      </c>
      <c r="Q1310" s="0" t="s">
        <v>141</v>
      </c>
      <c r="R1310" s="0" t="s">
        <v>138</v>
      </c>
      <c r="S1310" s="14">
        <v>1</v>
      </c>
      <c r="T1310" s="0" t="s">
        <v>239</v>
      </c>
      <c r="U1310" s="0" t="s">
        <v>138</v>
      </c>
      <c r="V1310" s="14" t="s">
        <v>138</v>
      </c>
      <c r="W1310" s="0" t="s">
        <v>138</v>
      </c>
      <c r="X1310" s="14" t="s">
        <v>138</v>
      </c>
      <c r="Y1310" s="0" t="s">
        <v>138</v>
      </c>
      <c r="Z1310" s="14" t="s">
        <v>138</v>
      </c>
      <c r="AA1310" s="0" t="s">
        <v>138</v>
      </c>
      <c r="AB1310" s="14" t="s">
        <v>138</v>
      </c>
      <c r="AD1310" s="0" t="s">
        <v>138</v>
      </c>
      <c r="AF1310" s="0">
        <v>0</v>
      </c>
      <c r="AG1310" s="0">
        <v>0</v>
      </c>
      <c r="AH1310" s="0" t="s">
        <v>140</v>
      </c>
      <c r="AI1310" s="0" t="s">
        <v>138</v>
      </c>
      <c r="AK1310" s="0" t="s">
        <v>3145</v>
      </c>
      <c r="AL1310" s="14"/>
      <c r="AN1310" s="14"/>
      <c r="AQ1310" s="0" t="s">
        <v>130</v>
      </c>
      <c r="AR1310" s="0" t="s">
        <v>130</v>
      </c>
      <c r="AS1310" s="0" t="s">
        <v>130</v>
      </c>
      <c r="AT1310" s="0" t="s">
        <v>130</v>
      </c>
      <c r="AU1310" s="0" t="s">
        <v>130</v>
      </c>
      <c r="AV1310" s="0" t="s">
        <v>130</v>
      </c>
      <c r="AW1310" s="0" t="s">
        <v>130</v>
      </c>
      <c r="AX1310" s="0" t="s">
        <v>130</v>
      </c>
      <c r="AY1310" s="0" t="s">
        <v>130</v>
      </c>
      <c r="AZ1310" s="0" t="s">
        <v>130</v>
      </c>
      <c r="BA1310" s="0" t="s">
        <v>130</v>
      </c>
      <c r="BB1310" s="0" t="s">
        <v>130</v>
      </c>
      <c r="BC1310" s="0" t="s">
        <v>130</v>
      </c>
      <c r="BD1310" s="0" t="s">
        <v>130</v>
      </c>
      <c r="BE1310" s="0" t="s">
        <v>130</v>
      </c>
      <c r="BF1310" s="0" t="s">
        <v>130</v>
      </c>
      <c r="BG1310" s="0" t="s">
        <v>130</v>
      </c>
      <c r="BH1310" s="0" t="s">
        <v>130</v>
      </c>
      <c r="BI1310" s="0" t="s">
        <v>130</v>
      </c>
      <c r="BJ1310" s="0" t="s">
        <v>130</v>
      </c>
      <c r="BK1310" s="0" t="s">
        <v>130</v>
      </c>
      <c r="BL1310" s="0" t="s">
        <v>130</v>
      </c>
      <c r="BM1310" s="0" t="s">
        <v>130</v>
      </c>
      <c r="BN1310" s="0" t="s">
        <v>130</v>
      </c>
      <c r="BO1310" s="0" t="s">
        <v>130</v>
      </c>
      <c r="BP1310" s="0" t="s">
        <v>130</v>
      </c>
      <c r="BQ1310" s="0" t="s">
        <v>130</v>
      </c>
      <c r="BR1310" s="0" t="s">
        <v>130</v>
      </c>
      <c r="BS1310" s="0" t="s">
        <v>130</v>
      </c>
      <c r="BT1310" s="0" t="s">
        <v>130</v>
      </c>
      <c r="BU1310" s="0" t="s">
        <v>130</v>
      </c>
      <c r="BV1310" s="0" t="s">
        <v>130</v>
      </c>
      <c r="BW1310" s="0" t="s">
        <v>130</v>
      </c>
      <c r="BX1310" s="0" t="s">
        <v>130</v>
      </c>
      <c r="BY1310" s="0" t="s">
        <v>130</v>
      </c>
      <c r="BZ1310" s="0" t="s">
        <v>130</v>
      </c>
      <c r="CA1310" s="0" t="s">
        <v>130</v>
      </c>
      <c r="CB1310" s="0" t="s">
        <v>130</v>
      </c>
      <c r="CC1310" s="0" t="s">
        <v>130</v>
      </c>
      <c r="CD1310" s="0" t="s">
        <v>130</v>
      </c>
      <c r="CE1310" s="0" t="s">
        <v>130</v>
      </c>
      <c r="CF1310" s="0" t="s">
        <v>130</v>
      </c>
      <c r="CG1310" s="0" t="s">
        <v>130</v>
      </c>
      <c r="CH1310" s="0" t="s">
        <v>130</v>
      </c>
      <c r="CI1310" s="0" t="s">
        <v>130</v>
      </c>
      <c r="CJ1310" s="0" t="s">
        <v>130</v>
      </c>
      <c r="CK1310" s="0" t="s">
        <v>130</v>
      </c>
      <c r="CL1310" s="0" t="s">
        <v>130</v>
      </c>
      <c r="CM1310" s="0" t="s">
        <v>130</v>
      </c>
      <c r="CN1310" s="0" t="s">
        <v>130</v>
      </c>
      <c r="CO1310" s="0" t="s">
        <v>130</v>
      </c>
      <c r="CP1310" s="0" t="s">
        <v>130</v>
      </c>
      <c r="CQ1310" s="0" t="s">
        <v>130</v>
      </c>
      <c r="CR1310" s="0" t="s">
        <v>130</v>
      </c>
      <c r="CS1310" s="0" t="s">
        <v>130</v>
      </c>
      <c r="CT1310" s="0" t="s">
        <v>3850</v>
      </c>
    </row>
    <row r="1311">
      <c r="A1311" s="14">
        <v>7791092</v>
      </c>
      <c r="B1311" s="0" t="s">
        <v>3851</v>
      </c>
      <c r="C1311" s="16">
        <f>HYPERLINK("https://eosportal.federatedhermes.com/companies/Q29tcGFueQppODMyNjU=", "BYD Co Ltd")</f>
      </c>
      <c r="D1311" s="0" t="s">
        <v>25</v>
      </c>
      <c r="E1311" s="0" t="s">
        <v>2828</v>
      </c>
      <c r="F1311" s="16">
        <f>HYPERLINK("https://eosportal.federatedhermes.com/engagements/RW5nYWdlbWVudAppMjY4NzQ=", "Climate change risk and opportunity management – TPI")</f>
      </c>
      <c r="G1311" s="14" t="s">
        <v>3553</v>
      </c>
      <c r="H1311" s="0" t="s">
        <v>141</v>
      </c>
      <c r="I1311" s="14" t="s">
        <v>191</v>
      </c>
      <c r="J1311" s="0" t="s">
        <v>197</v>
      </c>
      <c r="K1311" s="0" t="s">
        <v>198</v>
      </c>
      <c r="L1311" s="0" t="s">
        <v>199</v>
      </c>
      <c r="M1311" s="0" t="s">
        <v>2807</v>
      </c>
      <c r="N1311" s="0" t="s">
        <v>3272</v>
      </c>
      <c r="O1311" s="0" t="s">
        <v>425</v>
      </c>
      <c r="Q1311" s="0" t="s">
        <v>141</v>
      </c>
      <c r="R1311" s="0" t="s">
        <v>138</v>
      </c>
      <c r="S1311" s="14">
        <v>1</v>
      </c>
      <c r="T1311" s="0" t="s">
        <v>206</v>
      </c>
      <c r="U1311" s="0" t="s">
        <v>138</v>
      </c>
      <c r="V1311" s="14" t="s">
        <v>138</v>
      </c>
      <c r="W1311" s="0" t="s">
        <v>138</v>
      </c>
      <c r="X1311" s="14" t="s">
        <v>138</v>
      </c>
      <c r="Y1311" s="0" t="s">
        <v>138</v>
      </c>
      <c r="Z1311" s="14" t="s">
        <v>138</v>
      </c>
      <c r="AA1311" s="0" t="s">
        <v>138</v>
      </c>
      <c r="AB1311" s="14" t="s">
        <v>138</v>
      </c>
      <c r="AD1311" s="0" t="s">
        <v>138</v>
      </c>
      <c r="AF1311" s="0">
        <v>0</v>
      </c>
      <c r="AG1311" s="0">
        <v>0</v>
      </c>
      <c r="AH1311" s="0" t="s">
        <v>140</v>
      </c>
      <c r="AI1311" s="0" t="s">
        <v>138</v>
      </c>
      <c r="AK1311" s="0" t="s">
        <v>344</v>
      </c>
      <c r="AL1311" s="14"/>
      <c r="AN1311" s="14"/>
      <c r="AQ1311" s="0" t="s">
        <v>130</v>
      </c>
      <c r="AR1311" s="0" t="s">
        <v>130</v>
      </c>
      <c r="AS1311" s="0" t="s">
        <v>130</v>
      </c>
      <c r="AT1311" s="0" t="s">
        <v>130</v>
      </c>
      <c r="AU1311" s="0" t="s">
        <v>130</v>
      </c>
      <c r="AV1311" s="0" t="s">
        <v>130</v>
      </c>
      <c r="AW1311" s="0" t="s">
        <v>130</v>
      </c>
      <c r="AX1311" s="0" t="s">
        <v>130</v>
      </c>
      <c r="AY1311" s="0" t="s">
        <v>130</v>
      </c>
      <c r="AZ1311" s="0" t="s">
        <v>130</v>
      </c>
      <c r="BA1311" s="0" t="s">
        <v>130</v>
      </c>
      <c r="BB1311" s="0" t="s">
        <v>141</v>
      </c>
      <c r="BC1311" s="0" t="s">
        <v>141</v>
      </c>
      <c r="BD1311" s="0" t="s">
        <v>130</v>
      </c>
      <c r="BE1311" s="0" t="s">
        <v>130</v>
      </c>
      <c r="BF1311" s="0" t="s">
        <v>130</v>
      </c>
      <c r="BG1311" s="0" t="s">
        <v>130</v>
      </c>
      <c r="BH1311" s="0" t="s">
        <v>130</v>
      </c>
      <c r="BI1311" s="0" t="s">
        <v>130</v>
      </c>
      <c r="BJ1311" s="0" t="s">
        <v>130</v>
      </c>
      <c r="BK1311" s="0" t="s">
        <v>130</v>
      </c>
      <c r="BL1311" s="0" t="s">
        <v>130</v>
      </c>
      <c r="BM1311" s="0" t="s">
        <v>130</v>
      </c>
      <c r="BN1311" s="0" t="s">
        <v>130</v>
      </c>
      <c r="BO1311" s="0" t="s">
        <v>130</v>
      </c>
      <c r="BP1311" s="0" t="s">
        <v>130</v>
      </c>
      <c r="BQ1311" s="0" t="s">
        <v>130</v>
      </c>
      <c r="BR1311" s="0" t="s">
        <v>130</v>
      </c>
      <c r="BS1311" s="0" t="s">
        <v>130</v>
      </c>
      <c r="BT1311" s="0" t="s">
        <v>130</v>
      </c>
      <c r="BU1311" s="0" t="s">
        <v>130</v>
      </c>
      <c r="BV1311" s="0" t="s">
        <v>130</v>
      </c>
      <c r="BW1311" s="0" t="s">
        <v>130</v>
      </c>
      <c r="BX1311" s="0" t="s">
        <v>130</v>
      </c>
      <c r="BY1311" s="0" t="s">
        <v>130</v>
      </c>
      <c r="BZ1311" s="0" t="s">
        <v>130</v>
      </c>
      <c r="CA1311" s="0" t="s">
        <v>130</v>
      </c>
      <c r="CB1311" s="0" t="s">
        <v>130</v>
      </c>
      <c r="CC1311" s="0" t="s">
        <v>130</v>
      </c>
      <c r="CD1311" s="0" t="s">
        <v>130</v>
      </c>
      <c r="CE1311" s="0" t="s">
        <v>130</v>
      </c>
      <c r="CF1311" s="0" t="s">
        <v>130</v>
      </c>
      <c r="CG1311" s="0" t="s">
        <v>130</v>
      </c>
      <c r="CH1311" s="0" t="s">
        <v>130</v>
      </c>
      <c r="CI1311" s="0" t="s">
        <v>130</v>
      </c>
      <c r="CJ1311" s="0" t="s">
        <v>130</v>
      </c>
      <c r="CK1311" s="0" t="s">
        <v>130</v>
      </c>
      <c r="CL1311" s="0" t="s">
        <v>130</v>
      </c>
      <c r="CM1311" s="0" t="s">
        <v>130</v>
      </c>
      <c r="CN1311" s="0" t="s">
        <v>130</v>
      </c>
      <c r="CO1311" s="0" t="s">
        <v>130</v>
      </c>
      <c r="CP1311" s="0" t="s">
        <v>130</v>
      </c>
      <c r="CQ1311" s="0" t="s">
        <v>130</v>
      </c>
      <c r="CR1311" s="0" t="s">
        <v>130</v>
      </c>
      <c r="CS1311" s="0" t="s">
        <v>130</v>
      </c>
      <c r="CT1311" s="0" t="s">
        <v>3852</v>
      </c>
    </row>
    <row r="1312">
      <c r="A1312" s="14">
        <v>7791092</v>
      </c>
      <c r="B1312" s="0" t="s">
        <v>3851</v>
      </c>
      <c r="C1312" s="16">
        <f>HYPERLINK("https://eosportal.federatedhermes.com/companies/Q29tcGFueQppODMyNjU=", "BYD Co Ltd")</f>
      </c>
      <c r="D1312" s="0" t="s">
        <v>25</v>
      </c>
      <c r="E1312" s="0" t="s">
        <v>3853</v>
      </c>
      <c r="F1312" s="16">
        <f>HYPERLINK("https://eosportal.federatedhermes.com/engagements/RW5nYWdlbWVudAppMjY4NzU=", "Address the illegal use of Agricultural land")</f>
      </c>
      <c r="G1312" s="14" t="s">
        <v>3854</v>
      </c>
      <c r="H1312" s="0" t="s">
        <v>141</v>
      </c>
      <c r="I1312" s="14" t="s">
        <v>191</v>
      </c>
      <c r="J1312" s="0" t="s">
        <v>132</v>
      </c>
      <c r="K1312" s="0" t="s">
        <v>260</v>
      </c>
      <c r="L1312" s="0" t="s">
        <v>261</v>
      </c>
      <c r="M1312" s="0" t="s">
        <v>2807</v>
      </c>
      <c r="N1312" s="0" t="s">
        <v>3272</v>
      </c>
      <c r="O1312" s="0" t="s">
        <v>425</v>
      </c>
      <c r="Q1312" s="0" t="s">
        <v>130</v>
      </c>
      <c r="R1312" s="0" t="s">
        <v>138</v>
      </c>
      <c r="S1312" s="14">
        <v>0</v>
      </c>
      <c r="T1312" s="0" t="s">
        <v>1529</v>
      </c>
      <c r="U1312" s="0" t="s">
        <v>138</v>
      </c>
      <c r="V1312" s="14" t="s">
        <v>138</v>
      </c>
      <c r="W1312" s="0" t="s">
        <v>138</v>
      </c>
      <c r="X1312" s="14" t="s">
        <v>138</v>
      </c>
      <c r="Y1312" s="0" t="s">
        <v>138</v>
      </c>
      <c r="Z1312" s="14" t="s">
        <v>138</v>
      </c>
      <c r="AA1312" s="0" t="s">
        <v>138</v>
      </c>
      <c r="AB1312" s="14" t="s">
        <v>138</v>
      </c>
      <c r="AD1312" s="0" t="s">
        <v>138</v>
      </c>
      <c r="AF1312" s="0">
        <v>0</v>
      </c>
      <c r="AG1312" s="0">
        <v>0</v>
      </c>
      <c r="AH1312" s="0" t="s">
        <v>140</v>
      </c>
      <c r="AI1312" s="0" t="s">
        <v>138</v>
      </c>
      <c r="AL1312" s="14"/>
      <c r="AN1312" s="14"/>
      <c r="AQ1312" s="0" t="s">
        <v>130</v>
      </c>
      <c r="AR1312" s="0" t="s">
        <v>130</v>
      </c>
      <c r="AS1312" s="0" t="s">
        <v>130</v>
      </c>
      <c r="AT1312" s="0" t="s">
        <v>130</v>
      </c>
      <c r="AU1312" s="0" t="s">
        <v>130</v>
      </c>
      <c r="AV1312" s="0" t="s">
        <v>130</v>
      </c>
      <c r="AW1312" s="0" t="s">
        <v>130</v>
      </c>
      <c r="AX1312" s="0" t="s">
        <v>130</v>
      </c>
      <c r="AY1312" s="0" t="s">
        <v>130</v>
      </c>
      <c r="AZ1312" s="0" t="s">
        <v>130</v>
      </c>
      <c r="BA1312" s="0" t="s">
        <v>130</v>
      </c>
      <c r="BB1312" s="0" t="s">
        <v>130</v>
      </c>
      <c r="BC1312" s="0" t="s">
        <v>130</v>
      </c>
      <c r="BD1312" s="0" t="s">
        <v>130</v>
      </c>
      <c r="BE1312" s="0" t="s">
        <v>130</v>
      </c>
      <c r="BF1312" s="0" t="s">
        <v>130</v>
      </c>
      <c r="BG1312" s="0" t="s">
        <v>130</v>
      </c>
      <c r="BH1312" s="0" t="s">
        <v>130</v>
      </c>
      <c r="BI1312" s="0" t="s">
        <v>130</v>
      </c>
      <c r="BJ1312" s="0" t="s">
        <v>130</v>
      </c>
      <c r="BK1312" s="0" t="s">
        <v>130</v>
      </c>
      <c r="BL1312" s="0" t="s">
        <v>130</v>
      </c>
      <c r="BM1312" s="0" t="s">
        <v>130</v>
      </c>
      <c r="BN1312" s="0" t="s">
        <v>130</v>
      </c>
      <c r="BO1312" s="0" t="s">
        <v>130</v>
      </c>
      <c r="BP1312" s="0" t="s">
        <v>130</v>
      </c>
      <c r="BQ1312" s="0" t="s">
        <v>130</v>
      </c>
      <c r="BR1312" s="0" t="s">
        <v>130</v>
      </c>
      <c r="BS1312" s="0" t="s">
        <v>130</v>
      </c>
      <c r="BT1312" s="0" t="s">
        <v>130</v>
      </c>
      <c r="BU1312" s="0" t="s">
        <v>130</v>
      </c>
      <c r="BV1312" s="0" t="s">
        <v>130</v>
      </c>
      <c r="BW1312" s="0" t="s">
        <v>130</v>
      </c>
      <c r="BX1312" s="0" t="s">
        <v>130</v>
      </c>
      <c r="BY1312" s="0" t="s">
        <v>130</v>
      </c>
      <c r="BZ1312" s="0" t="s">
        <v>130</v>
      </c>
      <c r="CA1312" s="0" t="s">
        <v>130</v>
      </c>
      <c r="CB1312" s="0" t="s">
        <v>130</v>
      </c>
      <c r="CC1312" s="0" t="s">
        <v>130</v>
      </c>
      <c r="CD1312" s="0" t="s">
        <v>130</v>
      </c>
      <c r="CE1312" s="0" t="s">
        <v>130</v>
      </c>
      <c r="CF1312" s="0" t="s">
        <v>130</v>
      </c>
      <c r="CG1312" s="0" t="s">
        <v>130</v>
      </c>
      <c r="CH1312" s="0" t="s">
        <v>130</v>
      </c>
      <c r="CI1312" s="0" t="s">
        <v>130</v>
      </c>
      <c r="CJ1312" s="0" t="s">
        <v>130</v>
      </c>
      <c r="CK1312" s="0" t="s">
        <v>130</v>
      </c>
      <c r="CL1312" s="0" t="s">
        <v>130</v>
      </c>
      <c r="CM1312" s="0" t="s">
        <v>130</v>
      </c>
      <c r="CN1312" s="0" t="s">
        <v>130</v>
      </c>
      <c r="CO1312" s="0" t="s">
        <v>130</v>
      </c>
      <c r="CP1312" s="0" t="s">
        <v>130</v>
      </c>
      <c r="CQ1312" s="0" t="s">
        <v>130</v>
      </c>
      <c r="CR1312" s="0" t="s">
        <v>130</v>
      </c>
      <c r="CS1312" s="0" t="s">
        <v>130</v>
      </c>
      <c r="CT1312" s="0" t="s">
        <v>3855</v>
      </c>
    </row>
    <row r="1313">
      <c r="A1313" s="14">
        <v>7791092</v>
      </c>
      <c r="B1313" s="0" t="s">
        <v>3851</v>
      </c>
      <c r="C1313" s="16">
        <f>HYPERLINK("https://eosportal.federatedhermes.com/companies/Q29tcGFueQppODMyNjU=", "BYD Co Ltd")</f>
      </c>
      <c r="D1313" s="0" t="s">
        <v>25</v>
      </c>
      <c r="E1313" s="0" t="s">
        <v>3856</v>
      </c>
      <c r="F1313" s="16">
        <f>HYPERLINK("https://eosportal.federatedhermes.com/engagements/RW5nYWdlbWVudAppMjY4NzY=", "Engage strategy in renewable energy business")</f>
      </c>
      <c r="G1313" s="14" t="s">
        <v>3857</v>
      </c>
      <c r="H1313" s="0" t="s">
        <v>141</v>
      </c>
      <c r="I1313" s="14" t="s">
        <v>191</v>
      </c>
      <c r="J1313" s="0" t="s">
        <v>197</v>
      </c>
      <c r="K1313" s="0" t="s">
        <v>198</v>
      </c>
      <c r="L1313" s="0" t="s">
        <v>216</v>
      </c>
      <c r="M1313" s="0" t="s">
        <v>2807</v>
      </c>
      <c r="N1313" s="0" t="s">
        <v>3272</v>
      </c>
      <c r="O1313" s="0" t="s">
        <v>425</v>
      </c>
      <c r="Q1313" s="0" t="s">
        <v>130</v>
      </c>
      <c r="R1313" s="0" t="s">
        <v>138</v>
      </c>
      <c r="S1313" s="14">
        <v>0</v>
      </c>
      <c r="T1313" s="0" t="s">
        <v>1529</v>
      </c>
      <c r="U1313" s="0" t="s">
        <v>138</v>
      </c>
      <c r="V1313" s="14" t="s">
        <v>138</v>
      </c>
      <c r="W1313" s="0" t="s">
        <v>138</v>
      </c>
      <c r="X1313" s="14" t="s">
        <v>138</v>
      </c>
      <c r="Y1313" s="0" t="s">
        <v>138</v>
      </c>
      <c r="Z1313" s="14" t="s">
        <v>138</v>
      </c>
      <c r="AA1313" s="0" t="s">
        <v>138</v>
      </c>
      <c r="AB1313" s="14" t="s">
        <v>138</v>
      </c>
      <c r="AD1313" s="0" t="s">
        <v>138</v>
      </c>
      <c r="AF1313" s="0">
        <v>0</v>
      </c>
      <c r="AG1313" s="0">
        <v>0</v>
      </c>
      <c r="AH1313" s="0" t="s">
        <v>140</v>
      </c>
      <c r="AI1313" s="0" t="s">
        <v>138</v>
      </c>
      <c r="AL1313" s="14"/>
      <c r="AN1313" s="14"/>
      <c r="AQ1313" s="0" t="s">
        <v>130</v>
      </c>
      <c r="AR1313" s="0" t="s">
        <v>130</v>
      </c>
      <c r="AS1313" s="0" t="s">
        <v>130</v>
      </c>
      <c r="AT1313" s="0" t="s">
        <v>130</v>
      </c>
      <c r="AU1313" s="0" t="s">
        <v>130</v>
      </c>
      <c r="AV1313" s="0" t="s">
        <v>130</v>
      </c>
      <c r="AW1313" s="0" t="s">
        <v>141</v>
      </c>
      <c r="AX1313" s="0" t="s">
        <v>130</v>
      </c>
      <c r="AY1313" s="0" t="s">
        <v>141</v>
      </c>
      <c r="AZ1313" s="0" t="s">
        <v>130</v>
      </c>
      <c r="BA1313" s="0" t="s">
        <v>130</v>
      </c>
      <c r="BB1313" s="0" t="s">
        <v>130</v>
      </c>
      <c r="BC1313" s="0" t="s">
        <v>141</v>
      </c>
      <c r="BD1313" s="0" t="s">
        <v>130</v>
      </c>
      <c r="BE1313" s="0" t="s">
        <v>130</v>
      </c>
      <c r="BF1313" s="0" t="s">
        <v>130</v>
      </c>
      <c r="BG1313" s="0" t="s">
        <v>130</v>
      </c>
      <c r="BH1313" s="0" t="s">
        <v>141</v>
      </c>
      <c r="BI1313" s="0" t="s">
        <v>141</v>
      </c>
      <c r="BJ1313" s="0" t="s">
        <v>141</v>
      </c>
      <c r="BK1313" s="0" t="s">
        <v>130</v>
      </c>
      <c r="BL1313" s="0" t="s">
        <v>130</v>
      </c>
      <c r="BM1313" s="0" t="s">
        <v>130</v>
      </c>
      <c r="BN1313" s="0" t="s">
        <v>130</v>
      </c>
      <c r="BO1313" s="0" t="s">
        <v>130</v>
      </c>
      <c r="BP1313" s="0" t="s">
        <v>130</v>
      </c>
      <c r="BQ1313" s="0" t="s">
        <v>130</v>
      </c>
      <c r="BR1313" s="0" t="s">
        <v>130</v>
      </c>
      <c r="BS1313" s="0" t="s">
        <v>130</v>
      </c>
      <c r="BT1313" s="0" t="s">
        <v>130</v>
      </c>
      <c r="BU1313" s="0" t="s">
        <v>130</v>
      </c>
      <c r="BV1313" s="0" t="s">
        <v>141</v>
      </c>
      <c r="BW1313" s="0" t="s">
        <v>141</v>
      </c>
      <c r="BX1313" s="0" t="s">
        <v>130</v>
      </c>
      <c r="BY1313" s="0" t="s">
        <v>130</v>
      </c>
      <c r="BZ1313" s="0" t="s">
        <v>130</v>
      </c>
      <c r="CA1313" s="0" t="s">
        <v>130</v>
      </c>
      <c r="CB1313" s="0" t="s">
        <v>130</v>
      </c>
      <c r="CC1313" s="0" t="s">
        <v>130</v>
      </c>
      <c r="CD1313" s="0" t="s">
        <v>130</v>
      </c>
      <c r="CE1313" s="0" t="s">
        <v>130</v>
      </c>
      <c r="CF1313" s="0" t="s">
        <v>130</v>
      </c>
      <c r="CG1313" s="0" t="s">
        <v>130</v>
      </c>
      <c r="CH1313" s="0" t="s">
        <v>130</v>
      </c>
      <c r="CI1313" s="0" t="s">
        <v>130</v>
      </c>
      <c r="CJ1313" s="0" t="s">
        <v>130</v>
      </c>
      <c r="CK1313" s="0" t="s">
        <v>130</v>
      </c>
      <c r="CL1313" s="0" t="s">
        <v>130</v>
      </c>
      <c r="CM1313" s="0" t="s">
        <v>130</v>
      </c>
      <c r="CN1313" s="0" t="s">
        <v>130</v>
      </c>
      <c r="CO1313" s="0" t="s">
        <v>130</v>
      </c>
      <c r="CP1313" s="0" t="s">
        <v>130</v>
      </c>
      <c r="CQ1313" s="0" t="s">
        <v>130</v>
      </c>
      <c r="CR1313" s="0" t="s">
        <v>130</v>
      </c>
      <c r="CS1313" s="0" t="s">
        <v>130</v>
      </c>
      <c r="CT1313" s="0" t="s">
        <v>3858</v>
      </c>
    </row>
    <row r="1314">
      <c r="A1314" s="14">
        <v>7909359</v>
      </c>
      <c r="B1314" s="0" t="s">
        <v>3859</v>
      </c>
      <c r="C1314" s="16">
        <f>HYPERLINK("https://eosportal.federatedhermes.com/companies/Q29tcGFueQppNzgyNzQ=", "Sumitomo Mitsui Financial Group Inc")</f>
      </c>
      <c r="D1314" s="0" t="s">
        <v>25</v>
      </c>
      <c r="E1314" s="0" t="s">
        <v>3860</v>
      </c>
      <c r="F1314" s="16">
        <f>HYPERLINK("https://eosportal.federatedhermes.com/engagements/RW5nYWdlbWVudAppMjY5MjU=", "Palm oil financing")</f>
      </c>
      <c r="G1314" s="14" t="s">
        <v>3861</v>
      </c>
      <c r="H1314" s="0" t="s">
        <v>141</v>
      </c>
      <c r="I1314" s="14" t="s">
        <v>191</v>
      </c>
      <c r="J1314" s="0" t="s">
        <v>197</v>
      </c>
      <c r="K1314" s="0" t="s">
        <v>337</v>
      </c>
      <c r="L1314" s="0" t="s">
        <v>576</v>
      </c>
      <c r="M1314" s="0" t="s">
        <v>802</v>
      </c>
      <c r="N1314" s="0" t="s">
        <v>952</v>
      </c>
      <c r="O1314" s="0" t="s">
        <v>238</v>
      </c>
      <c r="Q1314" s="0" t="s">
        <v>130</v>
      </c>
      <c r="R1314" s="0" t="s">
        <v>138</v>
      </c>
      <c r="S1314" s="14">
        <v>0</v>
      </c>
      <c r="T1314" s="0" t="s">
        <v>394</v>
      </c>
      <c r="U1314" s="0" t="s">
        <v>138</v>
      </c>
      <c r="V1314" s="14" t="s">
        <v>138</v>
      </c>
      <c r="W1314" s="0" t="s">
        <v>138</v>
      </c>
      <c r="X1314" s="14" t="s">
        <v>138</v>
      </c>
      <c r="Y1314" s="0" t="s">
        <v>138</v>
      </c>
      <c r="Z1314" s="14" t="s">
        <v>138</v>
      </c>
      <c r="AA1314" s="0" t="s">
        <v>138</v>
      </c>
      <c r="AB1314" s="14" t="s">
        <v>138</v>
      </c>
      <c r="AD1314" s="0" t="s">
        <v>138</v>
      </c>
      <c r="AF1314" s="0">
        <v>0</v>
      </c>
      <c r="AG1314" s="0">
        <v>0</v>
      </c>
      <c r="AH1314" s="0" t="s">
        <v>140</v>
      </c>
      <c r="AI1314" s="0" t="s">
        <v>138</v>
      </c>
      <c r="AL1314" s="14"/>
      <c r="AN1314" s="14"/>
      <c r="AQ1314" s="0" t="s">
        <v>130</v>
      </c>
      <c r="AR1314" s="0" t="s">
        <v>141</v>
      </c>
      <c r="AS1314" s="0" t="s">
        <v>130</v>
      </c>
      <c r="AT1314" s="0" t="s">
        <v>130</v>
      </c>
      <c r="AU1314" s="0" t="s">
        <v>130</v>
      </c>
      <c r="AV1314" s="0" t="s">
        <v>130</v>
      </c>
      <c r="AW1314" s="0" t="s">
        <v>130</v>
      </c>
      <c r="AX1314" s="0" t="s">
        <v>130</v>
      </c>
      <c r="AY1314" s="0" t="s">
        <v>130</v>
      </c>
      <c r="AZ1314" s="0" t="s">
        <v>130</v>
      </c>
      <c r="BA1314" s="0" t="s">
        <v>130</v>
      </c>
      <c r="BB1314" s="0" t="s">
        <v>141</v>
      </c>
      <c r="BC1314" s="0" t="s">
        <v>130</v>
      </c>
      <c r="BD1314" s="0" t="s">
        <v>130</v>
      </c>
      <c r="BE1314" s="0" t="s">
        <v>141</v>
      </c>
      <c r="BF1314" s="0" t="s">
        <v>130</v>
      </c>
      <c r="BG1314" s="0" t="s">
        <v>130</v>
      </c>
      <c r="BH1314" s="0" t="s">
        <v>130</v>
      </c>
      <c r="BI1314" s="0" t="s">
        <v>130</v>
      </c>
      <c r="BJ1314" s="0" t="s">
        <v>130</v>
      </c>
      <c r="BK1314" s="0" t="s">
        <v>130</v>
      </c>
      <c r="BL1314" s="0" t="s">
        <v>130</v>
      </c>
      <c r="BM1314" s="0" t="s">
        <v>130</v>
      </c>
      <c r="BN1314" s="0" t="s">
        <v>130</v>
      </c>
      <c r="BO1314" s="0" t="s">
        <v>130</v>
      </c>
      <c r="BP1314" s="0" t="s">
        <v>130</v>
      </c>
      <c r="BQ1314" s="0" t="s">
        <v>130</v>
      </c>
      <c r="BR1314" s="0" t="s">
        <v>130</v>
      </c>
      <c r="BS1314" s="0" t="s">
        <v>130</v>
      </c>
      <c r="BT1314" s="0" t="s">
        <v>130</v>
      </c>
      <c r="BU1314" s="0" t="s">
        <v>130</v>
      </c>
      <c r="BV1314" s="0" t="s">
        <v>130</v>
      </c>
      <c r="BW1314" s="0" t="s">
        <v>130</v>
      </c>
      <c r="BX1314" s="0" t="s">
        <v>130</v>
      </c>
      <c r="BY1314" s="0" t="s">
        <v>130</v>
      </c>
      <c r="BZ1314" s="0" t="s">
        <v>130</v>
      </c>
      <c r="CA1314" s="0" t="s">
        <v>130</v>
      </c>
      <c r="CB1314" s="0" t="s">
        <v>130</v>
      </c>
      <c r="CC1314" s="0" t="s">
        <v>130</v>
      </c>
      <c r="CD1314" s="0" t="s">
        <v>130</v>
      </c>
      <c r="CE1314" s="0" t="s">
        <v>130</v>
      </c>
      <c r="CF1314" s="0" t="s">
        <v>130</v>
      </c>
      <c r="CG1314" s="0" t="s">
        <v>130</v>
      </c>
      <c r="CH1314" s="0" t="s">
        <v>130</v>
      </c>
      <c r="CI1314" s="0" t="s">
        <v>130</v>
      </c>
      <c r="CJ1314" s="0" t="s">
        <v>130</v>
      </c>
      <c r="CK1314" s="0" t="s">
        <v>130</v>
      </c>
      <c r="CL1314" s="0" t="s">
        <v>130</v>
      </c>
      <c r="CM1314" s="0" t="s">
        <v>130</v>
      </c>
      <c r="CN1314" s="0" t="s">
        <v>130</v>
      </c>
      <c r="CO1314" s="0" t="s">
        <v>130</v>
      </c>
      <c r="CP1314" s="0" t="s">
        <v>130</v>
      </c>
      <c r="CQ1314" s="0" t="s">
        <v>130</v>
      </c>
      <c r="CR1314" s="0" t="s">
        <v>130</v>
      </c>
      <c r="CS1314" s="0" t="s">
        <v>130</v>
      </c>
      <c r="CT1314" s="0" t="s">
        <v>3862</v>
      </c>
    </row>
    <row r="1315">
      <c r="A1315" s="14">
        <v>7909359</v>
      </c>
      <c r="B1315" s="0" t="s">
        <v>3859</v>
      </c>
      <c r="C1315" s="16">
        <f>HYPERLINK("https://eosportal.federatedhermes.com/companies/Q29tcGFueQppNzgyNzQ=", "Sumitomo Mitsui Financial Group Inc")</f>
      </c>
      <c r="D1315" s="0" t="s">
        <v>25</v>
      </c>
      <c r="E1315" s="0" t="s">
        <v>3863</v>
      </c>
      <c r="F1315" s="16">
        <f>HYPERLINK("https://eosportal.federatedhermes.com/engagements/RW5nYWdlbWVudAppMjY5MjY=", "Board independence - affiliated outsider")</f>
      </c>
      <c r="G1315" s="14" t="s">
        <v>3864</v>
      </c>
      <c r="H1315" s="0" t="s">
        <v>141</v>
      </c>
      <c r="I1315" s="14" t="s">
        <v>191</v>
      </c>
      <c r="J1315" s="0" t="s">
        <v>145</v>
      </c>
      <c r="K1315" s="0" t="s">
        <v>164</v>
      </c>
      <c r="L1315" s="0" t="s">
        <v>165</v>
      </c>
      <c r="M1315" s="0" t="s">
        <v>802</v>
      </c>
      <c r="N1315" s="0" t="s">
        <v>952</v>
      </c>
      <c r="O1315" s="0" t="s">
        <v>238</v>
      </c>
      <c r="Q1315" s="0" t="s">
        <v>141</v>
      </c>
      <c r="R1315" s="0" t="s">
        <v>138</v>
      </c>
      <c r="S1315" s="14">
        <v>1</v>
      </c>
      <c r="T1315" s="0" t="s">
        <v>148</v>
      </c>
      <c r="U1315" s="0" t="s">
        <v>138</v>
      </c>
      <c r="V1315" s="14" t="s">
        <v>138</v>
      </c>
      <c r="W1315" s="0" t="s">
        <v>138</v>
      </c>
      <c r="X1315" s="14" t="s">
        <v>138</v>
      </c>
      <c r="Y1315" s="0" t="s">
        <v>138</v>
      </c>
      <c r="Z1315" s="14" t="s">
        <v>138</v>
      </c>
      <c r="AA1315" s="0" t="s">
        <v>138</v>
      </c>
      <c r="AB1315" s="14" t="s">
        <v>138</v>
      </c>
      <c r="AD1315" s="0" t="s">
        <v>138</v>
      </c>
      <c r="AF1315" s="0">
        <v>0</v>
      </c>
      <c r="AG1315" s="0">
        <v>0</v>
      </c>
      <c r="AH1315" s="0" t="s">
        <v>140</v>
      </c>
      <c r="AI1315" s="0" t="s">
        <v>138</v>
      </c>
      <c r="AK1315" s="0" t="s">
        <v>339</v>
      </c>
      <c r="AL1315" s="14"/>
      <c r="AN1315" s="14"/>
      <c r="AQ1315" s="0" t="s">
        <v>130</v>
      </c>
      <c r="AR1315" s="0" t="s">
        <v>130</v>
      </c>
      <c r="AS1315" s="0" t="s">
        <v>130</v>
      </c>
      <c r="AT1315" s="0" t="s">
        <v>130</v>
      </c>
      <c r="AU1315" s="0" t="s">
        <v>130</v>
      </c>
      <c r="AV1315" s="0" t="s">
        <v>130</v>
      </c>
      <c r="AW1315" s="0" t="s">
        <v>130</v>
      </c>
      <c r="AX1315" s="0" t="s">
        <v>130</v>
      </c>
      <c r="AY1315" s="0" t="s">
        <v>130</v>
      </c>
      <c r="AZ1315" s="0" t="s">
        <v>130</v>
      </c>
      <c r="BA1315" s="0" t="s">
        <v>130</v>
      </c>
      <c r="BB1315" s="0" t="s">
        <v>130</v>
      </c>
      <c r="BC1315" s="0" t="s">
        <v>130</v>
      </c>
      <c r="BD1315" s="0" t="s">
        <v>130</v>
      </c>
      <c r="BE1315" s="0" t="s">
        <v>130</v>
      </c>
      <c r="BF1315" s="0" t="s">
        <v>130</v>
      </c>
      <c r="BG1315" s="0" t="s">
        <v>130</v>
      </c>
      <c r="BH1315" s="0" t="s">
        <v>130</v>
      </c>
      <c r="BI1315" s="0" t="s">
        <v>130</v>
      </c>
      <c r="BJ1315" s="0" t="s">
        <v>130</v>
      </c>
      <c r="BK1315" s="0" t="s">
        <v>130</v>
      </c>
      <c r="BL1315" s="0" t="s">
        <v>130</v>
      </c>
      <c r="BM1315" s="0" t="s">
        <v>130</v>
      </c>
      <c r="BN1315" s="0" t="s">
        <v>130</v>
      </c>
      <c r="BO1315" s="0" t="s">
        <v>130</v>
      </c>
      <c r="BP1315" s="0" t="s">
        <v>130</v>
      </c>
      <c r="BQ1315" s="0" t="s">
        <v>130</v>
      </c>
      <c r="BR1315" s="0" t="s">
        <v>130</v>
      </c>
      <c r="BS1315" s="0" t="s">
        <v>130</v>
      </c>
      <c r="BT1315" s="0" t="s">
        <v>130</v>
      </c>
      <c r="BU1315" s="0" t="s">
        <v>130</v>
      </c>
      <c r="BV1315" s="0" t="s">
        <v>130</v>
      </c>
      <c r="BW1315" s="0" t="s">
        <v>130</v>
      </c>
      <c r="BX1315" s="0" t="s">
        <v>130</v>
      </c>
      <c r="BY1315" s="0" t="s">
        <v>130</v>
      </c>
      <c r="BZ1315" s="0" t="s">
        <v>130</v>
      </c>
      <c r="CA1315" s="0" t="s">
        <v>130</v>
      </c>
      <c r="CB1315" s="0" t="s">
        <v>130</v>
      </c>
      <c r="CC1315" s="0" t="s">
        <v>130</v>
      </c>
      <c r="CD1315" s="0" t="s">
        <v>130</v>
      </c>
      <c r="CE1315" s="0" t="s">
        <v>130</v>
      </c>
      <c r="CF1315" s="0" t="s">
        <v>130</v>
      </c>
      <c r="CG1315" s="0" t="s">
        <v>130</v>
      </c>
      <c r="CH1315" s="0" t="s">
        <v>130</v>
      </c>
      <c r="CI1315" s="0" t="s">
        <v>130</v>
      </c>
      <c r="CJ1315" s="0" t="s">
        <v>130</v>
      </c>
      <c r="CK1315" s="0" t="s">
        <v>130</v>
      </c>
      <c r="CL1315" s="0" t="s">
        <v>130</v>
      </c>
      <c r="CM1315" s="0" t="s">
        <v>130</v>
      </c>
      <c r="CN1315" s="0" t="s">
        <v>130</v>
      </c>
      <c r="CO1315" s="0" t="s">
        <v>130</v>
      </c>
      <c r="CP1315" s="0" t="s">
        <v>130</v>
      </c>
      <c r="CQ1315" s="0" t="s">
        <v>130</v>
      </c>
      <c r="CR1315" s="0" t="s">
        <v>130</v>
      </c>
      <c r="CS1315" s="0" t="s">
        <v>130</v>
      </c>
      <c r="CT1315" s="0" t="s">
        <v>3865</v>
      </c>
    </row>
    <row r="1316">
      <c r="A1316" s="14">
        <v>7909359</v>
      </c>
      <c r="B1316" s="0" t="s">
        <v>3859</v>
      </c>
      <c r="C1316" s="16">
        <f>HYPERLINK("https://eosportal.federatedhermes.com/companies/Q29tcGFueQppNzgyNzQ=", "Sumitomo Mitsui Financial Group Inc")</f>
      </c>
      <c r="D1316" s="0" t="s">
        <v>23</v>
      </c>
      <c r="E1316" s="0" t="s">
        <v>3866</v>
      </c>
      <c r="F1316" s="16">
        <f>HYPERLINK("https://eosportal.federatedhermes.com/engagements/RW5nYWdlbWVudAppMjY5Mjc=", "Further cross-shareholding reduction")</f>
      </c>
      <c r="G1316" s="14" t="s">
        <v>3867</v>
      </c>
      <c r="H1316" s="0" t="s">
        <v>141</v>
      </c>
      <c r="I1316" s="14" t="s">
        <v>191</v>
      </c>
      <c r="J1316" s="0" t="s">
        <v>145</v>
      </c>
      <c r="K1316" s="0" t="s">
        <v>400</v>
      </c>
      <c r="L1316" s="0" t="s">
        <v>507</v>
      </c>
      <c r="M1316" s="0" t="s">
        <v>802</v>
      </c>
      <c r="N1316" s="0" t="s">
        <v>952</v>
      </c>
      <c r="O1316" s="0" t="s">
        <v>238</v>
      </c>
      <c r="Q1316" s="0" t="s">
        <v>141</v>
      </c>
      <c r="R1316" s="0" t="s">
        <v>130</v>
      </c>
      <c r="S1316" s="14">
        <v>1</v>
      </c>
      <c r="T1316" s="0" t="s">
        <v>193</v>
      </c>
      <c r="U1316" s="0" t="s">
        <v>221</v>
      </c>
      <c r="V1316" s="14" t="s">
        <v>193</v>
      </c>
      <c r="W1316" s="0" t="s">
        <v>221</v>
      </c>
      <c r="X1316" s="14" t="s">
        <v>193</v>
      </c>
      <c r="Y1316" s="0" t="s">
        <v>221</v>
      </c>
      <c r="Z1316" s="14" t="s">
        <v>446</v>
      </c>
      <c r="AA1316" s="0" t="s">
        <v>223</v>
      </c>
      <c r="AB1316" s="14" t="s">
        <v>138</v>
      </c>
      <c r="AD1316" s="0" t="s">
        <v>20</v>
      </c>
      <c r="AF1316" s="0">
        <v>0</v>
      </c>
      <c r="AG1316" s="0">
        <v>0</v>
      </c>
      <c r="AH1316" s="0" t="s">
        <v>140</v>
      </c>
      <c r="AI1316" s="0" t="s">
        <v>598</v>
      </c>
      <c r="AK1316" s="0" t="s">
        <v>339</v>
      </c>
      <c r="AL1316" s="14"/>
      <c r="AN1316" s="14"/>
      <c r="AQ1316" s="0" t="s">
        <v>130</v>
      </c>
      <c r="AR1316" s="0" t="s">
        <v>130</v>
      </c>
      <c r="AS1316" s="0" t="s">
        <v>130</v>
      </c>
      <c r="AT1316" s="0" t="s">
        <v>130</v>
      </c>
      <c r="AU1316" s="0" t="s">
        <v>130</v>
      </c>
      <c r="AV1316" s="0" t="s">
        <v>130</v>
      </c>
      <c r="AW1316" s="0" t="s">
        <v>130</v>
      </c>
      <c r="AX1316" s="0" t="s">
        <v>130</v>
      </c>
      <c r="AY1316" s="0" t="s">
        <v>130</v>
      </c>
      <c r="AZ1316" s="0" t="s">
        <v>130</v>
      </c>
      <c r="BA1316" s="0" t="s">
        <v>130</v>
      </c>
      <c r="BB1316" s="0" t="s">
        <v>130</v>
      </c>
      <c r="BC1316" s="0" t="s">
        <v>130</v>
      </c>
      <c r="BD1316" s="0" t="s">
        <v>130</v>
      </c>
      <c r="BE1316" s="0" t="s">
        <v>130</v>
      </c>
      <c r="BF1316" s="0" t="s">
        <v>130</v>
      </c>
      <c r="BG1316" s="0" t="s">
        <v>130</v>
      </c>
      <c r="BH1316" s="0" t="s">
        <v>130</v>
      </c>
      <c r="BI1316" s="0" t="s">
        <v>130</v>
      </c>
      <c r="BJ1316" s="0" t="s">
        <v>130</v>
      </c>
      <c r="BK1316" s="0" t="s">
        <v>130</v>
      </c>
      <c r="BL1316" s="0" t="s">
        <v>130</v>
      </c>
      <c r="BM1316" s="0" t="s">
        <v>130</v>
      </c>
      <c r="BN1316" s="0" t="s">
        <v>130</v>
      </c>
      <c r="BO1316" s="0" t="s">
        <v>130</v>
      </c>
      <c r="BP1316" s="0" t="s">
        <v>130</v>
      </c>
      <c r="BQ1316" s="0" t="s">
        <v>130</v>
      </c>
      <c r="BR1316" s="0" t="s">
        <v>130</v>
      </c>
      <c r="BS1316" s="0" t="s">
        <v>130</v>
      </c>
      <c r="BT1316" s="0" t="s">
        <v>130</v>
      </c>
      <c r="BU1316" s="0" t="s">
        <v>130</v>
      </c>
      <c r="BV1316" s="0" t="s">
        <v>130</v>
      </c>
      <c r="BW1316" s="0" t="s">
        <v>130</v>
      </c>
      <c r="BX1316" s="0" t="s">
        <v>130</v>
      </c>
      <c r="BY1316" s="0" t="s">
        <v>130</v>
      </c>
      <c r="BZ1316" s="0" t="s">
        <v>130</v>
      </c>
      <c r="CA1316" s="0" t="s">
        <v>130</v>
      </c>
      <c r="CB1316" s="0" t="s">
        <v>130</v>
      </c>
      <c r="CC1316" s="0" t="s">
        <v>130</v>
      </c>
      <c r="CD1316" s="0" t="s">
        <v>130</v>
      </c>
      <c r="CE1316" s="0" t="s">
        <v>130</v>
      </c>
      <c r="CF1316" s="0" t="s">
        <v>130</v>
      </c>
      <c r="CG1316" s="0" t="s">
        <v>130</v>
      </c>
      <c r="CH1316" s="0" t="s">
        <v>130</v>
      </c>
      <c r="CI1316" s="0" t="s">
        <v>130</v>
      </c>
      <c r="CJ1316" s="0" t="s">
        <v>130</v>
      </c>
      <c r="CK1316" s="0" t="s">
        <v>130</v>
      </c>
      <c r="CL1316" s="0" t="s">
        <v>130</v>
      </c>
      <c r="CM1316" s="0" t="s">
        <v>130</v>
      </c>
      <c r="CN1316" s="0" t="s">
        <v>130</v>
      </c>
      <c r="CO1316" s="0" t="s">
        <v>130</v>
      </c>
      <c r="CP1316" s="0" t="s">
        <v>130</v>
      </c>
      <c r="CQ1316" s="0" t="s">
        <v>130</v>
      </c>
      <c r="CR1316" s="0" t="s">
        <v>130</v>
      </c>
      <c r="CS1316" s="0" t="s">
        <v>130</v>
      </c>
      <c r="CT1316" s="0" t="s">
        <v>3868</v>
      </c>
    </row>
    <row r="1317">
      <c r="A1317" s="14">
        <v>7909359</v>
      </c>
      <c r="B1317" s="0" t="s">
        <v>3859</v>
      </c>
      <c r="C1317" s="16">
        <f>HYPERLINK("https://eosportal.federatedhermes.com/companies/Q29tcGFueQppNzgyNzQ=", "Sumitomo Mitsui Financial Group Inc")</f>
      </c>
      <c r="D1317" s="0" t="s">
        <v>23</v>
      </c>
      <c r="E1317" s="0" t="s">
        <v>3869</v>
      </c>
      <c r="F1317" s="16">
        <f>HYPERLINK("https://eosportal.federatedhermes.com/engagements/RW5nYWdlbWVudAppMjY5Mjk=", "Improvement on environmental disclosure")</f>
      </c>
      <c r="G1317" s="14" t="s">
        <v>3870</v>
      </c>
      <c r="H1317" s="0" t="s">
        <v>141</v>
      </c>
      <c r="I1317" s="14" t="s">
        <v>191</v>
      </c>
      <c r="J1317" s="0" t="s">
        <v>197</v>
      </c>
      <c r="K1317" s="0" t="s">
        <v>198</v>
      </c>
      <c r="L1317" s="0" t="s">
        <v>199</v>
      </c>
      <c r="M1317" s="0" t="s">
        <v>802</v>
      </c>
      <c r="N1317" s="0" t="s">
        <v>952</v>
      </c>
      <c r="O1317" s="0" t="s">
        <v>238</v>
      </c>
      <c r="Q1317" s="0" t="s">
        <v>141</v>
      </c>
      <c r="R1317" s="0" t="s">
        <v>130</v>
      </c>
      <c r="S1317" s="14">
        <v>1</v>
      </c>
      <c r="T1317" s="0" t="s">
        <v>156</v>
      </c>
      <c r="U1317" s="0" t="s">
        <v>221</v>
      </c>
      <c r="V1317" s="14" t="s">
        <v>156</v>
      </c>
      <c r="W1317" s="0" t="s">
        <v>221</v>
      </c>
      <c r="X1317" s="14" t="s">
        <v>156</v>
      </c>
      <c r="Y1317" s="0" t="s">
        <v>221</v>
      </c>
      <c r="Z1317" s="14" t="s">
        <v>2270</v>
      </c>
      <c r="AA1317" s="0" t="s">
        <v>223</v>
      </c>
      <c r="AB1317" s="14" t="s">
        <v>138</v>
      </c>
      <c r="AD1317" s="0" t="s">
        <v>20</v>
      </c>
      <c r="AF1317" s="0">
        <v>0</v>
      </c>
      <c r="AG1317" s="0">
        <v>0</v>
      </c>
      <c r="AH1317" s="0" t="s">
        <v>140</v>
      </c>
      <c r="AI1317" s="0" t="s">
        <v>598</v>
      </c>
      <c r="AK1317" s="0" t="s">
        <v>339</v>
      </c>
      <c r="AL1317" s="14"/>
      <c r="AN1317" s="14"/>
      <c r="AQ1317" s="0" t="s">
        <v>130</v>
      </c>
      <c r="AR1317" s="0" t="s">
        <v>130</v>
      </c>
      <c r="AS1317" s="0" t="s">
        <v>130</v>
      </c>
      <c r="AT1317" s="0" t="s">
        <v>130</v>
      </c>
      <c r="AU1317" s="0" t="s">
        <v>130</v>
      </c>
      <c r="AV1317" s="0" t="s">
        <v>130</v>
      </c>
      <c r="AW1317" s="0" t="s">
        <v>130</v>
      </c>
      <c r="AX1317" s="0" t="s">
        <v>130</v>
      </c>
      <c r="AY1317" s="0" t="s">
        <v>130</v>
      </c>
      <c r="AZ1317" s="0" t="s">
        <v>130</v>
      </c>
      <c r="BA1317" s="0" t="s">
        <v>130</v>
      </c>
      <c r="BB1317" s="0" t="s">
        <v>141</v>
      </c>
      <c r="BC1317" s="0" t="s">
        <v>141</v>
      </c>
      <c r="BD1317" s="0" t="s">
        <v>130</v>
      </c>
      <c r="BE1317" s="0" t="s">
        <v>130</v>
      </c>
      <c r="BF1317" s="0" t="s">
        <v>130</v>
      </c>
      <c r="BG1317" s="0" t="s">
        <v>130</v>
      </c>
      <c r="BH1317" s="0" t="s">
        <v>130</v>
      </c>
      <c r="BI1317" s="0" t="s">
        <v>130</v>
      </c>
      <c r="BJ1317" s="0" t="s">
        <v>130</v>
      </c>
      <c r="BK1317" s="0" t="s">
        <v>130</v>
      </c>
      <c r="BL1317" s="0" t="s">
        <v>130</v>
      </c>
      <c r="BM1317" s="0" t="s">
        <v>130</v>
      </c>
      <c r="BN1317" s="0" t="s">
        <v>130</v>
      </c>
      <c r="BO1317" s="0" t="s">
        <v>130</v>
      </c>
      <c r="BP1317" s="0" t="s">
        <v>130</v>
      </c>
      <c r="BQ1317" s="0" t="s">
        <v>130</v>
      </c>
      <c r="BR1317" s="0" t="s">
        <v>130</v>
      </c>
      <c r="BS1317" s="0" t="s">
        <v>130</v>
      </c>
      <c r="BT1317" s="0" t="s">
        <v>130</v>
      </c>
      <c r="BU1317" s="0" t="s">
        <v>130</v>
      </c>
      <c r="BV1317" s="0" t="s">
        <v>130</v>
      </c>
      <c r="BW1317" s="0" t="s">
        <v>130</v>
      </c>
      <c r="BX1317" s="0" t="s">
        <v>130</v>
      </c>
      <c r="BY1317" s="0" t="s">
        <v>130</v>
      </c>
      <c r="BZ1317" s="0" t="s">
        <v>130</v>
      </c>
      <c r="CA1317" s="0" t="s">
        <v>130</v>
      </c>
      <c r="CB1317" s="0" t="s">
        <v>130</v>
      </c>
      <c r="CC1317" s="0" t="s">
        <v>130</v>
      </c>
      <c r="CD1317" s="0" t="s">
        <v>130</v>
      </c>
      <c r="CE1317" s="0" t="s">
        <v>130</v>
      </c>
      <c r="CF1317" s="0" t="s">
        <v>130</v>
      </c>
      <c r="CG1317" s="0" t="s">
        <v>130</v>
      </c>
      <c r="CH1317" s="0" t="s">
        <v>130</v>
      </c>
      <c r="CI1317" s="0" t="s">
        <v>130</v>
      </c>
      <c r="CJ1317" s="0" t="s">
        <v>130</v>
      </c>
      <c r="CK1317" s="0" t="s">
        <v>130</v>
      </c>
      <c r="CL1317" s="0" t="s">
        <v>130</v>
      </c>
      <c r="CM1317" s="0" t="s">
        <v>130</v>
      </c>
      <c r="CN1317" s="0" t="s">
        <v>130</v>
      </c>
      <c r="CO1317" s="0" t="s">
        <v>130</v>
      </c>
      <c r="CP1317" s="0" t="s">
        <v>130</v>
      </c>
      <c r="CQ1317" s="0" t="s">
        <v>130</v>
      </c>
      <c r="CR1317" s="0" t="s">
        <v>130</v>
      </c>
      <c r="CS1317" s="0" t="s">
        <v>130</v>
      </c>
      <c r="CT1317" s="0" t="s">
        <v>3871</v>
      </c>
    </row>
    <row r="1318">
      <c r="A1318" s="14">
        <v>7909359</v>
      </c>
      <c r="B1318" s="0" t="s">
        <v>3859</v>
      </c>
      <c r="C1318" s="16">
        <f>HYPERLINK("https://eosportal.federatedhermes.com/companies/Q29tcGFueQppNzgyNzQ=", "Sumitomo Mitsui Financial Group Inc")</f>
      </c>
      <c r="D1318" s="0" t="s">
        <v>25</v>
      </c>
      <c r="E1318" s="0" t="s">
        <v>943</v>
      </c>
      <c r="F1318" s="16">
        <f>HYPERLINK("https://eosportal.federatedhermes.com/engagements/RW5nYWdlbWVudAppMjY5MzY=", "Diversity")</f>
      </c>
      <c r="G1318" s="14" t="s">
        <v>3872</v>
      </c>
      <c r="H1318" s="0" t="s">
        <v>141</v>
      </c>
      <c r="I1318" s="14" t="s">
        <v>191</v>
      </c>
      <c r="J1318" s="0" t="s">
        <v>153</v>
      </c>
      <c r="K1318" s="0" t="s">
        <v>154</v>
      </c>
      <c r="L1318" s="0" t="s">
        <v>268</v>
      </c>
      <c r="M1318" s="0" t="s">
        <v>802</v>
      </c>
      <c r="N1318" s="0" t="s">
        <v>952</v>
      </c>
      <c r="O1318" s="0" t="s">
        <v>238</v>
      </c>
      <c r="Q1318" s="0" t="s">
        <v>130</v>
      </c>
      <c r="R1318" s="0" t="s">
        <v>138</v>
      </c>
      <c r="S1318" s="14">
        <v>0</v>
      </c>
      <c r="T1318" s="0" t="s">
        <v>200</v>
      </c>
      <c r="U1318" s="0" t="s">
        <v>138</v>
      </c>
      <c r="V1318" s="14" t="s">
        <v>138</v>
      </c>
      <c r="W1318" s="0" t="s">
        <v>138</v>
      </c>
      <c r="X1318" s="14" t="s">
        <v>138</v>
      </c>
      <c r="Y1318" s="0" t="s">
        <v>138</v>
      </c>
      <c r="Z1318" s="14" t="s">
        <v>138</v>
      </c>
      <c r="AA1318" s="0" t="s">
        <v>138</v>
      </c>
      <c r="AB1318" s="14" t="s">
        <v>138</v>
      </c>
      <c r="AD1318" s="0" t="s">
        <v>138</v>
      </c>
      <c r="AF1318" s="0">
        <v>0</v>
      </c>
      <c r="AG1318" s="0">
        <v>0</v>
      </c>
      <c r="AH1318" s="0" t="s">
        <v>140</v>
      </c>
      <c r="AI1318" s="0" t="s">
        <v>138</v>
      </c>
      <c r="AL1318" s="14"/>
      <c r="AN1318" s="14"/>
      <c r="AQ1318" s="0" t="s">
        <v>130</v>
      </c>
      <c r="AR1318" s="0" t="s">
        <v>130</v>
      </c>
      <c r="AS1318" s="0" t="s">
        <v>130</v>
      </c>
      <c r="AT1318" s="0" t="s">
        <v>130</v>
      </c>
      <c r="AU1318" s="0" t="s">
        <v>130</v>
      </c>
      <c r="AV1318" s="0" t="s">
        <v>130</v>
      </c>
      <c r="AW1318" s="0" t="s">
        <v>130</v>
      </c>
      <c r="AX1318" s="0" t="s">
        <v>130</v>
      </c>
      <c r="AY1318" s="0" t="s">
        <v>130</v>
      </c>
      <c r="AZ1318" s="0" t="s">
        <v>130</v>
      </c>
      <c r="BA1318" s="0" t="s">
        <v>130</v>
      </c>
      <c r="BB1318" s="0" t="s">
        <v>130</v>
      </c>
      <c r="BC1318" s="0" t="s">
        <v>130</v>
      </c>
      <c r="BD1318" s="0" t="s">
        <v>130</v>
      </c>
      <c r="BE1318" s="0" t="s">
        <v>130</v>
      </c>
      <c r="BF1318" s="0" t="s">
        <v>130</v>
      </c>
      <c r="BG1318" s="0" t="s">
        <v>130</v>
      </c>
      <c r="BH1318" s="0" t="s">
        <v>130</v>
      </c>
      <c r="BI1318" s="0" t="s">
        <v>130</v>
      </c>
      <c r="BJ1318" s="0" t="s">
        <v>130</v>
      </c>
      <c r="BK1318" s="0" t="s">
        <v>130</v>
      </c>
      <c r="BL1318" s="0" t="s">
        <v>130</v>
      </c>
      <c r="BM1318" s="0" t="s">
        <v>130</v>
      </c>
      <c r="BN1318" s="0" t="s">
        <v>130</v>
      </c>
      <c r="BO1318" s="0" t="s">
        <v>130</v>
      </c>
      <c r="BP1318" s="0" t="s">
        <v>130</v>
      </c>
      <c r="BQ1318" s="0" t="s">
        <v>130</v>
      </c>
      <c r="BR1318" s="0" t="s">
        <v>130</v>
      </c>
      <c r="BS1318" s="0" t="s">
        <v>130</v>
      </c>
      <c r="BT1318" s="0" t="s">
        <v>130</v>
      </c>
      <c r="BU1318" s="0" t="s">
        <v>130</v>
      </c>
      <c r="BV1318" s="0" t="s">
        <v>130</v>
      </c>
      <c r="BW1318" s="0" t="s">
        <v>130</v>
      </c>
      <c r="BX1318" s="0" t="s">
        <v>130</v>
      </c>
      <c r="BY1318" s="0" t="s">
        <v>130</v>
      </c>
      <c r="BZ1318" s="0" t="s">
        <v>130</v>
      </c>
      <c r="CA1318" s="0" t="s">
        <v>130</v>
      </c>
      <c r="CB1318" s="0" t="s">
        <v>130</v>
      </c>
      <c r="CC1318" s="0" t="s">
        <v>130</v>
      </c>
      <c r="CD1318" s="0" t="s">
        <v>130</v>
      </c>
      <c r="CE1318" s="0" t="s">
        <v>130</v>
      </c>
      <c r="CF1318" s="0" t="s">
        <v>130</v>
      </c>
      <c r="CG1318" s="0" t="s">
        <v>130</v>
      </c>
      <c r="CH1318" s="0" t="s">
        <v>130</v>
      </c>
      <c r="CI1318" s="0" t="s">
        <v>130</v>
      </c>
      <c r="CJ1318" s="0" t="s">
        <v>130</v>
      </c>
      <c r="CK1318" s="0" t="s">
        <v>141</v>
      </c>
      <c r="CL1318" s="0" t="s">
        <v>130</v>
      </c>
      <c r="CM1318" s="0" t="s">
        <v>130</v>
      </c>
      <c r="CN1318" s="0" t="s">
        <v>130</v>
      </c>
      <c r="CO1318" s="0" t="s">
        <v>130</v>
      </c>
      <c r="CP1318" s="0" t="s">
        <v>130</v>
      </c>
      <c r="CQ1318" s="0" t="s">
        <v>130</v>
      </c>
      <c r="CR1318" s="0" t="s">
        <v>130</v>
      </c>
      <c r="CS1318" s="0" t="s">
        <v>130</v>
      </c>
      <c r="CT1318" s="0" t="s">
        <v>3873</v>
      </c>
    </row>
    <row r="1319">
      <c r="A1319" s="14">
        <v>7909359</v>
      </c>
      <c r="B1319" s="0" t="s">
        <v>3859</v>
      </c>
      <c r="C1319" s="16">
        <f>HYPERLINK("https://eosportal.federatedhermes.com/companies/Q29tcGFueQppNzgyNzQ=", "Sumitomo Mitsui Financial Group Inc")</f>
      </c>
      <c r="D1319" s="0" t="s">
        <v>23</v>
      </c>
      <c r="E1319" s="0" t="s">
        <v>3874</v>
      </c>
      <c r="F1319" s="16">
        <f>HYPERLINK("https://eosportal.federatedhermes.com/engagements/RW5nYWdlbWVudAppMjY5Mzg=", "Disclose evidence of stewardship activities")</f>
      </c>
      <c r="G1319" s="14" t="s">
        <v>3875</v>
      </c>
      <c r="H1319" s="0" t="s">
        <v>141</v>
      </c>
      <c r="I1319" s="14" t="s">
        <v>191</v>
      </c>
      <c r="J1319" s="0" t="s">
        <v>145</v>
      </c>
      <c r="K1319" s="0" t="s">
        <v>400</v>
      </c>
      <c r="L1319" s="0" t="s">
        <v>401</v>
      </c>
      <c r="M1319" s="0" t="s">
        <v>802</v>
      </c>
      <c r="N1319" s="0" t="s">
        <v>952</v>
      </c>
      <c r="O1319" s="0" t="s">
        <v>238</v>
      </c>
      <c r="Q1319" s="0" t="s">
        <v>130</v>
      </c>
      <c r="R1319" s="0" t="s">
        <v>130</v>
      </c>
      <c r="S1319" s="14">
        <v>0</v>
      </c>
      <c r="T1319" s="0" t="s">
        <v>394</v>
      </c>
      <c r="U1319" s="0" t="s">
        <v>221</v>
      </c>
      <c r="V1319" s="14" t="s">
        <v>394</v>
      </c>
      <c r="W1319" s="0" t="s">
        <v>221</v>
      </c>
      <c r="X1319" s="14" t="s">
        <v>394</v>
      </c>
      <c r="Y1319" s="0" t="s">
        <v>221</v>
      </c>
      <c r="Z1319" s="14" t="s">
        <v>355</v>
      </c>
      <c r="AA1319" s="0" t="s">
        <v>223</v>
      </c>
      <c r="AB1319" s="14" t="s">
        <v>138</v>
      </c>
      <c r="AD1319" s="0" t="s">
        <v>20</v>
      </c>
      <c r="AF1319" s="0">
        <v>0</v>
      </c>
      <c r="AG1319" s="0">
        <v>0</v>
      </c>
      <c r="AH1319" s="0" t="s">
        <v>140</v>
      </c>
      <c r="AI1319" s="0" t="s">
        <v>232</v>
      </c>
      <c r="AL1319" s="14"/>
      <c r="AN1319" s="14"/>
      <c r="AQ1319" s="0" t="s">
        <v>130</v>
      </c>
      <c r="AR1319" s="0" t="s">
        <v>130</v>
      </c>
      <c r="AS1319" s="0" t="s">
        <v>130</v>
      </c>
      <c r="AT1319" s="0" t="s">
        <v>130</v>
      </c>
      <c r="AU1319" s="0" t="s">
        <v>130</v>
      </c>
      <c r="AV1319" s="0" t="s">
        <v>130</v>
      </c>
      <c r="AW1319" s="0" t="s">
        <v>130</v>
      </c>
      <c r="AX1319" s="0" t="s">
        <v>130</v>
      </c>
      <c r="AY1319" s="0" t="s">
        <v>130</v>
      </c>
      <c r="AZ1319" s="0" t="s">
        <v>130</v>
      </c>
      <c r="BA1319" s="0" t="s">
        <v>130</v>
      </c>
      <c r="BB1319" s="0" t="s">
        <v>130</v>
      </c>
      <c r="BC1319" s="0" t="s">
        <v>130</v>
      </c>
      <c r="BD1319" s="0" t="s">
        <v>130</v>
      </c>
      <c r="BE1319" s="0" t="s">
        <v>130</v>
      </c>
      <c r="BF1319" s="0" t="s">
        <v>130</v>
      </c>
      <c r="BG1319" s="0" t="s">
        <v>130</v>
      </c>
      <c r="BH1319" s="0" t="s">
        <v>130</v>
      </c>
      <c r="BI1319" s="0" t="s">
        <v>130</v>
      </c>
      <c r="BJ1319" s="0" t="s">
        <v>130</v>
      </c>
      <c r="BK1319" s="0" t="s">
        <v>130</v>
      </c>
      <c r="BL1319" s="0" t="s">
        <v>130</v>
      </c>
      <c r="BM1319" s="0" t="s">
        <v>130</v>
      </c>
      <c r="BN1319" s="0" t="s">
        <v>130</v>
      </c>
      <c r="BO1319" s="0" t="s">
        <v>130</v>
      </c>
      <c r="BP1319" s="0" t="s">
        <v>130</v>
      </c>
      <c r="BQ1319" s="0" t="s">
        <v>130</v>
      </c>
      <c r="BR1319" s="0" t="s">
        <v>130</v>
      </c>
      <c r="BS1319" s="0" t="s">
        <v>130</v>
      </c>
      <c r="BT1319" s="0" t="s">
        <v>130</v>
      </c>
      <c r="BU1319" s="0" t="s">
        <v>130</v>
      </c>
      <c r="BV1319" s="0" t="s">
        <v>130</v>
      </c>
      <c r="BW1319" s="0" t="s">
        <v>130</v>
      </c>
      <c r="BX1319" s="0" t="s">
        <v>130</v>
      </c>
      <c r="BY1319" s="0" t="s">
        <v>130</v>
      </c>
      <c r="BZ1319" s="0" t="s">
        <v>130</v>
      </c>
      <c r="CA1319" s="0" t="s">
        <v>130</v>
      </c>
      <c r="CB1319" s="0" t="s">
        <v>130</v>
      </c>
      <c r="CC1319" s="0" t="s">
        <v>130</v>
      </c>
      <c r="CD1319" s="0" t="s">
        <v>130</v>
      </c>
      <c r="CE1319" s="0" t="s">
        <v>130</v>
      </c>
      <c r="CF1319" s="0" t="s">
        <v>130</v>
      </c>
      <c r="CG1319" s="0" t="s">
        <v>130</v>
      </c>
      <c r="CH1319" s="0" t="s">
        <v>130</v>
      </c>
      <c r="CI1319" s="0" t="s">
        <v>130</v>
      </c>
      <c r="CJ1319" s="0" t="s">
        <v>130</v>
      </c>
      <c r="CK1319" s="0" t="s">
        <v>130</v>
      </c>
      <c r="CL1319" s="0" t="s">
        <v>130</v>
      </c>
      <c r="CM1319" s="0" t="s">
        <v>130</v>
      </c>
      <c r="CN1319" s="0" t="s">
        <v>130</v>
      </c>
      <c r="CO1319" s="0" t="s">
        <v>130</v>
      </c>
      <c r="CP1319" s="0" t="s">
        <v>130</v>
      </c>
      <c r="CQ1319" s="0" t="s">
        <v>130</v>
      </c>
      <c r="CR1319" s="0" t="s">
        <v>130</v>
      </c>
      <c r="CS1319" s="0" t="s">
        <v>130</v>
      </c>
      <c r="CT1319" s="0" t="s">
        <v>3876</v>
      </c>
    </row>
    <row r="1320">
      <c r="A1320" s="14">
        <v>7909359</v>
      </c>
      <c r="B1320" s="0" t="s">
        <v>3859</v>
      </c>
      <c r="C1320" s="16">
        <f>HYPERLINK("https://eosportal.federatedhermes.com/companies/Q29tcGFueQppNzgyNzQ=", "Sumitomo Mitsui Financial Group Inc")</f>
      </c>
      <c r="D1320" s="0" t="s">
        <v>23</v>
      </c>
      <c r="E1320" s="0" t="s">
        <v>3877</v>
      </c>
      <c r="F1320" s="16">
        <f>HYPERLINK("https://eosportal.federatedhermes.com/engagements/RW5nYWdlbWVudAppMjY5Mzk=", "AI and data governance")</f>
      </c>
      <c r="G1320" s="14" t="s">
        <v>3878</v>
      </c>
      <c r="H1320" s="0" t="s">
        <v>141</v>
      </c>
      <c r="I1320" s="14" t="s">
        <v>191</v>
      </c>
      <c r="J1320" s="0" t="s">
        <v>153</v>
      </c>
      <c r="K1320" s="0" t="s">
        <v>243</v>
      </c>
      <c r="L1320" s="0" t="s">
        <v>537</v>
      </c>
      <c r="M1320" s="0" t="s">
        <v>802</v>
      </c>
      <c r="N1320" s="0" t="s">
        <v>952</v>
      </c>
      <c r="O1320" s="0" t="s">
        <v>238</v>
      </c>
      <c r="Q1320" s="0" t="s">
        <v>141</v>
      </c>
      <c r="R1320" s="0" t="s">
        <v>130</v>
      </c>
      <c r="S1320" s="14">
        <v>1</v>
      </c>
      <c r="T1320" s="0" t="s">
        <v>193</v>
      </c>
      <c r="U1320" s="0" t="s">
        <v>221</v>
      </c>
      <c r="V1320" s="14" t="s">
        <v>193</v>
      </c>
      <c r="W1320" s="0" t="s">
        <v>221</v>
      </c>
      <c r="X1320" s="14" t="s">
        <v>193</v>
      </c>
      <c r="Y1320" s="0" t="s">
        <v>223</v>
      </c>
      <c r="Z1320" s="14" t="s">
        <v>138</v>
      </c>
      <c r="AA1320" s="0" t="s">
        <v>224</v>
      </c>
      <c r="AB1320" s="14" t="s">
        <v>138</v>
      </c>
      <c r="AD1320" s="0" t="s">
        <v>17</v>
      </c>
      <c r="AF1320" s="0">
        <v>0</v>
      </c>
      <c r="AG1320" s="0">
        <v>0</v>
      </c>
      <c r="AH1320" s="0" t="s">
        <v>140</v>
      </c>
      <c r="AI1320" s="0" t="s">
        <v>598</v>
      </c>
      <c r="AK1320" s="0" t="s">
        <v>339</v>
      </c>
      <c r="AL1320" s="14"/>
      <c r="AN1320" s="14"/>
      <c r="AQ1320" s="0" t="s">
        <v>130</v>
      </c>
      <c r="AR1320" s="0" t="s">
        <v>130</v>
      </c>
      <c r="AS1320" s="0" t="s">
        <v>130</v>
      </c>
      <c r="AT1320" s="0" t="s">
        <v>130</v>
      </c>
      <c r="AU1320" s="0" t="s">
        <v>130</v>
      </c>
      <c r="AV1320" s="0" t="s">
        <v>130</v>
      </c>
      <c r="AW1320" s="0" t="s">
        <v>130</v>
      </c>
      <c r="AX1320" s="0" t="s">
        <v>130</v>
      </c>
      <c r="AY1320" s="0" t="s">
        <v>130</v>
      </c>
      <c r="AZ1320" s="0" t="s">
        <v>130</v>
      </c>
      <c r="BA1320" s="0" t="s">
        <v>130</v>
      </c>
      <c r="BB1320" s="0" t="s">
        <v>130</v>
      </c>
      <c r="BC1320" s="0" t="s">
        <v>130</v>
      </c>
      <c r="BD1320" s="0" t="s">
        <v>130</v>
      </c>
      <c r="BE1320" s="0" t="s">
        <v>130</v>
      </c>
      <c r="BF1320" s="0" t="s">
        <v>141</v>
      </c>
      <c r="BG1320" s="0" t="s">
        <v>130</v>
      </c>
      <c r="BH1320" s="0" t="s">
        <v>130</v>
      </c>
      <c r="BI1320" s="0" t="s">
        <v>130</v>
      </c>
      <c r="BJ1320" s="0" t="s">
        <v>130</v>
      </c>
      <c r="BK1320" s="0" t="s">
        <v>130</v>
      </c>
      <c r="BL1320" s="0" t="s">
        <v>130</v>
      </c>
      <c r="BM1320" s="0" t="s">
        <v>130</v>
      </c>
      <c r="BN1320" s="0" t="s">
        <v>130</v>
      </c>
      <c r="BO1320" s="0" t="s">
        <v>130</v>
      </c>
      <c r="BP1320" s="0" t="s">
        <v>130</v>
      </c>
      <c r="BQ1320" s="0" t="s">
        <v>130</v>
      </c>
      <c r="BR1320" s="0" t="s">
        <v>130</v>
      </c>
      <c r="BS1320" s="0" t="s">
        <v>130</v>
      </c>
      <c r="BT1320" s="0" t="s">
        <v>130</v>
      </c>
      <c r="BU1320" s="0" t="s">
        <v>130</v>
      </c>
      <c r="BV1320" s="0" t="s">
        <v>130</v>
      </c>
      <c r="BW1320" s="0" t="s">
        <v>130</v>
      </c>
      <c r="BX1320" s="0" t="s">
        <v>130</v>
      </c>
      <c r="BY1320" s="0" t="s">
        <v>130</v>
      </c>
      <c r="BZ1320" s="0" t="s">
        <v>130</v>
      </c>
      <c r="CA1320" s="0" t="s">
        <v>130</v>
      </c>
      <c r="CB1320" s="0" t="s">
        <v>130</v>
      </c>
      <c r="CC1320" s="0" t="s">
        <v>130</v>
      </c>
      <c r="CD1320" s="0" t="s">
        <v>130</v>
      </c>
      <c r="CE1320" s="0" t="s">
        <v>130</v>
      </c>
      <c r="CF1320" s="0" t="s">
        <v>130</v>
      </c>
      <c r="CG1320" s="0" t="s">
        <v>130</v>
      </c>
      <c r="CH1320" s="0" t="s">
        <v>130</v>
      </c>
      <c r="CI1320" s="0" t="s">
        <v>130</v>
      </c>
      <c r="CJ1320" s="0" t="s">
        <v>130</v>
      </c>
      <c r="CK1320" s="0" t="s">
        <v>130</v>
      </c>
      <c r="CL1320" s="0" t="s">
        <v>130</v>
      </c>
      <c r="CM1320" s="0" t="s">
        <v>130</v>
      </c>
      <c r="CN1320" s="0" t="s">
        <v>130</v>
      </c>
      <c r="CO1320" s="0" t="s">
        <v>130</v>
      </c>
      <c r="CP1320" s="0" t="s">
        <v>130</v>
      </c>
      <c r="CQ1320" s="0" t="s">
        <v>130</v>
      </c>
      <c r="CR1320" s="0" t="s">
        <v>130</v>
      </c>
      <c r="CS1320" s="0" t="s">
        <v>130</v>
      </c>
      <c r="CT1320" s="0" t="s">
        <v>3879</v>
      </c>
    </row>
    <row r="1321">
      <c r="A1321" s="14">
        <v>7909359</v>
      </c>
      <c r="B1321" s="0" t="s">
        <v>3859</v>
      </c>
      <c r="C1321" s="16">
        <f>HYPERLINK("https://eosportal.federatedhermes.com/companies/Q29tcGFueQppNzgyNzQ=", "Sumitomo Mitsui Financial Group Inc")</f>
      </c>
      <c r="D1321" s="0" t="s">
        <v>25</v>
      </c>
      <c r="E1321" s="0" t="s">
        <v>3880</v>
      </c>
      <c r="F1321" s="16">
        <f>HYPERLINK("https://eosportal.federatedhermes.com/engagements/RW5nYWdlbWVudAppMjY5NDA=", "Sumitomo Mitsui Financial Group (Japan) - Strategey &amp; Remuneration - 11-02-2011")</f>
      </c>
      <c r="G1321" s="14" t="s">
        <v>3881</v>
      </c>
      <c r="H1321" s="0" t="s">
        <v>141</v>
      </c>
      <c r="I1321" s="14" t="s">
        <v>191</v>
      </c>
      <c r="J1321" s="0" t="s">
        <v>145</v>
      </c>
      <c r="K1321" s="0" t="s">
        <v>146</v>
      </c>
      <c r="L1321" s="0" t="s">
        <v>147</v>
      </c>
      <c r="M1321" s="0" t="s">
        <v>802</v>
      </c>
      <c r="N1321" s="0" t="s">
        <v>952</v>
      </c>
      <c r="O1321" s="0" t="s">
        <v>238</v>
      </c>
      <c r="Q1321" s="0" t="s">
        <v>130</v>
      </c>
      <c r="R1321" s="0" t="s">
        <v>138</v>
      </c>
      <c r="S1321" s="14">
        <v>0</v>
      </c>
      <c r="T1321" s="0" t="s">
        <v>874</v>
      </c>
      <c r="U1321" s="0" t="s">
        <v>138</v>
      </c>
      <c r="V1321" s="14" t="s">
        <v>138</v>
      </c>
      <c r="W1321" s="0" t="s">
        <v>138</v>
      </c>
      <c r="X1321" s="14" t="s">
        <v>138</v>
      </c>
      <c r="Y1321" s="0" t="s">
        <v>138</v>
      </c>
      <c r="Z1321" s="14" t="s">
        <v>138</v>
      </c>
      <c r="AA1321" s="0" t="s">
        <v>138</v>
      </c>
      <c r="AB1321" s="14" t="s">
        <v>138</v>
      </c>
      <c r="AD1321" s="0" t="s">
        <v>138</v>
      </c>
      <c r="AF1321" s="0">
        <v>0</v>
      </c>
      <c r="AG1321" s="0">
        <v>0</v>
      </c>
      <c r="AH1321" s="0" t="s">
        <v>140</v>
      </c>
      <c r="AI1321" s="0" t="s">
        <v>138</v>
      </c>
      <c r="AL1321" s="14"/>
      <c r="AN1321" s="14"/>
      <c r="AQ1321" s="0" t="s">
        <v>130</v>
      </c>
      <c r="AR1321" s="0" t="s">
        <v>130</v>
      </c>
      <c r="AS1321" s="0" t="s">
        <v>130</v>
      </c>
      <c r="AT1321" s="0" t="s">
        <v>130</v>
      </c>
      <c r="AU1321" s="0" t="s">
        <v>130</v>
      </c>
      <c r="AV1321" s="0" t="s">
        <v>130</v>
      </c>
      <c r="AW1321" s="0" t="s">
        <v>130</v>
      </c>
      <c r="AX1321" s="0" t="s">
        <v>130</v>
      </c>
      <c r="AY1321" s="0" t="s">
        <v>130</v>
      </c>
      <c r="AZ1321" s="0" t="s">
        <v>130</v>
      </c>
      <c r="BA1321" s="0" t="s">
        <v>130</v>
      </c>
      <c r="BB1321" s="0" t="s">
        <v>130</v>
      </c>
      <c r="BC1321" s="0" t="s">
        <v>130</v>
      </c>
      <c r="BD1321" s="0" t="s">
        <v>130</v>
      </c>
      <c r="BE1321" s="0" t="s">
        <v>130</v>
      </c>
      <c r="BF1321" s="0" t="s">
        <v>130</v>
      </c>
      <c r="BG1321" s="0" t="s">
        <v>130</v>
      </c>
      <c r="BH1321" s="0" t="s">
        <v>130</v>
      </c>
      <c r="BI1321" s="0" t="s">
        <v>130</v>
      </c>
      <c r="BJ1321" s="0" t="s">
        <v>130</v>
      </c>
      <c r="BK1321" s="0" t="s">
        <v>130</v>
      </c>
      <c r="BL1321" s="0" t="s">
        <v>130</v>
      </c>
      <c r="BM1321" s="0" t="s">
        <v>130</v>
      </c>
      <c r="BN1321" s="0" t="s">
        <v>130</v>
      </c>
      <c r="BO1321" s="0" t="s">
        <v>130</v>
      </c>
      <c r="BP1321" s="0" t="s">
        <v>130</v>
      </c>
      <c r="BQ1321" s="0" t="s">
        <v>130</v>
      </c>
      <c r="BR1321" s="0" t="s">
        <v>130</v>
      </c>
      <c r="BS1321" s="0" t="s">
        <v>130</v>
      </c>
      <c r="BT1321" s="0" t="s">
        <v>130</v>
      </c>
      <c r="BU1321" s="0" t="s">
        <v>130</v>
      </c>
      <c r="BV1321" s="0" t="s">
        <v>130</v>
      </c>
      <c r="BW1321" s="0" t="s">
        <v>130</v>
      </c>
      <c r="BX1321" s="0" t="s">
        <v>130</v>
      </c>
      <c r="BY1321" s="0" t="s">
        <v>130</v>
      </c>
      <c r="BZ1321" s="0" t="s">
        <v>130</v>
      </c>
      <c r="CA1321" s="0" t="s">
        <v>130</v>
      </c>
      <c r="CB1321" s="0" t="s">
        <v>130</v>
      </c>
      <c r="CC1321" s="0" t="s">
        <v>130</v>
      </c>
      <c r="CD1321" s="0" t="s">
        <v>130</v>
      </c>
      <c r="CE1321" s="0" t="s">
        <v>130</v>
      </c>
      <c r="CF1321" s="0" t="s">
        <v>130</v>
      </c>
      <c r="CG1321" s="0" t="s">
        <v>130</v>
      </c>
      <c r="CH1321" s="0" t="s">
        <v>130</v>
      </c>
      <c r="CI1321" s="0" t="s">
        <v>130</v>
      </c>
      <c r="CJ1321" s="0" t="s">
        <v>130</v>
      </c>
      <c r="CK1321" s="0" t="s">
        <v>130</v>
      </c>
      <c r="CL1321" s="0" t="s">
        <v>130</v>
      </c>
      <c r="CM1321" s="0" t="s">
        <v>130</v>
      </c>
      <c r="CN1321" s="0" t="s">
        <v>130</v>
      </c>
      <c r="CO1321" s="0" t="s">
        <v>130</v>
      </c>
      <c r="CP1321" s="0" t="s">
        <v>130</v>
      </c>
      <c r="CQ1321" s="0" t="s">
        <v>130</v>
      </c>
      <c r="CR1321" s="0" t="s">
        <v>130</v>
      </c>
      <c r="CS1321" s="0" t="s">
        <v>130</v>
      </c>
      <c r="CT1321" s="0" t="s">
        <v>3882</v>
      </c>
    </row>
    <row r="1322">
      <c r="A1322" s="14">
        <v>7909359</v>
      </c>
      <c r="B1322" s="0" t="s">
        <v>3859</v>
      </c>
      <c r="C1322" s="16">
        <f>HYPERLINK("https://eosportal.federatedhermes.com/companies/Q29tcGFueQppNzgyNzQ=", "Sumitomo Mitsui Financial Group Inc")</f>
      </c>
      <c r="D1322" s="0" t="s">
        <v>25</v>
      </c>
      <c r="E1322" s="0" t="s">
        <v>3883</v>
      </c>
      <c r="F1322" s="16">
        <f>HYPERLINK("https://eosportal.federatedhermes.com/engagements/RW5nYWdlbWVudAppMjY5NDE=", "SIFIs engagement")</f>
      </c>
      <c r="G1322" s="14" t="s">
        <v>3884</v>
      </c>
      <c r="H1322" s="0" t="s">
        <v>141</v>
      </c>
      <c r="I1322" s="14" t="s">
        <v>191</v>
      </c>
      <c r="J1322" s="0" t="s">
        <v>153</v>
      </c>
      <c r="K1322" s="0" t="s">
        <v>243</v>
      </c>
      <c r="L1322" s="0" t="s">
        <v>244</v>
      </c>
      <c r="M1322" s="0" t="s">
        <v>802</v>
      </c>
      <c r="N1322" s="0" t="s">
        <v>952</v>
      </c>
      <c r="O1322" s="0" t="s">
        <v>238</v>
      </c>
      <c r="Q1322" s="0" t="s">
        <v>130</v>
      </c>
      <c r="R1322" s="0" t="s">
        <v>138</v>
      </c>
      <c r="S1322" s="14">
        <v>0</v>
      </c>
      <c r="T1322" s="0" t="s">
        <v>874</v>
      </c>
      <c r="U1322" s="0" t="s">
        <v>138</v>
      </c>
      <c r="V1322" s="14" t="s">
        <v>138</v>
      </c>
      <c r="W1322" s="0" t="s">
        <v>138</v>
      </c>
      <c r="X1322" s="14" t="s">
        <v>138</v>
      </c>
      <c r="Y1322" s="0" t="s">
        <v>138</v>
      </c>
      <c r="Z1322" s="14" t="s">
        <v>138</v>
      </c>
      <c r="AA1322" s="0" t="s">
        <v>138</v>
      </c>
      <c r="AB1322" s="14" t="s">
        <v>138</v>
      </c>
      <c r="AD1322" s="0" t="s">
        <v>138</v>
      </c>
      <c r="AF1322" s="0">
        <v>0</v>
      </c>
      <c r="AG1322" s="0">
        <v>0</v>
      </c>
      <c r="AH1322" s="0" t="s">
        <v>140</v>
      </c>
      <c r="AI1322" s="0" t="s">
        <v>138</v>
      </c>
      <c r="AL1322" s="14"/>
      <c r="AN1322" s="14"/>
      <c r="AQ1322" s="0" t="s">
        <v>130</v>
      </c>
      <c r="AR1322" s="0" t="s">
        <v>130</v>
      </c>
      <c r="AS1322" s="0" t="s">
        <v>130</v>
      </c>
      <c r="AT1322" s="0" t="s">
        <v>130</v>
      </c>
      <c r="AU1322" s="0" t="s">
        <v>130</v>
      </c>
      <c r="AV1322" s="0" t="s">
        <v>130</v>
      </c>
      <c r="AW1322" s="0" t="s">
        <v>130</v>
      </c>
      <c r="AX1322" s="0" t="s">
        <v>130</v>
      </c>
      <c r="AY1322" s="0" t="s">
        <v>130</v>
      </c>
      <c r="AZ1322" s="0" t="s">
        <v>130</v>
      </c>
      <c r="BA1322" s="0" t="s">
        <v>130</v>
      </c>
      <c r="BB1322" s="0" t="s">
        <v>130</v>
      </c>
      <c r="BC1322" s="0" t="s">
        <v>130</v>
      </c>
      <c r="BD1322" s="0" t="s">
        <v>130</v>
      </c>
      <c r="BE1322" s="0" t="s">
        <v>130</v>
      </c>
      <c r="BF1322" s="0" t="s">
        <v>130</v>
      </c>
      <c r="BG1322" s="0" t="s">
        <v>130</v>
      </c>
      <c r="BH1322" s="0" t="s">
        <v>130</v>
      </c>
      <c r="BI1322" s="0" t="s">
        <v>130</v>
      </c>
      <c r="BJ1322" s="0" t="s">
        <v>130</v>
      </c>
      <c r="BK1322" s="0" t="s">
        <v>130</v>
      </c>
      <c r="BL1322" s="0" t="s">
        <v>130</v>
      </c>
      <c r="BM1322" s="0" t="s">
        <v>130</v>
      </c>
      <c r="BN1322" s="0" t="s">
        <v>130</v>
      </c>
      <c r="BO1322" s="0" t="s">
        <v>130</v>
      </c>
      <c r="BP1322" s="0" t="s">
        <v>130</v>
      </c>
      <c r="BQ1322" s="0" t="s">
        <v>130</v>
      </c>
      <c r="BR1322" s="0" t="s">
        <v>130</v>
      </c>
      <c r="BS1322" s="0" t="s">
        <v>130</v>
      </c>
      <c r="BT1322" s="0" t="s">
        <v>130</v>
      </c>
      <c r="BU1322" s="0" t="s">
        <v>130</v>
      </c>
      <c r="BV1322" s="0" t="s">
        <v>130</v>
      </c>
      <c r="BW1322" s="0" t="s">
        <v>130</v>
      </c>
      <c r="BX1322" s="0" t="s">
        <v>130</v>
      </c>
      <c r="BY1322" s="0" t="s">
        <v>130</v>
      </c>
      <c r="BZ1322" s="0" t="s">
        <v>130</v>
      </c>
      <c r="CA1322" s="0" t="s">
        <v>130</v>
      </c>
      <c r="CB1322" s="0" t="s">
        <v>130</v>
      </c>
      <c r="CC1322" s="0" t="s">
        <v>130</v>
      </c>
      <c r="CD1322" s="0" t="s">
        <v>130</v>
      </c>
      <c r="CE1322" s="0" t="s">
        <v>130</v>
      </c>
      <c r="CF1322" s="0" t="s">
        <v>130</v>
      </c>
      <c r="CG1322" s="0" t="s">
        <v>130</v>
      </c>
      <c r="CH1322" s="0" t="s">
        <v>130</v>
      </c>
      <c r="CI1322" s="0" t="s">
        <v>130</v>
      </c>
      <c r="CJ1322" s="0" t="s">
        <v>130</v>
      </c>
      <c r="CK1322" s="0" t="s">
        <v>130</v>
      </c>
      <c r="CL1322" s="0" t="s">
        <v>130</v>
      </c>
      <c r="CM1322" s="0" t="s">
        <v>130</v>
      </c>
      <c r="CN1322" s="0" t="s">
        <v>130</v>
      </c>
      <c r="CO1322" s="0" t="s">
        <v>130</v>
      </c>
      <c r="CP1322" s="0" t="s">
        <v>130</v>
      </c>
      <c r="CQ1322" s="0" t="s">
        <v>130</v>
      </c>
      <c r="CR1322" s="0" t="s">
        <v>130</v>
      </c>
      <c r="CS1322" s="0" t="s">
        <v>130</v>
      </c>
      <c r="CT1322" s="0" t="s">
        <v>3885</v>
      </c>
    </row>
    <row r="1323">
      <c r="A1323" s="14">
        <v>8023686</v>
      </c>
      <c r="B1323" s="0" t="s">
        <v>3886</v>
      </c>
      <c r="C1323" s="16">
        <f>HYPERLINK("https://eosportal.federatedhermes.com/companies/Q29tcGFueQppODQwNjc=", "Mizuho Financial Group Inc")</f>
      </c>
      <c r="D1323" s="0" t="s">
        <v>25</v>
      </c>
      <c r="E1323" s="0" t="s">
        <v>3737</v>
      </c>
      <c r="F1323" s="16">
        <f>HYPERLINK("https://eosportal.federatedhermes.com/engagements/RW5nYWdlbWVudAppMjY5Nzk=", "Sustainability Reporting")</f>
      </c>
      <c r="G1323" s="14" t="s">
        <v>3887</v>
      </c>
      <c r="H1323" s="0" t="s">
        <v>141</v>
      </c>
      <c r="I1323" s="14" t="s">
        <v>191</v>
      </c>
      <c r="J1323" s="0" t="s">
        <v>132</v>
      </c>
      <c r="K1323" s="0" t="s">
        <v>170</v>
      </c>
      <c r="L1323" s="0" t="s">
        <v>171</v>
      </c>
      <c r="M1323" s="0" t="s">
        <v>802</v>
      </c>
      <c r="N1323" s="0" t="s">
        <v>952</v>
      </c>
      <c r="O1323" s="0" t="s">
        <v>238</v>
      </c>
      <c r="Q1323" s="0" t="s">
        <v>130</v>
      </c>
      <c r="R1323" s="0" t="s">
        <v>138</v>
      </c>
      <c r="S1323" s="14">
        <v>0</v>
      </c>
      <c r="T1323" s="0" t="s">
        <v>333</v>
      </c>
      <c r="U1323" s="0" t="s">
        <v>138</v>
      </c>
      <c r="V1323" s="14" t="s">
        <v>138</v>
      </c>
      <c r="W1323" s="0" t="s">
        <v>138</v>
      </c>
      <c r="X1323" s="14" t="s">
        <v>138</v>
      </c>
      <c r="Y1323" s="0" t="s">
        <v>138</v>
      </c>
      <c r="Z1323" s="14" t="s">
        <v>138</v>
      </c>
      <c r="AA1323" s="0" t="s">
        <v>138</v>
      </c>
      <c r="AB1323" s="14" t="s">
        <v>138</v>
      </c>
      <c r="AD1323" s="0" t="s">
        <v>138</v>
      </c>
      <c r="AF1323" s="0">
        <v>0</v>
      </c>
      <c r="AG1323" s="0">
        <v>0</v>
      </c>
      <c r="AH1323" s="0" t="s">
        <v>140</v>
      </c>
      <c r="AI1323" s="0" t="s">
        <v>138</v>
      </c>
      <c r="AL1323" s="14"/>
      <c r="AN1323" s="14"/>
      <c r="AQ1323" s="0" t="s">
        <v>130</v>
      </c>
      <c r="AR1323" s="0" t="s">
        <v>130</v>
      </c>
      <c r="AS1323" s="0" t="s">
        <v>130</v>
      </c>
      <c r="AT1323" s="0" t="s">
        <v>130</v>
      </c>
      <c r="AU1323" s="0" t="s">
        <v>130</v>
      </c>
      <c r="AV1323" s="0" t="s">
        <v>130</v>
      </c>
      <c r="AW1323" s="0" t="s">
        <v>130</v>
      </c>
      <c r="AX1323" s="0" t="s">
        <v>130</v>
      </c>
      <c r="AY1323" s="0" t="s">
        <v>130</v>
      </c>
      <c r="AZ1323" s="0" t="s">
        <v>130</v>
      </c>
      <c r="BA1323" s="0" t="s">
        <v>130</v>
      </c>
      <c r="BB1323" s="0" t="s">
        <v>130</v>
      </c>
      <c r="BC1323" s="0" t="s">
        <v>130</v>
      </c>
      <c r="BD1323" s="0" t="s">
        <v>130</v>
      </c>
      <c r="BE1323" s="0" t="s">
        <v>130</v>
      </c>
      <c r="BF1323" s="0" t="s">
        <v>130</v>
      </c>
      <c r="BG1323" s="0" t="s">
        <v>130</v>
      </c>
      <c r="BH1323" s="0" t="s">
        <v>130</v>
      </c>
      <c r="BI1323" s="0" t="s">
        <v>130</v>
      </c>
      <c r="BJ1323" s="0" t="s">
        <v>130</v>
      </c>
      <c r="BK1323" s="0" t="s">
        <v>130</v>
      </c>
      <c r="BL1323" s="0" t="s">
        <v>130</v>
      </c>
      <c r="BM1323" s="0" t="s">
        <v>130</v>
      </c>
      <c r="BN1323" s="0" t="s">
        <v>130</v>
      </c>
      <c r="BO1323" s="0" t="s">
        <v>130</v>
      </c>
      <c r="BP1323" s="0" t="s">
        <v>130</v>
      </c>
      <c r="BQ1323" s="0" t="s">
        <v>130</v>
      </c>
      <c r="BR1323" s="0" t="s">
        <v>130</v>
      </c>
      <c r="BS1323" s="0" t="s">
        <v>130</v>
      </c>
      <c r="BT1323" s="0" t="s">
        <v>130</v>
      </c>
      <c r="BU1323" s="0" t="s">
        <v>130</v>
      </c>
      <c r="BV1323" s="0" t="s">
        <v>130</v>
      </c>
      <c r="BW1323" s="0" t="s">
        <v>130</v>
      </c>
      <c r="BX1323" s="0" t="s">
        <v>130</v>
      </c>
      <c r="BY1323" s="0" t="s">
        <v>130</v>
      </c>
      <c r="BZ1323" s="0" t="s">
        <v>130</v>
      </c>
      <c r="CA1323" s="0" t="s">
        <v>130</v>
      </c>
      <c r="CB1323" s="0" t="s">
        <v>130</v>
      </c>
      <c r="CC1323" s="0" t="s">
        <v>130</v>
      </c>
      <c r="CD1323" s="0" t="s">
        <v>130</v>
      </c>
      <c r="CE1323" s="0" t="s">
        <v>130</v>
      </c>
      <c r="CF1323" s="0" t="s">
        <v>130</v>
      </c>
      <c r="CG1323" s="0" t="s">
        <v>130</v>
      </c>
      <c r="CH1323" s="0" t="s">
        <v>130</v>
      </c>
      <c r="CI1323" s="0" t="s">
        <v>130</v>
      </c>
      <c r="CJ1323" s="0" t="s">
        <v>130</v>
      </c>
      <c r="CK1323" s="0" t="s">
        <v>130</v>
      </c>
      <c r="CL1323" s="0" t="s">
        <v>130</v>
      </c>
      <c r="CM1323" s="0" t="s">
        <v>130</v>
      </c>
      <c r="CN1323" s="0" t="s">
        <v>130</v>
      </c>
      <c r="CO1323" s="0" t="s">
        <v>130</v>
      </c>
      <c r="CP1323" s="0" t="s">
        <v>130</v>
      </c>
      <c r="CQ1323" s="0" t="s">
        <v>130</v>
      </c>
      <c r="CR1323" s="0" t="s">
        <v>130</v>
      </c>
      <c r="CS1323" s="0" t="s">
        <v>130</v>
      </c>
      <c r="CT1323" s="0" t="s">
        <v>3888</v>
      </c>
    </row>
    <row r="1324">
      <c r="A1324" s="14">
        <v>8023686</v>
      </c>
      <c r="B1324" s="0" t="s">
        <v>3886</v>
      </c>
      <c r="C1324" s="16">
        <f>HYPERLINK("https://eosportal.federatedhermes.com/companies/Q29tcGFueQppODQwNjc=", "Mizuho Financial Group Inc")</f>
      </c>
      <c r="D1324" s="0" t="s">
        <v>25</v>
      </c>
      <c r="E1324" s="0" t="s">
        <v>3889</v>
      </c>
      <c r="F1324" s="16">
        <f>HYPERLINK("https://eosportal.federatedhermes.com/engagements/RW5nYWdlbWVudAppMjY5ODA=", "Risk management - compliance")</f>
      </c>
      <c r="G1324" s="14" t="s">
        <v>3890</v>
      </c>
      <c r="H1324" s="0" t="s">
        <v>141</v>
      </c>
      <c r="I1324" s="14" t="s">
        <v>191</v>
      </c>
      <c r="J1324" s="0" t="s">
        <v>132</v>
      </c>
      <c r="K1324" s="0" t="s">
        <v>260</v>
      </c>
      <c r="L1324" s="0" t="s">
        <v>261</v>
      </c>
      <c r="M1324" s="0" t="s">
        <v>802</v>
      </c>
      <c r="N1324" s="0" t="s">
        <v>952</v>
      </c>
      <c r="O1324" s="0" t="s">
        <v>238</v>
      </c>
      <c r="Q1324" s="0" t="s">
        <v>141</v>
      </c>
      <c r="R1324" s="0" t="s">
        <v>138</v>
      </c>
      <c r="S1324" s="14">
        <v>1</v>
      </c>
      <c r="T1324" s="0" t="s">
        <v>387</v>
      </c>
      <c r="U1324" s="0" t="s">
        <v>138</v>
      </c>
      <c r="V1324" s="14" t="s">
        <v>138</v>
      </c>
      <c r="W1324" s="0" t="s">
        <v>138</v>
      </c>
      <c r="X1324" s="14" t="s">
        <v>138</v>
      </c>
      <c r="Y1324" s="0" t="s">
        <v>138</v>
      </c>
      <c r="Z1324" s="14" t="s">
        <v>138</v>
      </c>
      <c r="AA1324" s="0" t="s">
        <v>138</v>
      </c>
      <c r="AB1324" s="14" t="s">
        <v>138</v>
      </c>
      <c r="AD1324" s="0" t="s">
        <v>138</v>
      </c>
      <c r="AF1324" s="0">
        <v>0</v>
      </c>
      <c r="AG1324" s="0">
        <v>0</v>
      </c>
      <c r="AH1324" s="0" t="s">
        <v>140</v>
      </c>
      <c r="AI1324" s="0" t="s">
        <v>138</v>
      </c>
      <c r="AK1324" s="0" t="s">
        <v>1386</v>
      </c>
      <c r="AL1324" s="14"/>
      <c r="AN1324" s="14"/>
      <c r="AQ1324" s="0" t="s">
        <v>130</v>
      </c>
      <c r="AR1324" s="0" t="s">
        <v>130</v>
      </c>
      <c r="AS1324" s="0" t="s">
        <v>130</v>
      </c>
      <c r="AT1324" s="0" t="s">
        <v>130</v>
      </c>
      <c r="AU1324" s="0" t="s">
        <v>130</v>
      </c>
      <c r="AV1324" s="0" t="s">
        <v>130</v>
      </c>
      <c r="AW1324" s="0" t="s">
        <v>130</v>
      </c>
      <c r="AX1324" s="0" t="s">
        <v>130</v>
      </c>
      <c r="AY1324" s="0" t="s">
        <v>130</v>
      </c>
      <c r="AZ1324" s="0" t="s">
        <v>130</v>
      </c>
      <c r="BA1324" s="0" t="s">
        <v>130</v>
      </c>
      <c r="BB1324" s="0" t="s">
        <v>130</v>
      </c>
      <c r="BC1324" s="0" t="s">
        <v>130</v>
      </c>
      <c r="BD1324" s="0" t="s">
        <v>130</v>
      </c>
      <c r="BE1324" s="0" t="s">
        <v>130</v>
      </c>
      <c r="BF1324" s="0" t="s">
        <v>130</v>
      </c>
      <c r="BG1324" s="0" t="s">
        <v>130</v>
      </c>
      <c r="BH1324" s="0" t="s">
        <v>130</v>
      </c>
      <c r="BI1324" s="0" t="s">
        <v>130</v>
      </c>
      <c r="BJ1324" s="0" t="s">
        <v>130</v>
      </c>
      <c r="BK1324" s="0" t="s">
        <v>130</v>
      </c>
      <c r="BL1324" s="0" t="s">
        <v>130</v>
      </c>
      <c r="BM1324" s="0" t="s">
        <v>130</v>
      </c>
      <c r="BN1324" s="0" t="s">
        <v>130</v>
      </c>
      <c r="BO1324" s="0" t="s">
        <v>130</v>
      </c>
      <c r="BP1324" s="0" t="s">
        <v>130</v>
      </c>
      <c r="BQ1324" s="0" t="s">
        <v>130</v>
      </c>
      <c r="BR1324" s="0" t="s">
        <v>130</v>
      </c>
      <c r="BS1324" s="0" t="s">
        <v>130</v>
      </c>
      <c r="BT1324" s="0" t="s">
        <v>130</v>
      </c>
      <c r="BU1324" s="0" t="s">
        <v>130</v>
      </c>
      <c r="BV1324" s="0" t="s">
        <v>130</v>
      </c>
      <c r="BW1324" s="0" t="s">
        <v>130</v>
      </c>
      <c r="BX1324" s="0" t="s">
        <v>130</v>
      </c>
      <c r="BY1324" s="0" t="s">
        <v>130</v>
      </c>
      <c r="BZ1324" s="0" t="s">
        <v>130</v>
      </c>
      <c r="CA1324" s="0" t="s">
        <v>130</v>
      </c>
      <c r="CB1324" s="0" t="s">
        <v>130</v>
      </c>
      <c r="CC1324" s="0" t="s">
        <v>130</v>
      </c>
      <c r="CD1324" s="0" t="s">
        <v>130</v>
      </c>
      <c r="CE1324" s="0" t="s">
        <v>130</v>
      </c>
      <c r="CF1324" s="0" t="s">
        <v>130</v>
      </c>
      <c r="CG1324" s="0" t="s">
        <v>130</v>
      </c>
      <c r="CH1324" s="0" t="s">
        <v>130</v>
      </c>
      <c r="CI1324" s="0" t="s">
        <v>130</v>
      </c>
      <c r="CJ1324" s="0" t="s">
        <v>130</v>
      </c>
      <c r="CK1324" s="0" t="s">
        <v>130</v>
      </c>
      <c r="CL1324" s="0" t="s">
        <v>130</v>
      </c>
      <c r="CM1324" s="0" t="s">
        <v>130</v>
      </c>
      <c r="CN1324" s="0" t="s">
        <v>130</v>
      </c>
      <c r="CO1324" s="0" t="s">
        <v>130</v>
      </c>
      <c r="CP1324" s="0" t="s">
        <v>130</v>
      </c>
      <c r="CQ1324" s="0" t="s">
        <v>130</v>
      </c>
      <c r="CR1324" s="0" t="s">
        <v>130</v>
      </c>
      <c r="CS1324" s="0" t="s">
        <v>130</v>
      </c>
      <c r="CT1324" s="0" t="s">
        <v>3891</v>
      </c>
    </row>
    <row r="1325">
      <c r="A1325" s="14">
        <v>8023686</v>
      </c>
      <c r="B1325" s="0" t="s">
        <v>3886</v>
      </c>
      <c r="C1325" s="16">
        <f>HYPERLINK("https://eosportal.federatedhermes.com/companies/Q29tcGFueQppODQwNjc=", "Mizuho Financial Group Inc")</f>
      </c>
      <c r="D1325" s="0" t="s">
        <v>25</v>
      </c>
      <c r="E1325" s="0" t="s">
        <v>3647</v>
      </c>
      <c r="F1325" s="16">
        <f>HYPERLINK("https://eosportal.federatedhermes.com/engagements/RW5nYWdlbWVudAppMjY5ODE=", "Responsible investment and stewardship")</f>
      </c>
      <c r="G1325" s="14" t="s">
        <v>3648</v>
      </c>
      <c r="H1325" s="0" t="s">
        <v>141</v>
      </c>
      <c r="I1325" s="14" t="s">
        <v>191</v>
      </c>
      <c r="J1325" s="0" t="s">
        <v>132</v>
      </c>
      <c r="K1325" s="0" t="s">
        <v>133</v>
      </c>
      <c r="L1325" s="0" t="s">
        <v>134</v>
      </c>
      <c r="M1325" s="0" t="s">
        <v>802</v>
      </c>
      <c r="N1325" s="0" t="s">
        <v>952</v>
      </c>
      <c r="O1325" s="0" t="s">
        <v>238</v>
      </c>
      <c r="Q1325" s="0" t="s">
        <v>130</v>
      </c>
      <c r="R1325" s="0" t="s">
        <v>138</v>
      </c>
      <c r="S1325" s="14">
        <v>0</v>
      </c>
      <c r="T1325" s="0" t="s">
        <v>710</v>
      </c>
      <c r="U1325" s="0" t="s">
        <v>138</v>
      </c>
      <c r="V1325" s="14" t="s">
        <v>138</v>
      </c>
      <c r="W1325" s="0" t="s">
        <v>138</v>
      </c>
      <c r="X1325" s="14" t="s">
        <v>138</v>
      </c>
      <c r="Y1325" s="0" t="s">
        <v>138</v>
      </c>
      <c r="Z1325" s="14" t="s">
        <v>138</v>
      </c>
      <c r="AA1325" s="0" t="s">
        <v>138</v>
      </c>
      <c r="AB1325" s="14" t="s">
        <v>138</v>
      </c>
      <c r="AD1325" s="0" t="s">
        <v>138</v>
      </c>
      <c r="AF1325" s="0">
        <v>0</v>
      </c>
      <c r="AG1325" s="0">
        <v>0</v>
      </c>
      <c r="AH1325" s="0" t="s">
        <v>140</v>
      </c>
      <c r="AI1325" s="0" t="s">
        <v>138</v>
      </c>
      <c r="AL1325" s="14"/>
      <c r="AN1325" s="14"/>
      <c r="AQ1325" s="0" t="s">
        <v>130</v>
      </c>
      <c r="AR1325" s="0" t="s">
        <v>130</v>
      </c>
      <c r="AS1325" s="0" t="s">
        <v>130</v>
      </c>
      <c r="AT1325" s="0" t="s">
        <v>130</v>
      </c>
      <c r="AU1325" s="0" t="s">
        <v>130</v>
      </c>
      <c r="AV1325" s="0" t="s">
        <v>130</v>
      </c>
      <c r="AW1325" s="0" t="s">
        <v>130</v>
      </c>
      <c r="AX1325" s="0" t="s">
        <v>130</v>
      </c>
      <c r="AY1325" s="0" t="s">
        <v>130</v>
      </c>
      <c r="AZ1325" s="0" t="s">
        <v>130</v>
      </c>
      <c r="BA1325" s="0" t="s">
        <v>130</v>
      </c>
      <c r="BB1325" s="0" t="s">
        <v>130</v>
      </c>
      <c r="BC1325" s="0" t="s">
        <v>130</v>
      </c>
      <c r="BD1325" s="0" t="s">
        <v>130</v>
      </c>
      <c r="BE1325" s="0" t="s">
        <v>130</v>
      </c>
      <c r="BF1325" s="0" t="s">
        <v>130</v>
      </c>
      <c r="BG1325" s="0" t="s">
        <v>130</v>
      </c>
      <c r="BH1325" s="0" t="s">
        <v>130</v>
      </c>
      <c r="BI1325" s="0" t="s">
        <v>130</v>
      </c>
      <c r="BJ1325" s="0" t="s">
        <v>130</v>
      </c>
      <c r="BK1325" s="0" t="s">
        <v>130</v>
      </c>
      <c r="BL1325" s="0" t="s">
        <v>130</v>
      </c>
      <c r="BM1325" s="0" t="s">
        <v>130</v>
      </c>
      <c r="BN1325" s="0" t="s">
        <v>130</v>
      </c>
      <c r="BO1325" s="0" t="s">
        <v>130</v>
      </c>
      <c r="BP1325" s="0" t="s">
        <v>130</v>
      </c>
      <c r="BQ1325" s="0" t="s">
        <v>130</v>
      </c>
      <c r="BR1325" s="0" t="s">
        <v>130</v>
      </c>
      <c r="BS1325" s="0" t="s">
        <v>130</v>
      </c>
      <c r="BT1325" s="0" t="s">
        <v>130</v>
      </c>
      <c r="BU1325" s="0" t="s">
        <v>130</v>
      </c>
      <c r="BV1325" s="0" t="s">
        <v>130</v>
      </c>
      <c r="BW1325" s="0" t="s">
        <v>130</v>
      </c>
      <c r="BX1325" s="0" t="s">
        <v>130</v>
      </c>
      <c r="BY1325" s="0" t="s">
        <v>130</v>
      </c>
      <c r="BZ1325" s="0" t="s">
        <v>130</v>
      </c>
      <c r="CA1325" s="0" t="s">
        <v>130</v>
      </c>
      <c r="CB1325" s="0" t="s">
        <v>130</v>
      </c>
      <c r="CC1325" s="0" t="s">
        <v>130</v>
      </c>
      <c r="CD1325" s="0" t="s">
        <v>130</v>
      </c>
      <c r="CE1325" s="0" t="s">
        <v>130</v>
      </c>
      <c r="CF1325" s="0" t="s">
        <v>130</v>
      </c>
      <c r="CG1325" s="0" t="s">
        <v>130</v>
      </c>
      <c r="CH1325" s="0" t="s">
        <v>130</v>
      </c>
      <c r="CI1325" s="0" t="s">
        <v>130</v>
      </c>
      <c r="CJ1325" s="0" t="s">
        <v>130</v>
      </c>
      <c r="CK1325" s="0" t="s">
        <v>130</v>
      </c>
      <c r="CL1325" s="0" t="s">
        <v>130</v>
      </c>
      <c r="CM1325" s="0" t="s">
        <v>130</v>
      </c>
      <c r="CN1325" s="0" t="s">
        <v>130</v>
      </c>
      <c r="CO1325" s="0" t="s">
        <v>130</v>
      </c>
      <c r="CP1325" s="0" t="s">
        <v>130</v>
      </c>
      <c r="CQ1325" s="0" t="s">
        <v>130</v>
      </c>
      <c r="CR1325" s="0" t="s">
        <v>130</v>
      </c>
      <c r="CS1325" s="0" t="s">
        <v>130</v>
      </c>
      <c r="CT1325" s="0" t="s">
        <v>3892</v>
      </c>
    </row>
    <row r="1326">
      <c r="A1326" s="14">
        <v>8023686</v>
      </c>
      <c r="B1326" s="0" t="s">
        <v>3886</v>
      </c>
      <c r="C1326" s="16">
        <f>HYPERLINK("https://eosportal.federatedhermes.com/companies/Q29tcGFueQppODQwNjc=", "Mizuho Financial Group Inc")</f>
      </c>
      <c r="D1326" s="0" t="s">
        <v>25</v>
      </c>
      <c r="E1326" s="0" t="s">
        <v>295</v>
      </c>
      <c r="F1326" s="16">
        <f>HYPERLINK("https://eosportal.federatedhermes.com/engagements/RW5nYWdlbWVudAppMjY5ODM=", "Board structure")</f>
      </c>
      <c r="G1326" s="14" t="s">
        <v>3893</v>
      </c>
      <c r="H1326" s="0" t="s">
        <v>141</v>
      </c>
      <c r="I1326" s="14" t="s">
        <v>191</v>
      </c>
      <c r="J1326" s="0" t="s">
        <v>145</v>
      </c>
      <c r="K1326" s="0" t="s">
        <v>164</v>
      </c>
      <c r="L1326" s="0" t="s">
        <v>165</v>
      </c>
      <c r="M1326" s="0" t="s">
        <v>802</v>
      </c>
      <c r="N1326" s="0" t="s">
        <v>952</v>
      </c>
      <c r="O1326" s="0" t="s">
        <v>238</v>
      </c>
      <c r="Q1326" s="0" t="s">
        <v>141</v>
      </c>
      <c r="R1326" s="0" t="s">
        <v>138</v>
      </c>
      <c r="S1326" s="14">
        <v>1</v>
      </c>
      <c r="T1326" s="0" t="s">
        <v>435</v>
      </c>
      <c r="U1326" s="0" t="s">
        <v>138</v>
      </c>
      <c r="V1326" s="14" t="s">
        <v>138</v>
      </c>
      <c r="W1326" s="0" t="s">
        <v>138</v>
      </c>
      <c r="X1326" s="14" t="s">
        <v>138</v>
      </c>
      <c r="Y1326" s="0" t="s">
        <v>138</v>
      </c>
      <c r="Z1326" s="14" t="s">
        <v>138</v>
      </c>
      <c r="AA1326" s="0" t="s">
        <v>138</v>
      </c>
      <c r="AB1326" s="14" t="s">
        <v>138</v>
      </c>
      <c r="AD1326" s="0" t="s">
        <v>138</v>
      </c>
      <c r="AF1326" s="0">
        <v>0</v>
      </c>
      <c r="AG1326" s="0">
        <v>0</v>
      </c>
      <c r="AH1326" s="0" t="s">
        <v>140</v>
      </c>
      <c r="AI1326" s="0" t="s">
        <v>138</v>
      </c>
      <c r="AK1326" s="0" t="s">
        <v>1386</v>
      </c>
      <c r="AL1326" s="14"/>
      <c r="AN1326" s="14"/>
      <c r="AQ1326" s="0" t="s">
        <v>130</v>
      </c>
      <c r="AR1326" s="0" t="s">
        <v>130</v>
      </c>
      <c r="AS1326" s="0" t="s">
        <v>130</v>
      </c>
      <c r="AT1326" s="0" t="s">
        <v>130</v>
      </c>
      <c r="AU1326" s="0" t="s">
        <v>141</v>
      </c>
      <c r="AV1326" s="0" t="s">
        <v>130</v>
      </c>
      <c r="AW1326" s="0" t="s">
        <v>130</v>
      </c>
      <c r="AX1326" s="0" t="s">
        <v>130</v>
      </c>
      <c r="AY1326" s="0" t="s">
        <v>130</v>
      </c>
      <c r="AZ1326" s="0" t="s">
        <v>141</v>
      </c>
      <c r="BA1326" s="0" t="s">
        <v>130</v>
      </c>
      <c r="BB1326" s="0" t="s">
        <v>130</v>
      </c>
      <c r="BC1326" s="0" t="s">
        <v>130</v>
      </c>
      <c r="BD1326" s="0" t="s">
        <v>130</v>
      </c>
      <c r="BE1326" s="0" t="s">
        <v>130</v>
      </c>
      <c r="BF1326" s="0" t="s">
        <v>130</v>
      </c>
      <c r="BG1326" s="0" t="s">
        <v>130</v>
      </c>
      <c r="BH1326" s="0" t="s">
        <v>130</v>
      </c>
      <c r="BI1326" s="0" t="s">
        <v>130</v>
      </c>
      <c r="BJ1326" s="0" t="s">
        <v>130</v>
      </c>
      <c r="BK1326" s="0" t="s">
        <v>130</v>
      </c>
      <c r="BL1326" s="0" t="s">
        <v>130</v>
      </c>
      <c r="BM1326" s="0" t="s">
        <v>130</v>
      </c>
      <c r="BN1326" s="0" t="s">
        <v>130</v>
      </c>
      <c r="BO1326" s="0" t="s">
        <v>130</v>
      </c>
      <c r="BP1326" s="0" t="s">
        <v>130</v>
      </c>
      <c r="BQ1326" s="0" t="s">
        <v>130</v>
      </c>
      <c r="BR1326" s="0" t="s">
        <v>130</v>
      </c>
      <c r="BS1326" s="0" t="s">
        <v>130</v>
      </c>
      <c r="BT1326" s="0" t="s">
        <v>130</v>
      </c>
      <c r="BU1326" s="0" t="s">
        <v>130</v>
      </c>
      <c r="BV1326" s="0" t="s">
        <v>130</v>
      </c>
      <c r="BW1326" s="0" t="s">
        <v>130</v>
      </c>
      <c r="BX1326" s="0" t="s">
        <v>130</v>
      </c>
      <c r="BY1326" s="0" t="s">
        <v>130</v>
      </c>
      <c r="BZ1326" s="0" t="s">
        <v>130</v>
      </c>
      <c r="CA1326" s="0" t="s">
        <v>130</v>
      </c>
      <c r="CB1326" s="0" t="s">
        <v>130</v>
      </c>
      <c r="CC1326" s="0" t="s">
        <v>130</v>
      </c>
      <c r="CD1326" s="0" t="s">
        <v>130</v>
      </c>
      <c r="CE1326" s="0" t="s">
        <v>130</v>
      </c>
      <c r="CF1326" s="0" t="s">
        <v>130</v>
      </c>
      <c r="CG1326" s="0" t="s">
        <v>130</v>
      </c>
      <c r="CH1326" s="0" t="s">
        <v>130</v>
      </c>
      <c r="CI1326" s="0" t="s">
        <v>130</v>
      </c>
      <c r="CJ1326" s="0" t="s">
        <v>130</v>
      </c>
      <c r="CK1326" s="0" t="s">
        <v>130</v>
      </c>
      <c r="CL1326" s="0" t="s">
        <v>130</v>
      </c>
      <c r="CM1326" s="0" t="s">
        <v>130</v>
      </c>
      <c r="CN1326" s="0" t="s">
        <v>130</v>
      </c>
      <c r="CO1326" s="0" t="s">
        <v>130</v>
      </c>
      <c r="CP1326" s="0" t="s">
        <v>130</v>
      </c>
      <c r="CQ1326" s="0" t="s">
        <v>130</v>
      </c>
      <c r="CR1326" s="0" t="s">
        <v>130</v>
      </c>
      <c r="CS1326" s="0" t="s">
        <v>130</v>
      </c>
      <c r="CT1326" s="0" t="s">
        <v>3894</v>
      </c>
    </row>
    <row r="1327">
      <c r="A1327" s="14">
        <v>8023686</v>
      </c>
      <c r="B1327" s="0" t="s">
        <v>3886</v>
      </c>
      <c r="C1327" s="16">
        <f>HYPERLINK("https://eosportal.federatedhermes.com/companies/Q29tcGFueQppODQwNjc=", "Mizuho Financial Group Inc")</f>
      </c>
      <c r="D1327" s="0" t="s">
        <v>25</v>
      </c>
      <c r="E1327" s="0" t="s">
        <v>198</v>
      </c>
      <c r="F1327" s="16">
        <f>HYPERLINK("https://eosportal.federatedhermes.com/engagements/RW5nYWdlbWVudAppMjY5OTI=", "Climate Change")</f>
      </c>
      <c r="G1327" s="14" t="s">
        <v>3895</v>
      </c>
      <c r="H1327" s="0" t="s">
        <v>141</v>
      </c>
      <c r="I1327" s="14" t="s">
        <v>191</v>
      </c>
      <c r="J1327" s="0" t="s">
        <v>197</v>
      </c>
      <c r="K1327" s="0" t="s">
        <v>198</v>
      </c>
      <c r="L1327" s="0" t="s">
        <v>216</v>
      </c>
      <c r="M1327" s="0" t="s">
        <v>802</v>
      </c>
      <c r="N1327" s="0" t="s">
        <v>952</v>
      </c>
      <c r="O1327" s="0" t="s">
        <v>238</v>
      </c>
      <c r="Q1327" s="0" t="s">
        <v>130</v>
      </c>
      <c r="R1327" s="0" t="s">
        <v>138</v>
      </c>
      <c r="S1327" s="14">
        <v>0</v>
      </c>
      <c r="T1327" s="0" t="s">
        <v>327</v>
      </c>
      <c r="U1327" s="0" t="s">
        <v>138</v>
      </c>
      <c r="V1327" s="14" t="s">
        <v>138</v>
      </c>
      <c r="W1327" s="0" t="s">
        <v>138</v>
      </c>
      <c r="X1327" s="14" t="s">
        <v>138</v>
      </c>
      <c r="Y1327" s="0" t="s">
        <v>138</v>
      </c>
      <c r="Z1327" s="14" t="s">
        <v>138</v>
      </c>
      <c r="AA1327" s="0" t="s">
        <v>138</v>
      </c>
      <c r="AB1327" s="14" t="s">
        <v>138</v>
      </c>
      <c r="AD1327" s="0" t="s">
        <v>138</v>
      </c>
      <c r="AF1327" s="0">
        <v>0</v>
      </c>
      <c r="AG1327" s="0">
        <v>0</v>
      </c>
      <c r="AH1327" s="0" t="s">
        <v>140</v>
      </c>
      <c r="AI1327" s="0" t="s">
        <v>138</v>
      </c>
      <c r="AL1327" s="14"/>
      <c r="AN1327" s="14"/>
      <c r="AQ1327" s="0" t="s">
        <v>130</v>
      </c>
      <c r="AR1327" s="0" t="s">
        <v>130</v>
      </c>
      <c r="AS1327" s="0" t="s">
        <v>130</v>
      </c>
      <c r="AT1327" s="0" t="s">
        <v>130</v>
      </c>
      <c r="AU1327" s="0" t="s">
        <v>130</v>
      </c>
      <c r="AV1327" s="0" t="s">
        <v>130</v>
      </c>
      <c r="AW1327" s="0" t="s">
        <v>141</v>
      </c>
      <c r="AX1327" s="0" t="s">
        <v>130</v>
      </c>
      <c r="AY1327" s="0" t="s">
        <v>130</v>
      </c>
      <c r="AZ1327" s="0" t="s">
        <v>130</v>
      </c>
      <c r="BA1327" s="0" t="s">
        <v>130</v>
      </c>
      <c r="BB1327" s="0" t="s">
        <v>130</v>
      </c>
      <c r="BC1327" s="0" t="s">
        <v>141</v>
      </c>
      <c r="BD1327" s="0" t="s">
        <v>130</v>
      </c>
      <c r="BE1327" s="0" t="s">
        <v>130</v>
      </c>
      <c r="BF1327" s="0" t="s">
        <v>130</v>
      </c>
      <c r="BG1327" s="0" t="s">
        <v>130</v>
      </c>
      <c r="BH1327" s="0" t="s">
        <v>141</v>
      </c>
      <c r="BI1327" s="0" t="s">
        <v>141</v>
      </c>
      <c r="BJ1327" s="0" t="s">
        <v>141</v>
      </c>
      <c r="BK1327" s="0" t="s">
        <v>130</v>
      </c>
      <c r="BL1327" s="0" t="s">
        <v>130</v>
      </c>
      <c r="BM1327" s="0" t="s">
        <v>130</v>
      </c>
      <c r="BN1327" s="0" t="s">
        <v>130</v>
      </c>
      <c r="BO1327" s="0" t="s">
        <v>130</v>
      </c>
      <c r="BP1327" s="0" t="s">
        <v>130</v>
      </c>
      <c r="BQ1327" s="0" t="s">
        <v>130</v>
      </c>
      <c r="BR1327" s="0" t="s">
        <v>130</v>
      </c>
      <c r="BS1327" s="0" t="s">
        <v>130</v>
      </c>
      <c r="BT1327" s="0" t="s">
        <v>130</v>
      </c>
      <c r="BU1327" s="0" t="s">
        <v>130</v>
      </c>
      <c r="BV1327" s="0" t="s">
        <v>141</v>
      </c>
      <c r="BW1327" s="0" t="s">
        <v>141</v>
      </c>
      <c r="BX1327" s="0" t="s">
        <v>130</v>
      </c>
      <c r="BY1327" s="0" t="s">
        <v>130</v>
      </c>
      <c r="BZ1327" s="0" t="s">
        <v>130</v>
      </c>
      <c r="CA1327" s="0" t="s">
        <v>130</v>
      </c>
      <c r="CB1327" s="0" t="s">
        <v>130</v>
      </c>
      <c r="CC1327" s="0" t="s">
        <v>130</v>
      </c>
      <c r="CD1327" s="0" t="s">
        <v>130</v>
      </c>
      <c r="CE1327" s="0" t="s">
        <v>130</v>
      </c>
      <c r="CF1327" s="0" t="s">
        <v>130</v>
      </c>
      <c r="CG1327" s="0" t="s">
        <v>130</v>
      </c>
      <c r="CH1327" s="0" t="s">
        <v>130</v>
      </c>
      <c r="CI1327" s="0" t="s">
        <v>130</v>
      </c>
      <c r="CJ1327" s="0" t="s">
        <v>130</v>
      </c>
      <c r="CK1327" s="0" t="s">
        <v>130</v>
      </c>
      <c r="CL1327" s="0" t="s">
        <v>130</v>
      </c>
      <c r="CM1327" s="0" t="s">
        <v>130</v>
      </c>
      <c r="CN1327" s="0" t="s">
        <v>130</v>
      </c>
      <c r="CO1327" s="0" t="s">
        <v>130</v>
      </c>
      <c r="CP1327" s="0" t="s">
        <v>130</v>
      </c>
      <c r="CQ1327" s="0" t="s">
        <v>130</v>
      </c>
      <c r="CR1327" s="0" t="s">
        <v>130</v>
      </c>
      <c r="CS1327" s="0" t="s">
        <v>130</v>
      </c>
      <c r="CT1327" s="0" t="s">
        <v>3896</v>
      </c>
    </row>
    <row r="1328">
      <c r="A1328" s="14">
        <v>8023686</v>
      </c>
      <c r="B1328" s="0" t="s">
        <v>3886</v>
      </c>
      <c r="C1328" s="16">
        <f>HYPERLINK("https://eosportal.federatedhermes.com/companies/Q29tcGFueQppODQwNjc=", "Mizuho Financial Group Inc")</f>
      </c>
      <c r="D1328" s="0" t="s">
        <v>25</v>
      </c>
      <c r="E1328" s="0" t="s">
        <v>3897</v>
      </c>
      <c r="F1328" s="16">
        <f>HYPERLINK("https://eosportal.federatedhermes.com/engagements/RW5nYWdlbWVudAppMjY5OTg=", "Risk management - IT operation system")</f>
      </c>
      <c r="G1328" s="14" t="s">
        <v>3898</v>
      </c>
      <c r="H1328" s="0" t="s">
        <v>141</v>
      </c>
      <c r="I1328" s="14" t="s">
        <v>191</v>
      </c>
      <c r="J1328" s="0" t="s">
        <v>132</v>
      </c>
      <c r="K1328" s="0" t="s">
        <v>260</v>
      </c>
      <c r="L1328" s="0" t="s">
        <v>261</v>
      </c>
      <c r="M1328" s="0" t="s">
        <v>802</v>
      </c>
      <c r="N1328" s="0" t="s">
        <v>952</v>
      </c>
      <c r="O1328" s="0" t="s">
        <v>238</v>
      </c>
      <c r="Q1328" s="0" t="s">
        <v>130</v>
      </c>
      <c r="R1328" s="0" t="s">
        <v>138</v>
      </c>
      <c r="S1328" s="14">
        <v>0</v>
      </c>
      <c r="T1328" s="0" t="s">
        <v>245</v>
      </c>
      <c r="U1328" s="0" t="s">
        <v>138</v>
      </c>
      <c r="V1328" s="14" t="s">
        <v>138</v>
      </c>
      <c r="W1328" s="0" t="s">
        <v>138</v>
      </c>
      <c r="X1328" s="14" t="s">
        <v>138</v>
      </c>
      <c r="Y1328" s="0" t="s">
        <v>138</v>
      </c>
      <c r="Z1328" s="14" t="s">
        <v>138</v>
      </c>
      <c r="AA1328" s="0" t="s">
        <v>138</v>
      </c>
      <c r="AB1328" s="14" t="s">
        <v>138</v>
      </c>
      <c r="AD1328" s="0" t="s">
        <v>138</v>
      </c>
      <c r="AF1328" s="0">
        <v>0</v>
      </c>
      <c r="AG1328" s="0">
        <v>0</v>
      </c>
      <c r="AH1328" s="0" t="s">
        <v>140</v>
      </c>
      <c r="AI1328" s="0" t="s">
        <v>138</v>
      </c>
      <c r="AL1328" s="14"/>
      <c r="AN1328" s="14"/>
      <c r="AQ1328" s="0" t="s">
        <v>130</v>
      </c>
      <c r="AR1328" s="0" t="s">
        <v>130</v>
      </c>
      <c r="AS1328" s="0" t="s">
        <v>130</v>
      </c>
      <c r="AT1328" s="0" t="s">
        <v>130</v>
      </c>
      <c r="AU1328" s="0" t="s">
        <v>130</v>
      </c>
      <c r="AV1328" s="0" t="s">
        <v>130</v>
      </c>
      <c r="AW1328" s="0" t="s">
        <v>130</v>
      </c>
      <c r="AX1328" s="0" t="s">
        <v>130</v>
      </c>
      <c r="AY1328" s="0" t="s">
        <v>130</v>
      </c>
      <c r="AZ1328" s="0" t="s">
        <v>130</v>
      </c>
      <c r="BA1328" s="0" t="s">
        <v>130</v>
      </c>
      <c r="BB1328" s="0" t="s">
        <v>130</v>
      </c>
      <c r="BC1328" s="0" t="s">
        <v>130</v>
      </c>
      <c r="BD1328" s="0" t="s">
        <v>130</v>
      </c>
      <c r="BE1328" s="0" t="s">
        <v>130</v>
      </c>
      <c r="BF1328" s="0" t="s">
        <v>130</v>
      </c>
      <c r="BG1328" s="0" t="s">
        <v>130</v>
      </c>
      <c r="BH1328" s="0" t="s">
        <v>130</v>
      </c>
      <c r="BI1328" s="0" t="s">
        <v>130</v>
      </c>
      <c r="BJ1328" s="0" t="s">
        <v>130</v>
      </c>
      <c r="BK1328" s="0" t="s">
        <v>130</v>
      </c>
      <c r="BL1328" s="0" t="s">
        <v>130</v>
      </c>
      <c r="BM1328" s="0" t="s">
        <v>130</v>
      </c>
      <c r="BN1328" s="0" t="s">
        <v>130</v>
      </c>
      <c r="BO1328" s="0" t="s">
        <v>130</v>
      </c>
      <c r="BP1328" s="0" t="s">
        <v>130</v>
      </c>
      <c r="BQ1328" s="0" t="s">
        <v>130</v>
      </c>
      <c r="BR1328" s="0" t="s">
        <v>130</v>
      </c>
      <c r="BS1328" s="0" t="s">
        <v>130</v>
      </c>
      <c r="BT1328" s="0" t="s">
        <v>130</v>
      </c>
      <c r="BU1328" s="0" t="s">
        <v>130</v>
      </c>
      <c r="BV1328" s="0" t="s">
        <v>130</v>
      </c>
      <c r="BW1328" s="0" t="s">
        <v>130</v>
      </c>
      <c r="BX1328" s="0" t="s">
        <v>130</v>
      </c>
      <c r="BY1328" s="0" t="s">
        <v>130</v>
      </c>
      <c r="BZ1328" s="0" t="s">
        <v>130</v>
      </c>
      <c r="CA1328" s="0" t="s">
        <v>130</v>
      </c>
      <c r="CB1328" s="0" t="s">
        <v>130</v>
      </c>
      <c r="CC1328" s="0" t="s">
        <v>130</v>
      </c>
      <c r="CD1328" s="0" t="s">
        <v>130</v>
      </c>
      <c r="CE1328" s="0" t="s">
        <v>130</v>
      </c>
      <c r="CF1328" s="0" t="s">
        <v>130</v>
      </c>
      <c r="CG1328" s="0" t="s">
        <v>130</v>
      </c>
      <c r="CH1328" s="0" t="s">
        <v>130</v>
      </c>
      <c r="CI1328" s="0" t="s">
        <v>130</v>
      </c>
      <c r="CJ1328" s="0" t="s">
        <v>130</v>
      </c>
      <c r="CK1328" s="0" t="s">
        <v>130</v>
      </c>
      <c r="CL1328" s="0" t="s">
        <v>130</v>
      </c>
      <c r="CM1328" s="0" t="s">
        <v>130</v>
      </c>
      <c r="CN1328" s="0" t="s">
        <v>130</v>
      </c>
      <c r="CO1328" s="0" t="s">
        <v>130</v>
      </c>
      <c r="CP1328" s="0" t="s">
        <v>130</v>
      </c>
      <c r="CQ1328" s="0" t="s">
        <v>130</v>
      </c>
      <c r="CR1328" s="0" t="s">
        <v>130</v>
      </c>
      <c r="CS1328" s="0" t="s">
        <v>130</v>
      </c>
      <c r="CT1328" s="0" t="s">
        <v>3899</v>
      </c>
    </row>
    <row r="1329">
      <c r="A1329" s="14">
        <v>8023686</v>
      </c>
      <c r="B1329" s="0" t="s">
        <v>3886</v>
      </c>
      <c r="C1329" s="16">
        <f>HYPERLINK("https://eosportal.federatedhermes.com/companies/Q29tcGFueQppODQwNjc=", "Mizuho Financial Group Inc")</f>
      </c>
      <c r="D1329" s="0" t="s">
        <v>25</v>
      </c>
      <c r="E1329" s="0" t="s">
        <v>3900</v>
      </c>
      <c r="F1329" s="16">
        <f>HYPERLINK("https://eosportal.federatedhermes.com/engagements/RW5nYWdlbWVudAppMjY5OTk=", "UNGP Reporting")</f>
      </c>
      <c r="G1329" s="14" t="s">
        <v>3901</v>
      </c>
      <c r="H1329" s="0" t="s">
        <v>141</v>
      </c>
      <c r="I1329" s="14" t="s">
        <v>191</v>
      </c>
      <c r="J1329" s="0" t="s">
        <v>153</v>
      </c>
      <c r="K1329" s="0" t="s">
        <v>243</v>
      </c>
      <c r="L1329" s="0" t="s">
        <v>244</v>
      </c>
      <c r="M1329" s="0" t="s">
        <v>802</v>
      </c>
      <c r="N1329" s="0" t="s">
        <v>952</v>
      </c>
      <c r="O1329" s="0" t="s">
        <v>238</v>
      </c>
      <c r="Q1329" s="0" t="s">
        <v>130</v>
      </c>
      <c r="R1329" s="0" t="s">
        <v>138</v>
      </c>
      <c r="S1329" s="14">
        <v>0</v>
      </c>
      <c r="T1329" s="0" t="s">
        <v>148</v>
      </c>
      <c r="U1329" s="0" t="s">
        <v>138</v>
      </c>
      <c r="V1329" s="14" t="s">
        <v>138</v>
      </c>
      <c r="W1329" s="0" t="s">
        <v>138</v>
      </c>
      <c r="X1329" s="14" t="s">
        <v>138</v>
      </c>
      <c r="Y1329" s="0" t="s">
        <v>138</v>
      </c>
      <c r="Z1329" s="14" t="s">
        <v>138</v>
      </c>
      <c r="AA1329" s="0" t="s">
        <v>138</v>
      </c>
      <c r="AB1329" s="14" t="s">
        <v>138</v>
      </c>
      <c r="AD1329" s="0" t="s">
        <v>138</v>
      </c>
      <c r="AF1329" s="0">
        <v>0</v>
      </c>
      <c r="AG1329" s="0">
        <v>0</v>
      </c>
      <c r="AH1329" s="0" t="s">
        <v>140</v>
      </c>
      <c r="AI1329" s="0" t="s">
        <v>138</v>
      </c>
      <c r="AL1329" s="14"/>
      <c r="AN1329" s="14"/>
      <c r="AQ1329" s="0" t="s">
        <v>130</v>
      </c>
      <c r="AR1329" s="0" t="s">
        <v>130</v>
      </c>
      <c r="AS1329" s="0" t="s">
        <v>130</v>
      </c>
      <c r="AT1329" s="0" t="s">
        <v>130</v>
      </c>
      <c r="AU1329" s="0" t="s">
        <v>130</v>
      </c>
      <c r="AV1329" s="0" t="s">
        <v>130</v>
      </c>
      <c r="AW1329" s="0" t="s">
        <v>130</v>
      </c>
      <c r="AX1329" s="0" t="s">
        <v>141</v>
      </c>
      <c r="AY1329" s="0" t="s">
        <v>130</v>
      </c>
      <c r="AZ1329" s="0" t="s">
        <v>130</v>
      </c>
      <c r="BA1329" s="0" t="s">
        <v>130</v>
      </c>
      <c r="BB1329" s="0" t="s">
        <v>130</v>
      </c>
      <c r="BC1329" s="0" t="s">
        <v>130</v>
      </c>
      <c r="BD1329" s="0" t="s">
        <v>130</v>
      </c>
      <c r="BE1329" s="0" t="s">
        <v>130</v>
      </c>
      <c r="BF1329" s="0" t="s">
        <v>130</v>
      </c>
      <c r="BG1329" s="0" t="s">
        <v>130</v>
      </c>
      <c r="BH1329" s="0" t="s">
        <v>130</v>
      </c>
      <c r="BI1329" s="0" t="s">
        <v>130</v>
      </c>
      <c r="BJ1329" s="0" t="s">
        <v>130</v>
      </c>
      <c r="BK1329" s="0" t="s">
        <v>130</v>
      </c>
      <c r="BL1329" s="0" t="s">
        <v>130</v>
      </c>
      <c r="BM1329" s="0" t="s">
        <v>130</v>
      </c>
      <c r="BN1329" s="0" t="s">
        <v>130</v>
      </c>
      <c r="BO1329" s="0" t="s">
        <v>130</v>
      </c>
      <c r="BP1329" s="0" t="s">
        <v>130</v>
      </c>
      <c r="BQ1329" s="0" t="s">
        <v>130</v>
      </c>
      <c r="BR1329" s="0" t="s">
        <v>130</v>
      </c>
      <c r="BS1329" s="0" t="s">
        <v>130</v>
      </c>
      <c r="BT1329" s="0" t="s">
        <v>130</v>
      </c>
      <c r="BU1329" s="0" t="s">
        <v>130</v>
      </c>
      <c r="BV1329" s="0" t="s">
        <v>130</v>
      </c>
      <c r="BW1329" s="0" t="s">
        <v>130</v>
      </c>
      <c r="BX1329" s="0" t="s">
        <v>130</v>
      </c>
      <c r="BY1329" s="0" t="s">
        <v>130</v>
      </c>
      <c r="BZ1329" s="0" t="s">
        <v>130</v>
      </c>
      <c r="CA1329" s="0" t="s">
        <v>130</v>
      </c>
      <c r="CB1329" s="0" t="s">
        <v>130</v>
      </c>
      <c r="CC1329" s="0" t="s">
        <v>130</v>
      </c>
      <c r="CD1329" s="0" t="s">
        <v>130</v>
      </c>
      <c r="CE1329" s="0" t="s">
        <v>130</v>
      </c>
      <c r="CF1329" s="0" t="s">
        <v>130</v>
      </c>
      <c r="CG1329" s="0" t="s">
        <v>130</v>
      </c>
      <c r="CH1329" s="0" t="s">
        <v>130</v>
      </c>
      <c r="CI1329" s="0" t="s">
        <v>130</v>
      </c>
      <c r="CJ1329" s="0" t="s">
        <v>130</v>
      </c>
      <c r="CK1329" s="0" t="s">
        <v>130</v>
      </c>
      <c r="CL1329" s="0" t="s">
        <v>130</v>
      </c>
      <c r="CM1329" s="0" t="s">
        <v>130</v>
      </c>
      <c r="CN1329" s="0" t="s">
        <v>130</v>
      </c>
      <c r="CO1329" s="0" t="s">
        <v>130</v>
      </c>
      <c r="CP1329" s="0" t="s">
        <v>130</v>
      </c>
      <c r="CQ1329" s="0" t="s">
        <v>130</v>
      </c>
      <c r="CR1329" s="0" t="s">
        <v>130</v>
      </c>
      <c r="CS1329" s="0" t="s">
        <v>130</v>
      </c>
      <c r="CT1329" s="0" t="s">
        <v>3902</v>
      </c>
    </row>
    <row r="1330">
      <c r="A1330" s="14">
        <v>8023686</v>
      </c>
      <c r="B1330" s="0" t="s">
        <v>3886</v>
      </c>
      <c r="C1330" s="16">
        <f>HYPERLINK("https://eosportal.federatedhermes.com/companies/Q29tcGFueQppODQwNjc=", "Mizuho Financial Group Inc")</f>
      </c>
      <c r="D1330" s="0" t="s">
        <v>25</v>
      </c>
      <c r="E1330" s="0" t="s">
        <v>1729</v>
      </c>
      <c r="F1330" s="16">
        <f>HYPERLINK("https://eosportal.federatedhermes.com/engagements/RW5nYWdlbWVudAppMjcwMDA=", "Business strategy")</f>
      </c>
      <c r="G1330" s="14" t="s">
        <v>3903</v>
      </c>
      <c r="H1330" s="0" t="s">
        <v>141</v>
      </c>
      <c r="I1330" s="14" t="s">
        <v>191</v>
      </c>
      <c r="J1330" s="0" t="s">
        <v>132</v>
      </c>
      <c r="K1330" s="0" t="s">
        <v>133</v>
      </c>
      <c r="L1330" s="0" t="s">
        <v>160</v>
      </c>
      <c r="M1330" s="0" t="s">
        <v>802</v>
      </c>
      <c r="N1330" s="0" t="s">
        <v>952</v>
      </c>
      <c r="O1330" s="0" t="s">
        <v>238</v>
      </c>
      <c r="Q1330" s="0" t="s">
        <v>141</v>
      </c>
      <c r="R1330" s="0" t="s">
        <v>138</v>
      </c>
      <c r="S1330" s="14">
        <v>1</v>
      </c>
      <c r="T1330" s="0" t="s">
        <v>3296</v>
      </c>
      <c r="U1330" s="0" t="s">
        <v>138</v>
      </c>
      <c r="V1330" s="14" t="s">
        <v>138</v>
      </c>
      <c r="W1330" s="0" t="s">
        <v>138</v>
      </c>
      <c r="X1330" s="14" t="s">
        <v>138</v>
      </c>
      <c r="Y1330" s="0" t="s">
        <v>138</v>
      </c>
      <c r="Z1330" s="14" t="s">
        <v>138</v>
      </c>
      <c r="AA1330" s="0" t="s">
        <v>138</v>
      </c>
      <c r="AB1330" s="14" t="s">
        <v>138</v>
      </c>
      <c r="AD1330" s="0" t="s">
        <v>138</v>
      </c>
      <c r="AF1330" s="0">
        <v>0</v>
      </c>
      <c r="AG1330" s="0">
        <v>0</v>
      </c>
      <c r="AH1330" s="0" t="s">
        <v>140</v>
      </c>
      <c r="AI1330" s="0" t="s">
        <v>138</v>
      </c>
      <c r="AK1330" s="0" t="s">
        <v>1386</v>
      </c>
      <c r="AL1330" s="14"/>
      <c r="AN1330" s="14"/>
      <c r="AQ1330" s="0" t="s">
        <v>130</v>
      </c>
      <c r="AR1330" s="0" t="s">
        <v>130</v>
      </c>
      <c r="AS1330" s="0" t="s">
        <v>130</v>
      </c>
      <c r="AT1330" s="0" t="s">
        <v>130</v>
      </c>
      <c r="AU1330" s="0" t="s">
        <v>130</v>
      </c>
      <c r="AV1330" s="0" t="s">
        <v>130</v>
      </c>
      <c r="AW1330" s="0" t="s">
        <v>130</v>
      </c>
      <c r="AX1330" s="0" t="s">
        <v>130</v>
      </c>
      <c r="AY1330" s="0" t="s">
        <v>130</v>
      </c>
      <c r="AZ1330" s="0" t="s">
        <v>130</v>
      </c>
      <c r="BA1330" s="0" t="s">
        <v>130</v>
      </c>
      <c r="BB1330" s="0" t="s">
        <v>130</v>
      </c>
      <c r="BC1330" s="0" t="s">
        <v>130</v>
      </c>
      <c r="BD1330" s="0" t="s">
        <v>130</v>
      </c>
      <c r="BE1330" s="0" t="s">
        <v>130</v>
      </c>
      <c r="BF1330" s="0" t="s">
        <v>130</v>
      </c>
      <c r="BG1330" s="0" t="s">
        <v>130</v>
      </c>
      <c r="BH1330" s="0" t="s">
        <v>130</v>
      </c>
      <c r="BI1330" s="0" t="s">
        <v>130</v>
      </c>
      <c r="BJ1330" s="0" t="s">
        <v>130</v>
      </c>
      <c r="BK1330" s="0" t="s">
        <v>130</v>
      </c>
      <c r="BL1330" s="0" t="s">
        <v>130</v>
      </c>
      <c r="BM1330" s="0" t="s">
        <v>130</v>
      </c>
      <c r="BN1330" s="0" t="s">
        <v>130</v>
      </c>
      <c r="BO1330" s="0" t="s">
        <v>130</v>
      </c>
      <c r="BP1330" s="0" t="s">
        <v>130</v>
      </c>
      <c r="BQ1330" s="0" t="s">
        <v>130</v>
      </c>
      <c r="BR1330" s="0" t="s">
        <v>130</v>
      </c>
      <c r="BS1330" s="0" t="s">
        <v>130</v>
      </c>
      <c r="BT1330" s="0" t="s">
        <v>130</v>
      </c>
      <c r="BU1330" s="0" t="s">
        <v>130</v>
      </c>
      <c r="BV1330" s="0" t="s">
        <v>130</v>
      </c>
      <c r="BW1330" s="0" t="s">
        <v>130</v>
      </c>
      <c r="BX1330" s="0" t="s">
        <v>130</v>
      </c>
      <c r="BY1330" s="0" t="s">
        <v>130</v>
      </c>
      <c r="BZ1330" s="0" t="s">
        <v>130</v>
      </c>
      <c r="CA1330" s="0" t="s">
        <v>130</v>
      </c>
      <c r="CB1330" s="0" t="s">
        <v>130</v>
      </c>
      <c r="CC1330" s="0" t="s">
        <v>130</v>
      </c>
      <c r="CD1330" s="0" t="s">
        <v>130</v>
      </c>
      <c r="CE1330" s="0" t="s">
        <v>130</v>
      </c>
      <c r="CF1330" s="0" t="s">
        <v>130</v>
      </c>
      <c r="CG1330" s="0" t="s">
        <v>130</v>
      </c>
      <c r="CH1330" s="0" t="s">
        <v>130</v>
      </c>
      <c r="CI1330" s="0" t="s">
        <v>130</v>
      </c>
      <c r="CJ1330" s="0" t="s">
        <v>130</v>
      </c>
      <c r="CK1330" s="0" t="s">
        <v>130</v>
      </c>
      <c r="CL1330" s="0" t="s">
        <v>130</v>
      </c>
      <c r="CM1330" s="0" t="s">
        <v>130</v>
      </c>
      <c r="CN1330" s="0" t="s">
        <v>130</v>
      </c>
      <c r="CO1330" s="0" t="s">
        <v>130</v>
      </c>
      <c r="CP1330" s="0" t="s">
        <v>130</v>
      </c>
      <c r="CQ1330" s="0" t="s">
        <v>130</v>
      </c>
      <c r="CR1330" s="0" t="s">
        <v>130</v>
      </c>
      <c r="CS1330" s="0" t="s">
        <v>130</v>
      </c>
      <c r="CT1330" s="0" t="s">
        <v>3904</v>
      </c>
    </row>
    <row r="1331">
      <c r="A1331" s="14">
        <v>8432931</v>
      </c>
      <c r="B1331" s="0" t="s">
        <v>3905</v>
      </c>
      <c r="C1331" s="16">
        <f>HYPERLINK("https://eosportal.federatedhermes.com/companies/Q29tcGFueQppODY0ODE=", "Northern Star Resources Ltd")</f>
      </c>
      <c r="D1331" s="0" t="s">
        <v>25</v>
      </c>
      <c r="E1331" s="0" t="s">
        <v>3906</v>
      </c>
      <c r="F1331" s="16">
        <f>HYPERLINK("https://eosportal.federatedhermes.com/engagements/RW5nYWdlbWVudAppMjcxNzU=", "ACSI engagement activity on Safety - Fatality")</f>
      </c>
      <c r="G1331" s="14" t="s">
        <v>3906</v>
      </c>
      <c r="H1331" s="0" t="s">
        <v>130</v>
      </c>
      <c r="I1331" s="14" t="s">
        <v>319</v>
      </c>
      <c r="J1331" s="0" t="s">
        <v>153</v>
      </c>
      <c r="K1331" s="0" t="s">
        <v>154</v>
      </c>
      <c r="L1331" s="0" t="s">
        <v>306</v>
      </c>
      <c r="M1331" s="0" t="s">
        <v>371</v>
      </c>
      <c r="N1331" s="0" t="s">
        <v>372</v>
      </c>
      <c r="O1331" s="0" t="s">
        <v>373</v>
      </c>
      <c r="Q1331" s="0" t="s">
        <v>130</v>
      </c>
      <c r="R1331" s="0" t="s">
        <v>138</v>
      </c>
      <c r="S1331" s="14">
        <v>0</v>
      </c>
      <c r="T1331" s="0" t="s">
        <v>206</v>
      </c>
      <c r="U1331" s="0" t="s">
        <v>138</v>
      </c>
      <c r="V1331" s="14" t="s">
        <v>138</v>
      </c>
      <c r="W1331" s="0" t="s">
        <v>138</v>
      </c>
      <c r="X1331" s="14" t="s">
        <v>138</v>
      </c>
      <c r="Y1331" s="0" t="s">
        <v>138</v>
      </c>
      <c r="Z1331" s="14" t="s">
        <v>138</v>
      </c>
      <c r="AA1331" s="0" t="s">
        <v>138</v>
      </c>
      <c r="AB1331" s="14" t="s">
        <v>138</v>
      </c>
      <c r="AD1331" s="0" t="s">
        <v>138</v>
      </c>
      <c r="AF1331" s="0">
        <v>0</v>
      </c>
      <c r="AG1331" s="0">
        <v>0</v>
      </c>
      <c r="AH1331" s="0" t="s">
        <v>140</v>
      </c>
      <c r="AI1331" s="0" t="s">
        <v>138</v>
      </c>
      <c r="AL1331" s="14"/>
      <c r="AN1331" s="14"/>
      <c r="AQ1331" s="0" t="s">
        <v>130</v>
      </c>
      <c r="AR1331" s="0" t="s">
        <v>130</v>
      </c>
      <c r="AS1331" s="0" t="s">
        <v>130</v>
      </c>
      <c r="AT1331" s="0" t="s">
        <v>130</v>
      </c>
      <c r="AU1331" s="0" t="s">
        <v>130</v>
      </c>
      <c r="AV1331" s="0" t="s">
        <v>130</v>
      </c>
      <c r="AW1331" s="0" t="s">
        <v>130</v>
      </c>
      <c r="AX1331" s="0" t="s">
        <v>130</v>
      </c>
      <c r="AY1331" s="0" t="s">
        <v>130</v>
      </c>
      <c r="AZ1331" s="0" t="s">
        <v>130</v>
      </c>
      <c r="BA1331" s="0" t="s">
        <v>130</v>
      </c>
      <c r="BB1331" s="0" t="s">
        <v>130</v>
      </c>
      <c r="BC1331" s="0" t="s">
        <v>130</v>
      </c>
      <c r="BD1331" s="0" t="s">
        <v>130</v>
      </c>
      <c r="BE1331" s="0" t="s">
        <v>130</v>
      </c>
      <c r="BF1331" s="0" t="s">
        <v>130</v>
      </c>
      <c r="BG1331" s="0" t="s">
        <v>130</v>
      </c>
      <c r="BH1331" s="0" t="s">
        <v>130</v>
      </c>
      <c r="BI1331" s="0" t="s">
        <v>130</v>
      </c>
      <c r="BJ1331" s="0" t="s">
        <v>130</v>
      </c>
      <c r="BK1331" s="0" t="s">
        <v>130</v>
      </c>
      <c r="BL1331" s="0" t="s">
        <v>130</v>
      </c>
      <c r="BM1331" s="0" t="s">
        <v>130</v>
      </c>
      <c r="BN1331" s="0" t="s">
        <v>130</v>
      </c>
      <c r="BO1331" s="0" t="s">
        <v>130</v>
      </c>
      <c r="BP1331" s="0" t="s">
        <v>130</v>
      </c>
      <c r="BQ1331" s="0" t="s">
        <v>130</v>
      </c>
      <c r="BR1331" s="0" t="s">
        <v>130</v>
      </c>
      <c r="BS1331" s="0" t="s">
        <v>130</v>
      </c>
      <c r="BT1331" s="0" t="s">
        <v>130</v>
      </c>
      <c r="BU1331" s="0" t="s">
        <v>130</v>
      </c>
      <c r="BV1331" s="0" t="s">
        <v>130</v>
      </c>
      <c r="BW1331" s="0" t="s">
        <v>130</v>
      </c>
      <c r="BX1331" s="0" t="s">
        <v>130</v>
      </c>
      <c r="BY1331" s="0" t="s">
        <v>130</v>
      </c>
      <c r="BZ1331" s="0" t="s">
        <v>130</v>
      </c>
      <c r="CA1331" s="0" t="s">
        <v>130</v>
      </c>
      <c r="CB1331" s="0" t="s">
        <v>130</v>
      </c>
      <c r="CC1331" s="0" t="s">
        <v>130</v>
      </c>
      <c r="CD1331" s="0" t="s">
        <v>130</v>
      </c>
      <c r="CE1331" s="0" t="s">
        <v>130</v>
      </c>
      <c r="CF1331" s="0" t="s">
        <v>130</v>
      </c>
      <c r="CG1331" s="0" t="s">
        <v>130</v>
      </c>
      <c r="CH1331" s="0" t="s">
        <v>130</v>
      </c>
      <c r="CI1331" s="0" t="s">
        <v>130</v>
      </c>
      <c r="CJ1331" s="0" t="s">
        <v>130</v>
      </c>
      <c r="CK1331" s="0" t="s">
        <v>130</v>
      </c>
      <c r="CL1331" s="0" t="s">
        <v>130</v>
      </c>
      <c r="CM1331" s="0" t="s">
        <v>130</v>
      </c>
      <c r="CN1331" s="0" t="s">
        <v>130</v>
      </c>
      <c r="CO1331" s="0" t="s">
        <v>130</v>
      </c>
      <c r="CP1331" s="0" t="s">
        <v>130</v>
      </c>
      <c r="CQ1331" s="0" t="s">
        <v>130</v>
      </c>
      <c r="CR1331" s="0" t="s">
        <v>130</v>
      </c>
      <c r="CS1331" s="0" t="s">
        <v>130</v>
      </c>
      <c r="CT1331" s="0" t="s">
        <v>3907</v>
      </c>
    </row>
    <row r="1332">
      <c r="A1332" s="14">
        <v>8432931</v>
      </c>
      <c r="B1332" s="0" t="s">
        <v>3905</v>
      </c>
      <c r="C1332" s="16">
        <f>HYPERLINK("https://eosportal.federatedhermes.com/companies/Q29tcGFueQppODY0ODE=", "Northern Star Resources Ltd")</f>
      </c>
      <c r="D1332" s="0" t="s">
        <v>25</v>
      </c>
      <c r="E1332" s="0" t="s">
        <v>3908</v>
      </c>
      <c r="F1332" s="16">
        <f>HYPERLINK("https://eosportal.federatedhermes.com/engagements/RW5nYWdlbWVudAppMjcxNzY=", "ACSI engagement activity on Remuneration - CEO bonus potential")</f>
      </c>
      <c r="G1332" s="14" t="s">
        <v>3908</v>
      </c>
      <c r="H1332" s="0" t="s">
        <v>130</v>
      </c>
      <c r="I1332" s="14" t="s">
        <v>319</v>
      </c>
      <c r="J1332" s="0" t="s">
        <v>145</v>
      </c>
      <c r="K1332" s="0" t="s">
        <v>146</v>
      </c>
      <c r="L1332" s="0" t="s">
        <v>147</v>
      </c>
      <c r="M1332" s="0" t="s">
        <v>371</v>
      </c>
      <c r="N1332" s="0" t="s">
        <v>372</v>
      </c>
      <c r="O1332" s="0" t="s">
        <v>373</v>
      </c>
      <c r="Q1332" s="0" t="s">
        <v>130</v>
      </c>
      <c r="R1332" s="0" t="s">
        <v>138</v>
      </c>
      <c r="S1332" s="14">
        <v>0</v>
      </c>
      <c r="T1332" s="0" t="s">
        <v>206</v>
      </c>
      <c r="U1332" s="0" t="s">
        <v>138</v>
      </c>
      <c r="V1332" s="14" t="s">
        <v>138</v>
      </c>
      <c r="W1332" s="0" t="s">
        <v>138</v>
      </c>
      <c r="X1332" s="14" t="s">
        <v>138</v>
      </c>
      <c r="Y1332" s="0" t="s">
        <v>138</v>
      </c>
      <c r="Z1332" s="14" t="s">
        <v>138</v>
      </c>
      <c r="AA1332" s="0" t="s">
        <v>138</v>
      </c>
      <c r="AB1332" s="14" t="s">
        <v>138</v>
      </c>
      <c r="AD1332" s="0" t="s">
        <v>138</v>
      </c>
      <c r="AF1332" s="0">
        <v>0</v>
      </c>
      <c r="AG1332" s="0">
        <v>0</v>
      </c>
      <c r="AH1332" s="0" t="s">
        <v>140</v>
      </c>
      <c r="AI1332" s="0" t="s">
        <v>138</v>
      </c>
      <c r="AL1332" s="14"/>
      <c r="AN1332" s="14"/>
      <c r="AQ1332" s="0" t="s">
        <v>130</v>
      </c>
      <c r="AR1332" s="0" t="s">
        <v>130</v>
      </c>
      <c r="AS1332" s="0" t="s">
        <v>130</v>
      </c>
      <c r="AT1332" s="0" t="s">
        <v>130</v>
      </c>
      <c r="AU1332" s="0" t="s">
        <v>130</v>
      </c>
      <c r="AV1332" s="0" t="s">
        <v>130</v>
      </c>
      <c r="AW1332" s="0" t="s">
        <v>130</v>
      </c>
      <c r="AX1332" s="0" t="s">
        <v>130</v>
      </c>
      <c r="AY1332" s="0" t="s">
        <v>130</v>
      </c>
      <c r="AZ1332" s="0" t="s">
        <v>130</v>
      </c>
      <c r="BA1332" s="0" t="s">
        <v>130</v>
      </c>
      <c r="BB1332" s="0" t="s">
        <v>130</v>
      </c>
      <c r="BC1332" s="0" t="s">
        <v>130</v>
      </c>
      <c r="BD1332" s="0" t="s">
        <v>130</v>
      </c>
      <c r="BE1332" s="0" t="s">
        <v>130</v>
      </c>
      <c r="BF1332" s="0" t="s">
        <v>130</v>
      </c>
      <c r="BG1332" s="0" t="s">
        <v>130</v>
      </c>
      <c r="BH1332" s="0" t="s">
        <v>130</v>
      </c>
      <c r="BI1332" s="0" t="s">
        <v>130</v>
      </c>
      <c r="BJ1332" s="0" t="s">
        <v>130</v>
      </c>
      <c r="BK1332" s="0" t="s">
        <v>130</v>
      </c>
      <c r="BL1332" s="0" t="s">
        <v>130</v>
      </c>
      <c r="BM1332" s="0" t="s">
        <v>130</v>
      </c>
      <c r="BN1332" s="0" t="s">
        <v>130</v>
      </c>
      <c r="BO1332" s="0" t="s">
        <v>130</v>
      </c>
      <c r="BP1332" s="0" t="s">
        <v>130</v>
      </c>
      <c r="BQ1332" s="0" t="s">
        <v>130</v>
      </c>
      <c r="BR1332" s="0" t="s">
        <v>130</v>
      </c>
      <c r="BS1332" s="0" t="s">
        <v>130</v>
      </c>
      <c r="BT1332" s="0" t="s">
        <v>130</v>
      </c>
      <c r="BU1332" s="0" t="s">
        <v>130</v>
      </c>
      <c r="BV1332" s="0" t="s">
        <v>130</v>
      </c>
      <c r="BW1332" s="0" t="s">
        <v>130</v>
      </c>
      <c r="BX1332" s="0" t="s">
        <v>130</v>
      </c>
      <c r="BY1332" s="0" t="s">
        <v>130</v>
      </c>
      <c r="BZ1332" s="0" t="s">
        <v>130</v>
      </c>
      <c r="CA1332" s="0" t="s">
        <v>130</v>
      </c>
      <c r="CB1332" s="0" t="s">
        <v>130</v>
      </c>
      <c r="CC1332" s="0" t="s">
        <v>130</v>
      </c>
      <c r="CD1332" s="0" t="s">
        <v>130</v>
      </c>
      <c r="CE1332" s="0" t="s">
        <v>130</v>
      </c>
      <c r="CF1332" s="0" t="s">
        <v>130</v>
      </c>
      <c r="CG1332" s="0" t="s">
        <v>130</v>
      </c>
      <c r="CH1332" s="0" t="s">
        <v>130</v>
      </c>
      <c r="CI1332" s="0" t="s">
        <v>130</v>
      </c>
      <c r="CJ1332" s="0" t="s">
        <v>130</v>
      </c>
      <c r="CK1332" s="0" t="s">
        <v>130</v>
      </c>
      <c r="CL1332" s="0" t="s">
        <v>130</v>
      </c>
      <c r="CM1332" s="0" t="s">
        <v>130</v>
      </c>
      <c r="CN1332" s="0" t="s">
        <v>130</v>
      </c>
      <c r="CO1332" s="0" t="s">
        <v>130</v>
      </c>
      <c r="CP1332" s="0" t="s">
        <v>130</v>
      </c>
      <c r="CQ1332" s="0" t="s">
        <v>130</v>
      </c>
      <c r="CR1332" s="0" t="s">
        <v>130</v>
      </c>
      <c r="CS1332" s="0" t="s">
        <v>130</v>
      </c>
      <c r="CT1332" s="0" t="s">
        <v>3909</v>
      </c>
    </row>
    <row r="1333">
      <c r="A1333" s="14">
        <v>8502156</v>
      </c>
      <c r="B1333" s="0" t="s">
        <v>3910</v>
      </c>
      <c r="C1333" s="16">
        <f>HYPERLINK("https://eosportal.federatedhermes.com/companies/Q29tcGFueQppODYyODc=", "NRG Energy Inc")</f>
      </c>
      <c r="D1333" s="0" t="s">
        <v>25</v>
      </c>
      <c r="E1333" s="0" t="s">
        <v>773</v>
      </c>
      <c r="F1333" s="16">
        <f>HYPERLINK("https://eosportal.federatedhermes.com/engagements/RW5nYWdlbWVudAppMjcyMTc=", "Best practice actions to limit climate change exposure")</f>
      </c>
      <c r="G1333" s="14" t="s">
        <v>3911</v>
      </c>
      <c r="H1333" s="0" t="s">
        <v>141</v>
      </c>
      <c r="I1333" s="14" t="s">
        <v>191</v>
      </c>
      <c r="J1333" s="0" t="s">
        <v>197</v>
      </c>
      <c r="K1333" s="0" t="s">
        <v>198</v>
      </c>
      <c r="L1333" s="0" t="s">
        <v>199</v>
      </c>
      <c r="M1333" s="0" t="s">
        <v>135</v>
      </c>
      <c r="N1333" s="0" t="s">
        <v>136</v>
      </c>
      <c r="O1333" s="0" t="s">
        <v>192</v>
      </c>
      <c r="Q1333" s="0" t="s">
        <v>130</v>
      </c>
      <c r="R1333" s="0" t="s">
        <v>138</v>
      </c>
      <c r="S1333" s="14">
        <v>0</v>
      </c>
      <c r="T1333" s="0" t="s">
        <v>384</v>
      </c>
      <c r="U1333" s="0" t="s">
        <v>138</v>
      </c>
      <c r="V1333" s="14" t="s">
        <v>138</v>
      </c>
      <c r="W1333" s="0" t="s">
        <v>138</v>
      </c>
      <c r="X1333" s="14" t="s">
        <v>138</v>
      </c>
      <c r="Y1333" s="0" t="s">
        <v>138</v>
      </c>
      <c r="Z1333" s="14" t="s">
        <v>138</v>
      </c>
      <c r="AA1333" s="0" t="s">
        <v>138</v>
      </c>
      <c r="AB1333" s="14" t="s">
        <v>138</v>
      </c>
      <c r="AD1333" s="0" t="s">
        <v>138</v>
      </c>
      <c r="AF1333" s="0">
        <v>0</v>
      </c>
      <c r="AG1333" s="0">
        <v>0</v>
      </c>
      <c r="AH1333" s="0" t="s">
        <v>140</v>
      </c>
      <c r="AI1333" s="0" t="s">
        <v>138</v>
      </c>
      <c r="AL1333" s="14"/>
      <c r="AN1333" s="14"/>
      <c r="AQ1333" s="0" t="s">
        <v>130</v>
      </c>
      <c r="AR1333" s="0" t="s">
        <v>130</v>
      </c>
      <c r="AS1333" s="0" t="s">
        <v>130</v>
      </c>
      <c r="AT1333" s="0" t="s">
        <v>130</v>
      </c>
      <c r="AU1333" s="0" t="s">
        <v>130</v>
      </c>
      <c r="AV1333" s="0" t="s">
        <v>130</v>
      </c>
      <c r="AW1333" s="0" t="s">
        <v>130</v>
      </c>
      <c r="AX1333" s="0" t="s">
        <v>130</v>
      </c>
      <c r="AY1333" s="0" t="s">
        <v>130</v>
      </c>
      <c r="AZ1333" s="0" t="s">
        <v>130</v>
      </c>
      <c r="BA1333" s="0" t="s">
        <v>130</v>
      </c>
      <c r="BB1333" s="0" t="s">
        <v>141</v>
      </c>
      <c r="BC1333" s="0" t="s">
        <v>130</v>
      </c>
      <c r="BD1333" s="0" t="s">
        <v>130</v>
      </c>
      <c r="BE1333" s="0" t="s">
        <v>130</v>
      </c>
      <c r="BF1333" s="0" t="s">
        <v>130</v>
      </c>
      <c r="BG1333" s="0" t="s">
        <v>130</v>
      </c>
      <c r="BH1333" s="0" t="s">
        <v>130</v>
      </c>
      <c r="BI1333" s="0" t="s">
        <v>130</v>
      </c>
      <c r="BJ1333" s="0" t="s">
        <v>130</v>
      </c>
      <c r="BK1333" s="0" t="s">
        <v>130</v>
      </c>
      <c r="BL1333" s="0" t="s">
        <v>130</v>
      </c>
      <c r="BM1333" s="0" t="s">
        <v>130</v>
      </c>
      <c r="BN1333" s="0" t="s">
        <v>130</v>
      </c>
      <c r="BO1333" s="0" t="s">
        <v>130</v>
      </c>
      <c r="BP1333" s="0" t="s">
        <v>130</v>
      </c>
      <c r="BQ1333" s="0" t="s">
        <v>130</v>
      </c>
      <c r="BR1333" s="0" t="s">
        <v>130</v>
      </c>
      <c r="BS1333" s="0" t="s">
        <v>130</v>
      </c>
      <c r="BT1333" s="0" t="s">
        <v>130</v>
      </c>
      <c r="BU1333" s="0" t="s">
        <v>130</v>
      </c>
      <c r="BV1333" s="0" t="s">
        <v>130</v>
      </c>
      <c r="BW1333" s="0" t="s">
        <v>130</v>
      </c>
      <c r="BX1333" s="0" t="s">
        <v>130</v>
      </c>
      <c r="BY1333" s="0" t="s">
        <v>130</v>
      </c>
      <c r="BZ1333" s="0" t="s">
        <v>130</v>
      </c>
      <c r="CA1333" s="0" t="s">
        <v>130</v>
      </c>
      <c r="CB1333" s="0" t="s">
        <v>130</v>
      </c>
      <c r="CC1333" s="0" t="s">
        <v>130</v>
      </c>
      <c r="CD1333" s="0" t="s">
        <v>130</v>
      </c>
      <c r="CE1333" s="0" t="s">
        <v>130</v>
      </c>
      <c r="CF1333" s="0" t="s">
        <v>130</v>
      </c>
      <c r="CG1333" s="0" t="s">
        <v>130</v>
      </c>
      <c r="CH1333" s="0" t="s">
        <v>130</v>
      </c>
      <c r="CI1333" s="0" t="s">
        <v>130</v>
      </c>
      <c r="CJ1333" s="0" t="s">
        <v>130</v>
      </c>
      <c r="CK1333" s="0" t="s">
        <v>130</v>
      </c>
      <c r="CL1333" s="0" t="s">
        <v>130</v>
      </c>
      <c r="CM1333" s="0" t="s">
        <v>130</v>
      </c>
      <c r="CN1333" s="0" t="s">
        <v>130</v>
      </c>
      <c r="CO1333" s="0" t="s">
        <v>130</v>
      </c>
      <c r="CP1333" s="0" t="s">
        <v>130</v>
      </c>
      <c r="CQ1333" s="0" t="s">
        <v>130</v>
      </c>
      <c r="CR1333" s="0" t="s">
        <v>130</v>
      </c>
      <c r="CS1333" s="0" t="s">
        <v>130</v>
      </c>
      <c r="CT1333" s="0" t="s">
        <v>3912</v>
      </c>
    </row>
    <row r="1334">
      <c r="A1334" s="14">
        <v>8502156</v>
      </c>
      <c r="B1334" s="0" t="s">
        <v>3910</v>
      </c>
      <c r="C1334" s="16">
        <f>HYPERLINK("https://eosportal.federatedhermes.com/companies/Q29tcGFueQppODYyODc=", "NRG Energy Inc")</f>
      </c>
      <c r="D1334" s="0" t="s">
        <v>23</v>
      </c>
      <c r="E1334" s="0" t="s">
        <v>1266</v>
      </c>
      <c r="F1334" s="16">
        <f>HYPERLINK("https://eosportal.federatedhermes.com/engagements/RW5nYWdlbWVudAppMjcyMTk=", "Climate resilient asset plan")</f>
      </c>
      <c r="G1334" s="14" t="s">
        <v>3913</v>
      </c>
      <c r="H1334" s="0" t="s">
        <v>141</v>
      </c>
      <c r="I1334" s="14" t="s">
        <v>191</v>
      </c>
      <c r="J1334" s="0" t="s">
        <v>197</v>
      </c>
      <c r="K1334" s="0" t="s">
        <v>198</v>
      </c>
      <c r="L1334" s="0" t="s">
        <v>220</v>
      </c>
      <c r="M1334" s="0" t="s">
        <v>135</v>
      </c>
      <c r="N1334" s="0" t="s">
        <v>136</v>
      </c>
      <c r="O1334" s="0" t="s">
        <v>192</v>
      </c>
      <c r="Q1334" s="0" t="s">
        <v>141</v>
      </c>
      <c r="R1334" s="0" t="s">
        <v>130</v>
      </c>
      <c r="S1334" s="14">
        <v>1</v>
      </c>
      <c r="T1334" s="0" t="s">
        <v>156</v>
      </c>
      <c r="U1334" s="0" t="s">
        <v>221</v>
      </c>
      <c r="V1334" s="14" t="s">
        <v>156</v>
      </c>
      <c r="W1334" s="0" t="s">
        <v>221</v>
      </c>
      <c r="X1334" s="14" t="s">
        <v>156</v>
      </c>
      <c r="Y1334" s="0" t="s">
        <v>221</v>
      </c>
      <c r="Z1334" s="14" t="s">
        <v>2428</v>
      </c>
      <c r="AA1334" s="0" t="s">
        <v>223</v>
      </c>
      <c r="AB1334" s="14" t="s">
        <v>138</v>
      </c>
      <c r="AD1334" s="0" t="s">
        <v>20</v>
      </c>
      <c r="AF1334" s="0">
        <v>0</v>
      </c>
      <c r="AG1334" s="0">
        <v>0</v>
      </c>
      <c r="AH1334" s="0" t="s">
        <v>140</v>
      </c>
      <c r="AI1334" s="0" t="s">
        <v>232</v>
      </c>
      <c r="AK1334" s="0" t="s">
        <v>749</v>
      </c>
      <c r="AL1334" s="14"/>
      <c r="AN1334" s="14"/>
      <c r="AQ1334" s="0" t="s">
        <v>130</v>
      </c>
      <c r="AR1334" s="0" t="s">
        <v>130</v>
      </c>
      <c r="AS1334" s="0" t="s">
        <v>130</v>
      </c>
      <c r="AT1334" s="0" t="s">
        <v>130</v>
      </c>
      <c r="AU1334" s="0" t="s">
        <v>130</v>
      </c>
      <c r="AV1334" s="0" t="s">
        <v>130</v>
      </c>
      <c r="AW1334" s="0" t="s">
        <v>141</v>
      </c>
      <c r="AX1334" s="0" t="s">
        <v>130</v>
      </c>
      <c r="AY1334" s="0" t="s">
        <v>141</v>
      </c>
      <c r="AZ1334" s="0" t="s">
        <v>130</v>
      </c>
      <c r="BA1334" s="0" t="s">
        <v>130</v>
      </c>
      <c r="BB1334" s="0" t="s">
        <v>130</v>
      </c>
      <c r="BC1334" s="0" t="s">
        <v>141</v>
      </c>
      <c r="BD1334" s="0" t="s">
        <v>130</v>
      </c>
      <c r="BE1334" s="0" t="s">
        <v>130</v>
      </c>
      <c r="BF1334" s="0" t="s">
        <v>130</v>
      </c>
      <c r="BG1334" s="0" t="s">
        <v>130</v>
      </c>
      <c r="BH1334" s="0" t="s">
        <v>141</v>
      </c>
      <c r="BI1334" s="0" t="s">
        <v>141</v>
      </c>
      <c r="BJ1334" s="0" t="s">
        <v>141</v>
      </c>
      <c r="BK1334" s="0" t="s">
        <v>130</v>
      </c>
      <c r="BL1334" s="0" t="s">
        <v>130</v>
      </c>
      <c r="BM1334" s="0" t="s">
        <v>130</v>
      </c>
      <c r="BN1334" s="0" t="s">
        <v>130</v>
      </c>
      <c r="BO1334" s="0" t="s">
        <v>130</v>
      </c>
      <c r="BP1334" s="0" t="s">
        <v>130</v>
      </c>
      <c r="BQ1334" s="0" t="s">
        <v>130</v>
      </c>
      <c r="BR1334" s="0" t="s">
        <v>130</v>
      </c>
      <c r="BS1334" s="0" t="s">
        <v>130</v>
      </c>
      <c r="BT1334" s="0" t="s">
        <v>130</v>
      </c>
      <c r="BU1334" s="0" t="s">
        <v>130</v>
      </c>
      <c r="BV1334" s="0" t="s">
        <v>141</v>
      </c>
      <c r="BW1334" s="0" t="s">
        <v>141</v>
      </c>
      <c r="BX1334" s="0" t="s">
        <v>130</v>
      </c>
      <c r="BY1334" s="0" t="s">
        <v>130</v>
      </c>
      <c r="BZ1334" s="0" t="s">
        <v>130</v>
      </c>
      <c r="CA1334" s="0" t="s">
        <v>130</v>
      </c>
      <c r="CB1334" s="0" t="s">
        <v>130</v>
      </c>
      <c r="CC1334" s="0" t="s">
        <v>130</v>
      </c>
      <c r="CD1334" s="0" t="s">
        <v>130</v>
      </c>
      <c r="CE1334" s="0" t="s">
        <v>130</v>
      </c>
      <c r="CF1334" s="0" t="s">
        <v>130</v>
      </c>
      <c r="CG1334" s="0" t="s">
        <v>130</v>
      </c>
      <c r="CH1334" s="0" t="s">
        <v>130</v>
      </c>
      <c r="CI1334" s="0" t="s">
        <v>130</v>
      </c>
      <c r="CJ1334" s="0" t="s">
        <v>130</v>
      </c>
      <c r="CK1334" s="0" t="s">
        <v>130</v>
      </c>
      <c r="CL1334" s="0" t="s">
        <v>130</v>
      </c>
      <c r="CM1334" s="0" t="s">
        <v>130</v>
      </c>
      <c r="CN1334" s="0" t="s">
        <v>130</v>
      </c>
      <c r="CO1334" s="0" t="s">
        <v>130</v>
      </c>
      <c r="CP1334" s="0" t="s">
        <v>130</v>
      </c>
      <c r="CQ1334" s="0" t="s">
        <v>130</v>
      </c>
      <c r="CR1334" s="0" t="s">
        <v>130</v>
      </c>
      <c r="CS1334" s="0" t="s">
        <v>130</v>
      </c>
      <c r="CT1334" s="0" t="s">
        <v>3914</v>
      </c>
    </row>
    <row r="1335">
      <c r="A1335" s="14">
        <v>8502156</v>
      </c>
      <c r="B1335" s="0" t="s">
        <v>3910</v>
      </c>
      <c r="C1335" s="16">
        <f>HYPERLINK("https://eosportal.federatedhermes.com/companies/Q29tcGFueQppODYyODc=", "NRG Energy Inc")</f>
      </c>
      <c r="D1335" s="0" t="s">
        <v>23</v>
      </c>
      <c r="E1335" s="0" t="s">
        <v>433</v>
      </c>
      <c r="F1335" s="16">
        <f>HYPERLINK("https://eosportal.federatedhermes.com/engagements/RW5nYWdlbWVudAppMjcyMjA=", "Human rights policy")</f>
      </c>
      <c r="G1335" s="14" t="s">
        <v>3915</v>
      </c>
      <c r="H1335" s="0" t="s">
        <v>141</v>
      </c>
      <c r="I1335" s="14" t="s">
        <v>191</v>
      </c>
      <c r="J1335" s="0" t="s">
        <v>153</v>
      </c>
      <c r="K1335" s="0" t="s">
        <v>243</v>
      </c>
      <c r="L1335" s="0" t="s">
        <v>244</v>
      </c>
      <c r="M1335" s="0" t="s">
        <v>135</v>
      </c>
      <c r="N1335" s="0" t="s">
        <v>136</v>
      </c>
      <c r="O1335" s="0" t="s">
        <v>192</v>
      </c>
      <c r="Q1335" s="0" t="s">
        <v>141</v>
      </c>
      <c r="R1335" s="0" t="s">
        <v>130</v>
      </c>
      <c r="S1335" s="14">
        <v>2</v>
      </c>
      <c r="T1335" s="0" t="s">
        <v>206</v>
      </c>
      <c r="U1335" s="0" t="s">
        <v>221</v>
      </c>
      <c r="V1335" s="14" t="s">
        <v>206</v>
      </c>
      <c r="W1335" s="0" t="s">
        <v>221</v>
      </c>
      <c r="X1335" s="14" t="s">
        <v>206</v>
      </c>
      <c r="Y1335" s="0" t="s">
        <v>223</v>
      </c>
      <c r="Z1335" s="14" t="s">
        <v>138</v>
      </c>
      <c r="AA1335" s="0" t="s">
        <v>224</v>
      </c>
      <c r="AB1335" s="14" t="s">
        <v>138</v>
      </c>
      <c r="AD1335" s="0" t="s">
        <v>17</v>
      </c>
      <c r="AF1335" s="0">
        <v>0</v>
      </c>
      <c r="AG1335" s="0">
        <v>0</v>
      </c>
      <c r="AH1335" s="0" t="s">
        <v>140</v>
      </c>
      <c r="AI1335" s="0" t="s">
        <v>225</v>
      </c>
      <c r="AK1335" s="0" t="s">
        <v>749</v>
      </c>
      <c r="AL1335" s="14"/>
      <c r="AN1335" s="14"/>
      <c r="AQ1335" s="0" t="s">
        <v>130</v>
      </c>
      <c r="AR1335" s="0" t="s">
        <v>130</v>
      </c>
      <c r="AS1335" s="0" t="s">
        <v>130</v>
      </c>
      <c r="AT1335" s="0" t="s">
        <v>130</v>
      </c>
      <c r="AU1335" s="0" t="s">
        <v>130</v>
      </c>
      <c r="AV1335" s="0" t="s">
        <v>130</v>
      </c>
      <c r="AW1335" s="0" t="s">
        <v>130</v>
      </c>
      <c r="AX1335" s="0" t="s">
        <v>141</v>
      </c>
      <c r="AY1335" s="0" t="s">
        <v>130</v>
      </c>
      <c r="AZ1335" s="0" t="s">
        <v>130</v>
      </c>
      <c r="BA1335" s="0" t="s">
        <v>130</v>
      </c>
      <c r="BB1335" s="0" t="s">
        <v>130</v>
      </c>
      <c r="BC1335" s="0" t="s">
        <v>130</v>
      </c>
      <c r="BD1335" s="0" t="s">
        <v>130</v>
      </c>
      <c r="BE1335" s="0" t="s">
        <v>130</v>
      </c>
      <c r="BF1335" s="0" t="s">
        <v>130</v>
      </c>
      <c r="BG1335" s="0" t="s">
        <v>130</v>
      </c>
      <c r="BH1335" s="0" t="s">
        <v>130</v>
      </c>
      <c r="BI1335" s="0" t="s">
        <v>130</v>
      </c>
      <c r="BJ1335" s="0" t="s">
        <v>130</v>
      </c>
      <c r="BK1335" s="0" t="s">
        <v>130</v>
      </c>
      <c r="BL1335" s="0" t="s">
        <v>130</v>
      </c>
      <c r="BM1335" s="0" t="s">
        <v>130</v>
      </c>
      <c r="BN1335" s="0" t="s">
        <v>130</v>
      </c>
      <c r="BO1335" s="0" t="s">
        <v>130</v>
      </c>
      <c r="BP1335" s="0" t="s">
        <v>130</v>
      </c>
      <c r="BQ1335" s="0" t="s">
        <v>130</v>
      </c>
      <c r="BR1335" s="0" t="s">
        <v>130</v>
      </c>
      <c r="BS1335" s="0" t="s">
        <v>130</v>
      </c>
      <c r="BT1335" s="0" t="s">
        <v>130</v>
      </c>
      <c r="BU1335" s="0" t="s">
        <v>130</v>
      </c>
      <c r="BV1335" s="0" t="s">
        <v>130</v>
      </c>
      <c r="BW1335" s="0" t="s">
        <v>130</v>
      </c>
      <c r="BX1335" s="0" t="s">
        <v>130</v>
      </c>
      <c r="BY1335" s="0" t="s">
        <v>130</v>
      </c>
      <c r="BZ1335" s="0" t="s">
        <v>130</v>
      </c>
      <c r="CA1335" s="0" t="s">
        <v>130</v>
      </c>
      <c r="CB1335" s="0" t="s">
        <v>130</v>
      </c>
      <c r="CC1335" s="0" t="s">
        <v>130</v>
      </c>
      <c r="CD1335" s="0" t="s">
        <v>130</v>
      </c>
      <c r="CE1335" s="0" t="s">
        <v>130</v>
      </c>
      <c r="CF1335" s="0" t="s">
        <v>130</v>
      </c>
      <c r="CG1335" s="0" t="s">
        <v>130</v>
      </c>
      <c r="CH1335" s="0" t="s">
        <v>130</v>
      </c>
      <c r="CI1335" s="0" t="s">
        <v>130</v>
      </c>
      <c r="CJ1335" s="0" t="s">
        <v>130</v>
      </c>
      <c r="CK1335" s="0" t="s">
        <v>130</v>
      </c>
      <c r="CL1335" s="0" t="s">
        <v>130</v>
      </c>
      <c r="CM1335" s="0" t="s">
        <v>130</v>
      </c>
      <c r="CN1335" s="0" t="s">
        <v>130</v>
      </c>
      <c r="CO1335" s="0" t="s">
        <v>130</v>
      </c>
      <c r="CP1335" s="0" t="s">
        <v>130</v>
      </c>
      <c r="CQ1335" s="0" t="s">
        <v>130</v>
      </c>
      <c r="CR1335" s="0" t="s">
        <v>130</v>
      </c>
      <c r="CS1335" s="0" t="s">
        <v>130</v>
      </c>
      <c r="CT1335" s="0" t="s">
        <v>3916</v>
      </c>
    </row>
    <row r="1336">
      <c r="A1336" s="14">
        <v>8641755</v>
      </c>
      <c r="B1336" s="0" t="s">
        <v>3917</v>
      </c>
      <c r="C1336" s="16">
        <f>HYPERLINK("https://eosportal.federatedhermes.com/companies/Q29tcGFueQppODI2NzY=", "Yara International ASA")</f>
      </c>
      <c r="D1336" s="0" t="s">
        <v>25</v>
      </c>
      <c r="E1336" s="0" t="s">
        <v>3918</v>
      </c>
      <c r="F1336" s="16">
        <f>HYPERLINK("https://eosportal.federatedhermes.com/engagements/RW5nYWdlbWVudAppMjcyODk=", "Bribery &amp; corruption")</f>
      </c>
      <c r="G1336" s="14" t="s">
        <v>2446</v>
      </c>
      <c r="H1336" s="0" t="s">
        <v>141</v>
      </c>
      <c r="I1336" s="14" t="s">
        <v>636</v>
      </c>
      <c r="J1336" s="0" t="s">
        <v>153</v>
      </c>
      <c r="K1336" s="0" t="s">
        <v>185</v>
      </c>
      <c r="L1336" s="0" t="s">
        <v>186</v>
      </c>
      <c r="M1336" s="0" t="s">
        <v>378</v>
      </c>
      <c r="N1336" s="0" t="s">
        <v>3211</v>
      </c>
      <c r="O1336" s="0" t="s">
        <v>706</v>
      </c>
      <c r="Q1336" s="0" t="s">
        <v>130</v>
      </c>
      <c r="R1336" s="0" t="s">
        <v>138</v>
      </c>
      <c r="S1336" s="14">
        <v>0</v>
      </c>
      <c r="T1336" s="0" t="s">
        <v>181</v>
      </c>
      <c r="U1336" s="0" t="s">
        <v>138</v>
      </c>
      <c r="V1336" s="14" t="s">
        <v>138</v>
      </c>
      <c r="W1336" s="0" t="s">
        <v>138</v>
      </c>
      <c r="X1336" s="14" t="s">
        <v>138</v>
      </c>
      <c r="Y1336" s="0" t="s">
        <v>138</v>
      </c>
      <c r="Z1336" s="14" t="s">
        <v>138</v>
      </c>
      <c r="AA1336" s="0" t="s">
        <v>138</v>
      </c>
      <c r="AB1336" s="14" t="s">
        <v>138</v>
      </c>
      <c r="AD1336" s="0" t="s">
        <v>138</v>
      </c>
      <c r="AF1336" s="0">
        <v>0</v>
      </c>
      <c r="AG1336" s="0">
        <v>0</v>
      </c>
      <c r="AH1336" s="0" t="s">
        <v>140</v>
      </c>
      <c r="AI1336" s="0" t="s">
        <v>138</v>
      </c>
      <c r="AL1336" s="14"/>
      <c r="AN1336" s="14"/>
      <c r="AQ1336" s="0" t="s">
        <v>130</v>
      </c>
      <c r="AR1336" s="0" t="s">
        <v>130</v>
      </c>
      <c r="AS1336" s="0" t="s">
        <v>130</v>
      </c>
      <c r="AT1336" s="0" t="s">
        <v>130</v>
      </c>
      <c r="AU1336" s="0" t="s">
        <v>130</v>
      </c>
      <c r="AV1336" s="0" t="s">
        <v>130</v>
      </c>
      <c r="AW1336" s="0" t="s">
        <v>130</v>
      </c>
      <c r="AX1336" s="0" t="s">
        <v>130</v>
      </c>
      <c r="AY1336" s="0" t="s">
        <v>130</v>
      </c>
      <c r="AZ1336" s="0" t="s">
        <v>130</v>
      </c>
      <c r="BA1336" s="0" t="s">
        <v>130</v>
      </c>
      <c r="BB1336" s="0" t="s">
        <v>130</v>
      </c>
      <c r="BC1336" s="0" t="s">
        <v>130</v>
      </c>
      <c r="BD1336" s="0" t="s">
        <v>130</v>
      </c>
      <c r="BE1336" s="0" t="s">
        <v>130</v>
      </c>
      <c r="BF1336" s="0" t="s">
        <v>130</v>
      </c>
      <c r="BG1336" s="0" t="s">
        <v>130</v>
      </c>
      <c r="BH1336" s="0" t="s">
        <v>130</v>
      </c>
      <c r="BI1336" s="0" t="s">
        <v>130</v>
      </c>
      <c r="BJ1336" s="0" t="s">
        <v>130</v>
      </c>
      <c r="BK1336" s="0" t="s">
        <v>130</v>
      </c>
      <c r="BL1336" s="0" t="s">
        <v>130</v>
      </c>
      <c r="BM1336" s="0" t="s">
        <v>130</v>
      </c>
      <c r="BN1336" s="0" t="s">
        <v>130</v>
      </c>
      <c r="BO1336" s="0" t="s">
        <v>130</v>
      </c>
      <c r="BP1336" s="0" t="s">
        <v>130</v>
      </c>
      <c r="BQ1336" s="0" t="s">
        <v>130</v>
      </c>
      <c r="BR1336" s="0" t="s">
        <v>130</v>
      </c>
      <c r="BS1336" s="0" t="s">
        <v>130</v>
      </c>
      <c r="BT1336" s="0" t="s">
        <v>130</v>
      </c>
      <c r="BU1336" s="0" t="s">
        <v>130</v>
      </c>
      <c r="BV1336" s="0" t="s">
        <v>130</v>
      </c>
      <c r="BW1336" s="0" t="s">
        <v>130</v>
      </c>
      <c r="BX1336" s="0" t="s">
        <v>130</v>
      </c>
      <c r="BY1336" s="0" t="s">
        <v>130</v>
      </c>
      <c r="BZ1336" s="0" t="s">
        <v>130</v>
      </c>
      <c r="CA1336" s="0" t="s">
        <v>130</v>
      </c>
      <c r="CB1336" s="0" t="s">
        <v>130</v>
      </c>
      <c r="CC1336" s="0" t="s">
        <v>130</v>
      </c>
      <c r="CD1336" s="0" t="s">
        <v>130</v>
      </c>
      <c r="CE1336" s="0" t="s">
        <v>130</v>
      </c>
      <c r="CF1336" s="0" t="s">
        <v>130</v>
      </c>
      <c r="CG1336" s="0" t="s">
        <v>130</v>
      </c>
      <c r="CH1336" s="0" t="s">
        <v>130</v>
      </c>
      <c r="CI1336" s="0" t="s">
        <v>130</v>
      </c>
      <c r="CJ1336" s="0" t="s">
        <v>130</v>
      </c>
      <c r="CK1336" s="0" t="s">
        <v>130</v>
      </c>
      <c r="CL1336" s="0" t="s">
        <v>130</v>
      </c>
      <c r="CM1336" s="0" t="s">
        <v>130</v>
      </c>
      <c r="CN1336" s="0" t="s">
        <v>130</v>
      </c>
      <c r="CO1336" s="0" t="s">
        <v>130</v>
      </c>
      <c r="CP1336" s="0" t="s">
        <v>130</v>
      </c>
      <c r="CQ1336" s="0" t="s">
        <v>130</v>
      </c>
      <c r="CR1336" s="0" t="s">
        <v>130</v>
      </c>
      <c r="CS1336" s="0" t="s">
        <v>130</v>
      </c>
      <c r="CT1336" s="0" t="s">
        <v>3919</v>
      </c>
    </row>
    <row r="1337">
      <c r="A1337" s="14">
        <v>8779219</v>
      </c>
      <c r="B1337" s="0" t="s">
        <v>3920</v>
      </c>
      <c r="C1337" s="16">
        <f>HYPERLINK("https://eosportal.federatedhermes.com/companies/Q29tcGFueQppNTIxNzU=", "T-Mobile US Inc")</f>
      </c>
      <c r="D1337" s="0" t="s">
        <v>25</v>
      </c>
      <c r="E1337" s="0" t="s">
        <v>2032</v>
      </c>
      <c r="F1337" s="16">
        <f>HYPERLINK("https://eosportal.federatedhermes.com/engagements/RW5nYWdlbWVudAppMjczMDI=", "Coronavirus")</f>
      </c>
      <c r="G1337" s="14" t="s">
        <v>3921</v>
      </c>
      <c r="H1337" s="0" t="s">
        <v>141</v>
      </c>
      <c r="I1337" s="14" t="s">
        <v>636</v>
      </c>
      <c r="J1337" s="0" t="s">
        <v>153</v>
      </c>
      <c r="K1337" s="0" t="s">
        <v>154</v>
      </c>
      <c r="L1337" s="0" t="s">
        <v>155</v>
      </c>
      <c r="M1337" s="0" t="s">
        <v>135</v>
      </c>
      <c r="N1337" s="0" t="s">
        <v>136</v>
      </c>
      <c r="O1337" s="0" t="s">
        <v>137</v>
      </c>
      <c r="Q1337" s="0" t="s">
        <v>130</v>
      </c>
      <c r="R1337" s="0" t="s">
        <v>138</v>
      </c>
      <c r="S1337" s="14">
        <v>0</v>
      </c>
      <c r="T1337" s="0" t="s">
        <v>148</v>
      </c>
      <c r="U1337" s="0" t="s">
        <v>138</v>
      </c>
      <c r="V1337" s="14" t="s">
        <v>138</v>
      </c>
      <c r="W1337" s="0" t="s">
        <v>138</v>
      </c>
      <c r="X1337" s="14" t="s">
        <v>138</v>
      </c>
      <c r="Y1337" s="0" t="s">
        <v>138</v>
      </c>
      <c r="Z1337" s="14" t="s">
        <v>138</v>
      </c>
      <c r="AA1337" s="0" t="s">
        <v>138</v>
      </c>
      <c r="AB1337" s="14" t="s">
        <v>138</v>
      </c>
      <c r="AD1337" s="0" t="s">
        <v>138</v>
      </c>
      <c r="AF1337" s="0">
        <v>0</v>
      </c>
      <c r="AG1337" s="0">
        <v>0</v>
      </c>
      <c r="AH1337" s="0" t="s">
        <v>140</v>
      </c>
      <c r="AI1337" s="0" t="s">
        <v>138</v>
      </c>
      <c r="AL1337" s="14"/>
      <c r="AN1337" s="14"/>
      <c r="AQ1337" s="0" t="s">
        <v>130</v>
      </c>
      <c r="AR1337" s="0" t="s">
        <v>130</v>
      </c>
      <c r="AS1337" s="0" t="s">
        <v>130</v>
      </c>
      <c r="AT1337" s="0" t="s">
        <v>130</v>
      </c>
      <c r="AU1337" s="0" t="s">
        <v>130</v>
      </c>
      <c r="AV1337" s="0" t="s">
        <v>130</v>
      </c>
      <c r="AW1337" s="0" t="s">
        <v>130</v>
      </c>
      <c r="AX1337" s="0" t="s">
        <v>130</v>
      </c>
      <c r="AY1337" s="0" t="s">
        <v>130</v>
      </c>
      <c r="AZ1337" s="0" t="s">
        <v>130</v>
      </c>
      <c r="BA1337" s="0" t="s">
        <v>130</v>
      </c>
      <c r="BB1337" s="0" t="s">
        <v>130</v>
      </c>
      <c r="BC1337" s="0" t="s">
        <v>130</v>
      </c>
      <c r="BD1337" s="0" t="s">
        <v>130</v>
      </c>
      <c r="BE1337" s="0" t="s">
        <v>130</v>
      </c>
      <c r="BF1337" s="0" t="s">
        <v>130</v>
      </c>
      <c r="BG1337" s="0" t="s">
        <v>130</v>
      </c>
      <c r="BH1337" s="0" t="s">
        <v>130</v>
      </c>
      <c r="BI1337" s="0" t="s">
        <v>130</v>
      </c>
      <c r="BJ1337" s="0" t="s">
        <v>130</v>
      </c>
      <c r="BK1337" s="0" t="s">
        <v>130</v>
      </c>
      <c r="BL1337" s="0" t="s">
        <v>130</v>
      </c>
      <c r="BM1337" s="0" t="s">
        <v>130</v>
      </c>
      <c r="BN1337" s="0" t="s">
        <v>130</v>
      </c>
      <c r="BO1337" s="0" t="s">
        <v>130</v>
      </c>
      <c r="BP1337" s="0" t="s">
        <v>130</v>
      </c>
      <c r="BQ1337" s="0" t="s">
        <v>130</v>
      </c>
      <c r="BR1337" s="0" t="s">
        <v>130</v>
      </c>
      <c r="BS1337" s="0" t="s">
        <v>130</v>
      </c>
      <c r="BT1337" s="0" t="s">
        <v>130</v>
      </c>
      <c r="BU1337" s="0" t="s">
        <v>130</v>
      </c>
      <c r="BV1337" s="0" t="s">
        <v>130</v>
      </c>
      <c r="BW1337" s="0" t="s">
        <v>130</v>
      </c>
      <c r="BX1337" s="0" t="s">
        <v>130</v>
      </c>
      <c r="BY1337" s="0" t="s">
        <v>130</v>
      </c>
      <c r="BZ1337" s="0" t="s">
        <v>130</v>
      </c>
      <c r="CA1337" s="0" t="s">
        <v>130</v>
      </c>
      <c r="CB1337" s="0" t="s">
        <v>130</v>
      </c>
      <c r="CC1337" s="0" t="s">
        <v>130</v>
      </c>
      <c r="CD1337" s="0" t="s">
        <v>130</v>
      </c>
      <c r="CE1337" s="0" t="s">
        <v>130</v>
      </c>
      <c r="CF1337" s="0" t="s">
        <v>130</v>
      </c>
      <c r="CG1337" s="0" t="s">
        <v>130</v>
      </c>
      <c r="CH1337" s="0" t="s">
        <v>130</v>
      </c>
      <c r="CI1337" s="0" t="s">
        <v>141</v>
      </c>
      <c r="CJ1337" s="0" t="s">
        <v>130</v>
      </c>
      <c r="CK1337" s="0" t="s">
        <v>130</v>
      </c>
      <c r="CL1337" s="0" t="s">
        <v>130</v>
      </c>
      <c r="CM1337" s="0" t="s">
        <v>130</v>
      </c>
      <c r="CN1337" s="0" t="s">
        <v>130</v>
      </c>
      <c r="CO1337" s="0" t="s">
        <v>130</v>
      </c>
      <c r="CP1337" s="0" t="s">
        <v>130</v>
      </c>
      <c r="CQ1337" s="0" t="s">
        <v>130</v>
      </c>
      <c r="CR1337" s="0" t="s">
        <v>130</v>
      </c>
      <c r="CS1337" s="0" t="s">
        <v>130</v>
      </c>
      <c r="CT1337" s="0" t="s">
        <v>3922</v>
      </c>
    </row>
    <row r="1338">
      <c r="A1338" s="14">
        <v>8779219</v>
      </c>
      <c r="B1338" s="0" t="s">
        <v>3920</v>
      </c>
      <c r="C1338" s="16">
        <f>HYPERLINK("https://eosportal.federatedhermes.com/companies/Q29tcGFueQppNTIxNzU=", "T-Mobile US Inc")</f>
      </c>
      <c r="D1338" s="0" t="s">
        <v>25</v>
      </c>
      <c r="E1338" s="0" t="s">
        <v>341</v>
      </c>
      <c r="F1338" s="16">
        <f>HYPERLINK("https://eosportal.federatedhermes.com/engagements/RW5nYWdlbWVudAppMjczMDM=", "Remuneration")</f>
      </c>
      <c r="G1338" s="14" t="s">
        <v>3923</v>
      </c>
      <c r="H1338" s="0" t="s">
        <v>141</v>
      </c>
      <c r="I1338" s="14" t="s">
        <v>636</v>
      </c>
      <c r="J1338" s="0" t="s">
        <v>145</v>
      </c>
      <c r="K1338" s="0" t="s">
        <v>146</v>
      </c>
      <c r="L1338" s="0" t="s">
        <v>147</v>
      </c>
      <c r="M1338" s="0" t="s">
        <v>135</v>
      </c>
      <c r="N1338" s="0" t="s">
        <v>136</v>
      </c>
      <c r="O1338" s="0" t="s">
        <v>137</v>
      </c>
      <c r="Q1338" s="0" t="s">
        <v>130</v>
      </c>
      <c r="R1338" s="0" t="s">
        <v>138</v>
      </c>
      <c r="S1338" s="14">
        <v>0</v>
      </c>
      <c r="T1338" s="0" t="s">
        <v>435</v>
      </c>
      <c r="U1338" s="0" t="s">
        <v>138</v>
      </c>
      <c r="V1338" s="14" t="s">
        <v>138</v>
      </c>
      <c r="W1338" s="0" t="s">
        <v>138</v>
      </c>
      <c r="X1338" s="14" t="s">
        <v>138</v>
      </c>
      <c r="Y1338" s="0" t="s">
        <v>138</v>
      </c>
      <c r="Z1338" s="14" t="s">
        <v>138</v>
      </c>
      <c r="AA1338" s="0" t="s">
        <v>138</v>
      </c>
      <c r="AB1338" s="14" t="s">
        <v>138</v>
      </c>
      <c r="AD1338" s="0" t="s">
        <v>138</v>
      </c>
      <c r="AF1338" s="0">
        <v>0</v>
      </c>
      <c r="AG1338" s="0">
        <v>0</v>
      </c>
      <c r="AH1338" s="0" t="s">
        <v>140</v>
      </c>
      <c r="AI1338" s="0" t="s">
        <v>138</v>
      </c>
      <c r="AL1338" s="14"/>
      <c r="AN1338" s="14"/>
      <c r="AQ1338" s="0" t="s">
        <v>130</v>
      </c>
      <c r="AR1338" s="0" t="s">
        <v>130</v>
      </c>
      <c r="AS1338" s="0" t="s">
        <v>130</v>
      </c>
      <c r="AT1338" s="0" t="s">
        <v>130</v>
      </c>
      <c r="AU1338" s="0" t="s">
        <v>130</v>
      </c>
      <c r="AV1338" s="0" t="s">
        <v>130</v>
      </c>
      <c r="AW1338" s="0" t="s">
        <v>130</v>
      </c>
      <c r="AX1338" s="0" t="s">
        <v>130</v>
      </c>
      <c r="AY1338" s="0" t="s">
        <v>130</v>
      </c>
      <c r="AZ1338" s="0" t="s">
        <v>130</v>
      </c>
      <c r="BA1338" s="0" t="s">
        <v>130</v>
      </c>
      <c r="BB1338" s="0" t="s">
        <v>130</v>
      </c>
      <c r="BC1338" s="0" t="s">
        <v>130</v>
      </c>
      <c r="BD1338" s="0" t="s">
        <v>130</v>
      </c>
      <c r="BE1338" s="0" t="s">
        <v>130</v>
      </c>
      <c r="BF1338" s="0" t="s">
        <v>130</v>
      </c>
      <c r="BG1338" s="0" t="s">
        <v>130</v>
      </c>
      <c r="BH1338" s="0" t="s">
        <v>130</v>
      </c>
      <c r="BI1338" s="0" t="s">
        <v>130</v>
      </c>
      <c r="BJ1338" s="0" t="s">
        <v>130</v>
      </c>
      <c r="BK1338" s="0" t="s">
        <v>130</v>
      </c>
      <c r="BL1338" s="0" t="s">
        <v>130</v>
      </c>
      <c r="BM1338" s="0" t="s">
        <v>130</v>
      </c>
      <c r="BN1338" s="0" t="s">
        <v>130</v>
      </c>
      <c r="BO1338" s="0" t="s">
        <v>130</v>
      </c>
      <c r="BP1338" s="0" t="s">
        <v>130</v>
      </c>
      <c r="BQ1338" s="0" t="s">
        <v>130</v>
      </c>
      <c r="BR1338" s="0" t="s">
        <v>130</v>
      </c>
      <c r="BS1338" s="0" t="s">
        <v>130</v>
      </c>
      <c r="BT1338" s="0" t="s">
        <v>130</v>
      </c>
      <c r="BU1338" s="0" t="s">
        <v>130</v>
      </c>
      <c r="BV1338" s="0" t="s">
        <v>130</v>
      </c>
      <c r="BW1338" s="0" t="s">
        <v>130</v>
      </c>
      <c r="BX1338" s="0" t="s">
        <v>130</v>
      </c>
      <c r="BY1338" s="0" t="s">
        <v>130</v>
      </c>
      <c r="BZ1338" s="0" t="s">
        <v>130</v>
      </c>
      <c r="CA1338" s="0" t="s">
        <v>130</v>
      </c>
      <c r="CB1338" s="0" t="s">
        <v>130</v>
      </c>
      <c r="CC1338" s="0" t="s">
        <v>130</v>
      </c>
      <c r="CD1338" s="0" t="s">
        <v>130</v>
      </c>
      <c r="CE1338" s="0" t="s">
        <v>130</v>
      </c>
      <c r="CF1338" s="0" t="s">
        <v>130</v>
      </c>
      <c r="CG1338" s="0" t="s">
        <v>130</v>
      </c>
      <c r="CH1338" s="0" t="s">
        <v>130</v>
      </c>
      <c r="CI1338" s="0" t="s">
        <v>130</v>
      </c>
      <c r="CJ1338" s="0" t="s">
        <v>130</v>
      </c>
      <c r="CK1338" s="0" t="s">
        <v>130</v>
      </c>
      <c r="CL1338" s="0" t="s">
        <v>130</v>
      </c>
      <c r="CM1338" s="0" t="s">
        <v>130</v>
      </c>
      <c r="CN1338" s="0" t="s">
        <v>130</v>
      </c>
      <c r="CO1338" s="0" t="s">
        <v>130</v>
      </c>
      <c r="CP1338" s="0" t="s">
        <v>130</v>
      </c>
      <c r="CQ1338" s="0" t="s">
        <v>130</v>
      </c>
      <c r="CR1338" s="0" t="s">
        <v>130</v>
      </c>
      <c r="CS1338" s="0" t="s">
        <v>130</v>
      </c>
      <c r="CT1338" s="0" t="s">
        <v>3924</v>
      </c>
    </row>
    <row r="1339">
      <c r="A1339" s="14">
        <v>8779219</v>
      </c>
      <c r="B1339" s="0" t="s">
        <v>3920</v>
      </c>
      <c r="C1339" s="16">
        <f>HYPERLINK("https://eosportal.federatedhermes.com/companies/Q29tcGFueQppNTIxNzU=", "T-Mobile US Inc")</f>
      </c>
      <c r="D1339" s="0" t="s">
        <v>25</v>
      </c>
      <c r="E1339" s="0" t="s">
        <v>3925</v>
      </c>
      <c r="F1339" s="16">
        <f>HYPERLINK("https://eosportal.federatedhermes.com/engagements/RW5nYWdlbWVudAppMjczMDQ=", "Sprint Merger")</f>
      </c>
      <c r="G1339" s="14" t="s">
        <v>3926</v>
      </c>
      <c r="H1339" s="0" t="s">
        <v>141</v>
      </c>
      <c r="I1339" s="14" t="s">
        <v>636</v>
      </c>
      <c r="J1339" s="0" t="s">
        <v>153</v>
      </c>
      <c r="K1339" s="0" t="s">
        <v>154</v>
      </c>
      <c r="L1339" s="0" t="s">
        <v>306</v>
      </c>
      <c r="M1339" s="0" t="s">
        <v>135</v>
      </c>
      <c r="N1339" s="0" t="s">
        <v>136</v>
      </c>
      <c r="O1339" s="0" t="s">
        <v>137</v>
      </c>
      <c r="Q1339" s="0" t="s">
        <v>130</v>
      </c>
      <c r="R1339" s="0" t="s">
        <v>138</v>
      </c>
      <c r="S1339" s="14">
        <v>0</v>
      </c>
      <c r="T1339" s="0" t="s">
        <v>148</v>
      </c>
      <c r="U1339" s="0" t="s">
        <v>138</v>
      </c>
      <c r="V1339" s="14" t="s">
        <v>138</v>
      </c>
      <c r="W1339" s="0" t="s">
        <v>138</v>
      </c>
      <c r="X1339" s="14" t="s">
        <v>138</v>
      </c>
      <c r="Y1339" s="0" t="s">
        <v>138</v>
      </c>
      <c r="Z1339" s="14" t="s">
        <v>138</v>
      </c>
      <c r="AA1339" s="0" t="s">
        <v>138</v>
      </c>
      <c r="AB1339" s="14" t="s">
        <v>138</v>
      </c>
      <c r="AD1339" s="0" t="s">
        <v>138</v>
      </c>
      <c r="AF1339" s="0">
        <v>0</v>
      </c>
      <c r="AG1339" s="0">
        <v>0</v>
      </c>
      <c r="AH1339" s="0" t="s">
        <v>140</v>
      </c>
      <c r="AI1339" s="0" t="s">
        <v>138</v>
      </c>
      <c r="AL1339" s="14"/>
      <c r="AN1339" s="14"/>
      <c r="AQ1339" s="0" t="s">
        <v>130</v>
      </c>
      <c r="AR1339" s="0" t="s">
        <v>130</v>
      </c>
      <c r="AS1339" s="0" t="s">
        <v>130</v>
      </c>
      <c r="AT1339" s="0" t="s">
        <v>130</v>
      </c>
      <c r="AU1339" s="0" t="s">
        <v>130</v>
      </c>
      <c r="AV1339" s="0" t="s">
        <v>130</v>
      </c>
      <c r="AW1339" s="0" t="s">
        <v>130</v>
      </c>
      <c r="AX1339" s="0" t="s">
        <v>141</v>
      </c>
      <c r="AY1339" s="0" t="s">
        <v>130</v>
      </c>
      <c r="AZ1339" s="0" t="s">
        <v>141</v>
      </c>
      <c r="BA1339" s="0" t="s">
        <v>130</v>
      </c>
      <c r="BB1339" s="0" t="s">
        <v>130</v>
      </c>
      <c r="BC1339" s="0" t="s">
        <v>130</v>
      </c>
      <c r="BD1339" s="0" t="s">
        <v>130</v>
      </c>
      <c r="BE1339" s="0" t="s">
        <v>130</v>
      </c>
      <c r="BF1339" s="0" t="s">
        <v>130</v>
      </c>
      <c r="BG1339" s="0" t="s">
        <v>130</v>
      </c>
      <c r="BH1339" s="0" t="s">
        <v>130</v>
      </c>
      <c r="BI1339" s="0" t="s">
        <v>130</v>
      </c>
      <c r="BJ1339" s="0" t="s">
        <v>130</v>
      </c>
      <c r="BK1339" s="0" t="s">
        <v>130</v>
      </c>
      <c r="BL1339" s="0" t="s">
        <v>130</v>
      </c>
      <c r="BM1339" s="0" t="s">
        <v>130</v>
      </c>
      <c r="BN1339" s="0" t="s">
        <v>130</v>
      </c>
      <c r="BO1339" s="0" t="s">
        <v>130</v>
      </c>
      <c r="BP1339" s="0" t="s">
        <v>130</v>
      </c>
      <c r="BQ1339" s="0" t="s">
        <v>130</v>
      </c>
      <c r="BR1339" s="0" t="s">
        <v>130</v>
      </c>
      <c r="BS1339" s="0" t="s">
        <v>130</v>
      </c>
      <c r="BT1339" s="0" t="s">
        <v>130</v>
      </c>
      <c r="BU1339" s="0" t="s">
        <v>130</v>
      </c>
      <c r="BV1339" s="0" t="s">
        <v>130</v>
      </c>
      <c r="BW1339" s="0" t="s">
        <v>130</v>
      </c>
      <c r="BX1339" s="0" t="s">
        <v>130</v>
      </c>
      <c r="BY1339" s="0" t="s">
        <v>130</v>
      </c>
      <c r="BZ1339" s="0" t="s">
        <v>130</v>
      </c>
      <c r="CA1339" s="0" t="s">
        <v>130</v>
      </c>
      <c r="CB1339" s="0" t="s">
        <v>130</v>
      </c>
      <c r="CC1339" s="0" t="s">
        <v>130</v>
      </c>
      <c r="CD1339" s="0" t="s">
        <v>130</v>
      </c>
      <c r="CE1339" s="0" t="s">
        <v>130</v>
      </c>
      <c r="CF1339" s="0" t="s">
        <v>130</v>
      </c>
      <c r="CG1339" s="0" t="s">
        <v>130</v>
      </c>
      <c r="CH1339" s="0" t="s">
        <v>130</v>
      </c>
      <c r="CI1339" s="0" t="s">
        <v>130</v>
      </c>
      <c r="CJ1339" s="0" t="s">
        <v>130</v>
      </c>
      <c r="CK1339" s="0" t="s">
        <v>130</v>
      </c>
      <c r="CL1339" s="0" t="s">
        <v>130</v>
      </c>
      <c r="CM1339" s="0" t="s">
        <v>130</v>
      </c>
      <c r="CN1339" s="0" t="s">
        <v>130</v>
      </c>
      <c r="CO1339" s="0" t="s">
        <v>130</v>
      </c>
      <c r="CP1339" s="0" t="s">
        <v>130</v>
      </c>
      <c r="CQ1339" s="0" t="s">
        <v>130</v>
      </c>
      <c r="CR1339" s="0" t="s">
        <v>130</v>
      </c>
      <c r="CS1339" s="0" t="s">
        <v>130</v>
      </c>
      <c r="CT1339" s="0" t="s">
        <v>3927</v>
      </c>
    </row>
    <row r="1340">
      <c r="A1340" s="14">
        <v>8779219</v>
      </c>
      <c r="B1340" s="0" t="s">
        <v>3920</v>
      </c>
      <c r="C1340" s="16">
        <f>HYPERLINK("https://eosportal.federatedhermes.com/companies/Q29tcGFueQppNTIxNzU=", "T-Mobile US Inc")</f>
      </c>
      <c r="D1340" s="0" t="s">
        <v>25</v>
      </c>
      <c r="E1340" s="0" t="s">
        <v>2793</v>
      </c>
      <c r="F1340" s="16">
        <f>HYPERLINK("https://eosportal.federatedhermes.com/engagements/RW5nYWdlbWVudAppMjczMDU=", "Human Capital Management")</f>
      </c>
      <c r="G1340" s="14" t="s">
        <v>3928</v>
      </c>
      <c r="H1340" s="0" t="s">
        <v>141</v>
      </c>
      <c r="I1340" s="14" t="s">
        <v>636</v>
      </c>
      <c r="J1340" s="0" t="s">
        <v>153</v>
      </c>
      <c r="K1340" s="0" t="s">
        <v>154</v>
      </c>
      <c r="L1340" s="0" t="s">
        <v>268</v>
      </c>
      <c r="M1340" s="0" t="s">
        <v>135</v>
      </c>
      <c r="N1340" s="0" t="s">
        <v>136</v>
      </c>
      <c r="O1340" s="0" t="s">
        <v>137</v>
      </c>
      <c r="Q1340" s="0" t="s">
        <v>141</v>
      </c>
      <c r="R1340" s="0" t="s">
        <v>138</v>
      </c>
      <c r="S1340" s="14">
        <v>1</v>
      </c>
      <c r="T1340" s="0" t="s">
        <v>148</v>
      </c>
      <c r="U1340" s="0" t="s">
        <v>138</v>
      </c>
      <c r="V1340" s="14" t="s">
        <v>138</v>
      </c>
      <c r="W1340" s="0" t="s">
        <v>138</v>
      </c>
      <c r="X1340" s="14" t="s">
        <v>138</v>
      </c>
      <c r="Y1340" s="0" t="s">
        <v>138</v>
      </c>
      <c r="Z1340" s="14" t="s">
        <v>138</v>
      </c>
      <c r="AA1340" s="0" t="s">
        <v>138</v>
      </c>
      <c r="AB1340" s="14" t="s">
        <v>138</v>
      </c>
      <c r="AD1340" s="0" t="s">
        <v>138</v>
      </c>
      <c r="AF1340" s="0">
        <v>0</v>
      </c>
      <c r="AG1340" s="0">
        <v>0</v>
      </c>
      <c r="AH1340" s="0" t="s">
        <v>140</v>
      </c>
      <c r="AI1340" s="0" t="s">
        <v>138</v>
      </c>
      <c r="AK1340" s="0" t="s">
        <v>1470</v>
      </c>
      <c r="AL1340" s="14"/>
      <c r="AN1340" s="14"/>
      <c r="AQ1340" s="0" t="s">
        <v>130</v>
      </c>
      <c r="AR1340" s="0" t="s">
        <v>130</v>
      </c>
      <c r="AS1340" s="0" t="s">
        <v>130</v>
      </c>
      <c r="AT1340" s="0" t="s">
        <v>130</v>
      </c>
      <c r="AU1340" s="0" t="s">
        <v>130</v>
      </c>
      <c r="AV1340" s="0" t="s">
        <v>130</v>
      </c>
      <c r="AW1340" s="0" t="s">
        <v>130</v>
      </c>
      <c r="AX1340" s="0" t="s">
        <v>141</v>
      </c>
      <c r="AY1340" s="0" t="s">
        <v>130</v>
      </c>
      <c r="AZ1340" s="0" t="s">
        <v>130</v>
      </c>
      <c r="BA1340" s="0" t="s">
        <v>130</v>
      </c>
      <c r="BB1340" s="0" t="s">
        <v>130</v>
      </c>
      <c r="BC1340" s="0" t="s">
        <v>130</v>
      </c>
      <c r="BD1340" s="0" t="s">
        <v>130</v>
      </c>
      <c r="BE1340" s="0" t="s">
        <v>130</v>
      </c>
      <c r="BF1340" s="0" t="s">
        <v>130</v>
      </c>
      <c r="BG1340" s="0" t="s">
        <v>130</v>
      </c>
      <c r="BH1340" s="0" t="s">
        <v>130</v>
      </c>
      <c r="BI1340" s="0" t="s">
        <v>130</v>
      </c>
      <c r="BJ1340" s="0" t="s">
        <v>130</v>
      </c>
      <c r="BK1340" s="0" t="s">
        <v>130</v>
      </c>
      <c r="BL1340" s="0" t="s">
        <v>130</v>
      </c>
      <c r="BM1340" s="0" t="s">
        <v>130</v>
      </c>
      <c r="BN1340" s="0" t="s">
        <v>130</v>
      </c>
      <c r="BO1340" s="0" t="s">
        <v>130</v>
      </c>
      <c r="BP1340" s="0" t="s">
        <v>130</v>
      </c>
      <c r="BQ1340" s="0" t="s">
        <v>130</v>
      </c>
      <c r="BR1340" s="0" t="s">
        <v>130</v>
      </c>
      <c r="BS1340" s="0" t="s">
        <v>130</v>
      </c>
      <c r="BT1340" s="0" t="s">
        <v>130</v>
      </c>
      <c r="BU1340" s="0" t="s">
        <v>130</v>
      </c>
      <c r="BV1340" s="0" t="s">
        <v>130</v>
      </c>
      <c r="BW1340" s="0" t="s">
        <v>130</v>
      </c>
      <c r="BX1340" s="0" t="s">
        <v>130</v>
      </c>
      <c r="BY1340" s="0" t="s">
        <v>130</v>
      </c>
      <c r="BZ1340" s="0" t="s">
        <v>130</v>
      </c>
      <c r="CA1340" s="0" t="s">
        <v>130</v>
      </c>
      <c r="CB1340" s="0" t="s">
        <v>130</v>
      </c>
      <c r="CC1340" s="0" t="s">
        <v>130</v>
      </c>
      <c r="CD1340" s="0" t="s">
        <v>130</v>
      </c>
      <c r="CE1340" s="0" t="s">
        <v>130</v>
      </c>
      <c r="CF1340" s="0" t="s">
        <v>130</v>
      </c>
      <c r="CG1340" s="0" t="s">
        <v>130</v>
      </c>
      <c r="CH1340" s="0" t="s">
        <v>130</v>
      </c>
      <c r="CI1340" s="0" t="s">
        <v>130</v>
      </c>
      <c r="CJ1340" s="0" t="s">
        <v>130</v>
      </c>
      <c r="CK1340" s="0" t="s">
        <v>141</v>
      </c>
      <c r="CL1340" s="0" t="s">
        <v>130</v>
      </c>
      <c r="CM1340" s="0" t="s">
        <v>130</v>
      </c>
      <c r="CN1340" s="0" t="s">
        <v>130</v>
      </c>
      <c r="CO1340" s="0" t="s">
        <v>130</v>
      </c>
      <c r="CP1340" s="0" t="s">
        <v>130</v>
      </c>
      <c r="CQ1340" s="0" t="s">
        <v>130</v>
      </c>
      <c r="CR1340" s="0" t="s">
        <v>130</v>
      </c>
      <c r="CS1340" s="0" t="s">
        <v>130</v>
      </c>
      <c r="CT1340" s="0" t="s">
        <v>3929</v>
      </c>
    </row>
    <row r="1341">
      <c r="A1341" s="14">
        <v>8779219</v>
      </c>
      <c r="B1341" s="0" t="s">
        <v>3920</v>
      </c>
      <c r="C1341" s="16">
        <f>HYPERLINK("https://eosportal.federatedhermes.com/companies/Q29tcGFueQppNTIxNzU=", "T-Mobile US Inc")</f>
      </c>
      <c r="D1341" s="0" t="s">
        <v>25</v>
      </c>
      <c r="E1341" s="0" t="s">
        <v>922</v>
      </c>
      <c r="F1341" s="16">
        <f>HYPERLINK("https://eosportal.federatedhermes.com/engagements/RW5nYWdlbWVudAppMjczMDY=", "Human rights")</f>
      </c>
      <c r="G1341" s="14" t="s">
        <v>3930</v>
      </c>
      <c r="H1341" s="0" t="s">
        <v>141</v>
      </c>
      <c r="I1341" s="14" t="s">
        <v>636</v>
      </c>
      <c r="J1341" s="0" t="s">
        <v>153</v>
      </c>
      <c r="K1341" s="0" t="s">
        <v>243</v>
      </c>
      <c r="L1341" s="0" t="s">
        <v>244</v>
      </c>
      <c r="M1341" s="0" t="s">
        <v>135</v>
      </c>
      <c r="N1341" s="0" t="s">
        <v>136</v>
      </c>
      <c r="O1341" s="0" t="s">
        <v>137</v>
      </c>
      <c r="Q1341" s="0" t="s">
        <v>130</v>
      </c>
      <c r="R1341" s="0" t="s">
        <v>138</v>
      </c>
      <c r="S1341" s="14">
        <v>0</v>
      </c>
      <c r="T1341" s="0" t="s">
        <v>435</v>
      </c>
      <c r="U1341" s="0" t="s">
        <v>138</v>
      </c>
      <c r="V1341" s="14" t="s">
        <v>138</v>
      </c>
      <c r="W1341" s="0" t="s">
        <v>138</v>
      </c>
      <c r="X1341" s="14" t="s">
        <v>138</v>
      </c>
      <c r="Y1341" s="0" t="s">
        <v>138</v>
      </c>
      <c r="Z1341" s="14" t="s">
        <v>138</v>
      </c>
      <c r="AA1341" s="0" t="s">
        <v>138</v>
      </c>
      <c r="AB1341" s="14" t="s">
        <v>138</v>
      </c>
      <c r="AD1341" s="0" t="s">
        <v>138</v>
      </c>
      <c r="AF1341" s="0">
        <v>0</v>
      </c>
      <c r="AG1341" s="0">
        <v>0</v>
      </c>
      <c r="AH1341" s="0" t="s">
        <v>140</v>
      </c>
      <c r="AI1341" s="0" t="s">
        <v>138</v>
      </c>
      <c r="AL1341" s="14"/>
      <c r="AN1341" s="14"/>
      <c r="AQ1341" s="0" t="s">
        <v>130</v>
      </c>
      <c r="AR1341" s="0" t="s">
        <v>130</v>
      </c>
      <c r="AS1341" s="0" t="s">
        <v>130</v>
      </c>
      <c r="AT1341" s="0" t="s">
        <v>130</v>
      </c>
      <c r="AU1341" s="0" t="s">
        <v>130</v>
      </c>
      <c r="AV1341" s="0" t="s">
        <v>130</v>
      </c>
      <c r="AW1341" s="0" t="s">
        <v>130</v>
      </c>
      <c r="AX1341" s="0" t="s">
        <v>141</v>
      </c>
      <c r="AY1341" s="0" t="s">
        <v>130</v>
      </c>
      <c r="AZ1341" s="0" t="s">
        <v>130</v>
      </c>
      <c r="BA1341" s="0" t="s">
        <v>130</v>
      </c>
      <c r="BB1341" s="0" t="s">
        <v>130</v>
      </c>
      <c r="BC1341" s="0" t="s">
        <v>130</v>
      </c>
      <c r="BD1341" s="0" t="s">
        <v>130</v>
      </c>
      <c r="BE1341" s="0" t="s">
        <v>130</v>
      </c>
      <c r="BF1341" s="0" t="s">
        <v>130</v>
      </c>
      <c r="BG1341" s="0" t="s">
        <v>130</v>
      </c>
      <c r="BH1341" s="0" t="s">
        <v>130</v>
      </c>
      <c r="BI1341" s="0" t="s">
        <v>130</v>
      </c>
      <c r="BJ1341" s="0" t="s">
        <v>130</v>
      </c>
      <c r="BK1341" s="0" t="s">
        <v>130</v>
      </c>
      <c r="BL1341" s="0" t="s">
        <v>130</v>
      </c>
      <c r="BM1341" s="0" t="s">
        <v>130</v>
      </c>
      <c r="BN1341" s="0" t="s">
        <v>130</v>
      </c>
      <c r="BO1341" s="0" t="s">
        <v>130</v>
      </c>
      <c r="BP1341" s="0" t="s">
        <v>130</v>
      </c>
      <c r="BQ1341" s="0" t="s">
        <v>130</v>
      </c>
      <c r="BR1341" s="0" t="s">
        <v>130</v>
      </c>
      <c r="BS1341" s="0" t="s">
        <v>130</v>
      </c>
      <c r="BT1341" s="0" t="s">
        <v>130</v>
      </c>
      <c r="BU1341" s="0" t="s">
        <v>130</v>
      </c>
      <c r="BV1341" s="0" t="s">
        <v>130</v>
      </c>
      <c r="BW1341" s="0" t="s">
        <v>130</v>
      </c>
      <c r="BX1341" s="0" t="s">
        <v>130</v>
      </c>
      <c r="BY1341" s="0" t="s">
        <v>130</v>
      </c>
      <c r="BZ1341" s="0" t="s">
        <v>130</v>
      </c>
      <c r="CA1341" s="0" t="s">
        <v>130</v>
      </c>
      <c r="CB1341" s="0" t="s">
        <v>130</v>
      </c>
      <c r="CC1341" s="0" t="s">
        <v>130</v>
      </c>
      <c r="CD1341" s="0" t="s">
        <v>130</v>
      </c>
      <c r="CE1341" s="0" t="s">
        <v>130</v>
      </c>
      <c r="CF1341" s="0" t="s">
        <v>130</v>
      </c>
      <c r="CG1341" s="0" t="s">
        <v>130</v>
      </c>
      <c r="CH1341" s="0" t="s">
        <v>130</v>
      </c>
      <c r="CI1341" s="0" t="s">
        <v>130</v>
      </c>
      <c r="CJ1341" s="0" t="s">
        <v>130</v>
      </c>
      <c r="CK1341" s="0" t="s">
        <v>130</v>
      </c>
      <c r="CL1341" s="0" t="s">
        <v>130</v>
      </c>
      <c r="CM1341" s="0" t="s">
        <v>130</v>
      </c>
      <c r="CN1341" s="0" t="s">
        <v>130</v>
      </c>
      <c r="CO1341" s="0" t="s">
        <v>130</v>
      </c>
      <c r="CP1341" s="0" t="s">
        <v>130</v>
      </c>
      <c r="CQ1341" s="0" t="s">
        <v>130</v>
      </c>
      <c r="CR1341" s="0" t="s">
        <v>130</v>
      </c>
      <c r="CS1341" s="0" t="s">
        <v>130</v>
      </c>
      <c r="CT1341" s="0" t="s">
        <v>3931</v>
      </c>
    </row>
    <row r="1342">
      <c r="A1342" s="14">
        <v>8779219</v>
      </c>
      <c r="B1342" s="0" t="s">
        <v>3920</v>
      </c>
      <c r="C1342" s="16">
        <f>HYPERLINK("https://eosportal.federatedhermes.com/companies/Q29tcGFueQppNTIxNzU=", "T-Mobile US Inc")</f>
      </c>
      <c r="D1342" s="0" t="s">
        <v>25</v>
      </c>
      <c r="E1342" s="0" t="s">
        <v>709</v>
      </c>
      <c r="F1342" s="16">
        <f>HYPERLINK("https://eosportal.federatedhermes.com/engagements/RW5nYWdlbWVudAppMjczMDk=", "Proxy access")</f>
      </c>
      <c r="G1342" s="14" t="s">
        <v>3932</v>
      </c>
      <c r="H1342" s="0" t="s">
        <v>141</v>
      </c>
      <c r="I1342" s="14" t="s">
        <v>636</v>
      </c>
      <c r="J1342" s="0" t="s">
        <v>145</v>
      </c>
      <c r="K1342" s="0" t="s">
        <v>400</v>
      </c>
      <c r="L1342" s="0" t="s">
        <v>507</v>
      </c>
      <c r="M1342" s="0" t="s">
        <v>135</v>
      </c>
      <c r="N1342" s="0" t="s">
        <v>136</v>
      </c>
      <c r="O1342" s="0" t="s">
        <v>137</v>
      </c>
      <c r="Q1342" s="0" t="s">
        <v>130</v>
      </c>
      <c r="R1342" s="0" t="s">
        <v>138</v>
      </c>
      <c r="S1342" s="14">
        <v>0</v>
      </c>
      <c r="T1342" s="0" t="s">
        <v>435</v>
      </c>
      <c r="U1342" s="0" t="s">
        <v>138</v>
      </c>
      <c r="V1342" s="14" t="s">
        <v>138</v>
      </c>
      <c r="W1342" s="0" t="s">
        <v>138</v>
      </c>
      <c r="X1342" s="14" t="s">
        <v>138</v>
      </c>
      <c r="Y1342" s="0" t="s">
        <v>138</v>
      </c>
      <c r="Z1342" s="14" t="s">
        <v>138</v>
      </c>
      <c r="AA1342" s="0" t="s">
        <v>138</v>
      </c>
      <c r="AB1342" s="14" t="s">
        <v>138</v>
      </c>
      <c r="AD1342" s="0" t="s">
        <v>138</v>
      </c>
      <c r="AF1342" s="0">
        <v>0</v>
      </c>
      <c r="AG1342" s="0">
        <v>0</v>
      </c>
      <c r="AH1342" s="0" t="s">
        <v>140</v>
      </c>
      <c r="AI1342" s="0" t="s">
        <v>138</v>
      </c>
      <c r="AL1342" s="14"/>
      <c r="AN1342" s="14"/>
      <c r="AQ1342" s="0" t="s">
        <v>130</v>
      </c>
      <c r="AR1342" s="0" t="s">
        <v>130</v>
      </c>
      <c r="AS1342" s="0" t="s">
        <v>130</v>
      </c>
      <c r="AT1342" s="0" t="s">
        <v>130</v>
      </c>
      <c r="AU1342" s="0" t="s">
        <v>130</v>
      </c>
      <c r="AV1342" s="0" t="s">
        <v>130</v>
      </c>
      <c r="AW1342" s="0" t="s">
        <v>130</v>
      </c>
      <c r="AX1342" s="0" t="s">
        <v>130</v>
      </c>
      <c r="AY1342" s="0" t="s">
        <v>130</v>
      </c>
      <c r="AZ1342" s="0" t="s">
        <v>130</v>
      </c>
      <c r="BA1342" s="0" t="s">
        <v>130</v>
      </c>
      <c r="BB1342" s="0" t="s">
        <v>130</v>
      </c>
      <c r="BC1342" s="0" t="s">
        <v>130</v>
      </c>
      <c r="BD1342" s="0" t="s">
        <v>130</v>
      </c>
      <c r="BE1342" s="0" t="s">
        <v>130</v>
      </c>
      <c r="BF1342" s="0" t="s">
        <v>130</v>
      </c>
      <c r="BG1342" s="0" t="s">
        <v>130</v>
      </c>
      <c r="BH1342" s="0" t="s">
        <v>130</v>
      </c>
      <c r="BI1342" s="0" t="s">
        <v>130</v>
      </c>
      <c r="BJ1342" s="0" t="s">
        <v>130</v>
      </c>
      <c r="BK1342" s="0" t="s">
        <v>130</v>
      </c>
      <c r="BL1342" s="0" t="s">
        <v>130</v>
      </c>
      <c r="BM1342" s="0" t="s">
        <v>130</v>
      </c>
      <c r="BN1342" s="0" t="s">
        <v>130</v>
      </c>
      <c r="BO1342" s="0" t="s">
        <v>130</v>
      </c>
      <c r="BP1342" s="0" t="s">
        <v>130</v>
      </c>
      <c r="BQ1342" s="0" t="s">
        <v>130</v>
      </c>
      <c r="BR1342" s="0" t="s">
        <v>130</v>
      </c>
      <c r="BS1342" s="0" t="s">
        <v>130</v>
      </c>
      <c r="BT1342" s="0" t="s">
        <v>130</v>
      </c>
      <c r="BU1342" s="0" t="s">
        <v>130</v>
      </c>
      <c r="BV1342" s="0" t="s">
        <v>130</v>
      </c>
      <c r="BW1342" s="0" t="s">
        <v>130</v>
      </c>
      <c r="BX1342" s="0" t="s">
        <v>130</v>
      </c>
      <c r="BY1342" s="0" t="s">
        <v>130</v>
      </c>
      <c r="BZ1342" s="0" t="s">
        <v>130</v>
      </c>
      <c r="CA1342" s="0" t="s">
        <v>130</v>
      </c>
      <c r="CB1342" s="0" t="s">
        <v>130</v>
      </c>
      <c r="CC1342" s="0" t="s">
        <v>130</v>
      </c>
      <c r="CD1342" s="0" t="s">
        <v>130</v>
      </c>
      <c r="CE1342" s="0" t="s">
        <v>130</v>
      </c>
      <c r="CF1342" s="0" t="s">
        <v>130</v>
      </c>
      <c r="CG1342" s="0" t="s">
        <v>130</v>
      </c>
      <c r="CH1342" s="0" t="s">
        <v>130</v>
      </c>
      <c r="CI1342" s="0" t="s">
        <v>130</v>
      </c>
      <c r="CJ1342" s="0" t="s">
        <v>130</v>
      </c>
      <c r="CK1342" s="0" t="s">
        <v>130</v>
      </c>
      <c r="CL1342" s="0" t="s">
        <v>130</v>
      </c>
      <c r="CM1342" s="0" t="s">
        <v>130</v>
      </c>
      <c r="CN1342" s="0" t="s">
        <v>130</v>
      </c>
      <c r="CO1342" s="0" t="s">
        <v>130</v>
      </c>
      <c r="CP1342" s="0" t="s">
        <v>130</v>
      </c>
      <c r="CQ1342" s="0" t="s">
        <v>130</v>
      </c>
      <c r="CR1342" s="0" t="s">
        <v>130</v>
      </c>
      <c r="CS1342" s="0" t="s">
        <v>130</v>
      </c>
      <c r="CT1342" s="0" t="s">
        <v>3933</v>
      </c>
    </row>
    <row r="1343">
      <c r="A1343" s="14">
        <v>8957976</v>
      </c>
      <c r="B1343" s="0" t="s">
        <v>3934</v>
      </c>
      <c r="C1343" s="16">
        <f>HYPERLINK("https://eosportal.federatedhermes.com/companies/Q29tcGFueQppNTg5NDk=", "Tencent Holdings Ltd")</f>
      </c>
      <c r="D1343" s="0" t="s">
        <v>25</v>
      </c>
      <c r="E1343" s="0" t="s">
        <v>3935</v>
      </c>
      <c r="F1343" s="16">
        <f>HYPERLINK("https://eosportal.federatedhermes.com/engagements/RW5nYWdlbWVudAppMjczMzQ=", "Child and teen health and safety")</f>
      </c>
      <c r="G1343" s="14" t="s">
        <v>3936</v>
      </c>
      <c r="H1343" s="0" t="s">
        <v>141</v>
      </c>
      <c r="I1343" s="14" t="s">
        <v>191</v>
      </c>
      <c r="J1343" s="0" t="s">
        <v>153</v>
      </c>
      <c r="K1343" s="0" t="s">
        <v>243</v>
      </c>
      <c r="L1343" s="0" t="s">
        <v>244</v>
      </c>
      <c r="M1343" s="0" t="s">
        <v>2807</v>
      </c>
      <c r="N1343" s="0" t="s">
        <v>3272</v>
      </c>
      <c r="O1343" s="0" t="s">
        <v>137</v>
      </c>
      <c r="Q1343" s="0" t="s">
        <v>130</v>
      </c>
      <c r="R1343" s="0" t="s">
        <v>138</v>
      </c>
      <c r="S1343" s="14">
        <v>0</v>
      </c>
      <c r="T1343" s="0" t="s">
        <v>314</v>
      </c>
      <c r="U1343" s="0" t="s">
        <v>138</v>
      </c>
      <c r="V1343" s="14" t="s">
        <v>138</v>
      </c>
      <c r="W1343" s="0" t="s">
        <v>138</v>
      </c>
      <c r="X1343" s="14" t="s">
        <v>138</v>
      </c>
      <c r="Y1343" s="0" t="s">
        <v>138</v>
      </c>
      <c r="Z1343" s="14" t="s">
        <v>138</v>
      </c>
      <c r="AA1343" s="0" t="s">
        <v>138</v>
      </c>
      <c r="AB1343" s="14" t="s">
        <v>138</v>
      </c>
      <c r="AD1343" s="0" t="s">
        <v>138</v>
      </c>
      <c r="AF1343" s="0">
        <v>0</v>
      </c>
      <c r="AG1343" s="0">
        <v>0</v>
      </c>
      <c r="AH1343" s="0" t="s">
        <v>140</v>
      </c>
      <c r="AI1343" s="0" t="s">
        <v>138</v>
      </c>
      <c r="AL1343" s="14"/>
      <c r="AN1343" s="14"/>
      <c r="AQ1343" s="0" t="s">
        <v>130</v>
      </c>
      <c r="AR1343" s="0" t="s">
        <v>130</v>
      </c>
      <c r="AS1343" s="0" t="s">
        <v>141</v>
      </c>
      <c r="AT1343" s="0" t="s">
        <v>130</v>
      </c>
      <c r="AU1343" s="0" t="s">
        <v>130</v>
      </c>
      <c r="AV1343" s="0" t="s">
        <v>130</v>
      </c>
      <c r="AW1343" s="0" t="s">
        <v>130</v>
      </c>
      <c r="AX1343" s="0" t="s">
        <v>130</v>
      </c>
      <c r="AY1343" s="0" t="s">
        <v>130</v>
      </c>
      <c r="AZ1343" s="0" t="s">
        <v>130</v>
      </c>
      <c r="BA1343" s="0" t="s">
        <v>130</v>
      </c>
      <c r="BB1343" s="0" t="s">
        <v>130</v>
      </c>
      <c r="BC1343" s="0" t="s">
        <v>130</v>
      </c>
      <c r="BD1343" s="0" t="s">
        <v>130</v>
      </c>
      <c r="BE1343" s="0" t="s">
        <v>130</v>
      </c>
      <c r="BF1343" s="0" t="s">
        <v>130</v>
      </c>
      <c r="BG1343" s="0" t="s">
        <v>130</v>
      </c>
      <c r="BH1343" s="0" t="s">
        <v>130</v>
      </c>
      <c r="BI1343" s="0" t="s">
        <v>130</v>
      </c>
      <c r="BJ1343" s="0" t="s">
        <v>130</v>
      </c>
      <c r="BK1343" s="0" t="s">
        <v>130</v>
      </c>
      <c r="BL1343" s="0" t="s">
        <v>130</v>
      </c>
      <c r="BM1343" s="0" t="s">
        <v>130</v>
      </c>
      <c r="BN1343" s="0" t="s">
        <v>130</v>
      </c>
      <c r="BO1343" s="0" t="s">
        <v>130</v>
      </c>
      <c r="BP1343" s="0" t="s">
        <v>130</v>
      </c>
      <c r="BQ1343" s="0" t="s">
        <v>130</v>
      </c>
      <c r="BR1343" s="0" t="s">
        <v>130</v>
      </c>
      <c r="BS1343" s="0" t="s">
        <v>130</v>
      </c>
      <c r="BT1343" s="0" t="s">
        <v>130</v>
      </c>
      <c r="BU1343" s="0" t="s">
        <v>130</v>
      </c>
      <c r="BV1343" s="0" t="s">
        <v>130</v>
      </c>
      <c r="BW1343" s="0" t="s">
        <v>130</v>
      </c>
      <c r="BX1343" s="0" t="s">
        <v>130</v>
      </c>
      <c r="BY1343" s="0" t="s">
        <v>130</v>
      </c>
      <c r="BZ1343" s="0" t="s">
        <v>130</v>
      </c>
      <c r="CA1343" s="0" t="s">
        <v>130</v>
      </c>
      <c r="CB1343" s="0" t="s">
        <v>130</v>
      </c>
      <c r="CC1343" s="0" t="s">
        <v>130</v>
      </c>
      <c r="CD1343" s="0" t="s">
        <v>130</v>
      </c>
      <c r="CE1343" s="0" t="s">
        <v>130</v>
      </c>
      <c r="CF1343" s="0" t="s">
        <v>130</v>
      </c>
      <c r="CG1343" s="0" t="s">
        <v>130</v>
      </c>
      <c r="CH1343" s="0" t="s">
        <v>130</v>
      </c>
      <c r="CI1343" s="0" t="s">
        <v>130</v>
      </c>
      <c r="CJ1343" s="0" t="s">
        <v>130</v>
      </c>
      <c r="CK1343" s="0" t="s">
        <v>130</v>
      </c>
      <c r="CL1343" s="0" t="s">
        <v>130</v>
      </c>
      <c r="CM1343" s="0" t="s">
        <v>130</v>
      </c>
      <c r="CN1343" s="0" t="s">
        <v>130</v>
      </c>
      <c r="CO1343" s="0" t="s">
        <v>130</v>
      </c>
      <c r="CP1343" s="0" t="s">
        <v>130</v>
      </c>
      <c r="CQ1343" s="0" t="s">
        <v>130</v>
      </c>
      <c r="CR1343" s="0" t="s">
        <v>130</v>
      </c>
      <c r="CS1343" s="0" t="s">
        <v>130</v>
      </c>
      <c r="CT1343" s="0" t="s">
        <v>3937</v>
      </c>
    </row>
    <row r="1344">
      <c r="A1344" s="14">
        <v>8957976</v>
      </c>
      <c r="B1344" s="0" t="s">
        <v>3934</v>
      </c>
      <c r="C1344" s="16">
        <f>HYPERLINK("https://eosportal.federatedhermes.com/companies/Q29tcGFueQppNTg5NDk=", "Tencent Holdings Ltd")</f>
      </c>
      <c r="D1344" s="0" t="s">
        <v>23</v>
      </c>
      <c r="E1344" s="0" t="s">
        <v>454</v>
      </c>
      <c r="F1344" s="16">
        <f>HYPERLINK("https://eosportal.federatedhermes.com/engagements/RW5nYWdlbWVudAppMjczMzU=", "Controversy linked to UNGC Principle 2: Complicit in human rights abuses")</f>
      </c>
      <c r="G1344" s="14" t="s">
        <v>3938</v>
      </c>
      <c r="H1344" s="0" t="s">
        <v>141</v>
      </c>
      <c r="I1344" s="14" t="s">
        <v>191</v>
      </c>
      <c r="J1344" s="0" t="s">
        <v>153</v>
      </c>
      <c r="K1344" s="0" t="s">
        <v>243</v>
      </c>
      <c r="L1344" s="0" t="s">
        <v>537</v>
      </c>
      <c r="M1344" s="0" t="s">
        <v>2807</v>
      </c>
      <c r="N1344" s="0" t="s">
        <v>3272</v>
      </c>
      <c r="O1344" s="0" t="s">
        <v>137</v>
      </c>
      <c r="Q1344" s="0" t="s">
        <v>141</v>
      </c>
      <c r="R1344" s="0" t="s">
        <v>130</v>
      </c>
      <c r="S1344" s="14">
        <v>1</v>
      </c>
      <c r="T1344" s="0" t="s">
        <v>2629</v>
      </c>
      <c r="U1344" s="0" t="s">
        <v>221</v>
      </c>
      <c r="V1344" s="14" t="s">
        <v>2629</v>
      </c>
      <c r="W1344" s="0" t="s">
        <v>221</v>
      </c>
      <c r="X1344" s="14" t="s">
        <v>446</v>
      </c>
      <c r="Y1344" s="0" t="s">
        <v>223</v>
      </c>
      <c r="Z1344" s="14" t="s">
        <v>138</v>
      </c>
      <c r="AA1344" s="0" t="s">
        <v>224</v>
      </c>
      <c r="AB1344" s="14" t="s">
        <v>138</v>
      </c>
      <c r="AD1344" s="0" t="s">
        <v>17</v>
      </c>
      <c r="AF1344" s="0">
        <v>0</v>
      </c>
      <c r="AG1344" s="0">
        <v>0</v>
      </c>
      <c r="AH1344" s="0" t="s">
        <v>140</v>
      </c>
      <c r="AI1344" s="0" t="s">
        <v>479</v>
      </c>
      <c r="AK1344" s="0" t="s">
        <v>584</v>
      </c>
      <c r="AL1344" s="14"/>
      <c r="AN1344" s="14"/>
      <c r="AQ1344" s="0" t="s">
        <v>130</v>
      </c>
      <c r="AR1344" s="0" t="s">
        <v>130</v>
      </c>
      <c r="AS1344" s="0" t="s">
        <v>130</v>
      </c>
      <c r="AT1344" s="0" t="s">
        <v>130</v>
      </c>
      <c r="AU1344" s="0" t="s">
        <v>130</v>
      </c>
      <c r="AV1344" s="0" t="s">
        <v>130</v>
      </c>
      <c r="AW1344" s="0" t="s">
        <v>130</v>
      </c>
      <c r="AX1344" s="0" t="s">
        <v>130</v>
      </c>
      <c r="AY1344" s="0" t="s">
        <v>130</v>
      </c>
      <c r="AZ1344" s="0" t="s">
        <v>130</v>
      </c>
      <c r="BA1344" s="0" t="s">
        <v>130</v>
      </c>
      <c r="BB1344" s="0" t="s">
        <v>141</v>
      </c>
      <c r="BC1344" s="0" t="s">
        <v>130</v>
      </c>
      <c r="BD1344" s="0" t="s">
        <v>130</v>
      </c>
      <c r="BE1344" s="0" t="s">
        <v>130</v>
      </c>
      <c r="BF1344" s="0" t="s">
        <v>141</v>
      </c>
      <c r="BG1344" s="0" t="s">
        <v>130</v>
      </c>
      <c r="BH1344" s="0" t="s">
        <v>130</v>
      </c>
      <c r="BI1344" s="0" t="s">
        <v>130</v>
      </c>
      <c r="BJ1344" s="0" t="s">
        <v>130</v>
      </c>
      <c r="BK1344" s="0" t="s">
        <v>130</v>
      </c>
      <c r="BL1344" s="0" t="s">
        <v>130</v>
      </c>
      <c r="BM1344" s="0" t="s">
        <v>130</v>
      </c>
      <c r="BN1344" s="0" t="s">
        <v>130</v>
      </c>
      <c r="BO1344" s="0" t="s">
        <v>130</v>
      </c>
      <c r="BP1344" s="0" t="s">
        <v>141</v>
      </c>
      <c r="BQ1344" s="0" t="s">
        <v>130</v>
      </c>
      <c r="BR1344" s="0" t="s">
        <v>130</v>
      </c>
      <c r="BS1344" s="0" t="s">
        <v>130</v>
      </c>
      <c r="BT1344" s="0" t="s">
        <v>130</v>
      </c>
      <c r="BU1344" s="0" t="s">
        <v>130</v>
      </c>
      <c r="BV1344" s="0" t="s">
        <v>130</v>
      </c>
      <c r="BW1344" s="0" t="s">
        <v>130</v>
      </c>
      <c r="BX1344" s="0" t="s">
        <v>130</v>
      </c>
      <c r="BY1344" s="0" t="s">
        <v>130</v>
      </c>
      <c r="BZ1344" s="0" t="s">
        <v>130</v>
      </c>
      <c r="CA1344" s="0" t="s">
        <v>130</v>
      </c>
      <c r="CB1344" s="0" t="s">
        <v>130</v>
      </c>
      <c r="CC1344" s="0" t="s">
        <v>130</v>
      </c>
      <c r="CD1344" s="0" t="s">
        <v>130</v>
      </c>
      <c r="CE1344" s="0" t="s">
        <v>130</v>
      </c>
      <c r="CF1344" s="0" t="s">
        <v>130</v>
      </c>
      <c r="CG1344" s="0" t="s">
        <v>130</v>
      </c>
      <c r="CH1344" s="0" t="s">
        <v>130</v>
      </c>
      <c r="CI1344" s="0" t="s">
        <v>130</v>
      </c>
      <c r="CJ1344" s="0" t="s">
        <v>130</v>
      </c>
      <c r="CK1344" s="0" t="s">
        <v>130</v>
      </c>
      <c r="CL1344" s="0" t="s">
        <v>130</v>
      </c>
      <c r="CM1344" s="0" t="s">
        <v>130</v>
      </c>
      <c r="CN1344" s="0" t="s">
        <v>130</v>
      </c>
      <c r="CO1344" s="0" t="s">
        <v>130</v>
      </c>
      <c r="CP1344" s="0" t="s">
        <v>130</v>
      </c>
      <c r="CQ1344" s="0" t="s">
        <v>130</v>
      </c>
      <c r="CR1344" s="0" t="s">
        <v>130</v>
      </c>
      <c r="CS1344" s="0" t="s">
        <v>130</v>
      </c>
      <c r="CT1344" s="0" t="s">
        <v>3939</v>
      </c>
    </row>
    <row r="1345">
      <c r="A1345" s="14">
        <v>8957976</v>
      </c>
      <c r="B1345" s="0" t="s">
        <v>3934</v>
      </c>
      <c r="C1345" s="16">
        <f>HYPERLINK("https://eosportal.federatedhermes.com/companies/Q29tcGFueQppNTg5NDk=", "Tencent Holdings Ltd")</f>
      </c>
      <c r="D1345" s="0" t="s">
        <v>25</v>
      </c>
      <c r="E1345" s="0" t="s">
        <v>3940</v>
      </c>
      <c r="F1345" s="16">
        <f>HYPERLINK("https://eosportal.federatedhermes.com/engagements/RW5nYWdlbWVudAppMjczMzY=", "Share issuance")</f>
      </c>
      <c r="G1345" s="14" t="s">
        <v>3941</v>
      </c>
      <c r="H1345" s="0" t="s">
        <v>141</v>
      </c>
      <c r="I1345" s="14" t="s">
        <v>191</v>
      </c>
      <c r="J1345" s="0" t="s">
        <v>145</v>
      </c>
      <c r="K1345" s="0" t="s">
        <v>400</v>
      </c>
      <c r="L1345" s="0" t="s">
        <v>401</v>
      </c>
      <c r="M1345" s="0" t="s">
        <v>2807</v>
      </c>
      <c r="N1345" s="0" t="s">
        <v>3272</v>
      </c>
      <c r="O1345" s="0" t="s">
        <v>137</v>
      </c>
      <c r="Q1345" s="0" t="s">
        <v>130</v>
      </c>
      <c r="R1345" s="0" t="s">
        <v>138</v>
      </c>
      <c r="S1345" s="14">
        <v>0</v>
      </c>
      <c r="T1345" s="0" t="s">
        <v>355</v>
      </c>
      <c r="U1345" s="0" t="s">
        <v>138</v>
      </c>
      <c r="V1345" s="14" t="s">
        <v>138</v>
      </c>
      <c r="W1345" s="0" t="s">
        <v>138</v>
      </c>
      <c r="X1345" s="14" t="s">
        <v>138</v>
      </c>
      <c r="Y1345" s="0" t="s">
        <v>138</v>
      </c>
      <c r="Z1345" s="14" t="s">
        <v>138</v>
      </c>
      <c r="AA1345" s="0" t="s">
        <v>138</v>
      </c>
      <c r="AB1345" s="14" t="s">
        <v>138</v>
      </c>
      <c r="AD1345" s="0" t="s">
        <v>138</v>
      </c>
      <c r="AF1345" s="0">
        <v>0</v>
      </c>
      <c r="AG1345" s="0">
        <v>0</v>
      </c>
      <c r="AH1345" s="0" t="s">
        <v>140</v>
      </c>
      <c r="AI1345" s="0" t="s">
        <v>138</v>
      </c>
      <c r="AL1345" s="14"/>
      <c r="AN1345" s="14"/>
      <c r="AQ1345" s="0" t="s">
        <v>130</v>
      </c>
      <c r="AR1345" s="0" t="s">
        <v>130</v>
      </c>
      <c r="AS1345" s="0" t="s">
        <v>130</v>
      </c>
      <c r="AT1345" s="0" t="s">
        <v>130</v>
      </c>
      <c r="AU1345" s="0" t="s">
        <v>130</v>
      </c>
      <c r="AV1345" s="0" t="s">
        <v>130</v>
      </c>
      <c r="AW1345" s="0" t="s">
        <v>130</v>
      </c>
      <c r="AX1345" s="0" t="s">
        <v>130</v>
      </c>
      <c r="AY1345" s="0" t="s">
        <v>130</v>
      </c>
      <c r="AZ1345" s="0" t="s">
        <v>130</v>
      </c>
      <c r="BA1345" s="0" t="s">
        <v>130</v>
      </c>
      <c r="BB1345" s="0" t="s">
        <v>130</v>
      </c>
      <c r="BC1345" s="0" t="s">
        <v>130</v>
      </c>
      <c r="BD1345" s="0" t="s">
        <v>130</v>
      </c>
      <c r="BE1345" s="0" t="s">
        <v>130</v>
      </c>
      <c r="BF1345" s="0" t="s">
        <v>130</v>
      </c>
      <c r="BG1345" s="0" t="s">
        <v>130</v>
      </c>
      <c r="BH1345" s="0" t="s">
        <v>130</v>
      </c>
      <c r="BI1345" s="0" t="s">
        <v>130</v>
      </c>
      <c r="BJ1345" s="0" t="s">
        <v>130</v>
      </c>
      <c r="BK1345" s="0" t="s">
        <v>130</v>
      </c>
      <c r="BL1345" s="0" t="s">
        <v>130</v>
      </c>
      <c r="BM1345" s="0" t="s">
        <v>130</v>
      </c>
      <c r="BN1345" s="0" t="s">
        <v>130</v>
      </c>
      <c r="BO1345" s="0" t="s">
        <v>130</v>
      </c>
      <c r="BP1345" s="0" t="s">
        <v>130</v>
      </c>
      <c r="BQ1345" s="0" t="s">
        <v>130</v>
      </c>
      <c r="BR1345" s="0" t="s">
        <v>130</v>
      </c>
      <c r="BS1345" s="0" t="s">
        <v>130</v>
      </c>
      <c r="BT1345" s="0" t="s">
        <v>130</v>
      </c>
      <c r="BU1345" s="0" t="s">
        <v>130</v>
      </c>
      <c r="BV1345" s="0" t="s">
        <v>130</v>
      </c>
      <c r="BW1345" s="0" t="s">
        <v>130</v>
      </c>
      <c r="BX1345" s="0" t="s">
        <v>130</v>
      </c>
      <c r="BY1345" s="0" t="s">
        <v>130</v>
      </c>
      <c r="BZ1345" s="0" t="s">
        <v>130</v>
      </c>
      <c r="CA1345" s="0" t="s">
        <v>130</v>
      </c>
      <c r="CB1345" s="0" t="s">
        <v>130</v>
      </c>
      <c r="CC1345" s="0" t="s">
        <v>130</v>
      </c>
      <c r="CD1345" s="0" t="s">
        <v>130</v>
      </c>
      <c r="CE1345" s="0" t="s">
        <v>130</v>
      </c>
      <c r="CF1345" s="0" t="s">
        <v>130</v>
      </c>
      <c r="CG1345" s="0" t="s">
        <v>130</v>
      </c>
      <c r="CH1345" s="0" t="s">
        <v>130</v>
      </c>
      <c r="CI1345" s="0" t="s">
        <v>130</v>
      </c>
      <c r="CJ1345" s="0" t="s">
        <v>130</v>
      </c>
      <c r="CK1345" s="0" t="s">
        <v>130</v>
      </c>
      <c r="CL1345" s="0" t="s">
        <v>130</v>
      </c>
      <c r="CM1345" s="0" t="s">
        <v>130</v>
      </c>
      <c r="CN1345" s="0" t="s">
        <v>130</v>
      </c>
      <c r="CO1345" s="0" t="s">
        <v>130</v>
      </c>
      <c r="CP1345" s="0" t="s">
        <v>130</v>
      </c>
      <c r="CQ1345" s="0" t="s">
        <v>130</v>
      </c>
      <c r="CR1345" s="0" t="s">
        <v>130</v>
      </c>
      <c r="CS1345" s="0" t="s">
        <v>130</v>
      </c>
      <c r="CT1345" s="0" t="s">
        <v>3942</v>
      </c>
    </row>
    <row r="1346">
      <c r="A1346" s="14">
        <v>8957976</v>
      </c>
      <c r="B1346" s="0" t="s">
        <v>3934</v>
      </c>
      <c r="C1346" s="16">
        <f>HYPERLINK("https://eosportal.federatedhermes.com/companies/Q29tcGFueQppNTg5NDk=", "Tencent Holdings Ltd")</f>
      </c>
      <c r="D1346" s="0" t="s">
        <v>25</v>
      </c>
      <c r="E1346" s="0" t="s">
        <v>459</v>
      </c>
      <c r="F1346" s="16">
        <f>HYPERLINK("https://eosportal.federatedhermes.com/engagements/RW5nYWdlbWVudAppMjczMzc=", "Human capital management")</f>
      </c>
      <c r="G1346" s="14" t="s">
        <v>3943</v>
      </c>
      <c r="H1346" s="0" t="s">
        <v>141</v>
      </c>
      <c r="I1346" s="14" t="s">
        <v>191</v>
      </c>
      <c r="J1346" s="0" t="s">
        <v>153</v>
      </c>
      <c r="K1346" s="0" t="s">
        <v>154</v>
      </c>
      <c r="L1346" s="0" t="s">
        <v>268</v>
      </c>
      <c r="M1346" s="0" t="s">
        <v>2807</v>
      </c>
      <c r="N1346" s="0" t="s">
        <v>3272</v>
      </c>
      <c r="O1346" s="0" t="s">
        <v>137</v>
      </c>
      <c r="Q1346" s="0" t="s">
        <v>130</v>
      </c>
      <c r="R1346" s="0" t="s">
        <v>138</v>
      </c>
      <c r="S1346" s="14">
        <v>0</v>
      </c>
      <c r="T1346" s="0" t="s">
        <v>384</v>
      </c>
      <c r="U1346" s="0" t="s">
        <v>138</v>
      </c>
      <c r="V1346" s="14" t="s">
        <v>138</v>
      </c>
      <c r="W1346" s="0" t="s">
        <v>138</v>
      </c>
      <c r="X1346" s="14" t="s">
        <v>138</v>
      </c>
      <c r="Y1346" s="0" t="s">
        <v>138</v>
      </c>
      <c r="Z1346" s="14" t="s">
        <v>138</v>
      </c>
      <c r="AA1346" s="0" t="s">
        <v>138</v>
      </c>
      <c r="AB1346" s="14" t="s">
        <v>138</v>
      </c>
      <c r="AD1346" s="0" t="s">
        <v>138</v>
      </c>
      <c r="AF1346" s="0">
        <v>0</v>
      </c>
      <c r="AG1346" s="0">
        <v>0</v>
      </c>
      <c r="AH1346" s="0" t="s">
        <v>140</v>
      </c>
      <c r="AI1346" s="0" t="s">
        <v>138</v>
      </c>
      <c r="AL1346" s="14"/>
      <c r="AN1346" s="14"/>
      <c r="AQ1346" s="0" t="s">
        <v>130</v>
      </c>
      <c r="AR1346" s="0" t="s">
        <v>130</v>
      </c>
      <c r="AS1346" s="0" t="s">
        <v>130</v>
      </c>
      <c r="AT1346" s="0" t="s">
        <v>130</v>
      </c>
      <c r="AU1346" s="0" t="s">
        <v>130</v>
      </c>
      <c r="AV1346" s="0" t="s">
        <v>130</v>
      </c>
      <c r="AW1346" s="0" t="s">
        <v>130</v>
      </c>
      <c r="AX1346" s="0" t="s">
        <v>130</v>
      </c>
      <c r="AY1346" s="0" t="s">
        <v>130</v>
      </c>
      <c r="AZ1346" s="0" t="s">
        <v>130</v>
      </c>
      <c r="BA1346" s="0" t="s">
        <v>130</v>
      </c>
      <c r="BB1346" s="0" t="s">
        <v>130</v>
      </c>
      <c r="BC1346" s="0" t="s">
        <v>130</v>
      </c>
      <c r="BD1346" s="0" t="s">
        <v>130</v>
      </c>
      <c r="BE1346" s="0" t="s">
        <v>130</v>
      </c>
      <c r="BF1346" s="0" t="s">
        <v>130</v>
      </c>
      <c r="BG1346" s="0" t="s">
        <v>130</v>
      </c>
      <c r="BH1346" s="0" t="s">
        <v>130</v>
      </c>
      <c r="BI1346" s="0" t="s">
        <v>130</v>
      </c>
      <c r="BJ1346" s="0" t="s">
        <v>130</v>
      </c>
      <c r="BK1346" s="0" t="s">
        <v>130</v>
      </c>
      <c r="BL1346" s="0" t="s">
        <v>130</v>
      </c>
      <c r="BM1346" s="0" t="s">
        <v>130</v>
      </c>
      <c r="BN1346" s="0" t="s">
        <v>130</v>
      </c>
      <c r="BO1346" s="0" t="s">
        <v>130</v>
      </c>
      <c r="BP1346" s="0" t="s">
        <v>130</v>
      </c>
      <c r="BQ1346" s="0" t="s">
        <v>130</v>
      </c>
      <c r="BR1346" s="0" t="s">
        <v>130</v>
      </c>
      <c r="BS1346" s="0" t="s">
        <v>130</v>
      </c>
      <c r="BT1346" s="0" t="s">
        <v>130</v>
      </c>
      <c r="BU1346" s="0" t="s">
        <v>130</v>
      </c>
      <c r="BV1346" s="0" t="s">
        <v>130</v>
      </c>
      <c r="BW1346" s="0" t="s">
        <v>130</v>
      </c>
      <c r="BX1346" s="0" t="s">
        <v>130</v>
      </c>
      <c r="BY1346" s="0" t="s">
        <v>130</v>
      </c>
      <c r="BZ1346" s="0" t="s">
        <v>130</v>
      </c>
      <c r="CA1346" s="0" t="s">
        <v>130</v>
      </c>
      <c r="CB1346" s="0" t="s">
        <v>130</v>
      </c>
      <c r="CC1346" s="0" t="s">
        <v>130</v>
      </c>
      <c r="CD1346" s="0" t="s">
        <v>130</v>
      </c>
      <c r="CE1346" s="0" t="s">
        <v>130</v>
      </c>
      <c r="CF1346" s="0" t="s">
        <v>130</v>
      </c>
      <c r="CG1346" s="0" t="s">
        <v>130</v>
      </c>
      <c r="CH1346" s="0" t="s">
        <v>130</v>
      </c>
      <c r="CI1346" s="0" t="s">
        <v>130</v>
      </c>
      <c r="CJ1346" s="0" t="s">
        <v>130</v>
      </c>
      <c r="CK1346" s="0" t="s">
        <v>141</v>
      </c>
      <c r="CL1346" s="0" t="s">
        <v>130</v>
      </c>
      <c r="CM1346" s="0" t="s">
        <v>130</v>
      </c>
      <c r="CN1346" s="0" t="s">
        <v>130</v>
      </c>
      <c r="CO1346" s="0" t="s">
        <v>130</v>
      </c>
      <c r="CP1346" s="0" t="s">
        <v>130</v>
      </c>
      <c r="CQ1346" s="0" t="s">
        <v>130</v>
      </c>
      <c r="CR1346" s="0" t="s">
        <v>130</v>
      </c>
      <c r="CS1346" s="0" t="s">
        <v>130</v>
      </c>
      <c r="CT1346" s="0" t="s">
        <v>3944</v>
      </c>
    </row>
    <row r="1347">
      <c r="A1347" s="14">
        <v>8957976</v>
      </c>
      <c r="B1347" s="0" t="s">
        <v>3934</v>
      </c>
      <c r="C1347" s="16">
        <f>HYPERLINK("https://eosportal.federatedhermes.com/companies/Q29tcGFueQppNTg5NDk=", "Tencent Holdings Ltd")</f>
      </c>
      <c r="D1347" s="0" t="s">
        <v>25</v>
      </c>
      <c r="E1347" s="0" t="s">
        <v>3027</v>
      </c>
      <c r="F1347" s="16">
        <f>HYPERLINK("https://eosportal.federatedhermes.com/engagements/RW5nYWdlbWVudAppMjczMzg=", "Board gender diversity")</f>
      </c>
      <c r="G1347" s="14" t="s">
        <v>3945</v>
      </c>
      <c r="H1347" s="0" t="s">
        <v>141</v>
      </c>
      <c r="I1347" s="14" t="s">
        <v>191</v>
      </c>
      <c r="J1347" s="0" t="s">
        <v>145</v>
      </c>
      <c r="K1347" s="0" t="s">
        <v>164</v>
      </c>
      <c r="L1347" s="0" t="s">
        <v>165</v>
      </c>
      <c r="M1347" s="0" t="s">
        <v>2807</v>
      </c>
      <c r="N1347" s="0" t="s">
        <v>3272</v>
      </c>
      <c r="O1347" s="0" t="s">
        <v>137</v>
      </c>
      <c r="Q1347" s="0" t="s">
        <v>130</v>
      </c>
      <c r="R1347" s="0" t="s">
        <v>138</v>
      </c>
      <c r="S1347" s="14">
        <v>0</v>
      </c>
      <c r="T1347" s="0" t="s">
        <v>355</v>
      </c>
      <c r="U1347" s="0" t="s">
        <v>138</v>
      </c>
      <c r="V1347" s="14" t="s">
        <v>138</v>
      </c>
      <c r="W1347" s="0" t="s">
        <v>138</v>
      </c>
      <c r="X1347" s="14" t="s">
        <v>138</v>
      </c>
      <c r="Y1347" s="0" t="s">
        <v>138</v>
      </c>
      <c r="Z1347" s="14" t="s">
        <v>138</v>
      </c>
      <c r="AA1347" s="0" t="s">
        <v>138</v>
      </c>
      <c r="AB1347" s="14" t="s">
        <v>138</v>
      </c>
      <c r="AD1347" s="0" t="s">
        <v>138</v>
      </c>
      <c r="AF1347" s="0">
        <v>0</v>
      </c>
      <c r="AG1347" s="0">
        <v>0</v>
      </c>
      <c r="AH1347" s="0" t="s">
        <v>140</v>
      </c>
      <c r="AI1347" s="0" t="s">
        <v>138</v>
      </c>
      <c r="AL1347" s="14"/>
      <c r="AN1347" s="14"/>
      <c r="AQ1347" s="0" t="s">
        <v>130</v>
      </c>
      <c r="AR1347" s="0" t="s">
        <v>130</v>
      </c>
      <c r="AS1347" s="0" t="s">
        <v>130</v>
      </c>
      <c r="AT1347" s="0" t="s">
        <v>130</v>
      </c>
      <c r="AU1347" s="0" t="s">
        <v>141</v>
      </c>
      <c r="AV1347" s="0" t="s">
        <v>130</v>
      </c>
      <c r="AW1347" s="0" t="s">
        <v>130</v>
      </c>
      <c r="AX1347" s="0" t="s">
        <v>130</v>
      </c>
      <c r="AY1347" s="0" t="s">
        <v>130</v>
      </c>
      <c r="AZ1347" s="0" t="s">
        <v>130</v>
      </c>
      <c r="BA1347" s="0" t="s">
        <v>130</v>
      </c>
      <c r="BB1347" s="0" t="s">
        <v>130</v>
      </c>
      <c r="BC1347" s="0" t="s">
        <v>130</v>
      </c>
      <c r="BD1347" s="0" t="s">
        <v>130</v>
      </c>
      <c r="BE1347" s="0" t="s">
        <v>130</v>
      </c>
      <c r="BF1347" s="0" t="s">
        <v>130</v>
      </c>
      <c r="BG1347" s="0" t="s">
        <v>130</v>
      </c>
      <c r="BH1347" s="0" t="s">
        <v>130</v>
      </c>
      <c r="BI1347" s="0" t="s">
        <v>130</v>
      </c>
      <c r="BJ1347" s="0" t="s">
        <v>130</v>
      </c>
      <c r="BK1347" s="0" t="s">
        <v>130</v>
      </c>
      <c r="BL1347" s="0" t="s">
        <v>130</v>
      </c>
      <c r="BM1347" s="0" t="s">
        <v>130</v>
      </c>
      <c r="BN1347" s="0" t="s">
        <v>130</v>
      </c>
      <c r="BO1347" s="0" t="s">
        <v>130</v>
      </c>
      <c r="BP1347" s="0" t="s">
        <v>130</v>
      </c>
      <c r="BQ1347" s="0" t="s">
        <v>130</v>
      </c>
      <c r="BR1347" s="0" t="s">
        <v>130</v>
      </c>
      <c r="BS1347" s="0" t="s">
        <v>130</v>
      </c>
      <c r="BT1347" s="0" t="s">
        <v>130</v>
      </c>
      <c r="BU1347" s="0" t="s">
        <v>130</v>
      </c>
      <c r="BV1347" s="0" t="s">
        <v>130</v>
      </c>
      <c r="BW1347" s="0" t="s">
        <v>130</v>
      </c>
      <c r="BX1347" s="0" t="s">
        <v>130</v>
      </c>
      <c r="BY1347" s="0" t="s">
        <v>130</v>
      </c>
      <c r="BZ1347" s="0" t="s">
        <v>130</v>
      </c>
      <c r="CA1347" s="0" t="s">
        <v>130</v>
      </c>
      <c r="CB1347" s="0" t="s">
        <v>130</v>
      </c>
      <c r="CC1347" s="0" t="s">
        <v>130</v>
      </c>
      <c r="CD1347" s="0" t="s">
        <v>130</v>
      </c>
      <c r="CE1347" s="0" t="s">
        <v>130</v>
      </c>
      <c r="CF1347" s="0" t="s">
        <v>130</v>
      </c>
      <c r="CG1347" s="0" t="s">
        <v>130</v>
      </c>
      <c r="CH1347" s="0" t="s">
        <v>130</v>
      </c>
      <c r="CI1347" s="0" t="s">
        <v>130</v>
      </c>
      <c r="CJ1347" s="0" t="s">
        <v>130</v>
      </c>
      <c r="CK1347" s="0" t="s">
        <v>130</v>
      </c>
      <c r="CL1347" s="0" t="s">
        <v>130</v>
      </c>
      <c r="CM1347" s="0" t="s">
        <v>130</v>
      </c>
      <c r="CN1347" s="0" t="s">
        <v>130</v>
      </c>
      <c r="CO1347" s="0" t="s">
        <v>130</v>
      </c>
      <c r="CP1347" s="0" t="s">
        <v>130</v>
      </c>
      <c r="CQ1347" s="0" t="s">
        <v>130</v>
      </c>
      <c r="CR1347" s="0" t="s">
        <v>130</v>
      </c>
      <c r="CS1347" s="0" t="s">
        <v>130</v>
      </c>
      <c r="CT1347" s="0" t="s">
        <v>3946</v>
      </c>
    </row>
    <row r="1348">
      <c r="A1348" s="14">
        <v>8957976</v>
      </c>
      <c r="B1348" s="0" t="s">
        <v>3934</v>
      </c>
      <c r="C1348" s="16">
        <f>HYPERLINK("https://eosportal.federatedhermes.com/companies/Q29tcGFueQppNTg5NDk=", "Tencent Holdings Ltd")</f>
      </c>
      <c r="D1348" s="0" t="s">
        <v>25</v>
      </c>
      <c r="E1348" s="0" t="s">
        <v>922</v>
      </c>
      <c r="F1348" s="16">
        <f>HYPERLINK("https://eosportal.federatedhermes.com/engagements/RW5nYWdlbWVudAppMjczMzk=", "Human rights")</f>
      </c>
      <c r="G1348" s="14" t="s">
        <v>3947</v>
      </c>
      <c r="H1348" s="0" t="s">
        <v>141</v>
      </c>
      <c r="I1348" s="14" t="s">
        <v>191</v>
      </c>
      <c r="J1348" s="0" t="s">
        <v>153</v>
      </c>
      <c r="K1348" s="0" t="s">
        <v>243</v>
      </c>
      <c r="L1348" s="0" t="s">
        <v>244</v>
      </c>
      <c r="M1348" s="0" t="s">
        <v>2807</v>
      </c>
      <c r="N1348" s="0" t="s">
        <v>3272</v>
      </c>
      <c r="O1348" s="0" t="s">
        <v>137</v>
      </c>
      <c r="Q1348" s="0" t="s">
        <v>130</v>
      </c>
      <c r="R1348" s="0" t="s">
        <v>138</v>
      </c>
      <c r="S1348" s="14">
        <v>0</v>
      </c>
      <c r="T1348" s="0" t="s">
        <v>320</v>
      </c>
      <c r="U1348" s="0" t="s">
        <v>138</v>
      </c>
      <c r="V1348" s="14" t="s">
        <v>138</v>
      </c>
      <c r="W1348" s="0" t="s">
        <v>138</v>
      </c>
      <c r="X1348" s="14" t="s">
        <v>138</v>
      </c>
      <c r="Y1348" s="0" t="s">
        <v>138</v>
      </c>
      <c r="Z1348" s="14" t="s">
        <v>138</v>
      </c>
      <c r="AA1348" s="0" t="s">
        <v>138</v>
      </c>
      <c r="AB1348" s="14" t="s">
        <v>138</v>
      </c>
      <c r="AD1348" s="0" t="s">
        <v>138</v>
      </c>
      <c r="AF1348" s="0">
        <v>0</v>
      </c>
      <c r="AG1348" s="0">
        <v>0</v>
      </c>
      <c r="AH1348" s="0" t="s">
        <v>140</v>
      </c>
      <c r="AI1348" s="0" t="s">
        <v>138</v>
      </c>
      <c r="AL1348" s="14"/>
      <c r="AN1348" s="14"/>
      <c r="AQ1348" s="0" t="s">
        <v>130</v>
      </c>
      <c r="AR1348" s="0" t="s">
        <v>130</v>
      </c>
      <c r="AS1348" s="0" t="s">
        <v>130</v>
      </c>
      <c r="AT1348" s="0" t="s">
        <v>130</v>
      </c>
      <c r="AU1348" s="0" t="s">
        <v>130</v>
      </c>
      <c r="AV1348" s="0" t="s">
        <v>130</v>
      </c>
      <c r="AW1348" s="0" t="s">
        <v>130</v>
      </c>
      <c r="AX1348" s="0" t="s">
        <v>141</v>
      </c>
      <c r="AY1348" s="0" t="s">
        <v>130</v>
      </c>
      <c r="AZ1348" s="0" t="s">
        <v>130</v>
      </c>
      <c r="BA1348" s="0" t="s">
        <v>130</v>
      </c>
      <c r="BB1348" s="0" t="s">
        <v>130</v>
      </c>
      <c r="BC1348" s="0" t="s">
        <v>130</v>
      </c>
      <c r="BD1348" s="0" t="s">
        <v>130</v>
      </c>
      <c r="BE1348" s="0" t="s">
        <v>130</v>
      </c>
      <c r="BF1348" s="0" t="s">
        <v>130</v>
      </c>
      <c r="BG1348" s="0" t="s">
        <v>130</v>
      </c>
      <c r="BH1348" s="0" t="s">
        <v>130</v>
      </c>
      <c r="BI1348" s="0" t="s">
        <v>130</v>
      </c>
      <c r="BJ1348" s="0" t="s">
        <v>130</v>
      </c>
      <c r="BK1348" s="0" t="s">
        <v>130</v>
      </c>
      <c r="BL1348" s="0" t="s">
        <v>130</v>
      </c>
      <c r="BM1348" s="0" t="s">
        <v>130</v>
      </c>
      <c r="BN1348" s="0" t="s">
        <v>130</v>
      </c>
      <c r="BO1348" s="0" t="s">
        <v>130</v>
      </c>
      <c r="BP1348" s="0" t="s">
        <v>130</v>
      </c>
      <c r="BQ1348" s="0" t="s">
        <v>130</v>
      </c>
      <c r="BR1348" s="0" t="s">
        <v>130</v>
      </c>
      <c r="BS1348" s="0" t="s">
        <v>130</v>
      </c>
      <c r="BT1348" s="0" t="s">
        <v>130</v>
      </c>
      <c r="BU1348" s="0" t="s">
        <v>130</v>
      </c>
      <c r="BV1348" s="0" t="s">
        <v>130</v>
      </c>
      <c r="BW1348" s="0" t="s">
        <v>130</v>
      </c>
      <c r="BX1348" s="0" t="s">
        <v>130</v>
      </c>
      <c r="BY1348" s="0" t="s">
        <v>130</v>
      </c>
      <c r="BZ1348" s="0" t="s">
        <v>130</v>
      </c>
      <c r="CA1348" s="0" t="s">
        <v>130</v>
      </c>
      <c r="CB1348" s="0" t="s">
        <v>130</v>
      </c>
      <c r="CC1348" s="0" t="s">
        <v>130</v>
      </c>
      <c r="CD1348" s="0" t="s">
        <v>130</v>
      </c>
      <c r="CE1348" s="0" t="s">
        <v>130</v>
      </c>
      <c r="CF1348" s="0" t="s">
        <v>130</v>
      </c>
      <c r="CG1348" s="0" t="s">
        <v>130</v>
      </c>
      <c r="CH1348" s="0" t="s">
        <v>130</v>
      </c>
      <c r="CI1348" s="0" t="s">
        <v>130</v>
      </c>
      <c r="CJ1348" s="0" t="s">
        <v>130</v>
      </c>
      <c r="CK1348" s="0" t="s">
        <v>130</v>
      </c>
      <c r="CL1348" s="0" t="s">
        <v>130</v>
      </c>
      <c r="CM1348" s="0" t="s">
        <v>130</v>
      </c>
      <c r="CN1348" s="0" t="s">
        <v>130</v>
      </c>
      <c r="CO1348" s="0" t="s">
        <v>130</v>
      </c>
      <c r="CP1348" s="0" t="s">
        <v>130</v>
      </c>
      <c r="CQ1348" s="0" t="s">
        <v>130</v>
      </c>
      <c r="CR1348" s="0" t="s">
        <v>130</v>
      </c>
      <c r="CS1348" s="0" t="s">
        <v>130</v>
      </c>
      <c r="CT1348" s="0" t="s">
        <v>3948</v>
      </c>
    </row>
    <row r="1349">
      <c r="A1349" s="14">
        <v>8957976</v>
      </c>
      <c r="B1349" s="0" t="s">
        <v>3934</v>
      </c>
      <c r="C1349" s="16">
        <f>HYPERLINK("https://eosportal.federatedhermes.com/companies/Q29tcGFueQppNTg5NDk=", "Tencent Holdings Ltd")</f>
      </c>
      <c r="D1349" s="0" t="s">
        <v>25</v>
      </c>
      <c r="E1349" s="0" t="s">
        <v>3949</v>
      </c>
      <c r="F1349" s="16">
        <f>HYPERLINK("https://eosportal.federatedhermes.com/engagements/RW5nYWdlbWVudAppMjczNDY=", "High risk regions")</f>
      </c>
      <c r="G1349" s="14" t="s">
        <v>3950</v>
      </c>
      <c r="H1349" s="0" t="s">
        <v>141</v>
      </c>
      <c r="I1349" s="14" t="s">
        <v>191</v>
      </c>
      <c r="J1349" s="0" t="s">
        <v>153</v>
      </c>
      <c r="K1349" s="0" t="s">
        <v>243</v>
      </c>
      <c r="L1349" s="0" t="s">
        <v>456</v>
      </c>
      <c r="M1349" s="0" t="s">
        <v>2807</v>
      </c>
      <c r="N1349" s="0" t="s">
        <v>3272</v>
      </c>
      <c r="O1349" s="0" t="s">
        <v>137</v>
      </c>
      <c r="Q1349" s="0" t="s">
        <v>130</v>
      </c>
      <c r="R1349" s="0" t="s">
        <v>138</v>
      </c>
      <c r="S1349" s="14">
        <v>0</v>
      </c>
      <c r="T1349" s="0" t="s">
        <v>1145</v>
      </c>
      <c r="U1349" s="0" t="s">
        <v>138</v>
      </c>
      <c r="V1349" s="14" t="s">
        <v>138</v>
      </c>
      <c r="W1349" s="0" t="s">
        <v>138</v>
      </c>
      <c r="X1349" s="14" t="s">
        <v>138</v>
      </c>
      <c r="Y1349" s="0" t="s">
        <v>138</v>
      </c>
      <c r="Z1349" s="14" t="s">
        <v>138</v>
      </c>
      <c r="AA1349" s="0" t="s">
        <v>138</v>
      </c>
      <c r="AB1349" s="14" t="s">
        <v>138</v>
      </c>
      <c r="AD1349" s="0" t="s">
        <v>138</v>
      </c>
      <c r="AF1349" s="0">
        <v>0</v>
      </c>
      <c r="AG1349" s="0">
        <v>0</v>
      </c>
      <c r="AH1349" s="0" t="s">
        <v>140</v>
      </c>
      <c r="AI1349" s="0" t="s">
        <v>138</v>
      </c>
      <c r="AL1349" s="14"/>
      <c r="AN1349" s="14"/>
      <c r="AQ1349" s="0" t="s">
        <v>130</v>
      </c>
      <c r="AR1349" s="0" t="s">
        <v>130</v>
      </c>
      <c r="AS1349" s="0" t="s">
        <v>130</v>
      </c>
      <c r="AT1349" s="0" t="s">
        <v>130</v>
      </c>
      <c r="AU1349" s="0" t="s">
        <v>130</v>
      </c>
      <c r="AV1349" s="0" t="s">
        <v>130</v>
      </c>
      <c r="AW1349" s="0" t="s">
        <v>130</v>
      </c>
      <c r="AX1349" s="0" t="s">
        <v>130</v>
      </c>
      <c r="AY1349" s="0" t="s">
        <v>130</v>
      </c>
      <c r="AZ1349" s="0" t="s">
        <v>130</v>
      </c>
      <c r="BA1349" s="0" t="s">
        <v>130</v>
      </c>
      <c r="BB1349" s="0" t="s">
        <v>130</v>
      </c>
      <c r="BC1349" s="0" t="s">
        <v>130</v>
      </c>
      <c r="BD1349" s="0" t="s">
        <v>130</v>
      </c>
      <c r="BE1349" s="0" t="s">
        <v>130</v>
      </c>
      <c r="BF1349" s="0" t="s">
        <v>141</v>
      </c>
      <c r="BG1349" s="0" t="s">
        <v>130</v>
      </c>
      <c r="BH1349" s="0" t="s">
        <v>130</v>
      </c>
      <c r="BI1349" s="0" t="s">
        <v>130</v>
      </c>
      <c r="BJ1349" s="0" t="s">
        <v>130</v>
      </c>
      <c r="BK1349" s="0" t="s">
        <v>130</v>
      </c>
      <c r="BL1349" s="0" t="s">
        <v>130</v>
      </c>
      <c r="BM1349" s="0" t="s">
        <v>130</v>
      </c>
      <c r="BN1349" s="0" t="s">
        <v>130</v>
      </c>
      <c r="BO1349" s="0" t="s">
        <v>130</v>
      </c>
      <c r="BP1349" s="0" t="s">
        <v>130</v>
      </c>
      <c r="BQ1349" s="0" t="s">
        <v>130</v>
      </c>
      <c r="BR1349" s="0" t="s">
        <v>130</v>
      </c>
      <c r="BS1349" s="0" t="s">
        <v>130</v>
      </c>
      <c r="BT1349" s="0" t="s">
        <v>130</v>
      </c>
      <c r="BU1349" s="0" t="s">
        <v>130</v>
      </c>
      <c r="BV1349" s="0" t="s">
        <v>130</v>
      </c>
      <c r="BW1349" s="0" t="s">
        <v>130</v>
      </c>
      <c r="BX1349" s="0" t="s">
        <v>130</v>
      </c>
      <c r="BY1349" s="0" t="s">
        <v>130</v>
      </c>
      <c r="BZ1349" s="0" t="s">
        <v>130</v>
      </c>
      <c r="CA1349" s="0" t="s">
        <v>130</v>
      </c>
      <c r="CB1349" s="0" t="s">
        <v>130</v>
      </c>
      <c r="CC1349" s="0" t="s">
        <v>130</v>
      </c>
      <c r="CD1349" s="0" t="s">
        <v>130</v>
      </c>
      <c r="CE1349" s="0" t="s">
        <v>130</v>
      </c>
      <c r="CF1349" s="0" t="s">
        <v>130</v>
      </c>
      <c r="CG1349" s="0" t="s">
        <v>130</v>
      </c>
      <c r="CH1349" s="0" t="s">
        <v>130</v>
      </c>
      <c r="CI1349" s="0" t="s">
        <v>130</v>
      </c>
      <c r="CJ1349" s="0" t="s">
        <v>130</v>
      </c>
      <c r="CK1349" s="0" t="s">
        <v>130</v>
      </c>
      <c r="CL1349" s="0" t="s">
        <v>130</v>
      </c>
      <c r="CM1349" s="0" t="s">
        <v>130</v>
      </c>
      <c r="CN1349" s="0" t="s">
        <v>130</v>
      </c>
      <c r="CO1349" s="0" t="s">
        <v>130</v>
      </c>
      <c r="CP1349" s="0" t="s">
        <v>130</v>
      </c>
      <c r="CQ1349" s="0" t="s">
        <v>130</v>
      </c>
      <c r="CR1349" s="0" t="s">
        <v>130</v>
      </c>
      <c r="CS1349" s="0" t="s">
        <v>130</v>
      </c>
      <c r="CT1349" s="0" t="s">
        <v>3951</v>
      </c>
    </row>
    <row r="1350">
      <c r="A1350" s="14">
        <v>8957976</v>
      </c>
      <c r="B1350" s="0" t="s">
        <v>3934</v>
      </c>
      <c r="C1350" s="16">
        <f>HYPERLINK("https://eosportal.federatedhermes.com/companies/Q29tcGFueQppNTg5NDk=", "Tencent Holdings Ltd")</f>
      </c>
      <c r="D1350" s="0" t="s">
        <v>25</v>
      </c>
      <c r="E1350" s="0" t="s">
        <v>3952</v>
      </c>
      <c r="F1350" s="16">
        <f>HYPERLINK("https://eosportal.federatedhermes.com/engagements/RW5nYWdlbWVudAppMjczNDc=", "Data privacy")</f>
      </c>
      <c r="G1350" s="14" t="s">
        <v>3953</v>
      </c>
      <c r="H1350" s="0" t="s">
        <v>141</v>
      </c>
      <c r="I1350" s="14" t="s">
        <v>191</v>
      </c>
      <c r="J1350" s="0" t="s">
        <v>153</v>
      </c>
      <c r="K1350" s="0" t="s">
        <v>243</v>
      </c>
      <c r="L1350" s="0" t="s">
        <v>537</v>
      </c>
      <c r="M1350" s="0" t="s">
        <v>2807</v>
      </c>
      <c r="N1350" s="0" t="s">
        <v>3272</v>
      </c>
      <c r="O1350" s="0" t="s">
        <v>137</v>
      </c>
      <c r="Q1350" s="0" t="s">
        <v>141</v>
      </c>
      <c r="R1350" s="0" t="s">
        <v>138</v>
      </c>
      <c r="S1350" s="14">
        <v>1</v>
      </c>
      <c r="T1350" s="0" t="s">
        <v>343</v>
      </c>
      <c r="U1350" s="0" t="s">
        <v>138</v>
      </c>
      <c r="V1350" s="14" t="s">
        <v>138</v>
      </c>
      <c r="W1350" s="0" t="s">
        <v>138</v>
      </c>
      <c r="X1350" s="14" t="s">
        <v>138</v>
      </c>
      <c r="Y1350" s="0" t="s">
        <v>138</v>
      </c>
      <c r="Z1350" s="14" t="s">
        <v>138</v>
      </c>
      <c r="AA1350" s="0" t="s">
        <v>138</v>
      </c>
      <c r="AB1350" s="14" t="s">
        <v>138</v>
      </c>
      <c r="AD1350" s="0" t="s">
        <v>138</v>
      </c>
      <c r="AF1350" s="0">
        <v>0</v>
      </c>
      <c r="AG1350" s="0">
        <v>0</v>
      </c>
      <c r="AH1350" s="0" t="s">
        <v>140</v>
      </c>
      <c r="AI1350" s="0" t="s">
        <v>138</v>
      </c>
      <c r="AK1350" s="0" t="s">
        <v>584</v>
      </c>
      <c r="AL1350" s="14"/>
      <c r="AN1350" s="14"/>
      <c r="AQ1350" s="0" t="s">
        <v>130</v>
      </c>
      <c r="AR1350" s="0" t="s">
        <v>130</v>
      </c>
      <c r="AS1350" s="0" t="s">
        <v>130</v>
      </c>
      <c r="AT1350" s="0" t="s">
        <v>130</v>
      </c>
      <c r="AU1350" s="0" t="s">
        <v>130</v>
      </c>
      <c r="AV1350" s="0" t="s">
        <v>130</v>
      </c>
      <c r="AW1350" s="0" t="s">
        <v>130</v>
      </c>
      <c r="AX1350" s="0" t="s">
        <v>130</v>
      </c>
      <c r="AY1350" s="0" t="s">
        <v>130</v>
      </c>
      <c r="AZ1350" s="0" t="s">
        <v>130</v>
      </c>
      <c r="BA1350" s="0" t="s">
        <v>130</v>
      </c>
      <c r="BB1350" s="0" t="s">
        <v>130</v>
      </c>
      <c r="BC1350" s="0" t="s">
        <v>130</v>
      </c>
      <c r="BD1350" s="0" t="s">
        <v>130</v>
      </c>
      <c r="BE1350" s="0" t="s">
        <v>130</v>
      </c>
      <c r="BF1350" s="0" t="s">
        <v>141</v>
      </c>
      <c r="BG1350" s="0" t="s">
        <v>130</v>
      </c>
      <c r="BH1350" s="0" t="s">
        <v>130</v>
      </c>
      <c r="BI1350" s="0" t="s">
        <v>130</v>
      </c>
      <c r="BJ1350" s="0" t="s">
        <v>130</v>
      </c>
      <c r="BK1350" s="0" t="s">
        <v>130</v>
      </c>
      <c r="BL1350" s="0" t="s">
        <v>130</v>
      </c>
      <c r="BM1350" s="0" t="s">
        <v>130</v>
      </c>
      <c r="BN1350" s="0" t="s">
        <v>130</v>
      </c>
      <c r="BO1350" s="0" t="s">
        <v>130</v>
      </c>
      <c r="BP1350" s="0" t="s">
        <v>130</v>
      </c>
      <c r="BQ1350" s="0" t="s">
        <v>130</v>
      </c>
      <c r="BR1350" s="0" t="s">
        <v>130</v>
      </c>
      <c r="BS1350" s="0" t="s">
        <v>130</v>
      </c>
      <c r="BT1350" s="0" t="s">
        <v>130</v>
      </c>
      <c r="BU1350" s="0" t="s">
        <v>130</v>
      </c>
      <c r="BV1350" s="0" t="s">
        <v>130</v>
      </c>
      <c r="BW1350" s="0" t="s">
        <v>130</v>
      </c>
      <c r="BX1350" s="0" t="s">
        <v>130</v>
      </c>
      <c r="BY1350" s="0" t="s">
        <v>130</v>
      </c>
      <c r="BZ1350" s="0" t="s">
        <v>130</v>
      </c>
      <c r="CA1350" s="0" t="s">
        <v>130</v>
      </c>
      <c r="CB1350" s="0" t="s">
        <v>130</v>
      </c>
      <c r="CC1350" s="0" t="s">
        <v>130</v>
      </c>
      <c r="CD1350" s="0" t="s">
        <v>130</v>
      </c>
      <c r="CE1350" s="0" t="s">
        <v>130</v>
      </c>
      <c r="CF1350" s="0" t="s">
        <v>130</v>
      </c>
      <c r="CG1350" s="0" t="s">
        <v>130</v>
      </c>
      <c r="CH1350" s="0" t="s">
        <v>130</v>
      </c>
      <c r="CI1350" s="0" t="s">
        <v>130</v>
      </c>
      <c r="CJ1350" s="0" t="s">
        <v>130</v>
      </c>
      <c r="CK1350" s="0" t="s">
        <v>130</v>
      </c>
      <c r="CL1350" s="0" t="s">
        <v>130</v>
      </c>
      <c r="CM1350" s="0" t="s">
        <v>130</v>
      </c>
      <c r="CN1350" s="0" t="s">
        <v>130</v>
      </c>
      <c r="CO1350" s="0" t="s">
        <v>130</v>
      </c>
      <c r="CP1350" s="0" t="s">
        <v>130</v>
      </c>
      <c r="CQ1350" s="0" t="s">
        <v>130</v>
      </c>
      <c r="CR1350" s="0" t="s">
        <v>130</v>
      </c>
      <c r="CS1350" s="0" t="s">
        <v>130</v>
      </c>
      <c r="CT1350" s="0" t="s">
        <v>3954</v>
      </c>
    </row>
    <row r="1351">
      <c r="A1351" s="14">
        <v>8957976</v>
      </c>
      <c r="B1351" s="0" t="s">
        <v>3934</v>
      </c>
      <c r="C1351" s="16">
        <f>HYPERLINK("https://eosportal.federatedhermes.com/companies/Q29tcGFueQppNTg5NDk=", "Tencent Holdings Ltd")</f>
      </c>
      <c r="D1351" s="0" t="s">
        <v>25</v>
      </c>
      <c r="E1351" s="0" t="s">
        <v>2875</v>
      </c>
      <c r="F1351" s="16">
        <f>HYPERLINK("https://eosportal.federatedhermes.com/engagements/RW5nYWdlbWVudAppMjczNDg=", "Corporate structure")</f>
      </c>
      <c r="G1351" s="14" t="s">
        <v>3955</v>
      </c>
      <c r="H1351" s="0" t="s">
        <v>141</v>
      </c>
      <c r="I1351" s="14" t="s">
        <v>191</v>
      </c>
      <c r="J1351" s="0" t="s">
        <v>145</v>
      </c>
      <c r="K1351" s="0" t="s">
        <v>400</v>
      </c>
      <c r="L1351" s="0" t="s">
        <v>507</v>
      </c>
      <c r="M1351" s="0" t="s">
        <v>2807</v>
      </c>
      <c r="N1351" s="0" t="s">
        <v>3272</v>
      </c>
      <c r="O1351" s="0" t="s">
        <v>137</v>
      </c>
      <c r="Q1351" s="0" t="s">
        <v>130</v>
      </c>
      <c r="R1351" s="0" t="s">
        <v>138</v>
      </c>
      <c r="S1351" s="14">
        <v>0</v>
      </c>
      <c r="T1351" s="0" t="s">
        <v>457</v>
      </c>
      <c r="U1351" s="0" t="s">
        <v>138</v>
      </c>
      <c r="V1351" s="14" t="s">
        <v>138</v>
      </c>
      <c r="W1351" s="0" t="s">
        <v>138</v>
      </c>
      <c r="X1351" s="14" t="s">
        <v>138</v>
      </c>
      <c r="Y1351" s="0" t="s">
        <v>138</v>
      </c>
      <c r="Z1351" s="14" t="s">
        <v>138</v>
      </c>
      <c r="AA1351" s="0" t="s">
        <v>138</v>
      </c>
      <c r="AB1351" s="14" t="s">
        <v>138</v>
      </c>
      <c r="AD1351" s="0" t="s">
        <v>138</v>
      </c>
      <c r="AF1351" s="0">
        <v>0</v>
      </c>
      <c r="AG1351" s="0">
        <v>0</v>
      </c>
      <c r="AH1351" s="0" t="s">
        <v>140</v>
      </c>
      <c r="AI1351" s="0" t="s">
        <v>138</v>
      </c>
      <c r="AL1351" s="14"/>
      <c r="AN1351" s="14"/>
      <c r="AQ1351" s="0" t="s">
        <v>130</v>
      </c>
      <c r="AR1351" s="0" t="s">
        <v>130</v>
      </c>
      <c r="AS1351" s="0" t="s">
        <v>130</v>
      </c>
      <c r="AT1351" s="0" t="s">
        <v>130</v>
      </c>
      <c r="AU1351" s="0" t="s">
        <v>130</v>
      </c>
      <c r="AV1351" s="0" t="s">
        <v>130</v>
      </c>
      <c r="AW1351" s="0" t="s">
        <v>130</v>
      </c>
      <c r="AX1351" s="0" t="s">
        <v>130</v>
      </c>
      <c r="AY1351" s="0" t="s">
        <v>130</v>
      </c>
      <c r="AZ1351" s="0" t="s">
        <v>130</v>
      </c>
      <c r="BA1351" s="0" t="s">
        <v>130</v>
      </c>
      <c r="BB1351" s="0" t="s">
        <v>130</v>
      </c>
      <c r="BC1351" s="0" t="s">
        <v>130</v>
      </c>
      <c r="BD1351" s="0" t="s">
        <v>130</v>
      </c>
      <c r="BE1351" s="0" t="s">
        <v>130</v>
      </c>
      <c r="BF1351" s="0" t="s">
        <v>130</v>
      </c>
      <c r="BG1351" s="0" t="s">
        <v>130</v>
      </c>
      <c r="BH1351" s="0" t="s">
        <v>130</v>
      </c>
      <c r="BI1351" s="0" t="s">
        <v>130</v>
      </c>
      <c r="BJ1351" s="0" t="s">
        <v>130</v>
      </c>
      <c r="BK1351" s="0" t="s">
        <v>130</v>
      </c>
      <c r="BL1351" s="0" t="s">
        <v>130</v>
      </c>
      <c r="BM1351" s="0" t="s">
        <v>130</v>
      </c>
      <c r="BN1351" s="0" t="s">
        <v>130</v>
      </c>
      <c r="BO1351" s="0" t="s">
        <v>130</v>
      </c>
      <c r="BP1351" s="0" t="s">
        <v>130</v>
      </c>
      <c r="BQ1351" s="0" t="s">
        <v>130</v>
      </c>
      <c r="BR1351" s="0" t="s">
        <v>130</v>
      </c>
      <c r="BS1351" s="0" t="s">
        <v>130</v>
      </c>
      <c r="BT1351" s="0" t="s">
        <v>130</v>
      </c>
      <c r="BU1351" s="0" t="s">
        <v>130</v>
      </c>
      <c r="BV1351" s="0" t="s">
        <v>130</v>
      </c>
      <c r="BW1351" s="0" t="s">
        <v>130</v>
      </c>
      <c r="BX1351" s="0" t="s">
        <v>130</v>
      </c>
      <c r="BY1351" s="0" t="s">
        <v>130</v>
      </c>
      <c r="BZ1351" s="0" t="s">
        <v>130</v>
      </c>
      <c r="CA1351" s="0" t="s">
        <v>130</v>
      </c>
      <c r="CB1351" s="0" t="s">
        <v>130</v>
      </c>
      <c r="CC1351" s="0" t="s">
        <v>130</v>
      </c>
      <c r="CD1351" s="0" t="s">
        <v>130</v>
      </c>
      <c r="CE1351" s="0" t="s">
        <v>130</v>
      </c>
      <c r="CF1351" s="0" t="s">
        <v>130</v>
      </c>
      <c r="CG1351" s="0" t="s">
        <v>130</v>
      </c>
      <c r="CH1351" s="0" t="s">
        <v>130</v>
      </c>
      <c r="CI1351" s="0" t="s">
        <v>130</v>
      </c>
      <c r="CJ1351" s="0" t="s">
        <v>130</v>
      </c>
      <c r="CK1351" s="0" t="s">
        <v>130</v>
      </c>
      <c r="CL1351" s="0" t="s">
        <v>130</v>
      </c>
      <c r="CM1351" s="0" t="s">
        <v>130</v>
      </c>
      <c r="CN1351" s="0" t="s">
        <v>130</v>
      </c>
      <c r="CO1351" s="0" t="s">
        <v>130</v>
      </c>
      <c r="CP1351" s="0" t="s">
        <v>130</v>
      </c>
      <c r="CQ1351" s="0" t="s">
        <v>130</v>
      </c>
      <c r="CR1351" s="0" t="s">
        <v>130</v>
      </c>
      <c r="CS1351" s="0" t="s">
        <v>130</v>
      </c>
      <c r="CT1351" s="0" t="s">
        <v>3956</v>
      </c>
    </row>
    <row r="1352">
      <c r="A1352" s="14">
        <v>9010165</v>
      </c>
      <c r="B1352" s="0" t="s">
        <v>3957</v>
      </c>
      <c r="C1352" s="16">
        <f>HYPERLINK("https://eosportal.federatedhermes.com/companies/Q29tcGFueQppNTg5NDg=", "Baidu Inc")</f>
      </c>
      <c r="D1352" s="0" t="s">
        <v>25</v>
      </c>
      <c r="E1352" s="0" t="s">
        <v>3958</v>
      </c>
      <c r="F1352" s="16">
        <f>HYPERLINK("https://eosportal.federatedhermes.com/engagements/RW5nYWdlbWVudAppMjczNTQ=", "Improve environmental performance management and related disclosure")</f>
      </c>
      <c r="G1352" s="14" t="s">
        <v>3959</v>
      </c>
      <c r="H1352" s="0" t="s">
        <v>141</v>
      </c>
      <c r="I1352" s="14" t="s">
        <v>131</v>
      </c>
      <c r="J1352" s="0" t="s">
        <v>197</v>
      </c>
      <c r="K1352" s="0" t="s">
        <v>198</v>
      </c>
      <c r="L1352" s="0" t="s">
        <v>199</v>
      </c>
      <c r="M1352" s="0" t="s">
        <v>2807</v>
      </c>
      <c r="N1352" s="0" t="s">
        <v>3272</v>
      </c>
      <c r="O1352" s="0" t="s">
        <v>137</v>
      </c>
      <c r="Q1352" s="0" t="s">
        <v>130</v>
      </c>
      <c r="R1352" s="0" t="s">
        <v>138</v>
      </c>
      <c r="S1352" s="14">
        <v>0</v>
      </c>
      <c r="T1352" s="0" t="s">
        <v>148</v>
      </c>
      <c r="U1352" s="0" t="s">
        <v>138</v>
      </c>
      <c r="V1352" s="14" t="s">
        <v>138</v>
      </c>
      <c r="W1352" s="0" t="s">
        <v>138</v>
      </c>
      <c r="X1352" s="14" t="s">
        <v>138</v>
      </c>
      <c r="Y1352" s="0" t="s">
        <v>138</v>
      </c>
      <c r="Z1352" s="14" t="s">
        <v>138</v>
      </c>
      <c r="AA1352" s="0" t="s">
        <v>138</v>
      </c>
      <c r="AB1352" s="14" t="s">
        <v>138</v>
      </c>
      <c r="AD1352" s="0" t="s">
        <v>138</v>
      </c>
      <c r="AF1352" s="0">
        <v>0</v>
      </c>
      <c r="AG1352" s="0">
        <v>0</v>
      </c>
      <c r="AH1352" s="0" t="s">
        <v>140</v>
      </c>
      <c r="AI1352" s="0" t="s">
        <v>138</v>
      </c>
      <c r="AL1352" s="14"/>
      <c r="AN1352" s="14"/>
      <c r="AQ1352" s="0" t="s">
        <v>130</v>
      </c>
      <c r="AR1352" s="0" t="s">
        <v>130</v>
      </c>
      <c r="AS1352" s="0" t="s">
        <v>130</v>
      </c>
      <c r="AT1352" s="0" t="s">
        <v>130</v>
      </c>
      <c r="AU1352" s="0" t="s">
        <v>130</v>
      </c>
      <c r="AV1352" s="0" t="s">
        <v>130</v>
      </c>
      <c r="AW1352" s="0" t="s">
        <v>130</v>
      </c>
      <c r="AX1352" s="0" t="s">
        <v>130</v>
      </c>
      <c r="AY1352" s="0" t="s">
        <v>130</v>
      </c>
      <c r="AZ1352" s="0" t="s">
        <v>130</v>
      </c>
      <c r="BA1352" s="0" t="s">
        <v>130</v>
      </c>
      <c r="BB1352" s="0" t="s">
        <v>141</v>
      </c>
      <c r="BC1352" s="0" t="s">
        <v>130</v>
      </c>
      <c r="BD1352" s="0" t="s">
        <v>130</v>
      </c>
      <c r="BE1352" s="0" t="s">
        <v>130</v>
      </c>
      <c r="BF1352" s="0" t="s">
        <v>130</v>
      </c>
      <c r="BG1352" s="0" t="s">
        <v>130</v>
      </c>
      <c r="BH1352" s="0" t="s">
        <v>130</v>
      </c>
      <c r="BI1352" s="0" t="s">
        <v>130</v>
      </c>
      <c r="BJ1352" s="0" t="s">
        <v>130</v>
      </c>
      <c r="BK1352" s="0" t="s">
        <v>130</v>
      </c>
      <c r="BL1352" s="0" t="s">
        <v>130</v>
      </c>
      <c r="BM1352" s="0" t="s">
        <v>130</v>
      </c>
      <c r="BN1352" s="0" t="s">
        <v>130</v>
      </c>
      <c r="BO1352" s="0" t="s">
        <v>130</v>
      </c>
      <c r="BP1352" s="0" t="s">
        <v>130</v>
      </c>
      <c r="BQ1352" s="0" t="s">
        <v>130</v>
      </c>
      <c r="BR1352" s="0" t="s">
        <v>130</v>
      </c>
      <c r="BS1352" s="0" t="s">
        <v>130</v>
      </c>
      <c r="BT1352" s="0" t="s">
        <v>130</v>
      </c>
      <c r="BU1352" s="0" t="s">
        <v>130</v>
      </c>
      <c r="BV1352" s="0" t="s">
        <v>130</v>
      </c>
      <c r="BW1352" s="0" t="s">
        <v>130</v>
      </c>
      <c r="BX1352" s="0" t="s">
        <v>130</v>
      </c>
      <c r="BY1352" s="0" t="s">
        <v>130</v>
      </c>
      <c r="BZ1352" s="0" t="s">
        <v>130</v>
      </c>
      <c r="CA1352" s="0" t="s">
        <v>130</v>
      </c>
      <c r="CB1352" s="0" t="s">
        <v>130</v>
      </c>
      <c r="CC1352" s="0" t="s">
        <v>130</v>
      </c>
      <c r="CD1352" s="0" t="s">
        <v>130</v>
      </c>
      <c r="CE1352" s="0" t="s">
        <v>130</v>
      </c>
      <c r="CF1352" s="0" t="s">
        <v>130</v>
      </c>
      <c r="CG1352" s="0" t="s">
        <v>130</v>
      </c>
      <c r="CH1352" s="0" t="s">
        <v>130</v>
      </c>
      <c r="CI1352" s="0" t="s">
        <v>130</v>
      </c>
      <c r="CJ1352" s="0" t="s">
        <v>130</v>
      </c>
      <c r="CK1352" s="0" t="s">
        <v>130</v>
      </c>
      <c r="CL1352" s="0" t="s">
        <v>130</v>
      </c>
      <c r="CM1352" s="0" t="s">
        <v>130</v>
      </c>
      <c r="CN1352" s="0" t="s">
        <v>130</v>
      </c>
      <c r="CO1352" s="0" t="s">
        <v>130</v>
      </c>
      <c r="CP1352" s="0" t="s">
        <v>130</v>
      </c>
      <c r="CQ1352" s="0" t="s">
        <v>130</v>
      </c>
      <c r="CR1352" s="0" t="s">
        <v>130</v>
      </c>
      <c r="CS1352" s="0" t="s">
        <v>130</v>
      </c>
      <c r="CT1352" s="0" t="s">
        <v>3960</v>
      </c>
    </row>
    <row r="1353">
      <c r="A1353" s="14">
        <v>9010165</v>
      </c>
      <c r="B1353" s="0" t="s">
        <v>3957</v>
      </c>
      <c r="C1353" s="16">
        <f>HYPERLINK("https://eosportal.federatedhermes.com/companies/Q29tcGFueQppNTg5NDg=", "Baidu Inc")</f>
      </c>
      <c r="D1353" s="0" t="s">
        <v>25</v>
      </c>
      <c r="E1353" s="0" t="s">
        <v>3961</v>
      </c>
      <c r="F1353" s="16">
        <f>HYPERLINK("https://eosportal.federatedhermes.com/engagements/RW5nYWdlbWVudAppMjczNTU=", "Ranking Digital Rights for Baidu")</f>
      </c>
      <c r="G1353" s="14" t="s">
        <v>3962</v>
      </c>
      <c r="H1353" s="0" t="s">
        <v>141</v>
      </c>
      <c r="I1353" s="14" t="s">
        <v>131</v>
      </c>
      <c r="J1353" s="0" t="s">
        <v>153</v>
      </c>
      <c r="K1353" s="0" t="s">
        <v>243</v>
      </c>
      <c r="L1353" s="0" t="s">
        <v>537</v>
      </c>
      <c r="M1353" s="0" t="s">
        <v>2807</v>
      </c>
      <c r="N1353" s="0" t="s">
        <v>3272</v>
      </c>
      <c r="O1353" s="0" t="s">
        <v>137</v>
      </c>
      <c r="Q1353" s="0" t="s">
        <v>141</v>
      </c>
      <c r="R1353" s="0" t="s">
        <v>138</v>
      </c>
      <c r="S1353" s="14">
        <v>1</v>
      </c>
      <c r="T1353" s="0" t="s">
        <v>230</v>
      </c>
      <c r="U1353" s="0" t="s">
        <v>138</v>
      </c>
      <c r="V1353" s="14" t="s">
        <v>138</v>
      </c>
      <c r="W1353" s="0" t="s">
        <v>138</v>
      </c>
      <c r="X1353" s="14" t="s">
        <v>138</v>
      </c>
      <c r="Y1353" s="0" t="s">
        <v>138</v>
      </c>
      <c r="Z1353" s="14" t="s">
        <v>138</v>
      </c>
      <c r="AA1353" s="0" t="s">
        <v>138</v>
      </c>
      <c r="AB1353" s="14" t="s">
        <v>138</v>
      </c>
      <c r="AD1353" s="0" t="s">
        <v>138</v>
      </c>
      <c r="AF1353" s="0">
        <v>0</v>
      </c>
      <c r="AG1353" s="0">
        <v>0</v>
      </c>
      <c r="AH1353" s="0" t="s">
        <v>140</v>
      </c>
      <c r="AI1353" s="0" t="s">
        <v>138</v>
      </c>
      <c r="AK1353" s="0" t="s">
        <v>584</v>
      </c>
      <c r="AL1353" s="14"/>
      <c r="AN1353" s="14"/>
      <c r="AQ1353" s="0" t="s">
        <v>130</v>
      </c>
      <c r="AR1353" s="0" t="s">
        <v>130</v>
      </c>
      <c r="AS1353" s="0" t="s">
        <v>130</v>
      </c>
      <c r="AT1353" s="0" t="s">
        <v>130</v>
      </c>
      <c r="AU1353" s="0" t="s">
        <v>130</v>
      </c>
      <c r="AV1353" s="0" t="s">
        <v>130</v>
      </c>
      <c r="AW1353" s="0" t="s">
        <v>130</v>
      </c>
      <c r="AX1353" s="0" t="s">
        <v>130</v>
      </c>
      <c r="AY1353" s="0" t="s">
        <v>130</v>
      </c>
      <c r="AZ1353" s="0" t="s">
        <v>130</v>
      </c>
      <c r="BA1353" s="0" t="s">
        <v>130</v>
      </c>
      <c r="BB1353" s="0" t="s">
        <v>130</v>
      </c>
      <c r="BC1353" s="0" t="s">
        <v>130</v>
      </c>
      <c r="BD1353" s="0" t="s">
        <v>130</v>
      </c>
      <c r="BE1353" s="0" t="s">
        <v>130</v>
      </c>
      <c r="BF1353" s="0" t="s">
        <v>141</v>
      </c>
      <c r="BG1353" s="0" t="s">
        <v>130</v>
      </c>
      <c r="BH1353" s="0" t="s">
        <v>130</v>
      </c>
      <c r="BI1353" s="0" t="s">
        <v>130</v>
      </c>
      <c r="BJ1353" s="0" t="s">
        <v>130</v>
      </c>
      <c r="BK1353" s="0" t="s">
        <v>130</v>
      </c>
      <c r="BL1353" s="0" t="s">
        <v>130</v>
      </c>
      <c r="BM1353" s="0" t="s">
        <v>130</v>
      </c>
      <c r="BN1353" s="0" t="s">
        <v>130</v>
      </c>
      <c r="BO1353" s="0" t="s">
        <v>130</v>
      </c>
      <c r="BP1353" s="0" t="s">
        <v>130</v>
      </c>
      <c r="BQ1353" s="0" t="s">
        <v>130</v>
      </c>
      <c r="BR1353" s="0" t="s">
        <v>130</v>
      </c>
      <c r="BS1353" s="0" t="s">
        <v>130</v>
      </c>
      <c r="BT1353" s="0" t="s">
        <v>130</v>
      </c>
      <c r="BU1353" s="0" t="s">
        <v>130</v>
      </c>
      <c r="BV1353" s="0" t="s">
        <v>130</v>
      </c>
      <c r="BW1353" s="0" t="s">
        <v>130</v>
      </c>
      <c r="BX1353" s="0" t="s">
        <v>130</v>
      </c>
      <c r="BY1353" s="0" t="s">
        <v>130</v>
      </c>
      <c r="BZ1353" s="0" t="s">
        <v>130</v>
      </c>
      <c r="CA1353" s="0" t="s">
        <v>130</v>
      </c>
      <c r="CB1353" s="0" t="s">
        <v>130</v>
      </c>
      <c r="CC1353" s="0" t="s">
        <v>130</v>
      </c>
      <c r="CD1353" s="0" t="s">
        <v>130</v>
      </c>
      <c r="CE1353" s="0" t="s">
        <v>130</v>
      </c>
      <c r="CF1353" s="0" t="s">
        <v>130</v>
      </c>
      <c r="CG1353" s="0" t="s">
        <v>130</v>
      </c>
      <c r="CH1353" s="0" t="s">
        <v>130</v>
      </c>
      <c r="CI1353" s="0" t="s">
        <v>130</v>
      </c>
      <c r="CJ1353" s="0" t="s">
        <v>130</v>
      </c>
      <c r="CK1353" s="0" t="s">
        <v>130</v>
      </c>
      <c r="CL1353" s="0" t="s">
        <v>130</v>
      </c>
      <c r="CM1353" s="0" t="s">
        <v>130</v>
      </c>
      <c r="CN1353" s="0" t="s">
        <v>130</v>
      </c>
      <c r="CO1353" s="0" t="s">
        <v>130</v>
      </c>
      <c r="CP1353" s="0" t="s">
        <v>130</v>
      </c>
      <c r="CQ1353" s="0" t="s">
        <v>130</v>
      </c>
      <c r="CR1353" s="0" t="s">
        <v>130</v>
      </c>
      <c r="CS1353" s="0" t="s">
        <v>130</v>
      </c>
      <c r="CT1353" s="0" t="s">
        <v>3963</v>
      </c>
    </row>
    <row r="1354">
      <c r="A1354" s="14">
        <v>9010165</v>
      </c>
      <c r="B1354" s="0" t="s">
        <v>3957</v>
      </c>
      <c r="C1354" s="16">
        <f>HYPERLINK("https://eosportal.federatedhermes.com/companies/Q29tcGFueQppNTg5NDg=", "Baidu Inc")</f>
      </c>
      <c r="D1354" s="0" t="s">
        <v>23</v>
      </c>
      <c r="E1354" s="0" t="s">
        <v>3964</v>
      </c>
      <c r="F1354" s="16">
        <f>HYPERLINK("https://eosportal.federatedhermes.com/engagements/RW5nYWdlbWVudAppMjczNTY=", "Establish and disclose a Statement of Business Purpose")</f>
      </c>
      <c r="G1354" s="14" t="s">
        <v>3965</v>
      </c>
      <c r="H1354" s="0" t="s">
        <v>141</v>
      </c>
      <c r="I1354" s="14" t="s">
        <v>131</v>
      </c>
      <c r="J1354" s="0" t="s">
        <v>132</v>
      </c>
      <c r="K1354" s="0" t="s">
        <v>133</v>
      </c>
      <c r="L1354" s="0" t="s">
        <v>134</v>
      </c>
      <c r="M1354" s="0" t="s">
        <v>2807</v>
      </c>
      <c r="N1354" s="0" t="s">
        <v>3272</v>
      </c>
      <c r="O1354" s="0" t="s">
        <v>137</v>
      </c>
      <c r="Q1354" s="0" t="s">
        <v>130</v>
      </c>
      <c r="R1354" s="0" t="s">
        <v>130</v>
      </c>
      <c r="S1354" s="14">
        <v>0</v>
      </c>
      <c r="T1354" s="0" t="s">
        <v>148</v>
      </c>
      <c r="U1354" s="0" t="s">
        <v>221</v>
      </c>
      <c r="V1354" s="14" t="s">
        <v>148</v>
      </c>
      <c r="W1354" s="0" t="s">
        <v>223</v>
      </c>
      <c r="X1354" s="14" t="s">
        <v>138</v>
      </c>
      <c r="Y1354" s="0" t="s">
        <v>224</v>
      </c>
      <c r="Z1354" s="14" t="s">
        <v>138</v>
      </c>
      <c r="AA1354" s="0" t="s">
        <v>224</v>
      </c>
      <c r="AB1354" s="14" t="s">
        <v>138</v>
      </c>
      <c r="AD1354" s="0" t="s">
        <v>14</v>
      </c>
      <c r="AF1354" s="0">
        <v>0</v>
      </c>
      <c r="AG1354" s="0">
        <v>0</v>
      </c>
      <c r="AH1354" s="0" t="s">
        <v>140</v>
      </c>
      <c r="AI1354" s="0" t="s">
        <v>225</v>
      </c>
      <c r="AL1354" s="14"/>
      <c r="AN1354" s="14"/>
      <c r="AQ1354" s="0" t="s">
        <v>130</v>
      </c>
      <c r="AR1354" s="0" t="s">
        <v>130</v>
      </c>
      <c r="AS1354" s="0" t="s">
        <v>130</v>
      </c>
      <c r="AT1354" s="0" t="s">
        <v>130</v>
      </c>
      <c r="AU1354" s="0" t="s">
        <v>130</v>
      </c>
      <c r="AV1354" s="0" t="s">
        <v>130</v>
      </c>
      <c r="AW1354" s="0" t="s">
        <v>130</v>
      </c>
      <c r="AX1354" s="0" t="s">
        <v>130</v>
      </c>
      <c r="AY1354" s="0" t="s">
        <v>130</v>
      </c>
      <c r="AZ1354" s="0" t="s">
        <v>130</v>
      </c>
      <c r="BA1354" s="0" t="s">
        <v>130</v>
      </c>
      <c r="BB1354" s="0" t="s">
        <v>130</v>
      </c>
      <c r="BC1354" s="0" t="s">
        <v>130</v>
      </c>
      <c r="BD1354" s="0" t="s">
        <v>130</v>
      </c>
      <c r="BE1354" s="0" t="s">
        <v>130</v>
      </c>
      <c r="BF1354" s="0" t="s">
        <v>130</v>
      </c>
      <c r="BG1354" s="0" t="s">
        <v>130</v>
      </c>
      <c r="BH1354" s="0" t="s">
        <v>130</v>
      </c>
      <c r="BI1354" s="0" t="s">
        <v>130</v>
      </c>
      <c r="BJ1354" s="0" t="s">
        <v>130</v>
      </c>
      <c r="BK1354" s="0" t="s">
        <v>130</v>
      </c>
      <c r="BL1354" s="0" t="s">
        <v>130</v>
      </c>
      <c r="BM1354" s="0" t="s">
        <v>130</v>
      </c>
      <c r="BN1354" s="0" t="s">
        <v>130</v>
      </c>
      <c r="BO1354" s="0" t="s">
        <v>130</v>
      </c>
      <c r="BP1354" s="0" t="s">
        <v>130</v>
      </c>
      <c r="BQ1354" s="0" t="s">
        <v>130</v>
      </c>
      <c r="BR1354" s="0" t="s">
        <v>130</v>
      </c>
      <c r="BS1354" s="0" t="s">
        <v>130</v>
      </c>
      <c r="BT1354" s="0" t="s">
        <v>130</v>
      </c>
      <c r="BU1354" s="0" t="s">
        <v>130</v>
      </c>
      <c r="BV1354" s="0" t="s">
        <v>130</v>
      </c>
      <c r="BW1354" s="0" t="s">
        <v>130</v>
      </c>
      <c r="BX1354" s="0" t="s">
        <v>130</v>
      </c>
      <c r="BY1354" s="0" t="s">
        <v>130</v>
      </c>
      <c r="BZ1354" s="0" t="s">
        <v>130</v>
      </c>
      <c r="CA1354" s="0" t="s">
        <v>130</v>
      </c>
      <c r="CB1354" s="0" t="s">
        <v>130</v>
      </c>
      <c r="CC1354" s="0" t="s">
        <v>130</v>
      </c>
      <c r="CD1354" s="0" t="s">
        <v>130</v>
      </c>
      <c r="CE1354" s="0" t="s">
        <v>130</v>
      </c>
      <c r="CF1354" s="0" t="s">
        <v>130</v>
      </c>
      <c r="CG1354" s="0" t="s">
        <v>130</v>
      </c>
      <c r="CH1354" s="0" t="s">
        <v>130</v>
      </c>
      <c r="CI1354" s="0" t="s">
        <v>130</v>
      </c>
      <c r="CJ1354" s="0" t="s">
        <v>130</v>
      </c>
      <c r="CK1354" s="0" t="s">
        <v>130</v>
      </c>
      <c r="CL1354" s="0" t="s">
        <v>130</v>
      </c>
      <c r="CM1354" s="0" t="s">
        <v>130</v>
      </c>
      <c r="CN1354" s="0" t="s">
        <v>130</v>
      </c>
      <c r="CO1354" s="0" t="s">
        <v>130</v>
      </c>
      <c r="CP1354" s="0" t="s">
        <v>130</v>
      </c>
      <c r="CQ1354" s="0" t="s">
        <v>130</v>
      </c>
      <c r="CR1354" s="0" t="s">
        <v>130</v>
      </c>
      <c r="CS1354" s="0" t="s">
        <v>130</v>
      </c>
      <c r="CT1354" s="0" t="s">
        <v>3966</v>
      </c>
    </row>
    <row r="1355">
      <c r="A1355" s="14">
        <v>9010165</v>
      </c>
      <c r="B1355" s="0" t="s">
        <v>3957</v>
      </c>
      <c r="C1355" s="16">
        <f>HYPERLINK("https://eosportal.federatedhermes.com/companies/Q29tcGFueQppNTg5NDg=", "Baidu Inc")</f>
      </c>
      <c r="D1355" s="0" t="s">
        <v>25</v>
      </c>
      <c r="E1355" s="0" t="s">
        <v>3967</v>
      </c>
      <c r="F1355" s="16">
        <f>HYPERLINK("https://eosportal.federatedhermes.com/engagements/RW5nYWdlbWVudAppMjczNTc=", "Human rights - privacy issues")</f>
      </c>
      <c r="G1355" s="14" t="s">
        <v>3968</v>
      </c>
      <c r="H1355" s="0" t="s">
        <v>141</v>
      </c>
      <c r="I1355" s="14" t="s">
        <v>131</v>
      </c>
      <c r="J1355" s="0" t="s">
        <v>153</v>
      </c>
      <c r="K1355" s="0" t="s">
        <v>243</v>
      </c>
      <c r="L1355" s="0" t="s">
        <v>537</v>
      </c>
      <c r="M1355" s="0" t="s">
        <v>2807</v>
      </c>
      <c r="N1355" s="0" t="s">
        <v>3272</v>
      </c>
      <c r="O1355" s="0" t="s">
        <v>137</v>
      </c>
      <c r="Q1355" s="0" t="s">
        <v>141</v>
      </c>
      <c r="R1355" s="0" t="s">
        <v>138</v>
      </c>
      <c r="S1355" s="14">
        <v>1</v>
      </c>
      <c r="T1355" s="0" t="s">
        <v>303</v>
      </c>
      <c r="U1355" s="0" t="s">
        <v>138</v>
      </c>
      <c r="V1355" s="14" t="s">
        <v>138</v>
      </c>
      <c r="W1355" s="0" t="s">
        <v>138</v>
      </c>
      <c r="X1355" s="14" t="s">
        <v>138</v>
      </c>
      <c r="Y1355" s="0" t="s">
        <v>138</v>
      </c>
      <c r="Z1355" s="14" t="s">
        <v>138</v>
      </c>
      <c r="AA1355" s="0" t="s">
        <v>138</v>
      </c>
      <c r="AB1355" s="14" t="s">
        <v>138</v>
      </c>
      <c r="AD1355" s="0" t="s">
        <v>138</v>
      </c>
      <c r="AF1355" s="0">
        <v>0</v>
      </c>
      <c r="AG1355" s="0">
        <v>0</v>
      </c>
      <c r="AH1355" s="0" t="s">
        <v>140</v>
      </c>
      <c r="AI1355" s="0" t="s">
        <v>138</v>
      </c>
      <c r="AK1355" s="0" t="s">
        <v>584</v>
      </c>
      <c r="AL1355" s="14"/>
      <c r="AN1355" s="14"/>
      <c r="AQ1355" s="0" t="s">
        <v>130</v>
      </c>
      <c r="AR1355" s="0" t="s">
        <v>130</v>
      </c>
      <c r="AS1355" s="0" t="s">
        <v>130</v>
      </c>
      <c r="AT1355" s="0" t="s">
        <v>130</v>
      </c>
      <c r="AU1355" s="0" t="s">
        <v>130</v>
      </c>
      <c r="AV1355" s="0" t="s">
        <v>130</v>
      </c>
      <c r="AW1355" s="0" t="s">
        <v>130</v>
      </c>
      <c r="AX1355" s="0" t="s">
        <v>130</v>
      </c>
      <c r="AY1355" s="0" t="s">
        <v>130</v>
      </c>
      <c r="AZ1355" s="0" t="s">
        <v>130</v>
      </c>
      <c r="BA1355" s="0" t="s">
        <v>130</v>
      </c>
      <c r="BB1355" s="0" t="s">
        <v>141</v>
      </c>
      <c r="BC1355" s="0" t="s">
        <v>130</v>
      </c>
      <c r="BD1355" s="0" t="s">
        <v>130</v>
      </c>
      <c r="BE1355" s="0" t="s">
        <v>130</v>
      </c>
      <c r="BF1355" s="0" t="s">
        <v>141</v>
      </c>
      <c r="BG1355" s="0" t="s">
        <v>130</v>
      </c>
      <c r="BH1355" s="0" t="s">
        <v>130</v>
      </c>
      <c r="BI1355" s="0" t="s">
        <v>130</v>
      </c>
      <c r="BJ1355" s="0" t="s">
        <v>130</v>
      </c>
      <c r="BK1355" s="0" t="s">
        <v>130</v>
      </c>
      <c r="BL1355" s="0" t="s">
        <v>130</v>
      </c>
      <c r="BM1355" s="0" t="s">
        <v>130</v>
      </c>
      <c r="BN1355" s="0" t="s">
        <v>130</v>
      </c>
      <c r="BO1355" s="0" t="s">
        <v>130</v>
      </c>
      <c r="BP1355" s="0" t="s">
        <v>130</v>
      </c>
      <c r="BQ1355" s="0" t="s">
        <v>130</v>
      </c>
      <c r="BR1355" s="0" t="s">
        <v>130</v>
      </c>
      <c r="BS1355" s="0" t="s">
        <v>130</v>
      </c>
      <c r="BT1355" s="0" t="s">
        <v>130</v>
      </c>
      <c r="BU1355" s="0" t="s">
        <v>130</v>
      </c>
      <c r="BV1355" s="0" t="s">
        <v>130</v>
      </c>
      <c r="BW1355" s="0" t="s">
        <v>130</v>
      </c>
      <c r="BX1355" s="0" t="s">
        <v>130</v>
      </c>
      <c r="BY1355" s="0" t="s">
        <v>130</v>
      </c>
      <c r="BZ1355" s="0" t="s">
        <v>130</v>
      </c>
      <c r="CA1355" s="0" t="s">
        <v>130</v>
      </c>
      <c r="CB1355" s="0" t="s">
        <v>130</v>
      </c>
      <c r="CC1355" s="0" t="s">
        <v>130</v>
      </c>
      <c r="CD1355" s="0" t="s">
        <v>130</v>
      </c>
      <c r="CE1355" s="0" t="s">
        <v>130</v>
      </c>
      <c r="CF1355" s="0" t="s">
        <v>130</v>
      </c>
      <c r="CG1355" s="0" t="s">
        <v>130</v>
      </c>
      <c r="CH1355" s="0" t="s">
        <v>130</v>
      </c>
      <c r="CI1355" s="0" t="s">
        <v>130</v>
      </c>
      <c r="CJ1355" s="0" t="s">
        <v>130</v>
      </c>
      <c r="CK1355" s="0" t="s">
        <v>130</v>
      </c>
      <c r="CL1355" s="0" t="s">
        <v>130</v>
      </c>
      <c r="CM1355" s="0" t="s">
        <v>130</v>
      </c>
      <c r="CN1355" s="0" t="s">
        <v>130</v>
      </c>
      <c r="CO1355" s="0" t="s">
        <v>130</v>
      </c>
      <c r="CP1355" s="0" t="s">
        <v>130</v>
      </c>
      <c r="CQ1355" s="0" t="s">
        <v>130</v>
      </c>
      <c r="CR1355" s="0" t="s">
        <v>130</v>
      </c>
      <c r="CS1355" s="0" t="s">
        <v>130</v>
      </c>
      <c r="CT1355" s="0" t="s">
        <v>3969</v>
      </c>
    </row>
    <row r="1356">
      <c r="A1356" s="14">
        <v>9010165</v>
      </c>
      <c r="B1356" s="0" t="s">
        <v>3957</v>
      </c>
      <c r="C1356" s="16">
        <f>HYPERLINK("https://eosportal.federatedhermes.com/companies/Q29tcGFueQppNTg5NDg=", "Baidu Inc")</f>
      </c>
      <c r="D1356" s="0" t="s">
        <v>25</v>
      </c>
      <c r="E1356" s="0" t="s">
        <v>3970</v>
      </c>
      <c r="F1356" s="16">
        <f>HYPERLINK("https://eosportal.federatedhermes.com/engagements/RW5nYWdlbWVudAppMjczNTg=", "Progress on human capital KPIs")</f>
      </c>
      <c r="G1356" s="14" t="s">
        <v>3971</v>
      </c>
      <c r="H1356" s="0" t="s">
        <v>141</v>
      </c>
      <c r="I1356" s="14" t="s">
        <v>131</v>
      </c>
      <c r="J1356" s="0" t="s">
        <v>153</v>
      </c>
      <c r="K1356" s="0" t="s">
        <v>154</v>
      </c>
      <c r="L1356" s="0" t="s">
        <v>268</v>
      </c>
      <c r="M1356" s="0" t="s">
        <v>2807</v>
      </c>
      <c r="N1356" s="0" t="s">
        <v>3272</v>
      </c>
      <c r="O1356" s="0" t="s">
        <v>137</v>
      </c>
      <c r="Q1356" s="0" t="s">
        <v>130</v>
      </c>
      <c r="R1356" s="0" t="s">
        <v>138</v>
      </c>
      <c r="S1356" s="14">
        <v>0</v>
      </c>
      <c r="T1356" s="0" t="s">
        <v>230</v>
      </c>
      <c r="U1356" s="0" t="s">
        <v>138</v>
      </c>
      <c r="V1356" s="14" t="s">
        <v>138</v>
      </c>
      <c r="W1356" s="0" t="s">
        <v>138</v>
      </c>
      <c r="X1356" s="14" t="s">
        <v>138</v>
      </c>
      <c r="Y1356" s="0" t="s">
        <v>138</v>
      </c>
      <c r="Z1356" s="14" t="s">
        <v>138</v>
      </c>
      <c r="AA1356" s="0" t="s">
        <v>138</v>
      </c>
      <c r="AB1356" s="14" t="s">
        <v>138</v>
      </c>
      <c r="AD1356" s="0" t="s">
        <v>138</v>
      </c>
      <c r="AF1356" s="0">
        <v>0</v>
      </c>
      <c r="AG1356" s="0">
        <v>0</v>
      </c>
      <c r="AH1356" s="0" t="s">
        <v>140</v>
      </c>
      <c r="AI1356" s="0" t="s">
        <v>138</v>
      </c>
      <c r="AL1356" s="14"/>
      <c r="AN1356" s="14"/>
      <c r="AQ1356" s="0" t="s">
        <v>130</v>
      </c>
      <c r="AR1356" s="0" t="s">
        <v>130</v>
      </c>
      <c r="AS1356" s="0" t="s">
        <v>130</v>
      </c>
      <c r="AT1356" s="0" t="s">
        <v>130</v>
      </c>
      <c r="AU1356" s="0" t="s">
        <v>130</v>
      </c>
      <c r="AV1356" s="0" t="s">
        <v>130</v>
      </c>
      <c r="AW1356" s="0" t="s">
        <v>130</v>
      </c>
      <c r="AX1356" s="0" t="s">
        <v>130</v>
      </c>
      <c r="AY1356" s="0" t="s">
        <v>130</v>
      </c>
      <c r="AZ1356" s="0" t="s">
        <v>130</v>
      </c>
      <c r="BA1356" s="0" t="s">
        <v>130</v>
      </c>
      <c r="BB1356" s="0" t="s">
        <v>130</v>
      </c>
      <c r="BC1356" s="0" t="s">
        <v>130</v>
      </c>
      <c r="BD1356" s="0" t="s">
        <v>130</v>
      </c>
      <c r="BE1356" s="0" t="s">
        <v>130</v>
      </c>
      <c r="BF1356" s="0" t="s">
        <v>130</v>
      </c>
      <c r="BG1356" s="0" t="s">
        <v>130</v>
      </c>
      <c r="BH1356" s="0" t="s">
        <v>130</v>
      </c>
      <c r="BI1356" s="0" t="s">
        <v>130</v>
      </c>
      <c r="BJ1356" s="0" t="s">
        <v>130</v>
      </c>
      <c r="BK1356" s="0" t="s">
        <v>130</v>
      </c>
      <c r="BL1356" s="0" t="s">
        <v>130</v>
      </c>
      <c r="BM1356" s="0" t="s">
        <v>130</v>
      </c>
      <c r="BN1356" s="0" t="s">
        <v>130</v>
      </c>
      <c r="BO1356" s="0" t="s">
        <v>130</v>
      </c>
      <c r="BP1356" s="0" t="s">
        <v>130</v>
      </c>
      <c r="BQ1356" s="0" t="s">
        <v>130</v>
      </c>
      <c r="BR1356" s="0" t="s">
        <v>130</v>
      </c>
      <c r="BS1356" s="0" t="s">
        <v>130</v>
      </c>
      <c r="BT1356" s="0" t="s">
        <v>130</v>
      </c>
      <c r="BU1356" s="0" t="s">
        <v>130</v>
      </c>
      <c r="BV1356" s="0" t="s">
        <v>130</v>
      </c>
      <c r="BW1356" s="0" t="s">
        <v>130</v>
      </c>
      <c r="BX1356" s="0" t="s">
        <v>130</v>
      </c>
      <c r="BY1356" s="0" t="s">
        <v>130</v>
      </c>
      <c r="BZ1356" s="0" t="s">
        <v>130</v>
      </c>
      <c r="CA1356" s="0" t="s">
        <v>130</v>
      </c>
      <c r="CB1356" s="0" t="s">
        <v>130</v>
      </c>
      <c r="CC1356" s="0" t="s">
        <v>130</v>
      </c>
      <c r="CD1356" s="0" t="s">
        <v>130</v>
      </c>
      <c r="CE1356" s="0" t="s">
        <v>130</v>
      </c>
      <c r="CF1356" s="0" t="s">
        <v>130</v>
      </c>
      <c r="CG1356" s="0" t="s">
        <v>130</v>
      </c>
      <c r="CH1356" s="0" t="s">
        <v>130</v>
      </c>
      <c r="CI1356" s="0" t="s">
        <v>130</v>
      </c>
      <c r="CJ1356" s="0" t="s">
        <v>130</v>
      </c>
      <c r="CK1356" s="0" t="s">
        <v>141</v>
      </c>
      <c r="CL1356" s="0" t="s">
        <v>130</v>
      </c>
      <c r="CM1356" s="0" t="s">
        <v>130</v>
      </c>
      <c r="CN1356" s="0" t="s">
        <v>130</v>
      </c>
      <c r="CO1356" s="0" t="s">
        <v>130</v>
      </c>
      <c r="CP1356" s="0" t="s">
        <v>130</v>
      </c>
      <c r="CQ1356" s="0" t="s">
        <v>130</v>
      </c>
      <c r="CR1356" s="0" t="s">
        <v>130</v>
      </c>
      <c r="CS1356" s="0" t="s">
        <v>130</v>
      </c>
      <c r="CT1356" s="0" t="s">
        <v>3972</v>
      </c>
    </row>
    <row r="1357">
      <c r="A1357" s="14">
        <v>9010165</v>
      </c>
      <c r="B1357" s="0" t="s">
        <v>3957</v>
      </c>
      <c r="C1357" s="16">
        <f>HYPERLINK("https://eosportal.federatedhermes.com/companies/Q29tcGFueQppNTg5NDg=", "Baidu Inc")</f>
      </c>
      <c r="D1357" s="0" t="s">
        <v>23</v>
      </c>
      <c r="E1357" s="0" t="s">
        <v>3973</v>
      </c>
      <c r="F1357" s="16">
        <f>HYPERLINK("https://eosportal.federatedhermes.com/engagements/RW5nYWdlbWVudAppMjczNjQ=", "Lead independent director on the board")</f>
      </c>
      <c r="G1357" s="14" t="s">
        <v>3974</v>
      </c>
      <c r="H1357" s="0" t="s">
        <v>141</v>
      </c>
      <c r="I1357" s="14" t="s">
        <v>131</v>
      </c>
      <c r="J1357" s="0" t="s">
        <v>145</v>
      </c>
      <c r="K1357" s="0" t="s">
        <v>164</v>
      </c>
      <c r="L1357" s="0" t="s">
        <v>165</v>
      </c>
      <c r="M1357" s="0" t="s">
        <v>2807</v>
      </c>
      <c r="N1357" s="0" t="s">
        <v>3272</v>
      </c>
      <c r="O1357" s="0" t="s">
        <v>137</v>
      </c>
      <c r="Q1357" s="0" t="s">
        <v>141</v>
      </c>
      <c r="R1357" s="0" t="s">
        <v>130</v>
      </c>
      <c r="S1357" s="14">
        <v>1</v>
      </c>
      <c r="T1357" s="0" t="s">
        <v>591</v>
      </c>
      <c r="U1357" s="0" t="s">
        <v>221</v>
      </c>
      <c r="V1357" s="14" t="s">
        <v>591</v>
      </c>
      <c r="W1357" s="0" t="s">
        <v>221</v>
      </c>
      <c r="X1357" s="14" t="s">
        <v>457</v>
      </c>
      <c r="Y1357" s="0" t="s">
        <v>221</v>
      </c>
      <c r="Z1357" s="14" t="s">
        <v>249</v>
      </c>
      <c r="AA1357" s="0" t="s">
        <v>223</v>
      </c>
      <c r="AB1357" s="14" t="s">
        <v>138</v>
      </c>
      <c r="AD1357" s="0" t="s">
        <v>20</v>
      </c>
      <c r="AF1357" s="0">
        <v>0</v>
      </c>
      <c r="AG1357" s="0">
        <v>0</v>
      </c>
      <c r="AH1357" s="0" t="s">
        <v>140</v>
      </c>
      <c r="AI1357" s="0" t="s">
        <v>225</v>
      </c>
      <c r="AK1357" s="0" t="s">
        <v>584</v>
      </c>
      <c r="AL1357" s="14"/>
      <c r="AN1357" s="14"/>
      <c r="AQ1357" s="0" t="s">
        <v>130</v>
      </c>
      <c r="AR1357" s="0" t="s">
        <v>130</v>
      </c>
      <c r="AS1357" s="0" t="s">
        <v>130</v>
      </c>
      <c r="AT1357" s="0" t="s">
        <v>130</v>
      </c>
      <c r="AU1357" s="0" t="s">
        <v>130</v>
      </c>
      <c r="AV1357" s="0" t="s">
        <v>130</v>
      </c>
      <c r="AW1357" s="0" t="s">
        <v>130</v>
      </c>
      <c r="AX1357" s="0" t="s">
        <v>130</v>
      </c>
      <c r="AY1357" s="0" t="s">
        <v>130</v>
      </c>
      <c r="AZ1357" s="0" t="s">
        <v>130</v>
      </c>
      <c r="BA1357" s="0" t="s">
        <v>130</v>
      </c>
      <c r="BB1357" s="0" t="s">
        <v>130</v>
      </c>
      <c r="BC1357" s="0" t="s">
        <v>130</v>
      </c>
      <c r="BD1357" s="0" t="s">
        <v>130</v>
      </c>
      <c r="BE1357" s="0" t="s">
        <v>130</v>
      </c>
      <c r="BF1357" s="0" t="s">
        <v>130</v>
      </c>
      <c r="BG1357" s="0" t="s">
        <v>130</v>
      </c>
      <c r="BH1357" s="0" t="s">
        <v>130</v>
      </c>
      <c r="BI1357" s="0" t="s">
        <v>130</v>
      </c>
      <c r="BJ1357" s="0" t="s">
        <v>130</v>
      </c>
      <c r="BK1357" s="0" t="s">
        <v>130</v>
      </c>
      <c r="BL1357" s="0" t="s">
        <v>130</v>
      </c>
      <c r="BM1357" s="0" t="s">
        <v>130</v>
      </c>
      <c r="BN1357" s="0" t="s">
        <v>130</v>
      </c>
      <c r="BO1357" s="0" t="s">
        <v>130</v>
      </c>
      <c r="BP1357" s="0" t="s">
        <v>130</v>
      </c>
      <c r="BQ1357" s="0" t="s">
        <v>130</v>
      </c>
      <c r="BR1357" s="0" t="s">
        <v>130</v>
      </c>
      <c r="BS1357" s="0" t="s">
        <v>130</v>
      </c>
      <c r="BT1357" s="0" t="s">
        <v>130</v>
      </c>
      <c r="BU1357" s="0" t="s">
        <v>130</v>
      </c>
      <c r="BV1357" s="0" t="s">
        <v>130</v>
      </c>
      <c r="BW1357" s="0" t="s">
        <v>130</v>
      </c>
      <c r="BX1357" s="0" t="s">
        <v>130</v>
      </c>
      <c r="BY1357" s="0" t="s">
        <v>130</v>
      </c>
      <c r="BZ1357" s="0" t="s">
        <v>130</v>
      </c>
      <c r="CA1357" s="0" t="s">
        <v>130</v>
      </c>
      <c r="CB1357" s="0" t="s">
        <v>130</v>
      </c>
      <c r="CC1357" s="0" t="s">
        <v>130</v>
      </c>
      <c r="CD1357" s="0" t="s">
        <v>130</v>
      </c>
      <c r="CE1357" s="0" t="s">
        <v>130</v>
      </c>
      <c r="CF1357" s="0" t="s">
        <v>130</v>
      </c>
      <c r="CG1357" s="0" t="s">
        <v>130</v>
      </c>
      <c r="CH1357" s="0" t="s">
        <v>130</v>
      </c>
      <c r="CI1357" s="0" t="s">
        <v>130</v>
      </c>
      <c r="CJ1357" s="0" t="s">
        <v>130</v>
      </c>
      <c r="CK1357" s="0" t="s">
        <v>130</v>
      </c>
      <c r="CL1357" s="0" t="s">
        <v>130</v>
      </c>
      <c r="CM1357" s="0" t="s">
        <v>130</v>
      </c>
      <c r="CN1357" s="0" t="s">
        <v>130</v>
      </c>
      <c r="CO1357" s="0" t="s">
        <v>130</v>
      </c>
      <c r="CP1357" s="0" t="s">
        <v>130</v>
      </c>
      <c r="CQ1357" s="0" t="s">
        <v>130</v>
      </c>
      <c r="CR1357" s="0" t="s">
        <v>130</v>
      </c>
      <c r="CS1357" s="0" t="s">
        <v>130</v>
      </c>
      <c r="CT1357" s="0" t="s">
        <v>3975</v>
      </c>
    </row>
    <row r="1358">
      <c r="A1358" s="14">
        <v>11092218</v>
      </c>
      <c r="B1358" s="0" t="s">
        <v>3976</v>
      </c>
      <c r="C1358" s="16">
        <f>HYPERLINK("https://eosportal.federatedhermes.com/companies/Q29tcGFueQppNjI1MDE=", "Meta Platforms Inc")</f>
      </c>
      <c r="D1358" s="0" t="s">
        <v>25</v>
      </c>
      <c r="E1358" s="0" t="s">
        <v>1711</v>
      </c>
      <c r="F1358" s="16">
        <f>HYPERLINK("https://eosportal.federatedhermes.com/engagements/RW5nYWdlbWVudAppMjc0NzM=", "Human rights in Myanmar")</f>
      </c>
      <c r="G1358" s="14" t="s">
        <v>3977</v>
      </c>
      <c r="H1358" s="0" t="s">
        <v>141</v>
      </c>
      <c r="I1358" s="14" t="s">
        <v>191</v>
      </c>
      <c r="J1358" s="0" t="s">
        <v>153</v>
      </c>
      <c r="K1358" s="0" t="s">
        <v>243</v>
      </c>
      <c r="L1358" s="0" t="s">
        <v>456</v>
      </c>
      <c r="M1358" s="0" t="s">
        <v>135</v>
      </c>
      <c r="N1358" s="0" t="s">
        <v>136</v>
      </c>
      <c r="O1358" s="0" t="s">
        <v>137</v>
      </c>
      <c r="Q1358" s="0" t="s">
        <v>130</v>
      </c>
      <c r="R1358" s="0" t="s">
        <v>138</v>
      </c>
      <c r="S1358" s="14">
        <v>0</v>
      </c>
      <c r="T1358" s="0" t="s">
        <v>355</v>
      </c>
      <c r="U1358" s="0" t="s">
        <v>138</v>
      </c>
      <c r="V1358" s="14" t="s">
        <v>138</v>
      </c>
      <c r="W1358" s="0" t="s">
        <v>138</v>
      </c>
      <c r="X1358" s="14" t="s">
        <v>138</v>
      </c>
      <c r="Y1358" s="0" t="s">
        <v>138</v>
      </c>
      <c r="Z1358" s="14" t="s">
        <v>138</v>
      </c>
      <c r="AA1358" s="0" t="s">
        <v>138</v>
      </c>
      <c r="AB1358" s="14" t="s">
        <v>138</v>
      </c>
      <c r="AD1358" s="0" t="s">
        <v>138</v>
      </c>
      <c r="AF1358" s="0">
        <v>0</v>
      </c>
      <c r="AG1358" s="0">
        <v>0</v>
      </c>
      <c r="AH1358" s="0" t="s">
        <v>140</v>
      </c>
      <c r="AI1358" s="0" t="s">
        <v>138</v>
      </c>
      <c r="AL1358" s="14"/>
      <c r="AN1358" s="14"/>
      <c r="AQ1358" s="0" t="s">
        <v>130</v>
      </c>
      <c r="AR1358" s="0" t="s">
        <v>130</v>
      </c>
      <c r="AS1358" s="0" t="s">
        <v>130</v>
      </c>
      <c r="AT1358" s="0" t="s">
        <v>130</v>
      </c>
      <c r="AU1358" s="0" t="s">
        <v>130</v>
      </c>
      <c r="AV1358" s="0" t="s">
        <v>130</v>
      </c>
      <c r="AW1358" s="0" t="s">
        <v>130</v>
      </c>
      <c r="AX1358" s="0" t="s">
        <v>130</v>
      </c>
      <c r="AY1358" s="0" t="s">
        <v>130</v>
      </c>
      <c r="AZ1358" s="0" t="s">
        <v>141</v>
      </c>
      <c r="BA1358" s="0" t="s">
        <v>130</v>
      </c>
      <c r="BB1358" s="0" t="s">
        <v>141</v>
      </c>
      <c r="BC1358" s="0" t="s">
        <v>130</v>
      </c>
      <c r="BD1358" s="0" t="s">
        <v>130</v>
      </c>
      <c r="BE1358" s="0" t="s">
        <v>130</v>
      </c>
      <c r="BF1358" s="0" t="s">
        <v>141</v>
      </c>
      <c r="BG1358" s="0" t="s">
        <v>130</v>
      </c>
      <c r="BH1358" s="0" t="s">
        <v>130</v>
      </c>
      <c r="BI1358" s="0" t="s">
        <v>130</v>
      </c>
      <c r="BJ1358" s="0" t="s">
        <v>130</v>
      </c>
      <c r="BK1358" s="0" t="s">
        <v>130</v>
      </c>
      <c r="BL1358" s="0" t="s">
        <v>130</v>
      </c>
      <c r="BM1358" s="0" t="s">
        <v>130</v>
      </c>
      <c r="BN1358" s="0" t="s">
        <v>130</v>
      </c>
      <c r="BO1358" s="0" t="s">
        <v>130</v>
      </c>
      <c r="BP1358" s="0" t="s">
        <v>130</v>
      </c>
      <c r="BQ1358" s="0" t="s">
        <v>130</v>
      </c>
      <c r="BR1358" s="0" t="s">
        <v>130</v>
      </c>
      <c r="BS1358" s="0" t="s">
        <v>130</v>
      </c>
      <c r="BT1358" s="0" t="s">
        <v>130</v>
      </c>
      <c r="BU1358" s="0" t="s">
        <v>130</v>
      </c>
      <c r="BV1358" s="0" t="s">
        <v>130</v>
      </c>
      <c r="BW1358" s="0" t="s">
        <v>130</v>
      </c>
      <c r="BX1358" s="0" t="s">
        <v>130</v>
      </c>
      <c r="BY1358" s="0" t="s">
        <v>130</v>
      </c>
      <c r="BZ1358" s="0" t="s">
        <v>130</v>
      </c>
      <c r="CA1358" s="0" t="s">
        <v>130</v>
      </c>
      <c r="CB1358" s="0" t="s">
        <v>130</v>
      </c>
      <c r="CC1358" s="0" t="s">
        <v>130</v>
      </c>
      <c r="CD1358" s="0" t="s">
        <v>130</v>
      </c>
      <c r="CE1358" s="0" t="s">
        <v>130</v>
      </c>
      <c r="CF1358" s="0" t="s">
        <v>130</v>
      </c>
      <c r="CG1358" s="0" t="s">
        <v>130</v>
      </c>
      <c r="CH1358" s="0" t="s">
        <v>130</v>
      </c>
      <c r="CI1358" s="0" t="s">
        <v>130</v>
      </c>
      <c r="CJ1358" s="0" t="s">
        <v>130</v>
      </c>
      <c r="CK1358" s="0" t="s">
        <v>130</v>
      </c>
      <c r="CL1358" s="0" t="s">
        <v>130</v>
      </c>
      <c r="CM1358" s="0" t="s">
        <v>130</v>
      </c>
      <c r="CN1358" s="0" t="s">
        <v>130</v>
      </c>
      <c r="CO1358" s="0" t="s">
        <v>130</v>
      </c>
      <c r="CP1358" s="0" t="s">
        <v>130</v>
      </c>
      <c r="CQ1358" s="0" t="s">
        <v>130</v>
      </c>
      <c r="CR1358" s="0" t="s">
        <v>130</v>
      </c>
      <c r="CS1358" s="0" t="s">
        <v>130</v>
      </c>
      <c r="CT1358" s="0" t="s">
        <v>3978</v>
      </c>
    </row>
    <row r="1359">
      <c r="A1359" s="14">
        <v>11092218</v>
      </c>
      <c r="B1359" s="0" t="s">
        <v>3976</v>
      </c>
      <c r="C1359" s="16">
        <f>HYPERLINK("https://eosportal.federatedhermes.com/companies/Q29tcGFueQppNjI1MDE=", "Meta Platforms Inc")</f>
      </c>
      <c r="D1359" s="0" t="s">
        <v>25</v>
      </c>
      <c r="E1359" s="0" t="s">
        <v>2007</v>
      </c>
      <c r="F1359" s="16">
        <f>HYPERLINK("https://eosportal.federatedhermes.com/engagements/RW5nYWdlbWVudAppMjc0NzQ=", "Dual class shares")</f>
      </c>
      <c r="G1359" s="14" t="s">
        <v>3979</v>
      </c>
      <c r="H1359" s="0" t="s">
        <v>141</v>
      </c>
      <c r="I1359" s="14" t="s">
        <v>191</v>
      </c>
      <c r="J1359" s="0" t="s">
        <v>145</v>
      </c>
      <c r="K1359" s="0" t="s">
        <v>400</v>
      </c>
      <c r="L1359" s="0" t="s">
        <v>507</v>
      </c>
      <c r="M1359" s="0" t="s">
        <v>135</v>
      </c>
      <c r="N1359" s="0" t="s">
        <v>136</v>
      </c>
      <c r="O1359" s="0" t="s">
        <v>137</v>
      </c>
      <c r="Q1359" s="0" t="s">
        <v>130</v>
      </c>
      <c r="R1359" s="0" t="s">
        <v>138</v>
      </c>
      <c r="S1359" s="14">
        <v>0</v>
      </c>
      <c r="T1359" s="0" t="s">
        <v>487</v>
      </c>
      <c r="U1359" s="0" t="s">
        <v>138</v>
      </c>
      <c r="V1359" s="14" t="s">
        <v>138</v>
      </c>
      <c r="W1359" s="0" t="s">
        <v>138</v>
      </c>
      <c r="X1359" s="14" t="s">
        <v>138</v>
      </c>
      <c r="Y1359" s="0" t="s">
        <v>138</v>
      </c>
      <c r="Z1359" s="14" t="s">
        <v>138</v>
      </c>
      <c r="AA1359" s="0" t="s">
        <v>138</v>
      </c>
      <c r="AB1359" s="14" t="s">
        <v>138</v>
      </c>
      <c r="AD1359" s="0" t="s">
        <v>138</v>
      </c>
      <c r="AF1359" s="0">
        <v>0</v>
      </c>
      <c r="AG1359" s="0">
        <v>0</v>
      </c>
      <c r="AH1359" s="0" t="s">
        <v>140</v>
      </c>
      <c r="AI1359" s="0" t="s">
        <v>138</v>
      </c>
      <c r="AL1359" s="14"/>
      <c r="AN1359" s="14"/>
      <c r="AQ1359" s="0" t="s">
        <v>130</v>
      </c>
      <c r="AR1359" s="0" t="s">
        <v>130</v>
      </c>
      <c r="AS1359" s="0" t="s">
        <v>130</v>
      </c>
      <c r="AT1359" s="0" t="s">
        <v>130</v>
      </c>
      <c r="AU1359" s="0" t="s">
        <v>130</v>
      </c>
      <c r="AV1359" s="0" t="s">
        <v>130</v>
      </c>
      <c r="AW1359" s="0" t="s">
        <v>130</v>
      </c>
      <c r="AX1359" s="0" t="s">
        <v>130</v>
      </c>
      <c r="AY1359" s="0" t="s">
        <v>130</v>
      </c>
      <c r="AZ1359" s="0" t="s">
        <v>130</v>
      </c>
      <c r="BA1359" s="0" t="s">
        <v>130</v>
      </c>
      <c r="BB1359" s="0" t="s">
        <v>130</v>
      </c>
      <c r="BC1359" s="0" t="s">
        <v>130</v>
      </c>
      <c r="BD1359" s="0" t="s">
        <v>130</v>
      </c>
      <c r="BE1359" s="0" t="s">
        <v>130</v>
      </c>
      <c r="BF1359" s="0" t="s">
        <v>130</v>
      </c>
      <c r="BG1359" s="0" t="s">
        <v>130</v>
      </c>
      <c r="BH1359" s="0" t="s">
        <v>130</v>
      </c>
      <c r="BI1359" s="0" t="s">
        <v>130</v>
      </c>
      <c r="BJ1359" s="0" t="s">
        <v>130</v>
      </c>
      <c r="BK1359" s="0" t="s">
        <v>130</v>
      </c>
      <c r="BL1359" s="0" t="s">
        <v>130</v>
      </c>
      <c r="BM1359" s="0" t="s">
        <v>130</v>
      </c>
      <c r="BN1359" s="0" t="s">
        <v>130</v>
      </c>
      <c r="BO1359" s="0" t="s">
        <v>130</v>
      </c>
      <c r="BP1359" s="0" t="s">
        <v>130</v>
      </c>
      <c r="BQ1359" s="0" t="s">
        <v>130</v>
      </c>
      <c r="BR1359" s="0" t="s">
        <v>130</v>
      </c>
      <c r="BS1359" s="0" t="s">
        <v>130</v>
      </c>
      <c r="BT1359" s="0" t="s">
        <v>130</v>
      </c>
      <c r="BU1359" s="0" t="s">
        <v>130</v>
      </c>
      <c r="BV1359" s="0" t="s">
        <v>130</v>
      </c>
      <c r="BW1359" s="0" t="s">
        <v>130</v>
      </c>
      <c r="BX1359" s="0" t="s">
        <v>130</v>
      </c>
      <c r="BY1359" s="0" t="s">
        <v>130</v>
      </c>
      <c r="BZ1359" s="0" t="s">
        <v>130</v>
      </c>
      <c r="CA1359" s="0" t="s">
        <v>130</v>
      </c>
      <c r="CB1359" s="0" t="s">
        <v>130</v>
      </c>
      <c r="CC1359" s="0" t="s">
        <v>130</v>
      </c>
      <c r="CD1359" s="0" t="s">
        <v>130</v>
      </c>
      <c r="CE1359" s="0" t="s">
        <v>130</v>
      </c>
      <c r="CF1359" s="0" t="s">
        <v>130</v>
      </c>
      <c r="CG1359" s="0" t="s">
        <v>130</v>
      </c>
      <c r="CH1359" s="0" t="s">
        <v>130</v>
      </c>
      <c r="CI1359" s="0" t="s">
        <v>130</v>
      </c>
      <c r="CJ1359" s="0" t="s">
        <v>130</v>
      </c>
      <c r="CK1359" s="0" t="s">
        <v>130</v>
      </c>
      <c r="CL1359" s="0" t="s">
        <v>130</v>
      </c>
      <c r="CM1359" s="0" t="s">
        <v>130</v>
      </c>
      <c r="CN1359" s="0" t="s">
        <v>130</v>
      </c>
      <c r="CO1359" s="0" t="s">
        <v>130</v>
      </c>
      <c r="CP1359" s="0" t="s">
        <v>130</v>
      </c>
      <c r="CQ1359" s="0" t="s">
        <v>130</v>
      </c>
      <c r="CR1359" s="0" t="s">
        <v>130</v>
      </c>
      <c r="CS1359" s="0" t="s">
        <v>130</v>
      </c>
      <c r="CT1359" s="0" t="s">
        <v>3980</v>
      </c>
    </row>
    <row r="1360">
      <c r="A1360" s="14">
        <v>11092218</v>
      </c>
      <c r="B1360" s="0" t="s">
        <v>3976</v>
      </c>
      <c r="C1360" s="16">
        <f>HYPERLINK("https://eosportal.federatedhermes.com/companies/Q29tcGFueQppNjI1MDE=", "Meta Platforms Inc")</f>
      </c>
      <c r="D1360" s="0" t="s">
        <v>25</v>
      </c>
      <c r="E1360" s="0" t="s">
        <v>3981</v>
      </c>
      <c r="F1360" s="16">
        <f>HYPERLINK("https://eosportal.federatedhermes.com/engagements/RW5nYWdlbWVudAppMjc0NzU=", "Taxation")</f>
      </c>
      <c r="G1360" s="14" t="s">
        <v>3982</v>
      </c>
      <c r="H1360" s="0" t="s">
        <v>141</v>
      </c>
      <c r="I1360" s="14" t="s">
        <v>191</v>
      </c>
      <c r="J1360" s="0" t="s">
        <v>153</v>
      </c>
      <c r="K1360" s="0" t="s">
        <v>185</v>
      </c>
      <c r="L1360" s="0" t="s">
        <v>548</v>
      </c>
      <c r="M1360" s="0" t="s">
        <v>135</v>
      </c>
      <c r="N1360" s="0" t="s">
        <v>136</v>
      </c>
      <c r="O1360" s="0" t="s">
        <v>137</v>
      </c>
      <c r="Q1360" s="0" t="s">
        <v>130</v>
      </c>
      <c r="R1360" s="0" t="s">
        <v>138</v>
      </c>
      <c r="S1360" s="14">
        <v>0</v>
      </c>
      <c r="T1360" s="0" t="s">
        <v>343</v>
      </c>
      <c r="U1360" s="0" t="s">
        <v>138</v>
      </c>
      <c r="V1360" s="14" t="s">
        <v>138</v>
      </c>
      <c r="W1360" s="0" t="s">
        <v>138</v>
      </c>
      <c r="X1360" s="14" t="s">
        <v>138</v>
      </c>
      <c r="Y1360" s="0" t="s">
        <v>138</v>
      </c>
      <c r="Z1360" s="14" t="s">
        <v>138</v>
      </c>
      <c r="AA1360" s="0" t="s">
        <v>138</v>
      </c>
      <c r="AB1360" s="14" t="s">
        <v>138</v>
      </c>
      <c r="AD1360" s="0" t="s">
        <v>138</v>
      </c>
      <c r="AF1360" s="0">
        <v>0</v>
      </c>
      <c r="AG1360" s="0">
        <v>0</v>
      </c>
      <c r="AH1360" s="0" t="s">
        <v>140</v>
      </c>
      <c r="AI1360" s="0" t="s">
        <v>138</v>
      </c>
      <c r="AL1360" s="14"/>
      <c r="AN1360" s="14"/>
      <c r="AQ1360" s="0" t="s">
        <v>130</v>
      </c>
      <c r="AR1360" s="0" t="s">
        <v>130</v>
      </c>
      <c r="AS1360" s="0" t="s">
        <v>130</v>
      </c>
      <c r="AT1360" s="0" t="s">
        <v>130</v>
      </c>
      <c r="AU1360" s="0" t="s">
        <v>130</v>
      </c>
      <c r="AV1360" s="0" t="s">
        <v>130</v>
      </c>
      <c r="AW1360" s="0" t="s">
        <v>130</v>
      </c>
      <c r="AX1360" s="0" t="s">
        <v>130</v>
      </c>
      <c r="AY1360" s="0" t="s">
        <v>130</v>
      </c>
      <c r="AZ1360" s="0" t="s">
        <v>130</v>
      </c>
      <c r="BA1360" s="0" t="s">
        <v>130</v>
      </c>
      <c r="BB1360" s="0" t="s">
        <v>130</v>
      </c>
      <c r="BC1360" s="0" t="s">
        <v>130</v>
      </c>
      <c r="BD1360" s="0" t="s">
        <v>130</v>
      </c>
      <c r="BE1360" s="0" t="s">
        <v>130</v>
      </c>
      <c r="BF1360" s="0" t="s">
        <v>130</v>
      </c>
      <c r="BG1360" s="0" t="s">
        <v>141</v>
      </c>
      <c r="BH1360" s="0" t="s">
        <v>130</v>
      </c>
      <c r="BI1360" s="0" t="s">
        <v>130</v>
      </c>
      <c r="BJ1360" s="0" t="s">
        <v>130</v>
      </c>
      <c r="BK1360" s="0" t="s">
        <v>130</v>
      </c>
      <c r="BL1360" s="0" t="s">
        <v>130</v>
      </c>
      <c r="BM1360" s="0" t="s">
        <v>130</v>
      </c>
      <c r="BN1360" s="0" t="s">
        <v>130</v>
      </c>
      <c r="BO1360" s="0" t="s">
        <v>130</v>
      </c>
      <c r="BP1360" s="0" t="s">
        <v>130</v>
      </c>
      <c r="BQ1360" s="0" t="s">
        <v>130</v>
      </c>
      <c r="BR1360" s="0" t="s">
        <v>130</v>
      </c>
      <c r="BS1360" s="0" t="s">
        <v>130</v>
      </c>
      <c r="BT1360" s="0" t="s">
        <v>130</v>
      </c>
      <c r="BU1360" s="0" t="s">
        <v>130</v>
      </c>
      <c r="BV1360" s="0" t="s">
        <v>130</v>
      </c>
      <c r="BW1360" s="0" t="s">
        <v>130</v>
      </c>
      <c r="BX1360" s="0" t="s">
        <v>130</v>
      </c>
      <c r="BY1360" s="0" t="s">
        <v>130</v>
      </c>
      <c r="BZ1360" s="0" t="s">
        <v>130</v>
      </c>
      <c r="CA1360" s="0" t="s">
        <v>130</v>
      </c>
      <c r="CB1360" s="0" t="s">
        <v>130</v>
      </c>
      <c r="CC1360" s="0" t="s">
        <v>130</v>
      </c>
      <c r="CD1360" s="0" t="s">
        <v>130</v>
      </c>
      <c r="CE1360" s="0" t="s">
        <v>130</v>
      </c>
      <c r="CF1360" s="0" t="s">
        <v>130</v>
      </c>
      <c r="CG1360" s="0" t="s">
        <v>130</v>
      </c>
      <c r="CH1360" s="0" t="s">
        <v>130</v>
      </c>
      <c r="CI1360" s="0" t="s">
        <v>130</v>
      </c>
      <c r="CJ1360" s="0" t="s">
        <v>130</v>
      </c>
      <c r="CK1360" s="0" t="s">
        <v>130</v>
      </c>
      <c r="CL1360" s="0" t="s">
        <v>130</v>
      </c>
      <c r="CM1360" s="0" t="s">
        <v>130</v>
      </c>
      <c r="CN1360" s="0" t="s">
        <v>130</v>
      </c>
      <c r="CO1360" s="0" t="s">
        <v>130</v>
      </c>
      <c r="CP1360" s="0" t="s">
        <v>130</v>
      </c>
      <c r="CQ1360" s="0" t="s">
        <v>130</v>
      </c>
      <c r="CR1360" s="0" t="s">
        <v>130</v>
      </c>
      <c r="CS1360" s="0" t="s">
        <v>130</v>
      </c>
      <c r="CT1360" s="0" t="s">
        <v>3983</v>
      </c>
    </row>
    <row r="1361">
      <c r="A1361" s="14">
        <v>11092218</v>
      </c>
      <c r="B1361" s="0" t="s">
        <v>3976</v>
      </c>
      <c r="C1361" s="16">
        <f>HYPERLINK("https://eosportal.federatedhermes.com/companies/Q29tcGFueQppNjI1MDE=", "Meta Platforms Inc")</f>
      </c>
      <c r="D1361" s="0" t="s">
        <v>25</v>
      </c>
      <c r="E1361" s="0" t="s">
        <v>1443</v>
      </c>
      <c r="F1361" s="16">
        <f>HYPERLINK("https://eosportal.federatedhermes.com/engagements/RW5nYWdlbWVudAppMjc0NzY=", "Gender pay gap")</f>
      </c>
      <c r="G1361" s="14" t="s">
        <v>3984</v>
      </c>
      <c r="H1361" s="0" t="s">
        <v>141</v>
      </c>
      <c r="I1361" s="14" t="s">
        <v>191</v>
      </c>
      <c r="J1361" s="0" t="s">
        <v>153</v>
      </c>
      <c r="K1361" s="0" t="s">
        <v>154</v>
      </c>
      <c r="L1361" s="0" t="s">
        <v>268</v>
      </c>
      <c r="M1361" s="0" t="s">
        <v>135</v>
      </c>
      <c r="N1361" s="0" t="s">
        <v>136</v>
      </c>
      <c r="O1361" s="0" t="s">
        <v>137</v>
      </c>
      <c r="Q1361" s="0" t="s">
        <v>130</v>
      </c>
      <c r="R1361" s="0" t="s">
        <v>138</v>
      </c>
      <c r="S1361" s="14">
        <v>0</v>
      </c>
      <c r="T1361" s="0" t="s">
        <v>487</v>
      </c>
      <c r="U1361" s="0" t="s">
        <v>138</v>
      </c>
      <c r="V1361" s="14" t="s">
        <v>138</v>
      </c>
      <c r="W1361" s="0" t="s">
        <v>138</v>
      </c>
      <c r="X1361" s="14" t="s">
        <v>138</v>
      </c>
      <c r="Y1361" s="0" t="s">
        <v>138</v>
      </c>
      <c r="Z1361" s="14" t="s">
        <v>138</v>
      </c>
      <c r="AA1361" s="0" t="s">
        <v>138</v>
      </c>
      <c r="AB1361" s="14" t="s">
        <v>138</v>
      </c>
      <c r="AD1361" s="0" t="s">
        <v>138</v>
      </c>
      <c r="AF1361" s="0">
        <v>0</v>
      </c>
      <c r="AG1361" s="0">
        <v>0</v>
      </c>
      <c r="AH1361" s="0" t="s">
        <v>140</v>
      </c>
      <c r="AI1361" s="0" t="s">
        <v>138</v>
      </c>
      <c r="AL1361" s="14"/>
      <c r="AN1361" s="14"/>
      <c r="AQ1361" s="0" t="s">
        <v>130</v>
      </c>
      <c r="AR1361" s="0" t="s">
        <v>130</v>
      </c>
      <c r="AS1361" s="0" t="s">
        <v>130</v>
      </c>
      <c r="AT1361" s="0" t="s">
        <v>130</v>
      </c>
      <c r="AU1361" s="0" t="s">
        <v>141</v>
      </c>
      <c r="AV1361" s="0" t="s">
        <v>130</v>
      </c>
      <c r="AW1361" s="0" t="s">
        <v>130</v>
      </c>
      <c r="AX1361" s="0" t="s">
        <v>141</v>
      </c>
      <c r="AY1361" s="0" t="s">
        <v>130</v>
      </c>
      <c r="AZ1361" s="0" t="s">
        <v>130</v>
      </c>
      <c r="BA1361" s="0" t="s">
        <v>130</v>
      </c>
      <c r="BB1361" s="0" t="s">
        <v>130</v>
      </c>
      <c r="BC1361" s="0" t="s">
        <v>130</v>
      </c>
      <c r="BD1361" s="0" t="s">
        <v>130</v>
      </c>
      <c r="BE1361" s="0" t="s">
        <v>130</v>
      </c>
      <c r="BF1361" s="0" t="s">
        <v>130</v>
      </c>
      <c r="BG1361" s="0" t="s">
        <v>130</v>
      </c>
      <c r="BH1361" s="0" t="s">
        <v>130</v>
      </c>
      <c r="BI1361" s="0" t="s">
        <v>130</v>
      </c>
      <c r="BJ1361" s="0" t="s">
        <v>130</v>
      </c>
      <c r="BK1361" s="0" t="s">
        <v>130</v>
      </c>
      <c r="BL1361" s="0" t="s">
        <v>130</v>
      </c>
      <c r="BM1361" s="0" t="s">
        <v>130</v>
      </c>
      <c r="BN1361" s="0" t="s">
        <v>130</v>
      </c>
      <c r="BO1361" s="0" t="s">
        <v>130</v>
      </c>
      <c r="BP1361" s="0" t="s">
        <v>130</v>
      </c>
      <c r="BQ1361" s="0" t="s">
        <v>130</v>
      </c>
      <c r="BR1361" s="0" t="s">
        <v>130</v>
      </c>
      <c r="BS1361" s="0" t="s">
        <v>130</v>
      </c>
      <c r="BT1361" s="0" t="s">
        <v>130</v>
      </c>
      <c r="BU1361" s="0" t="s">
        <v>130</v>
      </c>
      <c r="BV1361" s="0" t="s">
        <v>130</v>
      </c>
      <c r="BW1361" s="0" t="s">
        <v>130</v>
      </c>
      <c r="BX1361" s="0" t="s">
        <v>130</v>
      </c>
      <c r="BY1361" s="0" t="s">
        <v>130</v>
      </c>
      <c r="BZ1361" s="0" t="s">
        <v>130</v>
      </c>
      <c r="CA1361" s="0" t="s">
        <v>130</v>
      </c>
      <c r="CB1361" s="0" t="s">
        <v>130</v>
      </c>
      <c r="CC1361" s="0" t="s">
        <v>130</v>
      </c>
      <c r="CD1361" s="0" t="s">
        <v>130</v>
      </c>
      <c r="CE1361" s="0" t="s">
        <v>130</v>
      </c>
      <c r="CF1361" s="0" t="s">
        <v>130</v>
      </c>
      <c r="CG1361" s="0" t="s">
        <v>130</v>
      </c>
      <c r="CH1361" s="0" t="s">
        <v>130</v>
      </c>
      <c r="CI1361" s="0" t="s">
        <v>130</v>
      </c>
      <c r="CJ1361" s="0" t="s">
        <v>130</v>
      </c>
      <c r="CK1361" s="0" t="s">
        <v>141</v>
      </c>
      <c r="CL1361" s="0" t="s">
        <v>130</v>
      </c>
      <c r="CM1361" s="0" t="s">
        <v>130</v>
      </c>
      <c r="CN1361" s="0" t="s">
        <v>130</v>
      </c>
      <c r="CO1361" s="0" t="s">
        <v>130</v>
      </c>
      <c r="CP1361" s="0" t="s">
        <v>130</v>
      </c>
      <c r="CQ1361" s="0" t="s">
        <v>130</v>
      </c>
      <c r="CR1361" s="0" t="s">
        <v>130</v>
      </c>
      <c r="CS1361" s="0" t="s">
        <v>130</v>
      </c>
      <c r="CT1361" s="0" t="s">
        <v>3985</v>
      </c>
    </row>
    <row r="1362">
      <c r="A1362" s="14">
        <v>11092218</v>
      </c>
      <c r="B1362" s="0" t="s">
        <v>3976</v>
      </c>
      <c r="C1362" s="16">
        <f>HYPERLINK("https://eosportal.federatedhermes.com/companies/Q29tcGFueQppNjI1MDE=", "Meta Platforms Inc")</f>
      </c>
      <c r="D1362" s="0" t="s">
        <v>25</v>
      </c>
      <c r="E1362" s="0" t="s">
        <v>3986</v>
      </c>
      <c r="F1362" s="16">
        <f>HYPERLINK("https://eosportal.federatedhermes.com/engagements/RW5nYWdlbWVudAppMjc0ODM=", "Content moderation")</f>
      </c>
      <c r="G1362" s="14" t="s">
        <v>3987</v>
      </c>
      <c r="H1362" s="0" t="s">
        <v>141</v>
      </c>
      <c r="I1362" s="14" t="s">
        <v>191</v>
      </c>
      <c r="J1362" s="0" t="s">
        <v>153</v>
      </c>
      <c r="K1362" s="0" t="s">
        <v>243</v>
      </c>
      <c r="L1362" s="0" t="s">
        <v>537</v>
      </c>
      <c r="M1362" s="0" t="s">
        <v>135</v>
      </c>
      <c r="N1362" s="0" t="s">
        <v>136</v>
      </c>
      <c r="O1362" s="0" t="s">
        <v>137</v>
      </c>
      <c r="Q1362" s="0" t="s">
        <v>141</v>
      </c>
      <c r="R1362" s="0" t="s">
        <v>138</v>
      </c>
      <c r="S1362" s="14">
        <v>2</v>
      </c>
      <c r="T1362" s="0" t="s">
        <v>359</v>
      </c>
      <c r="U1362" s="0" t="s">
        <v>138</v>
      </c>
      <c r="V1362" s="14" t="s">
        <v>138</v>
      </c>
      <c r="W1362" s="0" t="s">
        <v>138</v>
      </c>
      <c r="X1362" s="14" t="s">
        <v>138</v>
      </c>
      <c r="Y1362" s="0" t="s">
        <v>138</v>
      </c>
      <c r="Z1362" s="14" t="s">
        <v>138</v>
      </c>
      <c r="AA1362" s="0" t="s">
        <v>138</v>
      </c>
      <c r="AB1362" s="14" t="s">
        <v>138</v>
      </c>
      <c r="AD1362" s="0" t="s">
        <v>138</v>
      </c>
      <c r="AF1362" s="0">
        <v>0</v>
      </c>
      <c r="AG1362" s="0">
        <v>0</v>
      </c>
      <c r="AH1362" s="0" t="s">
        <v>140</v>
      </c>
      <c r="AI1362" s="0" t="s">
        <v>138</v>
      </c>
      <c r="AK1362" s="0" t="s">
        <v>1220</v>
      </c>
      <c r="AL1362" s="14"/>
      <c r="AN1362" s="14"/>
      <c r="AQ1362" s="0" t="s">
        <v>130</v>
      </c>
      <c r="AR1362" s="0" t="s">
        <v>130</v>
      </c>
      <c r="AS1362" s="0" t="s">
        <v>130</v>
      </c>
      <c r="AT1362" s="0" t="s">
        <v>130</v>
      </c>
      <c r="AU1362" s="0" t="s">
        <v>130</v>
      </c>
      <c r="AV1362" s="0" t="s">
        <v>130</v>
      </c>
      <c r="AW1362" s="0" t="s">
        <v>130</v>
      </c>
      <c r="AX1362" s="0" t="s">
        <v>130</v>
      </c>
      <c r="AY1362" s="0" t="s">
        <v>130</v>
      </c>
      <c r="AZ1362" s="0" t="s">
        <v>130</v>
      </c>
      <c r="BA1362" s="0" t="s">
        <v>130</v>
      </c>
      <c r="BB1362" s="0" t="s">
        <v>130</v>
      </c>
      <c r="BC1362" s="0" t="s">
        <v>130</v>
      </c>
      <c r="BD1362" s="0" t="s">
        <v>130</v>
      </c>
      <c r="BE1362" s="0" t="s">
        <v>130</v>
      </c>
      <c r="BF1362" s="0" t="s">
        <v>130</v>
      </c>
      <c r="BG1362" s="0" t="s">
        <v>130</v>
      </c>
      <c r="BH1362" s="0" t="s">
        <v>130</v>
      </c>
      <c r="BI1362" s="0" t="s">
        <v>130</v>
      </c>
      <c r="BJ1362" s="0" t="s">
        <v>130</v>
      </c>
      <c r="BK1362" s="0" t="s">
        <v>130</v>
      </c>
      <c r="BL1362" s="0" t="s">
        <v>130</v>
      </c>
      <c r="BM1362" s="0" t="s">
        <v>130</v>
      </c>
      <c r="BN1362" s="0" t="s">
        <v>130</v>
      </c>
      <c r="BO1362" s="0" t="s">
        <v>130</v>
      </c>
      <c r="BP1362" s="0" t="s">
        <v>130</v>
      </c>
      <c r="BQ1362" s="0" t="s">
        <v>130</v>
      </c>
      <c r="BR1362" s="0" t="s">
        <v>130</v>
      </c>
      <c r="BS1362" s="0" t="s">
        <v>130</v>
      </c>
      <c r="BT1362" s="0" t="s">
        <v>130</v>
      </c>
      <c r="BU1362" s="0" t="s">
        <v>130</v>
      </c>
      <c r="BV1362" s="0" t="s">
        <v>130</v>
      </c>
      <c r="BW1362" s="0" t="s">
        <v>130</v>
      </c>
      <c r="BX1362" s="0" t="s">
        <v>130</v>
      </c>
      <c r="BY1362" s="0" t="s">
        <v>130</v>
      </c>
      <c r="BZ1362" s="0" t="s">
        <v>130</v>
      </c>
      <c r="CA1362" s="0" t="s">
        <v>130</v>
      </c>
      <c r="CB1362" s="0" t="s">
        <v>130</v>
      </c>
      <c r="CC1362" s="0" t="s">
        <v>130</v>
      </c>
      <c r="CD1362" s="0" t="s">
        <v>130</v>
      </c>
      <c r="CE1362" s="0" t="s">
        <v>130</v>
      </c>
      <c r="CF1362" s="0" t="s">
        <v>130</v>
      </c>
      <c r="CG1362" s="0" t="s">
        <v>130</v>
      </c>
      <c r="CH1362" s="0" t="s">
        <v>130</v>
      </c>
      <c r="CI1362" s="0" t="s">
        <v>130</v>
      </c>
      <c r="CJ1362" s="0" t="s">
        <v>130</v>
      </c>
      <c r="CK1362" s="0" t="s">
        <v>130</v>
      </c>
      <c r="CL1362" s="0" t="s">
        <v>130</v>
      </c>
      <c r="CM1362" s="0" t="s">
        <v>130</v>
      </c>
      <c r="CN1362" s="0" t="s">
        <v>130</v>
      </c>
      <c r="CO1362" s="0" t="s">
        <v>130</v>
      </c>
      <c r="CP1362" s="0" t="s">
        <v>130</v>
      </c>
      <c r="CQ1362" s="0" t="s">
        <v>130</v>
      </c>
      <c r="CR1362" s="0" t="s">
        <v>130</v>
      </c>
      <c r="CS1362" s="0" t="s">
        <v>130</v>
      </c>
      <c r="CT1362" s="0" t="s">
        <v>3988</v>
      </c>
    </row>
    <row r="1363">
      <c r="A1363" s="14">
        <v>11092218</v>
      </c>
      <c r="B1363" s="0" t="s">
        <v>3976</v>
      </c>
      <c r="C1363" s="16">
        <f>HYPERLINK("https://eosportal.federatedhermes.com/companies/Q29tcGFueQppNjI1MDE=", "Meta Platforms Inc")</f>
      </c>
      <c r="D1363" s="0" t="s">
        <v>25</v>
      </c>
      <c r="E1363" s="0" t="s">
        <v>3989</v>
      </c>
      <c r="F1363" s="16">
        <f>HYPERLINK("https://eosportal.federatedhermes.com/engagements/RW5nYWdlbWVudAppMjc0ODQ=", "Fixing Facebook")</f>
      </c>
      <c r="G1363" s="14" t="s">
        <v>3990</v>
      </c>
      <c r="H1363" s="0" t="s">
        <v>141</v>
      </c>
      <c r="I1363" s="14" t="s">
        <v>191</v>
      </c>
      <c r="J1363" s="0" t="s">
        <v>153</v>
      </c>
      <c r="K1363" s="0" t="s">
        <v>185</v>
      </c>
      <c r="L1363" s="0" t="s">
        <v>186</v>
      </c>
      <c r="M1363" s="0" t="s">
        <v>135</v>
      </c>
      <c r="N1363" s="0" t="s">
        <v>136</v>
      </c>
      <c r="O1363" s="0" t="s">
        <v>137</v>
      </c>
      <c r="Q1363" s="0" t="s">
        <v>130</v>
      </c>
      <c r="R1363" s="0" t="s">
        <v>138</v>
      </c>
      <c r="S1363" s="14">
        <v>0</v>
      </c>
      <c r="T1363" s="0" t="s">
        <v>249</v>
      </c>
      <c r="U1363" s="0" t="s">
        <v>138</v>
      </c>
      <c r="V1363" s="14" t="s">
        <v>138</v>
      </c>
      <c r="W1363" s="0" t="s">
        <v>138</v>
      </c>
      <c r="X1363" s="14" t="s">
        <v>138</v>
      </c>
      <c r="Y1363" s="0" t="s">
        <v>138</v>
      </c>
      <c r="Z1363" s="14" t="s">
        <v>138</v>
      </c>
      <c r="AA1363" s="0" t="s">
        <v>138</v>
      </c>
      <c r="AB1363" s="14" t="s">
        <v>138</v>
      </c>
      <c r="AD1363" s="0" t="s">
        <v>138</v>
      </c>
      <c r="AF1363" s="0">
        <v>0</v>
      </c>
      <c r="AG1363" s="0">
        <v>0</v>
      </c>
      <c r="AH1363" s="0" t="s">
        <v>140</v>
      </c>
      <c r="AI1363" s="0" t="s">
        <v>138</v>
      </c>
      <c r="AL1363" s="14"/>
      <c r="AN1363" s="14"/>
      <c r="AQ1363" s="0" t="s">
        <v>130</v>
      </c>
      <c r="AR1363" s="0" t="s">
        <v>130</v>
      </c>
      <c r="AS1363" s="0" t="s">
        <v>130</v>
      </c>
      <c r="AT1363" s="0" t="s">
        <v>130</v>
      </c>
      <c r="AU1363" s="0" t="s">
        <v>130</v>
      </c>
      <c r="AV1363" s="0" t="s">
        <v>130</v>
      </c>
      <c r="AW1363" s="0" t="s">
        <v>130</v>
      </c>
      <c r="AX1363" s="0" t="s">
        <v>130</v>
      </c>
      <c r="AY1363" s="0" t="s">
        <v>130</v>
      </c>
      <c r="AZ1363" s="0" t="s">
        <v>130</v>
      </c>
      <c r="BA1363" s="0" t="s">
        <v>130</v>
      </c>
      <c r="BB1363" s="0" t="s">
        <v>130</v>
      </c>
      <c r="BC1363" s="0" t="s">
        <v>130</v>
      </c>
      <c r="BD1363" s="0" t="s">
        <v>130</v>
      </c>
      <c r="BE1363" s="0" t="s">
        <v>130</v>
      </c>
      <c r="BF1363" s="0" t="s">
        <v>141</v>
      </c>
      <c r="BG1363" s="0" t="s">
        <v>130</v>
      </c>
      <c r="BH1363" s="0" t="s">
        <v>130</v>
      </c>
      <c r="BI1363" s="0" t="s">
        <v>130</v>
      </c>
      <c r="BJ1363" s="0" t="s">
        <v>130</v>
      </c>
      <c r="BK1363" s="0" t="s">
        <v>130</v>
      </c>
      <c r="BL1363" s="0" t="s">
        <v>130</v>
      </c>
      <c r="BM1363" s="0" t="s">
        <v>130</v>
      </c>
      <c r="BN1363" s="0" t="s">
        <v>130</v>
      </c>
      <c r="BO1363" s="0" t="s">
        <v>130</v>
      </c>
      <c r="BP1363" s="0" t="s">
        <v>130</v>
      </c>
      <c r="BQ1363" s="0" t="s">
        <v>130</v>
      </c>
      <c r="BR1363" s="0" t="s">
        <v>130</v>
      </c>
      <c r="BS1363" s="0" t="s">
        <v>130</v>
      </c>
      <c r="BT1363" s="0" t="s">
        <v>130</v>
      </c>
      <c r="BU1363" s="0" t="s">
        <v>130</v>
      </c>
      <c r="BV1363" s="0" t="s">
        <v>130</v>
      </c>
      <c r="BW1363" s="0" t="s">
        <v>130</v>
      </c>
      <c r="BX1363" s="0" t="s">
        <v>130</v>
      </c>
      <c r="BY1363" s="0" t="s">
        <v>130</v>
      </c>
      <c r="BZ1363" s="0" t="s">
        <v>130</v>
      </c>
      <c r="CA1363" s="0" t="s">
        <v>130</v>
      </c>
      <c r="CB1363" s="0" t="s">
        <v>130</v>
      </c>
      <c r="CC1363" s="0" t="s">
        <v>130</v>
      </c>
      <c r="CD1363" s="0" t="s">
        <v>130</v>
      </c>
      <c r="CE1363" s="0" t="s">
        <v>130</v>
      </c>
      <c r="CF1363" s="0" t="s">
        <v>130</v>
      </c>
      <c r="CG1363" s="0" t="s">
        <v>130</v>
      </c>
      <c r="CH1363" s="0" t="s">
        <v>130</v>
      </c>
      <c r="CI1363" s="0" t="s">
        <v>130</v>
      </c>
      <c r="CJ1363" s="0" t="s">
        <v>130</v>
      </c>
      <c r="CK1363" s="0" t="s">
        <v>130</v>
      </c>
      <c r="CL1363" s="0" t="s">
        <v>130</v>
      </c>
      <c r="CM1363" s="0" t="s">
        <v>130</v>
      </c>
      <c r="CN1363" s="0" t="s">
        <v>130</v>
      </c>
      <c r="CO1363" s="0" t="s">
        <v>130</v>
      </c>
      <c r="CP1363" s="0" t="s">
        <v>130</v>
      </c>
      <c r="CQ1363" s="0" t="s">
        <v>130</v>
      </c>
      <c r="CR1363" s="0" t="s">
        <v>130</v>
      </c>
      <c r="CS1363" s="0" t="s">
        <v>130</v>
      </c>
      <c r="CT1363" s="0" t="s">
        <v>3991</v>
      </c>
    </row>
    <row r="1364">
      <c r="A1364" s="14">
        <v>11092218</v>
      </c>
      <c r="B1364" s="0" t="s">
        <v>3976</v>
      </c>
      <c r="C1364" s="16">
        <f>HYPERLINK("https://eosportal.federatedhermes.com/companies/Q29tcGFueQppNjI1MDE=", "Meta Platforms Inc")</f>
      </c>
      <c r="D1364" s="0" t="s">
        <v>25</v>
      </c>
      <c r="E1364" s="0" t="s">
        <v>907</v>
      </c>
      <c r="F1364" s="16">
        <f>HYPERLINK("https://eosportal.federatedhermes.com/engagements/RW5nYWdlbWVudAppMjc0ODU=", "Climate change")</f>
      </c>
      <c r="G1364" s="14" t="s">
        <v>3992</v>
      </c>
      <c r="H1364" s="0" t="s">
        <v>141</v>
      </c>
      <c r="I1364" s="14" t="s">
        <v>191</v>
      </c>
      <c r="J1364" s="0" t="s">
        <v>197</v>
      </c>
      <c r="K1364" s="0" t="s">
        <v>198</v>
      </c>
      <c r="L1364" s="0" t="s">
        <v>216</v>
      </c>
      <c r="M1364" s="0" t="s">
        <v>135</v>
      </c>
      <c r="N1364" s="0" t="s">
        <v>136</v>
      </c>
      <c r="O1364" s="0" t="s">
        <v>137</v>
      </c>
      <c r="Q1364" s="0" t="s">
        <v>130</v>
      </c>
      <c r="R1364" s="0" t="s">
        <v>138</v>
      </c>
      <c r="S1364" s="14">
        <v>0</v>
      </c>
      <c r="T1364" s="0" t="s">
        <v>394</v>
      </c>
      <c r="U1364" s="0" t="s">
        <v>138</v>
      </c>
      <c r="V1364" s="14" t="s">
        <v>138</v>
      </c>
      <c r="W1364" s="0" t="s">
        <v>138</v>
      </c>
      <c r="X1364" s="14" t="s">
        <v>138</v>
      </c>
      <c r="Y1364" s="0" t="s">
        <v>138</v>
      </c>
      <c r="Z1364" s="14" t="s">
        <v>138</v>
      </c>
      <c r="AA1364" s="0" t="s">
        <v>138</v>
      </c>
      <c r="AB1364" s="14" t="s">
        <v>138</v>
      </c>
      <c r="AD1364" s="0" t="s">
        <v>138</v>
      </c>
      <c r="AF1364" s="0">
        <v>0</v>
      </c>
      <c r="AG1364" s="0">
        <v>0</v>
      </c>
      <c r="AH1364" s="0" t="s">
        <v>140</v>
      </c>
      <c r="AI1364" s="0" t="s">
        <v>138</v>
      </c>
      <c r="AL1364" s="14"/>
      <c r="AN1364" s="14"/>
      <c r="AQ1364" s="0" t="s">
        <v>130</v>
      </c>
      <c r="AR1364" s="0" t="s">
        <v>130</v>
      </c>
      <c r="AS1364" s="0" t="s">
        <v>130</v>
      </c>
      <c r="AT1364" s="0" t="s">
        <v>130</v>
      </c>
      <c r="AU1364" s="0" t="s">
        <v>130</v>
      </c>
      <c r="AV1364" s="0" t="s">
        <v>130</v>
      </c>
      <c r="AW1364" s="0" t="s">
        <v>141</v>
      </c>
      <c r="AX1364" s="0" t="s">
        <v>130</v>
      </c>
      <c r="AY1364" s="0" t="s">
        <v>130</v>
      </c>
      <c r="AZ1364" s="0" t="s">
        <v>130</v>
      </c>
      <c r="BA1364" s="0" t="s">
        <v>130</v>
      </c>
      <c r="BB1364" s="0" t="s">
        <v>130</v>
      </c>
      <c r="BC1364" s="0" t="s">
        <v>141</v>
      </c>
      <c r="BD1364" s="0" t="s">
        <v>130</v>
      </c>
      <c r="BE1364" s="0" t="s">
        <v>130</v>
      </c>
      <c r="BF1364" s="0" t="s">
        <v>130</v>
      </c>
      <c r="BG1364" s="0" t="s">
        <v>130</v>
      </c>
      <c r="BH1364" s="0" t="s">
        <v>141</v>
      </c>
      <c r="BI1364" s="0" t="s">
        <v>141</v>
      </c>
      <c r="BJ1364" s="0" t="s">
        <v>141</v>
      </c>
      <c r="BK1364" s="0" t="s">
        <v>130</v>
      </c>
      <c r="BL1364" s="0" t="s">
        <v>130</v>
      </c>
      <c r="BM1364" s="0" t="s">
        <v>130</v>
      </c>
      <c r="BN1364" s="0" t="s">
        <v>130</v>
      </c>
      <c r="BO1364" s="0" t="s">
        <v>130</v>
      </c>
      <c r="BP1364" s="0" t="s">
        <v>130</v>
      </c>
      <c r="BQ1364" s="0" t="s">
        <v>130</v>
      </c>
      <c r="BR1364" s="0" t="s">
        <v>130</v>
      </c>
      <c r="BS1364" s="0" t="s">
        <v>130</v>
      </c>
      <c r="BT1364" s="0" t="s">
        <v>130</v>
      </c>
      <c r="BU1364" s="0" t="s">
        <v>130</v>
      </c>
      <c r="BV1364" s="0" t="s">
        <v>141</v>
      </c>
      <c r="BW1364" s="0" t="s">
        <v>141</v>
      </c>
      <c r="BX1364" s="0" t="s">
        <v>130</v>
      </c>
      <c r="BY1364" s="0" t="s">
        <v>130</v>
      </c>
      <c r="BZ1364" s="0" t="s">
        <v>130</v>
      </c>
      <c r="CA1364" s="0" t="s">
        <v>130</v>
      </c>
      <c r="CB1364" s="0" t="s">
        <v>130</v>
      </c>
      <c r="CC1364" s="0" t="s">
        <v>130</v>
      </c>
      <c r="CD1364" s="0" t="s">
        <v>130</v>
      </c>
      <c r="CE1364" s="0" t="s">
        <v>130</v>
      </c>
      <c r="CF1364" s="0" t="s">
        <v>130</v>
      </c>
      <c r="CG1364" s="0" t="s">
        <v>130</v>
      </c>
      <c r="CH1364" s="0" t="s">
        <v>130</v>
      </c>
      <c r="CI1364" s="0" t="s">
        <v>130</v>
      </c>
      <c r="CJ1364" s="0" t="s">
        <v>130</v>
      </c>
      <c r="CK1364" s="0" t="s">
        <v>130</v>
      </c>
      <c r="CL1364" s="0" t="s">
        <v>130</v>
      </c>
      <c r="CM1364" s="0" t="s">
        <v>130</v>
      </c>
      <c r="CN1364" s="0" t="s">
        <v>130</v>
      </c>
      <c r="CO1364" s="0" t="s">
        <v>130</v>
      </c>
      <c r="CP1364" s="0" t="s">
        <v>130</v>
      </c>
      <c r="CQ1364" s="0" t="s">
        <v>130</v>
      </c>
      <c r="CR1364" s="0" t="s">
        <v>130</v>
      </c>
      <c r="CS1364" s="0" t="s">
        <v>130</v>
      </c>
      <c r="CT1364" s="0" t="s">
        <v>3993</v>
      </c>
    </row>
    <row r="1365">
      <c r="A1365" s="14">
        <v>11092218</v>
      </c>
      <c r="B1365" s="0" t="s">
        <v>3976</v>
      </c>
      <c r="C1365" s="16">
        <f>HYPERLINK("https://eosportal.federatedhermes.com/companies/Q29tcGFueQppNjI1MDE=", "Meta Platforms Inc")</f>
      </c>
      <c r="D1365" s="0" t="s">
        <v>25</v>
      </c>
      <c r="E1365" s="0" t="s">
        <v>3994</v>
      </c>
      <c r="F1365" s="16">
        <f>HYPERLINK("https://eosportal.federatedhermes.com/engagements/RW5nYWdlbWVudAppMjc0ODY=", "Privacy rights")</f>
      </c>
      <c r="G1365" s="14" t="s">
        <v>3995</v>
      </c>
      <c r="H1365" s="0" t="s">
        <v>141</v>
      </c>
      <c r="I1365" s="14" t="s">
        <v>191</v>
      </c>
      <c r="J1365" s="0" t="s">
        <v>153</v>
      </c>
      <c r="K1365" s="0" t="s">
        <v>243</v>
      </c>
      <c r="L1365" s="0" t="s">
        <v>537</v>
      </c>
      <c r="M1365" s="0" t="s">
        <v>135</v>
      </c>
      <c r="N1365" s="0" t="s">
        <v>136</v>
      </c>
      <c r="O1365" s="0" t="s">
        <v>137</v>
      </c>
      <c r="Q1365" s="0" t="s">
        <v>141</v>
      </c>
      <c r="R1365" s="0" t="s">
        <v>138</v>
      </c>
      <c r="S1365" s="14">
        <v>1</v>
      </c>
      <c r="T1365" s="0" t="s">
        <v>707</v>
      </c>
      <c r="U1365" s="0" t="s">
        <v>138</v>
      </c>
      <c r="V1365" s="14" t="s">
        <v>138</v>
      </c>
      <c r="W1365" s="0" t="s">
        <v>138</v>
      </c>
      <c r="X1365" s="14" t="s">
        <v>138</v>
      </c>
      <c r="Y1365" s="0" t="s">
        <v>138</v>
      </c>
      <c r="Z1365" s="14" t="s">
        <v>138</v>
      </c>
      <c r="AA1365" s="0" t="s">
        <v>138</v>
      </c>
      <c r="AB1365" s="14" t="s">
        <v>138</v>
      </c>
      <c r="AD1365" s="0" t="s">
        <v>138</v>
      </c>
      <c r="AF1365" s="0">
        <v>0</v>
      </c>
      <c r="AG1365" s="0">
        <v>0</v>
      </c>
      <c r="AH1365" s="0" t="s">
        <v>140</v>
      </c>
      <c r="AI1365" s="0" t="s">
        <v>138</v>
      </c>
      <c r="AK1365" s="0" t="s">
        <v>3996</v>
      </c>
      <c r="AL1365" s="14"/>
      <c r="AN1365" s="14"/>
      <c r="AQ1365" s="0" t="s">
        <v>130</v>
      </c>
      <c r="AR1365" s="0" t="s">
        <v>130</v>
      </c>
      <c r="AS1365" s="0" t="s">
        <v>130</v>
      </c>
      <c r="AT1365" s="0" t="s">
        <v>130</v>
      </c>
      <c r="AU1365" s="0" t="s">
        <v>130</v>
      </c>
      <c r="AV1365" s="0" t="s">
        <v>130</v>
      </c>
      <c r="AW1365" s="0" t="s">
        <v>130</v>
      </c>
      <c r="AX1365" s="0" t="s">
        <v>130</v>
      </c>
      <c r="AY1365" s="0" t="s">
        <v>130</v>
      </c>
      <c r="AZ1365" s="0" t="s">
        <v>130</v>
      </c>
      <c r="BA1365" s="0" t="s">
        <v>130</v>
      </c>
      <c r="BB1365" s="0" t="s">
        <v>141</v>
      </c>
      <c r="BC1365" s="0" t="s">
        <v>130</v>
      </c>
      <c r="BD1365" s="0" t="s">
        <v>130</v>
      </c>
      <c r="BE1365" s="0" t="s">
        <v>130</v>
      </c>
      <c r="BF1365" s="0" t="s">
        <v>141</v>
      </c>
      <c r="BG1365" s="0" t="s">
        <v>130</v>
      </c>
      <c r="BH1365" s="0" t="s">
        <v>130</v>
      </c>
      <c r="BI1365" s="0" t="s">
        <v>130</v>
      </c>
      <c r="BJ1365" s="0" t="s">
        <v>130</v>
      </c>
      <c r="BK1365" s="0" t="s">
        <v>130</v>
      </c>
      <c r="BL1365" s="0" t="s">
        <v>130</v>
      </c>
      <c r="BM1365" s="0" t="s">
        <v>130</v>
      </c>
      <c r="BN1365" s="0" t="s">
        <v>130</v>
      </c>
      <c r="BO1365" s="0" t="s">
        <v>130</v>
      </c>
      <c r="BP1365" s="0" t="s">
        <v>130</v>
      </c>
      <c r="BQ1365" s="0" t="s">
        <v>130</v>
      </c>
      <c r="BR1365" s="0" t="s">
        <v>130</v>
      </c>
      <c r="BS1365" s="0" t="s">
        <v>130</v>
      </c>
      <c r="BT1365" s="0" t="s">
        <v>130</v>
      </c>
      <c r="BU1365" s="0" t="s">
        <v>130</v>
      </c>
      <c r="BV1365" s="0" t="s">
        <v>130</v>
      </c>
      <c r="BW1365" s="0" t="s">
        <v>130</v>
      </c>
      <c r="BX1365" s="0" t="s">
        <v>130</v>
      </c>
      <c r="BY1365" s="0" t="s">
        <v>130</v>
      </c>
      <c r="BZ1365" s="0" t="s">
        <v>130</v>
      </c>
      <c r="CA1365" s="0" t="s">
        <v>130</v>
      </c>
      <c r="CB1365" s="0" t="s">
        <v>130</v>
      </c>
      <c r="CC1365" s="0" t="s">
        <v>130</v>
      </c>
      <c r="CD1365" s="0" t="s">
        <v>130</v>
      </c>
      <c r="CE1365" s="0" t="s">
        <v>130</v>
      </c>
      <c r="CF1365" s="0" t="s">
        <v>130</v>
      </c>
      <c r="CG1365" s="0" t="s">
        <v>130</v>
      </c>
      <c r="CH1365" s="0" t="s">
        <v>130</v>
      </c>
      <c r="CI1365" s="0" t="s">
        <v>130</v>
      </c>
      <c r="CJ1365" s="0" t="s">
        <v>130</v>
      </c>
      <c r="CK1365" s="0" t="s">
        <v>130</v>
      </c>
      <c r="CL1365" s="0" t="s">
        <v>130</v>
      </c>
      <c r="CM1365" s="0" t="s">
        <v>130</v>
      </c>
      <c r="CN1365" s="0" t="s">
        <v>130</v>
      </c>
      <c r="CO1365" s="0" t="s">
        <v>130</v>
      </c>
      <c r="CP1365" s="0" t="s">
        <v>130</v>
      </c>
      <c r="CQ1365" s="0" t="s">
        <v>130</v>
      </c>
      <c r="CR1365" s="0" t="s">
        <v>130</v>
      </c>
      <c r="CS1365" s="0" t="s">
        <v>130</v>
      </c>
      <c r="CT1365" s="0" t="s">
        <v>3997</v>
      </c>
    </row>
    <row r="1366">
      <c r="A1366" s="14">
        <v>11204665</v>
      </c>
      <c r="B1366" s="0" t="s">
        <v>3998</v>
      </c>
      <c r="C1366" s="16">
        <f>HYPERLINK("https://eosportal.federatedhermes.com/companies/Q29tcGFueQppNjQ2NDE=", "Brambles Ltd")</f>
      </c>
      <c r="D1366" s="0" t="s">
        <v>25</v>
      </c>
      <c r="E1366" s="0" t="s">
        <v>1771</v>
      </c>
      <c r="F1366" s="16">
        <f>HYPERLINK("https://eosportal.federatedhermes.com/engagements/RW5nYWdlbWVudAppMjc0OTM=", "ACSI engagement activity on remuneration")</f>
      </c>
      <c r="G1366" s="14" t="s">
        <v>3999</v>
      </c>
      <c r="H1366" s="0" t="s">
        <v>130</v>
      </c>
      <c r="I1366" s="14" t="s">
        <v>319</v>
      </c>
      <c r="J1366" s="0" t="s">
        <v>145</v>
      </c>
      <c r="K1366" s="0" t="s">
        <v>146</v>
      </c>
      <c r="L1366" s="0" t="s">
        <v>147</v>
      </c>
      <c r="M1366" s="0" t="s">
        <v>371</v>
      </c>
      <c r="N1366" s="0" t="s">
        <v>372</v>
      </c>
      <c r="O1366" s="0" t="s">
        <v>176</v>
      </c>
      <c r="Q1366" s="0" t="s">
        <v>130</v>
      </c>
      <c r="R1366" s="0" t="s">
        <v>138</v>
      </c>
      <c r="S1366" s="14">
        <v>0</v>
      </c>
      <c r="T1366" s="0" t="s">
        <v>166</v>
      </c>
      <c r="U1366" s="0" t="s">
        <v>138</v>
      </c>
      <c r="V1366" s="14" t="s">
        <v>138</v>
      </c>
      <c r="W1366" s="0" t="s">
        <v>138</v>
      </c>
      <c r="X1366" s="14" t="s">
        <v>138</v>
      </c>
      <c r="Y1366" s="0" t="s">
        <v>138</v>
      </c>
      <c r="Z1366" s="14" t="s">
        <v>138</v>
      </c>
      <c r="AA1366" s="0" t="s">
        <v>138</v>
      </c>
      <c r="AB1366" s="14" t="s">
        <v>138</v>
      </c>
      <c r="AD1366" s="0" t="s">
        <v>138</v>
      </c>
      <c r="AF1366" s="0">
        <v>0</v>
      </c>
      <c r="AG1366" s="0">
        <v>0</v>
      </c>
      <c r="AH1366" s="0" t="s">
        <v>140</v>
      </c>
      <c r="AI1366" s="0" t="s">
        <v>138</v>
      </c>
      <c r="AL1366" s="14"/>
      <c r="AN1366" s="14"/>
      <c r="AQ1366" s="0" t="s">
        <v>130</v>
      </c>
      <c r="AR1366" s="0" t="s">
        <v>130</v>
      </c>
      <c r="AS1366" s="0" t="s">
        <v>130</v>
      </c>
      <c r="AT1366" s="0" t="s">
        <v>130</v>
      </c>
      <c r="AU1366" s="0" t="s">
        <v>130</v>
      </c>
      <c r="AV1366" s="0" t="s">
        <v>130</v>
      </c>
      <c r="AW1366" s="0" t="s">
        <v>130</v>
      </c>
      <c r="AX1366" s="0" t="s">
        <v>130</v>
      </c>
      <c r="AY1366" s="0" t="s">
        <v>130</v>
      </c>
      <c r="AZ1366" s="0" t="s">
        <v>130</v>
      </c>
      <c r="BA1366" s="0" t="s">
        <v>130</v>
      </c>
      <c r="BB1366" s="0" t="s">
        <v>130</v>
      </c>
      <c r="BC1366" s="0" t="s">
        <v>130</v>
      </c>
      <c r="BD1366" s="0" t="s">
        <v>130</v>
      </c>
      <c r="BE1366" s="0" t="s">
        <v>130</v>
      </c>
      <c r="BF1366" s="0" t="s">
        <v>130</v>
      </c>
      <c r="BG1366" s="0" t="s">
        <v>130</v>
      </c>
      <c r="BH1366" s="0" t="s">
        <v>130</v>
      </c>
      <c r="BI1366" s="0" t="s">
        <v>130</v>
      </c>
      <c r="BJ1366" s="0" t="s">
        <v>130</v>
      </c>
      <c r="BK1366" s="0" t="s">
        <v>130</v>
      </c>
      <c r="BL1366" s="0" t="s">
        <v>130</v>
      </c>
      <c r="BM1366" s="0" t="s">
        <v>130</v>
      </c>
      <c r="BN1366" s="0" t="s">
        <v>130</v>
      </c>
      <c r="BO1366" s="0" t="s">
        <v>130</v>
      </c>
      <c r="BP1366" s="0" t="s">
        <v>130</v>
      </c>
      <c r="BQ1366" s="0" t="s">
        <v>130</v>
      </c>
      <c r="BR1366" s="0" t="s">
        <v>130</v>
      </c>
      <c r="BS1366" s="0" t="s">
        <v>130</v>
      </c>
      <c r="BT1366" s="0" t="s">
        <v>130</v>
      </c>
      <c r="BU1366" s="0" t="s">
        <v>130</v>
      </c>
      <c r="BV1366" s="0" t="s">
        <v>130</v>
      </c>
      <c r="BW1366" s="0" t="s">
        <v>130</v>
      </c>
      <c r="BX1366" s="0" t="s">
        <v>130</v>
      </c>
      <c r="BY1366" s="0" t="s">
        <v>130</v>
      </c>
      <c r="BZ1366" s="0" t="s">
        <v>130</v>
      </c>
      <c r="CA1366" s="0" t="s">
        <v>130</v>
      </c>
      <c r="CB1366" s="0" t="s">
        <v>130</v>
      </c>
      <c r="CC1366" s="0" t="s">
        <v>130</v>
      </c>
      <c r="CD1366" s="0" t="s">
        <v>130</v>
      </c>
      <c r="CE1366" s="0" t="s">
        <v>130</v>
      </c>
      <c r="CF1366" s="0" t="s">
        <v>130</v>
      </c>
      <c r="CG1366" s="0" t="s">
        <v>130</v>
      </c>
      <c r="CH1366" s="0" t="s">
        <v>130</v>
      </c>
      <c r="CI1366" s="0" t="s">
        <v>130</v>
      </c>
      <c r="CJ1366" s="0" t="s">
        <v>130</v>
      </c>
      <c r="CK1366" s="0" t="s">
        <v>130</v>
      </c>
      <c r="CL1366" s="0" t="s">
        <v>130</v>
      </c>
      <c r="CM1366" s="0" t="s">
        <v>130</v>
      </c>
      <c r="CN1366" s="0" t="s">
        <v>130</v>
      </c>
      <c r="CO1366" s="0" t="s">
        <v>130</v>
      </c>
      <c r="CP1366" s="0" t="s">
        <v>130</v>
      </c>
      <c r="CQ1366" s="0" t="s">
        <v>130</v>
      </c>
      <c r="CR1366" s="0" t="s">
        <v>130</v>
      </c>
      <c r="CS1366" s="0" t="s">
        <v>130</v>
      </c>
      <c r="CT1366" s="0" t="s">
        <v>4000</v>
      </c>
    </row>
    <row r="1367">
      <c r="A1367" s="14">
        <v>11204665</v>
      </c>
      <c r="B1367" s="0" t="s">
        <v>3998</v>
      </c>
      <c r="C1367" s="16">
        <f>HYPERLINK("https://eosportal.federatedhermes.com/companies/Q29tcGFueQppNjQ2NDE=", "Brambles Ltd")</f>
      </c>
      <c r="D1367" s="0" t="s">
        <v>25</v>
      </c>
      <c r="E1367" s="0" t="s">
        <v>4001</v>
      </c>
      <c r="F1367" s="16">
        <f>HYPERLINK("https://eosportal.federatedhermes.com/engagements/RW5nYWdlbWVudAppMjc0OTQ=", "Impact of accelerated automation programme on labour force")</f>
      </c>
      <c r="G1367" s="14" t="s">
        <v>4002</v>
      </c>
      <c r="H1367" s="0" t="s">
        <v>130</v>
      </c>
      <c r="I1367" s="14" t="s">
        <v>319</v>
      </c>
      <c r="J1367" s="0" t="s">
        <v>132</v>
      </c>
      <c r="K1367" s="0" t="s">
        <v>133</v>
      </c>
      <c r="L1367" s="0" t="s">
        <v>160</v>
      </c>
      <c r="M1367" s="0" t="s">
        <v>371</v>
      </c>
      <c r="N1367" s="0" t="s">
        <v>372</v>
      </c>
      <c r="O1367" s="0" t="s">
        <v>176</v>
      </c>
      <c r="Q1367" s="0" t="s">
        <v>130</v>
      </c>
      <c r="R1367" s="0" t="s">
        <v>138</v>
      </c>
      <c r="S1367" s="14">
        <v>0</v>
      </c>
      <c r="T1367" s="0" t="s">
        <v>487</v>
      </c>
      <c r="U1367" s="0" t="s">
        <v>138</v>
      </c>
      <c r="V1367" s="14" t="s">
        <v>138</v>
      </c>
      <c r="W1367" s="0" t="s">
        <v>138</v>
      </c>
      <c r="X1367" s="14" t="s">
        <v>138</v>
      </c>
      <c r="Y1367" s="0" t="s">
        <v>138</v>
      </c>
      <c r="Z1367" s="14" t="s">
        <v>138</v>
      </c>
      <c r="AA1367" s="0" t="s">
        <v>138</v>
      </c>
      <c r="AB1367" s="14" t="s">
        <v>138</v>
      </c>
      <c r="AD1367" s="0" t="s">
        <v>138</v>
      </c>
      <c r="AF1367" s="0">
        <v>0</v>
      </c>
      <c r="AG1367" s="0">
        <v>0</v>
      </c>
      <c r="AH1367" s="0" t="s">
        <v>140</v>
      </c>
      <c r="AI1367" s="0" t="s">
        <v>138</v>
      </c>
      <c r="AL1367" s="14"/>
      <c r="AN1367" s="14"/>
      <c r="AQ1367" s="0" t="s">
        <v>130</v>
      </c>
      <c r="AR1367" s="0" t="s">
        <v>130</v>
      </c>
      <c r="AS1367" s="0" t="s">
        <v>130</v>
      </c>
      <c r="AT1367" s="0" t="s">
        <v>130</v>
      </c>
      <c r="AU1367" s="0" t="s">
        <v>130</v>
      </c>
      <c r="AV1367" s="0" t="s">
        <v>130</v>
      </c>
      <c r="AW1367" s="0" t="s">
        <v>130</v>
      </c>
      <c r="AX1367" s="0" t="s">
        <v>130</v>
      </c>
      <c r="AY1367" s="0" t="s">
        <v>130</v>
      </c>
      <c r="AZ1367" s="0" t="s">
        <v>130</v>
      </c>
      <c r="BA1367" s="0" t="s">
        <v>130</v>
      </c>
      <c r="BB1367" s="0" t="s">
        <v>130</v>
      </c>
      <c r="BC1367" s="0" t="s">
        <v>130</v>
      </c>
      <c r="BD1367" s="0" t="s">
        <v>130</v>
      </c>
      <c r="BE1367" s="0" t="s">
        <v>130</v>
      </c>
      <c r="BF1367" s="0" t="s">
        <v>130</v>
      </c>
      <c r="BG1367" s="0" t="s">
        <v>130</v>
      </c>
      <c r="BH1367" s="0" t="s">
        <v>130</v>
      </c>
      <c r="BI1367" s="0" t="s">
        <v>130</v>
      </c>
      <c r="BJ1367" s="0" t="s">
        <v>130</v>
      </c>
      <c r="BK1367" s="0" t="s">
        <v>130</v>
      </c>
      <c r="BL1367" s="0" t="s">
        <v>130</v>
      </c>
      <c r="BM1367" s="0" t="s">
        <v>130</v>
      </c>
      <c r="BN1367" s="0" t="s">
        <v>130</v>
      </c>
      <c r="BO1367" s="0" t="s">
        <v>130</v>
      </c>
      <c r="BP1367" s="0" t="s">
        <v>130</v>
      </c>
      <c r="BQ1367" s="0" t="s">
        <v>130</v>
      </c>
      <c r="BR1367" s="0" t="s">
        <v>130</v>
      </c>
      <c r="BS1367" s="0" t="s">
        <v>130</v>
      </c>
      <c r="BT1367" s="0" t="s">
        <v>130</v>
      </c>
      <c r="BU1367" s="0" t="s">
        <v>130</v>
      </c>
      <c r="BV1367" s="0" t="s">
        <v>130</v>
      </c>
      <c r="BW1367" s="0" t="s">
        <v>130</v>
      </c>
      <c r="BX1367" s="0" t="s">
        <v>130</v>
      </c>
      <c r="BY1367" s="0" t="s">
        <v>130</v>
      </c>
      <c r="BZ1367" s="0" t="s">
        <v>130</v>
      </c>
      <c r="CA1367" s="0" t="s">
        <v>130</v>
      </c>
      <c r="CB1367" s="0" t="s">
        <v>130</v>
      </c>
      <c r="CC1367" s="0" t="s">
        <v>130</v>
      </c>
      <c r="CD1367" s="0" t="s">
        <v>130</v>
      </c>
      <c r="CE1367" s="0" t="s">
        <v>130</v>
      </c>
      <c r="CF1367" s="0" t="s">
        <v>130</v>
      </c>
      <c r="CG1367" s="0" t="s">
        <v>130</v>
      </c>
      <c r="CH1367" s="0" t="s">
        <v>130</v>
      </c>
      <c r="CI1367" s="0" t="s">
        <v>130</v>
      </c>
      <c r="CJ1367" s="0" t="s">
        <v>130</v>
      </c>
      <c r="CK1367" s="0" t="s">
        <v>130</v>
      </c>
      <c r="CL1367" s="0" t="s">
        <v>130</v>
      </c>
      <c r="CM1367" s="0" t="s">
        <v>130</v>
      </c>
      <c r="CN1367" s="0" t="s">
        <v>130</v>
      </c>
      <c r="CO1367" s="0" t="s">
        <v>130</v>
      </c>
      <c r="CP1367" s="0" t="s">
        <v>130</v>
      </c>
      <c r="CQ1367" s="0" t="s">
        <v>130</v>
      </c>
      <c r="CR1367" s="0" t="s">
        <v>130</v>
      </c>
      <c r="CS1367" s="0" t="s">
        <v>130</v>
      </c>
      <c r="CT1367" s="0" t="s">
        <v>4003</v>
      </c>
    </row>
    <row r="1368">
      <c r="A1368" s="14">
        <v>11204665</v>
      </c>
      <c r="B1368" s="0" t="s">
        <v>3998</v>
      </c>
      <c r="C1368" s="16">
        <f>HYPERLINK("https://eosportal.federatedhermes.com/companies/Q29tcGFueQppNjQ2NDE=", "Brambles Ltd")</f>
      </c>
      <c r="D1368" s="0" t="s">
        <v>25</v>
      </c>
      <c r="E1368" s="0" t="s">
        <v>341</v>
      </c>
      <c r="F1368" s="16">
        <f>HYPERLINK("https://eosportal.federatedhermes.com/engagements/RW5nYWdlbWVudAppMjc0OTU=", "Remuneration")</f>
      </c>
      <c r="G1368" s="14" t="s">
        <v>642</v>
      </c>
      <c r="H1368" s="0" t="s">
        <v>130</v>
      </c>
      <c r="I1368" s="14" t="s">
        <v>319</v>
      </c>
      <c r="J1368" s="0" t="s">
        <v>145</v>
      </c>
      <c r="K1368" s="0" t="s">
        <v>146</v>
      </c>
      <c r="L1368" s="0" t="s">
        <v>147</v>
      </c>
      <c r="M1368" s="0" t="s">
        <v>371</v>
      </c>
      <c r="N1368" s="0" t="s">
        <v>372</v>
      </c>
      <c r="O1368" s="0" t="s">
        <v>176</v>
      </c>
      <c r="Q1368" s="0" t="s">
        <v>130</v>
      </c>
      <c r="R1368" s="0" t="s">
        <v>138</v>
      </c>
      <c r="S1368" s="14">
        <v>0</v>
      </c>
      <c r="T1368" s="0" t="s">
        <v>193</v>
      </c>
      <c r="U1368" s="0" t="s">
        <v>138</v>
      </c>
      <c r="V1368" s="14" t="s">
        <v>138</v>
      </c>
      <c r="W1368" s="0" t="s">
        <v>138</v>
      </c>
      <c r="X1368" s="14" t="s">
        <v>138</v>
      </c>
      <c r="Y1368" s="0" t="s">
        <v>138</v>
      </c>
      <c r="Z1368" s="14" t="s">
        <v>138</v>
      </c>
      <c r="AA1368" s="0" t="s">
        <v>138</v>
      </c>
      <c r="AB1368" s="14" t="s">
        <v>138</v>
      </c>
      <c r="AD1368" s="0" t="s">
        <v>138</v>
      </c>
      <c r="AF1368" s="0">
        <v>0</v>
      </c>
      <c r="AG1368" s="0">
        <v>0</v>
      </c>
      <c r="AH1368" s="0" t="s">
        <v>140</v>
      </c>
      <c r="AI1368" s="0" t="s">
        <v>138</v>
      </c>
      <c r="AL1368" s="14"/>
      <c r="AN1368" s="14"/>
      <c r="AQ1368" s="0" t="s">
        <v>130</v>
      </c>
      <c r="AR1368" s="0" t="s">
        <v>130</v>
      </c>
      <c r="AS1368" s="0" t="s">
        <v>130</v>
      </c>
      <c r="AT1368" s="0" t="s">
        <v>130</v>
      </c>
      <c r="AU1368" s="0" t="s">
        <v>130</v>
      </c>
      <c r="AV1368" s="0" t="s">
        <v>130</v>
      </c>
      <c r="AW1368" s="0" t="s">
        <v>130</v>
      </c>
      <c r="AX1368" s="0" t="s">
        <v>130</v>
      </c>
      <c r="AY1368" s="0" t="s">
        <v>130</v>
      </c>
      <c r="AZ1368" s="0" t="s">
        <v>130</v>
      </c>
      <c r="BA1368" s="0" t="s">
        <v>130</v>
      </c>
      <c r="BB1368" s="0" t="s">
        <v>130</v>
      </c>
      <c r="BC1368" s="0" t="s">
        <v>130</v>
      </c>
      <c r="BD1368" s="0" t="s">
        <v>130</v>
      </c>
      <c r="BE1368" s="0" t="s">
        <v>130</v>
      </c>
      <c r="BF1368" s="0" t="s">
        <v>130</v>
      </c>
      <c r="BG1368" s="0" t="s">
        <v>130</v>
      </c>
      <c r="BH1368" s="0" t="s">
        <v>130</v>
      </c>
      <c r="BI1368" s="0" t="s">
        <v>130</v>
      </c>
      <c r="BJ1368" s="0" t="s">
        <v>130</v>
      </c>
      <c r="BK1368" s="0" t="s">
        <v>130</v>
      </c>
      <c r="BL1368" s="0" t="s">
        <v>130</v>
      </c>
      <c r="BM1368" s="0" t="s">
        <v>130</v>
      </c>
      <c r="BN1368" s="0" t="s">
        <v>130</v>
      </c>
      <c r="BO1368" s="0" t="s">
        <v>130</v>
      </c>
      <c r="BP1368" s="0" t="s">
        <v>130</v>
      </c>
      <c r="BQ1368" s="0" t="s">
        <v>130</v>
      </c>
      <c r="BR1368" s="0" t="s">
        <v>130</v>
      </c>
      <c r="BS1368" s="0" t="s">
        <v>130</v>
      </c>
      <c r="BT1368" s="0" t="s">
        <v>130</v>
      </c>
      <c r="BU1368" s="0" t="s">
        <v>130</v>
      </c>
      <c r="BV1368" s="0" t="s">
        <v>130</v>
      </c>
      <c r="BW1368" s="0" t="s">
        <v>130</v>
      </c>
      <c r="BX1368" s="0" t="s">
        <v>130</v>
      </c>
      <c r="BY1368" s="0" t="s">
        <v>130</v>
      </c>
      <c r="BZ1368" s="0" t="s">
        <v>130</v>
      </c>
      <c r="CA1368" s="0" t="s">
        <v>130</v>
      </c>
      <c r="CB1368" s="0" t="s">
        <v>130</v>
      </c>
      <c r="CC1368" s="0" t="s">
        <v>130</v>
      </c>
      <c r="CD1368" s="0" t="s">
        <v>130</v>
      </c>
      <c r="CE1368" s="0" t="s">
        <v>130</v>
      </c>
      <c r="CF1368" s="0" t="s">
        <v>130</v>
      </c>
      <c r="CG1368" s="0" t="s">
        <v>130</v>
      </c>
      <c r="CH1368" s="0" t="s">
        <v>130</v>
      </c>
      <c r="CI1368" s="0" t="s">
        <v>130</v>
      </c>
      <c r="CJ1368" s="0" t="s">
        <v>130</v>
      </c>
      <c r="CK1368" s="0" t="s">
        <v>130</v>
      </c>
      <c r="CL1368" s="0" t="s">
        <v>130</v>
      </c>
      <c r="CM1368" s="0" t="s">
        <v>130</v>
      </c>
      <c r="CN1368" s="0" t="s">
        <v>130</v>
      </c>
      <c r="CO1368" s="0" t="s">
        <v>130</v>
      </c>
      <c r="CP1368" s="0" t="s">
        <v>130</v>
      </c>
      <c r="CQ1368" s="0" t="s">
        <v>130</v>
      </c>
      <c r="CR1368" s="0" t="s">
        <v>130</v>
      </c>
      <c r="CS1368" s="0" t="s">
        <v>130</v>
      </c>
      <c r="CT1368" s="0" t="s">
        <v>4004</v>
      </c>
    </row>
    <row r="1369">
      <c r="A1369" s="14">
        <v>9268711</v>
      </c>
      <c r="B1369" s="0" t="s">
        <v>4005</v>
      </c>
      <c r="C1369" s="16">
        <f>HYPERLINK("https://eosportal.federatedhermes.com/companies/Q29tcGFueQppODU0MTQ=", "Shell PLC")</f>
      </c>
      <c r="D1369" s="0" t="s">
        <v>25</v>
      </c>
      <c r="E1369" s="0" t="s">
        <v>555</v>
      </c>
      <c r="F1369" s="16">
        <f>HYPERLINK("https://eosportal.federatedhermes.com/engagements/RW5nYWdlbWVudAppMjc0OTg=", "Oil Sands")</f>
      </c>
      <c r="G1369" s="14" t="s">
        <v>4006</v>
      </c>
      <c r="H1369" s="0" t="s">
        <v>141</v>
      </c>
      <c r="I1369" s="14" t="s">
        <v>191</v>
      </c>
      <c r="J1369" s="0" t="s">
        <v>132</v>
      </c>
      <c r="K1369" s="0" t="s">
        <v>133</v>
      </c>
      <c r="L1369" s="0" t="s">
        <v>160</v>
      </c>
      <c r="M1369" s="0" t="s">
        <v>272</v>
      </c>
      <c r="N1369" s="0" t="s">
        <v>273</v>
      </c>
      <c r="O1369" s="0" t="s">
        <v>542</v>
      </c>
      <c r="Q1369" s="0" t="s">
        <v>130</v>
      </c>
      <c r="R1369" s="0" t="s">
        <v>138</v>
      </c>
      <c r="S1369" s="14">
        <v>0</v>
      </c>
      <c r="T1369" s="0" t="s">
        <v>390</v>
      </c>
      <c r="U1369" s="0" t="s">
        <v>138</v>
      </c>
      <c r="V1369" s="14" t="s">
        <v>138</v>
      </c>
      <c r="W1369" s="0" t="s">
        <v>138</v>
      </c>
      <c r="X1369" s="14" t="s">
        <v>138</v>
      </c>
      <c r="Y1369" s="0" t="s">
        <v>138</v>
      </c>
      <c r="Z1369" s="14" t="s">
        <v>138</v>
      </c>
      <c r="AA1369" s="0" t="s">
        <v>138</v>
      </c>
      <c r="AB1369" s="14" t="s">
        <v>138</v>
      </c>
      <c r="AD1369" s="0" t="s">
        <v>138</v>
      </c>
      <c r="AF1369" s="0">
        <v>0</v>
      </c>
      <c r="AG1369" s="0">
        <v>0</v>
      </c>
      <c r="AH1369" s="0" t="s">
        <v>140</v>
      </c>
      <c r="AI1369" s="0" t="s">
        <v>138</v>
      </c>
      <c r="AL1369" s="14"/>
      <c r="AN1369" s="14"/>
      <c r="AQ1369" s="0" t="s">
        <v>130</v>
      </c>
      <c r="AR1369" s="0" t="s">
        <v>130</v>
      </c>
      <c r="AS1369" s="0" t="s">
        <v>130</v>
      </c>
      <c r="AT1369" s="0" t="s">
        <v>130</v>
      </c>
      <c r="AU1369" s="0" t="s">
        <v>130</v>
      </c>
      <c r="AV1369" s="0" t="s">
        <v>130</v>
      </c>
      <c r="AW1369" s="0" t="s">
        <v>130</v>
      </c>
      <c r="AX1369" s="0" t="s">
        <v>130</v>
      </c>
      <c r="AY1369" s="0" t="s">
        <v>130</v>
      </c>
      <c r="AZ1369" s="0" t="s">
        <v>130</v>
      </c>
      <c r="BA1369" s="0" t="s">
        <v>130</v>
      </c>
      <c r="BB1369" s="0" t="s">
        <v>130</v>
      </c>
      <c r="BC1369" s="0" t="s">
        <v>130</v>
      </c>
      <c r="BD1369" s="0" t="s">
        <v>130</v>
      </c>
      <c r="BE1369" s="0" t="s">
        <v>130</v>
      </c>
      <c r="BF1369" s="0" t="s">
        <v>130</v>
      </c>
      <c r="BG1369" s="0" t="s">
        <v>130</v>
      </c>
      <c r="BH1369" s="0" t="s">
        <v>130</v>
      </c>
      <c r="BI1369" s="0" t="s">
        <v>130</v>
      </c>
      <c r="BJ1369" s="0" t="s">
        <v>130</v>
      </c>
      <c r="BK1369" s="0" t="s">
        <v>130</v>
      </c>
      <c r="BL1369" s="0" t="s">
        <v>130</v>
      </c>
      <c r="BM1369" s="0" t="s">
        <v>130</v>
      </c>
      <c r="BN1369" s="0" t="s">
        <v>130</v>
      </c>
      <c r="BO1369" s="0" t="s">
        <v>130</v>
      </c>
      <c r="BP1369" s="0" t="s">
        <v>130</v>
      </c>
      <c r="BQ1369" s="0" t="s">
        <v>130</v>
      </c>
      <c r="BR1369" s="0" t="s">
        <v>130</v>
      </c>
      <c r="BS1369" s="0" t="s">
        <v>130</v>
      </c>
      <c r="BT1369" s="0" t="s">
        <v>130</v>
      </c>
      <c r="BU1369" s="0" t="s">
        <v>130</v>
      </c>
      <c r="BV1369" s="0" t="s">
        <v>130</v>
      </c>
      <c r="BW1369" s="0" t="s">
        <v>130</v>
      </c>
      <c r="BX1369" s="0" t="s">
        <v>130</v>
      </c>
      <c r="BY1369" s="0" t="s">
        <v>130</v>
      </c>
      <c r="BZ1369" s="0" t="s">
        <v>130</v>
      </c>
      <c r="CA1369" s="0" t="s">
        <v>130</v>
      </c>
      <c r="CB1369" s="0" t="s">
        <v>130</v>
      </c>
      <c r="CC1369" s="0" t="s">
        <v>130</v>
      </c>
      <c r="CD1369" s="0" t="s">
        <v>130</v>
      </c>
      <c r="CE1369" s="0" t="s">
        <v>130</v>
      </c>
      <c r="CF1369" s="0" t="s">
        <v>130</v>
      </c>
      <c r="CG1369" s="0" t="s">
        <v>130</v>
      </c>
      <c r="CH1369" s="0" t="s">
        <v>130</v>
      </c>
      <c r="CI1369" s="0" t="s">
        <v>130</v>
      </c>
      <c r="CJ1369" s="0" t="s">
        <v>130</v>
      </c>
      <c r="CK1369" s="0" t="s">
        <v>130</v>
      </c>
      <c r="CL1369" s="0" t="s">
        <v>130</v>
      </c>
      <c r="CM1369" s="0" t="s">
        <v>130</v>
      </c>
      <c r="CN1369" s="0" t="s">
        <v>130</v>
      </c>
      <c r="CO1369" s="0" t="s">
        <v>130</v>
      </c>
      <c r="CP1369" s="0" t="s">
        <v>130</v>
      </c>
      <c r="CQ1369" s="0" t="s">
        <v>130</v>
      </c>
      <c r="CR1369" s="0" t="s">
        <v>130</v>
      </c>
      <c r="CS1369" s="0" t="s">
        <v>130</v>
      </c>
      <c r="CT1369" s="0" t="s">
        <v>4007</v>
      </c>
    </row>
    <row r="1370">
      <c r="A1370" s="14">
        <v>9268711</v>
      </c>
      <c r="B1370" s="0" t="s">
        <v>4005</v>
      </c>
      <c r="C1370" s="16">
        <f>HYPERLINK("https://eosportal.federatedhermes.com/companies/Q29tcGFueQppODU0MTQ=", "Shell PLC")</f>
      </c>
      <c r="D1370" s="0" t="s">
        <v>25</v>
      </c>
      <c r="E1370" s="0" t="s">
        <v>260</v>
      </c>
      <c r="F1370" s="16">
        <f>HYPERLINK("https://eosportal.federatedhermes.com/engagements/RW5nYWdlbWVudAppMjc0OTk=", "Risk Management")</f>
      </c>
      <c r="G1370" s="14" t="s">
        <v>260</v>
      </c>
      <c r="H1370" s="0" t="s">
        <v>141</v>
      </c>
      <c r="I1370" s="14" t="s">
        <v>191</v>
      </c>
      <c r="J1370" s="0" t="s">
        <v>132</v>
      </c>
      <c r="K1370" s="0" t="s">
        <v>260</v>
      </c>
      <c r="L1370" s="0" t="s">
        <v>261</v>
      </c>
      <c r="M1370" s="0" t="s">
        <v>272</v>
      </c>
      <c r="N1370" s="0" t="s">
        <v>273</v>
      </c>
      <c r="O1370" s="0" t="s">
        <v>542</v>
      </c>
      <c r="Q1370" s="0" t="s">
        <v>130</v>
      </c>
      <c r="R1370" s="0" t="s">
        <v>138</v>
      </c>
      <c r="S1370" s="14">
        <v>0</v>
      </c>
      <c r="T1370" s="0" t="s">
        <v>920</v>
      </c>
      <c r="U1370" s="0" t="s">
        <v>138</v>
      </c>
      <c r="V1370" s="14" t="s">
        <v>138</v>
      </c>
      <c r="W1370" s="0" t="s">
        <v>138</v>
      </c>
      <c r="X1370" s="14" t="s">
        <v>138</v>
      </c>
      <c r="Y1370" s="0" t="s">
        <v>138</v>
      </c>
      <c r="Z1370" s="14" t="s">
        <v>138</v>
      </c>
      <c r="AA1370" s="0" t="s">
        <v>138</v>
      </c>
      <c r="AB1370" s="14" t="s">
        <v>138</v>
      </c>
      <c r="AD1370" s="0" t="s">
        <v>138</v>
      </c>
      <c r="AF1370" s="0">
        <v>0</v>
      </c>
      <c r="AG1370" s="0">
        <v>0</v>
      </c>
      <c r="AH1370" s="0" t="s">
        <v>140</v>
      </c>
      <c r="AI1370" s="0" t="s">
        <v>138</v>
      </c>
      <c r="AL1370" s="14"/>
      <c r="AN1370" s="14"/>
      <c r="AQ1370" s="0" t="s">
        <v>130</v>
      </c>
      <c r="AR1370" s="0" t="s">
        <v>130</v>
      </c>
      <c r="AS1370" s="0" t="s">
        <v>130</v>
      </c>
      <c r="AT1370" s="0" t="s">
        <v>130</v>
      </c>
      <c r="AU1370" s="0" t="s">
        <v>130</v>
      </c>
      <c r="AV1370" s="0" t="s">
        <v>130</v>
      </c>
      <c r="AW1370" s="0" t="s">
        <v>130</v>
      </c>
      <c r="AX1370" s="0" t="s">
        <v>130</v>
      </c>
      <c r="AY1370" s="0" t="s">
        <v>130</v>
      </c>
      <c r="AZ1370" s="0" t="s">
        <v>130</v>
      </c>
      <c r="BA1370" s="0" t="s">
        <v>130</v>
      </c>
      <c r="BB1370" s="0" t="s">
        <v>130</v>
      </c>
      <c r="BC1370" s="0" t="s">
        <v>130</v>
      </c>
      <c r="BD1370" s="0" t="s">
        <v>130</v>
      </c>
      <c r="BE1370" s="0" t="s">
        <v>130</v>
      </c>
      <c r="BF1370" s="0" t="s">
        <v>130</v>
      </c>
      <c r="BG1370" s="0" t="s">
        <v>130</v>
      </c>
      <c r="BH1370" s="0" t="s">
        <v>130</v>
      </c>
      <c r="BI1370" s="0" t="s">
        <v>130</v>
      </c>
      <c r="BJ1370" s="0" t="s">
        <v>130</v>
      </c>
      <c r="BK1370" s="0" t="s">
        <v>130</v>
      </c>
      <c r="BL1370" s="0" t="s">
        <v>130</v>
      </c>
      <c r="BM1370" s="0" t="s">
        <v>130</v>
      </c>
      <c r="BN1370" s="0" t="s">
        <v>130</v>
      </c>
      <c r="BO1370" s="0" t="s">
        <v>130</v>
      </c>
      <c r="BP1370" s="0" t="s">
        <v>130</v>
      </c>
      <c r="BQ1370" s="0" t="s">
        <v>130</v>
      </c>
      <c r="BR1370" s="0" t="s">
        <v>130</v>
      </c>
      <c r="BS1370" s="0" t="s">
        <v>130</v>
      </c>
      <c r="BT1370" s="0" t="s">
        <v>130</v>
      </c>
      <c r="BU1370" s="0" t="s">
        <v>130</v>
      </c>
      <c r="BV1370" s="0" t="s">
        <v>130</v>
      </c>
      <c r="BW1370" s="0" t="s">
        <v>130</v>
      </c>
      <c r="BX1370" s="0" t="s">
        <v>130</v>
      </c>
      <c r="BY1370" s="0" t="s">
        <v>130</v>
      </c>
      <c r="BZ1370" s="0" t="s">
        <v>130</v>
      </c>
      <c r="CA1370" s="0" t="s">
        <v>130</v>
      </c>
      <c r="CB1370" s="0" t="s">
        <v>130</v>
      </c>
      <c r="CC1370" s="0" t="s">
        <v>130</v>
      </c>
      <c r="CD1370" s="0" t="s">
        <v>130</v>
      </c>
      <c r="CE1370" s="0" t="s">
        <v>130</v>
      </c>
      <c r="CF1370" s="0" t="s">
        <v>130</v>
      </c>
      <c r="CG1370" s="0" t="s">
        <v>130</v>
      </c>
      <c r="CH1370" s="0" t="s">
        <v>130</v>
      </c>
      <c r="CI1370" s="0" t="s">
        <v>130</v>
      </c>
      <c r="CJ1370" s="0" t="s">
        <v>130</v>
      </c>
      <c r="CK1370" s="0" t="s">
        <v>130</v>
      </c>
      <c r="CL1370" s="0" t="s">
        <v>130</v>
      </c>
      <c r="CM1370" s="0" t="s">
        <v>130</v>
      </c>
      <c r="CN1370" s="0" t="s">
        <v>130</v>
      </c>
      <c r="CO1370" s="0" t="s">
        <v>130</v>
      </c>
      <c r="CP1370" s="0" t="s">
        <v>130</v>
      </c>
      <c r="CQ1370" s="0" t="s">
        <v>130</v>
      </c>
      <c r="CR1370" s="0" t="s">
        <v>130</v>
      </c>
      <c r="CS1370" s="0" t="s">
        <v>130</v>
      </c>
      <c r="CT1370" s="0" t="s">
        <v>4008</v>
      </c>
    </row>
    <row r="1371">
      <c r="A1371" s="14">
        <v>9268711</v>
      </c>
      <c r="B1371" s="0" t="s">
        <v>4005</v>
      </c>
      <c r="C1371" s="16">
        <f>HYPERLINK("https://eosportal.federatedhermes.com/companies/Q29tcGFueQppODU0MTQ=", "Shell PLC")</f>
      </c>
      <c r="D1371" s="0" t="s">
        <v>25</v>
      </c>
      <c r="E1371" s="0" t="s">
        <v>341</v>
      </c>
      <c r="F1371" s="16">
        <f>HYPERLINK("https://eosportal.federatedhermes.com/engagements/RW5nYWdlbWVudAppMjc1MDA=", "Remuneration")</f>
      </c>
      <c r="G1371" s="14" t="s">
        <v>4009</v>
      </c>
      <c r="H1371" s="0" t="s">
        <v>141</v>
      </c>
      <c r="I1371" s="14" t="s">
        <v>191</v>
      </c>
      <c r="J1371" s="0" t="s">
        <v>145</v>
      </c>
      <c r="K1371" s="0" t="s">
        <v>146</v>
      </c>
      <c r="L1371" s="0" t="s">
        <v>147</v>
      </c>
      <c r="M1371" s="0" t="s">
        <v>272</v>
      </c>
      <c r="N1371" s="0" t="s">
        <v>273</v>
      </c>
      <c r="O1371" s="0" t="s">
        <v>542</v>
      </c>
      <c r="Q1371" s="0" t="s">
        <v>130</v>
      </c>
      <c r="R1371" s="0" t="s">
        <v>138</v>
      </c>
      <c r="S1371" s="14">
        <v>0</v>
      </c>
      <c r="T1371" s="0" t="s">
        <v>416</v>
      </c>
      <c r="U1371" s="0" t="s">
        <v>138</v>
      </c>
      <c r="V1371" s="14" t="s">
        <v>138</v>
      </c>
      <c r="W1371" s="0" t="s">
        <v>138</v>
      </c>
      <c r="X1371" s="14" t="s">
        <v>138</v>
      </c>
      <c r="Y1371" s="0" t="s">
        <v>138</v>
      </c>
      <c r="Z1371" s="14" t="s">
        <v>138</v>
      </c>
      <c r="AA1371" s="0" t="s">
        <v>138</v>
      </c>
      <c r="AB1371" s="14" t="s">
        <v>138</v>
      </c>
      <c r="AD1371" s="0" t="s">
        <v>138</v>
      </c>
      <c r="AF1371" s="0">
        <v>0</v>
      </c>
      <c r="AG1371" s="0">
        <v>0</v>
      </c>
      <c r="AH1371" s="0" t="s">
        <v>140</v>
      </c>
      <c r="AI1371" s="0" t="s">
        <v>138</v>
      </c>
      <c r="AL1371" s="14"/>
      <c r="AN1371" s="14"/>
      <c r="AQ1371" s="0" t="s">
        <v>130</v>
      </c>
      <c r="AR1371" s="0" t="s">
        <v>130</v>
      </c>
      <c r="AS1371" s="0" t="s">
        <v>130</v>
      </c>
      <c r="AT1371" s="0" t="s">
        <v>130</v>
      </c>
      <c r="AU1371" s="0" t="s">
        <v>130</v>
      </c>
      <c r="AV1371" s="0" t="s">
        <v>130</v>
      </c>
      <c r="AW1371" s="0" t="s">
        <v>130</v>
      </c>
      <c r="AX1371" s="0" t="s">
        <v>130</v>
      </c>
      <c r="AY1371" s="0" t="s">
        <v>130</v>
      </c>
      <c r="AZ1371" s="0" t="s">
        <v>130</v>
      </c>
      <c r="BA1371" s="0" t="s">
        <v>130</v>
      </c>
      <c r="BB1371" s="0" t="s">
        <v>130</v>
      </c>
      <c r="BC1371" s="0" t="s">
        <v>130</v>
      </c>
      <c r="BD1371" s="0" t="s">
        <v>130</v>
      </c>
      <c r="BE1371" s="0" t="s">
        <v>130</v>
      </c>
      <c r="BF1371" s="0" t="s">
        <v>130</v>
      </c>
      <c r="BG1371" s="0" t="s">
        <v>130</v>
      </c>
      <c r="BH1371" s="0" t="s">
        <v>130</v>
      </c>
      <c r="BI1371" s="0" t="s">
        <v>130</v>
      </c>
      <c r="BJ1371" s="0" t="s">
        <v>130</v>
      </c>
      <c r="BK1371" s="0" t="s">
        <v>130</v>
      </c>
      <c r="BL1371" s="0" t="s">
        <v>130</v>
      </c>
      <c r="BM1371" s="0" t="s">
        <v>130</v>
      </c>
      <c r="BN1371" s="0" t="s">
        <v>130</v>
      </c>
      <c r="BO1371" s="0" t="s">
        <v>130</v>
      </c>
      <c r="BP1371" s="0" t="s">
        <v>130</v>
      </c>
      <c r="BQ1371" s="0" t="s">
        <v>130</v>
      </c>
      <c r="BR1371" s="0" t="s">
        <v>130</v>
      </c>
      <c r="BS1371" s="0" t="s">
        <v>130</v>
      </c>
      <c r="BT1371" s="0" t="s">
        <v>130</v>
      </c>
      <c r="BU1371" s="0" t="s">
        <v>130</v>
      </c>
      <c r="BV1371" s="0" t="s">
        <v>130</v>
      </c>
      <c r="BW1371" s="0" t="s">
        <v>130</v>
      </c>
      <c r="BX1371" s="0" t="s">
        <v>130</v>
      </c>
      <c r="BY1371" s="0" t="s">
        <v>130</v>
      </c>
      <c r="BZ1371" s="0" t="s">
        <v>130</v>
      </c>
      <c r="CA1371" s="0" t="s">
        <v>130</v>
      </c>
      <c r="CB1371" s="0" t="s">
        <v>130</v>
      </c>
      <c r="CC1371" s="0" t="s">
        <v>130</v>
      </c>
      <c r="CD1371" s="0" t="s">
        <v>130</v>
      </c>
      <c r="CE1371" s="0" t="s">
        <v>130</v>
      </c>
      <c r="CF1371" s="0" t="s">
        <v>130</v>
      </c>
      <c r="CG1371" s="0" t="s">
        <v>130</v>
      </c>
      <c r="CH1371" s="0" t="s">
        <v>130</v>
      </c>
      <c r="CI1371" s="0" t="s">
        <v>130</v>
      </c>
      <c r="CJ1371" s="0" t="s">
        <v>130</v>
      </c>
      <c r="CK1371" s="0" t="s">
        <v>130</v>
      </c>
      <c r="CL1371" s="0" t="s">
        <v>130</v>
      </c>
      <c r="CM1371" s="0" t="s">
        <v>130</v>
      </c>
      <c r="CN1371" s="0" t="s">
        <v>130</v>
      </c>
      <c r="CO1371" s="0" t="s">
        <v>130</v>
      </c>
      <c r="CP1371" s="0" t="s">
        <v>130</v>
      </c>
      <c r="CQ1371" s="0" t="s">
        <v>130</v>
      </c>
      <c r="CR1371" s="0" t="s">
        <v>130</v>
      </c>
      <c r="CS1371" s="0" t="s">
        <v>130</v>
      </c>
      <c r="CT1371" s="0" t="s">
        <v>4010</v>
      </c>
    </row>
    <row r="1372">
      <c r="A1372" s="14">
        <v>9268711</v>
      </c>
      <c r="B1372" s="0" t="s">
        <v>4005</v>
      </c>
      <c r="C1372" s="16">
        <f>HYPERLINK("https://eosportal.federatedhermes.com/companies/Q29tcGFueQppODU0MTQ=", "Shell PLC")</f>
      </c>
      <c r="D1372" s="0" t="s">
        <v>25</v>
      </c>
      <c r="E1372" s="0" t="s">
        <v>4011</v>
      </c>
      <c r="F1372" s="16">
        <f>HYPERLINK("https://eosportal.federatedhermes.com/engagements/RW5nYWdlbWVudAppMjc1MDE=", "Conduct, culture and ethics")</f>
      </c>
      <c r="G1372" s="14" t="s">
        <v>4011</v>
      </c>
      <c r="H1372" s="0" t="s">
        <v>141</v>
      </c>
      <c r="I1372" s="14" t="s">
        <v>191</v>
      </c>
      <c r="J1372" s="0" t="s">
        <v>153</v>
      </c>
      <c r="K1372" s="0" t="s">
        <v>185</v>
      </c>
      <c r="L1372" s="0" t="s">
        <v>186</v>
      </c>
      <c r="M1372" s="0" t="s">
        <v>272</v>
      </c>
      <c r="N1372" s="0" t="s">
        <v>273</v>
      </c>
      <c r="O1372" s="0" t="s">
        <v>542</v>
      </c>
      <c r="Q1372" s="0" t="s">
        <v>130</v>
      </c>
      <c r="R1372" s="0" t="s">
        <v>138</v>
      </c>
      <c r="S1372" s="14">
        <v>0</v>
      </c>
      <c r="T1372" s="0" t="s">
        <v>327</v>
      </c>
      <c r="U1372" s="0" t="s">
        <v>138</v>
      </c>
      <c r="V1372" s="14" t="s">
        <v>138</v>
      </c>
      <c r="W1372" s="0" t="s">
        <v>138</v>
      </c>
      <c r="X1372" s="14" t="s">
        <v>138</v>
      </c>
      <c r="Y1372" s="0" t="s">
        <v>138</v>
      </c>
      <c r="Z1372" s="14" t="s">
        <v>138</v>
      </c>
      <c r="AA1372" s="0" t="s">
        <v>138</v>
      </c>
      <c r="AB1372" s="14" t="s">
        <v>138</v>
      </c>
      <c r="AD1372" s="0" t="s">
        <v>138</v>
      </c>
      <c r="AF1372" s="0">
        <v>0</v>
      </c>
      <c r="AG1372" s="0">
        <v>0</v>
      </c>
      <c r="AH1372" s="0" t="s">
        <v>140</v>
      </c>
      <c r="AI1372" s="0" t="s">
        <v>138</v>
      </c>
      <c r="AL1372" s="14"/>
      <c r="AN1372" s="14"/>
      <c r="AQ1372" s="0" t="s">
        <v>130</v>
      </c>
      <c r="AR1372" s="0" t="s">
        <v>130</v>
      </c>
      <c r="AS1372" s="0" t="s">
        <v>130</v>
      </c>
      <c r="AT1372" s="0" t="s">
        <v>130</v>
      </c>
      <c r="AU1372" s="0" t="s">
        <v>130</v>
      </c>
      <c r="AV1372" s="0" t="s">
        <v>130</v>
      </c>
      <c r="AW1372" s="0" t="s">
        <v>130</v>
      </c>
      <c r="AX1372" s="0" t="s">
        <v>130</v>
      </c>
      <c r="AY1372" s="0" t="s">
        <v>130</v>
      </c>
      <c r="AZ1372" s="0" t="s">
        <v>130</v>
      </c>
      <c r="BA1372" s="0" t="s">
        <v>130</v>
      </c>
      <c r="BB1372" s="0" t="s">
        <v>130</v>
      </c>
      <c r="BC1372" s="0" t="s">
        <v>130</v>
      </c>
      <c r="BD1372" s="0" t="s">
        <v>130</v>
      </c>
      <c r="BE1372" s="0" t="s">
        <v>130</v>
      </c>
      <c r="BF1372" s="0" t="s">
        <v>130</v>
      </c>
      <c r="BG1372" s="0" t="s">
        <v>130</v>
      </c>
      <c r="BH1372" s="0" t="s">
        <v>130</v>
      </c>
      <c r="BI1372" s="0" t="s">
        <v>130</v>
      </c>
      <c r="BJ1372" s="0" t="s">
        <v>130</v>
      </c>
      <c r="BK1372" s="0" t="s">
        <v>130</v>
      </c>
      <c r="BL1372" s="0" t="s">
        <v>130</v>
      </c>
      <c r="BM1372" s="0" t="s">
        <v>130</v>
      </c>
      <c r="BN1372" s="0" t="s">
        <v>130</v>
      </c>
      <c r="BO1372" s="0" t="s">
        <v>130</v>
      </c>
      <c r="BP1372" s="0" t="s">
        <v>130</v>
      </c>
      <c r="BQ1372" s="0" t="s">
        <v>130</v>
      </c>
      <c r="BR1372" s="0" t="s">
        <v>130</v>
      </c>
      <c r="BS1372" s="0" t="s">
        <v>130</v>
      </c>
      <c r="BT1372" s="0" t="s">
        <v>130</v>
      </c>
      <c r="BU1372" s="0" t="s">
        <v>130</v>
      </c>
      <c r="BV1372" s="0" t="s">
        <v>130</v>
      </c>
      <c r="BW1372" s="0" t="s">
        <v>130</v>
      </c>
      <c r="BX1372" s="0" t="s">
        <v>130</v>
      </c>
      <c r="BY1372" s="0" t="s">
        <v>130</v>
      </c>
      <c r="BZ1372" s="0" t="s">
        <v>130</v>
      </c>
      <c r="CA1372" s="0" t="s">
        <v>130</v>
      </c>
      <c r="CB1372" s="0" t="s">
        <v>130</v>
      </c>
      <c r="CC1372" s="0" t="s">
        <v>130</v>
      </c>
      <c r="CD1372" s="0" t="s">
        <v>130</v>
      </c>
      <c r="CE1372" s="0" t="s">
        <v>130</v>
      </c>
      <c r="CF1372" s="0" t="s">
        <v>130</v>
      </c>
      <c r="CG1372" s="0" t="s">
        <v>130</v>
      </c>
      <c r="CH1372" s="0" t="s">
        <v>130</v>
      </c>
      <c r="CI1372" s="0" t="s">
        <v>130</v>
      </c>
      <c r="CJ1372" s="0" t="s">
        <v>130</v>
      </c>
      <c r="CK1372" s="0" t="s">
        <v>130</v>
      </c>
      <c r="CL1372" s="0" t="s">
        <v>130</v>
      </c>
      <c r="CM1372" s="0" t="s">
        <v>130</v>
      </c>
      <c r="CN1372" s="0" t="s">
        <v>130</v>
      </c>
      <c r="CO1372" s="0" t="s">
        <v>130</v>
      </c>
      <c r="CP1372" s="0" t="s">
        <v>130</v>
      </c>
      <c r="CQ1372" s="0" t="s">
        <v>130</v>
      </c>
      <c r="CR1372" s="0" t="s">
        <v>130</v>
      </c>
      <c r="CS1372" s="0" t="s">
        <v>130</v>
      </c>
      <c r="CT1372" s="0" t="s">
        <v>4012</v>
      </c>
    </row>
    <row r="1373">
      <c r="A1373" s="14">
        <v>9268711</v>
      </c>
      <c r="B1373" s="0" t="s">
        <v>4005</v>
      </c>
      <c r="C1373" s="16">
        <f>HYPERLINK("https://eosportal.federatedhermes.com/companies/Q29tcGFueQppODU0MTQ=", "Shell PLC")</f>
      </c>
      <c r="D1373" s="0" t="s">
        <v>25</v>
      </c>
      <c r="E1373" s="0" t="s">
        <v>4013</v>
      </c>
      <c r="F1373" s="16">
        <f>HYPERLINK("https://eosportal.federatedhermes.com/engagements/RW5nYWdlbWVudAppMjc1MDI=", "Worker safety")</f>
      </c>
      <c r="G1373" s="14" t="s">
        <v>4013</v>
      </c>
      <c r="H1373" s="0" t="s">
        <v>141</v>
      </c>
      <c r="I1373" s="14" t="s">
        <v>191</v>
      </c>
      <c r="J1373" s="0" t="s">
        <v>153</v>
      </c>
      <c r="K1373" s="0" t="s">
        <v>154</v>
      </c>
      <c r="L1373" s="0" t="s">
        <v>155</v>
      </c>
      <c r="M1373" s="0" t="s">
        <v>272</v>
      </c>
      <c r="N1373" s="0" t="s">
        <v>273</v>
      </c>
      <c r="O1373" s="0" t="s">
        <v>542</v>
      </c>
      <c r="Q1373" s="0" t="s">
        <v>141</v>
      </c>
      <c r="R1373" s="0" t="s">
        <v>138</v>
      </c>
      <c r="S1373" s="14">
        <v>1</v>
      </c>
      <c r="T1373" s="0" t="s">
        <v>327</v>
      </c>
      <c r="U1373" s="0" t="s">
        <v>138</v>
      </c>
      <c r="V1373" s="14" t="s">
        <v>138</v>
      </c>
      <c r="W1373" s="0" t="s">
        <v>138</v>
      </c>
      <c r="X1373" s="14" t="s">
        <v>138</v>
      </c>
      <c r="Y1373" s="0" t="s">
        <v>138</v>
      </c>
      <c r="Z1373" s="14" t="s">
        <v>138</v>
      </c>
      <c r="AA1373" s="0" t="s">
        <v>138</v>
      </c>
      <c r="AB1373" s="14" t="s">
        <v>138</v>
      </c>
      <c r="AD1373" s="0" t="s">
        <v>138</v>
      </c>
      <c r="AF1373" s="0">
        <v>0</v>
      </c>
      <c r="AG1373" s="0">
        <v>0</v>
      </c>
      <c r="AH1373" s="0" t="s">
        <v>140</v>
      </c>
      <c r="AI1373" s="0" t="s">
        <v>138</v>
      </c>
      <c r="AK1373" s="0" t="s">
        <v>847</v>
      </c>
      <c r="AL1373" s="14"/>
      <c r="AN1373" s="14"/>
      <c r="AQ1373" s="0" t="s">
        <v>130</v>
      </c>
      <c r="AR1373" s="0" t="s">
        <v>130</v>
      </c>
      <c r="AS1373" s="0" t="s">
        <v>130</v>
      </c>
      <c r="AT1373" s="0" t="s">
        <v>130</v>
      </c>
      <c r="AU1373" s="0" t="s">
        <v>130</v>
      </c>
      <c r="AV1373" s="0" t="s">
        <v>130</v>
      </c>
      <c r="AW1373" s="0" t="s">
        <v>130</v>
      </c>
      <c r="AX1373" s="0" t="s">
        <v>141</v>
      </c>
      <c r="AY1373" s="0" t="s">
        <v>130</v>
      </c>
      <c r="AZ1373" s="0" t="s">
        <v>130</v>
      </c>
      <c r="BA1373" s="0" t="s">
        <v>130</v>
      </c>
      <c r="BB1373" s="0" t="s">
        <v>130</v>
      </c>
      <c r="BC1373" s="0" t="s">
        <v>130</v>
      </c>
      <c r="BD1373" s="0" t="s">
        <v>130</v>
      </c>
      <c r="BE1373" s="0" t="s">
        <v>130</v>
      </c>
      <c r="BF1373" s="0" t="s">
        <v>130</v>
      </c>
      <c r="BG1373" s="0" t="s">
        <v>130</v>
      </c>
      <c r="BH1373" s="0" t="s">
        <v>130</v>
      </c>
      <c r="BI1373" s="0" t="s">
        <v>130</v>
      </c>
      <c r="BJ1373" s="0" t="s">
        <v>130</v>
      </c>
      <c r="BK1373" s="0" t="s">
        <v>130</v>
      </c>
      <c r="BL1373" s="0" t="s">
        <v>130</v>
      </c>
      <c r="BM1373" s="0" t="s">
        <v>130</v>
      </c>
      <c r="BN1373" s="0" t="s">
        <v>130</v>
      </c>
      <c r="BO1373" s="0" t="s">
        <v>130</v>
      </c>
      <c r="BP1373" s="0" t="s">
        <v>130</v>
      </c>
      <c r="BQ1373" s="0" t="s">
        <v>130</v>
      </c>
      <c r="BR1373" s="0" t="s">
        <v>130</v>
      </c>
      <c r="BS1373" s="0" t="s">
        <v>130</v>
      </c>
      <c r="BT1373" s="0" t="s">
        <v>130</v>
      </c>
      <c r="BU1373" s="0" t="s">
        <v>130</v>
      </c>
      <c r="BV1373" s="0" t="s">
        <v>130</v>
      </c>
      <c r="BW1373" s="0" t="s">
        <v>130</v>
      </c>
      <c r="BX1373" s="0" t="s">
        <v>130</v>
      </c>
      <c r="BY1373" s="0" t="s">
        <v>130</v>
      </c>
      <c r="BZ1373" s="0" t="s">
        <v>130</v>
      </c>
      <c r="CA1373" s="0" t="s">
        <v>130</v>
      </c>
      <c r="CB1373" s="0" t="s">
        <v>130</v>
      </c>
      <c r="CC1373" s="0" t="s">
        <v>130</v>
      </c>
      <c r="CD1373" s="0" t="s">
        <v>130</v>
      </c>
      <c r="CE1373" s="0" t="s">
        <v>130</v>
      </c>
      <c r="CF1373" s="0" t="s">
        <v>130</v>
      </c>
      <c r="CG1373" s="0" t="s">
        <v>130</v>
      </c>
      <c r="CH1373" s="0" t="s">
        <v>130</v>
      </c>
      <c r="CI1373" s="0" t="s">
        <v>141</v>
      </c>
      <c r="CJ1373" s="0" t="s">
        <v>130</v>
      </c>
      <c r="CK1373" s="0" t="s">
        <v>130</v>
      </c>
      <c r="CL1373" s="0" t="s">
        <v>130</v>
      </c>
      <c r="CM1373" s="0" t="s">
        <v>130</v>
      </c>
      <c r="CN1373" s="0" t="s">
        <v>130</v>
      </c>
      <c r="CO1373" s="0" t="s">
        <v>130</v>
      </c>
      <c r="CP1373" s="0" t="s">
        <v>130</v>
      </c>
      <c r="CQ1373" s="0" t="s">
        <v>130</v>
      </c>
      <c r="CR1373" s="0" t="s">
        <v>130</v>
      </c>
      <c r="CS1373" s="0" t="s">
        <v>130</v>
      </c>
      <c r="CT1373" s="0" t="s">
        <v>4014</v>
      </c>
    </row>
    <row r="1374">
      <c r="A1374" s="14">
        <v>9268711</v>
      </c>
      <c r="B1374" s="0" t="s">
        <v>4005</v>
      </c>
      <c r="C1374" s="16">
        <f>HYPERLINK("https://eosportal.federatedhermes.com/companies/Q29tcGFueQppODU0MTQ=", "Shell PLC")</f>
      </c>
      <c r="D1374" s="0" t="s">
        <v>25</v>
      </c>
      <c r="E1374" s="0" t="s">
        <v>4015</v>
      </c>
      <c r="F1374" s="16">
        <f>HYPERLINK("https://eosportal.federatedhermes.com/engagements/RW5nYWdlbWVudAppMjc1MDM=", "Diversity &amp; inclusion")</f>
      </c>
      <c r="G1374" s="14" t="s">
        <v>4015</v>
      </c>
      <c r="H1374" s="0" t="s">
        <v>141</v>
      </c>
      <c r="I1374" s="14" t="s">
        <v>191</v>
      </c>
      <c r="J1374" s="0" t="s">
        <v>153</v>
      </c>
      <c r="K1374" s="0" t="s">
        <v>154</v>
      </c>
      <c r="L1374" s="0" t="s">
        <v>268</v>
      </c>
      <c r="M1374" s="0" t="s">
        <v>272</v>
      </c>
      <c r="N1374" s="0" t="s">
        <v>273</v>
      </c>
      <c r="O1374" s="0" t="s">
        <v>542</v>
      </c>
      <c r="Q1374" s="0" t="s">
        <v>130</v>
      </c>
      <c r="R1374" s="0" t="s">
        <v>138</v>
      </c>
      <c r="S1374" s="14">
        <v>0</v>
      </c>
      <c r="T1374" s="0" t="s">
        <v>327</v>
      </c>
      <c r="U1374" s="0" t="s">
        <v>138</v>
      </c>
      <c r="V1374" s="14" t="s">
        <v>138</v>
      </c>
      <c r="W1374" s="0" t="s">
        <v>138</v>
      </c>
      <c r="X1374" s="14" t="s">
        <v>138</v>
      </c>
      <c r="Y1374" s="0" t="s">
        <v>138</v>
      </c>
      <c r="Z1374" s="14" t="s">
        <v>138</v>
      </c>
      <c r="AA1374" s="0" t="s">
        <v>138</v>
      </c>
      <c r="AB1374" s="14" t="s">
        <v>138</v>
      </c>
      <c r="AD1374" s="0" t="s">
        <v>138</v>
      </c>
      <c r="AF1374" s="0">
        <v>0</v>
      </c>
      <c r="AG1374" s="0">
        <v>0</v>
      </c>
      <c r="AH1374" s="0" t="s">
        <v>140</v>
      </c>
      <c r="AI1374" s="0" t="s">
        <v>138</v>
      </c>
      <c r="AL1374" s="14"/>
      <c r="AN1374" s="14"/>
      <c r="AQ1374" s="0" t="s">
        <v>130</v>
      </c>
      <c r="AR1374" s="0" t="s">
        <v>130</v>
      </c>
      <c r="AS1374" s="0" t="s">
        <v>130</v>
      </c>
      <c r="AT1374" s="0" t="s">
        <v>130</v>
      </c>
      <c r="AU1374" s="0" t="s">
        <v>130</v>
      </c>
      <c r="AV1374" s="0" t="s">
        <v>130</v>
      </c>
      <c r="AW1374" s="0" t="s">
        <v>130</v>
      </c>
      <c r="AX1374" s="0" t="s">
        <v>130</v>
      </c>
      <c r="AY1374" s="0" t="s">
        <v>130</v>
      </c>
      <c r="AZ1374" s="0" t="s">
        <v>130</v>
      </c>
      <c r="BA1374" s="0" t="s">
        <v>130</v>
      </c>
      <c r="BB1374" s="0" t="s">
        <v>130</v>
      </c>
      <c r="BC1374" s="0" t="s">
        <v>130</v>
      </c>
      <c r="BD1374" s="0" t="s">
        <v>130</v>
      </c>
      <c r="BE1374" s="0" t="s">
        <v>130</v>
      </c>
      <c r="BF1374" s="0" t="s">
        <v>130</v>
      </c>
      <c r="BG1374" s="0" t="s">
        <v>130</v>
      </c>
      <c r="BH1374" s="0" t="s">
        <v>130</v>
      </c>
      <c r="BI1374" s="0" t="s">
        <v>130</v>
      </c>
      <c r="BJ1374" s="0" t="s">
        <v>130</v>
      </c>
      <c r="BK1374" s="0" t="s">
        <v>130</v>
      </c>
      <c r="BL1374" s="0" t="s">
        <v>130</v>
      </c>
      <c r="BM1374" s="0" t="s">
        <v>130</v>
      </c>
      <c r="BN1374" s="0" t="s">
        <v>130</v>
      </c>
      <c r="BO1374" s="0" t="s">
        <v>130</v>
      </c>
      <c r="BP1374" s="0" t="s">
        <v>130</v>
      </c>
      <c r="BQ1374" s="0" t="s">
        <v>130</v>
      </c>
      <c r="BR1374" s="0" t="s">
        <v>130</v>
      </c>
      <c r="BS1374" s="0" t="s">
        <v>130</v>
      </c>
      <c r="BT1374" s="0" t="s">
        <v>130</v>
      </c>
      <c r="BU1374" s="0" t="s">
        <v>130</v>
      </c>
      <c r="BV1374" s="0" t="s">
        <v>130</v>
      </c>
      <c r="BW1374" s="0" t="s">
        <v>130</v>
      </c>
      <c r="BX1374" s="0" t="s">
        <v>130</v>
      </c>
      <c r="BY1374" s="0" t="s">
        <v>130</v>
      </c>
      <c r="BZ1374" s="0" t="s">
        <v>130</v>
      </c>
      <c r="CA1374" s="0" t="s">
        <v>130</v>
      </c>
      <c r="CB1374" s="0" t="s">
        <v>130</v>
      </c>
      <c r="CC1374" s="0" t="s">
        <v>130</v>
      </c>
      <c r="CD1374" s="0" t="s">
        <v>130</v>
      </c>
      <c r="CE1374" s="0" t="s">
        <v>130</v>
      </c>
      <c r="CF1374" s="0" t="s">
        <v>130</v>
      </c>
      <c r="CG1374" s="0" t="s">
        <v>130</v>
      </c>
      <c r="CH1374" s="0" t="s">
        <v>130</v>
      </c>
      <c r="CI1374" s="0" t="s">
        <v>130</v>
      </c>
      <c r="CJ1374" s="0" t="s">
        <v>130</v>
      </c>
      <c r="CK1374" s="0" t="s">
        <v>141</v>
      </c>
      <c r="CL1374" s="0" t="s">
        <v>130</v>
      </c>
      <c r="CM1374" s="0" t="s">
        <v>130</v>
      </c>
      <c r="CN1374" s="0" t="s">
        <v>130</v>
      </c>
      <c r="CO1374" s="0" t="s">
        <v>130</v>
      </c>
      <c r="CP1374" s="0" t="s">
        <v>130</v>
      </c>
      <c r="CQ1374" s="0" t="s">
        <v>130</v>
      </c>
      <c r="CR1374" s="0" t="s">
        <v>130</v>
      </c>
      <c r="CS1374" s="0" t="s">
        <v>130</v>
      </c>
      <c r="CT1374" s="0" t="s">
        <v>4016</v>
      </c>
    </row>
    <row r="1375">
      <c r="A1375" s="14">
        <v>9268711</v>
      </c>
      <c r="B1375" s="0" t="s">
        <v>4005</v>
      </c>
      <c r="C1375" s="16">
        <f>HYPERLINK("https://eosportal.federatedhermes.com/companies/Q29tcGFueQppODU0MTQ=", "Shell PLC")</f>
      </c>
      <c r="D1375" s="0" t="s">
        <v>25</v>
      </c>
      <c r="E1375" s="0" t="s">
        <v>968</v>
      </c>
      <c r="F1375" s="16">
        <f>HYPERLINK("https://eosportal.federatedhermes.com/engagements/RW5nYWdlbWVudAppMjc1MDQ=", "Board effectiveness")</f>
      </c>
      <c r="G1375" s="14" t="s">
        <v>4017</v>
      </c>
      <c r="H1375" s="0" t="s">
        <v>141</v>
      </c>
      <c r="I1375" s="14" t="s">
        <v>191</v>
      </c>
      <c r="J1375" s="0" t="s">
        <v>145</v>
      </c>
      <c r="K1375" s="0" t="s">
        <v>164</v>
      </c>
      <c r="L1375" s="0" t="s">
        <v>165</v>
      </c>
      <c r="M1375" s="0" t="s">
        <v>272</v>
      </c>
      <c r="N1375" s="0" t="s">
        <v>273</v>
      </c>
      <c r="O1375" s="0" t="s">
        <v>542</v>
      </c>
      <c r="Q1375" s="0" t="s">
        <v>130</v>
      </c>
      <c r="R1375" s="0" t="s">
        <v>138</v>
      </c>
      <c r="S1375" s="14">
        <v>0</v>
      </c>
      <c r="T1375" s="0" t="s">
        <v>139</v>
      </c>
      <c r="U1375" s="0" t="s">
        <v>138</v>
      </c>
      <c r="V1375" s="14" t="s">
        <v>138</v>
      </c>
      <c r="W1375" s="0" t="s">
        <v>138</v>
      </c>
      <c r="X1375" s="14" t="s">
        <v>138</v>
      </c>
      <c r="Y1375" s="0" t="s">
        <v>138</v>
      </c>
      <c r="Z1375" s="14" t="s">
        <v>138</v>
      </c>
      <c r="AA1375" s="0" t="s">
        <v>138</v>
      </c>
      <c r="AB1375" s="14" t="s">
        <v>138</v>
      </c>
      <c r="AD1375" s="0" t="s">
        <v>138</v>
      </c>
      <c r="AF1375" s="0">
        <v>0</v>
      </c>
      <c r="AG1375" s="0">
        <v>0</v>
      </c>
      <c r="AH1375" s="0" t="s">
        <v>140</v>
      </c>
      <c r="AI1375" s="0" t="s">
        <v>138</v>
      </c>
      <c r="AL1375" s="14"/>
      <c r="AN1375" s="14"/>
      <c r="AQ1375" s="0" t="s">
        <v>130</v>
      </c>
      <c r="AR1375" s="0" t="s">
        <v>130</v>
      </c>
      <c r="AS1375" s="0" t="s">
        <v>130</v>
      </c>
      <c r="AT1375" s="0" t="s">
        <v>130</v>
      </c>
      <c r="AU1375" s="0" t="s">
        <v>130</v>
      </c>
      <c r="AV1375" s="0" t="s">
        <v>130</v>
      </c>
      <c r="AW1375" s="0" t="s">
        <v>130</v>
      </c>
      <c r="AX1375" s="0" t="s">
        <v>130</v>
      </c>
      <c r="AY1375" s="0" t="s">
        <v>130</v>
      </c>
      <c r="AZ1375" s="0" t="s">
        <v>130</v>
      </c>
      <c r="BA1375" s="0" t="s">
        <v>130</v>
      </c>
      <c r="BB1375" s="0" t="s">
        <v>130</v>
      </c>
      <c r="BC1375" s="0" t="s">
        <v>130</v>
      </c>
      <c r="BD1375" s="0" t="s">
        <v>130</v>
      </c>
      <c r="BE1375" s="0" t="s">
        <v>130</v>
      </c>
      <c r="BF1375" s="0" t="s">
        <v>130</v>
      </c>
      <c r="BG1375" s="0" t="s">
        <v>130</v>
      </c>
      <c r="BH1375" s="0" t="s">
        <v>130</v>
      </c>
      <c r="BI1375" s="0" t="s">
        <v>130</v>
      </c>
      <c r="BJ1375" s="0" t="s">
        <v>130</v>
      </c>
      <c r="BK1375" s="0" t="s">
        <v>130</v>
      </c>
      <c r="BL1375" s="0" t="s">
        <v>130</v>
      </c>
      <c r="BM1375" s="0" t="s">
        <v>130</v>
      </c>
      <c r="BN1375" s="0" t="s">
        <v>130</v>
      </c>
      <c r="BO1375" s="0" t="s">
        <v>130</v>
      </c>
      <c r="BP1375" s="0" t="s">
        <v>130</v>
      </c>
      <c r="BQ1375" s="0" t="s">
        <v>130</v>
      </c>
      <c r="BR1375" s="0" t="s">
        <v>130</v>
      </c>
      <c r="BS1375" s="0" t="s">
        <v>130</v>
      </c>
      <c r="BT1375" s="0" t="s">
        <v>130</v>
      </c>
      <c r="BU1375" s="0" t="s">
        <v>130</v>
      </c>
      <c r="BV1375" s="0" t="s">
        <v>130</v>
      </c>
      <c r="BW1375" s="0" t="s">
        <v>130</v>
      </c>
      <c r="BX1375" s="0" t="s">
        <v>130</v>
      </c>
      <c r="BY1375" s="0" t="s">
        <v>130</v>
      </c>
      <c r="BZ1375" s="0" t="s">
        <v>130</v>
      </c>
      <c r="CA1375" s="0" t="s">
        <v>130</v>
      </c>
      <c r="CB1375" s="0" t="s">
        <v>130</v>
      </c>
      <c r="CC1375" s="0" t="s">
        <v>130</v>
      </c>
      <c r="CD1375" s="0" t="s">
        <v>130</v>
      </c>
      <c r="CE1375" s="0" t="s">
        <v>130</v>
      </c>
      <c r="CF1375" s="0" t="s">
        <v>130</v>
      </c>
      <c r="CG1375" s="0" t="s">
        <v>130</v>
      </c>
      <c r="CH1375" s="0" t="s">
        <v>130</v>
      </c>
      <c r="CI1375" s="0" t="s">
        <v>130</v>
      </c>
      <c r="CJ1375" s="0" t="s">
        <v>130</v>
      </c>
      <c r="CK1375" s="0" t="s">
        <v>130</v>
      </c>
      <c r="CL1375" s="0" t="s">
        <v>130</v>
      </c>
      <c r="CM1375" s="0" t="s">
        <v>130</v>
      </c>
      <c r="CN1375" s="0" t="s">
        <v>130</v>
      </c>
      <c r="CO1375" s="0" t="s">
        <v>130</v>
      </c>
      <c r="CP1375" s="0" t="s">
        <v>130</v>
      </c>
      <c r="CQ1375" s="0" t="s">
        <v>130</v>
      </c>
      <c r="CR1375" s="0" t="s">
        <v>130</v>
      </c>
      <c r="CS1375" s="0" t="s">
        <v>130</v>
      </c>
      <c r="CT1375" s="0" t="s">
        <v>4018</v>
      </c>
    </row>
    <row r="1376">
      <c r="A1376" s="14">
        <v>9268711</v>
      </c>
      <c r="B1376" s="0" t="s">
        <v>4005</v>
      </c>
      <c r="C1376" s="16">
        <f>HYPERLINK("https://eosportal.federatedhermes.com/companies/Q29tcGFueQppODU0MTQ=", "Shell PLC")</f>
      </c>
      <c r="D1376" s="0" t="s">
        <v>25</v>
      </c>
      <c r="E1376" s="0" t="s">
        <v>4019</v>
      </c>
      <c r="F1376" s="16">
        <f>HYPERLINK("https://eosportal.federatedhermes.com/engagements/RW5nYWdlbWVudAppMjc1MDU=", "Arctic drilling")</f>
      </c>
      <c r="G1376" s="14" t="s">
        <v>4020</v>
      </c>
      <c r="H1376" s="0" t="s">
        <v>141</v>
      </c>
      <c r="I1376" s="14" t="s">
        <v>191</v>
      </c>
      <c r="J1376" s="0" t="s">
        <v>132</v>
      </c>
      <c r="K1376" s="0" t="s">
        <v>260</v>
      </c>
      <c r="L1376" s="0" t="s">
        <v>261</v>
      </c>
      <c r="M1376" s="0" t="s">
        <v>272</v>
      </c>
      <c r="N1376" s="0" t="s">
        <v>273</v>
      </c>
      <c r="O1376" s="0" t="s">
        <v>542</v>
      </c>
      <c r="Q1376" s="0" t="s">
        <v>130</v>
      </c>
      <c r="R1376" s="0" t="s">
        <v>138</v>
      </c>
      <c r="S1376" s="14">
        <v>0</v>
      </c>
      <c r="T1376" s="0" t="s">
        <v>278</v>
      </c>
      <c r="U1376" s="0" t="s">
        <v>138</v>
      </c>
      <c r="V1376" s="14" t="s">
        <v>138</v>
      </c>
      <c r="W1376" s="0" t="s">
        <v>138</v>
      </c>
      <c r="X1376" s="14" t="s">
        <v>138</v>
      </c>
      <c r="Y1376" s="0" t="s">
        <v>138</v>
      </c>
      <c r="Z1376" s="14" t="s">
        <v>138</v>
      </c>
      <c r="AA1376" s="0" t="s">
        <v>138</v>
      </c>
      <c r="AB1376" s="14" t="s">
        <v>138</v>
      </c>
      <c r="AD1376" s="0" t="s">
        <v>138</v>
      </c>
      <c r="AF1376" s="0">
        <v>0</v>
      </c>
      <c r="AG1376" s="0">
        <v>0</v>
      </c>
      <c r="AH1376" s="0" t="s">
        <v>140</v>
      </c>
      <c r="AI1376" s="0" t="s">
        <v>138</v>
      </c>
      <c r="AL1376" s="14"/>
      <c r="AN1376" s="14"/>
      <c r="AQ1376" s="0" t="s">
        <v>130</v>
      </c>
      <c r="AR1376" s="0" t="s">
        <v>130</v>
      </c>
      <c r="AS1376" s="0" t="s">
        <v>130</v>
      </c>
      <c r="AT1376" s="0" t="s">
        <v>130</v>
      </c>
      <c r="AU1376" s="0" t="s">
        <v>130</v>
      </c>
      <c r="AV1376" s="0" t="s">
        <v>130</v>
      </c>
      <c r="AW1376" s="0" t="s">
        <v>130</v>
      </c>
      <c r="AX1376" s="0" t="s">
        <v>130</v>
      </c>
      <c r="AY1376" s="0" t="s">
        <v>130</v>
      </c>
      <c r="AZ1376" s="0" t="s">
        <v>130</v>
      </c>
      <c r="BA1376" s="0" t="s">
        <v>130</v>
      </c>
      <c r="BB1376" s="0" t="s">
        <v>130</v>
      </c>
      <c r="BC1376" s="0" t="s">
        <v>130</v>
      </c>
      <c r="BD1376" s="0" t="s">
        <v>130</v>
      </c>
      <c r="BE1376" s="0" t="s">
        <v>130</v>
      </c>
      <c r="BF1376" s="0" t="s">
        <v>130</v>
      </c>
      <c r="BG1376" s="0" t="s">
        <v>130</v>
      </c>
      <c r="BH1376" s="0" t="s">
        <v>130</v>
      </c>
      <c r="BI1376" s="0" t="s">
        <v>130</v>
      </c>
      <c r="BJ1376" s="0" t="s">
        <v>130</v>
      </c>
      <c r="BK1376" s="0" t="s">
        <v>130</v>
      </c>
      <c r="BL1376" s="0" t="s">
        <v>130</v>
      </c>
      <c r="BM1376" s="0" t="s">
        <v>130</v>
      </c>
      <c r="BN1376" s="0" t="s">
        <v>130</v>
      </c>
      <c r="BO1376" s="0" t="s">
        <v>130</v>
      </c>
      <c r="BP1376" s="0" t="s">
        <v>130</v>
      </c>
      <c r="BQ1376" s="0" t="s">
        <v>130</v>
      </c>
      <c r="BR1376" s="0" t="s">
        <v>130</v>
      </c>
      <c r="BS1376" s="0" t="s">
        <v>130</v>
      </c>
      <c r="BT1376" s="0" t="s">
        <v>130</v>
      </c>
      <c r="BU1376" s="0" t="s">
        <v>130</v>
      </c>
      <c r="BV1376" s="0" t="s">
        <v>130</v>
      </c>
      <c r="BW1376" s="0" t="s">
        <v>130</v>
      </c>
      <c r="BX1376" s="0" t="s">
        <v>130</v>
      </c>
      <c r="BY1376" s="0" t="s">
        <v>130</v>
      </c>
      <c r="BZ1376" s="0" t="s">
        <v>130</v>
      </c>
      <c r="CA1376" s="0" t="s">
        <v>130</v>
      </c>
      <c r="CB1376" s="0" t="s">
        <v>130</v>
      </c>
      <c r="CC1376" s="0" t="s">
        <v>130</v>
      </c>
      <c r="CD1376" s="0" t="s">
        <v>130</v>
      </c>
      <c r="CE1376" s="0" t="s">
        <v>130</v>
      </c>
      <c r="CF1376" s="0" t="s">
        <v>130</v>
      </c>
      <c r="CG1376" s="0" t="s">
        <v>130</v>
      </c>
      <c r="CH1376" s="0" t="s">
        <v>130</v>
      </c>
      <c r="CI1376" s="0" t="s">
        <v>130</v>
      </c>
      <c r="CJ1376" s="0" t="s">
        <v>130</v>
      </c>
      <c r="CK1376" s="0" t="s">
        <v>130</v>
      </c>
      <c r="CL1376" s="0" t="s">
        <v>130</v>
      </c>
      <c r="CM1376" s="0" t="s">
        <v>130</v>
      </c>
      <c r="CN1376" s="0" t="s">
        <v>130</v>
      </c>
      <c r="CO1376" s="0" t="s">
        <v>130</v>
      </c>
      <c r="CP1376" s="0" t="s">
        <v>130</v>
      </c>
      <c r="CQ1376" s="0" t="s">
        <v>130</v>
      </c>
      <c r="CR1376" s="0" t="s">
        <v>130</v>
      </c>
      <c r="CS1376" s="0" t="s">
        <v>130</v>
      </c>
      <c r="CT1376" s="0" t="s">
        <v>4021</v>
      </c>
    </row>
    <row r="1377">
      <c r="A1377" s="14">
        <v>9268711</v>
      </c>
      <c r="B1377" s="0" t="s">
        <v>4005</v>
      </c>
      <c r="C1377" s="16">
        <f>HYPERLINK("https://eosportal.federatedhermes.com/companies/Q29tcGFueQppODU0MTQ=", "Shell PLC")</f>
      </c>
      <c r="D1377" s="0" t="s">
        <v>23</v>
      </c>
      <c r="E1377" s="0" t="s">
        <v>4022</v>
      </c>
      <c r="F1377" s="16">
        <f>HYPERLINK("https://eosportal.federatedhermes.com/engagements/RW5nYWdlbWVudAppMjc1MTY=", "Climate targets aligned to 1.5 degrees")</f>
      </c>
      <c r="G1377" s="14" t="s">
        <v>4023</v>
      </c>
      <c r="H1377" s="0" t="s">
        <v>141</v>
      </c>
      <c r="I1377" s="14" t="s">
        <v>191</v>
      </c>
      <c r="J1377" s="0" t="s">
        <v>197</v>
      </c>
      <c r="K1377" s="0" t="s">
        <v>198</v>
      </c>
      <c r="L1377" s="0" t="s">
        <v>216</v>
      </c>
      <c r="M1377" s="0" t="s">
        <v>272</v>
      </c>
      <c r="N1377" s="0" t="s">
        <v>273</v>
      </c>
      <c r="O1377" s="0" t="s">
        <v>542</v>
      </c>
      <c r="Q1377" s="0" t="s">
        <v>130</v>
      </c>
      <c r="R1377" s="0" t="s">
        <v>130</v>
      </c>
      <c r="S1377" s="14">
        <v>0</v>
      </c>
      <c r="T1377" s="0" t="s">
        <v>355</v>
      </c>
      <c r="U1377" s="0" t="s">
        <v>221</v>
      </c>
      <c r="V1377" s="14" t="s">
        <v>355</v>
      </c>
      <c r="W1377" s="0" t="s">
        <v>221</v>
      </c>
      <c r="X1377" s="14" t="s">
        <v>327</v>
      </c>
      <c r="Y1377" s="0" t="s">
        <v>221</v>
      </c>
      <c r="Z1377" s="14" t="s">
        <v>2629</v>
      </c>
      <c r="AA1377" s="0" t="s">
        <v>223</v>
      </c>
      <c r="AB1377" s="14" t="s">
        <v>138</v>
      </c>
      <c r="AD1377" s="0" t="s">
        <v>20</v>
      </c>
      <c r="AF1377" s="0">
        <v>0</v>
      </c>
      <c r="AG1377" s="0">
        <v>0</v>
      </c>
      <c r="AH1377" s="0" t="s">
        <v>140</v>
      </c>
      <c r="AI1377" s="0" t="s">
        <v>232</v>
      </c>
      <c r="AL1377" s="14"/>
      <c r="AN1377" s="14"/>
      <c r="AQ1377" s="0" t="s">
        <v>130</v>
      </c>
      <c r="AR1377" s="0" t="s">
        <v>130</v>
      </c>
      <c r="AS1377" s="0" t="s">
        <v>130</v>
      </c>
      <c r="AT1377" s="0" t="s">
        <v>130</v>
      </c>
      <c r="AU1377" s="0" t="s">
        <v>130</v>
      </c>
      <c r="AV1377" s="0" t="s">
        <v>130</v>
      </c>
      <c r="AW1377" s="0" t="s">
        <v>141</v>
      </c>
      <c r="AX1377" s="0" t="s">
        <v>130</v>
      </c>
      <c r="AY1377" s="0" t="s">
        <v>130</v>
      </c>
      <c r="AZ1377" s="0" t="s">
        <v>130</v>
      </c>
      <c r="BA1377" s="0" t="s">
        <v>130</v>
      </c>
      <c r="BB1377" s="0" t="s">
        <v>130</v>
      </c>
      <c r="BC1377" s="0" t="s">
        <v>141</v>
      </c>
      <c r="BD1377" s="0" t="s">
        <v>130</v>
      </c>
      <c r="BE1377" s="0" t="s">
        <v>130</v>
      </c>
      <c r="BF1377" s="0" t="s">
        <v>130</v>
      </c>
      <c r="BG1377" s="0" t="s">
        <v>130</v>
      </c>
      <c r="BH1377" s="0" t="s">
        <v>141</v>
      </c>
      <c r="BI1377" s="0" t="s">
        <v>141</v>
      </c>
      <c r="BJ1377" s="0" t="s">
        <v>141</v>
      </c>
      <c r="BK1377" s="0" t="s">
        <v>130</v>
      </c>
      <c r="BL1377" s="0" t="s">
        <v>130</v>
      </c>
      <c r="BM1377" s="0" t="s">
        <v>130</v>
      </c>
      <c r="BN1377" s="0" t="s">
        <v>130</v>
      </c>
      <c r="BO1377" s="0" t="s">
        <v>130</v>
      </c>
      <c r="BP1377" s="0" t="s">
        <v>130</v>
      </c>
      <c r="BQ1377" s="0" t="s">
        <v>130</v>
      </c>
      <c r="BR1377" s="0" t="s">
        <v>130</v>
      </c>
      <c r="BS1377" s="0" t="s">
        <v>130</v>
      </c>
      <c r="BT1377" s="0" t="s">
        <v>130</v>
      </c>
      <c r="BU1377" s="0" t="s">
        <v>130</v>
      </c>
      <c r="BV1377" s="0" t="s">
        <v>141</v>
      </c>
      <c r="BW1377" s="0" t="s">
        <v>141</v>
      </c>
      <c r="BX1377" s="0" t="s">
        <v>130</v>
      </c>
      <c r="BY1377" s="0" t="s">
        <v>130</v>
      </c>
      <c r="BZ1377" s="0" t="s">
        <v>130</v>
      </c>
      <c r="CA1377" s="0" t="s">
        <v>130</v>
      </c>
      <c r="CB1377" s="0" t="s">
        <v>130</v>
      </c>
      <c r="CC1377" s="0" t="s">
        <v>130</v>
      </c>
      <c r="CD1377" s="0" t="s">
        <v>130</v>
      </c>
      <c r="CE1377" s="0" t="s">
        <v>130</v>
      </c>
      <c r="CF1377" s="0" t="s">
        <v>130</v>
      </c>
      <c r="CG1377" s="0" t="s">
        <v>130</v>
      </c>
      <c r="CH1377" s="0" t="s">
        <v>130</v>
      </c>
      <c r="CI1377" s="0" t="s">
        <v>130</v>
      </c>
      <c r="CJ1377" s="0" t="s">
        <v>130</v>
      </c>
      <c r="CK1377" s="0" t="s">
        <v>130</v>
      </c>
      <c r="CL1377" s="0" t="s">
        <v>130</v>
      </c>
      <c r="CM1377" s="0" t="s">
        <v>130</v>
      </c>
      <c r="CN1377" s="0" t="s">
        <v>130</v>
      </c>
      <c r="CO1377" s="0" t="s">
        <v>130</v>
      </c>
      <c r="CP1377" s="0" t="s">
        <v>130</v>
      </c>
      <c r="CQ1377" s="0" t="s">
        <v>130</v>
      </c>
      <c r="CR1377" s="0" t="s">
        <v>130</v>
      </c>
      <c r="CS1377" s="0" t="s">
        <v>130</v>
      </c>
      <c r="CT1377" s="0" t="s">
        <v>4024</v>
      </c>
    </row>
    <row r="1378">
      <c r="A1378" s="14">
        <v>9268711</v>
      </c>
      <c r="B1378" s="0" t="s">
        <v>4005</v>
      </c>
      <c r="C1378" s="16">
        <f>HYPERLINK("https://eosportal.federatedhermes.com/companies/Q29tcGFueQppODU0MTQ=", "Shell PLC")</f>
      </c>
      <c r="D1378" s="0" t="s">
        <v>25</v>
      </c>
      <c r="E1378" s="0" t="s">
        <v>3381</v>
      </c>
      <c r="F1378" s="16">
        <f>HYPERLINK("https://eosportal.federatedhermes.com/engagements/RW5nYWdlbWVudAppMjc1MjA=", "Carbon reduction targets")</f>
      </c>
      <c r="G1378" s="14" t="s">
        <v>4025</v>
      </c>
      <c r="H1378" s="0" t="s">
        <v>141</v>
      </c>
      <c r="I1378" s="14" t="s">
        <v>191</v>
      </c>
      <c r="J1378" s="0" t="s">
        <v>153</v>
      </c>
      <c r="K1378" s="0" t="s">
        <v>154</v>
      </c>
      <c r="L1378" s="0" t="s">
        <v>155</v>
      </c>
      <c r="M1378" s="0" t="s">
        <v>272</v>
      </c>
      <c r="N1378" s="0" t="s">
        <v>273</v>
      </c>
      <c r="O1378" s="0" t="s">
        <v>542</v>
      </c>
      <c r="Q1378" s="0" t="s">
        <v>130</v>
      </c>
      <c r="R1378" s="0" t="s">
        <v>138</v>
      </c>
      <c r="S1378" s="14">
        <v>0</v>
      </c>
      <c r="T1378" s="0" t="s">
        <v>181</v>
      </c>
      <c r="U1378" s="0" t="s">
        <v>138</v>
      </c>
      <c r="V1378" s="14" t="s">
        <v>138</v>
      </c>
      <c r="W1378" s="0" t="s">
        <v>138</v>
      </c>
      <c r="X1378" s="14" t="s">
        <v>138</v>
      </c>
      <c r="Y1378" s="0" t="s">
        <v>138</v>
      </c>
      <c r="Z1378" s="14" t="s">
        <v>138</v>
      </c>
      <c r="AA1378" s="0" t="s">
        <v>138</v>
      </c>
      <c r="AB1378" s="14" t="s">
        <v>138</v>
      </c>
      <c r="AD1378" s="0" t="s">
        <v>138</v>
      </c>
      <c r="AF1378" s="0">
        <v>0</v>
      </c>
      <c r="AG1378" s="0">
        <v>0</v>
      </c>
      <c r="AH1378" s="0" t="s">
        <v>140</v>
      </c>
      <c r="AI1378" s="0" t="s">
        <v>138</v>
      </c>
      <c r="AL1378" s="14"/>
      <c r="AN1378" s="14"/>
      <c r="AQ1378" s="0" t="s">
        <v>130</v>
      </c>
      <c r="AR1378" s="0" t="s">
        <v>130</v>
      </c>
      <c r="AS1378" s="0" t="s">
        <v>130</v>
      </c>
      <c r="AT1378" s="0" t="s">
        <v>130</v>
      </c>
      <c r="AU1378" s="0" t="s">
        <v>130</v>
      </c>
      <c r="AV1378" s="0" t="s">
        <v>130</v>
      </c>
      <c r="AW1378" s="0" t="s">
        <v>130</v>
      </c>
      <c r="AX1378" s="0" t="s">
        <v>130</v>
      </c>
      <c r="AY1378" s="0" t="s">
        <v>130</v>
      </c>
      <c r="AZ1378" s="0" t="s">
        <v>130</v>
      </c>
      <c r="BA1378" s="0" t="s">
        <v>130</v>
      </c>
      <c r="BB1378" s="0" t="s">
        <v>130</v>
      </c>
      <c r="BC1378" s="0" t="s">
        <v>130</v>
      </c>
      <c r="BD1378" s="0" t="s">
        <v>130</v>
      </c>
      <c r="BE1378" s="0" t="s">
        <v>130</v>
      </c>
      <c r="BF1378" s="0" t="s">
        <v>130</v>
      </c>
      <c r="BG1378" s="0" t="s">
        <v>130</v>
      </c>
      <c r="BH1378" s="0" t="s">
        <v>130</v>
      </c>
      <c r="BI1378" s="0" t="s">
        <v>130</v>
      </c>
      <c r="BJ1378" s="0" t="s">
        <v>130</v>
      </c>
      <c r="BK1378" s="0" t="s">
        <v>130</v>
      </c>
      <c r="BL1378" s="0" t="s">
        <v>130</v>
      </c>
      <c r="BM1378" s="0" t="s">
        <v>130</v>
      </c>
      <c r="BN1378" s="0" t="s">
        <v>130</v>
      </c>
      <c r="BO1378" s="0" t="s">
        <v>130</v>
      </c>
      <c r="BP1378" s="0" t="s">
        <v>130</v>
      </c>
      <c r="BQ1378" s="0" t="s">
        <v>130</v>
      </c>
      <c r="BR1378" s="0" t="s">
        <v>130</v>
      </c>
      <c r="BS1378" s="0" t="s">
        <v>130</v>
      </c>
      <c r="BT1378" s="0" t="s">
        <v>130</v>
      </c>
      <c r="BU1378" s="0" t="s">
        <v>130</v>
      </c>
      <c r="BV1378" s="0" t="s">
        <v>130</v>
      </c>
      <c r="BW1378" s="0" t="s">
        <v>130</v>
      </c>
      <c r="BX1378" s="0" t="s">
        <v>130</v>
      </c>
      <c r="BY1378" s="0" t="s">
        <v>130</v>
      </c>
      <c r="BZ1378" s="0" t="s">
        <v>130</v>
      </c>
      <c r="CA1378" s="0" t="s">
        <v>130</v>
      </c>
      <c r="CB1378" s="0" t="s">
        <v>130</v>
      </c>
      <c r="CC1378" s="0" t="s">
        <v>130</v>
      </c>
      <c r="CD1378" s="0" t="s">
        <v>130</v>
      </c>
      <c r="CE1378" s="0" t="s">
        <v>130</v>
      </c>
      <c r="CF1378" s="0" t="s">
        <v>130</v>
      </c>
      <c r="CG1378" s="0" t="s">
        <v>130</v>
      </c>
      <c r="CH1378" s="0" t="s">
        <v>130</v>
      </c>
      <c r="CI1378" s="0" t="s">
        <v>141</v>
      </c>
      <c r="CJ1378" s="0" t="s">
        <v>130</v>
      </c>
      <c r="CK1378" s="0" t="s">
        <v>130</v>
      </c>
      <c r="CL1378" s="0" t="s">
        <v>130</v>
      </c>
      <c r="CM1378" s="0" t="s">
        <v>130</v>
      </c>
      <c r="CN1378" s="0" t="s">
        <v>130</v>
      </c>
      <c r="CO1378" s="0" t="s">
        <v>130</v>
      </c>
      <c r="CP1378" s="0" t="s">
        <v>130</v>
      </c>
      <c r="CQ1378" s="0" t="s">
        <v>130</v>
      </c>
      <c r="CR1378" s="0" t="s">
        <v>130</v>
      </c>
      <c r="CS1378" s="0" t="s">
        <v>130</v>
      </c>
      <c r="CT1378" s="0" t="s">
        <v>4026</v>
      </c>
    </row>
    <row r="1379">
      <c r="A1379" s="14">
        <v>9268711</v>
      </c>
      <c r="B1379" s="0" t="s">
        <v>4005</v>
      </c>
      <c r="C1379" s="16">
        <f>HYPERLINK("https://eosportal.federatedhermes.com/companies/Q29tcGFueQppODU0MTQ=", "Shell PLC")</f>
      </c>
      <c r="D1379" s="0" t="s">
        <v>25</v>
      </c>
      <c r="E1379" s="0" t="s">
        <v>918</v>
      </c>
      <c r="F1379" s="16">
        <f>HYPERLINK("https://eosportal.federatedhermes.com/engagements/RW5nYWdlbWVudAppMjc1MjE=", "Controversy linked to UNGC Principle 7: Approach to environmental challenges")</f>
      </c>
      <c r="G1379" s="14" t="s">
        <v>4027</v>
      </c>
      <c r="H1379" s="0" t="s">
        <v>141</v>
      </c>
      <c r="I1379" s="14" t="s">
        <v>191</v>
      </c>
      <c r="J1379" s="0" t="s">
        <v>153</v>
      </c>
      <c r="K1379" s="0" t="s">
        <v>243</v>
      </c>
      <c r="L1379" s="0" t="s">
        <v>456</v>
      </c>
      <c r="M1379" s="0" t="s">
        <v>272</v>
      </c>
      <c r="N1379" s="0" t="s">
        <v>273</v>
      </c>
      <c r="O1379" s="0" t="s">
        <v>542</v>
      </c>
      <c r="Q1379" s="0" t="s">
        <v>141</v>
      </c>
      <c r="R1379" s="0" t="s">
        <v>138</v>
      </c>
      <c r="S1379" s="14">
        <v>1</v>
      </c>
      <c r="T1379" s="0" t="s">
        <v>1011</v>
      </c>
      <c r="U1379" s="0" t="s">
        <v>138</v>
      </c>
      <c r="V1379" s="14" t="s">
        <v>138</v>
      </c>
      <c r="W1379" s="0" t="s">
        <v>138</v>
      </c>
      <c r="X1379" s="14" t="s">
        <v>138</v>
      </c>
      <c r="Y1379" s="0" t="s">
        <v>138</v>
      </c>
      <c r="Z1379" s="14" t="s">
        <v>138</v>
      </c>
      <c r="AA1379" s="0" t="s">
        <v>138</v>
      </c>
      <c r="AB1379" s="14" t="s">
        <v>138</v>
      </c>
      <c r="AD1379" s="0" t="s">
        <v>138</v>
      </c>
      <c r="AF1379" s="0">
        <v>0</v>
      </c>
      <c r="AG1379" s="0">
        <v>0</v>
      </c>
      <c r="AH1379" s="0" t="s">
        <v>140</v>
      </c>
      <c r="AI1379" s="0" t="s">
        <v>138</v>
      </c>
      <c r="AK1379" s="0" t="s">
        <v>2795</v>
      </c>
      <c r="AL1379" s="14"/>
      <c r="AN1379" s="14"/>
      <c r="AQ1379" s="0" t="s">
        <v>130</v>
      </c>
      <c r="AR1379" s="0" t="s">
        <v>130</v>
      </c>
      <c r="AS1379" s="0" t="s">
        <v>130</v>
      </c>
      <c r="AT1379" s="0" t="s">
        <v>130</v>
      </c>
      <c r="AU1379" s="0" t="s">
        <v>130</v>
      </c>
      <c r="AV1379" s="0" t="s">
        <v>130</v>
      </c>
      <c r="AW1379" s="0" t="s">
        <v>130</v>
      </c>
      <c r="AX1379" s="0" t="s">
        <v>141</v>
      </c>
      <c r="AY1379" s="0" t="s">
        <v>130</v>
      </c>
      <c r="AZ1379" s="0" t="s">
        <v>130</v>
      </c>
      <c r="BA1379" s="0" t="s">
        <v>130</v>
      </c>
      <c r="BB1379" s="0" t="s">
        <v>130</v>
      </c>
      <c r="BC1379" s="0" t="s">
        <v>130</v>
      </c>
      <c r="BD1379" s="0" t="s">
        <v>130</v>
      </c>
      <c r="BE1379" s="0" t="s">
        <v>130</v>
      </c>
      <c r="BF1379" s="0" t="s">
        <v>141</v>
      </c>
      <c r="BG1379" s="0" t="s">
        <v>130</v>
      </c>
      <c r="BH1379" s="0" t="s">
        <v>130</v>
      </c>
      <c r="BI1379" s="0" t="s">
        <v>130</v>
      </c>
      <c r="BJ1379" s="0" t="s">
        <v>130</v>
      </c>
      <c r="BK1379" s="0" t="s">
        <v>130</v>
      </c>
      <c r="BL1379" s="0" t="s">
        <v>130</v>
      </c>
      <c r="BM1379" s="0" t="s">
        <v>130</v>
      </c>
      <c r="BN1379" s="0" t="s">
        <v>130</v>
      </c>
      <c r="BO1379" s="0" t="s">
        <v>130</v>
      </c>
      <c r="BP1379" s="0" t="s">
        <v>141</v>
      </c>
      <c r="BQ1379" s="0" t="s">
        <v>130</v>
      </c>
      <c r="BR1379" s="0" t="s">
        <v>130</v>
      </c>
      <c r="BS1379" s="0" t="s">
        <v>130</v>
      </c>
      <c r="BT1379" s="0" t="s">
        <v>130</v>
      </c>
      <c r="BU1379" s="0" t="s">
        <v>130</v>
      </c>
      <c r="BV1379" s="0" t="s">
        <v>130</v>
      </c>
      <c r="BW1379" s="0" t="s">
        <v>130</v>
      </c>
      <c r="BX1379" s="0" t="s">
        <v>130</v>
      </c>
      <c r="BY1379" s="0" t="s">
        <v>130</v>
      </c>
      <c r="BZ1379" s="0" t="s">
        <v>130</v>
      </c>
      <c r="CA1379" s="0" t="s">
        <v>130</v>
      </c>
      <c r="CB1379" s="0" t="s">
        <v>130</v>
      </c>
      <c r="CC1379" s="0" t="s">
        <v>130</v>
      </c>
      <c r="CD1379" s="0" t="s">
        <v>130</v>
      </c>
      <c r="CE1379" s="0" t="s">
        <v>130</v>
      </c>
      <c r="CF1379" s="0" t="s">
        <v>130</v>
      </c>
      <c r="CG1379" s="0" t="s">
        <v>130</v>
      </c>
      <c r="CH1379" s="0" t="s">
        <v>130</v>
      </c>
      <c r="CI1379" s="0" t="s">
        <v>130</v>
      </c>
      <c r="CJ1379" s="0" t="s">
        <v>130</v>
      </c>
      <c r="CK1379" s="0" t="s">
        <v>130</v>
      </c>
      <c r="CL1379" s="0" t="s">
        <v>130</v>
      </c>
      <c r="CM1379" s="0" t="s">
        <v>130</v>
      </c>
      <c r="CN1379" s="0" t="s">
        <v>130</v>
      </c>
      <c r="CO1379" s="0" t="s">
        <v>130</v>
      </c>
      <c r="CP1379" s="0" t="s">
        <v>130</v>
      </c>
      <c r="CQ1379" s="0" t="s">
        <v>130</v>
      </c>
      <c r="CR1379" s="0" t="s">
        <v>130</v>
      </c>
      <c r="CS1379" s="0" t="s">
        <v>130</v>
      </c>
      <c r="CT1379" s="0" t="s">
        <v>4028</v>
      </c>
    </row>
    <row r="1380">
      <c r="A1380" s="14">
        <v>9268711</v>
      </c>
      <c r="B1380" s="0" t="s">
        <v>4005</v>
      </c>
      <c r="C1380" s="16">
        <f>HYPERLINK("https://eosportal.federatedhermes.com/companies/Q29tcGFueQppODU0MTQ=", "Shell PLC")</f>
      </c>
      <c r="D1380" s="0" t="s">
        <v>25</v>
      </c>
      <c r="E1380" s="0" t="s">
        <v>2868</v>
      </c>
      <c r="F1380" s="16">
        <f>HYPERLINK("https://eosportal.federatedhermes.com/engagements/RW5nYWdlbWVudAppMjc1MjI=", "Bribery and Corruption")</f>
      </c>
      <c r="G1380" s="14" t="s">
        <v>4029</v>
      </c>
      <c r="H1380" s="0" t="s">
        <v>141</v>
      </c>
      <c r="I1380" s="14" t="s">
        <v>191</v>
      </c>
      <c r="J1380" s="0" t="s">
        <v>153</v>
      </c>
      <c r="K1380" s="0" t="s">
        <v>185</v>
      </c>
      <c r="L1380" s="0" t="s">
        <v>871</v>
      </c>
      <c r="M1380" s="0" t="s">
        <v>272</v>
      </c>
      <c r="N1380" s="0" t="s">
        <v>273</v>
      </c>
      <c r="O1380" s="0" t="s">
        <v>542</v>
      </c>
      <c r="Q1380" s="0" t="s">
        <v>130</v>
      </c>
      <c r="R1380" s="0" t="s">
        <v>138</v>
      </c>
      <c r="S1380" s="14">
        <v>0</v>
      </c>
      <c r="T1380" s="0" t="s">
        <v>825</v>
      </c>
      <c r="U1380" s="0" t="s">
        <v>138</v>
      </c>
      <c r="V1380" s="14" t="s">
        <v>138</v>
      </c>
      <c r="W1380" s="0" t="s">
        <v>138</v>
      </c>
      <c r="X1380" s="14" t="s">
        <v>138</v>
      </c>
      <c r="Y1380" s="0" t="s">
        <v>138</v>
      </c>
      <c r="Z1380" s="14" t="s">
        <v>138</v>
      </c>
      <c r="AA1380" s="0" t="s">
        <v>138</v>
      </c>
      <c r="AB1380" s="14" t="s">
        <v>138</v>
      </c>
      <c r="AD1380" s="0" t="s">
        <v>138</v>
      </c>
      <c r="AF1380" s="0">
        <v>0</v>
      </c>
      <c r="AG1380" s="0">
        <v>0</v>
      </c>
      <c r="AH1380" s="0" t="s">
        <v>140</v>
      </c>
      <c r="AI1380" s="0" t="s">
        <v>138</v>
      </c>
      <c r="AL1380" s="14"/>
      <c r="AN1380" s="14"/>
      <c r="AQ1380" s="0" t="s">
        <v>130</v>
      </c>
      <c r="AR1380" s="0" t="s">
        <v>130</v>
      </c>
      <c r="AS1380" s="0" t="s">
        <v>130</v>
      </c>
      <c r="AT1380" s="0" t="s">
        <v>130</v>
      </c>
      <c r="AU1380" s="0" t="s">
        <v>130</v>
      </c>
      <c r="AV1380" s="0" t="s">
        <v>130</v>
      </c>
      <c r="AW1380" s="0" t="s">
        <v>130</v>
      </c>
      <c r="AX1380" s="0" t="s">
        <v>130</v>
      </c>
      <c r="AY1380" s="0" t="s">
        <v>130</v>
      </c>
      <c r="AZ1380" s="0" t="s">
        <v>130</v>
      </c>
      <c r="BA1380" s="0" t="s">
        <v>130</v>
      </c>
      <c r="BB1380" s="0" t="s">
        <v>130</v>
      </c>
      <c r="BC1380" s="0" t="s">
        <v>130</v>
      </c>
      <c r="BD1380" s="0" t="s">
        <v>130</v>
      </c>
      <c r="BE1380" s="0" t="s">
        <v>130</v>
      </c>
      <c r="BF1380" s="0" t="s">
        <v>141</v>
      </c>
      <c r="BG1380" s="0" t="s">
        <v>130</v>
      </c>
      <c r="BH1380" s="0" t="s">
        <v>130</v>
      </c>
      <c r="BI1380" s="0" t="s">
        <v>130</v>
      </c>
      <c r="BJ1380" s="0" t="s">
        <v>130</v>
      </c>
      <c r="BK1380" s="0" t="s">
        <v>130</v>
      </c>
      <c r="BL1380" s="0" t="s">
        <v>130</v>
      </c>
      <c r="BM1380" s="0" t="s">
        <v>130</v>
      </c>
      <c r="BN1380" s="0" t="s">
        <v>130</v>
      </c>
      <c r="BO1380" s="0" t="s">
        <v>130</v>
      </c>
      <c r="BP1380" s="0" t="s">
        <v>130</v>
      </c>
      <c r="BQ1380" s="0" t="s">
        <v>130</v>
      </c>
      <c r="BR1380" s="0" t="s">
        <v>130</v>
      </c>
      <c r="BS1380" s="0" t="s">
        <v>130</v>
      </c>
      <c r="BT1380" s="0" t="s">
        <v>130</v>
      </c>
      <c r="BU1380" s="0" t="s">
        <v>130</v>
      </c>
      <c r="BV1380" s="0" t="s">
        <v>130</v>
      </c>
      <c r="BW1380" s="0" t="s">
        <v>130</v>
      </c>
      <c r="BX1380" s="0" t="s">
        <v>130</v>
      </c>
      <c r="BY1380" s="0" t="s">
        <v>130</v>
      </c>
      <c r="BZ1380" s="0" t="s">
        <v>130</v>
      </c>
      <c r="CA1380" s="0" t="s">
        <v>130</v>
      </c>
      <c r="CB1380" s="0" t="s">
        <v>130</v>
      </c>
      <c r="CC1380" s="0" t="s">
        <v>130</v>
      </c>
      <c r="CD1380" s="0" t="s">
        <v>130</v>
      </c>
      <c r="CE1380" s="0" t="s">
        <v>130</v>
      </c>
      <c r="CF1380" s="0" t="s">
        <v>130</v>
      </c>
      <c r="CG1380" s="0" t="s">
        <v>130</v>
      </c>
      <c r="CH1380" s="0" t="s">
        <v>130</v>
      </c>
      <c r="CI1380" s="0" t="s">
        <v>130</v>
      </c>
      <c r="CJ1380" s="0" t="s">
        <v>130</v>
      </c>
      <c r="CK1380" s="0" t="s">
        <v>130</v>
      </c>
      <c r="CL1380" s="0" t="s">
        <v>130</v>
      </c>
      <c r="CM1380" s="0" t="s">
        <v>130</v>
      </c>
      <c r="CN1380" s="0" t="s">
        <v>130</v>
      </c>
      <c r="CO1380" s="0" t="s">
        <v>130</v>
      </c>
      <c r="CP1380" s="0" t="s">
        <v>130</v>
      </c>
      <c r="CQ1380" s="0" t="s">
        <v>141</v>
      </c>
      <c r="CR1380" s="0" t="s">
        <v>141</v>
      </c>
      <c r="CS1380" s="0" t="s">
        <v>141</v>
      </c>
      <c r="CT1380" s="0" t="s">
        <v>4030</v>
      </c>
    </row>
    <row r="1381">
      <c r="A1381" s="14">
        <v>9268711</v>
      </c>
      <c r="B1381" s="0" t="s">
        <v>4005</v>
      </c>
      <c r="C1381" s="16">
        <f>HYPERLINK("https://eosportal.federatedhermes.com/companies/Q29tcGFueQppODU0MTQ=", "Shell PLC")</f>
      </c>
      <c r="D1381" s="0" t="s">
        <v>25</v>
      </c>
      <c r="E1381" s="0" t="s">
        <v>1663</v>
      </c>
      <c r="F1381" s="16">
        <f>HYPERLINK("https://eosportal.federatedhermes.com/engagements/RW5nYWdlbWVudAppMjc1MjM=", "Stranded assets risk management")</f>
      </c>
      <c r="G1381" s="14" t="s">
        <v>1664</v>
      </c>
      <c r="H1381" s="0" t="s">
        <v>141</v>
      </c>
      <c r="I1381" s="14" t="s">
        <v>191</v>
      </c>
      <c r="J1381" s="0" t="s">
        <v>197</v>
      </c>
      <c r="K1381" s="0" t="s">
        <v>198</v>
      </c>
      <c r="L1381" s="0" t="s">
        <v>199</v>
      </c>
      <c r="M1381" s="0" t="s">
        <v>272</v>
      </c>
      <c r="N1381" s="0" t="s">
        <v>273</v>
      </c>
      <c r="O1381" s="0" t="s">
        <v>542</v>
      </c>
      <c r="Q1381" s="0" t="s">
        <v>130</v>
      </c>
      <c r="R1381" s="0" t="s">
        <v>138</v>
      </c>
      <c r="S1381" s="14">
        <v>0</v>
      </c>
      <c r="T1381" s="0" t="s">
        <v>1011</v>
      </c>
      <c r="U1381" s="0" t="s">
        <v>138</v>
      </c>
      <c r="V1381" s="14" t="s">
        <v>138</v>
      </c>
      <c r="W1381" s="0" t="s">
        <v>138</v>
      </c>
      <c r="X1381" s="14" t="s">
        <v>138</v>
      </c>
      <c r="Y1381" s="0" t="s">
        <v>138</v>
      </c>
      <c r="Z1381" s="14" t="s">
        <v>138</v>
      </c>
      <c r="AA1381" s="0" t="s">
        <v>138</v>
      </c>
      <c r="AB1381" s="14" t="s">
        <v>138</v>
      </c>
      <c r="AD1381" s="0" t="s">
        <v>138</v>
      </c>
      <c r="AF1381" s="0">
        <v>0</v>
      </c>
      <c r="AG1381" s="0">
        <v>0</v>
      </c>
      <c r="AH1381" s="0" t="s">
        <v>140</v>
      </c>
      <c r="AI1381" s="0" t="s">
        <v>138</v>
      </c>
      <c r="AL1381" s="14"/>
      <c r="AN1381" s="14"/>
      <c r="AQ1381" s="0" t="s">
        <v>130</v>
      </c>
      <c r="AR1381" s="0" t="s">
        <v>130</v>
      </c>
      <c r="AS1381" s="0" t="s">
        <v>130</v>
      </c>
      <c r="AT1381" s="0" t="s">
        <v>130</v>
      </c>
      <c r="AU1381" s="0" t="s">
        <v>130</v>
      </c>
      <c r="AV1381" s="0" t="s">
        <v>130</v>
      </c>
      <c r="AW1381" s="0" t="s">
        <v>130</v>
      </c>
      <c r="AX1381" s="0" t="s">
        <v>130</v>
      </c>
      <c r="AY1381" s="0" t="s">
        <v>130</v>
      </c>
      <c r="AZ1381" s="0" t="s">
        <v>130</v>
      </c>
      <c r="BA1381" s="0" t="s">
        <v>130</v>
      </c>
      <c r="BB1381" s="0" t="s">
        <v>141</v>
      </c>
      <c r="BC1381" s="0" t="s">
        <v>130</v>
      </c>
      <c r="BD1381" s="0" t="s">
        <v>130</v>
      </c>
      <c r="BE1381" s="0" t="s">
        <v>130</v>
      </c>
      <c r="BF1381" s="0" t="s">
        <v>130</v>
      </c>
      <c r="BG1381" s="0" t="s">
        <v>130</v>
      </c>
      <c r="BH1381" s="0" t="s">
        <v>130</v>
      </c>
      <c r="BI1381" s="0" t="s">
        <v>130</v>
      </c>
      <c r="BJ1381" s="0" t="s">
        <v>130</v>
      </c>
      <c r="BK1381" s="0" t="s">
        <v>130</v>
      </c>
      <c r="BL1381" s="0" t="s">
        <v>130</v>
      </c>
      <c r="BM1381" s="0" t="s">
        <v>130</v>
      </c>
      <c r="BN1381" s="0" t="s">
        <v>130</v>
      </c>
      <c r="BO1381" s="0" t="s">
        <v>130</v>
      </c>
      <c r="BP1381" s="0" t="s">
        <v>130</v>
      </c>
      <c r="BQ1381" s="0" t="s">
        <v>130</v>
      </c>
      <c r="BR1381" s="0" t="s">
        <v>130</v>
      </c>
      <c r="BS1381" s="0" t="s">
        <v>130</v>
      </c>
      <c r="BT1381" s="0" t="s">
        <v>130</v>
      </c>
      <c r="BU1381" s="0" t="s">
        <v>130</v>
      </c>
      <c r="BV1381" s="0" t="s">
        <v>130</v>
      </c>
      <c r="BW1381" s="0" t="s">
        <v>130</v>
      </c>
      <c r="BX1381" s="0" t="s">
        <v>130</v>
      </c>
      <c r="BY1381" s="0" t="s">
        <v>130</v>
      </c>
      <c r="BZ1381" s="0" t="s">
        <v>130</v>
      </c>
      <c r="CA1381" s="0" t="s">
        <v>130</v>
      </c>
      <c r="CB1381" s="0" t="s">
        <v>130</v>
      </c>
      <c r="CC1381" s="0" t="s">
        <v>130</v>
      </c>
      <c r="CD1381" s="0" t="s">
        <v>130</v>
      </c>
      <c r="CE1381" s="0" t="s">
        <v>130</v>
      </c>
      <c r="CF1381" s="0" t="s">
        <v>130</v>
      </c>
      <c r="CG1381" s="0" t="s">
        <v>130</v>
      </c>
      <c r="CH1381" s="0" t="s">
        <v>130</v>
      </c>
      <c r="CI1381" s="0" t="s">
        <v>130</v>
      </c>
      <c r="CJ1381" s="0" t="s">
        <v>130</v>
      </c>
      <c r="CK1381" s="0" t="s">
        <v>130</v>
      </c>
      <c r="CL1381" s="0" t="s">
        <v>130</v>
      </c>
      <c r="CM1381" s="0" t="s">
        <v>130</v>
      </c>
      <c r="CN1381" s="0" t="s">
        <v>130</v>
      </c>
      <c r="CO1381" s="0" t="s">
        <v>130</v>
      </c>
      <c r="CP1381" s="0" t="s">
        <v>130</v>
      </c>
      <c r="CQ1381" s="0" t="s">
        <v>130</v>
      </c>
      <c r="CR1381" s="0" t="s">
        <v>130</v>
      </c>
      <c r="CS1381" s="0" t="s">
        <v>130</v>
      </c>
      <c r="CT1381" s="0" t="s">
        <v>4031</v>
      </c>
    </row>
    <row r="1382">
      <c r="A1382" s="14">
        <v>9268711</v>
      </c>
      <c r="B1382" s="0" t="s">
        <v>4005</v>
      </c>
      <c r="C1382" s="16">
        <f>HYPERLINK("https://eosportal.federatedhermes.com/companies/Q29tcGFueQppODU0MTQ=", "Shell PLC")</f>
      </c>
      <c r="D1382" s="0" t="s">
        <v>25</v>
      </c>
      <c r="E1382" s="0" t="s">
        <v>4032</v>
      </c>
      <c r="F1382" s="16">
        <f>HYPERLINK("https://eosportal.federatedhermes.com/engagements/RW5nYWdlbWVudAppMjc1MjY=", "Physical climate risk management")</f>
      </c>
      <c r="G1382" s="14" t="s">
        <v>4032</v>
      </c>
      <c r="H1382" s="0" t="s">
        <v>141</v>
      </c>
      <c r="I1382" s="14" t="s">
        <v>191</v>
      </c>
      <c r="J1382" s="0" t="s">
        <v>197</v>
      </c>
      <c r="K1382" s="0" t="s">
        <v>198</v>
      </c>
      <c r="L1382" s="0" t="s">
        <v>682</v>
      </c>
      <c r="M1382" s="0" t="s">
        <v>272</v>
      </c>
      <c r="N1382" s="0" t="s">
        <v>273</v>
      </c>
      <c r="O1382" s="0" t="s">
        <v>542</v>
      </c>
      <c r="Q1382" s="0" t="s">
        <v>130</v>
      </c>
      <c r="R1382" s="0" t="s">
        <v>138</v>
      </c>
      <c r="S1382" s="14">
        <v>0</v>
      </c>
      <c r="T1382" s="0" t="s">
        <v>327</v>
      </c>
      <c r="U1382" s="0" t="s">
        <v>138</v>
      </c>
      <c r="V1382" s="14" t="s">
        <v>138</v>
      </c>
      <c r="W1382" s="0" t="s">
        <v>138</v>
      </c>
      <c r="X1382" s="14" t="s">
        <v>138</v>
      </c>
      <c r="Y1382" s="0" t="s">
        <v>138</v>
      </c>
      <c r="Z1382" s="14" t="s">
        <v>138</v>
      </c>
      <c r="AA1382" s="0" t="s">
        <v>138</v>
      </c>
      <c r="AB1382" s="14" t="s">
        <v>138</v>
      </c>
      <c r="AD1382" s="0" t="s">
        <v>138</v>
      </c>
      <c r="AF1382" s="0">
        <v>0</v>
      </c>
      <c r="AG1382" s="0">
        <v>0</v>
      </c>
      <c r="AH1382" s="0" t="s">
        <v>140</v>
      </c>
      <c r="AI1382" s="0" t="s">
        <v>138</v>
      </c>
      <c r="AL1382" s="14"/>
      <c r="AN1382" s="14"/>
      <c r="AQ1382" s="0" t="s">
        <v>130</v>
      </c>
      <c r="AR1382" s="0" t="s">
        <v>130</v>
      </c>
      <c r="AS1382" s="0" t="s">
        <v>130</v>
      </c>
      <c r="AT1382" s="0" t="s">
        <v>130</v>
      </c>
      <c r="AU1382" s="0" t="s">
        <v>130</v>
      </c>
      <c r="AV1382" s="0" t="s">
        <v>130</v>
      </c>
      <c r="AW1382" s="0" t="s">
        <v>130</v>
      </c>
      <c r="AX1382" s="0" t="s">
        <v>130</v>
      </c>
      <c r="AY1382" s="0" t="s">
        <v>130</v>
      </c>
      <c r="AZ1382" s="0" t="s">
        <v>130</v>
      </c>
      <c r="BA1382" s="0" t="s">
        <v>130</v>
      </c>
      <c r="BB1382" s="0" t="s">
        <v>130</v>
      </c>
      <c r="BC1382" s="0" t="s">
        <v>141</v>
      </c>
      <c r="BD1382" s="0" t="s">
        <v>130</v>
      </c>
      <c r="BE1382" s="0" t="s">
        <v>130</v>
      </c>
      <c r="BF1382" s="0" t="s">
        <v>130</v>
      </c>
      <c r="BG1382" s="0" t="s">
        <v>130</v>
      </c>
      <c r="BH1382" s="0" t="s">
        <v>130</v>
      </c>
      <c r="BI1382" s="0" t="s">
        <v>130</v>
      </c>
      <c r="BJ1382" s="0" t="s">
        <v>130</v>
      </c>
      <c r="BK1382" s="0" t="s">
        <v>130</v>
      </c>
      <c r="BL1382" s="0" t="s">
        <v>130</v>
      </c>
      <c r="BM1382" s="0" t="s">
        <v>130</v>
      </c>
      <c r="BN1382" s="0" t="s">
        <v>130</v>
      </c>
      <c r="BO1382" s="0" t="s">
        <v>130</v>
      </c>
      <c r="BP1382" s="0" t="s">
        <v>130</v>
      </c>
      <c r="BQ1382" s="0" t="s">
        <v>130</v>
      </c>
      <c r="BR1382" s="0" t="s">
        <v>130</v>
      </c>
      <c r="BS1382" s="0" t="s">
        <v>130</v>
      </c>
      <c r="BT1382" s="0" t="s">
        <v>130</v>
      </c>
      <c r="BU1382" s="0" t="s">
        <v>130</v>
      </c>
      <c r="BV1382" s="0" t="s">
        <v>130</v>
      </c>
      <c r="BW1382" s="0" t="s">
        <v>130</v>
      </c>
      <c r="BX1382" s="0" t="s">
        <v>130</v>
      </c>
      <c r="BY1382" s="0" t="s">
        <v>130</v>
      </c>
      <c r="BZ1382" s="0" t="s">
        <v>130</v>
      </c>
      <c r="CA1382" s="0" t="s">
        <v>130</v>
      </c>
      <c r="CB1382" s="0" t="s">
        <v>130</v>
      </c>
      <c r="CC1382" s="0" t="s">
        <v>130</v>
      </c>
      <c r="CD1382" s="0" t="s">
        <v>130</v>
      </c>
      <c r="CE1382" s="0" t="s">
        <v>130</v>
      </c>
      <c r="CF1382" s="0" t="s">
        <v>130</v>
      </c>
      <c r="CG1382" s="0" t="s">
        <v>130</v>
      </c>
      <c r="CH1382" s="0" t="s">
        <v>130</v>
      </c>
      <c r="CI1382" s="0" t="s">
        <v>130</v>
      </c>
      <c r="CJ1382" s="0" t="s">
        <v>130</v>
      </c>
      <c r="CK1382" s="0" t="s">
        <v>130</v>
      </c>
      <c r="CL1382" s="0" t="s">
        <v>130</v>
      </c>
      <c r="CM1382" s="0" t="s">
        <v>130</v>
      </c>
      <c r="CN1382" s="0" t="s">
        <v>130</v>
      </c>
      <c r="CO1382" s="0" t="s">
        <v>130</v>
      </c>
      <c r="CP1382" s="0" t="s">
        <v>130</v>
      </c>
      <c r="CQ1382" s="0" t="s">
        <v>130</v>
      </c>
      <c r="CR1382" s="0" t="s">
        <v>130</v>
      </c>
      <c r="CS1382" s="0" t="s">
        <v>130</v>
      </c>
      <c r="CT1382" s="0" t="s">
        <v>4033</v>
      </c>
    </row>
    <row r="1383">
      <c r="A1383" s="14">
        <v>9268711</v>
      </c>
      <c r="B1383" s="0" t="s">
        <v>4005</v>
      </c>
      <c r="C1383" s="16">
        <f>HYPERLINK("https://eosportal.federatedhermes.com/companies/Q29tcGFueQppODU0MTQ=", "Shell PLC")</f>
      </c>
      <c r="D1383" s="0" t="s">
        <v>25</v>
      </c>
      <c r="E1383" s="0" t="s">
        <v>4034</v>
      </c>
      <c r="F1383" s="16">
        <f>HYPERLINK("https://eosportal.federatedhermes.com/engagements/RW5nYWdlbWVudAppMjc1Mjc=", "Community and indigenous rights")</f>
      </c>
      <c r="G1383" s="14" t="s">
        <v>4034</v>
      </c>
      <c r="H1383" s="0" t="s">
        <v>141</v>
      </c>
      <c r="I1383" s="14" t="s">
        <v>191</v>
      </c>
      <c r="J1383" s="0" t="s">
        <v>153</v>
      </c>
      <c r="K1383" s="0" t="s">
        <v>243</v>
      </c>
      <c r="L1383" s="0" t="s">
        <v>571</v>
      </c>
      <c r="M1383" s="0" t="s">
        <v>272</v>
      </c>
      <c r="N1383" s="0" t="s">
        <v>273</v>
      </c>
      <c r="O1383" s="0" t="s">
        <v>542</v>
      </c>
      <c r="Q1383" s="0" t="s">
        <v>130</v>
      </c>
      <c r="R1383" s="0" t="s">
        <v>138</v>
      </c>
      <c r="S1383" s="14">
        <v>0</v>
      </c>
      <c r="T1383" s="0" t="s">
        <v>327</v>
      </c>
      <c r="U1383" s="0" t="s">
        <v>138</v>
      </c>
      <c r="V1383" s="14" t="s">
        <v>138</v>
      </c>
      <c r="W1383" s="0" t="s">
        <v>138</v>
      </c>
      <c r="X1383" s="14" t="s">
        <v>138</v>
      </c>
      <c r="Y1383" s="0" t="s">
        <v>138</v>
      </c>
      <c r="Z1383" s="14" t="s">
        <v>138</v>
      </c>
      <c r="AA1383" s="0" t="s">
        <v>138</v>
      </c>
      <c r="AB1383" s="14" t="s">
        <v>138</v>
      </c>
      <c r="AD1383" s="0" t="s">
        <v>138</v>
      </c>
      <c r="AF1383" s="0">
        <v>0</v>
      </c>
      <c r="AG1383" s="0">
        <v>0</v>
      </c>
      <c r="AH1383" s="0" t="s">
        <v>140</v>
      </c>
      <c r="AI1383" s="0" t="s">
        <v>138</v>
      </c>
      <c r="AL1383" s="14"/>
      <c r="AN1383" s="14"/>
      <c r="AQ1383" s="0" t="s">
        <v>130</v>
      </c>
      <c r="AR1383" s="0" t="s">
        <v>130</v>
      </c>
      <c r="AS1383" s="0" t="s">
        <v>130</v>
      </c>
      <c r="AT1383" s="0" t="s">
        <v>130</v>
      </c>
      <c r="AU1383" s="0" t="s">
        <v>130</v>
      </c>
      <c r="AV1383" s="0" t="s">
        <v>130</v>
      </c>
      <c r="AW1383" s="0" t="s">
        <v>130</v>
      </c>
      <c r="AX1383" s="0" t="s">
        <v>130</v>
      </c>
      <c r="AY1383" s="0" t="s">
        <v>130</v>
      </c>
      <c r="AZ1383" s="0" t="s">
        <v>130</v>
      </c>
      <c r="BA1383" s="0" t="s">
        <v>130</v>
      </c>
      <c r="BB1383" s="0" t="s">
        <v>130</v>
      </c>
      <c r="BC1383" s="0" t="s">
        <v>130</v>
      </c>
      <c r="BD1383" s="0" t="s">
        <v>130</v>
      </c>
      <c r="BE1383" s="0" t="s">
        <v>130</v>
      </c>
      <c r="BF1383" s="0" t="s">
        <v>141</v>
      </c>
      <c r="BG1383" s="0" t="s">
        <v>130</v>
      </c>
      <c r="BH1383" s="0" t="s">
        <v>130</v>
      </c>
      <c r="BI1383" s="0" t="s">
        <v>130</v>
      </c>
      <c r="BJ1383" s="0" t="s">
        <v>130</v>
      </c>
      <c r="BK1383" s="0" t="s">
        <v>130</v>
      </c>
      <c r="BL1383" s="0" t="s">
        <v>130</v>
      </c>
      <c r="BM1383" s="0" t="s">
        <v>130</v>
      </c>
      <c r="BN1383" s="0" t="s">
        <v>130</v>
      </c>
      <c r="BO1383" s="0" t="s">
        <v>130</v>
      </c>
      <c r="BP1383" s="0" t="s">
        <v>130</v>
      </c>
      <c r="BQ1383" s="0" t="s">
        <v>130</v>
      </c>
      <c r="BR1383" s="0" t="s">
        <v>130</v>
      </c>
      <c r="BS1383" s="0" t="s">
        <v>130</v>
      </c>
      <c r="BT1383" s="0" t="s">
        <v>130</v>
      </c>
      <c r="BU1383" s="0" t="s">
        <v>130</v>
      </c>
      <c r="BV1383" s="0" t="s">
        <v>130</v>
      </c>
      <c r="BW1383" s="0" t="s">
        <v>130</v>
      </c>
      <c r="BX1383" s="0" t="s">
        <v>130</v>
      </c>
      <c r="BY1383" s="0" t="s">
        <v>130</v>
      </c>
      <c r="BZ1383" s="0" t="s">
        <v>130</v>
      </c>
      <c r="CA1383" s="0" t="s">
        <v>130</v>
      </c>
      <c r="CB1383" s="0" t="s">
        <v>130</v>
      </c>
      <c r="CC1383" s="0" t="s">
        <v>130</v>
      </c>
      <c r="CD1383" s="0" t="s">
        <v>130</v>
      </c>
      <c r="CE1383" s="0" t="s">
        <v>130</v>
      </c>
      <c r="CF1383" s="0" t="s">
        <v>130</v>
      </c>
      <c r="CG1383" s="0" t="s">
        <v>130</v>
      </c>
      <c r="CH1383" s="0" t="s">
        <v>130</v>
      </c>
      <c r="CI1383" s="0" t="s">
        <v>130</v>
      </c>
      <c r="CJ1383" s="0" t="s">
        <v>130</v>
      </c>
      <c r="CK1383" s="0" t="s">
        <v>130</v>
      </c>
      <c r="CL1383" s="0" t="s">
        <v>130</v>
      </c>
      <c r="CM1383" s="0" t="s">
        <v>130</v>
      </c>
      <c r="CN1383" s="0" t="s">
        <v>130</v>
      </c>
      <c r="CO1383" s="0" t="s">
        <v>130</v>
      </c>
      <c r="CP1383" s="0" t="s">
        <v>130</v>
      </c>
      <c r="CQ1383" s="0" t="s">
        <v>130</v>
      </c>
      <c r="CR1383" s="0" t="s">
        <v>130</v>
      </c>
      <c r="CS1383" s="0" t="s">
        <v>130</v>
      </c>
      <c r="CT1383" s="0" t="s">
        <v>4035</v>
      </c>
    </row>
    <row r="1384">
      <c r="A1384" s="14">
        <v>9268711</v>
      </c>
      <c r="B1384" s="0" t="s">
        <v>4005</v>
      </c>
      <c r="C1384" s="16">
        <f>HYPERLINK("https://eosportal.federatedhermes.com/companies/Q29tcGFueQppODU0MTQ=", "Shell PLC")</f>
      </c>
      <c r="D1384" s="0" t="s">
        <v>25</v>
      </c>
      <c r="E1384" s="0" t="s">
        <v>2195</v>
      </c>
      <c r="F1384" s="16">
        <f>HYPERLINK("https://eosportal.federatedhermes.com/engagements/RW5nYWdlbWVudAppMjc1Mjk=", "Director overboarding")</f>
      </c>
      <c r="G1384" s="14" t="s">
        <v>4036</v>
      </c>
      <c r="H1384" s="0" t="s">
        <v>141</v>
      </c>
      <c r="I1384" s="14" t="s">
        <v>191</v>
      </c>
      <c r="J1384" s="0" t="s">
        <v>145</v>
      </c>
      <c r="K1384" s="0" t="s">
        <v>164</v>
      </c>
      <c r="L1384" s="0" t="s">
        <v>165</v>
      </c>
      <c r="M1384" s="0" t="s">
        <v>272</v>
      </c>
      <c r="N1384" s="0" t="s">
        <v>273</v>
      </c>
      <c r="O1384" s="0" t="s">
        <v>542</v>
      </c>
      <c r="Q1384" s="0" t="s">
        <v>130</v>
      </c>
      <c r="R1384" s="0" t="s">
        <v>138</v>
      </c>
      <c r="S1384" s="14">
        <v>0</v>
      </c>
      <c r="T1384" s="0" t="s">
        <v>239</v>
      </c>
      <c r="U1384" s="0" t="s">
        <v>138</v>
      </c>
      <c r="V1384" s="14" t="s">
        <v>138</v>
      </c>
      <c r="W1384" s="0" t="s">
        <v>138</v>
      </c>
      <c r="X1384" s="14" t="s">
        <v>138</v>
      </c>
      <c r="Y1384" s="0" t="s">
        <v>138</v>
      </c>
      <c r="Z1384" s="14" t="s">
        <v>138</v>
      </c>
      <c r="AA1384" s="0" t="s">
        <v>138</v>
      </c>
      <c r="AB1384" s="14" t="s">
        <v>138</v>
      </c>
      <c r="AD1384" s="0" t="s">
        <v>138</v>
      </c>
      <c r="AF1384" s="0">
        <v>0</v>
      </c>
      <c r="AG1384" s="0">
        <v>0</v>
      </c>
      <c r="AH1384" s="0" t="s">
        <v>140</v>
      </c>
      <c r="AI1384" s="0" t="s">
        <v>138</v>
      </c>
      <c r="AL1384" s="14"/>
      <c r="AN1384" s="14"/>
      <c r="AQ1384" s="0" t="s">
        <v>130</v>
      </c>
      <c r="AR1384" s="0" t="s">
        <v>130</v>
      </c>
      <c r="AS1384" s="0" t="s">
        <v>130</v>
      </c>
      <c r="AT1384" s="0" t="s">
        <v>130</v>
      </c>
      <c r="AU1384" s="0" t="s">
        <v>130</v>
      </c>
      <c r="AV1384" s="0" t="s">
        <v>130</v>
      </c>
      <c r="AW1384" s="0" t="s">
        <v>130</v>
      </c>
      <c r="AX1384" s="0" t="s">
        <v>130</v>
      </c>
      <c r="AY1384" s="0" t="s">
        <v>130</v>
      </c>
      <c r="AZ1384" s="0" t="s">
        <v>130</v>
      </c>
      <c r="BA1384" s="0" t="s">
        <v>130</v>
      </c>
      <c r="BB1384" s="0" t="s">
        <v>130</v>
      </c>
      <c r="BC1384" s="0" t="s">
        <v>130</v>
      </c>
      <c r="BD1384" s="0" t="s">
        <v>130</v>
      </c>
      <c r="BE1384" s="0" t="s">
        <v>130</v>
      </c>
      <c r="BF1384" s="0" t="s">
        <v>130</v>
      </c>
      <c r="BG1384" s="0" t="s">
        <v>130</v>
      </c>
      <c r="BH1384" s="0" t="s">
        <v>130</v>
      </c>
      <c r="BI1384" s="0" t="s">
        <v>130</v>
      </c>
      <c r="BJ1384" s="0" t="s">
        <v>130</v>
      </c>
      <c r="BK1384" s="0" t="s">
        <v>130</v>
      </c>
      <c r="BL1384" s="0" t="s">
        <v>130</v>
      </c>
      <c r="BM1384" s="0" t="s">
        <v>130</v>
      </c>
      <c r="BN1384" s="0" t="s">
        <v>130</v>
      </c>
      <c r="BO1384" s="0" t="s">
        <v>130</v>
      </c>
      <c r="BP1384" s="0" t="s">
        <v>130</v>
      </c>
      <c r="BQ1384" s="0" t="s">
        <v>130</v>
      </c>
      <c r="BR1384" s="0" t="s">
        <v>130</v>
      </c>
      <c r="BS1384" s="0" t="s">
        <v>130</v>
      </c>
      <c r="BT1384" s="0" t="s">
        <v>130</v>
      </c>
      <c r="BU1384" s="0" t="s">
        <v>130</v>
      </c>
      <c r="BV1384" s="0" t="s">
        <v>130</v>
      </c>
      <c r="BW1384" s="0" t="s">
        <v>130</v>
      </c>
      <c r="BX1384" s="0" t="s">
        <v>130</v>
      </c>
      <c r="BY1384" s="0" t="s">
        <v>130</v>
      </c>
      <c r="BZ1384" s="0" t="s">
        <v>130</v>
      </c>
      <c r="CA1384" s="0" t="s">
        <v>130</v>
      </c>
      <c r="CB1384" s="0" t="s">
        <v>130</v>
      </c>
      <c r="CC1384" s="0" t="s">
        <v>130</v>
      </c>
      <c r="CD1384" s="0" t="s">
        <v>130</v>
      </c>
      <c r="CE1384" s="0" t="s">
        <v>130</v>
      </c>
      <c r="CF1384" s="0" t="s">
        <v>130</v>
      </c>
      <c r="CG1384" s="0" t="s">
        <v>130</v>
      </c>
      <c r="CH1384" s="0" t="s">
        <v>130</v>
      </c>
      <c r="CI1384" s="0" t="s">
        <v>130</v>
      </c>
      <c r="CJ1384" s="0" t="s">
        <v>130</v>
      </c>
      <c r="CK1384" s="0" t="s">
        <v>130</v>
      </c>
      <c r="CL1384" s="0" t="s">
        <v>130</v>
      </c>
      <c r="CM1384" s="0" t="s">
        <v>130</v>
      </c>
      <c r="CN1384" s="0" t="s">
        <v>130</v>
      </c>
      <c r="CO1384" s="0" t="s">
        <v>130</v>
      </c>
      <c r="CP1384" s="0" t="s">
        <v>130</v>
      </c>
      <c r="CQ1384" s="0" t="s">
        <v>130</v>
      </c>
      <c r="CR1384" s="0" t="s">
        <v>130</v>
      </c>
      <c r="CS1384" s="0" t="s">
        <v>130</v>
      </c>
      <c r="CT1384" s="0" t="s">
        <v>4037</v>
      </c>
    </row>
    <row r="1385">
      <c r="A1385" s="14">
        <v>9293317</v>
      </c>
      <c r="B1385" s="0" t="s">
        <v>4038</v>
      </c>
      <c r="C1385" s="16">
        <f>HYPERLINK("https://eosportal.federatedhermes.com/companies/Q29tcGFueQppODU3MTI=", "Link REIT")</f>
      </c>
      <c r="D1385" s="0" t="s">
        <v>25</v>
      </c>
      <c r="E1385" s="0" t="s">
        <v>1723</v>
      </c>
      <c r="F1385" s="16">
        <f>HYPERLINK("https://eosportal.federatedhermes.com/engagements/RW5nYWdlbWVudAppMjc1ODY=", "Participate in the Statement of Significant Audiences and Materiality campaign")</f>
      </c>
      <c r="G1385" s="14" t="s">
        <v>4039</v>
      </c>
      <c r="H1385" s="0" t="s">
        <v>141</v>
      </c>
      <c r="I1385" s="14" t="s">
        <v>636</v>
      </c>
      <c r="J1385" s="0" t="s">
        <v>153</v>
      </c>
      <c r="K1385" s="0" t="s">
        <v>243</v>
      </c>
      <c r="L1385" s="0" t="s">
        <v>244</v>
      </c>
      <c r="M1385" s="0" t="s">
        <v>802</v>
      </c>
      <c r="N1385" s="0" t="s">
        <v>803</v>
      </c>
      <c r="O1385" s="0" t="s">
        <v>238</v>
      </c>
      <c r="Q1385" s="0" t="s">
        <v>130</v>
      </c>
      <c r="R1385" s="0" t="s">
        <v>138</v>
      </c>
      <c r="S1385" s="14">
        <v>0</v>
      </c>
      <c r="T1385" s="0" t="s">
        <v>457</v>
      </c>
      <c r="U1385" s="0" t="s">
        <v>138</v>
      </c>
      <c r="V1385" s="14" t="s">
        <v>138</v>
      </c>
      <c r="W1385" s="0" t="s">
        <v>138</v>
      </c>
      <c r="X1385" s="14" t="s">
        <v>138</v>
      </c>
      <c r="Y1385" s="0" t="s">
        <v>138</v>
      </c>
      <c r="Z1385" s="14" t="s">
        <v>138</v>
      </c>
      <c r="AA1385" s="0" t="s">
        <v>138</v>
      </c>
      <c r="AB1385" s="14" t="s">
        <v>138</v>
      </c>
      <c r="AD1385" s="0" t="s">
        <v>138</v>
      </c>
      <c r="AF1385" s="0">
        <v>0</v>
      </c>
      <c r="AG1385" s="0">
        <v>0</v>
      </c>
      <c r="AH1385" s="0" t="s">
        <v>140</v>
      </c>
      <c r="AI1385" s="0" t="s">
        <v>138</v>
      </c>
      <c r="AL1385" s="14"/>
      <c r="AN1385" s="14"/>
      <c r="AQ1385" s="0" t="s">
        <v>130</v>
      </c>
      <c r="AR1385" s="0" t="s">
        <v>130</v>
      </c>
      <c r="AS1385" s="0" t="s">
        <v>130</v>
      </c>
      <c r="AT1385" s="0" t="s">
        <v>130</v>
      </c>
      <c r="AU1385" s="0" t="s">
        <v>130</v>
      </c>
      <c r="AV1385" s="0" t="s">
        <v>130</v>
      </c>
      <c r="AW1385" s="0" t="s">
        <v>130</v>
      </c>
      <c r="AX1385" s="0" t="s">
        <v>130</v>
      </c>
      <c r="AY1385" s="0" t="s">
        <v>130</v>
      </c>
      <c r="AZ1385" s="0" t="s">
        <v>130</v>
      </c>
      <c r="BA1385" s="0" t="s">
        <v>130</v>
      </c>
      <c r="BB1385" s="0" t="s">
        <v>130</v>
      </c>
      <c r="BC1385" s="0" t="s">
        <v>130</v>
      </c>
      <c r="BD1385" s="0" t="s">
        <v>130</v>
      </c>
      <c r="BE1385" s="0" t="s">
        <v>130</v>
      </c>
      <c r="BF1385" s="0" t="s">
        <v>130</v>
      </c>
      <c r="BG1385" s="0" t="s">
        <v>130</v>
      </c>
      <c r="BH1385" s="0" t="s">
        <v>130</v>
      </c>
      <c r="BI1385" s="0" t="s">
        <v>130</v>
      </c>
      <c r="BJ1385" s="0" t="s">
        <v>130</v>
      </c>
      <c r="BK1385" s="0" t="s">
        <v>130</v>
      </c>
      <c r="BL1385" s="0" t="s">
        <v>130</v>
      </c>
      <c r="BM1385" s="0" t="s">
        <v>130</v>
      </c>
      <c r="BN1385" s="0" t="s">
        <v>130</v>
      </c>
      <c r="BO1385" s="0" t="s">
        <v>130</v>
      </c>
      <c r="BP1385" s="0" t="s">
        <v>130</v>
      </c>
      <c r="BQ1385" s="0" t="s">
        <v>130</v>
      </c>
      <c r="BR1385" s="0" t="s">
        <v>130</v>
      </c>
      <c r="BS1385" s="0" t="s">
        <v>130</v>
      </c>
      <c r="BT1385" s="0" t="s">
        <v>130</v>
      </c>
      <c r="BU1385" s="0" t="s">
        <v>130</v>
      </c>
      <c r="BV1385" s="0" t="s">
        <v>130</v>
      </c>
      <c r="BW1385" s="0" t="s">
        <v>130</v>
      </c>
      <c r="BX1385" s="0" t="s">
        <v>130</v>
      </c>
      <c r="BY1385" s="0" t="s">
        <v>130</v>
      </c>
      <c r="BZ1385" s="0" t="s">
        <v>130</v>
      </c>
      <c r="CA1385" s="0" t="s">
        <v>130</v>
      </c>
      <c r="CB1385" s="0" t="s">
        <v>130</v>
      </c>
      <c r="CC1385" s="0" t="s">
        <v>130</v>
      </c>
      <c r="CD1385" s="0" t="s">
        <v>130</v>
      </c>
      <c r="CE1385" s="0" t="s">
        <v>130</v>
      </c>
      <c r="CF1385" s="0" t="s">
        <v>130</v>
      </c>
      <c r="CG1385" s="0" t="s">
        <v>130</v>
      </c>
      <c r="CH1385" s="0" t="s">
        <v>130</v>
      </c>
      <c r="CI1385" s="0" t="s">
        <v>130</v>
      </c>
      <c r="CJ1385" s="0" t="s">
        <v>130</v>
      </c>
      <c r="CK1385" s="0" t="s">
        <v>130</v>
      </c>
      <c r="CL1385" s="0" t="s">
        <v>130</v>
      </c>
      <c r="CM1385" s="0" t="s">
        <v>130</v>
      </c>
      <c r="CN1385" s="0" t="s">
        <v>130</v>
      </c>
      <c r="CO1385" s="0" t="s">
        <v>130</v>
      </c>
      <c r="CP1385" s="0" t="s">
        <v>130</v>
      </c>
      <c r="CQ1385" s="0" t="s">
        <v>130</v>
      </c>
      <c r="CR1385" s="0" t="s">
        <v>130</v>
      </c>
      <c r="CS1385" s="0" t="s">
        <v>130</v>
      </c>
      <c r="CT1385" s="0" t="s">
        <v>4040</v>
      </c>
    </row>
    <row r="1386">
      <c r="A1386" s="14">
        <v>9293317</v>
      </c>
      <c r="B1386" s="0" t="s">
        <v>4038</v>
      </c>
      <c r="C1386" s="16">
        <f>HYPERLINK("https://eosportal.federatedhermes.com/companies/Q29tcGFueQppODU3MTI=", "Link REIT")</f>
      </c>
      <c r="D1386" s="0" t="s">
        <v>25</v>
      </c>
      <c r="E1386" s="0" t="s">
        <v>4041</v>
      </c>
      <c r="F1386" s="16">
        <f>HYPERLINK("https://eosportal.federatedhermes.com/engagements/RW5nYWdlbWVudAppMjc1ODc=", "Improvement in social impact assessment")</f>
      </c>
      <c r="G1386" s="14" t="s">
        <v>4042</v>
      </c>
      <c r="H1386" s="0" t="s">
        <v>141</v>
      </c>
      <c r="I1386" s="14" t="s">
        <v>636</v>
      </c>
      <c r="J1386" s="0" t="s">
        <v>153</v>
      </c>
      <c r="K1386" s="0" t="s">
        <v>243</v>
      </c>
      <c r="L1386" s="0" t="s">
        <v>571</v>
      </c>
      <c r="M1386" s="0" t="s">
        <v>802</v>
      </c>
      <c r="N1386" s="0" t="s">
        <v>803</v>
      </c>
      <c r="O1386" s="0" t="s">
        <v>238</v>
      </c>
      <c r="Q1386" s="0" t="s">
        <v>130</v>
      </c>
      <c r="R1386" s="0" t="s">
        <v>138</v>
      </c>
      <c r="S1386" s="14">
        <v>0</v>
      </c>
      <c r="T1386" s="0" t="s">
        <v>200</v>
      </c>
      <c r="U1386" s="0" t="s">
        <v>138</v>
      </c>
      <c r="V1386" s="14" t="s">
        <v>138</v>
      </c>
      <c r="W1386" s="0" t="s">
        <v>138</v>
      </c>
      <c r="X1386" s="14" t="s">
        <v>138</v>
      </c>
      <c r="Y1386" s="0" t="s">
        <v>138</v>
      </c>
      <c r="Z1386" s="14" t="s">
        <v>138</v>
      </c>
      <c r="AA1386" s="0" t="s">
        <v>138</v>
      </c>
      <c r="AB1386" s="14" t="s">
        <v>138</v>
      </c>
      <c r="AD1386" s="0" t="s">
        <v>138</v>
      </c>
      <c r="AF1386" s="0">
        <v>0</v>
      </c>
      <c r="AG1386" s="0">
        <v>0</v>
      </c>
      <c r="AH1386" s="0" t="s">
        <v>140</v>
      </c>
      <c r="AI1386" s="0" t="s">
        <v>138</v>
      </c>
      <c r="AL1386" s="14"/>
      <c r="AN1386" s="14"/>
      <c r="AQ1386" s="0" t="s">
        <v>130</v>
      </c>
      <c r="AR1386" s="0" t="s">
        <v>130</v>
      </c>
      <c r="AS1386" s="0" t="s">
        <v>130</v>
      </c>
      <c r="AT1386" s="0" t="s">
        <v>130</v>
      </c>
      <c r="AU1386" s="0" t="s">
        <v>130</v>
      </c>
      <c r="AV1386" s="0" t="s">
        <v>130</v>
      </c>
      <c r="AW1386" s="0" t="s">
        <v>130</v>
      </c>
      <c r="AX1386" s="0" t="s">
        <v>130</v>
      </c>
      <c r="AY1386" s="0" t="s">
        <v>130</v>
      </c>
      <c r="AZ1386" s="0" t="s">
        <v>130</v>
      </c>
      <c r="BA1386" s="0" t="s">
        <v>130</v>
      </c>
      <c r="BB1386" s="0" t="s">
        <v>130</v>
      </c>
      <c r="BC1386" s="0" t="s">
        <v>130</v>
      </c>
      <c r="BD1386" s="0" t="s">
        <v>130</v>
      </c>
      <c r="BE1386" s="0" t="s">
        <v>130</v>
      </c>
      <c r="BF1386" s="0" t="s">
        <v>130</v>
      </c>
      <c r="BG1386" s="0" t="s">
        <v>130</v>
      </c>
      <c r="BH1386" s="0" t="s">
        <v>130</v>
      </c>
      <c r="BI1386" s="0" t="s">
        <v>130</v>
      </c>
      <c r="BJ1386" s="0" t="s">
        <v>130</v>
      </c>
      <c r="BK1386" s="0" t="s">
        <v>130</v>
      </c>
      <c r="BL1386" s="0" t="s">
        <v>130</v>
      </c>
      <c r="BM1386" s="0" t="s">
        <v>130</v>
      </c>
      <c r="BN1386" s="0" t="s">
        <v>130</v>
      </c>
      <c r="BO1386" s="0" t="s">
        <v>130</v>
      </c>
      <c r="BP1386" s="0" t="s">
        <v>130</v>
      </c>
      <c r="BQ1386" s="0" t="s">
        <v>130</v>
      </c>
      <c r="BR1386" s="0" t="s">
        <v>130</v>
      </c>
      <c r="BS1386" s="0" t="s">
        <v>130</v>
      </c>
      <c r="BT1386" s="0" t="s">
        <v>130</v>
      </c>
      <c r="BU1386" s="0" t="s">
        <v>130</v>
      </c>
      <c r="BV1386" s="0" t="s">
        <v>130</v>
      </c>
      <c r="BW1386" s="0" t="s">
        <v>130</v>
      </c>
      <c r="BX1386" s="0" t="s">
        <v>130</v>
      </c>
      <c r="BY1386" s="0" t="s">
        <v>130</v>
      </c>
      <c r="BZ1386" s="0" t="s">
        <v>130</v>
      </c>
      <c r="CA1386" s="0" t="s">
        <v>130</v>
      </c>
      <c r="CB1386" s="0" t="s">
        <v>130</v>
      </c>
      <c r="CC1386" s="0" t="s">
        <v>130</v>
      </c>
      <c r="CD1386" s="0" t="s">
        <v>130</v>
      </c>
      <c r="CE1386" s="0" t="s">
        <v>130</v>
      </c>
      <c r="CF1386" s="0" t="s">
        <v>130</v>
      </c>
      <c r="CG1386" s="0" t="s">
        <v>130</v>
      </c>
      <c r="CH1386" s="0" t="s">
        <v>130</v>
      </c>
      <c r="CI1386" s="0" t="s">
        <v>130</v>
      </c>
      <c r="CJ1386" s="0" t="s">
        <v>130</v>
      </c>
      <c r="CK1386" s="0" t="s">
        <v>130</v>
      </c>
      <c r="CL1386" s="0" t="s">
        <v>130</v>
      </c>
      <c r="CM1386" s="0" t="s">
        <v>130</v>
      </c>
      <c r="CN1386" s="0" t="s">
        <v>130</v>
      </c>
      <c r="CO1386" s="0" t="s">
        <v>130</v>
      </c>
      <c r="CP1386" s="0" t="s">
        <v>130</v>
      </c>
      <c r="CQ1386" s="0" t="s">
        <v>130</v>
      </c>
      <c r="CR1386" s="0" t="s">
        <v>130</v>
      </c>
      <c r="CS1386" s="0" t="s">
        <v>130</v>
      </c>
      <c r="CT1386" s="0" t="s">
        <v>4043</v>
      </c>
    </row>
    <row r="1387">
      <c r="A1387" s="14">
        <v>9337540</v>
      </c>
      <c r="B1387" s="0" t="s">
        <v>4044</v>
      </c>
      <c r="C1387" s="16">
        <f>HYPERLINK("https://eosportal.federatedhermes.com/companies/Q29tcGFueQppNjg3OTI=", "Expedia Group Inc")</f>
      </c>
      <c r="D1387" s="0" t="s">
        <v>25</v>
      </c>
      <c r="E1387" s="0" t="s">
        <v>4045</v>
      </c>
      <c r="F1387" s="16">
        <f>HYPERLINK("https://eosportal.federatedhermes.com/engagements/RW5nYWdlbWVudAppMjc2MjI=", "Political Lobbying Transparency")</f>
      </c>
      <c r="G1387" s="14" t="s">
        <v>4046</v>
      </c>
      <c r="H1387" s="0" t="s">
        <v>141</v>
      </c>
      <c r="I1387" s="14" t="s">
        <v>131</v>
      </c>
      <c r="J1387" s="0" t="s">
        <v>153</v>
      </c>
      <c r="K1387" s="0" t="s">
        <v>185</v>
      </c>
      <c r="L1387" s="0" t="s">
        <v>186</v>
      </c>
      <c r="M1387" s="0" t="s">
        <v>135</v>
      </c>
      <c r="N1387" s="0" t="s">
        <v>136</v>
      </c>
      <c r="O1387" s="0" t="s">
        <v>643</v>
      </c>
      <c r="Q1387" s="0" t="s">
        <v>130</v>
      </c>
      <c r="R1387" s="0" t="s">
        <v>138</v>
      </c>
      <c r="S1387" s="14">
        <v>0</v>
      </c>
      <c r="T1387" s="0" t="s">
        <v>148</v>
      </c>
      <c r="U1387" s="0" t="s">
        <v>138</v>
      </c>
      <c r="V1387" s="14" t="s">
        <v>138</v>
      </c>
      <c r="W1387" s="0" t="s">
        <v>138</v>
      </c>
      <c r="X1387" s="14" t="s">
        <v>138</v>
      </c>
      <c r="Y1387" s="0" t="s">
        <v>138</v>
      </c>
      <c r="Z1387" s="14" t="s">
        <v>138</v>
      </c>
      <c r="AA1387" s="0" t="s">
        <v>138</v>
      </c>
      <c r="AB1387" s="14" t="s">
        <v>138</v>
      </c>
      <c r="AD1387" s="0" t="s">
        <v>138</v>
      </c>
      <c r="AF1387" s="0">
        <v>0</v>
      </c>
      <c r="AG1387" s="0">
        <v>0</v>
      </c>
      <c r="AH1387" s="0" t="s">
        <v>140</v>
      </c>
      <c r="AI1387" s="0" t="s">
        <v>138</v>
      </c>
      <c r="AL1387" s="14"/>
      <c r="AN1387" s="14"/>
      <c r="AQ1387" s="0" t="s">
        <v>130</v>
      </c>
      <c r="AR1387" s="0" t="s">
        <v>130</v>
      </c>
      <c r="AS1387" s="0" t="s">
        <v>130</v>
      </c>
      <c r="AT1387" s="0" t="s">
        <v>130</v>
      </c>
      <c r="AU1387" s="0" t="s">
        <v>130</v>
      </c>
      <c r="AV1387" s="0" t="s">
        <v>130</v>
      </c>
      <c r="AW1387" s="0" t="s">
        <v>130</v>
      </c>
      <c r="AX1387" s="0" t="s">
        <v>130</v>
      </c>
      <c r="AY1387" s="0" t="s">
        <v>130</v>
      </c>
      <c r="AZ1387" s="0" t="s">
        <v>130</v>
      </c>
      <c r="BA1387" s="0" t="s">
        <v>130</v>
      </c>
      <c r="BB1387" s="0" t="s">
        <v>130</v>
      </c>
      <c r="BC1387" s="0" t="s">
        <v>130</v>
      </c>
      <c r="BD1387" s="0" t="s">
        <v>130</v>
      </c>
      <c r="BE1387" s="0" t="s">
        <v>130</v>
      </c>
      <c r="BF1387" s="0" t="s">
        <v>130</v>
      </c>
      <c r="BG1387" s="0" t="s">
        <v>130</v>
      </c>
      <c r="BH1387" s="0" t="s">
        <v>130</v>
      </c>
      <c r="BI1387" s="0" t="s">
        <v>130</v>
      </c>
      <c r="BJ1387" s="0" t="s">
        <v>130</v>
      </c>
      <c r="BK1387" s="0" t="s">
        <v>130</v>
      </c>
      <c r="BL1387" s="0" t="s">
        <v>130</v>
      </c>
      <c r="BM1387" s="0" t="s">
        <v>130</v>
      </c>
      <c r="BN1387" s="0" t="s">
        <v>130</v>
      </c>
      <c r="BO1387" s="0" t="s">
        <v>130</v>
      </c>
      <c r="BP1387" s="0" t="s">
        <v>130</v>
      </c>
      <c r="BQ1387" s="0" t="s">
        <v>130</v>
      </c>
      <c r="BR1387" s="0" t="s">
        <v>130</v>
      </c>
      <c r="BS1387" s="0" t="s">
        <v>130</v>
      </c>
      <c r="BT1387" s="0" t="s">
        <v>130</v>
      </c>
      <c r="BU1387" s="0" t="s">
        <v>130</v>
      </c>
      <c r="BV1387" s="0" t="s">
        <v>130</v>
      </c>
      <c r="BW1387" s="0" t="s">
        <v>130</v>
      </c>
      <c r="BX1387" s="0" t="s">
        <v>130</v>
      </c>
      <c r="BY1387" s="0" t="s">
        <v>130</v>
      </c>
      <c r="BZ1387" s="0" t="s">
        <v>130</v>
      </c>
      <c r="CA1387" s="0" t="s">
        <v>130</v>
      </c>
      <c r="CB1387" s="0" t="s">
        <v>130</v>
      </c>
      <c r="CC1387" s="0" t="s">
        <v>130</v>
      </c>
      <c r="CD1387" s="0" t="s">
        <v>130</v>
      </c>
      <c r="CE1387" s="0" t="s">
        <v>130</v>
      </c>
      <c r="CF1387" s="0" t="s">
        <v>130</v>
      </c>
      <c r="CG1387" s="0" t="s">
        <v>130</v>
      </c>
      <c r="CH1387" s="0" t="s">
        <v>130</v>
      </c>
      <c r="CI1387" s="0" t="s">
        <v>130</v>
      </c>
      <c r="CJ1387" s="0" t="s">
        <v>130</v>
      </c>
      <c r="CK1387" s="0" t="s">
        <v>130</v>
      </c>
      <c r="CL1387" s="0" t="s">
        <v>130</v>
      </c>
      <c r="CM1387" s="0" t="s">
        <v>130</v>
      </c>
      <c r="CN1387" s="0" t="s">
        <v>130</v>
      </c>
      <c r="CO1387" s="0" t="s">
        <v>130</v>
      </c>
      <c r="CP1387" s="0" t="s">
        <v>130</v>
      </c>
      <c r="CQ1387" s="0" t="s">
        <v>130</v>
      </c>
      <c r="CR1387" s="0" t="s">
        <v>130</v>
      </c>
      <c r="CS1387" s="0" t="s">
        <v>130</v>
      </c>
      <c r="CT1387" s="0" t="s">
        <v>4047</v>
      </c>
    </row>
    <row r="1388">
      <c r="A1388" s="14">
        <v>9337540</v>
      </c>
      <c r="B1388" s="0" t="s">
        <v>4044</v>
      </c>
      <c r="C1388" s="16">
        <f>HYPERLINK("https://eosportal.federatedhermes.com/companies/Q29tcGFueQppNjg3OTI=", "Expedia Group Inc")</f>
      </c>
      <c r="D1388" s="0" t="s">
        <v>25</v>
      </c>
      <c r="E1388" s="0" t="s">
        <v>3397</v>
      </c>
      <c r="F1388" s="16">
        <f>HYPERLINK("https://eosportal.federatedhermes.com/engagements/RW5nYWdlbWVudAppMjc2MjM=", "High geographic risks")</f>
      </c>
      <c r="G1388" s="14" t="s">
        <v>4048</v>
      </c>
      <c r="H1388" s="0" t="s">
        <v>141</v>
      </c>
      <c r="I1388" s="14" t="s">
        <v>131</v>
      </c>
      <c r="J1388" s="0" t="s">
        <v>153</v>
      </c>
      <c r="K1388" s="0" t="s">
        <v>243</v>
      </c>
      <c r="L1388" s="0" t="s">
        <v>244</v>
      </c>
      <c r="M1388" s="0" t="s">
        <v>135</v>
      </c>
      <c r="N1388" s="0" t="s">
        <v>136</v>
      </c>
      <c r="O1388" s="0" t="s">
        <v>643</v>
      </c>
      <c r="Q1388" s="0" t="s">
        <v>141</v>
      </c>
      <c r="R1388" s="0" t="s">
        <v>138</v>
      </c>
      <c r="S1388" s="14">
        <v>1</v>
      </c>
      <c r="T1388" s="0" t="s">
        <v>394</v>
      </c>
      <c r="U1388" s="0" t="s">
        <v>138</v>
      </c>
      <c r="V1388" s="14" t="s">
        <v>138</v>
      </c>
      <c r="W1388" s="0" t="s">
        <v>138</v>
      </c>
      <c r="X1388" s="14" t="s">
        <v>138</v>
      </c>
      <c r="Y1388" s="0" t="s">
        <v>138</v>
      </c>
      <c r="Z1388" s="14" t="s">
        <v>138</v>
      </c>
      <c r="AA1388" s="0" t="s">
        <v>138</v>
      </c>
      <c r="AB1388" s="14" t="s">
        <v>138</v>
      </c>
      <c r="AD1388" s="0" t="s">
        <v>138</v>
      </c>
      <c r="AF1388" s="0">
        <v>0</v>
      </c>
      <c r="AG1388" s="0">
        <v>0</v>
      </c>
      <c r="AH1388" s="0" t="s">
        <v>140</v>
      </c>
      <c r="AI1388" s="0" t="s">
        <v>138</v>
      </c>
      <c r="AK1388" s="0" t="s">
        <v>3207</v>
      </c>
      <c r="AL1388" s="14"/>
      <c r="AN1388" s="14"/>
      <c r="AQ1388" s="0" t="s">
        <v>130</v>
      </c>
      <c r="AR1388" s="0" t="s">
        <v>130</v>
      </c>
      <c r="AS1388" s="0" t="s">
        <v>130</v>
      </c>
      <c r="AT1388" s="0" t="s">
        <v>130</v>
      </c>
      <c r="AU1388" s="0" t="s">
        <v>130</v>
      </c>
      <c r="AV1388" s="0" t="s">
        <v>130</v>
      </c>
      <c r="AW1388" s="0" t="s">
        <v>130</v>
      </c>
      <c r="AX1388" s="0" t="s">
        <v>130</v>
      </c>
      <c r="AY1388" s="0" t="s">
        <v>130</v>
      </c>
      <c r="AZ1388" s="0" t="s">
        <v>130</v>
      </c>
      <c r="BA1388" s="0" t="s">
        <v>130</v>
      </c>
      <c r="BB1388" s="0" t="s">
        <v>130</v>
      </c>
      <c r="BC1388" s="0" t="s">
        <v>130</v>
      </c>
      <c r="BD1388" s="0" t="s">
        <v>130</v>
      </c>
      <c r="BE1388" s="0" t="s">
        <v>130</v>
      </c>
      <c r="BF1388" s="0" t="s">
        <v>141</v>
      </c>
      <c r="BG1388" s="0" t="s">
        <v>130</v>
      </c>
      <c r="BH1388" s="0" t="s">
        <v>130</v>
      </c>
      <c r="BI1388" s="0" t="s">
        <v>130</v>
      </c>
      <c r="BJ1388" s="0" t="s">
        <v>130</v>
      </c>
      <c r="BK1388" s="0" t="s">
        <v>130</v>
      </c>
      <c r="BL1388" s="0" t="s">
        <v>130</v>
      </c>
      <c r="BM1388" s="0" t="s">
        <v>130</v>
      </c>
      <c r="BN1388" s="0" t="s">
        <v>130</v>
      </c>
      <c r="BO1388" s="0" t="s">
        <v>130</v>
      </c>
      <c r="BP1388" s="0" t="s">
        <v>130</v>
      </c>
      <c r="BQ1388" s="0" t="s">
        <v>130</v>
      </c>
      <c r="BR1388" s="0" t="s">
        <v>130</v>
      </c>
      <c r="BS1388" s="0" t="s">
        <v>130</v>
      </c>
      <c r="BT1388" s="0" t="s">
        <v>130</v>
      </c>
      <c r="BU1388" s="0" t="s">
        <v>130</v>
      </c>
      <c r="BV1388" s="0" t="s">
        <v>130</v>
      </c>
      <c r="BW1388" s="0" t="s">
        <v>130</v>
      </c>
      <c r="BX1388" s="0" t="s">
        <v>130</v>
      </c>
      <c r="BY1388" s="0" t="s">
        <v>130</v>
      </c>
      <c r="BZ1388" s="0" t="s">
        <v>130</v>
      </c>
      <c r="CA1388" s="0" t="s">
        <v>130</v>
      </c>
      <c r="CB1388" s="0" t="s">
        <v>130</v>
      </c>
      <c r="CC1388" s="0" t="s">
        <v>130</v>
      </c>
      <c r="CD1388" s="0" t="s">
        <v>130</v>
      </c>
      <c r="CE1388" s="0" t="s">
        <v>130</v>
      </c>
      <c r="CF1388" s="0" t="s">
        <v>130</v>
      </c>
      <c r="CG1388" s="0" t="s">
        <v>130</v>
      </c>
      <c r="CH1388" s="0" t="s">
        <v>130</v>
      </c>
      <c r="CI1388" s="0" t="s">
        <v>130</v>
      </c>
      <c r="CJ1388" s="0" t="s">
        <v>130</v>
      </c>
      <c r="CK1388" s="0" t="s">
        <v>130</v>
      </c>
      <c r="CL1388" s="0" t="s">
        <v>130</v>
      </c>
      <c r="CM1388" s="0" t="s">
        <v>130</v>
      </c>
      <c r="CN1388" s="0" t="s">
        <v>130</v>
      </c>
      <c r="CO1388" s="0" t="s">
        <v>130</v>
      </c>
      <c r="CP1388" s="0" t="s">
        <v>130</v>
      </c>
      <c r="CQ1388" s="0" t="s">
        <v>130</v>
      </c>
      <c r="CR1388" s="0" t="s">
        <v>130</v>
      </c>
      <c r="CS1388" s="0" t="s">
        <v>130</v>
      </c>
      <c r="CT1388" s="0" t="s">
        <v>4049</v>
      </c>
    </row>
    <row r="1389">
      <c r="A1389" s="14">
        <v>9337540</v>
      </c>
      <c r="B1389" s="0" t="s">
        <v>4044</v>
      </c>
      <c r="C1389" s="16">
        <f>HYPERLINK("https://eosportal.federatedhermes.com/companies/Q29tcGFueQppNjg3OTI=", "Expedia Group Inc")</f>
      </c>
      <c r="D1389" s="0" t="s">
        <v>25</v>
      </c>
      <c r="E1389" s="0" t="s">
        <v>386</v>
      </c>
      <c r="F1389" s="16">
        <f>HYPERLINK("https://eosportal.federatedhermes.com/engagements/RW5nYWdlbWVudAppMjc2MjQ=", "Board independence")</f>
      </c>
      <c r="G1389" s="14" t="s">
        <v>4050</v>
      </c>
      <c r="H1389" s="0" t="s">
        <v>141</v>
      </c>
      <c r="I1389" s="14" t="s">
        <v>131</v>
      </c>
      <c r="J1389" s="0" t="s">
        <v>145</v>
      </c>
      <c r="K1389" s="0" t="s">
        <v>164</v>
      </c>
      <c r="L1389" s="0" t="s">
        <v>165</v>
      </c>
      <c r="M1389" s="0" t="s">
        <v>135</v>
      </c>
      <c r="N1389" s="0" t="s">
        <v>136</v>
      </c>
      <c r="O1389" s="0" t="s">
        <v>643</v>
      </c>
      <c r="Q1389" s="0" t="s">
        <v>130</v>
      </c>
      <c r="R1389" s="0" t="s">
        <v>138</v>
      </c>
      <c r="S1389" s="14">
        <v>0</v>
      </c>
      <c r="T1389" s="0" t="s">
        <v>193</v>
      </c>
      <c r="U1389" s="0" t="s">
        <v>138</v>
      </c>
      <c r="V1389" s="14" t="s">
        <v>138</v>
      </c>
      <c r="W1389" s="0" t="s">
        <v>138</v>
      </c>
      <c r="X1389" s="14" t="s">
        <v>138</v>
      </c>
      <c r="Y1389" s="0" t="s">
        <v>138</v>
      </c>
      <c r="Z1389" s="14" t="s">
        <v>138</v>
      </c>
      <c r="AA1389" s="0" t="s">
        <v>138</v>
      </c>
      <c r="AB1389" s="14" t="s">
        <v>138</v>
      </c>
      <c r="AD1389" s="0" t="s">
        <v>138</v>
      </c>
      <c r="AF1389" s="0">
        <v>0</v>
      </c>
      <c r="AG1389" s="0">
        <v>0</v>
      </c>
      <c r="AH1389" s="0" t="s">
        <v>140</v>
      </c>
      <c r="AI1389" s="0" t="s">
        <v>138</v>
      </c>
      <c r="AL1389" s="14"/>
      <c r="AN1389" s="14"/>
      <c r="AQ1389" s="0" t="s">
        <v>130</v>
      </c>
      <c r="AR1389" s="0" t="s">
        <v>130</v>
      </c>
      <c r="AS1389" s="0" t="s">
        <v>130</v>
      </c>
      <c r="AT1389" s="0" t="s">
        <v>130</v>
      </c>
      <c r="AU1389" s="0" t="s">
        <v>130</v>
      </c>
      <c r="AV1389" s="0" t="s">
        <v>130</v>
      </c>
      <c r="AW1389" s="0" t="s">
        <v>130</v>
      </c>
      <c r="AX1389" s="0" t="s">
        <v>130</v>
      </c>
      <c r="AY1389" s="0" t="s">
        <v>130</v>
      </c>
      <c r="AZ1389" s="0" t="s">
        <v>130</v>
      </c>
      <c r="BA1389" s="0" t="s">
        <v>130</v>
      </c>
      <c r="BB1389" s="0" t="s">
        <v>130</v>
      </c>
      <c r="BC1389" s="0" t="s">
        <v>130</v>
      </c>
      <c r="BD1389" s="0" t="s">
        <v>130</v>
      </c>
      <c r="BE1389" s="0" t="s">
        <v>130</v>
      </c>
      <c r="BF1389" s="0" t="s">
        <v>130</v>
      </c>
      <c r="BG1389" s="0" t="s">
        <v>130</v>
      </c>
      <c r="BH1389" s="0" t="s">
        <v>130</v>
      </c>
      <c r="BI1389" s="0" t="s">
        <v>130</v>
      </c>
      <c r="BJ1389" s="0" t="s">
        <v>130</v>
      </c>
      <c r="BK1389" s="0" t="s">
        <v>130</v>
      </c>
      <c r="BL1389" s="0" t="s">
        <v>130</v>
      </c>
      <c r="BM1389" s="0" t="s">
        <v>130</v>
      </c>
      <c r="BN1389" s="0" t="s">
        <v>130</v>
      </c>
      <c r="BO1389" s="0" t="s">
        <v>130</v>
      </c>
      <c r="BP1389" s="0" t="s">
        <v>130</v>
      </c>
      <c r="BQ1389" s="0" t="s">
        <v>130</v>
      </c>
      <c r="BR1389" s="0" t="s">
        <v>130</v>
      </c>
      <c r="BS1389" s="0" t="s">
        <v>130</v>
      </c>
      <c r="BT1389" s="0" t="s">
        <v>130</v>
      </c>
      <c r="BU1389" s="0" t="s">
        <v>130</v>
      </c>
      <c r="BV1389" s="0" t="s">
        <v>130</v>
      </c>
      <c r="BW1389" s="0" t="s">
        <v>130</v>
      </c>
      <c r="BX1389" s="0" t="s">
        <v>130</v>
      </c>
      <c r="BY1389" s="0" t="s">
        <v>130</v>
      </c>
      <c r="BZ1389" s="0" t="s">
        <v>130</v>
      </c>
      <c r="CA1389" s="0" t="s">
        <v>130</v>
      </c>
      <c r="CB1389" s="0" t="s">
        <v>130</v>
      </c>
      <c r="CC1389" s="0" t="s">
        <v>130</v>
      </c>
      <c r="CD1389" s="0" t="s">
        <v>130</v>
      </c>
      <c r="CE1389" s="0" t="s">
        <v>130</v>
      </c>
      <c r="CF1389" s="0" t="s">
        <v>130</v>
      </c>
      <c r="CG1389" s="0" t="s">
        <v>130</v>
      </c>
      <c r="CH1389" s="0" t="s">
        <v>130</v>
      </c>
      <c r="CI1389" s="0" t="s">
        <v>130</v>
      </c>
      <c r="CJ1389" s="0" t="s">
        <v>130</v>
      </c>
      <c r="CK1389" s="0" t="s">
        <v>130</v>
      </c>
      <c r="CL1389" s="0" t="s">
        <v>130</v>
      </c>
      <c r="CM1389" s="0" t="s">
        <v>130</v>
      </c>
      <c r="CN1389" s="0" t="s">
        <v>130</v>
      </c>
      <c r="CO1389" s="0" t="s">
        <v>130</v>
      </c>
      <c r="CP1389" s="0" t="s">
        <v>130</v>
      </c>
      <c r="CQ1389" s="0" t="s">
        <v>130</v>
      </c>
      <c r="CR1389" s="0" t="s">
        <v>130</v>
      </c>
      <c r="CS1389" s="0" t="s">
        <v>130</v>
      </c>
      <c r="CT1389" s="0" t="s">
        <v>4051</v>
      </c>
    </row>
    <row r="1390">
      <c r="A1390" s="14">
        <v>9337540</v>
      </c>
      <c r="B1390" s="0" t="s">
        <v>4044</v>
      </c>
      <c r="C1390" s="16">
        <f>HYPERLINK("https://eosportal.federatedhermes.com/companies/Q29tcGFueQppNjg3OTI=", "Expedia Group Inc")</f>
      </c>
      <c r="D1390" s="0" t="s">
        <v>25</v>
      </c>
      <c r="E1390" s="0" t="s">
        <v>341</v>
      </c>
      <c r="F1390" s="16">
        <f>HYPERLINK("https://eosportal.federatedhermes.com/engagements/RW5nYWdlbWVudAppMjc2MjU=", "Remuneration")</f>
      </c>
      <c r="G1390" s="14" t="s">
        <v>4052</v>
      </c>
      <c r="H1390" s="0" t="s">
        <v>141</v>
      </c>
      <c r="I1390" s="14" t="s">
        <v>131</v>
      </c>
      <c r="J1390" s="0" t="s">
        <v>145</v>
      </c>
      <c r="K1390" s="0" t="s">
        <v>146</v>
      </c>
      <c r="L1390" s="0" t="s">
        <v>147</v>
      </c>
      <c r="M1390" s="0" t="s">
        <v>135</v>
      </c>
      <c r="N1390" s="0" t="s">
        <v>136</v>
      </c>
      <c r="O1390" s="0" t="s">
        <v>643</v>
      </c>
      <c r="Q1390" s="0" t="s">
        <v>130</v>
      </c>
      <c r="R1390" s="0" t="s">
        <v>138</v>
      </c>
      <c r="S1390" s="14">
        <v>0</v>
      </c>
      <c r="T1390" s="0" t="s">
        <v>435</v>
      </c>
      <c r="U1390" s="0" t="s">
        <v>138</v>
      </c>
      <c r="V1390" s="14" t="s">
        <v>138</v>
      </c>
      <c r="W1390" s="0" t="s">
        <v>138</v>
      </c>
      <c r="X1390" s="14" t="s">
        <v>138</v>
      </c>
      <c r="Y1390" s="0" t="s">
        <v>138</v>
      </c>
      <c r="Z1390" s="14" t="s">
        <v>138</v>
      </c>
      <c r="AA1390" s="0" t="s">
        <v>138</v>
      </c>
      <c r="AB1390" s="14" t="s">
        <v>138</v>
      </c>
      <c r="AD1390" s="0" t="s">
        <v>138</v>
      </c>
      <c r="AF1390" s="0">
        <v>0</v>
      </c>
      <c r="AG1390" s="0">
        <v>0</v>
      </c>
      <c r="AH1390" s="0" t="s">
        <v>140</v>
      </c>
      <c r="AI1390" s="0" t="s">
        <v>138</v>
      </c>
      <c r="AL1390" s="14"/>
      <c r="AN1390" s="14"/>
      <c r="AQ1390" s="0" t="s">
        <v>130</v>
      </c>
      <c r="AR1390" s="0" t="s">
        <v>130</v>
      </c>
      <c r="AS1390" s="0" t="s">
        <v>130</v>
      </c>
      <c r="AT1390" s="0" t="s">
        <v>130</v>
      </c>
      <c r="AU1390" s="0" t="s">
        <v>130</v>
      </c>
      <c r="AV1390" s="0" t="s">
        <v>130</v>
      </c>
      <c r="AW1390" s="0" t="s">
        <v>130</v>
      </c>
      <c r="AX1390" s="0" t="s">
        <v>130</v>
      </c>
      <c r="AY1390" s="0" t="s">
        <v>130</v>
      </c>
      <c r="AZ1390" s="0" t="s">
        <v>130</v>
      </c>
      <c r="BA1390" s="0" t="s">
        <v>130</v>
      </c>
      <c r="BB1390" s="0" t="s">
        <v>130</v>
      </c>
      <c r="BC1390" s="0" t="s">
        <v>130</v>
      </c>
      <c r="BD1390" s="0" t="s">
        <v>130</v>
      </c>
      <c r="BE1390" s="0" t="s">
        <v>130</v>
      </c>
      <c r="BF1390" s="0" t="s">
        <v>130</v>
      </c>
      <c r="BG1390" s="0" t="s">
        <v>130</v>
      </c>
      <c r="BH1390" s="0" t="s">
        <v>130</v>
      </c>
      <c r="BI1390" s="0" t="s">
        <v>130</v>
      </c>
      <c r="BJ1390" s="0" t="s">
        <v>130</v>
      </c>
      <c r="BK1390" s="0" t="s">
        <v>130</v>
      </c>
      <c r="BL1390" s="0" t="s">
        <v>130</v>
      </c>
      <c r="BM1390" s="0" t="s">
        <v>130</v>
      </c>
      <c r="BN1390" s="0" t="s">
        <v>130</v>
      </c>
      <c r="BO1390" s="0" t="s">
        <v>130</v>
      </c>
      <c r="BP1390" s="0" t="s">
        <v>130</v>
      </c>
      <c r="BQ1390" s="0" t="s">
        <v>130</v>
      </c>
      <c r="BR1390" s="0" t="s">
        <v>130</v>
      </c>
      <c r="BS1390" s="0" t="s">
        <v>130</v>
      </c>
      <c r="BT1390" s="0" t="s">
        <v>130</v>
      </c>
      <c r="BU1390" s="0" t="s">
        <v>130</v>
      </c>
      <c r="BV1390" s="0" t="s">
        <v>130</v>
      </c>
      <c r="BW1390" s="0" t="s">
        <v>130</v>
      </c>
      <c r="BX1390" s="0" t="s">
        <v>130</v>
      </c>
      <c r="BY1390" s="0" t="s">
        <v>130</v>
      </c>
      <c r="BZ1390" s="0" t="s">
        <v>130</v>
      </c>
      <c r="CA1390" s="0" t="s">
        <v>130</v>
      </c>
      <c r="CB1390" s="0" t="s">
        <v>130</v>
      </c>
      <c r="CC1390" s="0" t="s">
        <v>130</v>
      </c>
      <c r="CD1390" s="0" t="s">
        <v>130</v>
      </c>
      <c r="CE1390" s="0" t="s">
        <v>130</v>
      </c>
      <c r="CF1390" s="0" t="s">
        <v>130</v>
      </c>
      <c r="CG1390" s="0" t="s">
        <v>130</v>
      </c>
      <c r="CH1390" s="0" t="s">
        <v>130</v>
      </c>
      <c r="CI1390" s="0" t="s">
        <v>130</v>
      </c>
      <c r="CJ1390" s="0" t="s">
        <v>130</v>
      </c>
      <c r="CK1390" s="0" t="s">
        <v>130</v>
      </c>
      <c r="CL1390" s="0" t="s">
        <v>130</v>
      </c>
      <c r="CM1390" s="0" t="s">
        <v>130</v>
      </c>
      <c r="CN1390" s="0" t="s">
        <v>130</v>
      </c>
      <c r="CO1390" s="0" t="s">
        <v>130</v>
      </c>
      <c r="CP1390" s="0" t="s">
        <v>130</v>
      </c>
      <c r="CQ1390" s="0" t="s">
        <v>130</v>
      </c>
      <c r="CR1390" s="0" t="s">
        <v>130</v>
      </c>
      <c r="CS1390" s="0" t="s">
        <v>130</v>
      </c>
      <c r="CT1390" s="0" t="s">
        <v>4053</v>
      </c>
    </row>
    <row r="1391">
      <c r="A1391" s="14">
        <v>11583006</v>
      </c>
      <c r="B1391" s="0" t="s">
        <v>4054</v>
      </c>
      <c r="C1391" s="16">
        <f>HYPERLINK("https://eosportal.federatedhermes.com/companies/Q29tcGFueQppODUyMTc=", "Rexel SA")</f>
      </c>
      <c r="D1391" s="0" t="s">
        <v>25</v>
      </c>
      <c r="E1391" s="0" t="s">
        <v>3567</v>
      </c>
      <c r="F1391" s="16">
        <f>HYPERLINK("https://eosportal.federatedhermes.com/engagements/RW5nYWdlbWVudAppMjc2OTY=", "Workforce diversity")</f>
      </c>
      <c r="G1391" s="14" t="s">
        <v>4055</v>
      </c>
      <c r="H1391" s="0" t="s">
        <v>130</v>
      </c>
      <c r="I1391" s="14" t="s">
        <v>131</v>
      </c>
      <c r="J1391" s="0" t="s">
        <v>153</v>
      </c>
      <c r="K1391" s="0" t="s">
        <v>154</v>
      </c>
      <c r="L1391" s="0" t="s">
        <v>268</v>
      </c>
      <c r="M1391" s="0" t="s">
        <v>378</v>
      </c>
      <c r="N1391" s="0" t="s">
        <v>1646</v>
      </c>
      <c r="O1391" s="0" t="s">
        <v>176</v>
      </c>
      <c r="Q1391" s="0" t="s">
        <v>130</v>
      </c>
      <c r="R1391" s="0" t="s">
        <v>138</v>
      </c>
      <c r="S1391" s="14">
        <v>0</v>
      </c>
      <c r="T1391" s="0" t="s">
        <v>583</v>
      </c>
      <c r="U1391" s="0" t="s">
        <v>138</v>
      </c>
      <c r="V1391" s="14" t="s">
        <v>138</v>
      </c>
      <c r="W1391" s="0" t="s">
        <v>138</v>
      </c>
      <c r="X1391" s="14" t="s">
        <v>138</v>
      </c>
      <c r="Y1391" s="0" t="s">
        <v>138</v>
      </c>
      <c r="Z1391" s="14" t="s">
        <v>138</v>
      </c>
      <c r="AA1391" s="0" t="s">
        <v>138</v>
      </c>
      <c r="AB1391" s="14" t="s">
        <v>138</v>
      </c>
      <c r="AD1391" s="0" t="s">
        <v>138</v>
      </c>
      <c r="AF1391" s="0">
        <v>0</v>
      </c>
      <c r="AG1391" s="0">
        <v>0</v>
      </c>
      <c r="AH1391" s="0" t="s">
        <v>140</v>
      </c>
      <c r="AI1391" s="0" t="s">
        <v>138</v>
      </c>
      <c r="AL1391" s="14"/>
      <c r="AN1391" s="14"/>
      <c r="AQ1391" s="0" t="s">
        <v>130</v>
      </c>
      <c r="AR1391" s="0" t="s">
        <v>130</v>
      </c>
      <c r="AS1391" s="0" t="s">
        <v>130</v>
      </c>
      <c r="AT1391" s="0" t="s">
        <v>130</v>
      </c>
      <c r="AU1391" s="0" t="s">
        <v>130</v>
      </c>
      <c r="AV1391" s="0" t="s">
        <v>130</v>
      </c>
      <c r="AW1391" s="0" t="s">
        <v>130</v>
      </c>
      <c r="AX1391" s="0" t="s">
        <v>130</v>
      </c>
      <c r="AY1391" s="0" t="s">
        <v>130</v>
      </c>
      <c r="AZ1391" s="0" t="s">
        <v>130</v>
      </c>
      <c r="BA1391" s="0" t="s">
        <v>130</v>
      </c>
      <c r="BB1391" s="0" t="s">
        <v>130</v>
      </c>
      <c r="BC1391" s="0" t="s">
        <v>130</v>
      </c>
      <c r="BD1391" s="0" t="s">
        <v>130</v>
      </c>
      <c r="BE1391" s="0" t="s">
        <v>130</v>
      </c>
      <c r="BF1391" s="0" t="s">
        <v>130</v>
      </c>
      <c r="BG1391" s="0" t="s">
        <v>130</v>
      </c>
      <c r="BH1391" s="0" t="s">
        <v>130</v>
      </c>
      <c r="BI1391" s="0" t="s">
        <v>130</v>
      </c>
      <c r="BJ1391" s="0" t="s">
        <v>130</v>
      </c>
      <c r="BK1391" s="0" t="s">
        <v>130</v>
      </c>
      <c r="BL1391" s="0" t="s">
        <v>130</v>
      </c>
      <c r="BM1391" s="0" t="s">
        <v>130</v>
      </c>
      <c r="BN1391" s="0" t="s">
        <v>130</v>
      </c>
      <c r="BO1391" s="0" t="s">
        <v>130</v>
      </c>
      <c r="BP1391" s="0" t="s">
        <v>130</v>
      </c>
      <c r="BQ1391" s="0" t="s">
        <v>130</v>
      </c>
      <c r="BR1391" s="0" t="s">
        <v>130</v>
      </c>
      <c r="BS1391" s="0" t="s">
        <v>130</v>
      </c>
      <c r="BT1391" s="0" t="s">
        <v>130</v>
      </c>
      <c r="BU1391" s="0" t="s">
        <v>130</v>
      </c>
      <c r="BV1391" s="0" t="s">
        <v>130</v>
      </c>
      <c r="BW1391" s="0" t="s">
        <v>130</v>
      </c>
      <c r="BX1391" s="0" t="s">
        <v>130</v>
      </c>
      <c r="BY1391" s="0" t="s">
        <v>130</v>
      </c>
      <c r="BZ1391" s="0" t="s">
        <v>130</v>
      </c>
      <c r="CA1391" s="0" t="s">
        <v>130</v>
      </c>
      <c r="CB1391" s="0" t="s">
        <v>130</v>
      </c>
      <c r="CC1391" s="0" t="s">
        <v>130</v>
      </c>
      <c r="CD1391" s="0" t="s">
        <v>130</v>
      </c>
      <c r="CE1391" s="0" t="s">
        <v>130</v>
      </c>
      <c r="CF1391" s="0" t="s">
        <v>130</v>
      </c>
      <c r="CG1391" s="0" t="s">
        <v>130</v>
      </c>
      <c r="CH1391" s="0" t="s">
        <v>130</v>
      </c>
      <c r="CI1391" s="0" t="s">
        <v>130</v>
      </c>
      <c r="CJ1391" s="0" t="s">
        <v>130</v>
      </c>
      <c r="CK1391" s="0" t="s">
        <v>141</v>
      </c>
      <c r="CL1391" s="0" t="s">
        <v>130</v>
      </c>
      <c r="CM1391" s="0" t="s">
        <v>130</v>
      </c>
      <c r="CN1391" s="0" t="s">
        <v>130</v>
      </c>
      <c r="CO1391" s="0" t="s">
        <v>130</v>
      </c>
      <c r="CP1391" s="0" t="s">
        <v>130</v>
      </c>
      <c r="CQ1391" s="0" t="s">
        <v>130</v>
      </c>
      <c r="CR1391" s="0" t="s">
        <v>130</v>
      </c>
      <c r="CS1391" s="0" t="s">
        <v>130</v>
      </c>
      <c r="CT1391" s="0" t="s">
        <v>4056</v>
      </c>
    </row>
    <row r="1392">
      <c r="A1392" s="14">
        <v>11583006</v>
      </c>
      <c r="B1392" s="0" t="s">
        <v>4054</v>
      </c>
      <c r="C1392" s="16">
        <f>HYPERLINK("https://eosportal.federatedhermes.com/companies/Q29tcGFueQppODUyMTc=", "Rexel SA")</f>
      </c>
      <c r="D1392" s="0" t="s">
        <v>25</v>
      </c>
      <c r="E1392" s="0" t="s">
        <v>4057</v>
      </c>
      <c r="F1392" s="16">
        <f>HYPERLINK("https://eosportal.federatedhermes.com/engagements/RW5nYWdlbWVudAppMjc2OTc=", "Aligning sustainability reporting with best-practice frameworks")</f>
      </c>
      <c r="G1392" s="14" t="s">
        <v>4058</v>
      </c>
      <c r="H1392" s="0" t="s">
        <v>130</v>
      </c>
      <c r="I1392" s="14" t="s">
        <v>131</v>
      </c>
      <c r="J1392" s="0" t="s">
        <v>132</v>
      </c>
      <c r="K1392" s="0" t="s">
        <v>170</v>
      </c>
      <c r="L1392" s="0" t="s">
        <v>171</v>
      </c>
      <c r="M1392" s="0" t="s">
        <v>378</v>
      </c>
      <c r="N1392" s="0" t="s">
        <v>1646</v>
      </c>
      <c r="O1392" s="0" t="s">
        <v>176</v>
      </c>
      <c r="Q1392" s="0" t="s">
        <v>141</v>
      </c>
      <c r="R1392" s="0" t="s">
        <v>138</v>
      </c>
      <c r="S1392" s="14">
        <v>1</v>
      </c>
      <c r="T1392" s="0" t="s">
        <v>230</v>
      </c>
      <c r="U1392" s="0" t="s">
        <v>138</v>
      </c>
      <c r="V1392" s="14" t="s">
        <v>138</v>
      </c>
      <c r="W1392" s="0" t="s">
        <v>138</v>
      </c>
      <c r="X1392" s="14" t="s">
        <v>138</v>
      </c>
      <c r="Y1392" s="0" t="s">
        <v>138</v>
      </c>
      <c r="Z1392" s="14" t="s">
        <v>138</v>
      </c>
      <c r="AA1392" s="0" t="s">
        <v>138</v>
      </c>
      <c r="AB1392" s="14" t="s">
        <v>138</v>
      </c>
      <c r="AD1392" s="0" t="s">
        <v>138</v>
      </c>
      <c r="AF1392" s="0">
        <v>0</v>
      </c>
      <c r="AG1392" s="0">
        <v>0</v>
      </c>
      <c r="AH1392" s="0" t="s">
        <v>140</v>
      </c>
      <c r="AI1392" s="0" t="s">
        <v>138</v>
      </c>
      <c r="AK1392" s="0" t="s">
        <v>1151</v>
      </c>
      <c r="AL1392" s="14"/>
      <c r="AN1392" s="14"/>
      <c r="AQ1392" s="0" t="s">
        <v>130</v>
      </c>
      <c r="AR1392" s="0" t="s">
        <v>130</v>
      </c>
      <c r="AS1392" s="0" t="s">
        <v>130</v>
      </c>
      <c r="AT1392" s="0" t="s">
        <v>130</v>
      </c>
      <c r="AU1392" s="0" t="s">
        <v>130</v>
      </c>
      <c r="AV1392" s="0" t="s">
        <v>130</v>
      </c>
      <c r="AW1392" s="0" t="s">
        <v>130</v>
      </c>
      <c r="AX1392" s="0" t="s">
        <v>130</v>
      </c>
      <c r="AY1392" s="0" t="s">
        <v>130</v>
      </c>
      <c r="AZ1392" s="0" t="s">
        <v>130</v>
      </c>
      <c r="BA1392" s="0" t="s">
        <v>130</v>
      </c>
      <c r="BB1392" s="0" t="s">
        <v>130</v>
      </c>
      <c r="BC1392" s="0" t="s">
        <v>130</v>
      </c>
      <c r="BD1392" s="0" t="s">
        <v>130</v>
      </c>
      <c r="BE1392" s="0" t="s">
        <v>130</v>
      </c>
      <c r="BF1392" s="0" t="s">
        <v>130</v>
      </c>
      <c r="BG1392" s="0" t="s">
        <v>130</v>
      </c>
      <c r="BH1392" s="0" t="s">
        <v>130</v>
      </c>
      <c r="BI1392" s="0" t="s">
        <v>130</v>
      </c>
      <c r="BJ1392" s="0" t="s">
        <v>130</v>
      </c>
      <c r="BK1392" s="0" t="s">
        <v>130</v>
      </c>
      <c r="BL1392" s="0" t="s">
        <v>130</v>
      </c>
      <c r="BM1392" s="0" t="s">
        <v>130</v>
      </c>
      <c r="BN1392" s="0" t="s">
        <v>130</v>
      </c>
      <c r="BO1392" s="0" t="s">
        <v>130</v>
      </c>
      <c r="BP1392" s="0" t="s">
        <v>130</v>
      </c>
      <c r="BQ1392" s="0" t="s">
        <v>130</v>
      </c>
      <c r="BR1392" s="0" t="s">
        <v>130</v>
      </c>
      <c r="BS1392" s="0" t="s">
        <v>130</v>
      </c>
      <c r="BT1392" s="0" t="s">
        <v>130</v>
      </c>
      <c r="BU1392" s="0" t="s">
        <v>130</v>
      </c>
      <c r="BV1392" s="0" t="s">
        <v>130</v>
      </c>
      <c r="BW1392" s="0" t="s">
        <v>130</v>
      </c>
      <c r="BX1392" s="0" t="s">
        <v>130</v>
      </c>
      <c r="BY1392" s="0" t="s">
        <v>130</v>
      </c>
      <c r="BZ1392" s="0" t="s">
        <v>130</v>
      </c>
      <c r="CA1392" s="0" t="s">
        <v>130</v>
      </c>
      <c r="CB1392" s="0" t="s">
        <v>130</v>
      </c>
      <c r="CC1392" s="0" t="s">
        <v>130</v>
      </c>
      <c r="CD1392" s="0" t="s">
        <v>130</v>
      </c>
      <c r="CE1392" s="0" t="s">
        <v>130</v>
      </c>
      <c r="CF1392" s="0" t="s">
        <v>130</v>
      </c>
      <c r="CG1392" s="0" t="s">
        <v>130</v>
      </c>
      <c r="CH1392" s="0" t="s">
        <v>130</v>
      </c>
      <c r="CI1392" s="0" t="s">
        <v>130</v>
      </c>
      <c r="CJ1392" s="0" t="s">
        <v>130</v>
      </c>
      <c r="CK1392" s="0" t="s">
        <v>130</v>
      </c>
      <c r="CL1392" s="0" t="s">
        <v>130</v>
      </c>
      <c r="CM1392" s="0" t="s">
        <v>130</v>
      </c>
      <c r="CN1392" s="0" t="s">
        <v>130</v>
      </c>
      <c r="CO1392" s="0" t="s">
        <v>130</v>
      </c>
      <c r="CP1392" s="0" t="s">
        <v>130</v>
      </c>
      <c r="CQ1392" s="0" t="s">
        <v>130</v>
      </c>
      <c r="CR1392" s="0" t="s">
        <v>130</v>
      </c>
      <c r="CS1392" s="0" t="s">
        <v>130</v>
      </c>
      <c r="CT1392" s="0" t="s">
        <v>4059</v>
      </c>
    </row>
    <row r="1393">
      <c r="A1393" s="14">
        <v>11583006</v>
      </c>
      <c r="B1393" s="0" t="s">
        <v>4054</v>
      </c>
      <c r="C1393" s="16">
        <f>HYPERLINK("https://eosportal.federatedhermes.com/companies/Q29tcGFueQppODUyMTc=", "Rexel SA")</f>
      </c>
      <c r="D1393" s="0" t="s">
        <v>25</v>
      </c>
      <c r="E1393" s="0" t="s">
        <v>4060</v>
      </c>
      <c r="F1393" s="16">
        <f>HYPERLINK("https://eosportal.federatedhermes.com/engagements/RW5nYWdlbWVudAppMjc2OTg=", "Circular economy strategy")</f>
      </c>
      <c r="G1393" s="14" t="s">
        <v>4061</v>
      </c>
      <c r="H1393" s="0" t="s">
        <v>130</v>
      </c>
      <c r="I1393" s="14" t="s">
        <v>131</v>
      </c>
      <c r="J1393" s="0" t="s">
        <v>197</v>
      </c>
      <c r="K1393" s="0" t="s">
        <v>348</v>
      </c>
      <c r="L1393" s="0" t="s">
        <v>349</v>
      </c>
      <c r="M1393" s="0" t="s">
        <v>378</v>
      </c>
      <c r="N1393" s="0" t="s">
        <v>1646</v>
      </c>
      <c r="O1393" s="0" t="s">
        <v>176</v>
      </c>
      <c r="Q1393" s="0" t="s">
        <v>141</v>
      </c>
      <c r="R1393" s="0" t="s">
        <v>138</v>
      </c>
      <c r="S1393" s="14">
        <v>1</v>
      </c>
      <c r="T1393" s="0" t="s">
        <v>230</v>
      </c>
      <c r="U1393" s="0" t="s">
        <v>138</v>
      </c>
      <c r="V1393" s="14" t="s">
        <v>138</v>
      </c>
      <c r="W1393" s="0" t="s">
        <v>138</v>
      </c>
      <c r="X1393" s="14" t="s">
        <v>138</v>
      </c>
      <c r="Y1393" s="0" t="s">
        <v>138</v>
      </c>
      <c r="Z1393" s="14" t="s">
        <v>138</v>
      </c>
      <c r="AA1393" s="0" t="s">
        <v>138</v>
      </c>
      <c r="AB1393" s="14" t="s">
        <v>138</v>
      </c>
      <c r="AD1393" s="0" t="s">
        <v>138</v>
      </c>
      <c r="AF1393" s="0">
        <v>0</v>
      </c>
      <c r="AG1393" s="0">
        <v>0</v>
      </c>
      <c r="AH1393" s="0" t="s">
        <v>140</v>
      </c>
      <c r="AI1393" s="0" t="s">
        <v>138</v>
      </c>
      <c r="AK1393" s="0" t="s">
        <v>1151</v>
      </c>
      <c r="AL1393" s="14"/>
      <c r="AN1393" s="14"/>
      <c r="AQ1393" s="0" t="s">
        <v>130</v>
      </c>
      <c r="AR1393" s="0" t="s">
        <v>130</v>
      </c>
      <c r="AS1393" s="0" t="s">
        <v>130</v>
      </c>
      <c r="AT1393" s="0" t="s">
        <v>130</v>
      </c>
      <c r="AU1393" s="0" t="s">
        <v>130</v>
      </c>
      <c r="AV1393" s="0" t="s">
        <v>130</v>
      </c>
      <c r="AW1393" s="0" t="s">
        <v>130</v>
      </c>
      <c r="AX1393" s="0" t="s">
        <v>130</v>
      </c>
      <c r="AY1393" s="0" t="s">
        <v>130</v>
      </c>
      <c r="AZ1393" s="0" t="s">
        <v>130</v>
      </c>
      <c r="BA1393" s="0" t="s">
        <v>130</v>
      </c>
      <c r="BB1393" s="0" t="s">
        <v>141</v>
      </c>
      <c r="BC1393" s="0" t="s">
        <v>130</v>
      </c>
      <c r="BD1393" s="0" t="s">
        <v>130</v>
      </c>
      <c r="BE1393" s="0" t="s">
        <v>130</v>
      </c>
      <c r="BF1393" s="0" t="s">
        <v>130</v>
      </c>
      <c r="BG1393" s="0" t="s">
        <v>130</v>
      </c>
      <c r="BH1393" s="0" t="s">
        <v>130</v>
      </c>
      <c r="BI1393" s="0" t="s">
        <v>130</v>
      </c>
      <c r="BJ1393" s="0" t="s">
        <v>130</v>
      </c>
      <c r="BK1393" s="0" t="s">
        <v>130</v>
      </c>
      <c r="BL1393" s="0" t="s">
        <v>130</v>
      </c>
      <c r="BM1393" s="0" t="s">
        <v>130</v>
      </c>
      <c r="BN1393" s="0" t="s">
        <v>130</v>
      </c>
      <c r="BO1393" s="0" t="s">
        <v>130</v>
      </c>
      <c r="BP1393" s="0" t="s">
        <v>130</v>
      </c>
      <c r="BQ1393" s="0" t="s">
        <v>130</v>
      </c>
      <c r="BR1393" s="0" t="s">
        <v>130</v>
      </c>
      <c r="BS1393" s="0" t="s">
        <v>130</v>
      </c>
      <c r="BT1393" s="0" t="s">
        <v>130</v>
      </c>
      <c r="BU1393" s="0" t="s">
        <v>130</v>
      </c>
      <c r="BV1393" s="0" t="s">
        <v>130</v>
      </c>
      <c r="BW1393" s="0" t="s">
        <v>130</v>
      </c>
      <c r="BX1393" s="0" t="s">
        <v>130</v>
      </c>
      <c r="BY1393" s="0" t="s">
        <v>130</v>
      </c>
      <c r="BZ1393" s="0" t="s">
        <v>130</v>
      </c>
      <c r="CA1393" s="0" t="s">
        <v>130</v>
      </c>
      <c r="CB1393" s="0" t="s">
        <v>130</v>
      </c>
      <c r="CC1393" s="0" t="s">
        <v>130</v>
      </c>
      <c r="CD1393" s="0" t="s">
        <v>141</v>
      </c>
      <c r="CE1393" s="0" t="s">
        <v>130</v>
      </c>
      <c r="CF1393" s="0" t="s">
        <v>130</v>
      </c>
      <c r="CG1393" s="0" t="s">
        <v>130</v>
      </c>
      <c r="CH1393" s="0" t="s">
        <v>130</v>
      </c>
      <c r="CI1393" s="0" t="s">
        <v>130</v>
      </c>
      <c r="CJ1393" s="0" t="s">
        <v>130</v>
      </c>
      <c r="CK1393" s="0" t="s">
        <v>130</v>
      </c>
      <c r="CL1393" s="0" t="s">
        <v>130</v>
      </c>
      <c r="CM1393" s="0" t="s">
        <v>130</v>
      </c>
      <c r="CN1393" s="0" t="s">
        <v>130</v>
      </c>
      <c r="CO1393" s="0" t="s">
        <v>130</v>
      </c>
      <c r="CP1393" s="0" t="s">
        <v>130</v>
      </c>
      <c r="CQ1393" s="0" t="s">
        <v>130</v>
      </c>
      <c r="CR1393" s="0" t="s">
        <v>130</v>
      </c>
      <c r="CS1393" s="0" t="s">
        <v>130</v>
      </c>
      <c r="CT1393" s="0" t="s">
        <v>4062</v>
      </c>
    </row>
    <row r="1394">
      <c r="A1394" s="14">
        <v>9785761</v>
      </c>
      <c r="B1394" s="0" t="s">
        <v>4063</v>
      </c>
      <c r="C1394" s="16">
        <f>HYPERLINK("https://eosportal.federatedhermes.com/companies/Q29tcGFueQppODMwNTM=", "CF Industries Holdings Inc")</f>
      </c>
      <c r="D1394" s="0" t="s">
        <v>25</v>
      </c>
      <c r="E1394" s="0" t="s">
        <v>907</v>
      </c>
      <c r="F1394" s="16">
        <f>HYPERLINK("https://eosportal.federatedhermes.com/engagements/RW5nYWdlbWVudAppMjc3NTE=", "Climate change")</f>
      </c>
      <c r="G1394" s="14" t="s">
        <v>4064</v>
      </c>
      <c r="H1394" s="0" t="s">
        <v>130</v>
      </c>
      <c r="I1394" s="14" t="s">
        <v>131</v>
      </c>
      <c r="J1394" s="0" t="s">
        <v>197</v>
      </c>
      <c r="K1394" s="0" t="s">
        <v>198</v>
      </c>
      <c r="L1394" s="0" t="s">
        <v>199</v>
      </c>
      <c r="M1394" s="0" t="s">
        <v>135</v>
      </c>
      <c r="N1394" s="0" t="s">
        <v>136</v>
      </c>
      <c r="O1394" s="0" t="s">
        <v>706</v>
      </c>
      <c r="Q1394" s="0" t="s">
        <v>141</v>
      </c>
      <c r="R1394" s="0" t="s">
        <v>138</v>
      </c>
      <c r="S1394" s="14">
        <v>1</v>
      </c>
      <c r="T1394" s="0" t="s">
        <v>193</v>
      </c>
      <c r="U1394" s="0" t="s">
        <v>138</v>
      </c>
      <c r="V1394" s="14" t="s">
        <v>138</v>
      </c>
      <c r="W1394" s="0" t="s">
        <v>138</v>
      </c>
      <c r="X1394" s="14" t="s">
        <v>138</v>
      </c>
      <c r="Y1394" s="0" t="s">
        <v>138</v>
      </c>
      <c r="Z1394" s="14" t="s">
        <v>138</v>
      </c>
      <c r="AA1394" s="0" t="s">
        <v>138</v>
      </c>
      <c r="AB1394" s="14" t="s">
        <v>138</v>
      </c>
      <c r="AD1394" s="0" t="s">
        <v>138</v>
      </c>
      <c r="AF1394" s="0">
        <v>0</v>
      </c>
      <c r="AG1394" s="0">
        <v>0</v>
      </c>
      <c r="AH1394" s="0" t="s">
        <v>140</v>
      </c>
      <c r="AI1394" s="0" t="s">
        <v>138</v>
      </c>
      <c r="AK1394" s="0" t="s">
        <v>3584</v>
      </c>
      <c r="AL1394" s="14"/>
      <c r="AN1394" s="14"/>
      <c r="AQ1394" s="0" t="s">
        <v>130</v>
      </c>
      <c r="AR1394" s="0" t="s">
        <v>130</v>
      </c>
      <c r="AS1394" s="0" t="s">
        <v>130</v>
      </c>
      <c r="AT1394" s="0" t="s">
        <v>130</v>
      </c>
      <c r="AU1394" s="0" t="s">
        <v>130</v>
      </c>
      <c r="AV1394" s="0" t="s">
        <v>130</v>
      </c>
      <c r="AW1394" s="0" t="s">
        <v>130</v>
      </c>
      <c r="AX1394" s="0" t="s">
        <v>130</v>
      </c>
      <c r="AY1394" s="0" t="s">
        <v>130</v>
      </c>
      <c r="AZ1394" s="0" t="s">
        <v>130</v>
      </c>
      <c r="BA1394" s="0" t="s">
        <v>130</v>
      </c>
      <c r="BB1394" s="0" t="s">
        <v>141</v>
      </c>
      <c r="BC1394" s="0" t="s">
        <v>141</v>
      </c>
      <c r="BD1394" s="0" t="s">
        <v>130</v>
      </c>
      <c r="BE1394" s="0" t="s">
        <v>130</v>
      </c>
      <c r="BF1394" s="0" t="s">
        <v>130</v>
      </c>
      <c r="BG1394" s="0" t="s">
        <v>130</v>
      </c>
      <c r="BH1394" s="0" t="s">
        <v>130</v>
      </c>
      <c r="BI1394" s="0" t="s">
        <v>130</v>
      </c>
      <c r="BJ1394" s="0" t="s">
        <v>130</v>
      </c>
      <c r="BK1394" s="0" t="s">
        <v>130</v>
      </c>
      <c r="BL1394" s="0" t="s">
        <v>130</v>
      </c>
      <c r="BM1394" s="0" t="s">
        <v>130</v>
      </c>
      <c r="BN1394" s="0" t="s">
        <v>130</v>
      </c>
      <c r="BO1394" s="0" t="s">
        <v>130</v>
      </c>
      <c r="BP1394" s="0" t="s">
        <v>130</v>
      </c>
      <c r="BQ1394" s="0" t="s">
        <v>130</v>
      </c>
      <c r="BR1394" s="0" t="s">
        <v>130</v>
      </c>
      <c r="BS1394" s="0" t="s">
        <v>130</v>
      </c>
      <c r="BT1394" s="0" t="s">
        <v>130</v>
      </c>
      <c r="BU1394" s="0" t="s">
        <v>130</v>
      </c>
      <c r="BV1394" s="0" t="s">
        <v>130</v>
      </c>
      <c r="BW1394" s="0" t="s">
        <v>130</v>
      </c>
      <c r="BX1394" s="0" t="s">
        <v>130</v>
      </c>
      <c r="BY1394" s="0" t="s">
        <v>130</v>
      </c>
      <c r="BZ1394" s="0" t="s">
        <v>130</v>
      </c>
      <c r="CA1394" s="0" t="s">
        <v>130</v>
      </c>
      <c r="CB1394" s="0" t="s">
        <v>130</v>
      </c>
      <c r="CC1394" s="0" t="s">
        <v>130</v>
      </c>
      <c r="CD1394" s="0" t="s">
        <v>130</v>
      </c>
      <c r="CE1394" s="0" t="s">
        <v>130</v>
      </c>
      <c r="CF1394" s="0" t="s">
        <v>130</v>
      </c>
      <c r="CG1394" s="0" t="s">
        <v>130</v>
      </c>
      <c r="CH1394" s="0" t="s">
        <v>130</v>
      </c>
      <c r="CI1394" s="0" t="s">
        <v>130</v>
      </c>
      <c r="CJ1394" s="0" t="s">
        <v>130</v>
      </c>
      <c r="CK1394" s="0" t="s">
        <v>130</v>
      </c>
      <c r="CL1394" s="0" t="s">
        <v>130</v>
      </c>
      <c r="CM1394" s="0" t="s">
        <v>130</v>
      </c>
      <c r="CN1394" s="0" t="s">
        <v>130</v>
      </c>
      <c r="CO1394" s="0" t="s">
        <v>130</v>
      </c>
      <c r="CP1394" s="0" t="s">
        <v>130</v>
      </c>
      <c r="CQ1394" s="0" t="s">
        <v>130</v>
      </c>
      <c r="CR1394" s="0" t="s">
        <v>130</v>
      </c>
      <c r="CS1394" s="0" t="s">
        <v>130</v>
      </c>
      <c r="CT1394" s="0" t="s">
        <v>4065</v>
      </c>
    </row>
    <row r="1395">
      <c r="A1395" s="14">
        <v>9785761</v>
      </c>
      <c r="B1395" s="0" t="s">
        <v>4063</v>
      </c>
      <c r="C1395" s="16">
        <f>HYPERLINK("https://eosportal.federatedhermes.com/companies/Q29tcGFueQppODMwNTM=", "CF Industries Holdings Inc")</f>
      </c>
      <c r="D1395" s="0" t="s">
        <v>25</v>
      </c>
      <c r="E1395" s="0" t="s">
        <v>4066</v>
      </c>
      <c r="F1395" s="16">
        <f>HYPERLINK("https://eosportal.federatedhermes.com/engagements/RW5nYWdlbWVudAppMjc3NTI=", "Board Skills &amp; Diversity")</f>
      </c>
      <c r="G1395" s="14" t="s">
        <v>4067</v>
      </c>
      <c r="H1395" s="0" t="s">
        <v>130</v>
      </c>
      <c r="I1395" s="14" t="s">
        <v>131</v>
      </c>
      <c r="J1395" s="0" t="s">
        <v>145</v>
      </c>
      <c r="K1395" s="0" t="s">
        <v>164</v>
      </c>
      <c r="L1395" s="0" t="s">
        <v>165</v>
      </c>
      <c r="M1395" s="0" t="s">
        <v>135</v>
      </c>
      <c r="N1395" s="0" t="s">
        <v>136</v>
      </c>
      <c r="O1395" s="0" t="s">
        <v>706</v>
      </c>
      <c r="Q1395" s="0" t="s">
        <v>130</v>
      </c>
      <c r="R1395" s="0" t="s">
        <v>138</v>
      </c>
      <c r="S1395" s="14">
        <v>0</v>
      </c>
      <c r="T1395" s="0" t="s">
        <v>148</v>
      </c>
      <c r="U1395" s="0" t="s">
        <v>138</v>
      </c>
      <c r="V1395" s="14" t="s">
        <v>138</v>
      </c>
      <c r="W1395" s="0" t="s">
        <v>138</v>
      </c>
      <c r="X1395" s="14" t="s">
        <v>138</v>
      </c>
      <c r="Y1395" s="0" t="s">
        <v>138</v>
      </c>
      <c r="Z1395" s="14" t="s">
        <v>138</v>
      </c>
      <c r="AA1395" s="0" t="s">
        <v>138</v>
      </c>
      <c r="AB1395" s="14" t="s">
        <v>138</v>
      </c>
      <c r="AD1395" s="0" t="s">
        <v>138</v>
      </c>
      <c r="AF1395" s="0">
        <v>0</v>
      </c>
      <c r="AG1395" s="0">
        <v>0</v>
      </c>
      <c r="AH1395" s="0" t="s">
        <v>140</v>
      </c>
      <c r="AI1395" s="0" t="s">
        <v>138</v>
      </c>
      <c r="AL1395" s="14"/>
      <c r="AN1395" s="14"/>
      <c r="AQ1395" s="0" t="s">
        <v>130</v>
      </c>
      <c r="AR1395" s="0" t="s">
        <v>130</v>
      </c>
      <c r="AS1395" s="0" t="s">
        <v>130</v>
      </c>
      <c r="AT1395" s="0" t="s">
        <v>130</v>
      </c>
      <c r="AU1395" s="0" t="s">
        <v>141</v>
      </c>
      <c r="AV1395" s="0" t="s">
        <v>130</v>
      </c>
      <c r="AW1395" s="0" t="s">
        <v>130</v>
      </c>
      <c r="AX1395" s="0" t="s">
        <v>130</v>
      </c>
      <c r="AY1395" s="0" t="s">
        <v>130</v>
      </c>
      <c r="AZ1395" s="0" t="s">
        <v>141</v>
      </c>
      <c r="BA1395" s="0" t="s">
        <v>130</v>
      </c>
      <c r="BB1395" s="0" t="s">
        <v>130</v>
      </c>
      <c r="BC1395" s="0" t="s">
        <v>130</v>
      </c>
      <c r="BD1395" s="0" t="s">
        <v>130</v>
      </c>
      <c r="BE1395" s="0" t="s">
        <v>130</v>
      </c>
      <c r="BF1395" s="0" t="s">
        <v>130</v>
      </c>
      <c r="BG1395" s="0" t="s">
        <v>130</v>
      </c>
      <c r="BH1395" s="0" t="s">
        <v>130</v>
      </c>
      <c r="BI1395" s="0" t="s">
        <v>130</v>
      </c>
      <c r="BJ1395" s="0" t="s">
        <v>130</v>
      </c>
      <c r="BK1395" s="0" t="s">
        <v>130</v>
      </c>
      <c r="BL1395" s="0" t="s">
        <v>130</v>
      </c>
      <c r="BM1395" s="0" t="s">
        <v>130</v>
      </c>
      <c r="BN1395" s="0" t="s">
        <v>130</v>
      </c>
      <c r="BO1395" s="0" t="s">
        <v>130</v>
      </c>
      <c r="BP1395" s="0" t="s">
        <v>130</v>
      </c>
      <c r="BQ1395" s="0" t="s">
        <v>130</v>
      </c>
      <c r="BR1395" s="0" t="s">
        <v>130</v>
      </c>
      <c r="BS1395" s="0" t="s">
        <v>130</v>
      </c>
      <c r="BT1395" s="0" t="s">
        <v>130</v>
      </c>
      <c r="BU1395" s="0" t="s">
        <v>130</v>
      </c>
      <c r="BV1395" s="0" t="s">
        <v>130</v>
      </c>
      <c r="BW1395" s="0" t="s">
        <v>130</v>
      </c>
      <c r="BX1395" s="0" t="s">
        <v>130</v>
      </c>
      <c r="BY1395" s="0" t="s">
        <v>130</v>
      </c>
      <c r="BZ1395" s="0" t="s">
        <v>130</v>
      </c>
      <c r="CA1395" s="0" t="s">
        <v>130</v>
      </c>
      <c r="CB1395" s="0" t="s">
        <v>130</v>
      </c>
      <c r="CC1395" s="0" t="s">
        <v>130</v>
      </c>
      <c r="CD1395" s="0" t="s">
        <v>130</v>
      </c>
      <c r="CE1395" s="0" t="s">
        <v>130</v>
      </c>
      <c r="CF1395" s="0" t="s">
        <v>130</v>
      </c>
      <c r="CG1395" s="0" t="s">
        <v>130</v>
      </c>
      <c r="CH1395" s="0" t="s">
        <v>130</v>
      </c>
      <c r="CI1395" s="0" t="s">
        <v>130</v>
      </c>
      <c r="CJ1395" s="0" t="s">
        <v>130</v>
      </c>
      <c r="CK1395" s="0" t="s">
        <v>130</v>
      </c>
      <c r="CL1395" s="0" t="s">
        <v>130</v>
      </c>
      <c r="CM1395" s="0" t="s">
        <v>130</v>
      </c>
      <c r="CN1395" s="0" t="s">
        <v>130</v>
      </c>
      <c r="CO1395" s="0" t="s">
        <v>130</v>
      </c>
      <c r="CP1395" s="0" t="s">
        <v>130</v>
      </c>
      <c r="CQ1395" s="0" t="s">
        <v>130</v>
      </c>
      <c r="CR1395" s="0" t="s">
        <v>130</v>
      </c>
      <c r="CS1395" s="0" t="s">
        <v>130</v>
      </c>
      <c r="CT1395" s="0" t="s">
        <v>4068</v>
      </c>
    </row>
    <row r="1396">
      <c r="A1396" s="14">
        <v>9785761</v>
      </c>
      <c r="B1396" s="0" t="s">
        <v>4063</v>
      </c>
      <c r="C1396" s="16">
        <f>HYPERLINK("https://eosportal.federatedhermes.com/companies/Q29tcGFueQppODMwNTM=", "CF Industries Holdings Inc")</f>
      </c>
      <c r="D1396" s="0" t="s">
        <v>25</v>
      </c>
      <c r="E1396" s="0" t="s">
        <v>143</v>
      </c>
      <c r="F1396" s="16">
        <f>HYPERLINK("https://eosportal.federatedhermes.com/engagements/RW5nYWdlbWVudAppMjc3NTM=", "Executive compensation")</f>
      </c>
      <c r="G1396" s="14" t="s">
        <v>4069</v>
      </c>
      <c r="H1396" s="0" t="s">
        <v>130</v>
      </c>
      <c r="I1396" s="14" t="s">
        <v>131</v>
      </c>
      <c r="J1396" s="0" t="s">
        <v>145</v>
      </c>
      <c r="K1396" s="0" t="s">
        <v>146</v>
      </c>
      <c r="L1396" s="0" t="s">
        <v>500</v>
      </c>
      <c r="M1396" s="0" t="s">
        <v>135</v>
      </c>
      <c r="N1396" s="0" t="s">
        <v>136</v>
      </c>
      <c r="O1396" s="0" t="s">
        <v>706</v>
      </c>
      <c r="Q1396" s="0" t="s">
        <v>130</v>
      </c>
      <c r="R1396" s="0" t="s">
        <v>138</v>
      </c>
      <c r="S1396" s="14">
        <v>0</v>
      </c>
      <c r="T1396" s="0" t="s">
        <v>166</v>
      </c>
      <c r="U1396" s="0" t="s">
        <v>138</v>
      </c>
      <c r="V1396" s="14" t="s">
        <v>138</v>
      </c>
      <c r="W1396" s="0" t="s">
        <v>138</v>
      </c>
      <c r="X1396" s="14" t="s">
        <v>138</v>
      </c>
      <c r="Y1396" s="0" t="s">
        <v>138</v>
      </c>
      <c r="Z1396" s="14" t="s">
        <v>138</v>
      </c>
      <c r="AA1396" s="0" t="s">
        <v>138</v>
      </c>
      <c r="AB1396" s="14" t="s">
        <v>138</v>
      </c>
      <c r="AD1396" s="0" t="s">
        <v>138</v>
      </c>
      <c r="AF1396" s="0">
        <v>0</v>
      </c>
      <c r="AG1396" s="0">
        <v>0</v>
      </c>
      <c r="AH1396" s="0" t="s">
        <v>140</v>
      </c>
      <c r="AI1396" s="0" t="s">
        <v>138</v>
      </c>
      <c r="AL1396" s="14"/>
      <c r="AN1396" s="14"/>
      <c r="AQ1396" s="0" t="s">
        <v>130</v>
      </c>
      <c r="AR1396" s="0" t="s">
        <v>130</v>
      </c>
      <c r="AS1396" s="0" t="s">
        <v>130</v>
      </c>
      <c r="AT1396" s="0" t="s">
        <v>130</v>
      </c>
      <c r="AU1396" s="0" t="s">
        <v>130</v>
      </c>
      <c r="AV1396" s="0" t="s">
        <v>130</v>
      </c>
      <c r="AW1396" s="0" t="s">
        <v>130</v>
      </c>
      <c r="AX1396" s="0" t="s">
        <v>130</v>
      </c>
      <c r="AY1396" s="0" t="s">
        <v>130</v>
      </c>
      <c r="AZ1396" s="0" t="s">
        <v>130</v>
      </c>
      <c r="BA1396" s="0" t="s">
        <v>130</v>
      </c>
      <c r="BB1396" s="0" t="s">
        <v>130</v>
      </c>
      <c r="BC1396" s="0" t="s">
        <v>130</v>
      </c>
      <c r="BD1396" s="0" t="s">
        <v>130</v>
      </c>
      <c r="BE1396" s="0" t="s">
        <v>130</v>
      </c>
      <c r="BF1396" s="0" t="s">
        <v>130</v>
      </c>
      <c r="BG1396" s="0" t="s">
        <v>130</v>
      </c>
      <c r="BH1396" s="0" t="s">
        <v>130</v>
      </c>
      <c r="BI1396" s="0" t="s">
        <v>130</v>
      </c>
      <c r="BJ1396" s="0" t="s">
        <v>130</v>
      </c>
      <c r="BK1396" s="0" t="s">
        <v>130</v>
      </c>
      <c r="BL1396" s="0" t="s">
        <v>130</v>
      </c>
      <c r="BM1396" s="0" t="s">
        <v>130</v>
      </c>
      <c r="BN1396" s="0" t="s">
        <v>130</v>
      </c>
      <c r="BO1396" s="0" t="s">
        <v>130</v>
      </c>
      <c r="BP1396" s="0" t="s">
        <v>130</v>
      </c>
      <c r="BQ1396" s="0" t="s">
        <v>130</v>
      </c>
      <c r="BR1396" s="0" t="s">
        <v>130</v>
      </c>
      <c r="BS1396" s="0" t="s">
        <v>130</v>
      </c>
      <c r="BT1396" s="0" t="s">
        <v>130</v>
      </c>
      <c r="BU1396" s="0" t="s">
        <v>130</v>
      </c>
      <c r="BV1396" s="0" t="s">
        <v>130</v>
      </c>
      <c r="BW1396" s="0" t="s">
        <v>130</v>
      </c>
      <c r="BX1396" s="0" t="s">
        <v>130</v>
      </c>
      <c r="BY1396" s="0" t="s">
        <v>130</v>
      </c>
      <c r="BZ1396" s="0" t="s">
        <v>130</v>
      </c>
      <c r="CA1396" s="0" t="s">
        <v>130</v>
      </c>
      <c r="CB1396" s="0" t="s">
        <v>130</v>
      </c>
      <c r="CC1396" s="0" t="s">
        <v>130</v>
      </c>
      <c r="CD1396" s="0" t="s">
        <v>130</v>
      </c>
      <c r="CE1396" s="0" t="s">
        <v>130</v>
      </c>
      <c r="CF1396" s="0" t="s">
        <v>130</v>
      </c>
      <c r="CG1396" s="0" t="s">
        <v>130</v>
      </c>
      <c r="CH1396" s="0" t="s">
        <v>130</v>
      </c>
      <c r="CI1396" s="0" t="s">
        <v>130</v>
      </c>
      <c r="CJ1396" s="0" t="s">
        <v>130</v>
      </c>
      <c r="CK1396" s="0" t="s">
        <v>130</v>
      </c>
      <c r="CL1396" s="0" t="s">
        <v>130</v>
      </c>
      <c r="CM1396" s="0" t="s">
        <v>130</v>
      </c>
      <c r="CN1396" s="0" t="s">
        <v>130</v>
      </c>
      <c r="CO1396" s="0" t="s">
        <v>130</v>
      </c>
      <c r="CP1396" s="0" t="s">
        <v>130</v>
      </c>
      <c r="CQ1396" s="0" t="s">
        <v>130</v>
      </c>
      <c r="CR1396" s="0" t="s">
        <v>130</v>
      </c>
      <c r="CS1396" s="0" t="s">
        <v>130</v>
      </c>
      <c r="CT1396" s="0" t="s">
        <v>4070</v>
      </c>
    </row>
    <row r="1397">
      <c r="A1397" s="14">
        <v>9785761</v>
      </c>
      <c r="B1397" s="0" t="s">
        <v>4063</v>
      </c>
      <c r="C1397" s="16">
        <f>HYPERLINK("https://eosportal.federatedhermes.com/companies/Q29tcGFueQppODMwNTM=", "CF Industries Holdings Inc")</f>
      </c>
      <c r="D1397" s="0" t="s">
        <v>23</v>
      </c>
      <c r="E1397" s="0" t="s">
        <v>228</v>
      </c>
      <c r="F1397" s="16">
        <f>HYPERLINK("https://eosportal.federatedhermes.com/engagements/RW5nYWdlbWVudAppMjc3NTQ=", "Climate strategy")</f>
      </c>
      <c r="G1397" s="14" t="s">
        <v>2292</v>
      </c>
      <c r="H1397" s="0" t="s">
        <v>130</v>
      </c>
      <c r="I1397" s="14" t="s">
        <v>131</v>
      </c>
      <c r="J1397" s="0" t="s">
        <v>197</v>
      </c>
      <c r="K1397" s="0" t="s">
        <v>198</v>
      </c>
      <c r="L1397" s="0" t="s">
        <v>220</v>
      </c>
      <c r="M1397" s="0" t="s">
        <v>135</v>
      </c>
      <c r="N1397" s="0" t="s">
        <v>136</v>
      </c>
      <c r="O1397" s="0" t="s">
        <v>706</v>
      </c>
      <c r="Q1397" s="0" t="s">
        <v>141</v>
      </c>
      <c r="R1397" s="0" t="s">
        <v>130</v>
      </c>
      <c r="S1397" s="14">
        <v>1</v>
      </c>
      <c r="T1397" s="0" t="s">
        <v>355</v>
      </c>
      <c r="U1397" s="0" t="s">
        <v>221</v>
      </c>
      <c r="V1397" s="14" t="s">
        <v>355</v>
      </c>
      <c r="W1397" s="0" t="s">
        <v>221</v>
      </c>
      <c r="X1397" s="14" t="s">
        <v>2270</v>
      </c>
      <c r="Y1397" s="0" t="s">
        <v>223</v>
      </c>
      <c r="Z1397" s="14" t="s">
        <v>138</v>
      </c>
      <c r="AA1397" s="0" t="s">
        <v>224</v>
      </c>
      <c r="AB1397" s="14" t="s">
        <v>138</v>
      </c>
      <c r="AD1397" s="0" t="s">
        <v>17</v>
      </c>
      <c r="AF1397" s="0">
        <v>0</v>
      </c>
      <c r="AG1397" s="0">
        <v>0</v>
      </c>
      <c r="AH1397" s="0" t="s">
        <v>140</v>
      </c>
      <c r="AI1397" s="0" t="s">
        <v>225</v>
      </c>
      <c r="AK1397" s="0" t="s">
        <v>3584</v>
      </c>
      <c r="AL1397" s="14"/>
      <c r="AN1397" s="14"/>
      <c r="AQ1397" s="0" t="s">
        <v>130</v>
      </c>
      <c r="AR1397" s="0" t="s">
        <v>130</v>
      </c>
      <c r="AS1397" s="0" t="s">
        <v>130</v>
      </c>
      <c r="AT1397" s="0" t="s">
        <v>130</v>
      </c>
      <c r="AU1397" s="0" t="s">
        <v>130</v>
      </c>
      <c r="AV1397" s="0" t="s">
        <v>130</v>
      </c>
      <c r="AW1397" s="0" t="s">
        <v>141</v>
      </c>
      <c r="AX1397" s="0" t="s">
        <v>130</v>
      </c>
      <c r="AY1397" s="0" t="s">
        <v>141</v>
      </c>
      <c r="AZ1397" s="0" t="s">
        <v>130</v>
      </c>
      <c r="BA1397" s="0" t="s">
        <v>130</v>
      </c>
      <c r="BB1397" s="0" t="s">
        <v>130</v>
      </c>
      <c r="BC1397" s="0" t="s">
        <v>141</v>
      </c>
      <c r="BD1397" s="0" t="s">
        <v>130</v>
      </c>
      <c r="BE1397" s="0" t="s">
        <v>130</v>
      </c>
      <c r="BF1397" s="0" t="s">
        <v>130</v>
      </c>
      <c r="BG1397" s="0" t="s">
        <v>130</v>
      </c>
      <c r="BH1397" s="0" t="s">
        <v>141</v>
      </c>
      <c r="BI1397" s="0" t="s">
        <v>141</v>
      </c>
      <c r="BJ1397" s="0" t="s">
        <v>141</v>
      </c>
      <c r="BK1397" s="0" t="s">
        <v>130</v>
      </c>
      <c r="BL1397" s="0" t="s">
        <v>130</v>
      </c>
      <c r="BM1397" s="0" t="s">
        <v>130</v>
      </c>
      <c r="BN1397" s="0" t="s">
        <v>130</v>
      </c>
      <c r="BO1397" s="0" t="s">
        <v>130</v>
      </c>
      <c r="BP1397" s="0" t="s">
        <v>130</v>
      </c>
      <c r="BQ1397" s="0" t="s">
        <v>130</v>
      </c>
      <c r="BR1397" s="0" t="s">
        <v>130</v>
      </c>
      <c r="BS1397" s="0" t="s">
        <v>130</v>
      </c>
      <c r="BT1397" s="0" t="s">
        <v>130</v>
      </c>
      <c r="BU1397" s="0" t="s">
        <v>130</v>
      </c>
      <c r="BV1397" s="0" t="s">
        <v>141</v>
      </c>
      <c r="BW1397" s="0" t="s">
        <v>141</v>
      </c>
      <c r="BX1397" s="0" t="s">
        <v>130</v>
      </c>
      <c r="BY1397" s="0" t="s">
        <v>130</v>
      </c>
      <c r="BZ1397" s="0" t="s">
        <v>130</v>
      </c>
      <c r="CA1397" s="0" t="s">
        <v>130</v>
      </c>
      <c r="CB1397" s="0" t="s">
        <v>130</v>
      </c>
      <c r="CC1397" s="0" t="s">
        <v>130</v>
      </c>
      <c r="CD1397" s="0" t="s">
        <v>130</v>
      </c>
      <c r="CE1397" s="0" t="s">
        <v>130</v>
      </c>
      <c r="CF1397" s="0" t="s">
        <v>130</v>
      </c>
      <c r="CG1397" s="0" t="s">
        <v>130</v>
      </c>
      <c r="CH1397" s="0" t="s">
        <v>130</v>
      </c>
      <c r="CI1397" s="0" t="s">
        <v>130</v>
      </c>
      <c r="CJ1397" s="0" t="s">
        <v>130</v>
      </c>
      <c r="CK1397" s="0" t="s">
        <v>130</v>
      </c>
      <c r="CL1397" s="0" t="s">
        <v>130</v>
      </c>
      <c r="CM1397" s="0" t="s">
        <v>130</v>
      </c>
      <c r="CN1397" s="0" t="s">
        <v>130</v>
      </c>
      <c r="CO1397" s="0" t="s">
        <v>130</v>
      </c>
      <c r="CP1397" s="0" t="s">
        <v>130</v>
      </c>
      <c r="CQ1397" s="0" t="s">
        <v>130</v>
      </c>
      <c r="CR1397" s="0" t="s">
        <v>130</v>
      </c>
      <c r="CS1397" s="0" t="s">
        <v>130</v>
      </c>
      <c r="CT1397" s="0" t="s">
        <v>4071</v>
      </c>
    </row>
    <row r="1398">
      <c r="A1398" s="14">
        <v>9785761</v>
      </c>
      <c r="B1398" s="0" t="s">
        <v>4063</v>
      </c>
      <c r="C1398" s="16">
        <f>HYPERLINK("https://eosportal.federatedhermes.com/companies/Q29tcGFueQppODMwNTM=", "CF Industries Holdings Inc")</f>
      </c>
      <c r="D1398" s="0" t="s">
        <v>23</v>
      </c>
      <c r="E1398" s="0" t="s">
        <v>228</v>
      </c>
      <c r="F1398" s="16">
        <f>HYPERLINK("https://eosportal.federatedhermes.com/engagements/RW5nYWdlbWVudAppMjc3NTU=", "Climate strategy")</f>
      </c>
      <c r="G1398" s="14" t="s">
        <v>4072</v>
      </c>
      <c r="H1398" s="0" t="s">
        <v>130</v>
      </c>
      <c r="I1398" s="14" t="s">
        <v>131</v>
      </c>
      <c r="J1398" s="0" t="s">
        <v>197</v>
      </c>
      <c r="K1398" s="0" t="s">
        <v>198</v>
      </c>
      <c r="L1398" s="0" t="s">
        <v>220</v>
      </c>
      <c r="M1398" s="0" t="s">
        <v>135</v>
      </c>
      <c r="N1398" s="0" t="s">
        <v>136</v>
      </c>
      <c r="O1398" s="0" t="s">
        <v>706</v>
      </c>
      <c r="Q1398" s="0" t="s">
        <v>141</v>
      </c>
      <c r="R1398" s="0" t="s">
        <v>130</v>
      </c>
      <c r="S1398" s="14">
        <v>1</v>
      </c>
      <c r="T1398" s="0" t="s">
        <v>355</v>
      </c>
      <c r="U1398" s="0" t="s">
        <v>221</v>
      </c>
      <c r="V1398" s="14" t="s">
        <v>355</v>
      </c>
      <c r="W1398" s="0" t="s">
        <v>221</v>
      </c>
      <c r="X1398" s="14" t="s">
        <v>2270</v>
      </c>
      <c r="Y1398" s="0" t="s">
        <v>223</v>
      </c>
      <c r="Z1398" s="14" t="s">
        <v>138</v>
      </c>
      <c r="AA1398" s="0" t="s">
        <v>224</v>
      </c>
      <c r="AB1398" s="14" t="s">
        <v>138</v>
      </c>
      <c r="AD1398" s="0" t="s">
        <v>17</v>
      </c>
      <c r="AF1398" s="0">
        <v>0</v>
      </c>
      <c r="AG1398" s="0">
        <v>0</v>
      </c>
      <c r="AH1398" s="0" t="s">
        <v>140</v>
      </c>
      <c r="AI1398" s="0" t="s">
        <v>225</v>
      </c>
      <c r="AK1398" s="0" t="s">
        <v>3584</v>
      </c>
      <c r="AL1398" s="14"/>
      <c r="AN1398" s="14"/>
      <c r="AQ1398" s="0" t="s">
        <v>130</v>
      </c>
      <c r="AR1398" s="0" t="s">
        <v>130</v>
      </c>
      <c r="AS1398" s="0" t="s">
        <v>130</v>
      </c>
      <c r="AT1398" s="0" t="s">
        <v>130</v>
      </c>
      <c r="AU1398" s="0" t="s">
        <v>130</v>
      </c>
      <c r="AV1398" s="0" t="s">
        <v>130</v>
      </c>
      <c r="AW1398" s="0" t="s">
        <v>141</v>
      </c>
      <c r="AX1398" s="0" t="s">
        <v>130</v>
      </c>
      <c r="AY1398" s="0" t="s">
        <v>141</v>
      </c>
      <c r="AZ1398" s="0" t="s">
        <v>130</v>
      </c>
      <c r="BA1398" s="0" t="s">
        <v>130</v>
      </c>
      <c r="BB1398" s="0" t="s">
        <v>130</v>
      </c>
      <c r="BC1398" s="0" t="s">
        <v>141</v>
      </c>
      <c r="BD1398" s="0" t="s">
        <v>130</v>
      </c>
      <c r="BE1398" s="0" t="s">
        <v>130</v>
      </c>
      <c r="BF1398" s="0" t="s">
        <v>130</v>
      </c>
      <c r="BG1398" s="0" t="s">
        <v>130</v>
      </c>
      <c r="BH1398" s="0" t="s">
        <v>130</v>
      </c>
      <c r="BI1398" s="0" t="s">
        <v>130</v>
      </c>
      <c r="BJ1398" s="0" t="s">
        <v>130</v>
      </c>
      <c r="BK1398" s="0" t="s">
        <v>130</v>
      </c>
      <c r="BL1398" s="0" t="s">
        <v>130</v>
      </c>
      <c r="BM1398" s="0" t="s">
        <v>130</v>
      </c>
      <c r="BN1398" s="0" t="s">
        <v>130</v>
      </c>
      <c r="BO1398" s="0" t="s">
        <v>130</v>
      </c>
      <c r="BP1398" s="0" t="s">
        <v>130</v>
      </c>
      <c r="BQ1398" s="0" t="s">
        <v>130</v>
      </c>
      <c r="BR1398" s="0" t="s">
        <v>130</v>
      </c>
      <c r="BS1398" s="0" t="s">
        <v>130</v>
      </c>
      <c r="BT1398" s="0" t="s">
        <v>130</v>
      </c>
      <c r="BU1398" s="0" t="s">
        <v>130</v>
      </c>
      <c r="BV1398" s="0" t="s">
        <v>130</v>
      </c>
      <c r="BW1398" s="0" t="s">
        <v>130</v>
      </c>
      <c r="BX1398" s="0" t="s">
        <v>130</v>
      </c>
      <c r="BY1398" s="0" t="s">
        <v>130</v>
      </c>
      <c r="BZ1398" s="0" t="s">
        <v>130</v>
      </c>
      <c r="CA1398" s="0" t="s">
        <v>130</v>
      </c>
      <c r="CB1398" s="0" t="s">
        <v>130</v>
      </c>
      <c r="CC1398" s="0" t="s">
        <v>130</v>
      </c>
      <c r="CD1398" s="0" t="s">
        <v>130</v>
      </c>
      <c r="CE1398" s="0" t="s">
        <v>130</v>
      </c>
      <c r="CF1398" s="0" t="s">
        <v>130</v>
      </c>
      <c r="CG1398" s="0" t="s">
        <v>130</v>
      </c>
      <c r="CH1398" s="0" t="s">
        <v>130</v>
      </c>
      <c r="CI1398" s="0" t="s">
        <v>130</v>
      </c>
      <c r="CJ1398" s="0" t="s">
        <v>130</v>
      </c>
      <c r="CK1398" s="0" t="s">
        <v>130</v>
      </c>
      <c r="CL1398" s="0" t="s">
        <v>130</v>
      </c>
      <c r="CM1398" s="0" t="s">
        <v>130</v>
      </c>
      <c r="CN1398" s="0" t="s">
        <v>130</v>
      </c>
      <c r="CO1398" s="0" t="s">
        <v>130</v>
      </c>
      <c r="CP1398" s="0" t="s">
        <v>130</v>
      </c>
      <c r="CQ1398" s="0" t="s">
        <v>130</v>
      </c>
      <c r="CR1398" s="0" t="s">
        <v>130</v>
      </c>
      <c r="CS1398" s="0" t="s">
        <v>130</v>
      </c>
      <c r="CT1398" s="0" t="s">
        <v>4073</v>
      </c>
    </row>
    <row r="1399">
      <c r="A1399" s="14">
        <v>9785761</v>
      </c>
      <c r="B1399" s="0" t="s">
        <v>4063</v>
      </c>
      <c r="C1399" s="16">
        <f>HYPERLINK("https://eosportal.federatedhermes.com/companies/Q29tcGFueQppODMwNTM=", "CF Industries Holdings Inc")</f>
      </c>
      <c r="D1399" s="0" t="s">
        <v>25</v>
      </c>
      <c r="E1399" s="0" t="s">
        <v>753</v>
      </c>
      <c r="F1399" s="16">
        <f>HYPERLINK("https://eosportal.federatedhermes.com/engagements/RW5nYWdlbWVudAppMjc3NTY=", "Capital Allocation")</f>
      </c>
      <c r="G1399" s="14" t="s">
        <v>4074</v>
      </c>
      <c r="H1399" s="0" t="s">
        <v>130</v>
      </c>
      <c r="I1399" s="14" t="s">
        <v>131</v>
      </c>
      <c r="J1399" s="0" t="s">
        <v>132</v>
      </c>
      <c r="K1399" s="0" t="s">
        <v>133</v>
      </c>
      <c r="L1399" s="0" t="s">
        <v>753</v>
      </c>
      <c r="M1399" s="0" t="s">
        <v>135</v>
      </c>
      <c r="N1399" s="0" t="s">
        <v>136</v>
      </c>
      <c r="O1399" s="0" t="s">
        <v>706</v>
      </c>
      <c r="Q1399" s="0" t="s">
        <v>130</v>
      </c>
      <c r="R1399" s="0" t="s">
        <v>138</v>
      </c>
      <c r="S1399" s="14">
        <v>0</v>
      </c>
      <c r="T1399" s="0" t="s">
        <v>148</v>
      </c>
      <c r="U1399" s="0" t="s">
        <v>138</v>
      </c>
      <c r="V1399" s="14" t="s">
        <v>138</v>
      </c>
      <c r="W1399" s="0" t="s">
        <v>138</v>
      </c>
      <c r="X1399" s="14" t="s">
        <v>138</v>
      </c>
      <c r="Y1399" s="0" t="s">
        <v>138</v>
      </c>
      <c r="Z1399" s="14" t="s">
        <v>138</v>
      </c>
      <c r="AA1399" s="0" t="s">
        <v>138</v>
      </c>
      <c r="AB1399" s="14" t="s">
        <v>138</v>
      </c>
      <c r="AD1399" s="0" t="s">
        <v>138</v>
      </c>
      <c r="AF1399" s="0">
        <v>0</v>
      </c>
      <c r="AG1399" s="0">
        <v>0</v>
      </c>
      <c r="AH1399" s="0" t="s">
        <v>140</v>
      </c>
      <c r="AI1399" s="0" t="s">
        <v>138</v>
      </c>
      <c r="AL1399" s="14"/>
      <c r="AN1399" s="14"/>
      <c r="AQ1399" s="0" t="s">
        <v>130</v>
      </c>
      <c r="AR1399" s="0" t="s">
        <v>130</v>
      </c>
      <c r="AS1399" s="0" t="s">
        <v>130</v>
      </c>
      <c r="AT1399" s="0" t="s">
        <v>130</v>
      </c>
      <c r="AU1399" s="0" t="s">
        <v>130</v>
      </c>
      <c r="AV1399" s="0" t="s">
        <v>130</v>
      </c>
      <c r="AW1399" s="0" t="s">
        <v>130</v>
      </c>
      <c r="AX1399" s="0" t="s">
        <v>130</v>
      </c>
      <c r="AY1399" s="0" t="s">
        <v>130</v>
      </c>
      <c r="AZ1399" s="0" t="s">
        <v>130</v>
      </c>
      <c r="BA1399" s="0" t="s">
        <v>130</v>
      </c>
      <c r="BB1399" s="0" t="s">
        <v>130</v>
      </c>
      <c r="BC1399" s="0" t="s">
        <v>130</v>
      </c>
      <c r="BD1399" s="0" t="s">
        <v>130</v>
      </c>
      <c r="BE1399" s="0" t="s">
        <v>130</v>
      </c>
      <c r="BF1399" s="0" t="s">
        <v>130</v>
      </c>
      <c r="BG1399" s="0" t="s">
        <v>130</v>
      </c>
      <c r="BH1399" s="0" t="s">
        <v>130</v>
      </c>
      <c r="BI1399" s="0" t="s">
        <v>130</v>
      </c>
      <c r="BJ1399" s="0" t="s">
        <v>130</v>
      </c>
      <c r="BK1399" s="0" t="s">
        <v>130</v>
      </c>
      <c r="BL1399" s="0" t="s">
        <v>130</v>
      </c>
      <c r="BM1399" s="0" t="s">
        <v>130</v>
      </c>
      <c r="BN1399" s="0" t="s">
        <v>130</v>
      </c>
      <c r="BO1399" s="0" t="s">
        <v>130</v>
      </c>
      <c r="BP1399" s="0" t="s">
        <v>130</v>
      </c>
      <c r="BQ1399" s="0" t="s">
        <v>130</v>
      </c>
      <c r="BR1399" s="0" t="s">
        <v>130</v>
      </c>
      <c r="BS1399" s="0" t="s">
        <v>130</v>
      </c>
      <c r="BT1399" s="0" t="s">
        <v>130</v>
      </c>
      <c r="BU1399" s="0" t="s">
        <v>130</v>
      </c>
      <c r="BV1399" s="0" t="s">
        <v>130</v>
      </c>
      <c r="BW1399" s="0" t="s">
        <v>130</v>
      </c>
      <c r="BX1399" s="0" t="s">
        <v>130</v>
      </c>
      <c r="BY1399" s="0" t="s">
        <v>130</v>
      </c>
      <c r="BZ1399" s="0" t="s">
        <v>130</v>
      </c>
      <c r="CA1399" s="0" t="s">
        <v>130</v>
      </c>
      <c r="CB1399" s="0" t="s">
        <v>130</v>
      </c>
      <c r="CC1399" s="0" t="s">
        <v>130</v>
      </c>
      <c r="CD1399" s="0" t="s">
        <v>130</v>
      </c>
      <c r="CE1399" s="0" t="s">
        <v>130</v>
      </c>
      <c r="CF1399" s="0" t="s">
        <v>130</v>
      </c>
      <c r="CG1399" s="0" t="s">
        <v>130</v>
      </c>
      <c r="CH1399" s="0" t="s">
        <v>130</v>
      </c>
      <c r="CI1399" s="0" t="s">
        <v>130</v>
      </c>
      <c r="CJ1399" s="0" t="s">
        <v>130</v>
      </c>
      <c r="CK1399" s="0" t="s">
        <v>130</v>
      </c>
      <c r="CL1399" s="0" t="s">
        <v>130</v>
      </c>
      <c r="CM1399" s="0" t="s">
        <v>130</v>
      </c>
      <c r="CN1399" s="0" t="s">
        <v>130</v>
      </c>
      <c r="CO1399" s="0" t="s">
        <v>130</v>
      </c>
      <c r="CP1399" s="0" t="s">
        <v>130</v>
      </c>
      <c r="CQ1399" s="0" t="s">
        <v>130</v>
      </c>
      <c r="CR1399" s="0" t="s">
        <v>130</v>
      </c>
      <c r="CS1399" s="0" t="s">
        <v>130</v>
      </c>
      <c r="CT1399" s="0" t="s">
        <v>4075</v>
      </c>
    </row>
    <row r="1400">
      <c r="A1400" s="14">
        <v>9785761</v>
      </c>
      <c r="B1400" s="0" t="s">
        <v>4063</v>
      </c>
      <c r="C1400" s="16">
        <f>HYPERLINK("https://eosportal.federatedhermes.com/companies/Q29tcGFueQppODMwNTM=", "CF Industries Holdings Inc")</f>
      </c>
      <c r="D1400" s="0" t="s">
        <v>25</v>
      </c>
      <c r="E1400" s="0" t="s">
        <v>4076</v>
      </c>
      <c r="F1400" s="16">
        <f>HYPERLINK("https://eosportal.federatedhermes.com/engagements/RW5nYWdlbWVudAppMjc3NTc=", "Green hydrogen opportunity")</f>
      </c>
      <c r="G1400" s="14" t="s">
        <v>4077</v>
      </c>
      <c r="H1400" s="0" t="s">
        <v>130</v>
      </c>
      <c r="I1400" s="14" t="s">
        <v>131</v>
      </c>
      <c r="J1400" s="0" t="s">
        <v>197</v>
      </c>
      <c r="K1400" s="0" t="s">
        <v>198</v>
      </c>
      <c r="L1400" s="0" t="s">
        <v>220</v>
      </c>
      <c r="M1400" s="0" t="s">
        <v>135</v>
      </c>
      <c r="N1400" s="0" t="s">
        <v>136</v>
      </c>
      <c r="O1400" s="0" t="s">
        <v>706</v>
      </c>
      <c r="Q1400" s="0" t="s">
        <v>141</v>
      </c>
      <c r="R1400" s="0" t="s">
        <v>138</v>
      </c>
      <c r="S1400" s="14">
        <v>1</v>
      </c>
      <c r="T1400" s="0" t="s">
        <v>139</v>
      </c>
      <c r="U1400" s="0" t="s">
        <v>138</v>
      </c>
      <c r="V1400" s="14" t="s">
        <v>138</v>
      </c>
      <c r="W1400" s="0" t="s">
        <v>138</v>
      </c>
      <c r="X1400" s="14" t="s">
        <v>138</v>
      </c>
      <c r="Y1400" s="0" t="s">
        <v>138</v>
      </c>
      <c r="Z1400" s="14" t="s">
        <v>138</v>
      </c>
      <c r="AA1400" s="0" t="s">
        <v>138</v>
      </c>
      <c r="AB1400" s="14" t="s">
        <v>138</v>
      </c>
      <c r="AD1400" s="0" t="s">
        <v>138</v>
      </c>
      <c r="AF1400" s="0">
        <v>0</v>
      </c>
      <c r="AG1400" s="0">
        <v>0</v>
      </c>
      <c r="AH1400" s="0" t="s">
        <v>140</v>
      </c>
      <c r="AI1400" s="0" t="s">
        <v>138</v>
      </c>
      <c r="AK1400" s="0" t="s">
        <v>3584</v>
      </c>
      <c r="AL1400" s="14"/>
      <c r="AN1400" s="14"/>
      <c r="AQ1400" s="0" t="s">
        <v>130</v>
      </c>
      <c r="AR1400" s="0" t="s">
        <v>130</v>
      </c>
      <c r="AS1400" s="0" t="s">
        <v>130</v>
      </c>
      <c r="AT1400" s="0" t="s">
        <v>130</v>
      </c>
      <c r="AU1400" s="0" t="s">
        <v>130</v>
      </c>
      <c r="AV1400" s="0" t="s">
        <v>130</v>
      </c>
      <c r="AW1400" s="0" t="s">
        <v>141</v>
      </c>
      <c r="AX1400" s="0" t="s">
        <v>130</v>
      </c>
      <c r="AY1400" s="0" t="s">
        <v>141</v>
      </c>
      <c r="AZ1400" s="0" t="s">
        <v>130</v>
      </c>
      <c r="BA1400" s="0" t="s">
        <v>130</v>
      </c>
      <c r="BB1400" s="0" t="s">
        <v>130</v>
      </c>
      <c r="BC1400" s="0" t="s">
        <v>141</v>
      </c>
      <c r="BD1400" s="0" t="s">
        <v>130</v>
      </c>
      <c r="BE1400" s="0" t="s">
        <v>130</v>
      </c>
      <c r="BF1400" s="0" t="s">
        <v>130</v>
      </c>
      <c r="BG1400" s="0" t="s">
        <v>130</v>
      </c>
      <c r="BH1400" s="0" t="s">
        <v>130</v>
      </c>
      <c r="BI1400" s="0" t="s">
        <v>130</v>
      </c>
      <c r="BJ1400" s="0" t="s">
        <v>130</v>
      </c>
      <c r="BK1400" s="0" t="s">
        <v>130</v>
      </c>
      <c r="BL1400" s="0" t="s">
        <v>130</v>
      </c>
      <c r="BM1400" s="0" t="s">
        <v>130</v>
      </c>
      <c r="BN1400" s="0" t="s">
        <v>130</v>
      </c>
      <c r="BO1400" s="0" t="s">
        <v>130</v>
      </c>
      <c r="BP1400" s="0" t="s">
        <v>130</v>
      </c>
      <c r="BQ1400" s="0" t="s">
        <v>130</v>
      </c>
      <c r="BR1400" s="0" t="s">
        <v>130</v>
      </c>
      <c r="BS1400" s="0" t="s">
        <v>130</v>
      </c>
      <c r="BT1400" s="0" t="s">
        <v>130</v>
      </c>
      <c r="BU1400" s="0" t="s">
        <v>130</v>
      </c>
      <c r="BV1400" s="0" t="s">
        <v>130</v>
      </c>
      <c r="BW1400" s="0" t="s">
        <v>130</v>
      </c>
      <c r="BX1400" s="0" t="s">
        <v>130</v>
      </c>
      <c r="BY1400" s="0" t="s">
        <v>130</v>
      </c>
      <c r="BZ1400" s="0" t="s">
        <v>130</v>
      </c>
      <c r="CA1400" s="0" t="s">
        <v>130</v>
      </c>
      <c r="CB1400" s="0" t="s">
        <v>130</v>
      </c>
      <c r="CC1400" s="0" t="s">
        <v>130</v>
      </c>
      <c r="CD1400" s="0" t="s">
        <v>130</v>
      </c>
      <c r="CE1400" s="0" t="s">
        <v>130</v>
      </c>
      <c r="CF1400" s="0" t="s">
        <v>130</v>
      </c>
      <c r="CG1400" s="0" t="s">
        <v>130</v>
      </c>
      <c r="CH1400" s="0" t="s">
        <v>130</v>
      </c>
      <c r="CI1400" s="0" t="s">
        <v>130</v>
      </c>
      <c r="CJ1400" s="0" t="s">
        <v>130</v>
      </c>
      <c r="CK1400" s="0" t="s">
        <v>130</v>
      </c>
      <c r="CL1400" s="0" t="s">
        <v>130</v>
      </c>
      <c r="CM1400" s="0" t="s">
        <v>130</v>
      </c>
      <c r="CN1400" s="0" t="s">
        <v>130</v>
      </c>
      <c r="CO1400" s="0" t="s">
        <v>130</v>
      </c>
      <c r="CP1400" s="0" t="s">
        <v>130</v>
      </c>
      <c r="CQ1400" s="0" t="s">
        <v>130</v>
      </c>
      <c r="CR1400" s="0" t="s">
        <v>130</v>
      </c>
      <c r="CS1400" s="0" t="s">
        <v>130</v>
      </c>
      <c r="CT1400" s="0" t="s">
        <v>4078</v>
      </c>
    </row>
    <row r="1401">
      <c r="A1401" s="14">
        <v>11948451</v>
      </c>
      <c r="B1401" s="0" t="s">
        <v>4079</v>
      </c>
      <c r="C1401" s="16">
        <f>HYPERLINK("https://eosportal.federatedhermes.com/companies/Q29tcGFueQppNjMzMTI=", "Tesla Inc")</f>
      </c>
      <c r="D1401" s="0" t="s">
        <v>25</v>
      </c>
      <c r="E1401" s="0" t="s">
        <v>4080</v>
      </c>
      <c r="F1401" s="16">
        <f>HYPERLINK("https://eosportal.federatedhermes.com/engagements/RW5nYWdlbWVudAppMjc3ODM=", "Long-term remuneration")</f>
      </c>
      <c r="G1401" s="14" t="s">
        <v>4081</v>
      </c>
      <c r="H1401" s="0" t="s">
        <v>141</v>
      </c>
      <c r="I1401" s="14" t="s">
        <v>191</v>
      </c>
      <c r="J1401" s="0" t="s">
        <v>145</v>
      </c>
      <c r="K1401" s="0" t="s">
        <v>146</v>
      </c>
      <c r="L1401" s="0" t="s">
        <v>147</v>
      </c>
      <c r="M1401" s="0" t="s">
        <v>135</v>
      </c>
      <c r="N1401" s="0" t="s">
        <v>136</v>
      </c>
      <c r="O1401" s="0" t="s">
        <v>425</v>
      </c>
      <c r="Q1401" s="0" t="s">
        <v>141</v>
      </c>
      <c r="R1401" s="0" t="s">
        <v>138</v>
      </c>
      <c r="S1401" s="14">
        <v>3</v>
      </c>
      <c r="T1401" s="0" t="s">
        <v>148</v>
      </c>
      <c r="U1401" s="0" t="s">
        <v>138</v>
      </c>
      <c r="V1401" s="14" t="s">
        <v>138</v>
      </c>
      <c r="W1401" s="0" t="s">
        <v>138</v>
      </c>
      <c r="X1401" s="14" t="s">
        <v>138</v>
      </c>
      <c r="Y1401" s="0" t="s">
        <v>138</v>
      </c>
      <c r="Z1401" s="14" t="s">
        <v>138</v>
      </c>
      <c r="AA1401" s="0" t="s">
        <v>138</v>
      </c>
      <c r="AB1401" s="14" t="s">
        <v>138</v>
      </c>
      <c r="AD1401" s="0" t="s">
        <v>138</v>
      </c>
      <c r="AF1401" s="0">
        <v>0</v>
      </c>
      <c r="AG1401" s="0">
        <v>0</v>
      </c>
      <c r="AH1401" s="0" t="s">
        <v>140</v>
      </c>
      <c r="AI1401" s="0" t="s">
        <v>138</v>
      </c>
      <c r="AK1401" s="0" t="s">
        <v>3207</v>
      </c>
      <c r="AL1401" s="14"/>
      <c r="AN1401" s="14"/>
      <c r="AQ1401" s="0" t="s">
        <v>130</v>
      </c>
      <c r="AR1401" s="0" t="s">
        <v>130</v>
      </c>
      <c r="AS1401" s="0" t="s">
        <v>130</v>
      </c>
      <c r="AT1401" s="0" t="s">
        <v>130</v>
      </c>
      <c r="AU1401" s="0" t="s">
        <v>130</v>
      </c>
      <c r="AV1401" s="0" t="s">
        <v>130</v>
      </c>
      <c r="AW1401" s="0" t="s">
        <v>130</v>
      </c>
      <c r="AX1401" s="0" t="s">
        <v>130</v>
      </c>
      <c r="AY1401" s="0" t="s">
        <v>130</v>
      </c>
      <c r="AZ1401" s="0" t="s">
        <v>130</v>
      </c>
      <c r="BA1401" s="0" t="s">
        <v>130</v>
      </c>
      <c r="BB1401" s="0" t="s">
        <v>130</v>
      </c>
      <c r="BC1401" s="0" t="s">
        <v>130</v>
      </c>
      <c r="BD1401" s="0" t="s">
        <v>130</v>
      </c>
      <c r="BE1401" s="0" t="s">
        <v>130</v>
      </c>
      <c r="BF1401" s="0" t="s">
        <v>130</v>
      </c>
      <c r="BG1401" s="0" t="s">
        <v>130</v>
      </c>
      <c r="BH1401" s="0" t="s">
        <v>130</v>
      </c>
      <c r="BI1401" s="0" t="s">
        <v>130</v>
      </c>
      <c r="BJ1401" s="0" t="s">
        <v>130</v>
      </c>
      <c r="BK1401" s="0" t="s">
        <v>130</v>
      </c>
      <c r="BL1401" s="0" t="s">
        <v>130</v>
      </c>
      <c r="BM1401" s="0" t="s">
        <v>130</v>
      </c>
      <c r="BN1401" s="0" t="s">
        <v>130</v>
      </c>
      <c r="BO1401" s="0" t="s">
        <v>130</v>
      </c>
      <c r="BP1401" s="0" t="s">
        <v>130</v>
      </c>
      <c r="BQ1401" s="0" t="s">
        <v>130</v>
      </c>
      <c r="BR1401" s="0" t="s">
        <v>130</v>
      </c>
      <c r="BS1401" s="0" t="s">
        <v>130</v>
      </c>
      <c r="BT1401" s="0" t="s">
        <v>130</v>
      </c>
      <c r="BU1401" s="0" t="s">
        <v>130</v>
      </c>
      <c r="BV1401" s="0" t="s">
        <v>130</v>
      </c>
      <c r="BW1401" s="0" t="s">
        <v>130</v>
      </c>
      <c r="BX1401" s="0" t="s">
        <v>130</v>
      </c>
      <c r="BY1401" s="0" t="s">
        <v>130</v>
      </c>
      <c r="BZ1401" s="0" t="s">
        <v>130</v>
      </c>
      <c r="CA1401" s="0" t="s">
        <v>130</v>
      </c>
      <c r="CB1401" s="0" t="s">
        <v>130</v>
      </c>
      <c r="CC1401" s="0" t="s">
        <v>130</v>
      </c>
      <c r="CD1401" s="0" t="s">
        <v>130</v>
      </c>
      <c r="CE1401" s="0" t="s">
        <v>130</v>
      </c>
      <c r="CF1401" s="0" t="s">
        <v>130</v>
      </c>
      <c r="CG1401" s="0" t="s">
        <v>130</v>
      </c>
      <c r="CH1401" s="0" t="s">
        <v>130</v>
      </c>
      <c r="CI1401" s="0" t="s">
        <v>130</v>
      </c>
      <c r="CJ1401" s="0" t="s">
        <v>130</v>
      </c>
      <c r="CK1401" s="0" t="s">
        <v>130</v>
      </c>
      <c r="CL1401" s="0" t="s">
        <v>130</v>
      </c>
      <c r="CM1401" s="0" t="s">
        <v>130</v>
      </c>
      <c r="CN1401" s="0" t="s">
        <v>130</v>
      </c>
      <c r="CO1401" s="0" t="s">
        <v>130</v>
      </c>
      <c r="CP1401" s="0" t="s">
        <v>130</v>
      </c>
      <c r="CQ1401" s="0" t="s">
        <v>130</v>
      </c>
      <c r="CR1401" s="0" t="s">
        <v>130</v>
      </c>
      <c r="CS1401" s="0" t="s">
        <v>130</v>
      </c>
      <c r="CT1401" s="0" t="s">
        <v>4082</v>
      </c>
    </row>
    <row r="1402">
      <c r="A1402" s="14">
        <v>11948451</v>
      </c>
      <c r="B1402" s="0" t="s">
        <v>4079</v>
      </c>
      <c r="C1402" s="16">
        <f>HYPERLINK("https://eosportal.federatedhermes.com/companies/Q29tcGFueQppNjMzMTI=", "Tesla Inc")</f>
      </c>
      <c r="D1402" s="0" t="s">
        <v>25</v>
      </c>
      <c r="E1402" s="0" t="s">
        <v>743</v>
      </c>
      <c r="F1402" s="16">
        <f>HYPERLINK("https://eosportal.federatedhermes.com/engagements/RW5nYWdlbWVudAppMjc3ODQ=", "Cyber Security")</f>
      </c>
      <c r="G1402" s="14" t="s">
        <v>4083</v>
      </c>
      <c r="H1402" s="0" t="s">
        <v>141</v>
      </c>
      <c r="I1402" s="14" t="s">
        <v>191</v>
      </c>
      <c r="J1402" s="0" t="s">
        <v>132</v>
      </c>
      <c r="K1402" s="0" t="s">
        <v>260</v>
      </c>
      <c r="L1402" s="0" t="s">
        <v>743</v>
      </c>
      <c r="M1402" s="0" t="s">
        <v>135</v>
      </c>
      <c r="N1402" s="0" t="s">
        <v>136</v>
      </c>
      <c r="O1402" s="0" t="s">
        <v>425</v>
      </c>
      <c r="Q1402" s="0" t="s">
        <v>130</v>
      </c>
      <c r="R1402" s="0" t="s">
        <v>138</v>
      </c>
      <c r="S1402" s="14">
        <v>0</v>
      </c>
      <c r="T1402" s="0" t="s">
        <v>327</v>
      </c>
      <c r="U1402" s="0" t="s">
        <v>138</v>
      </c>
      <c r="V1402" s="14" t="s">
        <v>138</v>
      </c>
      <c r="W1402" s="0" t="s">
        <v>138</v>
      </c>
      <c r="X1402" s="14" t="s">
        <v>138</v>
      </c>
      <c r="Y1402" s="0" t="s">
        <v>138</v>
      </c>
      <c r="Z1402" s="14" t="s">
        <v>138</v>
      </c>
      <c r="AA1402" s="0" t="s">
        <v>138</v>
      </c>
      <c r="AB1402" s="14" t="s">
        <v>138</v>
      </c>
      <c r="AD1402" s="0" t="s">
        <v>138</v>
      </c>
      <c r="AF1402" s="0">
        <v>0</v>
      </c>
      <c r="AG1402" s="0">
        <v>0</v>
      </c>
      <c r="AH1402" s="0" t="s">
        <v>140</v>
      </c>
      <c r="AI1402" s="0" t="s">
        <v>138</v>
      </c>
      <c r="AL1402" s="14"/>
      <c r="AN1402" s="14"/>
      <c r="AQ1402" s="0" t="s">
        <v>130</v>
      </c>
      <c r="AR1402" s="0" t="s">
        <v>130</v>
      </c>
      <c r="AS1402" s="0" t="s">
        <v>130</v>
      </c>
      <c r="AT1402" s="0" t="s">
        <v>130</v>
      </c>
      <c r="AU1402" s="0" t="s">
        <v>130</v>
      </c>
      <c r="AV1402" s="0" t="s">
        <v>130</v>
      </c>
      <c r="AW1402" s="0" t="s">
        <v>130</v>
      </c>
      <c r="AX1402" s="0" t="s">
        <v>130</v>
      </c>
      <c r="AY1402" s="0" t="s">
        <v>141</v>
      </c>
      <c r="AZ1402" s="0" t="s">
        <v>130</v>
      </c>
      <c r="BA1402" s="0" t="s">
        <v>130</v>
      </c>
      <c r="BB1402" s="0" t="s">
        <v>130</v>
      </c>
      <c r="BC1402" s="0" t="s">
        <v>130</v>
      </c>
      <c r="BD1402" s="0" t="s">
        <v>130</v>
      </c>
      <c r="BE1402" s="0" t="s">
        <v>130</v>
      </c>
      <c r="BF1402" s="0" t="s">
        <v>130</v>
      </c>
      <c r="BG1402" s="0" t="s">
        <v>130</v>
      </c>
      <c r="BH1402" s="0" t="s">
        <v>130</v>
      </c>
      <c r="BI1402" s="0" t="s">
        <v>130</v>
      </c>
      <c r="BJ1402" s="0" t="s">
        <v>130</v>
      </c>
      <c r="BK1402" s="0" t="s">
        <v>130</v>
      </c>
      <c r="BL1402" s="0" t="s">
        <v>130</v>
      </c>
      <c r="BM1402" s="0" t="s">
        <v>130</v>
      </c>
      <c r="BN1402" s="0" t="s">
        <v>130</v>
      </c>
      <c r="BO1402" s="0" t="s">
        <v>130</v>
      </c>
      <c r="BP1402" s="0" t="s">
        <v>130</v>
      </c>
      <c r="BQ1402" s="0" t="s">
        <v>130</v>
      </c>
      <c r="BR1402" s="0" t="s">
        <v>130</v>
      </c>
      <c r="BS1402" s="0" t="s">
        <v>130</v>
      </c>
      <c r="BT1402" s="0" t="s">
        <v>130</v>
      </c>
      <c r="BU1402" s="0" t="s">
        <v>130</v>
      </c>
      <c r="BV1402" s="0" t="s">
        <v>130</v>
      </c>
      <c r="BW1402" s="0" t="s">
        <v>130</v>
      </c>
      <c r="BX1402" s="0" t="s">
        <v>130</v>
      </c>
      <c r="BY1402" s="0" t="s">
        <v>130</v>
      </c>
      <c r="BZ1402" s="0" t="s">
        <v>130</v>
      </c>
      <c r="CA1402" s="0" t="s">
        <v>130</v>
      </c>
      <c r="CB1402" s="0" t="s">
        <v>130</v>
      </c>
      <c r="CC1402" s="0" t="s">
        <v>130</v>
      </c>
      <c r="CD1402" s="0" t="s">
        <v>130</v>
      </c>
      <c r="CE1402" s="0" t="s">
        <v>130</v>
      </c>
      <c r="CF1402" s="0" t="s">
        <v>130</v>
      </c>
      <c r="CG1402" s="0" t="s">
        <v>130</v>
      </c>
      <c r="CH1402" s="0" t="s">
        <v>130</v>
      </c>
      <c r="CI1402" s="0" t="s">
        <v>130</v>
      </c>
      <c r="CJ1402" s="0" t="s">
        <v>130</v>
      </c>
      <c r="CK1402" s="0" t="s">
        <v>130</v>
      </c>
      <c r="CL1402" s="0" t="s">
        <v>130</v>
      </c>
      <c r="CM1402" s="0" t="s">
        <v>130</v>
      </c>
      <c r="CN1402" s="0" t="s">
        <v>130</v>
      </c>
      <c r="CO1402" s="0" t="s">
        <v>130</v>
      </c>
      <c r="CP1402" s="0" t="s">
        <v>130</v>
      </c>
      <c r="CQ1402" s="0" t="s">
        <v>130</v>
      </c>
      <c r="CR1402" s="0" t="s">
        <v>130</v>
      </c>
      <c r="CS1402" s="0" t="s">
        <v>130</v>
      </c>
      <c r="CT1402" s="0" t="s">
        <v>4084</v>
      </c>
    </row>
    <row r="1403">
      <c r="A1403" s="14">
        <v>11948451</v>
      </c>
      <c r="B1403" s="0" t="s">
        <v>4079</v>
      </c>
      <c r="C1403" s="16">
        <f>HYPERLINK("https://eosportal.federatedhermes.com/companies/Q29tcGFueQppNjMzMTI=", "Tesla Inc")</f>
      </c>
      <c r="D1403" s="0" t="s">
        <v>25</v>
      </c>
      <c r="E1403" s="0" t="s">
        <v>427</v>
      </c>
      <c r="F1403" s="16">
        <f>HYPERLINK("https://eosportal.federatedhermes.com/engagements/RW5nYWdlbWVudAppMjc3ODU=", "Circular economy")</f>
      </c>
      <c r="G1403" s="14" t="s">
        <v>4085</v>
      </c>
      <c r="H1403" s="0" t="s">
        <v>141</v>
      </c>
      <c r="I1403" s="14" t="s">
        <v>191</v>
      </c>
      <c r="J1403" s="0" t="s">
        <v>197</v>
      </c>
      <c r="K1403" s="0" t="s">
        <v>348</v>
      </c>
      <c r="L1403" s="0" t="s">
        <v>349</v>
      </c>
      <c r="M1403" s="0" t="s">
        <v>135</v>
      </c>
      <c r="N1403" s="0" t="s">
        <v>136</v>
      </c>
      <c r="O1403" s="0" t="s">
        <v>425</v>
      </c>
      <c r="Q1403" s="0" t="s">
        <v>130</v>
      </c>
      <c r="R1403" s="0" t="s">
        <v>138</v>
      </c>
      <c r="S1403" s="14">
        <v>0</v>
      </c>
      <c r="T1403" s="0" t="s">
        <v>314</v>
      </c>
      <c r="U1403" s="0" t="s">
        <v>138</v>
      </c>
      <c r="V1403" s="14" t="s">
        <v>138</v>
      </c>
      <c r="W1403" s="0" t="s">
        <v>138</v>
      </c>
      <c r="X1403" s="14" t="s">
        <v>138</v>
      </c>
      <c r="Y1403" s="0" t="s">
        <v>138</v>
      </c>
      <c r="Z1403" s="14" t="s">
        <v>138</v>
      </c>
      <c r="AA1403" s="0" t="s">
        <v>138</v>
      </c>
      <c r="AB1403" s="14" t="s">
        <v>138</v>
      </c>
      <c r="AD1403" s="0" t="s">
        <v>138</v>
      </c>
      <c r="AF1403" s="0">
        <v>0</v>
      </c>
      <c r="AG1403" s="0">
        <v>0</v>
      </c>
      <c r="AH1403" s="0" t="s">
        <v>140</v>
      </c>
      <c r="AI1403" s="0" t="s">
        <v>138</v>
      </c>
      <c r="AL1403" s="14"/>
      <c r="AN1403" s="14"/>
      <c r="AQ1403" s="0" t="s">
        <v>130</v>
      </c>
      <c r="AR1403" s="0" t="s">
        <v>130</v>
      </c>
      <c r="AS1403" s="0" t="s">
        <v>130</v>
      </c>
      <c r="AT1403" s="0" t="s">
        <v>130</v>
      </c>
      <c r="AU1403" s="0" t="s">
        <v>130</v>
      </c>
      <c r="AV1403" s="0" t="s">
        <v>130</v>
      </c>
      <c r="AW1403" s="0" t="s">
        <v>130</v>
      </c>
      <c r="AX1403" s="0" t="s">
        <v>130</v>
      </c>
      <c r="AY1403" s="0" t="s">
        <v>130</v>
      </c>
      <c r="AZ1403" s="0" t="s">
        <v>130</v>
      </c>
      <c r="BA1403" s="0" t="s">
        <v>130</v>
      </c>
      <c r="BB1403" s="0" t="s">
        <v>141</v>
      </c>
      <c r="BC1403" s="0" t="s">
        <v>130</v>
      </c>
      <c r="BD1403" s="0" t="s">
        <v>130</v>
      </c>
      <c r="BE1403" s="0" t="s">
        <v>130</v>
      </c>
      <c r="BF1403" s="0" t="s">
        <v>130</v>
      </c>
      <c r="BG1403" s="0" t="s">
        <v>130</v>
      </c>
      <c r="BH1403" s="0" t="s">
        <v>130</v>
      </c>
      <c r="BI1403" s="0" t="s">
        <v>130</v>
      </c>
      <c r="BJ1403" s="0" t="s">
        <v>130</v>
      </c>
      <c r="BK1403" s="0" t="s">
        <v>130</v>
      </c>
      <c r="BL1403" s="0" t="s">
        <v>130</v>
      </c>
      <c r="BM1403" s="0" t="s">
        <v>130</v>
      </c>
      <c r="BN1403" s="0" t="s">
        <v>130</v>
      </c>
      <c r="BO1403" s="0" t="s">
        <v>130</v>
      </c>
      <c r="BP1403" s="0" t="s">
        <v>130</v>
      </c>
      <c r="BQ1403" s="0" t="s">
        <v>130</v>
      </c>
      <c r="BR1403" s="0" t="s">
        <v>130</v>
      </c>
      <c r="BS1403" s="0" t="s">
        <v>130</v>
      </c>
      <c r="BT1403" s="0" t="s">
        <v>130</v>
      </c>
      <c r="BU1403" s="0" t="s">
        <v>130</v>
      </c>
      <c r="BV1403" s="0" t="s">
        <v>130</v>
      </c>
      <c r="BW1403" s="0" t="s">
        <v>130</v>
      </c>
      <c r="BX1403" s="0" t="s">
        <v>130</v>
      </c>
      <c r="BY1403" s="0" t="s">
        <v>130</v>
      </c>
      <c r="BZ1403" s="0" t="s">
        <v>130</v>
      </c>
      <c r="CA1403" s="0" t="s">
        <v>130</v>
      </c>
      <c r="CB1403" s="0" t="s">
        <v>130</v>
      </c>
      <c r="CC1403" s="0" t="s">
        <v>130</v>
      </c>
      <c r="CD1403" s="0" t="s">
        <v>141</v>
      </c>
      <c r="CE1403" s="0" t="s">
        <v>130</v>
      </c>
      <c r="CF1403" s="0" t="s">
        <v>130</v>
      </c>
      <c r="CG1403" s="0" t="s">
        <v>130</v>
      </c>
      <c r="CH1403" s="0" t="s">
        <v>130</v>
      </c>
      <c r="CI1403" s="0" t="s">
        <v>130</v>
      </c>
      <c r="CJ1403" s="0" t="s">
        <v>130</v>
      </c>
      <c r="CK1403" s="0" t="s">
        <v>130</v>
      </c>
      <c r="CL1403" s="0" t="s">
        <v>130</v>
      </c>
      <c r="CM1403" s="0" t="s">
        <v>130</v>
      </c>
      <c r="CN1403" s="0" t="s">
        <v>130</v>
      </c>
      <c r="CO1403" s="0" t="s">
        <v>130</v>
      </c>
      <c r="CP1403" s="0" t="s">
        <v>130</v>
      </c>
      <c r="CQ1403" s="0" t="s">
        <v>130</v>
      </c>
      <c r="CR1403" s="0" t="s">
        <v>130</v>
      </c>
      <c r="CS1403" s="0" t="s">
        <v>130</v>
      </c>
      <c r="CT1403" s="0" t="s">
        <v>4086</v>
      </c>
    </row>
    <row r="1404">
      <c r="A1404" s="14">
        <v>11948451</v>
      </c>
      <c r="B1404" s="0" t="s">
        <v>4079</v>
      </c>
      <c r="C1404" s="16">
        <f>HYPERLINK("https://eosportal.federatedhermes.com/companies/Q29tcGFueQppNjMzMTI=", "Tesla Inc")</f>
      </c>
      <c r="D1404" s="0" t="s">
        <v>25</v>
      </c>
      <c r="E1404" s="0" t="s">
        <v>4087</v>
      </c>
      <c r="F1404" s="16">
        <f>HYPERLINK("https://eosportal.federatedhermes.com/engagements/RW5nYWdlbWVudAppMjc3ODY=", "Climate Strategy Disclosure")</f>
      </c>
      <c r="G1404" s="14" t="s">
        <v>4088</v>
      </c>
      <c r="H1404" s="0" t="s">
        <v>141</v>
      </c>
      <c r="I1404" s="14" t="s">
        <v>191</v>
      </c>
      <c r="J1404" s="0" t="s">
        <v>197</v>
      </c>
      <c r="K1404" s="0" t="s">
        <v>198</v>
      </c>
      <c r="L1404" s="0" t="s">
        <v>199</v>
      </c>
      <c r="M1404" s="0" t="s">
        <v>135</v>
      </c>
      <c r="N1404" s="0" t="s">
        <v>136</v>
      </c>
      <c r="O1404" s="0" t="s">
        <v>425</v>
      </c>
      <c r="Q1404" s="0" t="s">
        <v>130</v>
      </c>
      <c r="R1404" s="0" t="s">
        <v>138</v>
      </c>
      <c r="S1404" s="14">
        <v>0</v>
      </c>
      <c r="T1404" s="0" t="s">
        <v>288</v>
      </c>
      <c r="U1404" s="0" t="s">
        <v>138</v>
      </c>
      <c r="V1404" s="14" t="s">
        <v>138</v>
      </c>
      <c r="W1404" s="0" t="s">
        <v>138</v>
      </c>
      <c r="X1404" s="14" t="s">
        <v>138</v>
      </c>
      <c r="Y1404" s="0" t="s">
        <v>138</v>
      </c>
      <c r="Z1404" s="14" t="s">
        <v>138</v>
      </c>
      <c r="AA1404" s="0" t="s">
        <v>138</v>
      </c>
      <c r="AB1404" s="14" t="s">
        <v>138</v>
      </c>
      <c r="AD1404" s="0" t="s">
        <v>138</v>
      </c>
      <c r="AF1404" s="0">
        <v>0</v>
      </c>
      <c r="AG1404" s="0">
        <v>0</v>
      </c>
      <c r="AH1404" s="0" t="s">
        <v>140</v>
      </c>
      <c r="AI1404" s="0" t="s">
        <v>138</v>
      </c>
      <c r="AL1404" s="14"/>
      <c r="AN1404" s="14"/>
      <c r="AQ1404" s="0" t="s">
        <v>130</v>
      </c>
      <c r="AR1404" s="0" t="s">
        <v>130</v>
      </c>
      <c r="AS1404" s="0" t="s">
        <v>130</v>
      </c>
      <c r="AT1404" s="0" t="s">
        <v>130</v>
      </c>
      <c r="AU1404" s="0" t="s">
        <v>130</v>
      </c>
      <c r="AV1404" s="0" t="s">
        <v>130</v>
      </c>
      <c r="AW1404" s="0" t="s">
        <v>130</v>
      </c>
      <c r="AX1404" s="0" t="s">
        <v>130</v>
      </c>
      <c r="AY1404" s="0" t="s">
        <v>130</v>
      </c>
      <c r="AZ1404" s="0" t="s">
        <v>130</v>
      </c>
      <c r="BA1404" s="0" t="s">
        <v>130</v>
      </c>
      <c r="BB1404" s="0" t="s">
        <v>141</v>
      </c>
      <c r="BC1404" s="0" t="s">
        <v>130</v>
      </c>
      <c r="BD1404" s="0" t="s">
        <v>130</v>
      </c>
      <c r="BE1404" s="0" t="s">
        <v>130</v>
      </c>
      <c r="BF1404" s="0" t="s">
        <v>130</v>
      </c>
      <c r="BG1404" s="0" t="s">
        <v>130</v>
      </c>
      <c r="BH1404" s="0" t="s">
        <v>130</v>
      </c>
      <c r="BI1404" s="0" t="s">
        <v>130</v>
      </c>
      <c r="BJ1404" s="0" t="s">
        <v>130</v>
      </c>
      <c r="BK1404" s="0" t="s">
        <v>130</v>
      </c>
      <c r="BL1404" s="0" t="s">
        <v>130</v>
      </c>
      <c r="BM1404" s="0" t="s">
        <v>130</v>
      </c>
      <c r="BN1404" s="0" t="s">
        <v>130</v>
      </c>
      <c r="BO1404" s="0" t="s">
        <v>130</v>
      </c>
      <c r="BP1404" s="0" t="s">
        <v>130</v>
      </c>
      <c r="BQ1404" s="0" t="s">
        <v>130</v>
      </c>
      <c r="BR1404" s="0" t="s">
        <v>130</v>
      </c>
      <c r="BS1404" s="0" t="s">
        <v>130</v>
      </c>
      <c r="BT1404" s="0" t="s">
        <v>130</v>
      </c>
      <c r="BU1404" s="0" t="s">
        <v>130</v>
      </c>
      <c r="BV1404" s="0" t="s">
        <v>130</v>
      </c>
      <c r="BW1404" s="0" t="s">
        <v>130</v>
      </c>
      <c r="BX1404" s="0" t="s">
        <v>130</v>
      </c>
      <c r="BY1404" s="0" t="s">
        <v>130</v>
      </c>
      <c r="BZ1404" s="0" t="s">
        <v>130</v>
      </c>
      <c r="CA1404" s="0" t="s">
        <v>130</v>
      </c>
      <c r="CB1404" s="0" t="s">
        <v>130</v>
      </c>
      <c r="CC1404" s="0" t="s">
        <v>130</v>
      </c>
      <c r="CD1404" s="0" t="s">
        <v>130</v>
      </c>
      <c r="CE1404" s="0" t="s">
        <v>130</v>
      </c>
      <c r="CF1404" s="0" t="s">
        <v>130</v>
      </c>
      <c r="CG1404" s="0" t="s">
        <v>130</v>
      </c>
      <c r="CH1404" s="0" t="s">
        <v>130</v>
      </c>
      <c r="CI1404" s="0" t="s">
        <v>130</v>
      </c>
      <c r="CJ1404" s="0" t="s">
        <v>130</v>
      </c>
      <c r="CK1404" s="0" t="s">
        <v>130</v>
      </c>
      <c r="CL1404" s="0" t="s">
        <v>130</v>
      </c>
      <c r="CM1404" s="0" t="s">
        <v>130</v>
      </c>
      <c r="CN1404" s="0" t="s">
        <v>130</v>
      </c>
      <c r="CO1404" s="0" t="s">
        <v>130</v>
      </c>
      <c r="CP1404" s="0" t="s">
        <v>130</v>
      </c>
      <c r="CQ1404" s="0" t="s">
        <v>130</v>
      </c>
      <c r="CR1404" s="0" t="s">
        <v>130</v>
      </c>
      <c r="CS1404" s="0" t="s">
        <v>130</v>
      </c>
      <c r="CT1404" s="0" t="s">
        <v>4089</v>
      </c>
    </row>
    <row r="1405">
      <c r="A1405" s="14">
        <v>11948451</v>
      </c>
      <c r="B1405" s="0" t="s">
        <v>4079</v>
      </c>
      <c r="C1405" s="16">
        <f>HYPERLINK("https://eosportal.federatedhermes.com/companies/Q29tcGFueQppNjMzMTI=", "Tesla Inc")</f>
      </c>
      <c r="D1405" s="0" t="s">
        <v>25</v>
      </c>
      <c r="E1405" s="0" t="s">
        <v>4090</v>
      </c>
      <c r="F1405" s="16">
        <f>HYPERLINK("https://eosportal.federatedhermes.com/engagements/RW5nYWdlbWVudAppMjc3ODc=", "Unionisation &amp; Regulatory Risks")</f>
      </c>
      <c r="G1405" s="14" t="s">
        <v>4091</v>
      </c>
      <c r="H1405" s="0" t="s">
        <v>141</v>
      </c>
      <c r="I1405" s="14" t="s">
        <v>191</v>
      </c>
      <c r="J1405" s="0" t="s">
        <v>153</v>
      </c>
      <c r="K1405" s="0" t="s">
        <v>154</v>
      </c>
      <c r="L1405" s="0" t="s">
        <v>306</v>
      </c>
      <c r="M1405" s="0" t="s">
        <v>135</v>
      </c>
      <c r="N1405" s="0" t="s">
        <v>136</v>
      </c>
      <c r="O1405" s="0" t="s">
        <v>425</v>
      </c>
      <c r="Q1405" s="0" t="s">
        <v>130</v>
      </c>
      <c r="R1405" s="0" t="s">
        <v>138</v>
      </c>
      <c r="S1405" s="14">
        <v>0</v>
      </c>
      <c r="T1405" s="0" t="s">
        <v>394</v>
      </c>
      <c r="U1405" s="0" t="s">
        <v>138</v>
      </c>
      <c r="V1405" s="14" t="s">
        <v>138</v>
      </c>
      <c r="W1405" s="0" t="s">
        <v>138</v>
      </c>
      <c r="X1405" s="14" t="s">
        <v>138</v>
      </c>
      <c r="Y1405" s="0" t="s">
        <v>138</v>
      </c>
      <c r="Z1405" s="14" t="s">
        <v>138</v>
      </c>
      <c r="AA1405" s="0" t="s">
        <v>138</v>
      </c>
      <c r="AB1405" s="14" t="s">
        <v>138</v>
      </c>
      <c r="AD1405" s="0" t="s">
        <v>138</v>
      </c>
      <c r="AF1405" s="0">
        <v>0</v>
      </c>
      <c r="AG1405" s="0">
        <v>0</v>
      </c>
      <c r="AH1405" s="0" t="s">
        <v>140</v>
      </c>
      <c r="AI1405" s="0" t="s">
        <v>138</v>
      </c>
      <c r="AL1405" s="14"/>
      <c r="AN1405" s="14"/>
      <c r="AQ1405" s="0" t="s">
        <v>130</v>
      </c>
      <c r="AR1405" s="0" t="s">
        <v>130</v>
      </c>
      <c r="AS1405" s="0" t="s">
        <v>130</v>
      </c>
      <c r="AT1405" s="0" t="s">
        <v>130</v>
      </c>
      <c r="AU1405" s="0" t="s">
        <v>130</v>
      </c>
      <c r="AV1405" s="0" t="s">
        <v>130</v>
      </c>
      <c r="AW1405" s="0" t="s">
        <v>130</v>
      </c>
      <c r="AX1405" s="0" t="s">
        <v>141</v>
      </c>
      <c r="AY1405" s="0" t="s">
        <v>130</v>
      </c>
      <c r="AZ1405" s="0" t="s">
        <v>141</v>
      </c>
      <c r="BA1405" s="0" t="s">
        <v>130</v>
      </c>
      <c r="BB1405" s="0" t="s">
        <v>130</v>
      </c>
      <c r="BC1405" s="0" t="s">
        <v>130</v>
      </c>
      <c r="BD1405" s="0" t="s">
        <v>130</v>
      </c>
      <c r="BE1405" s="0" t="s">
        <v>130</v>
      </c>
      <c r="BF1405" s="0" t="s">
        <v>130</v>
      </c>
      <c r="BG1405" s="0" t="s">
        <v>130</v>
      </c>
      <c r="BH1405" s="0" t="s">
        <v>130</v>
      </c>
      <c r="BI1405" s="0" t="s">
        <v>130</v>
      </c>
      <c r="BJ1405" s="0" t="s">
        <v>130</v>
      </c>
      <c r="BK1405" s="0" t="s">
        <v>130</v>
      </c>
      <c r="BL1405" s="0" t="s">
        <v>130</v>
      </c>
      <c r="BM1405" s="0" t="s">
        <v>130</v>
      </c>
      <c r="BN1405" s="0" t="s">
        <v>130</v>
      </c>
      <c r="BO1405" s="0" t="s">
        <v>130</v>
      </c>
      <c r="BP1405" s="0" t="s">
        <v>130</v>
      </c>
      <c r="BQ1405" s="0" t="s">
        <v>130</v>
      </c>
      <c r="BR1405" s="0" t="s">
        <v>130</v>
      </c>
      <c r="BS1405" s="0" t="s">
        <v>130</v>
      </c>
      <c r="BT1405" s="0" t="s">
        <v>130</v>
      </c>
      <c r="BU1405" s="0" t="s">
        <v>130</v>
      </c>
      <c r="BV1405" s="0" t="s">
        <v>130</v>
      </c>
      <c r="BW1405" s="0" t="s">
        <v>130</v>
      </c>
      <c r="BX1405" s="0" t="s">
        <v>130</v>
      </c>
      <c r="BY1405" s="0" t="s">
        <v>130</v>
      </c>
      <c r="BZ1405" s="0" t="s">
        <v>130</v>
      </c>
      <c r="CA1405" s="0" t="s">
        <v>130</v>
      </c>
      <c r="CB1405" s="0" t="s">
        <v>130</v>
      </c>
      <c r="CC1405" s="0" t="s">
        <v>130</v>
      </c>
      <c r="CD1405" s="0" t="s">
        <v>130</v>
      </c>
      <c r="CE1405" s="0" t="s">
        <v>130</v>
      </c>
      <c r="CF1405" s="0" t="s">
        <v>130</v>
      </c>
      <c r="CG1405" s="0" t="s">
        <v>130</v>
      </c>
      <c r="CH1405" s="0" t="s">
        <v>130</v>
      </c>
      <c r="CI1405" s="0" t="s">
        <v>130</v>
      </c>
      <c r="CJ1405" s="0" t="s">
        <v>130</v>
      </c>
      <c r="CK1405" s="0" t="s">
        <v>130</v>
      </c>
      <c r="CL1405" s="0" t="s">
        <v>130</v>
      </c>
      <c r="CM1405" s="0" t="s">
        <v>130</v>
      </c>
      <c r="CN1405" s="0" t="s">
        <v>130</v>
      </c>
      <c r="CO1405" s="0" t="s">
        <v>130</v>
      </c>
      <c r="CP1405" s="0" t="s">
        <v>130</v>
      </c>
      <c r="CQ1405" s="0" t="s">
        <v>130</v>
      </c>
      <c r="CR1405" s="0" t="s">
        <v>130</v>
      </c>
      <c r="CS1405" s="0" t="s">
        <v>130</v>
      </c>
      <c r="CT1405" s="0" t="s">
        <v>4092</v>
      </c>
    </row>
    <row r="1406">
      <c r="A1406" s="14">
        <v>11948451</v>
      </c>
      <c r="B1406" s="0" t="s">
        <v>4079</v>
      </c>
      <c r="C1406" s="16">
        <f>HYPERLINK("https://eosportal.federatedhermes.com/companies/Q29tcGFueQppNjMzMTI=", "Tesla Inc")</f>
      </c>
      <c r="D1406" s="0" t="s">
        <v>23</v>
      </c>
      <c r="E1406" s="0" t="s">
        <v>4093</v>
      </c>
      <c r="F1406" s="16">
        <f>HYPERLINK("https://eosportal.federatedhermes.com/engagements/RW5nYWdlbWVudAppMjc3ODg=", "Board refreshment - skills")</f>
      </c>
      <c r="G1406" s="14" t="s">
        <v>4094</v>
      </c>
      <c r="H1406" s="0" t="s">
        <v>141</v>
      </c>
      <c r="I1406" s="14" t="s">
        <v>191</v>
      </c>
      <c r="J1406" s="0" t="s">
        <v>145</v>
      </c>
      <c r="K1406" s="0" t="s">
        <v>164</v>
      </c>
      <c r="L1406" s="0" t="s">
        <v>165</v>
      </c>
      <c r="M1406" s="0" t="s">
        <v>135</v>
      </c>
      <c r="N1406" s="0" t="s">
        <v>136</v>
      </c>
      <c r="O1406" s="0" t="s">
        <v>425</v>
      </c>
      <c r="Q1406" s="0" t="s">
        <v>141</v>
      </c>
      <c r="R1406" s="0" t="s">
        <v>130</v>
      </c>
      <c r="S1406" s="14">
        <v>3</v>
      </c>
      <c r="T1406" s="0" t="s">
        <v>156</v>
      </c>
      <c r="U1406" s="0" t="s">
        <v>221</v>
      </c>
      <c r="V1406" s="14" t="s">
        <v>156</v>
      </c>
      <c r="W1406" s="0" t="s">
        <v>221</v>
      </c>
      <c r="X1406" s="14" t="s">
        <v>3562</v>
      </c>
      <c r="Y1406" s="0" t="s">
        <v>223</v>
      </c>
      <c r="Z1406" s="14" t="s">
        <v>138</v>
      </c>
      <c r="AA1406" s="0" t="s">
        <v>224</v>
      </c>
      <c r="AB1406" s="14" t="s">
        <v>138</v>
      </c>
      <c r="AD1406" s="0" t="s">
        <v>17</v>
      </c>
      <c r="AF1406" s="0">
        <v>0</v>
      </c>
      <c r="AG1406" s="0">
        <v>0</v>
      </c>
      <c r="AH1406" s="0" t="s">
        <v>140</v>
      </c>
      <c r="AI1406" s="0" t="s">
        <v>225</v>
      </c>
      <c r="AK1406" s="0" t="s">
        <v>3207</v>
      </c>
      <c r="AL1406" s="14"/>
      <c r="AN1406" s="14"/>
      <c r="AQ1406" s="0" t="s">
        <v>130</v>
      </c>
      <c r="AR1406" s="0" t="s">
        <v>130</v>
      </c>
      <c r="AS1406" s="0" t="s">
        <v>130</v>
      </c>
      <c r="AT1406" s="0" t="s">
        <v>130</v>
      </c>
      <c r="AU1406" s="0" t="s">
        <v>130</v>
      </c>
      <c r="AV1406" s="0" t="s">
        <v>130</v>
      </c>
      <c r="AW1406" s="0" t="s">
        <v>130</v>
      </c>
      <c r="AX1406" s="0" t="s">
        <v>130</v>
      </c>
      <c r="AY1406" s="0" t="s">
        <v>130</v>
      </c>
      <c r="AZ1406" s="0" t="s">
        <v>130</v>
      </c>
      <c r="BA1406" s="0" t="s">
        <v>130</v>
      </c>
      <c r="BB1406" s="0" t="s">
        <v>130</v>
      </c>
      <c r="BC1406" s="0" t="s">
        <v>130</v>
      </c>
      <c r="BD1406" s="0" t="s">
        <v>130</v>
      </c>
      <c r="BE1406" s="0" t="s">
        <v>130</v>
      </c>
      <c r="BF1406" s="0" t="s">
        <v>130</v>
      </c>
      <c r="BG1406" s="0" t="s">
        <v>130</v>
      </c>
      <c r="BH1406" s="0" t="s">
        <v>130</v>
      </c>
      <c r="BI1406" s="0" t="s">
        <v>130</v>
      </c>
      <c r="BJ1406" s="0" t="s">
        <v>130</v>
      </c>
      <c r="BK1406" s="0" t="s">
        <v>130</v>
      </c>
      <c r="BL1406" s="0" t="s">
        <v>130</v>
      </c>
      <c r="BM1406" s="0" t="s">
        <v>130</v>
      </c>
      <c r="BN1406" s="0" t="s">
        <v>130</v>
      </c>
      <c r="BO1406" s="0" t="s">
        <v>130</v>
      </c>
      <c r="BP1406" s="0" t="s">
        <v>130</v>
      </c>
      <c r="BQ1406" s="0" t="s">
        <v>130</v>
      </c>
      <c r="BR1406" s="0" t="s">
        <v>130</v>
      </c>
      <c r="BS1406" s="0" t="s">
        <v>130</v>
      </c>
      <c r="BT1406" s="0" t="s">
        <v>130</v>
      </c>
      <c r="BU1406" s="0" t="s">
        <v>130</v>
      </c>
      <c r="BV1406" s="0" t="s">
        <v>130</v>
      </c>
      <c r="BW1406" s="0" t="s">
        <v>130</v>
      </c>
      <c r="BX1406" s="0" t="s">
        <v>130</v>
      </c>
      <c r="BY1406" s="0" t="s">
        <v>130</v>
      </c>
      <c r="BZ1406" s="0" t="s">
        <v>130</v>
      </c>
      <c r="CA1406" s="0" t="s">
        <v>130</v>
      </c>
      <c r="CB1406" s="0" t="s">
        <v>130</v>
      </c>
      <c r="CC1406" s="0" t="s">
        <v>130</v>
      </c>
      <c r="CD1406" s="0" t="s">
        <v>130</v>
      </c>
      <c r="CE1406" s="0" t="s">
        <v>130</v>
      </c>
      <c r="CF1406" s="0" t="s">
        <v>130</v>
      </c>
      <c r="CG1406" s="0" t="s">
        <v>130</v>
      </c>
      <c r="CH1406" s="0" t="s">
        <v>130</v>
      </c>
      <c r="CI1406" s="0" t="s">
        <v>130</v>
      </c>
      <c r="CJ1406" s="0" t="s">
        <v>130</v>
      </c>
      <c r="CK1406" s="0" t="s">
        <v>130</v>
      </c>
      <c r="CL1406" s="0" t="s">
        <v>130</v>
      </c>
      <c r="CM1406" s="0" t="s">
        <v>130</v>
      </c>
      <c r="CN1406" s="0" t="s">
        <v>130</v>
      </c>
      <c r="CO1406" s="0" t="s">
        <v>130</v>
      </c>
      <c r="CP1406" s="0" t="s">
        <v>130</v>
      </c>
      <c r="CQ1406" s="0" t="s">
        <v>130</v>
      </c>
      <c r="CR1406" s="0" t="s">
        <v>130</v>
      </c>
      <c r="CS1406" s="0" t="s">
        <v>130</v>
      </c>
      <c r="CT1406" s="0" t="s">
        <v>4095</v>
      </c>
    </row>
    <row r="1407">
      <c r="A1407" s="14">
        <v>11948451</v>
      </c>
      <c r="B1407" s="0" t="s">
        <v>4079</v>
      </c>
      <c r="C1407" s="16">
        <f>HYPERLINK("https://eosportal.federatedhermes.com/companies/Q29tcGFueQppNjMzMTI=", "Tesla Inc")</f>
      </c>
      <c r="D1407" s="0" t="s">
        <v>25</v>
      </c>
      <c r="E1407" s="0" t="s">
        <v>2644</v>
      </c>
      <c r="F1407" s="16">
        <f>HYPERLINK("https://eosportal.federatedhermes.com/engagements/RW5nYWdlbWVudAppMjc3OTI=", "Cobalt supply chain")</f>
      </c>
      <c r="G1407" s="14" t="s">
        <v>4096</v>
      </c>
      <c r="H1407" s="0" t="s">
        <v>141</v>
      </c>
      <c r="I1407" s="14" t="s">
        <v>191</v>
      </c>
      <c r="J1407" s="0" t="s">
        <v>153</v>
      </c>
      <c r="K1407" s="0" t="s">
        <v>243</v>
      </c>
      <c r="L1407" s="0" t="s">
        <v>244</v>
      </c>
      <c r="M1407" s="0" t="s">
        <v>135</v>
      </c>
      <c r="N1407" s="0" t="s">
        <v>136</v>
      </c>
      <c r="O1407" s="0" t="s">
        <v>425</v>
      </c>
      <c r="Q1407" s="0" t="s">
        <v>141</v>
      </c>
      <c r="R1407" s="0" t="s">
        <v>138</v>
      </c>
      <c r="S1407" s="14">
        <v>1</v>
      </c>
      <c r="T1407" s="0" t="s">
        <v>314</v>
      </c>
      <c r="U1407" s="0" t="s">
        <v>138</v>
      </c>
      <c r="V1407" s="14" t="s">
        <v>138</v>
      </c>
      <c r="W1407" s="0" t="s">
        <v>138</v>
      </c>
      <c r="X1407" s="14" t="s">
        <v>138</v>
      </c>
      <c r="Y1407" s="0" t="s">
        <v>138</v>
      </c>
      <c r="Z1407" s="14" t="s">
        <v>138</v>
      </c>
      <c r="AA1407" s="0" t="s">
        <v>138</v>
      </c>
      <c r="AB1407" s="14" t="s">
        <v>138</v>
      </c>
      <c r="AD1407" s="0" t="s">
        <v>138</v>
      </c>
      <c r="AF1407" s="0">
        <v>0</v>
      </c>
      <c r="AG1407" s="0">
        <v>0</v>
      </c>
      <c r="AH1407" s="0" t="s">
        <v>140</v>
      </c>
      <c r="AI1407" s="0" t="s">
        <v>138</v>
      </c>
      <c r="AK1407" s="0" t="s">
        <v>413</v>
      </c>
      <c r="AL1407" s="14"/>
      <c r="AN1407" s="14"/>
      <c r="AQ1407" s="0" t="s">
        <v>130</v>
      </c>
      <c r="AR1407" s="0" t="s">
        <v>130</v>
      </c>
      <c r="AS1407" s="0" t="s">
        <v>130</v>
      </c>
      <c r="AT1407" s="0" t="s">
        <v>130</v>
      </c>
      <c r="AU1407" s="0" t="s">
        <v>130</v>
      </c>
      <c r="AV1407" s="0" t="s">
        <v>130</v>
      </c>
      <c r="AW1407" s="0" t="s">
        <v>130</v>
      </c>
      <c r="AX1407" s="0" t="s">
        <v>141</v>
      </c>
      <c r="AY1407" s="0" t="s">
        <v>130</v>
      </c>
      <c r="AZ1407" s="0" t="s">
        <v>130</v>
      </c>
      <c r="BA1407" s="0" t="s">
        <v>130</v>
      </c>
      <c r="BB1407" s="0" t="s">
        <v>130</v>
      </c>
      <c r="BC1407" s="0" t="s">
        <v>130</v>
      </c>
      <c r="BD1407" s="0" t="s">
        <v>130</v>
      </c>
      <c r="BE1407" s="0" t="s">
        <v>130</v>
      </c>
      <c r="BF1407" s="0" t="s">
        <v>130</v>
      </c>
      <c r="BG1407" s="0" t="s">
        <v>130</v>
      </c>
      <c r="BH1407" s="0" t="s">
        <v>130</v>
      </c>
      <c r="BI1407" s="0" t="s">
        <v>130</v>
      </c>
      <c r="BJ1407" s="0" t="s">
        <v>130</v>
      </c>
      <c r="BK1407" s="0" t="s">
        <v>130</v>
      </c>
      <c r="BL1407" s="0" t="s">
        <v>130</v>
      </c>
      <c r="BM1407" s="0" t="s">
        <v>130</v>
      </c>
      <c r="BN1407" s="0" t="s">
        <v>130</v>
      </c>
      <c r="BO1407" s="0" t="s">
        <v>130</v>
      </c>
      <c r="BP1407" s="0" t="s">
        <v>130</v>
      </c>
      <c r="BQ1407" s="0" t="s">
        <v>130</v>
      </c>
      <c r="BR1407" s="0" t="s">
        <v>130</v>
      </c>
      <c r="BS1407" s="0" t="s">
        <v>130</v>
      </c>
      <c r="BT1407" s="0" t="s">
        <v>130</v>
      </c>
      <c r="BU1407" s="0" t="s">
        <v>130</v>
      </c>
      <c r="BV1407" s="0" t="s">
        <v>130</v>
      </c>
      <c r="BW1407" s="0" t="s">
        <v>130</v>
      </c>
      <c r="BX1407" s="0" t="s">
        <v>130</v>
      </c>
      <c r="BY1407" s="0" t="s">
        <v>130</v>
      </c>
      <c r="BZ1407" s="0" t="s">
        <v>130</v>
      </c>
      <c r="CA1407" s="0" t="s">
        <v>130</v>
      </c>
      <c r="CB1407" s="0" t="s">
        <v>130</v>
      </c>
      <c r="CC1407" s="0" t="s">
        <v>130</v>
      </c>
      <c r="CD1407" s="0" t="s">
        <v>130</v>
      </c>
      <c r="CE1407" s="0" t="s">
        <v>130</v>
      </c>
      <c r="CF1407" s="0" t="s">
        <v>130</v>
      </c>
      <c r="CG1407" s="0" t="s">
        <v>130</v>
      </c>
      <c r="CH1407" s="0" t="s">
        <v>130</v>
      </c>
      <c r="CI1407" s="0" t="s">
        <v>130</v>
      </c>
      <c r="CJ1407" s="0" t="s">
        <v>130</v>
      </c>
      <c r="CK1407" s="0" t="s">
        <v>130</v>
      </c>
      <c r="CL1407" s="0" t="s">
        <v>130</v>
      </c>
      <c r="CM1407" s="0" t="s">
        <v>130</v>
      </c>
      <c r="CN1407" s="0" t="s">
        <v>130</v>
      </c>
      <c r="CO1407" s="0" t="s">
        <v>130</v>
      </c>
      <c r="CP1407" s="0" t="s">
        <v>130</v>
      </c>
      <c r="CQ1407" s="0" t="s">
        <v>130</v>
      </c>
      <c r="CR1407" s="0" t="s">
        <v>130</v>
      </c>
      <c r="CS1407" s="0" t="s">
        <v>130</v>
      </c>
      <c r="CT1407" s="0" t="s">
        <v>4097</v>
      </c>
    </row>
    <row r="1408">
      <c r="A1408" s="14">
        <v>11948451</v>
      </c>
      <c r="B1408" s="0" t="s">
        <v>4079</v>
      </c>
      <c r="C1408" s="16">
        <f>HYPERLINK("https://eosportal.federatedhermes.com/companies/Q29tcGFueQppNjMzMTI=", "Tesla Inc")</f>
      </c>
      <c r="D1408" s="0" t="s">
        <v>25</v>
      </c>
      <c r="E1408" s="0" t="s">
        <v>4098</v>
      </c>
      <c r="F1408" s="16">
        <f>HYPERLINK("https://eosportal.federatedhermes.com/engagements/RW5nYWdlbWVudAppMjc3OTM=", "Corporate governance letter")</f>
      </c>
      <c r="G1408" s="14" t="s">
        <v>4099</v>
      </c>
      <c r="H1408" s="0" t="s">
        <v>141</v>
      </c>
      <c r="I1408" s="14" t="s">
        <v>191</v>
      </c>
      <c r="J1408" s="0" t="s">
        <v>145</v>
      </c>
      <c r="K1408" s="0" t="s">
        <v>164</v>
      </c>
      <c r="L1408" s="0" t="s">
        <v>165</v>
      </c>
      <c r="M1408" s="0" t="s">
        <v>135</v>
      </c>
      <c r="N1408" s="0" t="s">
        <v>136</v>
      </c>
      <c r="O1408" s="0" t="s">
        <v>425</v>
      </c>
      <c r="Q1408" s="0" t="s">
        <v>130</v>
      </c>
      <c r="R1408" s="0" t="s">
        <v>138</v>
      </c>
      <c r="S1408" s="14">
        <v>0</v>
      </c>
      <c r="T1408" s="0" t="s">
        <v>457</v>
      </c>
      <c r="U1408" s="0" t="s">
        <v>138</v>
      </c>
      <c r="V1408" s="14" t="s">
        <v>138</v>
      </c>
      <c r="W1408" s="0" t="s">
        <v>138</v>
      </c>
      <c r="X1408" s="14" t="s">
        <v>138</v>
      </c>
      <c r="Y1408" s="0" t="s">
        <v>138</v>
      </c>
      <c r="Z1408" s="14" t="s">
        <v>138</v>
      </c>
      <c r="AA1408" s="0" t="s">
        <v>138</v>
      </c>
      <c r="AB1408" s="14" t="s">
        <v>138</v>
      </c>
      <c r="AD1408" s="0" t="s">
        <v>138</v>
      </c>
      <c r="AF1408" s="0">
        <v>0</v>
      </c>
      <c r="AG1408" s="0">
        <v>0</v>
      </c>
      <c r="AH1408" s="0" t="s">
        <v>140</v>
      </c>
      <c r="AI1408" s="0" t="s">
        <v>138</v>
      </c>
      <c r="AL1408" s="14"/>
      <c r="AN1408" s="14"/>
      <c r="AQ1408" s="0" t="s">
        <v>130</v>
      </c>
      <c r="AR1408" s="0" t="s">
        <v>130</v>
      </c>
      <c r="AS1408" s="0" t="s">
        <v>130</v>
      </c>
      <c r="AT1408" s="0" t="s">
        <v>130</v>
      </c>
      <c r="AU1408" s="0" t="s">
        <v>130</v>
      </c>
      <c r="AV1408" s="0" t="s">
        <v>130</v>
      </c>
      <c r="AW1408" s="0" t="s">
        <v>130</v>
      </c>
      <c r="AX1408" s="0" t="s">
        <v>130</v>
      </c>
      <c r="AY1408" s="0" t="s">
        <v>130</v>
      </c>
      <c r="AZ1408" s="0" t="s">
        <v>130</v>
      </c>
      <c r="BA1408" s="0" t="s">
        <v>130</v>
      </c>
      <c r="BB1408" s="0" t="s">
        <v>130</v>
      </c>
      <c r="BC1408" s="0" t="s">
        <v>130</v>
      </c>
      <c r="BD1408" s="0" t="s">
        <v>130</v>
      </c>
      <c r="BE1408" s="0" t="s">
        <v>130</v>
      </c>
      <c r="BF1408" s="0" t="s">
        <v>130</v>
      </c>
      <c r="BG1408" s="0" t="s">
        <v>130</v>
      </c>
      <c r="BH1408" s="0" t="s">
        <v>130</v>
      </c>
      <c r="BI1408" s="0" t="s">
        <v>130</v>
      </c>
      <c r="BJ1408" s="0" t="s">
        <v>130</v>
      </c>
      <c r="BK1408" s="0" t="s">
        <v>130</v>
      </c>
      <c r="BL1408" s="0" t="s">
        <v>130</v>
      </c>
      <c r="BM1408" s="0" t="s">
        <v>130</v>
      </c>
      <c r="BN1408" s="0" t="s">
        <v>130</v>
      </c>
      <c r="BO1408" s="0" t="s">
        <v>130</v>
      </c>
      <c r="BP1408" s="0" t="s">
        <v>130</v>
      </c>
      <c r="BQ1408" s="0" t="s">
        <v>130</v>
      </c>
      <c r="BR1408" s="0" t="s">
        <v>130</v>
      </c>
      <c r="BS1408" s="0" t="s">
        <v>130</v>
      </c>
      <c r="BT1408" s="0" t="s">
        <v>130</v>
      </c>
      <c r="BU1408" s="0" t="s">
        <v>130</v>
      </c>
      <c r="BV1408" s="0" t="s">
        <v>130</v>
      </c>
      <c r="BW1408" s="0" t="s">
        <v>130</v>
      </c>
      <c r="BX1408" s="0" t="s">
        <v>130</v>
      </c>
      <c r="BY1408" s="0" t="s">
        <v>130</v>
      </c>
      <c r="BZ1408" s="0" t="s">
        <v>130</v>
      </c>
      <c r="CA1408" s="0" t="s">
        <v>130</v>
      </c>
      <c r="CB1408" s="0" t="s">
        <v>130</v>
      </c>
      <c r="CC1408" s="0" t="s">
        <v>130</v>
      </c>
      <c r="CD1408" s="0" t="s">
        <v>130</v>
      </c>
      <c r="CE1408" s="0" t="s">
        <v>130</v>
      </c>
      <c r="CF1408" s="0" t="s">
        <v>130</v>
      </c>
      <c r="CG1408" s="0" t="s">
        <v>130</v>
      </c>
      <c r="CH1408" s="0" t="s">
        <v>130</v>
      </c>
      <c r="CI1408" s="0" t="s">
        <v>130</v>
      </c>
      <c r="CJ1408" s="0" t="s">
        <v>130</v>
      </c>
      <c r="CK1408" s="0" t="s">
        <v>130</v>
      </c>
      <c r="CL1408" s="0" t="s">
        <v>130</v>
      </c>
      <c r="CM1408" s="0" t="s">
        <v>130</v>
      </c>
      <c r="CN1408" s="0" t="s">
        <v>130</v>
      </c>
      <c r="CO1408" s="0" t="s">
        <v>130</v>
      </c>
      <c r="CP1408" s="0" t="s">
        <v>130</v>
      </c>
      <c r="CQ1408" s="0" t="s">
        <v>130</v>
      </c>
      <c r="CR1408" s="0" t="s">
        <v>130</v>
      </c>
      <c r="CS1408" s="0" t="s">
        <v>130</v>
      </c>
      <c r="CT1408" s="0" t="s">
        <v>4100</v>
      </c>
    </row>
    <row r="1409">
      <c r="A1409" s="14">
        <v>9917432</v>
      </c>
      <c r="B1409" s="0" t="s">
        <v>4101</v>
      </c>
      <c r="C1409" s="16">
        <f>HYPERLINK("https://eosportal.federatedhermes.com/companies/Q29tcGFueQppNTIxODY=", "Seven &amp; i Holdings Co Ltd")</f>
      </c>
      <c r="D1409" s="0" t="s">
        <v>23</v>
      </c>
      <c r="E1409" s="0" t="s">
        <v>4102</v>
      </c>
      <c r="F1409" s="16">
        <f>HYPERLINK("https://eosportal.federatedhermes.com/engagements/RW5nYWdlbWVudAppMjc4NTQ=", "Labour standards in agricultural supply chain")</f>
      </c>
      <c r="G1409" s="14" t="s">
        <v>4103</v>
      </c>
      <c r="H1409" s="0" t="s">
        <v>141</v>
      </c>
      <c r="I1409" s="14" t="s">
        <v>131</v>
      </c>
      <c r="J1409" s="0" t="s">
        <v>153</v>
      </c>
      <c r="K1409" s="0" t="s">
        <v>243</v>
      </c>
      <c r="L1409" s="0" t="s">
        <v>244</v>
      </c>
      <c r="M1409" s="0" t="s">
        <v>802</v>
      </c>
      <c r="N1409" s="0" t="s">
        <v>952</v>
      </c>
      <c r="O1409" s="0" t="s">
        <v>643</v>
      </c>
      <c r="Q1409" s="0" t="s">
        <v>130</v>
      </c>
      <c r="R1409" s="0" t="s">
        <v>130</v>
      </c>
      <c r="S1409" s="14">
        <v>0</v>
      </c>
      <c r="T1409" s="0" t="s">
        <v>387</v>
      </c>
      <c r="U1409" s="0" t="s">
        <v>221</v>
      </c>
      <c r="V1409" s="14" t="s">
        <v>387</v>
      </c>
      <c r="W1409" s="0" t="s">
        <v>221</v>
      </c>
      <c r="X1409" s="14" t="s">
        <v>181</v>
      </c>
      <c r="Y1409" s="0" t="s">
        <v>221</v>
      </c>
      <c r="Z1409" s="14" t="s">
        <v>920</v>
      </c>
      <c r="AA1409" s="0" t="s">
        <v>223</v>
      </c>
      <c r="AB1409" s="14" t="s">
        <v>138</v>
      </c>
      <c r="AD1409" s="0" t="s">
        <v>20</v>
      </c>
      <c r="AF1409" s="0">
        <v>0</v>
      </c>
      <c r="AG1409" s="0">
        <v>0</v>
      </c>
      <c r="AH1409" s="0" t="s">
        <v>140</v>
      </c>
      <c r="AI1409" s="0" t="s">
        <v>225</v>
      </c>
      <c r="AL1409" s="14"/>
      <c r="AN1409" s="14"/>
      <c r="AQ1409" s="0" t="s">
        <v>130</v>
      </c>
      <c r="AR1409" s="0" t="s">
        <v>130</v>
      </c>
      <c r="AS1409" s="0" t="s">
        <v>130</v>
      </c>
      <c r="AT1409" s="0" t="s">
        <v>130</v>
      </c>
      <c r="AU1409" s="0" t="s">
        <v>130</v>
      </c>
      <c r="AV1409" s="0" t="s">
        <v>130</v>
      </c>
      <c r="AW1409" s="0" t="s">
        <v>130</v>
      </c>
      <c r="AX1409" s="0" t="s">
        <v>141</v>
      </c>
      <c r="AY1409" s="0" t="s">
        <v>130</v>
      </c>
      <c r="AZ1409" s="0" t="s">
        <v>130</v>
      </c>
      <c r="BA1409" s="0" t="s">
        <v>130</v>
      </c>
      <c r="BB1409" s="0" t="s">
        <v>130</v>
      </c>
      <c r="BC1409" s="0" t="s">
        <v>130</v>
      </c>
      <c r="BD1409" s="0" t="s">
        <v>130</v>
      </c>
      <c r="BE1409" s="0" t="s">
        <v>130</v>
      </c>
      <c r="BF1409" s="0" t="s">
        <v>130</v>
      </c>
      <c r="BG1409" s="0" t="s">
        <v>130</v>
      </c>
      <c r="BH1409" s="0" t="s">
        <v>130</v>
      </c>
      <c r="BI1409" s="0" t="s">
        <v>130</v>
      </c>
      <c r="BJ1409" s="0" t="s">
        <v>130</v>
      </c>
      <c r="BK1409" s="0" t="s">
        <v>130</v>
      </c>
      <c r="BL1409" s="0" t="s">
        <v>130</v>
      </c>
      <c r="BM1409" s="0" t="s">
        <v>130</v>
      </c>
      <c r="BN1409" s="0" t="s">
        <v>130</v>
      </c>
      <c r="BO1409" s="0" t="s">
        <v>130</v>
      </c>
      <c r="BP1409" s="0" t="s">
        <v>130</v>
      </c>
      <c r="BQ1409" s="0" t="s">
        <v>130</v>
      </c>
      <c r="BR1409" s="0" t="s">
        <v>130</v>
      </c>
      <c r="BS1409" s="0" t="s">
        <v>130</v>
      </c>
      <c r="BT1409" s="0" t="s">
        <v>130</v>
      </c>
      <c r="BU1409" s="0" t="s">
        <v>130</v>
      </c>
      <c r="BV1409" s="0" t="s">
        <v>130</v>
      </c>
      <c r="BW1409" s="0" t="s">
        <v>130</v>
      </c>
      <c r="BX1409" s="0" t="s">
        <v>130</v>
      </c>
      <c r="BY1409" s="0" t="s">
        <v>130</v>
      </c>
      <c r="BZ1409" s="0" t="s">
        <v>130</v>
      </c>
      <c r="CA1409" s="0" t="s">
        <v>130</v>
      </c>
      <c r="CB1409" s="0" t="s">
        <v>130</v>
      </c>
      <c r="CC1409" s="0" t="s">
        <v>130</v>
      </c>
      <c r="CD1409" s="0" t="s">
        <v>130</v>
      </c>
      <c r="CE1409" s="0" t="s">
        <v>130</v>
      </c>
      <c r="CF1409" s="0" t="s">
        <v>130</v>
      </c>
      <c r="CG1409" s="0" t="s">
        <v>130</v>
      </c>
      <c r="CH1409" s="0" t="s">
        <v>130</v>
      </c>
      <c r="CI1409" s="0" t="s">
        <v>130</v>
      </c>
      <c r="CJ1409" s="0" t="s">
        <v>130</v>
      </c>
      <c r="CK1409" s="0" t="s">
        <v>130</v>
      </c>
      <c r="CL1409" s="0" t="s">
        <v>130</v>
      </c>
      <c r="CM1409" s="0" t="s">
        <v>130</v>
      </c>
      <c r="CN1409" s="0" t="s">
        <v>130</v>
      </c>
      <c r="CO1409" s="0" t="s">
        <v>130</v>
      </c>
      <c r="CP1409" s="0" t="s">
        <v>130</v>
      </c>
      <c r="CQ1409" s="0" t="s">
        <v>130</v>
      </c>
      <c r="CR1409" s="0" t="s">
        <v>130</v>
      </c>
      <c r="CS1409" s="0" t="s">
        <v>130</v>
      </c>
      <c r="CT1409" s="0" t="s">
        <v>4104</v>
      </c>
    </row>
    <row r="1410">
      <c r="A1410" s="14">
        <v>9917432</v>
      </c>
      <c r="B1410" s="0" t="s">
        <v>4101</v>
      </c>
      <c r="C1410" s="16">
        <f>HYPERLINK("https://eosportal.federatedhermes.com/companies/Q29tcGFueQppNTIxODY=", "Seven &amp; i Holdings Co Ltd")</f>
      </c>
      <c r="D1410" s="0" t="s">
        <v>23</v>
      </c>
      <c r="E1410" s="0" t="s">
        <v>912</v>
      </c>
      <c r="F1410" s="16">
        <f>HYPERLINK("https://eosportal.federatedhermes.com/engagements/RW5nYWdlbWVudAppMjc4NTU=", "Executive remuneration")</f>
      </c>
      <c r="G1410" s="14" t="s">
        <v>4105</v>
      </c>
      <c r="H1410" s="0" t="s">
        <v>141</v>
      </c>
      <c r="I1410" s="14" t="s">
        <v>131</v>
      </c>
      <c r="J1410" s="0" t="s">
        <v>145</v>
      </c>
      <c r="K1410" s="0" t="s">
        <v>146</v>
      </c>
      <c r="L1410" s="0" t="s">
        <v>147</v>
      </c>
      <c r="M1410" s="0" t="s">
        <v>802</v>
      </c>
      <c r="N1410" s="0" t="s">
        <v>952</v>
      </c>
      <c r="O1410" s="0" t="s">
        <v>643</v>
      </c>
      <c r="Q1410" s="0" t="s">
        <v>130</v>
      </c>
      <c r="R1410" s="0" t="s">
        <v>130</v>
      </c>
      <c r="S1410" s="14">
        <v>0</v>
      </c>
      <c r="T1410" s="0" t="s">
        <v>333</v>
      </c>
      <c r="U1410" s="0" t="s">
        <v>221</v>
      </c>
      <c r="V1410" s="14" t="s">
        <v>333</v>
      </c>
      <c r="W1410" s="0" t="s">
        <v>221</v>
      </c>
      <c r="X1410" s="14" t="s">
        <v>166</v>
      </c>
      <c r="Y1410" s="0" t="s">
        <v>221</v>
      </c>
      <c r="Z1410" s="14" t="s">
        <v>231</v>
      </c>
      <c r="AA1410" s="0" t="s">
        <v>223</v>
      </c>
      <c r="AB1410" s="14" t="s">
        <v>138</v>
      </c>
      <c r="AD1410" s="0" t="s">
        <v>20</v>
      </c>
      <c r="AF1410" s="0">
        <v>0</v>
      </c>
      <c r="AG1410" s="0">
        <v>0</v>
      </c>
      <c r="AH1410" s="0" t="s">
        <v>140</v>
      </c>
      <c r="AI1410" s="0" t="s">
        <v>225</v>
      </c>
      <c r="AL1410" s="14"/>
      <c r="AN1410" s="14"/>
      <c r="AQ1410" s="0" t="s">
        <v>130</v>
      </c>
      <c r="AR1410" s="0" t="s">
        <v>130</v>
      </c>
      <c r="AS1410" s="0" t="s">
        <v>130</v>
      </c>
      <c r="AT1410" s="0" t="s">
        <v>130</v>
      </c>
      <c r="AU1410" s="0" t="s">
        <v>130</v>
      </c>
      <c r="AV1410" s="0" t="s">
        <v>130</v>
      </c>
      <c r="AW1410" s="0" t="s">
        <v>130</v>
      </c>
      <c r="AX1410" s="0" t="s">
        <v>130</v>
      </c>
      <c r="AY1410" s="0" t="s">
        <v>130</v>
      </c>
      <c r="AZ1410" s="0" t="s">
        <v>130</v>
      </c>
      <c r="BA1410" s="0" t="s">
        <v>130</v>
      </c>
      <c r="BB1410" s="0" t="s">
        <v>130</v>
      </c>
      <c r="BC1410" s="0" t="s">
        <v>130</v>
      </c>
      <c r="BD1410" s="0" t="s">
        <v>130</v>
      </c>
      <c r="BE1410" s="0" t="s">
        <v>130</v>
      </c>
      <c r="BF1410" s="0" t="s">
        <v>130</v>
      </c>
      <c r="BG1410" s="0" t="s">
        <v>130</v>
      </c>
      <c r="BH1410" s="0" t="s">
        <v>130</v>
      </c>
      <c r="BI1410" s="0" t="s">
        <v>130</v>
      </c>
      <c r="BJ1410" s="0" t="s">
        <v>130</v>
      </c>
      <c r="BK1410" s="0" t="s">
        <v>130</v>
      </c>
      <c r="BL1410" s="0" t="s">
        <v>130</v>
      </c>
      <c r="BM1410" s="0" t="s">
        <v>130</v>
      </c>
      <c r="BN1410" s="0" t="s">
        <v>130</v>
      </c>
      <c r="BO1410" s="0" t="s">
        <v>130</v>
      </c>
      <c r="BP1410" s="0" t="s">
        <v>130</v>
      </c>
      <c r="BQ1410" s="0" t="s">
        <v>130</v>
      </c>
      <c r="BR1410" s="0" t="s">
        <v>130</v>
      </c>
      <c r="BS1410" s="0" t="s">
        <v>130</v>
      </c>
      <c r="BT1410" s="0" t="s">
        <v>130</v>
      </c>
      <c r="BU1410" s="0" t="s">
        <v>130</v>
      </c>
      <c r="BV1410" s="0" t="s">
        <v>130</v>
      </c>
      <c r="BW1410" s="0" t="s">
        <v>130</v>
      </c>
      <c r="BX1410" s="0" t="s">
        <v>130</v>
      </c>
      <c r="BY1410" s="0" t="s">
        <v>130</v>
      </c>
      <c r="BZ1410" s="0" t="s">
        <v>130</v>
      </c>
      <c r="CA1410" s="0" t="s">
        <v>130</v>
      </c>
      <c r="CB1410" s="0" t="s">
        <v>130</v>
      </c>
      <c r="CC1410" s="0" t="s">
        <v>130</v>
      </c>
      <c r="CD1410" s="0" t="s">
        <v>130</v>
      </c>
      <c r="CE1410" s="0" t="s">
        <v>130</v>
      </c>
      <c r="CF1410" s="0" t="s">
        <v>130</v>
      </c>
      <c r="CG1410" s="0" t="s">
        <v>130</v>
      </c>
      <c r="CH1410" s="0" t="s">
        <v>130</v>
      </c>
      <c r="CI1410" s="0" t="s">
        <v>130</v>
      </c>
      <c r="CJ1410" s="0" t="s">
        <v>130</v>
      </c>
      <c r="CK1410" s="0" t="s">
        <v>130</v>
      </c>
      <c r="CL1410" s="0" t="s">
        <v>130</v>
      </c>
      <c r="CM1410" s="0" t="s">
        <v>130</v>
      </c>
      <c r="CN1410" s="0" t="s">
        <v>130</v>
      </c>
      <c r="CO1410" s="0" t="s">
        <v>130</v>
      </c>
      <c r="CP1410" s="0" t="s">
        <v>130</v>
      </c>
      <c r="CQ1410" s="0" t="s">
        <v>130</v>
      </c>
      <c r="CR1410" s="0" t="s">
        <v>130</v>
      </c>
      <c r="CS1410" s="0" t="s">
        <v>130</v>
      </c>
      <c r="CT1410" s="0" t="s">
        <v>4106</v>
      </c>
    </row>
    <row r="1411">
      <c r="A1411" s="14">
        <v>9917432</v>
      </c>
      <c r="B1411" s="0" t="s">
        <v>4101</v>
      </c>
      <c r="C1411" s="16">
        <f>HYPERLINK("https://eosportal.federatedhermes.com/companies/Q29tcGFueQppNTIxODY=", "Seven &amp; i Holdings Co Ltd")</f>
      </c>
      <c r="D1411" s="0" t="s">
        <v>23</v>
      </c>
      <c r="E1411" s="0" t="s">
        <v>4107</v>
      </c>
      <c r="F1411" s="16">
        <f>HYPERLINK("https://eosportal.federatedhermes.com/engagements/RW5nYWdlbWVudAppMjc4NTc=", "Reporting on plastic footprint")</f>
      </c>
      <c r="G1411" s="14" t="s">
        <v>4108</v>
      </c>
      <c r="H1411" s="0" t="s">
        <v>141</v>
      </c>
      <c r="I1411" s="14" t="s">
        <v>131</v>
      </c>
      <c r="J1411" s="0" t="s">
        <v>197</v>
      </c>
      <c r="K1411" s="0" t="s">
        <v>348</v>
      </c>
      <c r="L1411" s="0" t="s">
        <v>349</v>
      </c>
      <c r="M1411" s="0" t="s">
        <v>802</v>
      </c>
      <c r="N1411" s="0" t="s">
        <v>952</v>
      </c>
      <c r="O1411" s="0" t="s">
        <v>643</v>
      </c>
      <c r="Q1411" s="0" t="s">
        <v>130</v>
      </c>
      <c r="R1411" s="0" t="s">
        <v>130</v>
      </c>
      <c r="S1411" s="14">
        <v>0</v>
      </c>
      <c r="T1411" s="0" t="s">
        <v>206</v>
      </c>
      <c r="U1411" s="0" t="s">
        <v>221</v>
      </c>
      <c r="V1411" s="14" t="s">
        <v>206</v>
      </c>
      <c r="W1411" s="0" t="s">
        <v>223</v>
      </c>
      <c r="X1411" s="14" t="s">
        <v>138</v>
      </c>
      <c r="Y1411" s="0" t="s">
        <v>224</v>
      </c>
      <c r="Z1411" s="14" t="s">
        <v>138</v>
      </c>
      <c r="AA1411" s="0" t="s">
        <v>224</v>
      </c>
      <c r="AB1411" s="14" t="s">
        <v>138</v>
      </c>
      <c r="AD1411" s="0" t="s">
        <v>14</v>
      </c>
      <c r="AF1411" s="0">
        <v>0</v>
      </c>
      <c r="AG1411" s="0">
        <v>0</v>
      </c>
      <c r="AH1411" s="0" t="s">
        <v>140</v>
      </c>
      <c r="AI1411" s="0" t="s">
        <v>225</v>
      </c>
      <c r="AL1411" s="14"/>
      <c r="AN1411" s="14"/>
      <c r="AQ1411" s="0" t="s">
        <v>130</v>
      </c>
      <c r="AR1411" s="0" t="s">
        <v>130</v>
      </c>
      <c r="AS1411" s="0" t="s">
        <v>130</v>
      </c>
      <c r="AT1411" s="0" t="s">
        <v>130</v>
      </c>
      <c r="AU1411" s="0" t="s">
        <v>130</v>
      </c>
      <c r="AV1411" s="0" t="s">
        <v>130</v>
      </c>
      <c r="AW1411" s="0" t="s">
        <v>130</v>
      </c>
      <c r="AX1411" s="0" t="s">
        <v>130</v>
      </c>
      <c r="AY1411" s="0" t="s">
        <v>130</v>
      </c>
      <c r="AZ1411" s="0" t="s">
        <v>130</v>
      </c>
      <c r="BA1411" s="0" t="s">
        <v>130</v>
      </c>
      <c r="BB1411" s="0" t="s">
        <v>141</v>
      </c>
      <c r="BC1411" s="0" t="s">
        <v>130</v>
      </c>
      <c r="BD1411" s="0" t="s">
        <v>130</v>
      </c>
      <c r="BE1411" s="0" t="s">
        <v>130</v>
      </c>
      <c r="BF1411" s="0" t="s">
        <v>130</v>
      </c>
      <c r="BG1411" s="0" t="s">
        <v>130</v>
      </c>
      <c r="BH1411" s="0" t="s">
        <v>130</v>
      </c>
      <c r="BI1411" s="0" t="s">
        <v>130</v>
      </c>
      <c r="BJ1411" s="0" t="s">
        <v>130</v>
      </c>
      <c r="BK1411" s="0" t="s">
        <v>130</v>
      </c>
      <c r="BL1411" s="0" t="s">
        <v>130</v>
      </c>
      <c r="BM1411" s="0" t="s">
        <v>130</v>
      </c>
      <c r="BN1411" s="0" t="s">
        <v>130</v>
      </c>
      <c r="BO1411" s="0" t="s">
        <v>130</v>
      </c>
      <c r="BP1411" s="0" t="s">
        <v>130</v>
      </c>
      <c r="BQ1411" s="0" t="s">
        <v>130</v>
      </c>
      <c r="BR1411" s="0" t="s">
        <v>130</v>
      </c>
      <c r="BS1411" s="0" t="s">
        <v>130</v>
      </c>
      <c r="BT1411" s="0" t="s">
        <v>130</v>
      </c>
      <c r="BU1411" s="0" t="s">
        <v>130</v>
      </c>
      <c r="BV1411" s="0" t="s">
        <v>130</v>
      </c>
      <c r="BW1411" s="0" t="s">
        <v>130</v>
      </c>
      <c r="BX1411" s="0" t="s">
        <v>130</v>
      </c>
      <c r="BY1411" s="0" t="s">
        <v>130</v>
      </c>
      <c r="BZ1411" s="0" t="s">
        <v>130</v>
      </c>
      <c r="CA1411" s="0" t="s">
        <v>130</v>
      </c>
      <c r="CB1411" s="0" t="s">
        <v>130</v>
      </c>
      <c r="CC1411" s="0" t="s">
        <v>130</v>
      </c>
      <c r="CD1411" s="0" t="s">
        <v>141</v>
      </c>
      <c r="CE1411" s="0" t="s">
        <v>130</v>
      </c>
      <c r="CF1411" s="0" t="s">
        <v>130</v>
      </c>
      <c r="CG1411" s="0" t="s">
        <v>130</v>
      </c>
      <c r="CH1411" s="0" t="s">
        <v>130</v>
      </c>
      <c r="CI1411" s="0" t="s">
        <v>130</v>
      </c>
      <c r="CJ1411" s="0" t="s">
        <v>130</v>
      </c>
      <c r="CK1411" s="0" t="s">
        <v>130</v>
      </c>
      <c r="CL1411" s="0" t="s">
        <v>130</v>
      </c>
      <c r="CM1411" s="0" t="s">
        <v>130</v>
      </c>
      <c r="CN1411" s="0" t="s">
        <v>130</v>
      </c>
      <c r="CO1411" s="0" t="s">
        <v>130</v>
      </c>
      <c r="CP1411" s="0" t="s">
        <v>130</v>
      </c>
      <c r="CQ1411" s="0" t="s">
        <v>130</v>
      </c>
      <c r="CR1411" s="0" t="s">
        <v>130</v>
      </c>
      <c r="CS1411" s="0" t="s">
        <v>130</v>
      </c>
      <c r="CT1411" s="0" t="s">
        <v>4109</v>
      </c>
    </row>
    <row r="1412">
      <c r="A1412" s="14">
        <v>9917432</v>
      </c>
      <c r="B1412" s="0" t="s">
        <v>4101</v>
      </c>
      <c r="C1412" s="16">
        <f>HYPERLINK("https://eosportal.federatedhermes.com/companies/Q29tcGFueQppNTIxODY=", "Seven &amp; i Holdings Co Ltd")</f>
      </c>
      <c r="D1412" s="0" t="s">
        <v>23</v>
      </c>
      <c r="E1412" s="0" t="s">
        <v>965</v>
      </c>
      <c r="F1412" s="16">
        <f>HYPERLINK("https://eosportal.federatedhermes.com/engagements/RW5nYWdlbWVudAppMjc4NTk=", "Science-based target")</f>
      </c>
      <c r="G1412" s="14" t="s">
        <v>4110</v>
      </c>
      <c r="H1412" s="0" t="s">
        <v>141</v>
      </c>
      <c r="I1412" s="14" t="s">
        <v>131</v>
      </c>
      <c r="J1412" s="0" t="s">
        <v>197</v>
      </c>
      <c r="K1412" s="0" t="s">
        <v>198</v>
      </c>
      <c r="L1412" s="0" t="s">
        <v>216</v>
      </c>
      <c r="M1412" s="0" t="s">
        <v>802</v>
      </c>
      <c r="N1412" s="0" t="s">
        <v>952</v>
      </c>
      <c r="O1412" s="0" t="s">
        <v>643</v>
      </c>
      <c r="Q1412" s="0" t="s">
        <v>130</v>
      </c>
      <c r="R1412" s="0" t="s">
        <v>130</v>
      </c>
      <c r="S1412" s="14">
        <v>0</v>
      </c>
      <c r="T1412" s="0" t="s">
        <v>148</v>
      </c>
      <c r="U1412" s="0" t="s">
        <v>221</v>
      </c>
      <c r="V1412" s="14" t="s">
        <v>148</v>
      </c>
      <c r="W1412" s="0" t="s">
        <v>221</v>
      </c>
      <c r="X1412" s="14" t="s">
        <v>206</v>
      </c>
      <c r="Y1412" s="0" t="s">
        <v>221</v>
      </c>
      <c r="Z1412" s="14" t="s">
        <v>230</v>
      </c>
      <c r="AA1412" s="0" t="s">
        <v>223</v>
      </c>
      <c r="AB1412" s="14" t="s">
        <v>138</v>
      </c>
      <c r="AD1412" s="0" t="s">
        <v>20</v>
      </c>
      <c r="AF1412" s="0">
        <v>0</v>
      </c>
      <c r="AG1412" s="0">
        <v>0</v>
      </c>
      <c r="AH1412" s="0" t="s">
        <v>140</v>
      </c>
      <c r="AI1412" s="0" t="s">
        <v>598</v>
      </c>
      <c r="AL1412" s="14"/>
      <c r="AN1412" s="14"/>
      <c r="AQ1412" s="0" t="s">
        <v>130</v>
      </c>
      <c r="AR1412" s="0" t="s">
        <v>130</v>
      </c>
      <c r="AS1412" s="0" t="s">
        <v>130</v>
      </c>
      <c r="AT1412" s="0" t="s">
        <v>130</v>
      </c>
      <c r="AU1412" s="0" t="s">
        <v>130</v>
      </c>
      <c r="AV1412" s="0" t="s">
        <v>130</v>
      </c>
      <c r="AW1412" s="0" t="s">
        <v>141</v>
      </c>
      <c r="AX1412" s="0" t="s">
        <v>130</v>
      </c>
      <c r="AY1412" s="0" t="s">
        <v>130</v>
      </c>
      <c r="AZ1412" s="0" t="s">
        <v>130</v>
      </c>
      <c r="BA1412" s="0" t="s">
        <v>130</v>
      </c>
      <c r="BB1412" s="0" t="s">
        <v>130</v>
      </c>
      <c r="BC1412" s="0" t="s">
        <v>141</v>
      </c>
      <c r="BD1412" s="0" t="s">
        <v>130</v>
      </c>
      <c r="BE1412" s="0" t="s">
        <v>130</v>
      </c>
      <c r="BF1412" s="0" t="s">
        <v>130</v>
      </c>
      <c r="BG1412" s="0" t="s">
        <v>130</v>
      </c>
      <c r="BH1412" s="0" t="s">
        <v>141</v>
      </c>
      <c r="BI1412" s="0" t="s">
        <v>141</v>
      </c>
      <c r="BJ1412" s="0" t="s">
        <v>141</v>
      </c>
      <c r="BK1412" s="0" t="s">
        <v>130</v>
      </c>
      <c r="BL1412" s="0" t="s">
        <v>130</v>
      </c>
      <c r="BM1412" s="0" t="s">
        <v>130</v>
      </c>
      <c r="BN1412" s="0" t="s">
        <v>130</v>
      </c>
      <c r="BO1412" s="0" t="s">
        <v>130</v>
      </c>
      <c r="BP1412" s="0" t="s">
        <v>130</v>
      </c>
      <c r="BQ1412" s="0" t="s">
        <v>130</v>
      </c>
      <c r="BR1412" s="0" t="s">
        <v>130</v>
      </c>
      <c r="BS1412" s="0" t="s">
        <v>130</v>
      </c>
      <c r="BT1412" s="0" t="s">
        <v>130</v>
      </c>
      <c r="BU1412" s="0" t="s">
        <v>130</v>
      </c>
      <c r="BV1412" s="0" t="s">
        <v>141</v>
      </c>
      <c r="BW1412" s="0" t="s">
        <v>141</v>
      </c>
      <c r="BX1412" s="0" t="s">
        <v>130</v>
      </c>
      <c r="BY1412" s="0" t="s">
        <v>130</v>
      </c>
      <c r="BZ1412" s="0" t="s">
        <v>130</v>
      </c>
      <c r="CA1412" s="0" t="s">
        <v>130</v>
      </c>
      <c r="CB1412" s="0" t="s">
        <v>130</v>
      </c>
      <c r="CC1412" s="0" t="s">
        <v>130</v>
      </c>
      <c r="CD1412" s="0" t="s">
        <v>130</v>
      </c>
      <c r="CE1412" s="0" t="s">
        <v>130</v>
      </c>
      <c r="CF1412" s="0" t="s">
        <v>130</v>
      </c>
      <c r="CG1412" s="0" t="s">
        <v>130</v>
      </c>
      <c r="CH1412" s="0" t="s">
        <v>130</v>
      </c>
      <c r="CI1412" s="0" t="s">
        <v>130</v>
      </c>
      <c r="CJ1412" s="0" t="s">
        <v>130</v>
      </c>
      <c r="CK1412" s="0" t="s">
        <v>130</v>
      </c>
      <c r="CL1412" s="0" t="s">
        <v>130</v>
      </c>
      <c r="CM1412" s="0" t="s">
        <v>130</v>
      </c>
      <c r="CN1412" s="0" t="s">
        <v>130</v>
      </c>
      <c r="CO1412" s="0" t="s">
        <v>130</v>
      </c>
      <c r="CP1412" s="0" t="s">
        <v>130</v>
      </c>
      <c r="CQ1412" s="0" t="s">
        <v>130</v>
      </c>
      <c r="CR1412" s="0" t="s">
        <v>130</v>
      </c>
      <c r="CS1412" s="0" t="s">
        <v>130</v>
      </c>
      <c r="CT1412" s="0" t="s">
        <v>4111</v>
      </c>
    </row>
    <row r="1413">
      <c r="A1413" s="14">
        <v>9917432</v>
      </c>
      <c r="B1413" s="0" t="s">
        <v>4101</v>
      </c>
      <c r="C1413" s="16">
        <f>HYPERLINK("https://eosportal.federatedhermes.com/companies/Q29tcGFueQppNTIxODY=", "Seven &amp; i Holdings Co Ltd")</f>
      </c>
      <c r="D1413" s="0" t="s">
        <v>25</v>
      </c>
      <c r="E1413" s="0" t="s">
        <v>4112</v>
      </c>
      <c r="F1413" s="16">
        <f>HYPERLINK("https://eosportal.federatedhermes.com/engagements/RW5nYWdlbWVudAppMjc4NjA=", "WDI survey")</f>
      </c>
      <c r="G1413" s="14" t="s">
        <v>4113</v>
      </c>
      <c r="H1413" s="0" t="s">
        <v>141</v>
      </c>
      <c r="I1413" s="14" t="s">
        <v>131</v>
      </c>
      <c r="J1413" s="0" t="s">
        <v>153</v>
      </c>
      <c r="K1413" s="0" t="s">
        <v>154</v>
      </c>
      <c r="L1413" s="0" t="s">
        <v>306</v>
      </c>
      <c r="M1413" s="0" t="s">
        <v>802</v>
      </c>
      <c r="N1413" s="0" t="s">
        <v>952</v>
      </c>
      <c r="O1413" s="0" t="s">
        <v>643</v>
      </c>
      <c r="Q1413" s="0" t="s">
        <v>130</v>
      </c>
      <c r="R1413" s="0" t="s">
        <v>138</v>
      </c>
      <c r="S1413" s="14">
        <v>0</v>
      </c>
      <c r="T1413" s="0" t="s">
        <v>327</v>
      </c>
      <c r="U1413" s="0" t="s">
        <v>138</v>
      </c>
      <c r="V1413" s="14" t="s">
        <v>138</v>
      </c>
      <c r="W1413" s="0" t="s">
        <v>138</v>
      </c>
      <c r="X1413" s="14" t="s">
        <v>138</v>
      </c>
      <c r="Y1413" s="0" t="s">
        <v>138</v>
      </c>
      <c r="Z1413" s="14" t="s">
        <v>138</v>
      </c>
      <c r="AA1413" s="0" t="s">
        <v>138</v>
      </c>
      <c r="AB1413" s="14" t="s">
        <v>138</v>
      </c>
      <c r="AD1413" s="0" t="s">
        <v>138</v>
      </c>
      <c r="AF1413" s="0">
        <v>0</v>
      </c>
      <c r="AG1413" s="0">
        <v>0</v>
      </c>
      <c r="AH1413" s="0" t="s">
        <v>140</v>
      </c>
      <c r="AI1413" s="0" t="s">
        <v>138</v>
      </c>
      <c r="AL1413" s="14"/>
      <c r="AN1413" s="14"/>
      <c r="AQ1413" s="0" t="s">
        <v>130</v>
      </c>
      <c r="AR1413" s="0" t="s">
        <v>130</v>
      </c>
      <c r="AS1413" s="0" t="s">
        <v>130</v>
      </c>
      <c r="AT1413" s="0" t="s">
        <v>130</v>
      </c>
      <c r="AU1413" s="0" t="s">
        <v>141</v>
      </c>
      <c r="AV1413" s="0" t="s">
        <v>130</v>
      </c>
      <c r="AW1413" s="0" t="s">
        <v>130</v>
      </c>
      <c r="AX1413" s="0" t="s">
        <v>141</v>
      </c>
      <c r="AY1413" s="0" t="s">
        <v>130</v>
      </c>
      <c r="AZ1413" s="0" t="s">
        <v>141</v>
      </c>
      <c r="BA1413" s="0" t="s">
        <v>130</v>
      </c>
      <c r="BB1413" s="0" t="s">
        <v>130</v>
      </c>
      <c r="BC1413" s="0" t="s">
        <v>130</v>
      </c>
      <c r="BD1413" s="0" t="s">
        <v>130</v>
      </c>
      <c r="BE1413" s="0" t="s">
        <v>130</v>
      </c>
      <c r="BF1413" s="0" t="s">
        <v>130</v>
      </c>
      <c r="BG1413" s="0" t="s">
        <v>130</v>
      </c>
      <c r="BH1413" s="0" t="s">
        <v>130</v>
      </c>
      <c r="BI1413" s="0" t="s">
        <v>130</v>
      </c>
      <c r="BJ1413" s="0" t="s">
        <v>130</v>
      </c>
      <c r="BK1413" s="0" t="s">
        <v>130</v>
      </c>
      <c r="BL1413" s="0" t="s">
        <v>130</v>
      </c>
      <c r="BM1413" s="0" t="s">
        <v>130</v>
      </c>
      <c r="BN1413" s="0" t="s">
        <v>130</v>
      </c>
      <c r="BO1413" s="0" t="s">
        <v>130</v>
      </c>
      <c r="BP1413" s="0" t="s">
        <v>130</v>
      </c>
      <c r="BQ1413" s="0" t="s">
        <v>130</v>
      </c>
      <c r="BR1413" s="0" t="s">
        <v>130</v>
      </c>
      <c r="BS1413" s="0" t="s">
        <v>130</v>
      </c>
      <c r="BT1413" s="0" t="s">
        <v>130</v>
      </c>
      <c r="BU1413" s="0" t="s">
        <v>130</v>
      </c>
      <c r="BV1413" s="0" t="s">
        <v>130</v>
      </c>
      <c r="BW1413" s="0" t="s">
        <v>130</v>
      </c>
      <c r="BX1413" s="0" t="s">
        <v>130</v>
      </c>
      <c r="BY1413" s="0" t="s">
        <v>130</v>
      </c>
      <c r="BZ1413" s="0" t="s">
        <v>130</v>
      </c>
      <c r="CA1413" s="0" t="s">
        <v>130</v>
      </c>
      <c r="CB1413" s="0" t="s">
        <v>130</v>
      </c>
      <c r="CC1413" s="0" t="s">
        <v>130</v>
      </c>
      <c r="CD1413" s="0" t="s">
        <v>130</v>
      </c>
      <c r="CE1413" s="0" t="s">
        <v>130</v>
      </c>
      <c r="CF1413" s="0" t="s">
        <v>130</v>
      </c>
      <c r="CG1413" s="0" t="s">
        <v>130</v>
      </c>
      <c r="CH1413" s="0" t="s">
        <v>130</v>
      </c>
      <c r="CI1413" s="0" t="s">
        <v>130</v>
      </c>
      <c r="CJ1413" s="0" t="s">
        <v>130</v>
      </c>
      <c r="CK1413" s="0" t="s">
        <v>130</v>
      </c>
      <c r="CL1413" s="0" t="s">
        <v>130</v>
      </c>
      <c r="CM1413" s="0" t="s">
        <v>130</v>
      </c>
      <c r="CN1413" s="0" t="s">
        <v>130</v>
      </c>
      <c r="CO1413" s="0" t="s">
        <v>130</v>
      </c>
      <c r="CP1413" s="0" t="s">
        <v>130</v>
      </c>
      <c r="CQ1413" s="0" t="s">
        <v>130</v>
      </c>
      <c r="CR1413" s="0" t="s">
        <v>130</v>
      </c>
      <c r="CS1413" s="0" t="s">
        <v>130</v>
      </c>
      <c r="CT1413" s="0" t="s">
        <v>4114</v>
      </c>
    </row>
    <row r="1414">
      <c r="A1414" s="14">
        <v>9917432</v>
      </c>
      <c r="B1414" s="0" t="s">
        <v>4101</v>
      </c>
      <c r="C1414" s="16">
        <f>HYPERLINK("https://eosportal.federatedhermes.com/companies/Q29tcGFueQppNTIxODY=", "Seven &amp; i Holdings Co Ltd")</f>
      </c>
      <c r="D1414" s="0" t="s">
        <v>25</v>
      </c>
      <c r="E1414" s="0" t="s">
        <v>1511</v>
      </c>
      <c r="F1414" s="16">
        <f>HYPERLINK("https://eosportal.federatedhermes.com/engagements/RW5nYWdlbWVudAppMjc4NjI=", "Supply chain labour standards")</f>
      </c>
      <c r="G1414" s="14" t="s">
        <v>4115</v>
      </c>
      <c r="H1414" s="0" t="s">
        <v>141</v>
      </c>
      <c r="I1414" s="14" t="s">
        <v>131</v>
      </c>
      <c r="J1414" s="0" t="s">
        <v>153</v>
      </c>
      <c r="K1414" s="0" t="s">
        <v>185</v>
      </c>
      <c r="L1414" s="0" t="s">
        <v>186</v>
      </c>
      <c r="M1414" s="0" t="s">
        <v>802</v>
      </c>
      <c r="N1414" s="0" t="s">
        <v>952</v>
      </c>
      <c r="O1414" s="0" t="s">
        <v>643</v>
      </c>
      <c r="Q1414" s="0" t="s">
        <v>130</v>
      </c>
      <c r="R1414" s="0" t="s">
        <v>138</v>
      </c>
      <c r="S1414" s="14">
        <v>0</v>
      </c>
      <c r="T1414" s="0" t="s">
        <v>387</v>
      </c>
      <c r="U1414" s="0" t="s">
        <v>138</v>
      </c>
      <c r="V1414" s="14" t="s">
        <v>138</v>
      </c>
      <c r="W1414" s="0" t="s">
        <v>138</v>
      </c>
      <c r="X1414" s="14" t="s">
        <v>138</v>
      </c>
      <c r="Y1414" s="0" t="s">
        <v>138</v>
      </c>
      <c r="Z1414" s="14" t="s">
        <v>138</v>
      </c>
      <c r="AA1414" s="0" t="s">
        <v>138</v>
      </c>
      <c r="AB1414" s="14" t="s">
        <v>138</v>
      </c>
      <c r="AD1414" s="0" t="s">
        <v>138</v>
      </c>
      <c r="AF1414" s="0">
        <v>0</v>
      </c>
      <c r="AG1414" s="0">
        <v>0</v>
      </c>
      <c r="AH1414" s="0" t="s">
        <v>140</v>
      </c>
      <c r="AI1414" s="0" t="s">
        <v>138</v>
      </c>
      <c r="AL1414" s="14"/>
      <c r="AN1414" s="14"/>
      <c r="AQ1414" s="0" t="s">
        <v>130</v>
      </c>
      <c r="AR1414" s="0" t="s">
        <v>130</v>
      </c>
      <c r="AS1414" s="0" t="s">
        <v>130</v>
      </c>
      <c r="AT1414" s="0" t="s">
        <v>130</v>
      </c>
      <c r="AU1414" s="0" t="s">
        <v>130</v>
      </c>
      <c r="AV1414" s="0" t="s">
        <v>130</v>
      </c>
      <c r="AW1414" s="0" t="s">
        <v>130</v>
      </c>
      <c r="AX1414" s="0" t="s">
        <v>141</v>
      </c>
      <c r="AY1414" s="0" t="s">
        <v>130</v>
      </c>
      <c r="AZ1414" s="0" t="s">
        <v>130</v>
      </c>
      <c r="BA1414" s="0" t="s">
        <v>130</v>
      </c>
      <c r="BB1414" s="0" t="s">
        <v>130</v>
      </c>
      <c r="BC1414" s="0" t="s">
        <v>130</v>
      </c>
      <c r="BD1414" s="0" t="s">
        <v>130</v>
      </c>
      <c r="BE1414" s="0" t="s">
        <v>130</v>
      </c>
      <c r="BF1414" s="0" t="s">
        <v>130</v>
      </c>
      <c r="BG1414" s="0" t="s">
        <v>130</v>
      </c>
      <c r="BH1414" s="0" t="s">
        <v>130</v>
      </c>
      <c r="BI1414" s="0" t="s">
        <v>130</v>
      </c>
      <c r="BJ1414" s="0" t="s">
        <v>130</v>
      </c>
      <c r="BK1414" s="0" t="s">
        <v>130</v>
      </c>
      <c r="BL1414" s="0" t="s">
        <v>130</v>
      </c>
      <c r="BM1414" s="0" t="s">
        <v>130</v>
      </c>
      <c r="BN1414" s="0" t="s">
        <v>130</v>
      </c>
      <c r="BO1414" s="0" t="s">
        <v>130</v>
      </c>
      <c r="BP1414" s="0" t="s">
        <v>130</v>
      </c>
      <c r="BQ1414" s="0" t="s">
        <v>130</v>
      </c>
      <c r="BR1414" s="0" t="s">
        <v>130</v>
      </c>
      <c r="BS1414" s="0" t="s">
        <v>130</v>
      </c>
      <c r="BT1414" s="0" t="s">
        <v>130</v>
      </c>
      <c r="BU1414" s="0" t="s">
        <v>130</v>
      </c>
      <c r="BV1414" s="0" t="s">
        <v>130</v>
      </c>
      <c r="BW1414" s="0" t="s">
        <v>130</v>
      </c>
      <c r="BX1414" s="0" t="s">
        <v>130</v>
      </c>
      <c r="BY1414" s="0" t="s">
        <v>130</v>
      </c>
      <c r="BZ1414" s="0" t="s">
        <v>130</v>
      </c>
      <c r="CA1414" s="0" t="s">
        <v>130</v>
      </c>
      <c r="CB1414" s="0" t="s">
        <v>130</v>
      </c>
      <c r="CC1414" s="0" t="s">
        <v>130</v>
      </c>
      <c r="CD1414" s="0" t="s">
        <v>130</v>
      </c>
      <c r="CE1414" s="0" t="s">
        <v>130</v>
      </c>
      <c r="CF1414" s="0" t="s">
        <v>130</v>
      </c>
      <c r="CG1414" s="0" t="s">
        <v>130</v>
      </c>
      <c r="CH1414" s="0" t="s">
        <v>130</v>
      </c>
      <c r="CI1414" s="0" t="s">
        <v>130</v>
      </c>
      <c r="CJ1414" s="0" t="s">
        <v>130</v>
      </c>
      <c r="CK1414" s="0" t="s">
        <v>130</v>
      </c>
      <c r="CL1414" s="0" t="s">
        <v>130</v>
      </c>
      <c r="CM1414" s="0" t="s">
        <v>130</v>
      </c>
      <c r="CN1414" s="0" t="s">
        <v>130</v>
      </c>
      <c r="CO1414" s="0" t="s">
        <v>130</v>
      </c>
      <c r="CP1414" s="0" t="s">
        <v>130</v>
      </c>
      <c r="CQ1414" s="0" t="s">
        <v>130</v>
      </c>
      <c r="CR1414" s="0" t="s">
        <v>130</v>
      </c>
      <c r="CS1414" s="0" t="s">
        <v>130</v>
      </c>
      <c r="CT1414" s="0" t="s">
        <v>4116</v>
      </c>
    </row>
    <row r="1415">
      <c r="A1415" s="14">
        <v>9917432</v>
      </c>
      <c r="B1415" s="0" t="s">
        <v>4101</v>
      </c>
      <c r="C1415" s="16">
        <f>HYPERLINK("https://eosportal.federatedhermes.com/companies/Q29tcGFueQppNTIxODY=", "Seven &amp; i Holdings Co Ltd")</f>
      </c>
      <c r="D1415" s="0" t="s">
        <v>25</v>
      </c>
      <c r="E1415" s="0" t="s">
        <v>1670</v>
      </c>
      <c r="F1415" s="16">
        <f>HYPERLINK("https://eosportal.federatedhermes.com/engagements/RW5nYWdlbWVudAppMjc4NjM=", "Coronavirus crisis")</f>
      </c>
      <c r="G1415" s="14" t="s">
        <v>4117</v>
      </c>
      <c r="H1415" s="0" t="s">
        <v>141</v>
      </c>
      <c r="I1415" s="14" t="s">
        <v>131</v>
      </c>
      <c r="J1415" s="0" t="s">
        <v>132</v>
      </c>
      <c r="K1415" s="0" t="s">
        <v>260</v>
      </c>
      <c r="L1415" s="0" t="s">
        <v>261</v>
      </c>
      <c r="M1415" s="0" t="s">
        <v>802</v>
      </c>
      <c r="N1415" s="0" t="s">
        <v>952</v>
      </c>
      <c r="O1415" s="0" t="s">
        <v>643</v>
      </c>
      <c r="Q1415" s="0" t="s">
        <v>130</v>
      </c>
      <c r="R1415" s="0" t="s">
        <v>138</v>
      </c>
      <c r="S1415" s="14">
        <v>0</v>
      </c>
      <c r="T1415" s="0" t="s">
        <v>148</v>
      </c>
      <c r="U1415" s="0" t="s">
        <v>138</v>
      </c>
      <c r="V1415" s="14" t="s">
        <v>138</v>
      </c>
      <c r="W1415" s="0" t="s">
        <v>138</v>
      </c>
      <c r="X1415" s="14" t="s">
        <v>138</v>
      </c>
      <c r="Y1415" s="0" t="s">
        <v>138</v>
      </c>
      <c r="Z1415" s="14" t="s">
        <v>138</v>
      </c>
      <c r="AA1415" s="0" t="s">
        <v>138</v>
      </c>
      <c r="AB1415" s="14" t="s">
        <v>138</v>
      </c>
      <c r="AD1415" s="0" t="s">
        <v>138</v>
      </c>
      <c r="AF1415" s="0">
        <v>0</v>
      </c>
      <c r="AG1415" s="0">
        <v>0</v>
      </c>
      <c r="AH1415" s="0" t="s">
        <v>140</v>
      </c>
      <c r="AI1415" s="0" t="s">
        <v>138</v>
      </c>
      <c r="AL1415" s="14"/>
      <c r="AN1415" s="14"/>
      <c r="AQ1415" s="0" t="s">
        <v>130</v>
      </c>
      <c r="AR1415" s="0" t="s">
        <v>130</v>
      </c>
      <c r="AS1415" s="0" t="s">
        <v>130</v>
      </c>
      <c r="AT1415" s="0" t="s">
        <v>130</v>
      </c>
      <c r="AU1415" s="0" t="s">
        <v>130</v>
      </c>
      <c r="AV1415" s="0" t="s">
        <v>130</v>
      </c>
      <c r="AW1415" s="0" t="s">
        <v>130</v>
      </c>
      <c r="AX1415" s="0" t="s">
        <v>130</v>
      </c>
      <c r="AY1415" s="0" t="s">
        <v>130</v>
      </c>
      <c r="AZ1415" s="0" t="s">
        <v>130</v>
      </c>
      <c r="BA1415" s="0" t="s">
        <v>130</v>
      </c>
      <c r="BB1415" s="0" t="s">
        <v>130</v>
      </c>
      <c r="BC1415" s="0" t="s">
        <v>130</v>
      </c>
      <c r="BD1415" s="0" t="s">
        <v>130</v>
      </c>
      <c r="BE1415" s="0" t="s">
        <v>130</v>
      </c>
      <c r="BF1415" s="0" t="s">
        <v>130</v>
      </c>
      <c r="BG1415" s="0" t="s">
        <v>130</v>
      </c>
      <c r="BH1415" s="0" t="s">
        <v>130</v>
      </c>
      <c r="BI1415" s="0" t="s">
        <v>130</v>
      </c>
      <c r="BJ1415" s="0" t="s">
        <v>130</v>
      </c>
      <c r="BK1415" s="0" t="s">
        <v>130</v>
      </c>
      <c r="BL1415" s="0" t="s">
        <v>130</v>
      </c>
      <c r="BM1415" s="0" t="s">
        <v>130</v>
      </c>
      <c r="BN1415" s="0" t="s">
        <v>130</v>
      </c>
      <c r="BO1415" s="0" t="s">
        <v>130</v>
      </c>
      <c r="BP1415" s="0" t="s">
        <v>130</v>
      </c>
      <c r="BQ1415" s="0" t="s">
        <v>130</v>
      </c>
      <c r="BR1415" s="0" t="s">
        <v>130</v>
      </c>
      <c r="BS1415" s="0" t="s">
        <v>130</v>
      </c>
      <c r="BT1415" s="0" t="s">
        <v>130</v>
      </c>
      <c r="BU1415" s="0" t="s">
        <v>130</v>
      </c>
      <c r="BV1415" s="0" t="s">
        <v>130</v>
      </c>
      <c r="BW1415" s="0" t="s">
        <v>130</v>
      </c>
      <c r="BX1415" s="0" t="s">
        <v>130</v>
      </c>
      <c r="BY1415" s="0" t="s">
        <v>130</v>
      </c>
      <c r="BZ1415" s="0" t="s">
        <v>130</v>
      </c>
      <c r="CA1415" s="0" t="s">
        <v>130</v>
      </c>
      <c r="CB1415" s="0" t="s">
        <v>130</v>
      </c>
      <c r="CC1415" s="0" t="s">
        <v>130</v>
      </c>
      <c r="CD1415" s="0" t="s">
        <v>130</v>
      </c>
      <c r="CE1415" s="0" t="s">
        <v>130</v>
      </c>
      <c r="CF1415" s="0" t="s">
        <v>130</v>
      </c>
      <c r="CG1415" s="0" t="s">
        <v>130</v>
      </c>
      <c r="CH1415" s="0" t="s">
        <v>130</v>
      </c>
      <c r="CI1415" s="0" t="s">
        <v>130</v>
      </c>
      <c r="CJ1415" s="0" t="s">
        <v>130</v>
      </c>
      <c r="CK1415" s="0" t="s">
        <v>130</v>
      </c>
      <c r="CL1415" s="0" t="s">
        <v>130</v>
      </c>
      <c r="CM1415" s="0" t="s">
        <v>130</v>
      </c>
      <c r="CN1415" s="0" t="s">
        <v>130</v>
      </c>
      <c r="CO1415" s="0" t="s">
        <v>130</v>
      </c>
      <c r="CP1415" s="0" t="s">
        <v>130</v>
      </c>
      <c r="CQ1415" s="0" t="s">
        <v>130</v>
      </c>
      <c r="CR1415" s="0" t="s">
        <v>130</v>
      </c>
      <c r="CS1415" s="0" t="s">
        <v>130</v>
      </c>
      <c r="CT1415" s="0" t="s">
        <v>4118</v>
      </c>
    </row>
    <row r="1416">
      <c r="A1416" s="14">
        <v>9917432</v>
      </c>
      <c r="B1416" s="0" t="s">
        <v>4101</v>
      </c>
      <c r="C1416" s="16">
        <f>HYPERLINK("https://eosportal.federatedhermes.com/companies/Q29tcGFueQppNTIxODY=", "Seven &amp; i Holdings Co Ltd")</f>
      </c>
      <c r="D1416" s="0" t="s">
        <v>25</v>
      </c>
      <c r="E1416" s="0" t="s">
        <v>4119</v>
      </c>
      <c r="F1416" s="16">
        <f>HYPERLINK("https://eosportal.federatedhermes.com/engagements/RW5nYWdlbWVudAppMjc4NjQ=", "Separation of CEO and  chair")</f>
      </c>
      <c r="G1416" s="14" t="s">
        <v>4120</v>
      </c>
      <c r="H1416" s="0" t="s">
        <v>141</v>
      </c>
      <c r="I1416" s="14" t="s">
        <v>131</v>
      </c>
      <c r="J1416" s="0" t="s">
        <v>145</v>
      </c>
      <c r="K1416" s="0" t="s">
        <v>164</v>
      </c>
      <c r="L1416" s="0" t="s">
        <v>165</v>
      </c>
      <c r="M1416" s="0" t="s">
        <v>802</v>
      </c>
      <c r="N1416" s="0" t="s">
        <v>952</v>
      </c>
      <c r="O1416" s="0" t="s">
        <v>643</v>
      </c>
      <c r="Q1416" s="0" t="s">
        <v>130</v>
      </c>
      <c r="R1416" s="0" t="s">
        <v>138</v>
      </c>
      <c r="S1416" s="14">
        <v>0</v>
      </c>
      <c r="T1416" s="0" t="s">
        <v>333</v>
      </c>
      <c r="U1416" s="0" t="s">
        <v>138</v>
      </c>
      <c r="V1416" s="14" t="s">
        <v>138</v>
      </c>
      <c r="W1416" s="0" t="s">
        <v>138</v>
      </c>
      <c r="X1416" s="14" t="s">
        <v>138</v>
      </c>
      <c r="Y1416" s="0" t="s">
        <v>138</v>
      </c>
      <c r="Z1416" s="14" t="s">
        <v>138</v>
      </c>
      <c r="AA1416" s="0" t="s">
        <v>138</v>
      </c>
      <c r="AB1416" s="14" t="s">
        <v>138</v>
      </c>
      <c r="AD1416" s="0" t="s">
        <v>138</v>
      </c>
      <c r="AF1416" s="0">
        <v>0</v>
      </c>
      <c r="AG1416" s="0">
        <v>0</v>
      </c>
      <c r="AH1416" s="0" t="s">
        <v>140</v>
      </c>
      <c r="AI1416" s="0" t="s">
        <v>138</v>
      </c>
      <c r="AL1416" s="14"/>
      <c r="AN1416" s="14"/>
      <c r="AQ1416" s="0" t="s">
        <v>130</v>
      </c>
      <c r="AR1416" s="0" t="s">
        <v>130</v>
      </c>
      <c r="AS1416" s="0" t="s">
        <v>130</v>
      </c>
      <c r="AT1416" s="0" t="s">
        <v>130</v>
      </c>
      <c r="AU1416" s="0" t="s">
        <v>130</v>
      </c>
      <c r="AV1416" s="0" t="s">
        <v>130</v>
      </c>
      <c r="AW1416" s="0" t="s">
        <v>130</v>
      </c>
      <c r="AX1416" s="0" t="s">
        <v>130</v>
      </c>
      <c r="AY1416" s="0" t="s">
        <v>130</v>
      </c>
      <c r="AZ1416" s="0" t="s">
        <v>130</v>
      </c>
      <c r="BA1416" s="0" t="s">
        <v>130</v>
      </c>
      <c r="BB1416" s="0" t="s">
        <v>130</v>
      </c>
      <c r="BC1416" s="0" t="s">
        <v>130</v>
      </c>
      <c r="BD1416" s="0" t="s">
        <v>130</v>
      </c>
      <c r="BE1416" s="0" t="s">
        <v>130</v>
      </c>
      <c r="BF1416" s="0" t="s">
        <v>130</v>
      </c>
      <c r="BG1416" s="0" t="s">
        <v>130</v>
      </c>
      <c r="BH1416" s="0" t="s">
        <v>130</v>
      </c>
      <c r="BI1416" s="0" t="s">
        <v>130</v>
      </c>
      <c r="BJ1416" s="0" t="s">
        <v>130</v>
      </c>
      <c r="BK1416" s="0" t="s">
        <v>130</v>
      </c>
      <c r="BL1416" s="0" t="s">
        <v>130</v>
      </c>
      <c r="BM1416" s="0" t="s">
        <v>130</v>
      </c>
      <c r="BN1416" s="0" t="s">
        <v>130</v>
      </c>
      <c r="BO1416" s="0" t="s">
        <v>130</v>
      </c>
      <c r="BP1416" s="0" t="s">
        <v>130</v>
      </c>
      <c r="BQ1416" s="0" t="s">
        <v>130</v>
      </c>
      <c r="BR1416" s="0" t="s">
        <v>130</v>
      </c>
      <c r="BS1416" s="0" t="s">
        <v>130</v>
      </c>
      <c r="BT1416" s="0" t="s">
        <v>130</v>
      </c>
      <c r="BU1416" s="0" t="s">
        <v>130</v>
      </c>
      <c r="BV1416" s="0" t="s">
        <v>130</v>
      </c>
      <c r="BW1416" s="0" t="s">
        <v>130</v>
      </c>
      <c r="BX1416" s="0" t="s">
        <v>130</v>
      </c>
      <c r="BY1416" s="0" t="s">
        <v>130</v>
      </c>
      <c r="BZ1416" s="0" t="s">
        <v>130</v>
      </c>
      <c r="CA1416" s="0" t="s">
        <v>130</v>
      </c>
      <c r="CB1416" s="0" t="s">
        <v>130</v>
      </c>
      <c r="CC1416" s="0" t="s">
        <v>130</v>
      </c>
      <c r="CD1416" s="0" t="s">
        <v>130</v>
      </c>
      <c r="CE1416" s="0" t="s">
        <v>130</v>
      </c>
      <c r="CF1416" s="0" t="s">
        <v>130</v>
      </c>
      <c r="CG1416" s="0" t="s">
        <v>130</v>
      </c>
      <c r="CH1416" s="0" t="s">
        <v>130</v>
      </c>
      <c r="CI1416" s="0" t="s">
        <v>130</v>
      </c>
      <c r="CJ1416" s="0" t="s">
        <v>130</v>
      </c>
      <c r="CK1416" s="0" t="s">
        <v>130</v>
      </c>
      <c r="CL1416" s="0" t="s">
        <v>130</v>
      </c>
      <c r="CM1416" s="0" t="s">
        <v>130</v>
      </c>
      <c r="CN1416" s="0" t="s">
        <v>130</v>
      </c>
      <c r="CO1416" s="0" t="s">
        <v>130</v>
      </c>
      <c r="CP1416" s="0" t="s">
        <v>130</v>
      </c>
      <c r="CQ1416" s="0" t="s">
        <v>130</v>
      </c>
      <c r="CR1416" s="0" t="s">
        <v>130</v>
      </c>
      <c r="CS1416" s="0" t="s">
        <v>130</v>
      </c>
      <c r="CT1416" s="0" t="s">
        <v>4121</v>
      </c>
    </row>
    <row r="1417">
      <c r="A1417" s="14">
        <v>9917432</v>
      </c>
      <c r="B1417" s="0" t="s">
        <v>4101</v>
      </c>
      <c r="C1417" s="16">
        <f>HYPERLINK("https://eosportal.federatedhermes.com/companies/Q29tcGFueQppNTIxODY=", "Seven &amp; i Holdings Co Ltd")</f>
      </c>
      <c r="D1417" s="0" t="s">
        <v>25</v>
      </c>
      <c r="E1417" s="0" t="s">
        <v>4122</v>
      </c>
      <c r="F1417" s="16">
        <f>HYPERLINK("https://eosportal.federatedhermes.com/engagements/RW5nYWdlbWVudAppMjc4NjU=", "Sustainability issues in supply chain")</f>
      </c>
      <c r="G1417" s="14" t="s">
        <v>4123</v>
      </c>
      <c r="H1417" s="0" t="s">
        <v>141</v>
      </c>
      <c r="I1417" s="14" t="s">
        <v>131</v>
      </c>
      <c r="J1417" s="0" t="s">
        <v>197</v>
      </c>
      <c r="K1417" s="0" t="s">
        <v>337</v>
      </c>
      <c r="L1417" s="0" t="s">
        <v>576</v>
      </c>
      <c r="M1417" s="0" t="s">
        <v>802</v>
      </c>
      <c r="N1417" s="0" t="s">
        <v>952</v>
      </c>
      <c r="O1417" s="0" t="s">
        <v>643</v>
      </c>
      <c r="Q1417" s="0" t="s">
        <v>130</v>
      </c>
      <c r="R1417" s="0" t="s">
        <v>138</v>
      </c>
      <c r="S1417" s="14">
        <v>0</v>
      </c>
      <c r="T1417" s="0" t="s">
        <v>249</v>
      </c>
      <c r="U1417" s="0" t="s">
        <v>138</v>
      </c>
      <c r="V1417" s="14" t="s">
        <v>138</v>
      </c>
      <c r="W1417" s="0" t="s">
        <v>138</v>
      </c>
      <c r="X1417" s="14" t="s">
        <v>138</v>
      </c>
      <c r="Y1417" s="0" t="s">
        <v>138</v>
      </c>
      <c r="Z1417" s="14" t="s">
        <v>138</v>
      </c>
      <c r="AA1417" s="0" t="s">
        <v>138</v>
      </c>
      <c r="AB1417" s="14" t="s">
        <v>138</v>
      </c>
      <c r="AD1417" s="0" t="s">
        <v>138</v>
      </c>
      <c r="AF1417" s="0">
        <v>0</v>
      </c>
      <c r="AG1417" s="0">
        <v>0</v>
      </c>
      <c r="AH1417" s="0" t="s">
        <v>140</v>
      </c>
      <c r="AI1417" s="0" t="s">
        <v>138</v>
      </c>
      <c r="AL1417" s="14"/>
      <c r="AN1417" s="14"/>
      <c r="AQ1417" s="0" t="s">
        <v>130</v>
      </c>
      <c r="AR1417" s="0" t="s">
        <v>130</v>
      </c>
      <c r="AS1417" s="0" t="s">
        <v>130</v>
      </c>
      <c r="AT1417" s="0" t="s">
        <v>130</v>
      </c>
      <c r="AU1417" s="0" t="s">
        <v>130</v>
      </c>
      <c r="AV1417" s="0" t="s">
        <v>130</v>
      </c>
      <c r="AW1417" s="0" t="s">
        <v>130</v>
      </c>
      <c r="AX1417" s="0" t="s">
        <v>130</v>
      </c>
      <c r="AY1417" s="0" t="s">
        <v>130</v>
      </c>
      <c r="AZ1417" s="0" t="s">
        <v>130</v>
      </c>
      <c r="BA1417" s="0" t="s">
        <v>130</v>
      </c>
      <c r="BB1417" s="0" t="s">
        <v>141</v>
      </c>
      <c r="BC1417" s="0" t="s">
        <v>130</v>
      </c>
      <c r="BD1417" s="0" t="s">
        <v>130</v>
      </c>
      <c r="BE1417" s="0" t="s">
        <v>141</v>
      </c>
      <c r="BF1417" s="0" t="s">
        <v>130</v>
      </c>
      <c r="BG1417" s="0" t="s">
        <v>130</v>
      </c>
      <c r="BH1417" s="0" t="s">
        <v>130</v>
      </c>
      <c r="BI1417" s="0" t="s">
        <v>130</v>
      </c>
      <c r="BJ1417" s="0" t="s">
        <v>130</v>
      </c>
      <c r="BK1417" s="0" t="s">
        <v>130</v>
      </c>
      <c r="BL1417" s="0" t="s">
        <v>130</v>
      </c>
      <c r="BM1417" s="0" t="s">
        <v>130</v>
      </c>
      <c r="BN1417" s="0" t="s">
        <v>130</v>
      </c>
      <c r="BO1417" s="0" t="s">
        <v>130</v>
      </c>
      <c r="BP1417" s="0" t="s">
        <v>130</v>
      </c>
      <c r="BQ1417" s="0" t="s">
        <v>130</v>
      </c>
      <c r="BR1417" s="0" t="s">
        <v>130</v>
      </c>
      <c r="BS1417" s="0" t="s">
        <v>130</v>
      </c>
      <c r="BT1417" s="0" t="s">
        <v>130</v>
      </c>
      <c r="BU1417" s="0" t="s">
        <v>130</v>
      </c>
      <c r="BV1417" s="0" t="s">
        <v>130</v>
      </c>
      <c r="BW1417" s="0" t="s">
        <v>130</v>
      </c>
      <c r="BX1417" s="0" t="s">
        <v>130</v>
      </c>
      <c r="BY1417" s="0" t="s">
        <v>130</v>
      </c>
      <c r="BZ1417" s="0" t="s">
        <v>130</v>
      </c>
      <c r="CA1417" s="0" t="s">
        <v>130</v>
      </c>
      <c r="CB1417" s="0" t="s">
        <v>130</v>
      </c>
      <c r="CC1417" s="0" t="s">
        <v>130</v>
      </c>
      <c r="CD1417" s="0" t="s">
        <v>130</v>
      </c>
      <c r="CE1417" s="0" t="s">
        <v>130</v>
      </c>
      <c r="CF1417" s="0" t="s">
        <v>130</v>
      </c>
      <c r="CG1417" s="0" t="s">
        <v>130</v>
      </c>
      <c r="CH1417" s="0" t="s">
        <v>130</v>
      </c>
      <c r="CI1417" s="0" t="s">
        <v>130</v>
      </c>
      <c r="CJ1417" s="0" t="s">
        <v>130</v>
      </c>
      <c r="CK1417" s="0" t="s">
        <v>130</v>
      </c>
      <c r="CL1417" s="0" t="s">
        <v>130</v>
      </c>
      <c r="CM1417" s="0" t="s">
        <v>130</v>
      </c>
      <c r="CN1417" s="0" t="s">
        <v>130</v>
      </c>
      <c r="CO1417" s="0" t="s">
        <v>130</v>
      </c>
      <c r="CP1417" s="0" t="s">
        <v>130</v>
      </c>
      <c r="CQ1417" s="0" t="s">
        <v>130</v>
      </c>
      <c r="CR1417" s="0" t="s">
        <v>130</v>
      </c>
      <c r="CS1417" s="0" t="s">
        <v>130</v>
      </c>
      <c r="CT1417" s="0" t="s">
        <v>4124</v>
      </c>
    </row>
    <row r="1418">
      <c r="A1418" s="14">
        <v>9917432</v>
      </c>
      <c r="B1418" s="0" t="s">
        <v>4101</v>
      </c>
      <c r="C1418" s="16">
        <f>HYPERLINK("https://eosportal.federatedhermes.com/companies/Q29tcGFueQppNTIxODY=", "Seven &amp; i Holdings Co Ltd")</f>
      </c>
      <c r="D1418" s="0" t="s">
        <v>25</v>
      </c>
      <c r="E1418" s="0" t="s">
        <v>386</v>
      </c>
      <c r="F1418" s="16">
        <f>HYPERLINK("https://eosportal.federatedhermes.com/engagements/RW5nYWdlbWVudAppMjc4NjY=", "Board independence")</f>
      </c>
      <c r="G1418" s="14" t="s">
        <v>4125</v>
      </c>
      <c r="H1418" s="0" t="s">
        <v>141</v>
      </c>
      <c r="I1418" s="14" t="s">
        <v>131</v>
      </c>
      <c r="J1418" s="0" t="s">
        <v>145</v>
      </c>
      <c r="K1418" s="0" t="s">
        <v>164</v>
      </c>
      <c r="L1418" s="0" t="s">
        <v>165</v>
      </c>
      <c r="M1418" s="0" t="s">
        <v>802</v>
      </c>
      <c r="N1418" s="0" t="s">
        <v>952</v>
      </c>
      <c r="O1418" s="0" t="s">
        <v>643</v>
      </c>
      <c r="Q1418" s="0" t="s">
        <v>141</v>
      </c>
      <c r="R1418" s="0" t="s">
        <v>138</v>
      </c>
      <c r="S1418" s="14">
        <v>1</v>
      </c>
      <c r="T1418" s="0" t="s">
        <v>487</v>
      </c>
      <c r="U1418" s="0" t="s">
        <v>138</v>
      </c>
      <c r="V1418" s="14" t="s">
        <v>138</v>
      </c>
      <c r="W1418" s="0" t="s">
        <v>138</v>
      </c>
      <c r="X1418" s="14" t="s">
        <v>138</v>
      </c>
      <c r="Y1418" s="0" t="s">
        <v>138</v>
      </c>
      <c r="Z1418" s="14" t="s">
        <v>138</v>
      </c>
      <c r="AA1418" s="0" t="s">
        <v>138</v>
      </c>
      <c r="AB1418" s="14" t="s">
        <v>138</v>
      </c>
      <c r="AD1418" s="0" t="s">
        <v>138</v>
      </c>
      <c r="AF1418" s="0">
        <v>0</v>
      </c>
      <c r="AG1418" s="0">
        <v>0</v>
      </c>
      <c r="AH1418" s="0" t="s">
        <v>140</v>
      </c>
      <c r="AI1418" s="0" t="s">
        <v>138</v>
      </c>
      <c r="AK1418" s="0" t="s">
        <v>3789</v>
      </c>
      <c r="AL1418" s="14"/>
      <c r="AN1418" s="14"/>
      <c r="AQ1418" s="0" t="s">
        <v>130</v>
      </c>
      <c r="AR1418" s="0" t="s">
        <v>130</v>
      </c>
      <c r="AS1418" s="0" t="s">
        <v>130</v>
      </c>
      <c r="AT1418" s="0" t="s">
        <v>130</v>
      </c>
      <c r="AU1418" s="0" t="s">
        <v>130</v>
      </c>
      <c r="AV1418" s="0" t="s">
        <v>130</v>
      </c>
      <c r="AW1418" s="0" t="s">
        <v>130</v>
      </c>
      <c r="AX1418" s="0" t="s">
        <v>130</v>
      </c>
      <c r="AY1418" s="0" t="s">
        <v>130</v>
      </c>
      <c r="AZ1418" s="0" t="s">
        <v>130</v>
      </c>
      <c r="BA1418" s="0" t="s">
        <v>130</v>
      </c>
      <c r="BB1418" s="0" t="s">
        <v>130</v>
      </c>
      <c r="BC1418" s="0" t="s">
        <v>130</v>
      </c>
      <c r="BD1418" s="0" t="s">
        <v>130</v>
      </c>
      <c r="BE1418" s="0" t="s">
        <v>130</v>
      </c>
      <c r="BF1418" s="0" t="s">
        <v>130</v>
      </c>
      <c r="BG1418" s="0" t="s">
        <v>130</v>
      </c>
      <c r="BH1418" s="0" t="s">
        <v>130</v>
      </c>
      <c r="BI1418" s="0" t="s">
        <v>130</v>
      </c>
      <c r="BJ1418" s="0" t="s">
        <v>130</v>
      </c>
      <c r="BK1418" s="0" t="s">
        <v>130</v>
      </c>
      <c r="BL1418" s="0" t="s">
        <v>130</v>
      </c>
      <c r="BM1418" s="0" t="s">
        <v>130</v>
      </c>
      <c r="BN1418" s="0" t="s">
        <v>130</v>
      </c>
      <c r="BO1418" s="0" t="s">
        <v>130</v>
      </c>
      <c r="BP1418" s="0" t="s">
        <v>130</v>
      </c>
      <c r="BQ1418" s="0" t="s">
        <v>130</v>
      </c>
      <c r="BR1418" s="0" t="s">
        <v>130</v>
      </c>
      <c r="BS1418" s="0" t="s">
        <v>130</v>
      </c>
      <c r="BT1418" s="0" t="s">
        <v>130</v>
      </c>
      <c r="BU1418" s="0" t="s">
        <v>130</v>
      </c>
      <c r="BV1418" s="0" t="s">
        <v>130</v>
      </c>
      <c r="BW1418" s="0" t="s">
        <v>130</v>
      </c>
      <c r="BX1418" s="0" t="s">
        <v>130</v>
      </c>
      <c r="BY1418" s="0" t="s">
        <v>130</v>
      </c>
      <c r="BZ1418" s="0" t="s">
        <v>130</v>
      </c>
      <c r="CA1418" s="0" t="s">
        <v>130</v>
      </c>
      <c r="CB1418" s="0" t="s">
        <v>130</v>
      </c>
      <c r="CC1418" s="0" t="s">
        <v>130</v>
      </c>
      <c r="CD1418" s="0" t="s">
        <v>130</v>
      </c>
      <c r="CE1418" s="0" t="s">
        <v>130</v>
      </c>
      <c r="CF1418" s="0" t="s">
        <v>130</v>
      </c>
      <c r="CG1418" s="0" t="s">
        <v>130</v>
      </c>
      <c r="CH1418" s="0" t="s">
        <v>130</v>
      </c>
      <c r="CI1418" s="0" t="s">
        <v>130</v>
      </c>
      <c r="CJ1418" s="0" t="s">
        <v>130</v>
      </c>
      <c r="CK1418" s="0" t="s">
        <v>130</v>
      </c>
      <c r="CL1418" s="0" t="s">
        <v>130</v>
      </c>
      <c r="CM1418" s="0" t="s">
        <v>130</v>
      </c>
      <c r="CN1418" s="0" t="s">
        <v>130</v>
      </c>
      <c r="CO1418" s="0" t="s">
        <v>130</v>
      </c>
      <c r="CP1418" s="0" t="s">
        <v>130</v>
      </c>
      <c r="CQ1418" s="0" t="s">
        <v>130</v>
      </c>
      <c r="CR1418" s="0" t="s">
        <v>130</v>
      </c>
      <c r="CS1418" s="0" t="s">
        <v>130</v>
      </c>
      <c r="CT1418" s="0" t="s">
        <v>4126</v>
      </c>
    </row>
    <row r="1419">
      <c r="A1419" s="14">
        <v>14038385</v>
      </c>
      <c r="B1419" s="0" t="s">
        <v>4127</v>
      </c>
      <c r="C1419" s="16">
        <f>HYPERLINK("https://eosportal.federatedhermes.com/companies/Q29tcGFueQppNzU2Nzk=", "Charter Communications Inc")</f>
      </c>
      <c r="D1419" s="0" t="s">
        <v>25</v>
      </c>
      <c r="E1419" s="0" t="s">
        <v>3845</v>
      </c>
      <c r="F1419" s="16">
        <f>HYPERLINK("https://eosportal.federatedhermes.com/engagements/RW5nYWdlbWVudAppMjgwNTA=", "Sustainability report")</f>
      </c>
      <c r="G1419" s="14" t="s">
        <v>4128</v>
      </c>
      <c r="H1419" s="0" t="s">
        <v>141</v>
      </c>
      <c r="I1419" s="14" t="s">
        <v>131</v>
      </c>
      <c r="J1419" s="0" t="s">
        <v>132</v>
      </c>
      <c r="K1419" s="0" t="s">
        <v>170</v>
      </c>
      <c r="L1419" s="0" t="s">
        <v>171</v>
      </c>
      <c r="M1419" s="0" t="s">
        <v>135</v>
      </c>
      <c r="N1419" s="0" t="s">
        <v>136</v>
      </c>
      <c r="O1419" s="0" t="s">
        <v>137</v>
      </c>
      <c r="Q1419" s="0" t="s">
        <v>141</v>
      </c>
      <c r="R1419" s="0" t="s">
        <v>138</v>
      </c>
      <c r="S1419" s="14">
        <v>2</v>
      </c>
      <c r="T1419" s="0" t="s">
        <v>166</v>
      </c>
      <c r="U1419" s="0" t="s">
        <v>138</v>
      </c>
      <c r="V1419" s="14" t="s">
        <v>138</v>
      </c>
      <c r="W1419" s="0" t="s">
        <v>138</v>
      </c>
      <c r="X1419" s="14" t="s">
        <v>138</v>
      </c>
      <c r="Y1419" s="0" t="s">
        <v>138</v>
      </c>
      <c r="Z1419" s="14" t="s">
        <v>138</v>
      </c>
      <c r="AA1419" s="0" t="s">
        <v>138</v>
      </c>
      <c r="AB1419" s="14" t="s">
        <v>138</v>
      </c>
      <c r="AD1419" s="0" t="s">
        <v>138</v>
      </c>
      <c r="AF1419" s="0">
        <v>0</v>
      </c>
      <c r="AG1419" s="0">
        <v>0</v>
      </c>
      <c r="AH1419" s="0" t="s">
        <v>140</v>
      </c>
      <c r="AI1419" s="0" t="s">
        <v>138</v>
      </c>
      <c r="AK1419" s="0" t="s">
        <v>1668</v>
      </c>
      <c r="AL1419" s="14"/>
      <c r="AN1419" s="14"/>
      <c r="AQ1419" s="0" t="s">
        <v>130</v>
      </c>
      <c r="AR1419" s="0" t="s">
        <v>130</v>
      </c>
      <c r="AS1419" s="0" t="s">
        <v>130</v>
      </c>
      <c r="AT1419" s="0" t="s">
        <v>130</v>
      </c>
      <c r="AU1419" s="0" t="s">
        <v>130</v>
      </c>
      <c r="AV1419" s="0" t="s">
        <v>130</v>
      </c>
      <c r="AW1419" s="0" t="s">
        <v>130</v>
      </c>
      <c r="AX1419" s="0" t="s">
        <v>130</v>
      </c>
      <c r="AY1419" s="0" t="s">
        <v>130</v>
      </c>
      <c r="AZ1419" s="0" t="s">
        <v>130</v>
      </c>
      <c r="BA1419" s="0" t="s">
        <v>130</v>
      </c>
      <c r="BB1419" s="0" t="s">
        <v>130</v>
      </c>
      <c r="BC1419" s="0" t="s">
        <v>130</v>
      </c>
      <c r="BD1419" s="0" t="s">
        <v>130</v>
      </c>
      <c r="BE1419" s="0" t="s">
        <v>130</v>
      </c>
      <c r="BF1419" s="0" t="s">
        <v>130</v>
      </c>
      <c r="BG1419" s="0" t="s">
        <v>130</v>
      </c>
      <c r="BH1419" s="0" t="s">
        <v>130</v>
      </c>
      <c r="BI1419" s="0" t="s">
        <v>130</v>
      </c>
      <c r="BJ1419" s="0" t="s">
        <v>130</v>
      </c>
      <c r="BK1419" s="0" t="s">
        <v>130</v>
      </c>
      <c r="BL1419" s="0" t="s">
        <v>130</v>
      </c>
      <c r="BM1419" s="0" t="s">
        <v>130</v>
      </c>
      <c r="BN1419" s="0" t="s">
        <v>130</v>
      </c>
      <c r="BO1419" s="0" t="s">
        <v>130</v>
      </c>
      <c r="BP1419" s="0" t="s">
        <v>130</v>
      </c>
      <c r="BQ1419" s="0" t="s">
        <v>130</v>
      </c>
      <c r="BR1419" s="0" t="s">
        <v>130</v>
      </c>
      <c r="BS1419" s="0" t="s">
        <v>130</v>
      </c>
      <c r="BT1419" s="0" t="s">
        <v>130</v>
      </c>
      <c r="BU1419" s="0" t="s">
        <v>130</v>
      </c>
      <c r="BV1419" s="0" t="s">
        <v>130</v>
      </c>
      <c r="BW1419" s="0" t="s">
        <v>130</v>
      </c>
      <c r="BX1419" s="0" t="s">
        <v>130</v>
      </c>
      <c r="BY1419" s="0" t="s">
        <v>130</v>
      </c>
      <c r="BZ1419" s="0" t="s">
        <v>130</v>
      </c>
      <c r="CA1419" s="0" t="s">
        <v>130</v>
      </c>
      <c r="CB1419" s="0" t="s">
        <v>130</v>
      </c>
      <c r="CC1419" s="0" t="s">
        <v>130</v>
      </c>
      <c r="CD1419" s="0" t="s">
        <v>130</v>
      </c>
      <c r="CE1419" s="0" t="s">
        <v>130</v>
      </c>
      <c r="CF1419" s="0" t="s">
        <v>130</v>
      </c>
      <c r="CG1419" s="0" t="s">
        <v>130</v>
      </c>
      <c r="CH1419" s="0" t="s">
        <v>130</v>
      </c>
      <c r="CI1419" s="0" t="s">
        <v>130</v>
      </c>
      <c r="CJ1419" s="0" t="s">
        <v>130</v>
      </c>
      <c r="CK1419" s="0" t="s">
        <v>130</v>
      </c>
      <c r="CL1419" s="0" t="s">
        <v>130</v>
      </c>
      <c r="CM1419" s="0" t="s">
        <v>130</v>
      </c>
      <c r="CN1419" s="0" t="s">
        <v>130</v>
      </c>
      <c r="CO1419" s="0" t="s">
        <v>130</v>
      </c>
      <c r="CP1419" s="0" t="s">
        <v>130</v>
      </c>
      <c r="CQ1419" s="0" t="s">
        <v>130</v>
      </c>
      <c r="CR1419" s="0" t="s">
        <v>130</v>
      </c>
      <c r="CS1419" s="0" t="s">
        <v>130</v>
      </c>
      <c r="CT1419" s="0" t="s">
        <v>4129</v>
      </c>
    </row>
    <row r="1420">
      <c r="A1420" s="14">
        <v>14038385</v>
      </c>
      <c r="B1420" s="0" t="s">
        <v>4127</v>
      </c>
      <c r="C1420" s="16">
        <f>HYPERLINK("https://eosportal.federatedhermes.com/companies/Q29tcGFueQppNzU2Nzk=", "Charter Communications Inc")</f>
      </c>
      <c r="D1420" s="0" t="s">
        <v>25</v>
      </c>
      <c r="E1420" s="0" t="s">
        <v>4130</v>
      </c>
      <c r="F1420" s="16">
        <f>HYPERLINK("https://eosportal.federatedhermes.com/engagements/RW5nYWdlbWVudAppMjgwNTE=", "Overboarded Chair-CEO")</f>
      </c>
      <c r="G1420" s="14" t="s">
        <v>4131</v>
      </c>
      <c r="H1420" s="0" t="s">
        <v>141</v>
      </c>
      <c r="I1420" s="14" t="s">
        <v>131</v>
      </c>
      <c r="J1420" s="0" t="s">
        <v>145</v>
      </c>
      <c r="K1420" s="0" t="s">
        <v>164</v>
      </c>
      <c r="L1420" s="0" t="s">
        <v>165</v>
      </c>
      <c r="M1420" s="0" t="s">
        <v>135</v>
      </c>
      <c r="N1420" s="0" t="s">
        <v>136</v>
      </c>
      <c r="O1420" s="0" t="s">
        <v>137</v>
      </c>
      <c r="Q1420" s="0" t="s">
        <v>130</v>
      </c>
      <c r="R1420" s="0" t="s">
        <v>138</v>
      </c>
      <c r="S1420" s="14">
        <v>0</v>
      </c>
      <c r="T1420" s="0" t="s">
        <v>148</v>
      </c>
      <c r="U1420" s="0" t="s">
        <v>138</v>
      </c>
      <c r="V1420" s="14" t="s">
        <v>138</v>
      </c>
      <c r="W1420" s="0" t="s">
        <v>138</v>
      </c>
      <c r="X1420" s="14" t="s">
        <v>138</v>
      </c>
      <c r="Y1420" s="0" t="s">
        <v>138</v>
      </c>
      <c r="Z1420" s="14" t="s">
        <v>138</v>
      </c>
      <c r="AA1420" s="0" t="s">
        <v>138</v>
      </c>
      <c r="AB1420" s="14" t="s">
        <v>138</v>
      </c>
      <c r="AD1420" s="0" t="s">
        <v>138</v>
      </c>
      <c r="AF1420" s="0">
        <v>0</v>
      </c>
      <c r="AG1420" s="0">
        <v>0</v>
      </c>
      <c r="AH1420" s="0" t="s">
        <v>140</v>
      </c>
      <c r="AI1420" s="0" t="s">
        <v>138</v>
      </c>
      <c r="AL1420" s="14"/>
      <c r="AN1420" s="14"/>
      <c r="AQ1420" s="0" t="s">
        <v>130</v>
      </c>
      <c r="AR1420" s="0" t="s">
        <v>130</v>
      </c>
      <c r="AS1420" s="0" t="s">
        <v>130</v>
      </c>
      <c r="AT1420" s="0" t="s">
        <v>130</v>
      </c>
      <c r="AU1420" s="0" t="s">
        <v>130</v>
      </c>
      <c r="AV1420" s="0" t="s">
        <v>130</v>
      </c>
      <c r="AW1420" s="0" t="s">
        <v>130</v>
      </c>
      <c r="AX1420" s="0" t="s">
        <v>130</v>
      </c>
      <c r="AY1420" s="0" t="s">
        <v>130</v>
      </c>
      <c r="AZ1420" s="0" t="s">
        <v>130</v>
      </c>
      <c r="BA1420" s="0" t="s">
        <v>130</v>
      </c>
      <c r="BB1420" s="0" t="s">
        <v>130</v>
      </c>
      <c r="BC1420" s="0" t="s">
        <v>130</v>
      </c>
      <c r="BD1420" s="0" t="s">
        <v>130</v>
      </c>
      <c r="BE1420" s="0" t="s">
        <v>130</v>
      </c>
      <c r="BF1420" s="0" t="s">
        <v>130</v>
      </c>
      <c r="BG1420" s="0" t="s">
        <v>130</v>
      </c>
      <c r="BH1420" s="0" t="s">
        <v>130</v>
      </c>
      <c r="BI1420" s="0" t="s">
        <v>130</v>
      </c>
      <c r="BJ1420" s="0" t="s">
        <v>130</v>
      </c>
      <c r="BK1420" s="0" t="s">
        <v>130</v>
      </c>
      <c r="BL1420" s="0" t="s">
        <v>130</v>
      </c>
      <c r="BM1420" s="0" t="s">
        <v>130</v>
      </c>
      <c r="BN1420" s="0" t="s">
        <v>130</v>
      </c>
      <c r="BO1420" s="0" t="s">
        <v>130</v>
      </c>
      <c r="BP1420" s="0" t="s">
        <v>130</v>
      </c>
      <c r="BQ1420" s="0" t="s">
        <v>130</v>
      </c>
      <c r="BR1420" s="0" t="s">
        <v>130</v>
      </c>
      <c r="BS1420" s="0" t="s">
        <v>130</v>
      </c>
      <c r="BT1420" s="0" t="s">
        <v>130</v>
      </c>
      <c r="BU1420" s="0" t="s">
        <v>130</v>
      </c>
      <c r="BV1420" s="0" t="s">
        <v>130</v>
      </c>
      <c r="BW1420" s="0" t="s">
        <v>130</v>
      </c>
      <c r="BX1420" s="0" t="s">
        <v>130</v>
      </c>
      <c r="BY1420" s="0" t="s">
        <v>130</v>
      </c>
      <c r="BZ1420" s="0" t="s">
        <v>130</v>
      </c>
      <c r="CA1420" s="0" t="s">
        <v>130</v>
      </c>
      <c r="CB1420" s="0" t="s">
        <v>130</v>
      </c>
      <c r="CC1420" s="0" t="s">
        <v>130</v>
      </c>
      <c r="CD1420" s="0" t="s">
        <v>130</v>
      </c>
      <c r="CE1420" s="0" t="s">
        <v>130</v>
      </c>
      <c r="CF1420" s="0" t="s">
        <v>130</v>
      </c>
      <c r="CG1420" s="0" t="s">
        <v>130</v>
      </c>
      <c r="CH1420" s="0" t="s">
        <v>130</v>
      </c>
      <c r="CI1420" s="0" t="s">
        <v>130</v>
      </c>
      <c r="CJ1420" s="0" t="s">
        <v>130</v>
      </c>
      <c r="CK1420" s="0" t="s">
        <v>130</v>
      </c>
      <c r="CL1420" s="0" t="s">
        <v>130</v>
      </c>
      <c r="CM1420" s="0" t="s">
        <v>130</v>
      </c>
      <c r="CN1420" s="0" t="s">
        <v>130</v>
      </c>
      <c r="CO1420" s="0" t="s">
        <v>130</v>
      </c>
      <c r="CP1420" s="0" t="s">
        <v>130</v>
      </c>
      <c r="CQ1420" s="0" t="s">
        <v>130</v>
      </c>
      <c r="CR1420" s="0" t="s">
        <v>130</v>
      </c>
      <c r="CS1420" s="0" t="s">
        <v>130</v>
      </c>
      <c r="CT1420" s="0" t="s">
        <v>4132</v>
      </c>
    </row>
    <row r="1421">
      <c r="A1421" s="14">
        <v>14038385</v>
      </c>
      <c r="B1421" s="0" t="s">
        <v>4127</v>
      </c>
      <c r="C1421" s="16">
        <f>HYPERLINK("https://eosportal.federatedhermes.com/companies/Q29tcGFueQppNzU2Nzk=", "Charter Communications Inc")</f>
      </c>
      <c r="D1421" s="0" t="s">
        <v>25</v>
      </c>
      <c r="E1421" s="0" t="s">
        <v>4133</v>
      </c>
      <c r="F1421" s="16">
        <f>HYPERLINK("https://eosportal.federatedhermes.com/engagements/RW5nYWdlbWVudAppMjgwNTI=", "Lobbying Payments")</f>
      </c>
      <c r="G1421" s="14" t="s">
        <v>4134</v>
      </c>
      <c r="H1421" s="0" t="s">
        <v>141</v>
      </c>
      <c r="I1421" s="14" t="s">
        <v>131</v>
      </c>
      <c r="J1421" s="0" t="s">
        <v>153</v>
      </c>
      <c r="K1421" s="0" t="s">
        <v>185</v>
      </c>
      <c r="L1421" s="0" t="s">
        <v>186</v>
      </c>
      <c r="M1421" s="0" t="s">
        <v>135</v>
      </c>
      <c r="N1421" s="0" t="s">
        <v>136</v>
      </c>
      <c r="O1421" s="0" t="s">
        <v>137</v>
      </c>
      <c r="Q1421" s="0" t="s">
        <v>130</v>
      </c>
      <c r="R1421" s="0" t="s">
        <v>138</v>
      </c>
      <c r="S1421" s="14">
        <v>0</v>
      </c>
      <c r="T1421" s="0" t="s">
        <v>487</v>
      </c>
      <c r="U1421" s="0" t="s">
        <v>138</v>
      </c>
      <c r="V1421" s="14" t="s">
        <v>138</v>
      </c>
      <c r="W1421" s="0" t="s">
        <v>138</v>
      </c>
      <c r="X1421" s="14" t="s">
        <v>138</v>
      </c>
      <c r="Y1421" s="0" t="s">
        <v>138</v>
      </c>
      <c r="Z1421" s="14" t="s">
        <v>138</v>
      </c>
      <c r="AA1421" s="0" t="s">
        <v>138</v>
      </c>
      <c r="AB1421" s="14" t="s">
        <v>138</v>
      </c>
      <c r="AD1421" s="0" t="s">
        <v>138</v>
      </c>
      <c r="AF1421" s="0">
        <v>0</v>
      </c>
      <c r="AG1421" s="0">
        <v>0</v>
      </c>
      <c r="AH1421" s="0" t="s">
        <v>140</v>
      </c>
      <c r="AI1421" s="0" t="s">
        <v>138</v>
      </c>
      <c r="AL1421" s="14"/>
      <c r="AN1421" s="14"/>
      <c r="AQ1421" s="0" t="s">
        <v>130</v>
      </c>
      <c r="AR1421" s="0" t="s">
        <v>130</v>
      </c>
      <c r="AS1421" s="0" t="s">
        <v>130</v>
      </c>
      <c r="AT1421" s="0" t="s">
        <v>130</v>
      </c>
      <c r="AU1421" s="0" t="s">
        <v>130</v>
      </c>
      <c r="AV1421" s="0" t="s">
        <v>130</v>
      </c>
      <c r="AW1421" s="0" t="s">
        <v>130</v>
      </c>
      <c r="AX1421" s="0" t="s">
        <v>130</v>
      </c>
      <c r="AY1421" s="0" t="s">
        <v>130</v>
      </c>
      <c r="AZ1421" s="0" t="s">
        <v>130</v>
      </c>
      <c r="BA1421" s="0" t="s">
        <v>130</v>
      </c>
      <c r="BB1421" s="0" t="s">
        <v>130</v>
      </c>
      <c r="BC1421" s="0" t="s">
        <v>130</v>
      </c>
      <c r="BD1421" s="0" t="s">
        <v>130</v>
      </c>
      <c r="BE1421" s="0" t="s">
        <v>130</v>
      </c>
      <c r="BF1421" s="0" t="s">
        <v>130</v>
      </c>
      <c r="BG1421" s="0" t="s">
        <v>130</v>
      </c>
      <c r="BH1421" s="0" t="s">
        <v>130</v>
      </c>
      <c r="BI1421" s="0" t="s">
        <v>130</v>
      </c>
      <c r="BJ1421" s="0" t="s">
        <v>130</v>
      </c>
      <c r="BK1421" s="0" t="s">
        <v>130</v>
      </c>
      <c r="BL1421" s="0" t="s">
        <v>130</v>
      </c>
      <c r="BM1421" s="0" t="s">
        <v>130</v>
      </c>
      <c r="BN1421" s="0" t="s">
        <v>130</v>
      </c>
      <c r="BO1421" s="0" t="s">
        <v>130</v>
      </c>
      <c r="BP1421" s="0" t="s">
        <v>130</v>
      </c>
      <c r="BQ1421" s="0" t="s">
        <v>130</v>
      </c>
      <c r="BR1421" s="0" t="s">
        <v>130</v>
      </c>
      <c r="BS1421" s="0" t="s">
        <v>130</v>
      </c>
      <c r="BT1421" s="0" t="s">
        <v>130</v>
      </c>
      <c r="BU1421" s="0" t="s">
        <v>130</v>
      </c>
      <c r="BV1421" s="0" t="s">
        <v>130</v>
      </c>
      <c r="BW1421" s="0" t="s">
        <v>130</v>
      </c>
      <c r="BX1421" s="0" t="s">
        <v>130</v>
      </c>
      <c r="BY1421" s="0" t="s">
        <v>130</v>
      </c>
      <c r="BZ1421" s="0" t="s">
        <v>130</v>
      </c>
      <c r="CA1421" s="0" t="s">
        <v>130</v>
      </c>
      <c r="CB1421" s="0" t="s">
        <v>130</v>
      </c>
      <c r="CC1421" s="0" t="s">
        <v>130</v>
      </c>
      <c r="CD1421" s="0" t="s">
        <v>130</v>
      </c>
      <c r="CE1421" s="0" t="s">
        <v>130</v>
      </c>
      <c r="CF1421" s="0" t="s">
        <v>130</v>
      </c>
      <c r="CG1421" s="0" t="s">
        <v>130</v>
      </c>
      <c r="CH1421" s="0" t="s">
        <v>130</v>
      </c>
      <c r="CI1421" s="0" t="s">
        <v>130</v>
      </c>
      <c r="CJ1421" s="0" t="s">
        <v>130</v>
      </c>
      <c r="CK1421" s="0" t="s">
        <v>130</v>
      </c>
      <c r="CL1421" s="0" t="s">
        <v>130</v>
      </c>
      <c r="CM1421" s="0" t="s">
        <v>130</v>
      </c>
      <c r="CN1421" s="0" t="s">
        <v>130</v>
      </c>
      <c r="CO1421" s="0" t="s">
        <v>130</v>
      </c>
      <c r="CP1421" s="0" t="s">
        <v>130</v>
      </c>
      <c r="CQ1421" s="0" t="s">
        <v>130</v>
      </c>
      <c r="CR1421" s="0" t="s">
        <v>130</v>
      </c>
      <c r="CS1421" s="0" t="s">
        <v>130</v>
      </c>
      <c r="CT1421" s="0" t="s">
        <v>4135</v>
      </c>
    </row>
    <row r="1422">
      <c r="A1422" s="14">
        <v>14038385</v>
      </c>
      <c r="B1422" s="0" t="s">
        <v>4127</v>
      </c>
      <c r="C1422" s="16">
        <f>HYPERLINK("https://eosportal.federatedhermes.com/companies/Q29tcGFueQppNzU2Nzk=", "Charter Communications Inc")</f>
      </c>
      <c r="D1422" s="0" t="s">
        <v>25</v>
      </c>
      <c r="E1422" s="0" t="s">
        <v>322</v>
      </c>
      <c r="F1422" s="16">
        <f>HYPERLINK("https://eosportal.federatedhermes.com/engagements/RW5nYWdlbWVudAppMjgwNTM=", "Gender diversity")</f>
      </c>
      <c r="G1422" s="14" t="s">
        <v>4136</v>
      </c>
      <c r="H1422" s="0" t="s">
        <v>141</v>
      </c>
      <c r="I1422" s="14" t="s">
        <v>131</v>
      </c>
      <c r="J1422" s="0" t="s">
        <v>145</v>
      </c>
      <c r="K1422" s="0" t="s">
        <v>164</v>
      </c>
      <c r="L1422" s="0" t="s">
        <v>165</v>
      </c>
      <c r="M1422" s="0" t="s">
        <v>135</v>
      </c>
      <c r="N1422" s="0" t="s">
        <v>136</v>
      </c>
      <c r="O1422" s="0" t="s">
        <v>137</v>
      </c>
      <c r="Q1422" s="0" t="s">
        <v>130</v>
      </c>
      <c r="R1422" s="0" t="s">
        <v>138</v>
      </c>
      <c r="S1422" s="14">
        <v>0</v>
      </c>
      <c r="T1422" s="0" t="s">
        <v>166</v>
      </c>
      <c r="U1422" s="0" t="s">
        <v>138</v>
      </c>
      <c r="V1422" s="14" t="s">
        <v>138</v>
      </c>
      <c r="W1422" s="0" t="s">
        <v>138</v>
      </c>
      <c r="X1422" s="14" t="s">
        <v>138</v>
      </c>
      <c r="Y1422" s="0" t="s">
        <v>138</v>
      </c>
      <c r="Z1422" s="14" t="s">
        <v>138</v>
      </c>
      <c r="AA1422" s="0" t="s">
        <v>138</v>
      </c>
      <c r="AB1422" s="14" t="s">
        <v>138</v>
      </c>
      <c r="AD1422" s="0" t="s">
        <v>138</v>
      </c>
      <c r="AF1422" s="0">
        <v>0</v>
      </c>
      <c r="AG1422" s="0">
        <v>0</v>
      </c>
      <c r="AH1422" s="0" t="s">
        <v>140</v>
      </c>
      <c r="AI1422" s="0" t="s">
        <v>138</v>
      </c>
      <c r="AL1422" s="14"/>
      <c r="AN1422" s="14"/>
      <c r="AQ1422" s="0" t="s">
        <v>130</v>
      </c>
      <c r="AR1422" s="0" t="s">
        <v>130</v>
      </c>
      <c r="AS1422" s="0" t="s">
        <v>130</v>
      </c>
      <c r="AT1422" s="0" t="s">
        <v>130</v>
      </c>
      <c r="AU1422" s="0" t="s">
        <v>141</v>
      </c>
      <c r="AV1422" s="0" t="s">
        <v>130</v>
      </c>
      <c r="AW1422" s="0" t="s">
        <v>130</v>
      </c>
      <c r="AX1422" s="0" t="s">
        <v>130</v>
      </c>
      <c r="AY1422" s="0" t="s">
        <v>130</v>
      </c>
      <c r="AZ1422" s="0" t="s">
        <v>130</v>
      </c>
      <c r="BA1422" s="0" t="s">
        <v>130</v>
      </c>
      <c r="BB1422" s="0" t="s">
        <v>130</v>
      </c>
      <c r="BC1422" s="0" t="s">
        <v>130</v>
      </c>
      <c r="BD1422" s="0" t="s">
        <v>130</v>
      </c>
      <c r="BE1422" s="0" t="s">
        <v>130</v>
      </c>
      <c r="BF1422" s="0" t="s">
        <v>130</v>
      </c>
      <c r="BG1422" s="0" t="s">
        <v>130</v>
      </c>
      <c r="BH1422" s="0" t="s">
        <v>130</v>
      </c>
      <c r="BI1422" s="0" t="s">
        <v>130</v>
      </c>
      <c r="BJ1422" s="0" t="s">
        <v>130</v>
      </c>
      <c r="BK1422" s="0" t="s">
        <v>130</v>
      </c>
      <c r="BL1422" s="0" t="s">
        <v>130</v>
      </c>
      <c r="BM1422" s="0" t="s">
        <v>130</v>
      </c>
      <c r="BN1422" s="0" t="s">
        <v>130</v>
      </c>
      <c r="BO1422" s="0" t="s">
        <v>130</v>
      </c>
      <c r="BP1422" s="0" t="s">
        <v>130</v>
      </c>
      <c r="BQ1422" s="0" t="s">
        <v>130</v>
      </c>
      <c r="BR1422" s="0" t="s">
        <v>130</v>
      </c>
      <c r="BS1422" s="0" t="s">
        <v>130</v>
      </c>
      <c r="BT1422" s="0" t="s">
        <v>130</v>
      </c>
      <c r="BU1422" s="0" t="s">
        <v>130</v>
      </c>
      <c r="BV1422" s="0" t="s">
        <v>130</v>
      </c>
      <c r="BW1422" s="0" t="s">
        <v>130</v>
      </c>
      <c r="BX1422" s="0" t="s">
        <v>130</v>
      </c>
      <c r="BY1422" s="0" t="s">
        <v>130</v>
      </c>
      <c r="BZ1422" s="0" t="s">
        <v>130</v>
      </c>
      <c r="CA1422" s="0" t="s">
        <v>130</v>
      </c>
      <c r="CB1422" s="0" t="s">
        <v>130</v>
      </c>
      <c r="CC1422" s="0" t="s">
        <v>130</v>
      </c>
      <c r="CD1422" s="0" t="s">
        <v>130</v>
      </c>
      <c r="CE1422" s="0" t="s">
        <v>130</v>
      </c>
      <c r="CF1422" s="0" t="s">
        <v>130</v>
      </c>
      <c r="CG1422" s="0" t="s">
        <v>130</v>
      </c>
      <c r="CH1422" s="0" t="s">
        <v>130</v>
      </c>
      <c r="CI1422" s="0" t="s">
        <v>130</v>
      </c>
      <c r="CJ1422" s="0" t="s">
        <v>130</v>
      </c>
      <c r="CK1422" s="0" t="s">
        <v>130</v>
      </c>
      <c r="CL1422" s="0" t="s">
        <v>130</v>
      </c>
      <c r="CM1422" s="0" t="s">
        <v>130</v>
      </c>
      <c r="CN1422" s="0" t="s">
        <v>130</v>
      </c>
      <c r="CO1422" s="0" t="s">
        <v>130</v>
      </c>
      <c r="CP1422" s="0" t="s">
        <v>130</v>
      </c>
      <c r="CQ1422" s="0" t="s">
        <v>130</v>
      </c>
      <c r="CR1422" s="0" t="s">
        <v>130</v>
      </c>
      <c r="CS1422" s="0" t="s">
        <v>130</v>
      </c>
      <c r="CT1422" s="0" t="s">
        <v>4137</v>
      </c>
    </row>
    <row r="1423">
      <c r="A1423" s="14">
        <v>14038385</v>
      </c>
      <c r="B1423" s="0" t="s">
        <v>4127</v>
      </c>
      <c r="C1423" s="16">
        <f>HYPERLINK("https://eosportal.federatedhermes.com/companies/Q29tcGFueQppNzU2Nzk=", "Charter Communications Inc")</f>
      </c>
      <c r="D1423" s="0" t="s">
        <v>25</v>
      </c>
      <c r="E1423" s="0" t="s">
        <v>146</v>
      </c>
      <c r="F1423" s="16">
        <f>HYPERLINK("https://eosportal.federatedhermes.com/engagements/RW5nYWdlbWVudAppMjgwNTQ=", "Executive Remuneration")</f>
      </c>
      <c r="G1423" s="14" t="s">
        <v>4138</v>
      </c>
      <c r="H1423" s="0" t="s">
        <v>141</v>
      </c>
      <c r="I1423" s="14" t="s">
        <v>131</v>
      </c>
      <c r="J1423" s="0" t="s">
        <v>145</v>
      </c>
      <c r="K1423" s="0" t="s">
        <v>146</v>
      </c>
      <c r="L1423" s="0" t="s">
        <v>147</v>
      </c>
      <c r="M1423" s="0" t="s">
        <v>135</v>
      </c>
      <c r="N1423" s="0" t="s">
        <v>136</v>
      </c>
      <c r="O1423" s="0" t="s">
        <v>137</v>
      </c>
      <c r="Q1423" s="0" t="s">
        <v>130</v>
      </c>
      <c r="R1423" s="0" t="s">
        <v>138</v>
      </c>
      <c r="S1423" s="14">
        <v>0</v>
      </c>
      <c r="T1423" s="0" t="s">
        <v>487</v>
      </c>
      <c r="U1423" s="0" t="s">
        <v>138</v>
      </c>
      <c r="V1423" s="14" t="s">
        <v>138</v>
      </c>
      <c r="W1423" s="0" t="s">
        <v>138</v>
      </c>
      <c r="X1423" s="14" t="s">
        <v>138</v>
      </c>
      <c r="Y1423" s="0" t="s">
        <v>138</v>
      </c>
      <c r="Z1423" s="14" t="s">
        <v>138</v>
      </c>
      <c r="AA1423" s="0" t="s">
        <v>138</v>
      </c>
      <c r="AB1423" s="14" t="s">
        <v>138</v>
      </c>
      <c r="AD1423" s="0" t="s">
        <v>138</v>
      </c>
      <c r="AF1423" s="0">
        <v>0</v>
      </c>
      <c r="AG1423" s="0">
        <v>0</v>
      </c>
      <c r="AH1423" s="0" t="s">
        <v>140</v>
      </c>
      <c r="AI1423" s="0" t="s">
        <v>138</v>
      </c>
      <c r="AL1423" s="14"/>
      <c r="AN1423" s="14"/>
      <c r="AQ1423" s="0" t="s">
        <v>130</v>
      </c>
      <c r="AR1423" s="0" t="s">
        <v>130</v>
      </c>
      <c r="AS1423" s="0" t="s">
        <v>130</v>
      </c>
      <c r="AT1423" s="0" t="s">
        <v>130</v>
      </c>
      <c r="AU1423" s="0" t="s">
        <v>130</v>
      </c>
      <c r="AV1423" s="0" t="s">
        <v>130</v>
      </c>
      <c r="AW1423" s="0" t="s">
        <v>130</v>
      </c>
      <c r="AX1423" s="0" t="s">
        <v>130</v>
      </c>
      <c r="AY1423" s="0" t="s">
        <v>130</v>
      </c>
      <c r="AZ1423" s="0" t="s">
        <v>130</v>
      </c>
      <c r="BA1423" s="0" t="s">
        <v>130</v>
      </c>
      <c r="BB1423" s="0" t="s">
        <v>130</v>
      </c>
      <c r="BC1423" s="0" t="s">
        <v>130</v>
      </c>
      <c r="BD1423" s="0" t="s">
        <v>130</v>
      </c>
      <c r="BE1423" s="0" t="s">
        <v>130</v>
      </c>
      <c r="BF1423" s="0" t="s">
        <v>130</v>
      </c>
      <c r="BG1423" s="0" t="s">
        <v>130</v>
      </c>
      <c r="BH1423" s="0" t="s">
        <v>130</v>
      </c>
      <c r="BI1423" s="0" t="s">
        <v>130</v>
      </c>
      <c r="BJ1423" s="0" t="s">
        <v>130</v>
      </c>
      <c r="BK1423" s="0" t="s">
        <v>130</v>
      </c>
      <c r="BL1423" s="0" t="s">
        <v>130</v>
      </c>
      <c r="BM1423" s="0" t="s">
        <v>130</v>
      </c>
      <c r="BN1423" s="0" t="s">
        <v>130</v>
      </c>
      <c r="BO1423" s="0" t="s">
        <v>130</v>
      </c>
      <c r="BP1423" s="0" t="s">
        <v>130</v>
      </c>
      <c r="BQ1423" s="0" t="s">
        <v>130</v>
      </c>
      <c r="BR1423" s="0" t="s">
        <v>130</v>
      </c>
      <c r="BS1423" s="0" t="s">
        <v>130</v>
      </c>
      <c r="BT1423" s="0" t="s">
        <v>130</v>
      </c>
      <c r="BU1423" s="0" t="s">
        <v>130</v>
      </c>
      <c r="BV1423" s="0" t="s">
        <v>130</v>
      </c>
      <c r="BW1423" s="0" t="s">
        <v>130</v>
      </c>
      <c r="BX1423" s="0" t="s">
        <v>130</v>
      </c>
      <c r="BY1423" s="0" t="s">
        <v>130</v>
      </c>
      <c r="BZ1423" s="0" t="s">
        <v>130</v>
      </c>
      <c r="CA1423" s="0" t="s">
        <v>130</v>
      </c>
      <c r="CB1423" s="0" t="s">
        <v>130</v>
      </c>
      <c r="CC1423" s="0" t="s">
        <v>130</v>
      </c>
      <c r="CD1423" s="0" t="s">
        <v>130</v>
      </c>
      <c r="CE1423" s="0" t="s">
        <v>130</v>
      </c>
      <c r="CF1423" s="0" t="s">
        <v>130</v>
      </c>
      <c r="CG1423" s="0" t="s">
        <v>130</v>
      </c>
      <c r="CH1423" s="0" t="s">
        <v>130</v>
      </c>
      <c r="CI1423" s="0" t="s">
        <v>130</v>
      </c>
      <c r="CJ1423" s="0" t="s">
        <v>130</v>
      </c>
      <c r="CK1423" s="0" t="s">
        <v>130</v>
      </c>
      <c r="CL1423" s="0" t="s">
        <v>130</v>
      </c>
      <c r="CM1423" s="0" t="s">
        <v>130</v>
      </c>
      <c r="CN1423" s="0" t="s">
        <v>130</v>
      </c>
      <c r="CO1423" s="0" t="s">
        <v>130</v>
      </c>
      <c r="CP1423" s="0" t="s">
        <v>130</v>
      </c>
      <c r="CQ1423" s="0" t="s">
        <v>130</v>
      </c>
      <c r="CR1423" s="0" t="s">
        <v>130</v>
      </c>
      <c r="CS1423" s="0" t="s">
        <v>130</v>
      </c>
      <c r="CT1423" s="0" t="s">
        <v>4139</v>
      </c>
    </row>
    <row r="1424">
      <c r="A1424" s="14">
        <v>14038385</v>
      </c>
      <c r="B1424" s="0" t="s">
        <v>4127</v>
      </c>
      <c r="C1424" s="16">
        <f>HYPERLINK("https://eosportal.federatedhermes.com/companies/Q29tcGFueQppNzU2Nzk=", "Charter Communications Inc")</f>
      </c>
      <c r="D1424" s="0" t="s">
        <v>25</v>
      </c>
      <c r="E1424" s="0" t="s">
        <v>709</v>
      </c>
      <c r="F1424" s="16">
        <f>HYPERLINK("https://eosportal.federatedhermes.com/engagements/RW5nYWdlbWVudAppMjgwNTU=", "Proxy access")</f>
      </c>
      <c r="G1424" s="14" t="s">
        <v>4140</v>
      </c>
      <c r="H1424" s="0" t="s">
        <v>141</v>
      </c>
      <c r="I1424" s="14" t="s">
        <v>131</v>
      </c>
      <c r="J1424" s="0" t="s">
        <v>145</v>
      </c>
      <c r="K1424" s="0" t="s">
        <v>400</v>
      </c>
      <c r="L1424" s="0" t="s">
        <v>507</v>
      </c>
      <c r="M1424" s="0" t="s">
        <v>135</v>
      </c>
      <c r="N1424" s="0" t="s">
        <v>136</v>
      </c>
      <c r="O1424" s="0" t="s">
        <v>137</v>
      </c>
      <c r="Q1424" s="0" t="s">
        <v>130</v>
      </c>
      <c r="R1424" s="0" t="s">
        <v>138</v>
      </c>
      <c r="S1424" s="14">
        <v>0</v>
      </c>
      <c r="T1424" s="0" t="s">
        <v>166</v>
      </c>
      <c r="U1424" s="0" t="s">
        <v>138</v>
      </c>
      <c r="V1424" s="14" t="s">
        <v>138</v>
      </c>
      <c r="W1424" s="0" t="s">
        <v>138</v>
      </c>
      <c r="X1424" s="14" t="s">
        <v>138</v>
      </c>
      <c r="Y1424" s="0" t="s">
        <v>138</v>
      </c>
      <c r="Z1424" s="14" t="s">
        <v>138</v>
      </c>
      <c r="AA1424" s="0" t="s">
        <v>138</v>
      </c>
      <c r="AB1424" s="14" t="s">
        <v>138</v>
      </c>
      <c r="AD1424" s="0" t="s">
        <v>138</v>
      </c>
      <c r="AF1424" s="0">
        <v>0</v>
      </c>
      <c r="AG1424" s="0">
        <v>0</v>
      </c>
      <c r="AH1424" s="0" t="s">
        <v>140</v>
      </c>
      <c r="AI1424" s="0" t="s">
        <v>138</v>
      </c>
      <c r="AL1424" s="14"/>
      <c r="AN1424" s="14"/>
      <c r="AQ1424" s="0" t="s">
        <v>130</v>
      </c>
      <c r="AR1424" s="0" t="s">
        <v>130</v>
      </c>
      <c r="AS1424" s="0" t="s">
        <v>130</v>
      </c>
      <c r="AT1424" s="0" t="s">
        <v>130</v>
      </c>
      <c r="AU1424" s="0" t="s">
        <v>130</v>
      </c>
      <c r="AV1424" s="0" t="s">
        <v>130</v>
      </c>
      <c r="AW1424" s="0" t="s">
        <v>130</v>
      </c>
      <c r="AX1424" s="0" t="s">
        <v>130</v>
      </c>
      <c r="AY1424" s="0" t="s">
        <v>130</v>
      </c>
      <c r="AZ1424" s="0" t="s">
        <v>130</v>
      </c>
      <c r="BA1424" s="0" t="s">
        <v>130</v>
      </c>
      <c r="BB1424" s="0" t="s">
        <v>130</v>
      </c>
      <c r="BC1424" s="0" t="s">
        <v>130</v>
      </c>
      <c r="BD1424" s="0" t="s">
        <v>130</v>
      </c>
      <c r="BE1424" s="0" t="s">
        <v>130</v>
      </c>
      <c r="BF1424" s="0" t="s">
        <v>130</v>
      </c>
      <c r="BG1424" s="0" t="s">
        <v>130</v>
      </c>
      <c r="BH1424" s="0" t="s">
        <v>130</v>
      </c>
      <c r="BI1424" s="0" t="s">
        <v>130</v>
      </c>
      <c r="BJ1424" s="0" t="s">
        <v>130</v>
      </c>
      <c r="BK1424" s="0" t="s">
        <v>130</v>
      </c>
      <c r="BL1424" s="0" t="s">
        <v>130</v>
      </c>
      <c r="BM1424" s="0" t="s">
        <v>130</v>
      </c>
      <c r="BN1424" s="0" t="s">
        <v>130</v>
      </c>
      <c r="BO1424" s="0" t="s">
        <v>130</v>
      </c>
      <c r="BP1424" s="0" t="s">
        <v>130</v>
      </c>
      <c r="BQ1424" s="0" t="s">
        <v>130</v>
      </c>
      <c r="BR1424" s="0" t="s">
        <v>130</v>
      </c>
      <c r="BS1424" s="0" t="s">
        <v>130</v>
      </c>
      <c r="BT1424" s="0" t="s">
        <v>130</v>
      </c>
      <c r="BU1424" s="0" t="s">
        <v>130</v>
      </c>
      <c r="BV1424" s="0" t="s">
        <v>130</v>
      </c>
      <c r="BW1424" s="0" t="s">
        <v>130</v>
      </c>
      <c r="BX1424" s="0" t="s">
        <v>130</v>
      </c>
      <c r="BY1424" s="0" t="s">
        <v>130</v>
      </c>
      <c r="BZ1424" s="0" t="s">
        <v>130</v>
      </c>
      <c r="CA1424" s="0" t="s">
        <v>130</v>
      </c>
      <c r="CB1424" s="0" t="s">
        <v>130</v>
      </c>
      <c r="CC1424" s="0" t="s">
        <v>130</v>
      </c>
      <c r="CD1424" s="0" t="s">
        <v>130</v>
      </c>
      <c r="CE1424" s="0" t="s">
        <v>130</v>
      </c>
      <c r="CF1424" s="0" t="s">
        <v>130</v>
      </c>
      <c r="CG1424" s="0" t="s">
        <v>130</v>
      </c>
      <c r="CH1424" s="0" t="s">
        <v>130</v>
      </c>
      <c r="CI1424" s="0" t="s">
        <v>130</v>
      </c>
      <c r="CJ1424" s="0" t="s">
        <v>130</v>
      </c>
      <c r="CK1424" s="0" t="s">
        <v>130</v>
      </c>
      <c r="CL1424" s="0" t="s">
        <v>130</v>
      </c>
      <c r="CM1424" s="0" t="s">
        <v>130</v>
      </c>
      <c r="CN1424" s="0" t="s">
        <v>130</v>
      </c>
      <c r="CO1424" s="0" t="s">
        <v>130</v>
      </c>
      <c r="CP1424" s="0" t="s">
        <v>130</v>
      </c>
      <c r="CQ1424" s="0" t="s">
        <v>130</v>
      </c>
      <c r="CR1424" s="0" t="s">
        <v>130</v>
      </c>
      <c r="CS1424" s="0" t="s">
        <v>130</v>
      </c>
      <c r="CT1424" s="0" t="s">
        <v>4141</v>
      </c>
    </row>
    <row r="1425">
      <c r="A1425" s="14">
        <v>14038385</v>
      </c>
      <c r="B1425" s="0" t="s">
        <v>4127</v>
      </c>
      <c r="C1425" s="16">
        <f>HYPERLINK("https://eosportal.federatedhermes.com/companies/Q29tcGFueQppNzU2Nzk=", "Charter Communications Inc")</f>
      </c>
      <c r="D1425" s="0" t="s">
        <v>25</v>
      </c>
      <c r="E1425" s="0" t="s">
        <v>1053</v>
      </c>
      <c r="F1425" s="16">
        <f>HYPERLINK("https://eosportal.federatedhermes.com/engagements/RW5nYWdlbWVudAppMjgwNTY=", "Board Composition")</f>
      </c>
      <c r="G1425" s="14" t="s">
        <v>4142</v>
      </c>
      <c r="H1425" s="0" t="s">
        <v>141</v>
      </c>
      <c r="I1425" s="14" t="s">
        <v>131</v>
      </c>
      <c r="J1425" s="0" t="s">
        <v>145</v>
      </c>
      <c r="K1425" s="0" t="s">
        <v>164</v>
      </c>
      <c r="L1425" s="0" t="s">
        <v>165</v>
      </c>
      <c r="M1425" s="0" t="s">
        <v>135</v>
      </c>
      <c r="N1425" s="0" t="s">
        <v>136</v>
      </c>
      <c r="O1425" s="0" t="s">
        <v>137</v>
      </c>
      <c r="Q1425" s="0" t="s">
        <v>141</v>
      </c>
      <c r="R1425" s="0" t="s">
        <v>138</v>
      </c>
      <c r="S1425" s="14">
        <v>1</v>
      </c>
      <c r="T1425" s="0" t="s">
        <v>487</v>
      </c>
      <c r="U1425" s="0" t="s">
        <v>138</v>
      </c>
      <c r="V1425" s="14" t="s">
        <v>138</v>
      </c>
      <c r="W1425" s="0" t="s">
        <v>138</v>
      </c>
      <c r="X1425" s="14" t="s">
        <v>138</v>
      </c>
      <c r="Y1425" s="0" t="s">
        <v>138</v>
      </c>
      <c r="Z1425" s="14" t="s">
        <v>138</v>
      </c>
      <c r="AA1425" s="0" t="s">
        <v>138</v>
      </c>
      <c r="AB1425" s="14" t="s">
        <v>138</v>
      </c>
      <c r="AD1425" s="0" t="s">
        <v>138</v>
      </c>
      <c r="AF1425" s="0">
        <v>0</v>
      </c>
      <c r="AG1425" s="0">
        <v>0</v>
      </c>
      <c r="AH1425" s="0" t="s">
        <v>140</v>
      </c>
      <c r="AI1425" s="0" t="s">
        <v>138</v>
      </c>
      <c r="AK1425" s="0" t="s">
        <v>1668</v>
      </c>
      <c r="AL1425" s="14"/>
      <c r="AN1425" s="14"/>
      <c r="AQ1425" s="0" t="s">
        <v>130</v>
      </c>
      <c r="AR1425" s="0" t="s">
        <v>130</v>
      </c>
      <c r="AS1425" s="0" t="s">
        <v>130</v>
      </c>
      <c r="AT1425" s="0" t="s">
        <v>130</v>
      </c>
      <c r="AU1425" s="0" t="s">
        <v>141</v>
      </c>
      <c r="AV1425" s="0" t="s">
        <v>130</v>
      </c>
      <c r="AW1425" s="0" t="s">
        <v>130</v>
      </c>
      <c r="AX1425" s="0" t="s">
        <v>130</v>
      </c>
      <c r="AY1425" s="0" t="s">
        <v>130</v>
      </c>
      <c r="AZ1425" s="0" t="s">
        <v>141</v>
      </c>
      <c r="BA1425" s="0" t="s">
        <v>130</v>
      </c>
      <c r="BB1425" s="0" t="s">
        <v>130</v>
      </c>
      <c r="BC1425" s="0" t="s">
        <v>130</v>
      </c>
      <c r="BD1425" s="0" t="s">
        <v>130</v>
      </c>
      <c r="BE1425" s="0" t="s">
        <v>130</v>
      </c>
      <c r="BF1425" s="0" t="s">
        <v>130</v>
      </c>
      <c r="BG1425" s="0" t="s">
        <v>130</v>
      </c>
      <c r="BH1425" s="0" t="s">
        <v>130</v>
      </c>
      <c r="BI1425" s="0" t="s">
        <v>130</v>
      </c>
      <c r="BJ1425" s="0" t="s">
        <v>130</v>
      </c>
      <c r="BK1425" s="0" t="s">
        <v>130</v>
      </c>
      <c r="BL1425" s="0" t="s">
        <v>130</v>
      </c>
      <c r="BM1425" s="0" t="s">
        <v>130</v>
      </c>
      <c r="BN1425" s="0" t="s">
        <v>130</v>
      </c>
      <c r="BO1425" s="0" t="s">
        <v>130</v>
      </c>
      <c r="BP1425" s="0" t="s">
        <v>130</v>
      </c>
      <c r="BQ1425" s="0" t="s">
        <v>130</v>
      </c>
      <c r="BR1425" s="0" t="s">
        <v>130</v>
      </c>
      <c r="BS1425" s="0" t="s">
        <v>130</v>
      </c>
      <c r="BT1425" s="0" t="s">
        <v>130</v>
      </c>
      <c r="BU1425" s="0" t="s">
        <v>130</v>
      </c>
      <c r="BV1425" s="0" t="s">
        <v>130</v>
      </c>
      <c r="BW1425" s="0" t="s">
        <v>130</v>
      </c>
      <c r="BX1425" s="0" t="s">
        <v>130</v>
      </c>
      <c r="BY1425" s="0" t="s">
        <v>130</v>
      </c>
      <c r="BZ1425" s="0" t="s">
        <v>130</v>
      </c>
      <c r="CA1425" s="0" t="s">
        <v>130</v>
      </c>
      <c r="CB1425" s="0" t="s">
        <v>130</v>
      </c>
      <c r="CC1425" s="0" t="s">
        <v>130</v>
      </c>
      <c r="CD1425" s="0" t="s">
        <v>130</v>
      </c>
      <c r="CE1425" s="0" t="s">
        <v>130</v>
      </c>
      <c r="CF1425" s="0" t="s">
        <v>130</v>
      </c>
      <c r="CG1425" s="0" t="s">
        <v>130</v>
      </c>
      <c r="CH1425" s="0" t="s">
        <v>130</v>
      </c>
      <c r="CI1425" s="0" t="s">
        <v>130</v>
      </c>
      <c r="CJ1425" s="0" t="s">
        <v>130</v>
      </c>
      <c r="CK1425" s="0" t="s">
        <v>130</v>
      </c>
      <c r="CL1425" s="0" t="s">
        <v>130</v>
      </c>
      <c r="CM1425" s="0" t="s">
        <v>130</v>
      </c>
      <c r="CN1425" s="0" t="s">
        <v>130</v>
      </c>
      <c r="CO1425" s="0" t="s">
        <v>130</v>
      </c>
      <c r="CP1425" s="0" t="s">
        <v>130</v>
      </c>
      <c r="CQ1425" s="0" t="s">
        <v>130</v>
      </c>
      <c r="CR1425" s="0" t="s">
        <v>130</v>
      </c>
      <c r="CS1425" s="0" t="s">
        <v>130</v>
      </c>
      <c r="CT1425" s="0" t="s">
        <v>4143</v>
      </c>
    </row>
    <row r="1426">
      <c r="A1426" s="14">
        <v>15149833</v>
      </c>
      <c r="B1426" s="0" t="s">
        <v>4144</v>
      </c>
      <c r="C1426" s="16">
        <f>HYPERLINK("https://eosportal.federatedhermes.com/companies/Q29tcGFueQppNDM5Mzg=", "KB Financial Group Inc")</f>
      </c>
      <c r="D1426" s="0" t="s">
        <v>25</v>
      </c>
      <c r="E1426" s="0" t="s">
        <v>1729</v>
      </c>
      <c r="F1426" s="16">
        <f>HYPERLINK("https://eosportal.federatedhermes.com/engagements/RW5nYWdlbWVudAppMjgxMTk=", "Business strategy")</f>
      </c>
      <c r="G1426" s="14" t="s">
        <v>4145</v>
      </c>
      <c r="H1426" s="0" t="s">
        <v>130</v>
      </c>
      <c r="I1426" s="14" t="s">
        <v>131</v>
      </c>
      <c r="J1426" s="0" t="s">
        <v>153</v>
      </c>
      <c r="K1426" s="0" t="s">
        <v>243</v>
      </c>
      <c r="L1426" s="0" t="s">
        <v>244</v>
      </c>
      <c r="M1426" s="0" t="s">
        <v>802</v>
      </c>
      <c r="N1426" s="0" t="s">
        <v>2800</v>
      </c>
      <c r="O1426" s="0" t="s">
        <v>238</v>
      </c>
      <c r="Q1426" s="0" t="s">
        <v>141</v>
      </c>
      <c r="R1426" s="0" t="s">
        <v>138</v>
      </c>
      <c r="S1426" s="14">
        <v>1</v>
      </c>
      <c r="T1426" s="0" t="s">
        <v>1011</v>
      </c>
      <c r="U1426" s="0" t="s">
        <v>138</v>
      </c>
      <c r="V1426" s="14" t="s">
        <v>138</v>
      </c>
      <c r="W1426" s="0" t="s">
        <v>138</v>
      </c>
      <c r="X1426" s="14" t="s">
        <v>138</v>
      </c>
      <c r="Y1426" s="0" t="s">
        <v>138</v>
      </c>
      <c r="Z1426" s="14" t="s">
        <v>138</v>
      </c>
      <c r="AA1426" s="0" t="s">
        <v>138</v>
      </c>
      <c r="AB1426" s="14" t="s">
        <v>138</v>
      </c>
      <c r="AD1426" s="0" t="s">
        <v>138</v>
      </c>
      <c r="AF1426" s="0">
        <v>0</v>
      </c>
      <c r="AG1426" s="0">
        <v>0</v>
      </c>
      <c r="AH1426" s="0" t="s">
        <v>140</v>
      </c>
      <c r="AI1426" s="0" t="s">
        <v>138</v>
      </c>
      <c r="AK1426" s="0" t="s">
        <v>4146</v>
      </c>
      <c r="AL1426" s="14"/>
      <c r="AN1426" s="14"/>
      <c r="AQ1426" s="0" t="s">
        <v>130</v>
      </c>
      <c r="AR1426" s="0" t="s">
        <v>130</v>
      </c>
      <c r="AS1426" s="0" t="s">
        <v>130</v>
      </c>
      <c r="AT1426" s="0" t="s">
        <v>130</v>
      </c>
      <c r="AU1426" s="0" t="s">
        <v>130</v>
      </c>
      <c r="AV1426" s="0" t="s">
        <v>130</v>
      </c>
      <c r="AW1426" s="0" t="s">
        <v>130</v>
      </c>
      <c r="AX1426" s="0" t="s">
        <v>130</v>
      </c>
      <c r="AY1426" s="0" t="s">
        <v>130</v>
      </c>
      <c r="AZ1426" s="0" t="s">
        <v>130</v>
      </c>
      <c r="BA1426" s="0" t="s">
        <v>130</v>
      </c>
      <c r="BB1426" s="0" t="s">
        <v>130</v>
      </c>
      <c r="BC1426" s="0" t="s">
        <v>130</v>
      </c>
      <c r="BD1426" s="0" t="s">
        <v>130</v>
      </c>
      <c r="BE1426" s="0" t="s">
        <v>130</v>
      </c>
      <c r="BF1426" s="0" t="s">
        <v>130</v>
      </c>
      <c r="BG1426" s="0" t="s">
        <v>130</v>
      </c>
      <c r="BH1426" s="0" t="s">
        <v>130</v>
      </c>
      <c r="BI1426" s="0" t="s">
        <v>130</v>
      </c>
      <c r="BJ1426" s="0" t="s">
        <v>130</v>
      </c>
      <c r="BK1426" s="0" t="s">
        <v>130</v>
      </c>
      <c r="BL1426" s="0" t="s">
        <v>130</v>
      </c>
      <c r="BM1426" s="0" t="s">
        <v>130</v>
      </c>
      <c r="BN1426" s="0" t="s">
        <v>130</v>
      </c>
      <c r="BO1426" s="0" t="s">
        <v>130</v>
      </c>
      <c r="BP1426" s="0" t="s">
        <v>130</v>
      </c>
      <c r="BQ1426" s="0" t="s">
        <v>130</v>
      </c>
      <c r="BR1426" s="0" t="s">
        <v>130</v>
      </c>
      <c r="BS1426" s="0" t="s">
        <v>130</v>
      </c>
      <c r="BT1426" s="0" t="s">
        <v>130</v>
      </c>
      <c r="BU1426" s="0" t="s">
        <v>130</v>
      </c>
      <c r="BV1426" s="0" t="s">
        <v>130</v>
      </c>
      <c r="BW1426" s="0" t="s">
        <v>130</v>
      </c>
      <c r="BX1426" s="0" t="s">
        <v>130</v>
      </c>
      <c r="BY1426" s="0" t="s">
        <v>130</v>
      </c>
      <c r="BZ1426" s="0" t="s">
        <v>130</v>
      </c>
      <c r="CA1426" s="0" t="s">
        <v>130</v>
      </c>
      <c r="CB1426" s="0" t="s">
        <v>130</v>
      </c>
      <c r="CC1426" s="0" t="s">
        <v>130</v>
      </c>
      <c r="CD1426" s="0" t="s">
        <v>130</v>
      </c>
      <c r="CE1426" s="0" t="s">
        <v>130</v>
      </c>
      <c r="CF1426" s="0" t="s">
        <v>130</v>
      </c>
      <c r="CG1426" s="0" t="s">
        <v>130</v>
      </c>
      <c r="CH1426" s="0" t="s">
        <v>130</v>
      </c>
      <c r="CI1426" s="0" t="s">
        <v>130</v>
      </c>
      <c r="CJ1426" s="0" t="s">
        <v>130</v>
      </c>
      <c r="CK1426" s="0" t="s">
        <v>130</v>
      </c>
      <c r="CL1426" s="0" t="s">
        <v>130</v>
      </c>
      <c r="CM1426" s="0" t="s">
        <v>130</v>
      </c>
      <c r="CN1426" s="0" t="s">
        <v>130</v>
      </c>
      <c r="CO1426" s="0" t="s">
        <v>130</v>
      </c>
      <c r="CP1426" s="0" t="s">
        <v>130</v>
      </c>
      <c r="CQ1426" s="0" t="s">
        <v>130</v>
      </c>
      <c r="CR1426" s="0" t="s">
        <v>130</v>
      </c>
      <c r="CS1426" s="0" t="s">
        <v>130</v>
      </c>
      <c r="CT1426" s="0" t="s">
        <v>4147</v>
      </c>
    </row>
    <row r="1427">
      <c r="A1427" s="14">
        <v>15149833</v>
      </c>
      <c r="B1427" s="0" t="s">
        <v>4144</v>
      </c>
      <c r="C1427" s="16">
        <f>HYPERLINK("https://eosportal.federatedhermes.com/companies/Q29tcGFueQppNDM5Mzg=", "KB Financial Group Inc")</f>
      </c>
      <c r="D1427" s="0" t="s">
        <v>25</v>
      </c>
      <c r="E1427" s="0" t="s">
        <v>3824</v>
      </c>
      <c r="F1427" s="16">
        <f>HYPERLINK("https://eosportal.federatedhermes.com/engagements/RW5nYWdlbWVudAppMjgxMjA=", "Approval of financial statements at AGM")</f>
      </c>
      <c r="G1427" s="14" t="s">
        <v>2873</v>
      </c>
      <c r="H1427" s="0" t="s">
        <v>130</v>
      </c>
      <c r="I1427" s="14" t="s">
        <v>131</v>
      </c>
      <c r="J1427" s="0" t="s">
        <v>132</v>
      </c>
      <c r="K1427" s="0" t="s">
        <v>170</v>
      </c>
      <c r="L1427" s="0" t="s">
        <v>310</v>
      </c>
      <c r="M1427" s="0" t="s">
        <v>802</v>
      </c>
      <c r="N1427" s="0" t="s">
        <v>2800</v>
      </c>
      <c r="O1427" s="0" t="s">
        <v>238</v>
      </c>
      <c r="Q1427" s="0" t="s">
        <v>130</v>
      </c>
      <c r="R1427" s="0" t="s">
        <v>138</v>
      </c>
      <c r="S1427" s="14">
        <v>0</v>
      </c>
      <c r="T1427" s="0" t="s">
        <v>387</v>
      </c>
      <c r="U1427" s="0" t="s">
        <v>138</v>
      </c>
      <c r="V1427" s="14" t="s">
        <v>138</v>
      </c>
      <c r="W1427" s="0" t="s">
        <v>138</v>
      </c>
      <c r="X1427" s="14" t="s">
        <v>138</v>
      </c>
      <c r="Y1427" s="0" t="s">
        <v>138</v>
      </c>
      <c r="Z1427" s="14" t="s">
        <v>138</v>
      </c>
      <c r="AA1427" s="0" t="s">
        <v>138</v>
      </c>
      <c r="AB1427" s="14" t="s">
        <v>138</v>
      </c>
      <c r="AD1427" s="0" t="s">
        <v>138</v>
      </c>
      <c r="AF1427" s="0">
        <v>0</v>
      </c>
      <c r="AG1427" s="0">
        <v>0</v>
      </c>
      <c r="AH1427" s="0" t="s">
        <v>140</v>
      </c>
      <c r="AI1427" s="0" t="s">
        <v>138</v>
      </c>
      <c r="AL1427" s="14"/>
      <c r="AN1427" s="14"/>
      <c r="AQ1427" s="0" t="s">
        <v>130</v>
      </c>
      <c r="AR1427" s="0" t="s">
        <v>130</v>
      </c>
      <c r="AS1427" s="0" t="s">
        <v>130</v>
      </c>
      <c r="AT1427" s="0" t="s">
        <v>130</v>
      </c>
      <c r="AU1427" s="0" t="s">
        <v>130</v>
      </c>
      <c r="AV1427" s="0" t="s">
        <v>130</v>
      </c>
      <c r="AW1427" s="0" t="s">
        <v>130</v>
      </c>
      <c r="AX1427" s="0" t="s">
        <v>130</v>
      </c>
      <c r="AY1427" s="0" t="s">
        <v>130</v>
      </c>
      <c r="AZ1427" s="0" t="s">
        <v>130</v>
      </c>
      <c r="BA1427" s="0" t="s">
        <v>130</v>
      </c>
      <c r="BB1427" s="0" t="s">
        <v>130</v>
      </c>
      <c r="BC1427" s="0" t="s">
        <v>130</v>
      </c>
      <c r="BD1427" s="0" t="s">
        <v>130</v>
      </c>
      <c r="BE1427" s="0" t="s">
        <v>130</v>
      </c>
      <c r="BF1427" s="0" t="s">
        <v>130</v>
      </c>
      <c r="BG1427" s="0" t="s">
        <v>130</v>
      </c>
      <c r="BH1427" s="0" t="s">
        <v>130</v>
      </c>
      <c r="BI1427" s="0" t="s">
        <v>130</v>
      </c>
      <c r="BJ1427" s="0" t="s">
        <v>130</v>
      </c>
      <c r="BK1427" s="0" t="s">
        <v>130</v>
      </c>
      <c r="BL1427" s="0" t="s">
        <v>130</v>
      </c>
      <c r="BM1427" s="0" t="s">
        <v>130</v>
      </c>
      <c r="BN1427" s="0" t="s">
        <v>130</v>
      </c>
      <c r="BO1427" s="0" t="s">
        <v>130</v>
      </c>
      <c r="BP1427" s="0" t="s">
        <v>130</v>
      </c>
      <c r="BQ1427" s="0" t="s">
        <v>130</v>
      </c>
      <c r="BR1427" s="0" t="s">
        <v>130</v>
      </c>
      <c r="BS1427" s="0" t="s">
        <v>130</v>
      </c>
      <c r="BT1427" s="0" t="s">
        <v>130</v>
      </c>
      <c r="BU1427" s="0" t="s">
        <v>130</v>
      </c>
      <c r="BV1427" s="0" t="s">
        <v>130</v>
      </c>
      <c r="BW1427" s="0" t="s">
        <v>130</v>
      </c>
      <c r="BX1427" s="0" t="s">
        <v>130</v>
      </c>
      <c r="BY1427" s="0" t="s">
        <v>130</v>
      </c>
      <c r="BZ1427" s="0" t="s">
        <v>130</v>
      </c>
      <c r="CA1427" s="0" t="s">
        <v>130</v>
      </c>
      <c r="CB1427" s="0" t="s">
        <v>130</v>
      </c>
      <c r="CC1427" s="0" t="s">
        <v>130</v>
      </c>
      <c r="CD1427" s="0" t="s">
        <v>130</v>
      </c>
      <c r="CE1427" s="0" t="s">
        <v>130</v>
      </c>
      <c r="CF1427" s="0" t="s">
        <v>130</v>
      </c>
      <c r="CG1427" s="0" t="s">
        <v>130</v>
      </c>
      <c r="CH1427" s="0" t="s">
        <v>130</v>
      </c>
      <c r="CI1427" s="0" t="s">
        <v>130</v>
      </c>
      <c r="CJ1427" s="0" t="s">
        <v>130</v>
      </c>
      <c r="CK1427" s="0" t="s">
        <v>130</v>
      </c>
      <c r="CL1427" s="0" t="s">
        <v>130</v>
      </c>
      <c r="CM1427" s="0" t="s">
        <v>130</v>
      </c>
      <c r="CN1427" s="0" t="s">
        <v>130</v>
      </c>
      <c r="CO1427" s="0" t="s">
        <v>130</v>
      </c>
      <c r="CP1427" s="0" t="s">
        <v>130</v>
      </c>
      <c r="CQ1427" s="0" t="s">
        <v>130</v>
      </c>
      <c r="CR1427" s="0" t="s">
        <v>130</v>
      </c>
      <c r="CS1427" s="0" t="s">
        <v>130</v>
      </c>
      <c r="CT1427" s="0" t="s">
        <v>4148</v>
      </c>
    </row>
    <row r="1428">
      <c r="A1428" s="14">
        <v>15149833</v>
      </c>
      <c r="B1428" s="0" t="s">
        <v>4144</v>
      </c>
      <c r="C1428" s="16">
        <f>HYPERLINK("https://eosportal.federatedhermes.com/companies/Q29tcGFueQppNDM5Mzg=", "KB Financial Group Inc")</f>
      </c>
      <c r="D1428" s="0" t="s">
        <v>25</v>
      </c>
      <c r="E1428" s="0" t="s">
        <v>968</v>
      </c>
      <c r="F1428" s="16">
        <f>HYPERLINK("https://eosportal.federatedhermes.com/engagements/RW5nYWdlbWVudAppMjgxMjE=", "Board effectiveness")</f>
      </c>
      <c r="G1428" s="14" t="s">
        <v>4149</v>
      </c>
      <c r="H1428" s="0" t="s">
        <v>130</v>
      </c>
      <c r="I1428" s="14" t="s">
        <v>131</v>
      </c>
      <c r="J1428" s="0" t="s">
        <v>145</v>
      </c>
      <c r="K1428" s="0" t="s">
        <v>164</v>
      </c>
      <c r="L1428" s="0" t="s">
        <v>165</v>
      </c>
      <c r="M1428" s="0" t="s">
        <v>802</v>
      </c>
      <c r="N1428" s="0" t="s">
        <v>2800</v>
      </c>
      <c r="O1428" s="0" t="s">
        <v>238</v>
      </c>
      <c r="Q1428" s="0" t="s">
        <v>141</v>
      </c>
      <c r="R1428" s="0" t="s">
        <v>138</v>
      </c>
      <c r="S1428" s="14">
        <v>1</v>
      </c>
      <c r="T1428" s="0" t="s">
        <v>1011</v>
      </c>
      <c r="U1428" s="0" t="s">
        <v>138</v>
      </c>
      <c r="V1428" s="14" t="s">
        <v>138</v>
      </c>
      <c r="W1428" s="0" t="s">
        <v>138</v>
      </c>
      <c r="X1428" s="14" t="s">
        <v>138</v>
      </c>
      <c r="Y1428" s="0" t="s">
        <v>138</v>
      </c>
      <c r="Z1428" s="14" t="s">
        <v>138</v>
      </c>
      <c r="AA1428" s="0" t="s">
        <v>138</v>
      </c>
      <c r="AB1428" s="14" t="s">
        <v>138</v>
      </c>
      <c r="AD1428" s="0" t="s">
        <v>138</v>
      </c>
      <c r="AF1428" s="0">
        <v>0</v>
      </c>
      <c r="AG1428" s="0">
        <v>0</v>
      </c>
      <c r="AH1428" s="0" t="s">
        <v>140</v>
      </c>
      <c r="AI1428" s="0" t="s">
        <v>138</v>
      </c>
      <c r="AK1428" s="0" t="s">
        <v>4146</v>
      </c>
      <c r="AL1428" s="14"/>
      <c r="AN1428" s="14"/>
      <c r="AQ1428" s="0" t="s">
        <v>130</v>
      </c>
      <c r="AR1428" s="0" t="s">
        <v>130</v>
      </c>
      <c r="AS1428" s="0" t="s">
        <v>130</v>
      </c>
      <c r="AT1428" s="0" t="s">
        <v>130</v>
      </c>
      <c r="AU1428" s="0" t="s">
        <v>130</v>
      </c>
      <c r="AV1428" s="0" t="s">
        <v>130</v>
      </c>
      <c r="AW1428" s="0" t="s">
        <v>130</v>
      </c>
      <c r="AX1428" s="0" t="s">
        <v>130</v>
      </c>
      <c r="AY1428" s="0" t="s">
        <v>130</v>
      </c>
      <c r="AZ1428" s="0" t="s">
        <v>130</v>
      </c>
      <c r="BA1428" s="0" t="s">
        <v>130</v>
      </c>
      <c r="BB1428" s="0" t="s">
        <v>130</v>
      </c>
      <c r="BC1428" s="0" t="s">
        <v>130</v>
      </c>
      <c r="BD1428" s="0" t="s">
        <v>130</v>
      </c>
      <c r="BE1428" s="0" t="s">
        <v>130</v>
      </c>
      <c r="BF1428" s="0" t="s">
        <v>130</v>
      </c>
      <c r="BG1428" s="0" t="s">
        <v>130</v>
      </c>
      <c r="BH1428" s="0" t="s">
        <v>130</v>
      </c>
      <c r="BI1428" s="0" t="s">
        <v>130</v>
      </c>
      <c r="BJ1428" s="0" t="s">
        <v>130</v>
      </c>
      <c r="BK1428" s="0" t="s">
        <v>130</v>
      </c>
      <c r="BL1428" s="0" t="s">
        <v>130</v>
      </c>
      <c r="BM1428" s="0" t="s">
        <v>130</v>
      </c>
      <c r="BN1428" s="0" t="s">
        <v>130</v>
      </c>
      <c r="BO1428" s="0" t="s">
        <v>130</v>
      </c>
      <c r="BP1428" s="0" t="s">
        <v>130</v>
      </c>
      <c r="BQ1428" s="0" t="s">
        <v>130</v>
      </c>
      <c r="BR1428" s="0" t="s">
        <v>130</v>
      </c>
      <c r="BS1428" s="0" t="s">
        <v>130</v>
      </c>
      <c r="BT1428" s="0" t="s">
        <v>130</v>
      </c>
      <c r="BU1428" s="0" t="s">
        <v>130</v>
      </c>
      <c r="BV1428" s="0" t="s">
        <v>130</v>
      </c>
      <c r="BW1428" s="0" t="s">
        <v>130</v>
      </c>
      <c r="BX1428" s="0" t="s">
        <v>130</v>
      </c>
      <c r="BY1428" s="0" t="s">
        <v>130</v>
      </c>
      <c r="BZ1428" s="0" t="s">
        <v>130</v>
      </c>
      <c r="CA1428" s="0" t="s">
        <v>130</v>
      </c>
      <c r="CB1428" s="0" t="s">
        <v>130</v>
      </c>
      <c r="CC1428" s="0" t="s">
        <v>130</v>
      </c>
      <c r="CD1428" s="0" t="s">
        <v>130</v>
      </c>
      <c r="CE1428" s="0" t="s">
        <v>130</v>
      </c>
      <c r="CF1428" s="0" t="s">
        <v>130</v>
      </c>
      <c r="CG1428" s="0" t="s">
        <v>130</v>
      </c>
      <c r="CH1428" s="0" t="s">
        <v>130</v>
      </c>
      <c r="CI1428" s="0" t="s">
        <v>130</v>
      </c>
      <c r="CJ1428" s="0" t="s">
        <v>130</v>
      </c>
      <c r="CK1428" s="0" t="s">
        <v>130</v>
      </c>
      <c r="CL1428" s="0" t="s">
        <v>130</v>
      </c>
      <c r="CM1428" s="0" t="s">
        <v>130</v>
      </c>
      <c r="CN1428" s="0" t="s">
        <v>130</v>
      </c>
      <c r="CO1428" s="0" t="s">
        <v>130</v>
      </c>
      <c r="CP1428" s="0" t="s">
        <v>130</v>
      </c>
      <c r="CQ1428" s="0" t="s">
        <v>130</v>
      </c>
      <c r="CR1428" s="0" t="s">
        <v>130</v>
      </c>
      <c r="CS1428" s="0" t="s">
        <v>130</v>
      </c>
      <c r="CT1428" s="0" t="s">
        <v>4150</v>
      </c>
    </row>
    <row r="1429">
      <c r="A1429" s="14">
        <v>15149833</v>
      </c>
      <c r="B1429" s="0" t="s">
        <v>4144</v>
      </c>
      <c r="C1429" s="16">
        <f>HYPERLINK("https://eosportal.federatedhermes.com/companies/Q29tcGFueQppNDM5Mzg=", "KB Financial Group Inc")</f>
      </c>
      <c r="D1429" s="0" t="s">
        <v>25</v>
      </c>
      <c r="E1429" s="0" t="s">
        <v>4151</v>
      </c>
      <c r="F1429" s="16">
        <f>HYPERLINK("https://eosportal.federatedhermes.com/engagements/RW5nYWdlbWVudAppMjgxMzA=", "Union relations")</f>
      </c>
      <c r="G1429" s="14" t="s">
        <v>4152</v>
      </c>
      <c r="H1429" s="0" t="s">
        <v>130</v>
      </c>
      <c r="I1429" s="14" t="s">
        <v>131</v>
      </c>
      <c r="J1429" s="0" t="s">
        <v>153</v>
      </c>
      <c r="K1429" s="0" t="s">
        <v>154</v>
      </c>
      <c r="L1429" s="0" t="s">
        <v>306</v>
      </c>
      <c r="M1429" s="0" t="s">
        <v>802</v>
      </c>
      <c r="N1429" s="0" t="s">
        <v>2800</v>
      </c>
      <c r="O1429" s="0" t="s">
        <v>238</v>
      </c>
      <c r="Q1429" s="0" t="s">
        <v>130</v>
      </c>
      <c r="R1429" s="0" t="s">
        <v>138</v>
      </c>
      <c r="S1429" s="14">
        <v>0</v>
      </c>
      <c r="T1429" s="0" t="s">
        <v>1011</v>
      </c>
      <c r="U1429" s="0" t="s">
        <v>138</v>
      </c>
      <c r="V1429" s="14" t="s">
        <v>138</v>
      </c>
      <c r="W1429" s="0" t="s">
        <v>138</v>
      </c>
      <c r="X1429" s="14" t="s">
        <v>138</v>
      </c>
      <c r="Y1429" s="0" t="s">
        <v>138</v>
      </c>
      <c r="Z1429" s="14" t="s">
        <v>138</v>
      </c>
      <c r="AA1429" s="0" t="s">
        <v>138</v>
      </c>
      <c r="AB1429" s="14" t="s">
        <v>138</v>
      </c>
      <c r="AD1429" s="0" t="s">
        <v>138</v>
      </c>
      <c r="AF1429" s="0">
        <v>0</v>
      </c>
      <c r="AG1429" s="0">
        <v>0</v>
      </c>
      <c r="AH1429" s="0" t="s">
        <v>140</v>
      </c>
      <c r="AI1429" s="0" t="s">
        <v>138</v>
      </c>
      <c r="AL1429" s="14"/>
      <c r="AN1429" s="14"/>
      <c r="AQ1429" s="0" t="s">
        <v>130</v>
      </c>
      <c r="AR1429" s="0" t="s">
        <v>130</v>
      </c>
      <c r="AS1429" s="0" t="s">
        <v>130</v>
      </c>
      <c r="AT1429" s="0" t="s">
        <v>130</v>
      </c>
      <c r="AU1429" s="0" t="s">
        <v>130</v>
      </c>
      <c r="AV1429" s="0" t="s">
        <v>130</v>
      </c>
      <c r="AW1429" s="0" t="s">
        <v>130</v>
      </c>
      <c r="AX1429" s="0" t="s">
        <v>141</v>
      </c>
      <c r="AY1429" s="0" t="s">
        <v>130</v>
      </c>
      <c r="AZ1429" s="0" t="s">
        <v>141</v>
      </c>
      <c r="BA1429" s="0" t="s">
        <v>130</v>
      </c>
      <c r="BB1429" s="0" t="s">
        <v>130</v>
      </c>
      <c r="BC1429" s="0" t="s">
        <v>130</v>
      </c>
      <c r="BD1429" s="0" t="s">
        <v>130</v>
      </c>
      <c r="BE1429" s="0" t="s">
        <v>130</v>
      </c>
      <c r="BF1429" s="0" t="s">
        <v>130</v>
      </c>
      <c r="BG1429" s="0" t="s">
        <v>130</v>
      </c>
      <c r="BH1429" s="0" t="s">
        <v>130</v>
      </c>
      <c r="BI1429" s="0" t="s">
        <v>130</v>
      </c>
      <c r="BJ1429" s="0" t="s">
        <v>130</v>
      </c>
      <c r="BK1429" s="0" t="s">
        <v>130</v>
      </c>
      <c r="BL1429" s="0" t="s">
        <v>130</v>
      </c>
      <c r="BM1429" s="0" t="s">
        <v>130</v>
      </c>
      <c r="BN1429" s="0" t="s">
        <v>130</v>
      </c>
      <c r="BO1429" s="0" t="s">
        <v>130</v>
      </c>
      <c r="BP1429" s="0" t="s">
        <v>130</v>
      </c>
      <c r="BQ1429" s="0" t="s">
        <v>130</v>
      </c>
      <c r="BR1429" s="0" t="s">
        <v>130</v>
      </c>
      <c r="BS1429" s="0" t="s">
        <v>130</v>
      </c>
      <c r="BT1429" s="0" t="s">
        <v>130</v>
      </c>
      <c r="BU1429" s="0" t="s">
        <v>130</v>
      </c>
      <c r="BV1429" s="0" t="s">
        <v>130</v>
      </c>
      <c r="BW1429" s="0" t="s">
        <v>130</v>
      </c>
      <c r="BX1429" s="0" t="s">
        <v>130</v>
      </c>
      <c r="BY1429" s="0" t="s">
        <v>130</v>
      </c>
      <c r="BZ1429" s="0" t="s">
        <v>130</v>
      </c>
      <c r="CA1429" s="0" t="s">
        <v>130</v>
      </c>
      <c r="CB1429" s="0" t="s">
        <v>130</v>
      </c>
      <c r="CC1429" s="0" t="s">
        <v>130</v>
      </c>
      <c r="CD1429" s="0" t="s">
        <v>130</v>
      </c>
      <c r="CE1429" s="0" t="s">
        <v>130</v>
      </c>
      <c r="CF1429" s="0" t="s">
        <v>130</v>
      </c>
      <c r="CG1429" s="0" t="s">
        <v>130</v>
      </c>
      <c r="CH1429" s="0" t="s">
        <v>130</v>
      </c>
      <c r="CI1429" s="0" t="s">
        <v>130</v>
      </c>
      <c r="CJ1429" s="0" t="s">
        <v>130</v>
      </c>
      <c r="CK1429" s="0" t="s">
        <v>130</v>
      </c>
      <c r="CL1429" s="0" t="s">
        <v>130</v>
      </c>
      <c r="CM1429" s="0" t="s">
        <v>130</v>
      </c>
      <c r="CN1429" s="0" t="s">
        <v>130</v>
      </c>
      <c r="CO1429" s="0" t="s">
        <v>130</v>
      </c>
      <c r="CP1429" s="0" t="s">
        <v>130</v>
      </c>
      <c r="CQ1429" s="0" t="s">
        <v>130</v>
      </c>
      <c r="CR1429" s="0" t="s">
        <v>130</v>
      </c>
      <c r="CS1429" s="0" t="s">
        <v>130</v>
      </c>
      <c r="CT1429" s="0" t="s">
        <v>4153</v>
      </c>
    </row>
    <row r="1430">
      <c r="A1430" s="14">
        <v>15149833</v>
      </c>
      <c r="B1430" s="0" t="s">
        <v>4144</v>
      </c>
      <c r="C1430" s="16">
        <f>HYPERLINK("https://eosportal.federatedhermes.com/companies/Q29tcGFueQppNDM5Mzg=", "KB Financial Group Inc")</f>
      </c>
      <c r="D1430" s="0" t="s">
        <v>25</v>
      </c>
      <c r="E1430" s="0" t="s">
        <v>4154</v>
      </c>
      <c r="F1430" s="16">
        <f>HYPERLINK("https://eosportal.federatedhermes.com/engagements/RW5nYWdlbWVudAppMjgxMzE=", "Board effectiveness: Test the composition and effectiveness of the board")</f>
      </c>
      <c r="G1430" s="14" t="s">
        <v>4155</v>
      </c>
      <c r="H1430" s="0" t="s">
        <v>130</v>
      </c>
      <c r="I1430" s="14" t="s">
        <v>131</v>
      </c>
      <c r="J1430" s="0" t="s">
        <v>145</v>
      </c>
      <c r="K1430" s="0" t="s">
        <v>164</v>
      </c>
      <c r="L1430" s="0" t="s">
        <v>165</v>
      </c>
      <c r="M1430" s="0" t="s">
        <v>802</v>
      </c>
      <c r="N1430" s="0" t="s">
        <v>2800</v>
      </c>
      <c r="O1430" s="0" t="s">
        <v>238</v>
      </c>
      <c r="Q1430" s="0" t="s">
        <v>141</v>
      </c>
      <c r="R1430" s="0" t="s">
        <v>138</v>
      </c>
      <c r="S1430" s="14">
        <v>1</v>
      </c>
      <c r="T1430" s="0" t="s">
        <v>390</v>
      </c>
      <c r="U1430" s="0" t="s">
        <v>138</v>
      </c>
      <c r="V1430" s="14" t="s">
        <v>138</v>
      </c>
      <c r="W1430" s="0" t="s">
        <v>138</v>
      </c>
      <c r="X1430" s="14" t="s">
        <v>138</v>
      </c>
      <c r="Y1430" s="0" t="s">
        <v>138</v>
      </c>
      <c r="Z1430" s="14" t="s">
        <v>138</v>
      </c>
      <c r="AA1430" s="0" t="s">
        <v>138</v>
      </c>
      <c r="AB1430" s="14" t="s">
        <v>138</v>
      </c>
      <c r="AD1430" s="0" t="s">
        <v>138</v>
      </c>
      <c r="AF1430" s="0">
        <v>0</v>
      </c>
      <c r="AG1430" s="0">
        <v>0</v>
      </c>
      <c r="AH1430" s="0" t="s">
        <v>140</v>
      </c>
      <c r="AI1430" s="0" t="s">
        <v>138</v>
      </c>
      <c r="AK1430" s="0" t="s">
        <v>4146</v>
      </c>
      <c r="AL1430" s="14"/>
      <c r="AN1430" s="14"/>
      <c r="AQ1430" s="0" t="s">
        <v>130</v>
      </c>
      <c r="AR1430" s="0" t="s">
        <v>130</v>
      </c>
      <c r="AS1430" s="0" t="s">
        <v>130</v>
      </c>
      <c r="AT1430" s="0" t="s">
        <v>130</v>
      </c>
      <c r="AU1430" s="0" t="s">
        <v>130</v>
      </c>
      <c r="AV1430" s="0" t="s">
        <v>130</v>
      </c>
      <c r="AW1430" s="0" t="s">
        <v>130</v>
      </c>
      <c r="AX1430" s="0" t="s">
        <v>130</v>
      </c>
      <c r="AY1430" s="0" t="s">
        <v>130</v>
      </c>
      <c r="AZ1430" s="0" t="s">
        <v>130</v>
      </c>
      <c r="BA1430" s="0" t="s">
        <v>130</v>
      </c>
      <c r="BB1430" s="0" t="s">
        <v>130</v>
      </c>
      <c r="BC1430" s="0" t="s">
        <v>130</v>
      </c>
      <c r="BD1430" s="0" t="s">
        <v>130</v>
      </c>
      <c r="BE1430" s="0" t="s">
        <v>130</v>
      </c>
      <c r="BF1430" s="0" t="s">
        <v>130</v>
      </c>
      <c r="BG1430" s="0" t="s">
        <v>130</v>
      </c>
      <c r="BH1430" s="0" t="s">
        <v>130</v>
      </c>
      <c r="BI1430" s="0" t="s">
        <v>130</v>
      </c>
      <c r="BJ1430" s="0" t="s">
        <v>130</v>
      </c>
      <c r="BK1430" s="0" t="s">
        <v>130</v>
      </c>
      <c r="BL1430" s="0" t="s">
        <v>130</v>
      </c>
      <c r="BM1430" s="0" t="s">
        <v>130</v>
      </c>
      <c r="BN1430" s="0" t="s">
        <v>130</v>
      </c>
      <c r="BO1430" s="0" t="s">
        <v>130</v>
      </c>
      <c r="BP1430" s="0" t="s">
        <v>130</v>
      </c>
      <c r="BQ1430" s="0" t="s">
        <v>130</v>
      </c>
      <c r="BR1430" s="0" t="s">
        <v>130</v>
      </c>
      <c r="BS1430" s="0" t="s">
        <v>130</v>
      </c>
      <c r="BT1430" s="0" t="s">
        <v>130</v>
      </c>
      <c r="BU1430" s="0" t="s">
        <v>130</v>
      </c>
      <c r="BV1430" s="0" t="s">
        <v>130</v>
      </c>
      <c r="BW1430" s="0" t="s">
        <v>130</v>
      </c>
      <c r="BX1430" s="0" t="s">
        <v>130</v>
      </c>
      <c r="BY1430" s="0" t="s">
        <v>130</v>
      </c>
      <c r="BZ1430" s="0" t="s">
        <v>130</v>
      </c>
      <c r="CA1430" s="0" t="s">
        <v>130</v>
      </c>
      <c r="CB1430" s="0" t="s">
        <v>130</v>
      </c>
      <c r="CC1430" s="0" t="s">
        <v>130</v>
      </c>
      <c r="CD1430" s="0" t="s">
        <v>130</v>
      </c>
      <c r="CE1430" s="0" t="s">
        <v>130</v>
      </c>
      <c r="CF1430" s="0" t="s">
        <v>130</v>
      </c>
      <c r="CG1430" s="0" t="s">
        <v>130</v>
      </c>
      <c r="CH1430" s="0" t="s">
        <v>130</v>
      </c>
      <c r="CI1430" s="0" t="s">
        <v>130</v>
      </c>
      <c r="CJ1430" s="0" t="s">
        <v>130</v>
      </c>
      <c r="CK1430" s="0" t="s">
        <v>130</v>
      </c>
      <c r="CL1430" s="0" t="s">
        <v>130</v>
      </c>
      <c r="CM1430" s="0" t="s">
        <v>130</v>
      </c>
      <c r="CN1430" s="0" t="s">
        <v>130</v>
      </c>
      <c r="CO1430" s="0" t="s">
        <v>130</v>
      </c>
      <c r="CP1430" s="0" t="s">
        <v>130</v>
      </c>
      <c r="CQ1430" s="0" t="s">
        <v>130</v>
      </c>
      <c r="CR1430" s="0" t="s">
        <v>130</v>
      </c>
      <c r="CS1430" s="0" t="s">
        <v>130</v>
      </c>
      <c r="CT1430" s="0" t="s">
        <v>4156</v>
      </c>
    </row>
    <row r="1431">
      <c r="A1431" s="14">
        <v>15149833</v>
      </c>
      <c r="B1431" s="0" t="s">
        <v>4144</v>
      </c>
      <c r="C1431" s="16">
        <f>HYPERLINK("https://eosportal.federatedhermes.com/companies/Q29tcGFueQppNDM5Mzg=", "KB Financial Group Inc")</f>
      </c>
      <c r="D1431" s="0" t="s">
        <v>25</v>
      </c>
      <c r="E1431" s="0" t="s">
        <v>1726</v>
      </c>
      <c r="F1431" s="16">
        <f>HYPERLINK("https://eosportal.federatedhermes.com/engagements/RW5nYWdlbWVudAppMjgxMzY=", "CEO Succession")</f>
      </c>
      <c r="G1431" s="14" t="s">
        <v>4157</v>
      </c>
      <c r="H1431" s="0" t="s">
        <v>130</v>
      </c>
      <c r="I1431" s="14" t="s">
        <v>131</v>
      </c>
      <c r="J1431" s="0" t="s">
        <v>145</v>
      </c>
      <c r="K1431" s="0" t="s">
        <v>164</v>
      </c>
      <c r="L1431" s="0" t="s">
        <v>277</v>
      </c>
      <c r="M1431" s="0" t="s">
        <v>802</v>
      </c>
      <c r="N1431" s="0" t="s">
        <v>2800</v>
      </c>
      <c r="O1431" s="0" t="s">
        <v>238</v>
      </c>
      <c r="Q1431" s="0" t="s">
        <v>130</v>
      </c>
      <c r="R1431" s="0" t="s">
        <v>138</v>
      </c>
      <c r="S1431" s="14">
        <v>0</v>
      </c>
      <c r="T1431" s="0" t="s">
        <v>148</v>
      </c>
      <c r="U1431" s="0" t="s">
        <v>138</v>
      </c>
      <c r="V1431" s="14" t="s">
        <v>138</v>
      </c>
      <c r="W1431" s="0" t="s">
        <v>138</v>
      </c>
      <c r="X1431" s="14" t="s">
        <v>138</v>
      </c>
      <c r="Y1431" s="0" t="s">
        <v>138</v>
      </c>
      <c r="Z1431" s="14" t="s">
        <v>138</v>
      </c>
      <c r="AA1431" s="0" t="s">
        <v>138</v>
      </c>
      <c r="AB1431" s="14" t="s">
        <v>138</v>
      </c>
      <c r="AD1431" s="0" t="s">
        <v>138</v>
      </c>
      <c r="AF1431" s="0">
        <v>0</v>
      </c>
      <c r="AG1431" s="0">
        <v>0</v>
      </c>
      <c r="AH1431" s="0" t="s">
        <v>140</v>
      </c>
      <c r="AI1431" s="0" t="s">
        <v>138</v>
      </c>
      <c r="AL1431" s="14"/>
      <c r="AN1431" s="14"/>
      <c r="AQ1431" s="0" t="s">
        <v>130</v>
      </c>
      <c r="AR1431" s="0" t="s">
        <v>130</v>
      </c>
      <c r="AS1431" s="0" t="s">
        <v>130</v>
      </c>
      <c r="AT1431" s="0" t="s">
        <v>130</v>
      </c>
      <c r="AU1431" s="0" t="s">
        <v>130</v>
      </c>
      <c r="AV1431" s="0" t="s">
        <v>130</v>
      </c>
      <c r="AW1431" s="0" t="s">
        <v>130</v>
      </c>
      <c r="AX1431" s="0" t="s">
        <v>130</v>
      </c>
      <c r="AY1431" s="0" t="s">
        <v>130</v>
      </c>
      <c r="AZ1431" s="0" t="s">
        <v>130</v>
      </c>
      <c r="BA1431" s="0" t="s">
        <v>130</v>
      </c>
      <c r="BB1431" s="0" t="s">
        <v>130</v>
      </c>
      <c r="BC1431" s="0" t="s">
        <v>130</v>
      </c>
      <c r="BD1431" s="0" t="s">
        <v>130</v>
      </c>
      <c r="BE1431" s="0" t="s">
        <v>130</v>
      </c>
      <c r="BF1431" s="0" t="s">
        <v>130</v>
      </c>
      <c r="BG1431" s="0" t="s">
        <v>130</v>
      </c>
      <c r="BH1431" s="0" t="s">
        <v>130</v>
      </c>
      <c r="BI1431" s="0" t="s">
        <v>130</v>
      </c>
      <c r="BJ1431" s="0" t="s">
        <v>130</v>
      </c>
      <c r="BK1431" s="0" t="s">
        <v>130</v>
      </c>
      <c r="BL1431" s="0" t="s">
        <v>130</v>
      </c>
      <c r="BM1431" s="0" t="s">
        <v>130</v>
      </c>
      <c r="BN1431" s="0" t="s">
        <v>130</v>
      </c>
      <c r="BO1431" s="0" t="s">
        <v>130</v>
      </c>
      <c r="BP1431" s="0" t="s">
        <v>130</v>
      </c>
      <c r="BQ1431" s="0" t="s">
        <v>130</v>
      </c>
      <c r="BR1431" s="0" t="s">
        <v>130</v>
      </c>
      <c r="BS1431" s="0" t="s">
        <v>130</v>
      </c>
      <c r="BT1431" s="0" t="s">
        <v>130</v>
      </c>
      <c r="BU1431" s="0" t="s">
        <v>130</v>
      </c>
      <c r="BV1431" s="0" t="s">
        <v>130</v>
      </c>
      <c r="BW1431" s="0" t="s">
        <v>130</v>
      </c>
      <c r="BX1431" s="0" t="s">
        <v>130</v>
      </c>
      <c r="BY1431" s="0" t="s">
        <v>130</v>
      </c>
      <c r="BZ1431" s="0" t="s">
        <v>130</v>
      </c>
      <c r="CA1431" s="0" t="s">
        <v>130</v>
      </c>
      <c r="CB1431" s="0" t="s">
        <v>130</v>
      </c>
      <c r="CC1431" s="0" t="s">
        <v>130</v>
      </c>
      <c r="CD1431" s="0" t="s">
        <v>130</v>
      </c>
      <c r="CE1431" s="0" t="s">
        <v>130</v>
      </c>
      <c r="CF1431" s="0" t="s">
        <v>130</v>
      </c>
      <c r="CG1431" s="0" t="s">
        <v>130</v>
      </c>
      <c r="CH1431" s="0" t="s">
        <v>130</v>
      </c>
      <c r="CI1431" s="0" t="s">
        <v>130</v>
      </c>
      <c r="CJ1431" s="0" t="s">
        <v>130</v>
      </c>
      <c r="CK1431" s="0" t="s">
        <v>130</v>
      </c>
      <c r="CL1431" s="0" t="s">
        <v>130</v>
      </c>
      <c r="CM1431" s="0" t="s">
        <v>130</v>
      </c>
      <c r="CN1431" s="0" t="s">
        <v>130</v>
      </c>
      <c r="CO1431" s="0" t="s">
        <v>130</v>
      </c>
      <c r="CP1431" s="0" t="s">
        <v>130</v>
      </c>
      <c r="CQ1431" s="0" t="s">
        <v>130</v>
      </c>
      <c r="CR1431" s="0" t="s">
        <v>130</v>
      </c>
      <c r="CS1431" s="0" t="s">
        <v>130</v>
      </c>
      <c r="CT1431" s="0" t="s">
        <v>4158</v>
      </c>
    </row>
    <row r="1432">
      <c r="A1432" s="14">
        <v>15149833</v>
      </c>
      <c r="B1432" s="0" t="s">
        <v>4144</v>
      </c>
      <c r="C1432" s="16">
        <f>HYPERLINK("https://eosportal.federatedhermes.com/companies/Q29tcGFueQppNDM5Mzg=", "KB Financial Group Inc")</f>
      </c>
      <c r="D1432" s="0" t="s">
        <v>25</v>
      </c>
      <c r="E1432" s="0" t="s">
        <v>4159</v>
      </c>
      <c r="F1432" s="16">
        <f>HYPERLINK("https://eosportal.federatedhermes.com/engagements/RW5nYWdlbWVudAppMjgxMzc=", "Capital policy")</f>
      </c>
      <c r="G1432" s="14" t="s">
        <v>4160</v>
      </c>
      <c r="H1432" s="0" t="s">
        <v>130</v>
      </c>
      <c r="I1432" s="14" t="s">
        <v>131</v>
      </c>
      <c r="J1432" s="0" t="s">
        <v>145</v>
      </c>
      <c r="K1432" s="0" t="s">
        <v>400</v>
      </c>
      <c r="L1432" s="0" t="s">
        <v>507</v>
      </c>
      <c r="M1432" s="0" t="s">
        <v>802</v>
      </c>
      <c r="N1432" s="0" t="s">
        <v>2800</v>
      </c>
      <c r="O1432" s="0" t="s">
        <v>238</v>
      </c>
      <c r="Q1432" s="0" t="s">
        <v>141</v>
      </c>
      <c r="R1432" s="0" t="s">
        <v>138</v>
      </c>
      <c r="S1432" s="14">
        <v>1</v>
      </c>
      <c r="T1432" s="0" t="s">
        <v>193</v>
      </c>
      <c r="U1432" s="0" t="s">
        <v>138</v>
      </c>
      <c r="V1432" s="14" t="s">
        <v>138</v>
      </c>
      <c r="W1432" s="0" t="s">
        <v>138</v>
      </c>
      <c r="X1432" s="14" t="s">
        <v>138</v>
      </c>
      <c r="Y1432" s="0" t="s">
        <v>138</v>
      </c>
      <c r="Z1432" s="14" t="s">
        <v>138</v>
      </c>
      <c r="AA1432" s="0" t="s">
        <v>138</v>
      </c>
      <c r="AB1432" s="14" t="s">
        <v>138</v>
      </c>
      <c r="AD1432" s="0" t="s">
        <v>138</v>
      </c>
      <c r="AF1432" s="0">
        <v>0</v>
      </c>
      <c r="AG1432" s="0">
        <v>0</v>
      </c>
      <c r="AH1432" s="0" t="s">
        <v>140</v>
      </c>
      <c r="AI1432" s="0" t="s">
        <v>138</v>
      </c>
      <c r="AK1432" s="0" t="s">
        <v>4146</v>
      </c>
      <c r="AL1432" s="14"/>
      <c r="AN1432" s="14"/>
      <c r="AQ1432" s="0" t="s">
        <v>130</v>
      </c>
      <c r="AR1432" s="0" t="s">
        <v>130</v>
      </c>
      <c r="AS1432" s="0" t="s">
        <v>130</v>
      </c>
      <c r="AT1432" s="0" t="s">
        <v>130</v>
      </c>
      <c r="AU1432" s="0" t="s">
        <v>130</v>
      </c>
      <c r="AV1432" s="0" t="s">
        <v>130</v>
      </c>
      <c r="AW1432" s="0" t="s">
        <v>130</v>
      </c>
      <c r="AX1432" s="0" t="s">
        <v>130</v>
      </c>
      <c r="AY1432" s="0" t="s">
        <v>130</v>
      </c>
      <c r="AZ1432" s="0" t="s">
        <v>130</v>
      </c>
      <c r="BA1432" s="0" t="s">
        <v>130</v>
      </c>
      <c r="BB1432" s="0" t="s">
        <v>130</v>
      </c>
      <c r="BC1432" s="0" t="s">
        <v>130</v>
      </c>
      <c r="BD1432" s="0" t="s">
        <v>130</v>
      </c>
      <c r="BE1432" s="0" t="s">
        <v>130</v>
      </c>
      <c r="BF1432" s="0" t="s">
        <v>130</v>
      </c>
      <c r="BG1432" s="0" t="s">
        <v>130</v>
      </c>
      <c r="BH1432" s="0" t="s">
        <v>130</v>
      </c>
      <c r="BI1432" s="0" t="s">
        <v>130</v>
      </c>
      <c r="BJ1432" s="0" t="s">
        <v>130</v>
      </c>
      <c r="BK1432" s="0" t="s">
        <v>130</v>
      </c>
      <c r="BL1432" s="0" t="s">
        <v>130</v>
      </c>
      <c r="BM1432" s="0" t="s">
        <v>130</v>
      </c>
      <c r="BN1432" s="0" t="s">
        <v>130</v>
      </c>
      <c r="BO1432" s="0" t="s">
        <v>130</v>
      </c>
      <c r="BP1432" s="0" t="s">
        <v>130</v>
      </c>
      <c r="BQ1432" s="0" t="s">
        <v>130</v>
      </c>
      <c r="BR1432" s="0" t="s">
        <v>130</v>
      </c>
      <c r="BS1432" s="0" t="s">
        <v>130</v>
      </c>
      <c r="BT1432" s="0" t="s">
        <v>130</v>
      </c>
      <c r="BU1432" s="0" t="s">
        <v>130</v>
      </c>
      <c r="BV1432" s="0" t="s">
        <v>130</v>
      </c>
      <c r="BW1432" s="0" t="s">
        <v>130</v>
      </c>
      <c r="BX1432" s="0" t="s">
        <v>130</v>
      </c>
      <c r="BY1432" s="0" t="s">
        <v>130</v>
      </c>
      <c r="BZ1432" s="0" t="s">
        <v>130</v>
      </c>
      <c r="CA1432" s="0" t="s">
        <v>130</v>
      </c>
      <c r="CB1432" s="0" t="s">
        <v>130</v>
      </c>
      <c r="CC1432" s="0" t="s">
        <v>130</v>
      </c>
      <c r="CD1432" s="0" t="s">
        <v>130</v>
      </c>
      <c r="CE1432" s="0" t="s">
        <v>130</v>
      </c>
      <c r="CF1432" s="0" t="s">
        <v>130</v>
      </c>
      <c r="CG1432" s="0" t="s">
        <v>130</v>
      </c>
      <c r="CH1432" s="0" t="s">
        <v>130</v>
      </c>
      <c r="CI1432" s="0" t="s">
        <v>130</v>
      </c>
      <c r="CJ1432" s="0" t="s">
        <v>130</v>
      </c>
      <c r="CK1432" s="0" t="s">
        <v>130</v>
      </c>
      <c r="CL1432" s="0" t="s">
        <v>130</v>
      </c>
      <c r="CM1432" s="0" t="s">
        <v>130</v>
      </c>
      <c r="CN1432" s="0" t="s">
        <v>130</v>
      </c>
      <c r="CO1432" s="0" t="s">
        <v>130</v>
      </c>
      <c r="CP1432" s="0" t="s">
        <v>130</v>
      </c>
      <c r="CQ1432" s="0" t="s">
        <v>130</v>
      </c>
      <c r="CR1432" s="0" t="s">
        <v>130</v>
      </c>
      <c r="CS1432" s="0" t="s">
        <v>130</v>
      </c>
      <c r="CT1432" s="0" t="s">
        <v>4161</v>
      </c>
    </row>
    <row r="1433">
      <c r="A1433" s="14">
        <v>15149833</v>
      </c>
      <c r="B1433" s="0" t="s">
        <v>4144</v>
      </c>
      <c r="C1433" s="16">
        <f>HYPERLINK("https://eosportal.federatedhermes.com/companies/Q29tcGFueQppNDM5Mzg=", "KB Financial Group Inc")</f>
      </c>
      <c r="D1433" s="0" t="s">
        <v>25</v>
      </c>
      <c r="E1433" s="0" t="s">
        <v>873</v>
      </c>
      <c r="F1433" s="16">
        <f>HYPERLINK("https://eosportal.federatedhermes.com/engagements/RW5nYWdlbWVudAppMjgxMzg=", "Risk management")</f>
      </c>
      <c r="G1433" s="14" t="s">
        <v>4162</v>
      </c>
      <c r="H1433" s="0" t="s">
        <v>130</v>
      </c>
      <c r="I1433" s="14" t="s">
        <v>131</v>
      </c>
      <c r="J1433" s="0" t="s">
        <v>132</v>
      </c>
      <c r="K1433" s="0" t="s">
        <v>260</v>
      </c>
      <c r="L1433" s="0" t="s">
        <v>261</v>
      </c>
      <c r="M1433" s="0" t="s">
        <v>802</v>
      </c>
      <c r="N1433" s="0" t="s">
        <v>2800</v>
      </c>
      <c r="O1433" s="0" t="s">
        <v>238</v>
      </c>
      <c r="Q1433" s="0" t="s">
        <v>130</v>
      </c>
      <c r="R1433" s="0" t="s">
        <v>138</v>
      </c>
      <c r="S1433" s="14">
        <v>0</v>
      </c>
      <c r="T1433" s="0" t="s">
        <v>1011</v>
      </c>
      <c r="U1433" s="0" t="s">
        <v>138</v>
      </c>
      <c r="V1433" s="14" t="s">
        <v>138</v>
      </c>
      <c r="W1433" s="0" t="s">
        <v>138</v>
      </c>
      <c r="X1433" s="14" t="s">
        <v>138</v>
      </c>
      <c r="Y1433" s="0" t="s">
        <v>138</v>
      </c>
      <c r="Z1433" s="14" t="s">
        <v>138</v>
      </c>
      <c r="AA1433" s="0" t="s">
        <v>138</v>
      </c>
      <c r="AB1433" s="14" t="s">
        <v>138</v>
      </c>
      <c r="AD1433" s="0" t="s">
        <v>138</v>
      </c>
      <c r="AF1433" s="0">
        <v>0</v>
      </c>
      <c r="AG1433" s="0">
        <v>0</v>
      </c>
      <c r="AH1433" s="0" t="s">
        <v>140</v>
      </c>
      <c r="AI1433" s="0" t="s">
        <v>138</v>
      </c>
      <c r="AL1433" s="14"/>
      <c r="AN1433" s="14"/>
      <c r="AQ1433" s="0" t="s">
        <v>130</v>
      </c>
      <c r="AR1433" s="0" t="s">
        <v>130</v>
      </c>
      <c r="AS1433" s="0" t="s">
        <v>130</v>
      </c>
      <c r="AT1433" s="0" t="s">
        <v>130</v>
      </c>
      <c r="AU1433" s="0" t="s">
        <v>130</v>
      </c>
      <c r="AV1433" s="0" t="s">
        <v>130</v>
      </c>
      <c r="AW1433" s="0" t="s">
        <v>130</v>
      </c>
      <c r="AX1433" s="0" t="s">
        <v>130</v>
      </c>
      <c r="AY1433" s="0" t="s">
        <v>130</v>
      </c>
      <c r="AZ1433" s="0" t="s">
        <v>130</v>
      </c>
      <c r="BA1433" s="0" t="s">
        <v>130</v>
      </c>
      <c r="BB1433" s="0" t="s">
        <v>130</v>
      </c>
      <c r="BC1433" s="0" t="s">
        <v>130</v>
      </c>
      <c r="BD1433" s="0" t="s">
        <v>130</v>
      </c>
      <c r="BE1433" s="0" t="s">
        <v>130</v>
      </c>
      <c r="BF1433" s="0" t="s">
        <v>130</v>
      </c>
      <c r="BG1433" s="0" t="s">
        <v>130</v>
      </c>
      <c r="BH1433" s="0" t="s">
        <v>130</v>
      </c>
      <c r="BI1433" s="0" t="s">
        <v>130</v>
      </c>
      <c r="BJ1433" s="0" t="s">
        <v>130</v>
      </c>
      <c r="BK1433" s="0" t="s">
        <v>130</v>
      </c>
      <c r="BL1433" s="0" t="s">
        <v>130</v>
      </c>
      <c r="BM1433" s="0" t="s">
        <v>130</v>
      </c>
      <c r="BN1433" s="0" t="s">
        <v>130</v>
      </c>
      <c r="BO1433" s="0" t="s">
        <v>130</v>
      </c>
      <c r="BP1433" s="0" t="s">
        <v>130</v>
      </c>
      <c r="BQ1433" s="0" t="s">
        <v>130</v>
      </c>
      <c r="BR1433" s="0" t="s">
        <v>130</v>
      </c>
      <c r="BS1433" s="0" t="s">
        <v>130</v>
      </c>
      <c r="BT1433" s="0" t="s">
        <v>130</v>
      </c>
      <c r="BU1433" s="0" t="s">
        <v>130</v>
      </c>
      <c r="BV1433" s="0" t="s">
        <v>130</v>
      </c>
      <c r="BW1433" s="0" t="s">
        <v>130</v>
      </c>
      <c r="BX1433" s="0" t="s">
        <v>130</v>
      </c>
      <c r="BY1433" s="0" t="s">
        <v>130</v>
      </c>
      <c r="BZ1433" s="0" t="s">
        <v>130</v>
      </c>
      <c r="CA1433" s="0" t="s">
        <v>130</v>
      </c>
      <c r="CB1433" s="0" t="s">
        <v>130</v>
      </c>
      <c r="CC1433" s="0" t="s">
        <v>130</v>
      </c>
      <c r="CD1433" s="0" t="s">
        <v>130</v>
      </c>
      <c r="CE1433" s="0" t="s">
        <v>130</v>
      </c>
      <c r="CF1433" s="0" t="s">
        <v>130</v>
      </c>
      <c r="CG1433" s="0" t="s">
        <v>130</v>
      </c>
      <c r="CH1433" s="0" t="s">
        <v>130</v>
      </c>
      <c r="CI1433" s="0" t="s">
        <v>130</v>
      </c>
      <c r="CJ1433" s="0" t="s">
        <v>130</v>
      </c>
      <c r="CK1433" s="0" t="s">
        <v>130</v>
      </c>
      <c r="CL1433" s="0" t="s">
        <v>130</v>
      </c>
      <c r="CM1433" s="0" t="s">
        <v>130</v>
      </c>
      <c r="CN1433" s="0" t="s">
        <v>130</v>
      </c>
      <c r="CO1433" s="0" t="s">
        <v>130</v>
      </c>
      <c r="CP1433" s="0" t="s">
        <v>130</v>
      </c>
      <c r="CQ1433" s="0" t="s">
        <v>130</v>
      </c>
      <c r="CR1433" s="0" t="s">
        <v>130</v>
      </c>
      <c r="CS1433" s="0" t="s">
        <v>130</v>
      </c>
      <c r="CT1433" s="0" t="s">
        <v>4163</v>
      </c>
    </row>
    <row r="1434">
      <c r="A1434" s="14">
        <v>15149833</v>
      </c>
      <c r="B1434" s="0" t="s">
        <v>4144</v>
      </c>
      <c r="C1434" s="16">
        <f>HYPERLINK("https://eosportal.federatedhermes.com/companies/Q29tcGFueQppNDM5Mzg=", "KB Financial Group Inc")</f>
      </c>
      <c r="D1434" s="0" t="s">
        <v>25</v>
      </c>
      <c r="E1434" s="0" t="s">
        <v>1143</v>
      </c>
      <c r="F1434" s="16">
        <f>HYPERLINK("https://eosportal.federatedhermes.com/engagements/RW5nYWdlbWVudAppMjgxMzk=", "Corporate Culture")</f>
      </c>
      <c r="G1434" s="14" t="s">
        <v>298</v>
      </c>
      <c r="H1434" s="0" t="s">
        <v>130</v>
      </c>
      <c r="I1434" s="14" t="s">
        <v>131</v>
      </c>
      <c r="J1434" s="0" t="s">
        <v>153</v>
      </c>
      <c r="K1434" s="0" t="s">
        <v>185</v>
      </c>
      <c r="L1434" s="0" t="s">
        <v>186</v>
      </c>
      <c r="M1434" s="0" t="s">
        <v>802</v>
      </c>
      <c r="N1434" s="0" t="s">
        <v>2800</v>
      </c>
      <c r="O1434" s="0" t="s">
        <v>238</v>
      </c>
      <c r="Q1434" s="0" t="s">
        <v>130</v>
      </c>
      <c r="R1434" s="0" t="s">
        <v>138</v>
      </c>
      <c r="S1434" s="14">
        <v>0</v>
      </c>
      <c r="T1434" s="0" t="s">
        <v>390</v>
      </c>
      <c r="U1434" s="0" t="s">
        <v>138</v>
      </c>
      <c r="V1434" s="14" t="s">
        <v>138</v>
      </c>
      <c r="W1434" s="0" t="s">
        <v>138</v>
      </c>
      <c r="X1434" s="14" t="s">
        <v>138</v>
      </c>
      <c r="Y1434" s="0" t="s">
        <v>138</v>
      </c>
      <c r="Z1434" s="14" t="s">
        <v>138</v>
      </c>
      <c r="AA1434" s="0" t="s">
        <v>138</v>
      </c>
      <c r="AB1434" s="14" t="s">
        <v>138</v>
      </c>
      <c r="AD1434" s="0" t="s">
        <v>138</v>
      </c>
      <c r="AF1434" s="0">
        <v>0</v>
      </c>
      <c r="AG1434" s="0">
        <v>0</v>
      </c>
      <c r="AH1434" s="0" t="s">
        <v>140</v>
      </c>
      <c r="AI1434" s="0" t="s">
        <v>138</v>
      </c>
      <c r="AL1434" s="14"/>
      <c r="AN1434" s="14"/>
      <c r="AQ1434" s="0" t="s">
        <v>130</v>
      </c>
      <c r="AR1434" s="0" t="s">
        <v>130</v>
      </c>
      <c r="AS1434" s="0" t="s">
        <v>130</v>
      </c>
      <c r="AT1434" s="0" t="s">
        <v>130</v>
      </c>
      <c r="AU1434" s="0" t="s">
        <v>130</v>
      </c>
      <c r="AV1434" s="0" t="s">
        <v>130</v>
      </c>
      <c r="AW1434" s="0" t="s">
        <v>130</v>
      </c>
      <c r="AX1434" s="0" t="s">
        <v>130</v>
      </c>
      <c r="AY1434" s="0" t="s">
        <v>130</v>
      </c>
      <c r="AZ1434" s="0" t="s">
        <v>130</v>
      </c>
      <c r="BA1434" s="0" t="s">
        <v>130</v>
      </c>
      <c r="BB1434" s="0" t="s">
        <v>130</v>
      </c>
      <c r="BC1434" s="0" t="s">
        <v>130</v>
      </c>
      <c r="BD1434" s="0" t="s">
        <v>130</v>
      </c>
      <c r="BE1434" s="0" t="s">
        <v>130</v>
      </c>
      <c r="BF1434" s="0" t="s">
        <v>141</v>
      </c>
      <c r="BG1434" s="0" t="s">
        <v>130</v>
      </c>
      <c r="BH1434" s="0" t="s">
        <v>130</v>
      </c>
      <c r="BI1434" s="0" t="s">
        <v>130</v>
      </c>
      <c r="BJ1434" s="0" t="s">
        <v>130</v>
      </c>
      <c r="BK1434" s="0" t="s">
        <v>130</v>
      </c>
      <c r="BL1434" s="0" t="s">
        <v>130</v>
      </c>
      <c r="BM1434" s="0" t="s">
        <v>130</v>
      </c>
      <c r="BN1434" s="0" t="s">
        <v>130</v>
      </c>
      <c r="BO1434" s="0" t="s">
        <v>130</v>
      </c>
      <c r="BP1434" s="0" t="s">
        <v>130</v>
      </c>
      <c r="BQ1434" s="0" t="s">
        <v>130</v>
      </c>
      <c r="BR1434" s="0" t="s">
        <v>130</v>
      </c>
      <c r="BS1434" s="0" t="s">
        <v>130</v>
      </c>
      <c r="BT1434" s="0" t="s">
        <v>130</v>
      </c>
      <c r="BU1434" s="0" t="s">
        <v>130</v>
      </c>
      <c r="BV1434" s="0" t="s">
        <v>130</v>
      </c>
      <c r="BW1434" s="0" t="s">
        <v>130</v>
      </c>
      <c r="BX1434" s="0" t="s">
        <v>130</v>
      </c>
      <c r="BY1434" s="0" t="s">
        <v>130</v>
      </c>
      <c r="BZ1434" s="0" t="s">
        <v>130</v>
      </c>
      <c r="CA1434" s="0" t="s">
        <v>130</v>
      </c>
      <c r="CB1434" s="0" t="s">
        <v>130</v>
      </c>
      <c r="CC1434" s="0" t="s">
        <v>130</v>
      </c>
      <c r="CD1434" s="0" t="s">
        <v>130</v>
      </c>
      <c r="CE1434" s="0" t="s">
        <v>130</v>
      </c>
      <c r="CF1434" s="0" t="s">
        <v>130</v>
      </c>
      <c r="CG1434" s="0" t="s">
        <v>130</v>
      </c>
      <c r="CH1434" s="0" t="s">
        <v>130</v>
      </c>
      <c r="CI1434" s="0" t="s">
        <v>130</v>
      </c>
      <c r="CJ1434" s="0" t="s">
        <v>130</v>
      </c>
      <c r="CK1434" s="0" t="s">
        <v>130</v>
      </c>
      <c r="CL1434" s="0" t="s">
        <v>130</v>
      </c>
      <c r="CM1434" s="0" t="s">
        <v>130</v>
      </c>
      <c r="CN1434" s="0" t="s">
        <v>130</v>
      </c>
      <c r="CO1434" s="0" t="s">
        <v>130</v>
      </c>
      <c r="CP1434" s="0" t="s">
        <v>130</v>
      </c>
      <c r="CQ1434" s="0" t="s">
        <v>130</v>
      </c>
      <c r="CR1434" s="0" t="s">
        <v>130</v>
      </c>
      <c r="CS1434" s="0" t="s">
        <v>130</v>
      </c>
      <c r="CT1434" s="0" t="s">
        <v>4164</v>
      </c>
    </row>
    <row r="1435">
      <c r="A1435" s="14">
        <v>15149833</v>
      </c>
      <c r="B1435" s="0" t="s">
        <v>4144</v>
      </c>
      <c r="C1435" s="16">
        <f>HYPERLINK("https://eosportal.federatedhermes.com/companies/Q29tcGFueQppNDM5Mzg=", "KB Financial Group Inc")</f>
      </c>
      <c r="D1435" s="0" t="s">
        <v>25</v>
      </c>
      <c r="E1435" s="0" t="s">
        <v>341</v>
      </c>
      <c r="F1435" s="16">
        <f>HYPERLINK("https://eosportal.federatedhermes.com/engagements/RW5nYWdlbWVudAppMjgxNDA=", "Remuneration")</f>
      </c>
      <c r="G1435" s="14" t="s">
        <v>4165</v>
      </c>
      <c r="H1435" s="0" t="s">
        <v>130</v>
      </c>
      <c r="I1435" s="14" t="s">
        <v>131</v>
      </c>
      <c r="J1435" s="0" t="s">
        <v>145</v>
      </c>
      <c r="K1435" s="0" t="s">
        <v>146</v>
      </c>
      <c r="L1435" s="0" t="s">
        <v>147</v>
      </c>
      <c r="M1435" s="0" t="s">
        <v>802</v>
      </c>
      <c r="N1435" s="0" t="s">
        <v>2800</v>
      </c>
      <c r="O1435" s="0" t="s">
        <v>238</v>
      </c>
      <c r="Q1435" s="0" t="s">
        <v>141</v>
      </c>
      <c r="R1435" s="0" t="s">
        <v>138</v>
      </c>
      <c r="S1435" s="14">
        <v>1</v>
      </c>
      <c r="T1435" s="0" t="s">
        <v>1011</v>
      </c>
      <c r="U1435" s="0" t="s">
        <v>138</v>
      </c>
      <c r="V1435" s="14" t="s">
        <v>138</v>
      </c>
      <c r="W1435" s="0" t="s">
        <v>138</v>
      </c>
      <c r="X1435" s="14" t="s">
        <v>138</v>
      </c>
      <c r="Y1435" s="0" t="s">
        <v>138</v>
      </c>
      <c r="Z1435" s="14" t="s">
        <v>138</v>
      </c>
      <c r="AA1435" s="0" t="s">
        <v>138</v>
      </c>
      <c r="AB1435" s="14" t="s">
        <v>138</v>
      </c>
      <c r="AD1435" s="0" t="s">
        <v>138</v>
      </c>
      <c r="AF1435" s="0">
        <v>0</v>
      </c>
      <c r="AG1435" s="0">
        <v>0</v>
      </c>
      <c r="AH1435" s="0" t="s">
        <v>140</v>
      </c>
      <c r="AI1435" s="0" t="s">
        <v>138</v>
      </c>
      <c r="AK1435" s="0" t="s">
        <v>4146</v>
      </c>
      <c r="AL1435" s="14"/>
      <c r="AN1435" s="14"/>
      <c r="AQ1435" s="0" t="s">
        <v>130</v>
      </c>
      <c r="AR1435" s="0" t="s">
        <v>130</v>
      </c>
      <c r="AS1435" s="0" t="s">
        <v>130</v>
      </c>
      <c r="AT1435" s="0" t="s">
        <v>130</v>
      </c>
      <c r="AU1435" s="0" t="s">
        <v>130</v>
      </c>
      <c r="AV1435" s="0" t="s">
        <v>130</v>
      </c>
      <c r="AW1435" s="0" t="s">
        <v>130</v>
      </c>
      <c r="AX1435" s="0" t="s">
        <v>130</v>
      </c>
      <c r="AY1435" s="0" t="s">
        <v>130</v>
      </c>
      <c r="AZ1435" s="0" t="s">
        <v>130</v>
      </c>
      <c r="BA1435" s="0" t="s">
        <v>130</v>
      </c>
      <c r="BB1435" s="0" t="s">
        <v>130</v>
      </c>
      <c r="BC1435" s="0" t="s">
        <v>130</v>
      </c>
      <c r="BD1435" s="0" t="s">
        <v>130</v>
      </c>
      <c r="BE1435" s="0" t="s">
        <v>130</v>
      </c>
      <c r="BF1435" s="0" t="s">
        <v>130</v>
      </c>
      <c r="BG1435" s="0" t="s">
        <v>130</v>
      </c>
      <c r="BH1435" s="0" t="s">
        <v>130</v>
      </c>
      <c r="BI1435" s="0" t="s">
        <v>130</v>
      </c>
      <c r="BJ1435" s="0" t="s">
        <v>130</v>
      </c>
      <c r="BK1435" s="0" t="s">
        <v>130</v>
      </c>
      <c r="BL1435" s="0" t="s">
        <v>130</v>
      </c>
      <c r="BM1435" s="0" t="s">
        <v>130</v>
      </c>
      <c r="BN1435" s="0" t="s">
        <v>130</v>
      </c>
      <c r="BO1435" s="0" t="s">
        <v>130</v>
      </c>
      <c r="BP1435" s="0" t="s">
        <v>130</v>
      </c>
      <c r="BQ1435" s="0" t="s">
        <v>130</v>
      </c>
      <c r="BR1435" s="0" t="s">
        <v>130</v>
      </c>
      <c r="BS1435" s="0" t="s">
        <v>130</v>
      </c>
      <c r="BT1435" s="0" t="s">
        <v>130</v>
      </c>
      <c r="BU1435" s="0" t="s">
        <v>130</v>
      </c>
      <c r="BV1435" s="0" t="s">
        <v>130</v>
      </c>
      <c r="BW1435" s="0" t="s">
        <v>130</v>
      </c>
      <c r="BX1435" s="0" t="s">
        <v>130</v>
      </c>
      <c r="BY1435" s="0" t="s">
        <v>130</v>
      </c>
      <c r="BZ1435" s="0" t="s">
        <v>130</v>
      </c>
      <c r="CA1435" s="0" t="s">
        <v>130</v>
      </c>
      <c r="CB1435" s="0" t="s">
        <v>130</v>
      </c>
      <c r="CC1435" s="0" t="s">
        <v>130</v>
      </c>
      <c r="CD1435" s="0" t="s">
        <v>130</v>
      </c>
      <c r="CE1435" s="0" t="s">
        <v>130</v>
      </c>
      <c r="CF1435" s="0" t="s">
        <v>130</v>
      </c>
      <c r="CG1435" s="0" t="s">
        <v>130</v>
      </c>
      <c r="CH1435" s="0" t="s">
        <v>130</v>
      </c>
      <c r="CI1435" s="0" t="s">
        <v>130</v>
      </c>
      <c r="CJ1435" s="0" t="s">
        <v>130</v>
      </c>
      <c r="CK1435" s="0" t="s">
        <v>130</v>
      </c>
      <c r="CL1435" s="0" t="s">
        <v>130</v>
      </c>
      <c r="CM1435" s="0" t="s">
        <v>130</v>
      </c>
      <c r="CN1435" s="0" t="s">
        <v>130</v>
      </c>
      <c r="CO1435" s="0" t="s">
        <v>130</v>
      </c>
      <c r="CP1435" s="0" t="s">
        <v>130</v>
      </c>
      <c r="CQ1435" s="0" t="s">
        <v>130</v>
      </c>
      <c r="CR1435" s="0" t="s">
        <v>130</v>
      </c>
      <c r="CS1435" s="0" t="s">
        <v>130</v>
      </c>
      <c r="CT1435" s="0" t="s">
        <v>4166</v>
      </c>
    </row>
    <row r="1436">
      <c r="A1436" s="14">
        <v>15149833</v>
      </c>
      <c r="B1436" s="0" t="s">
        <v>4144</v>
      </c>
      <c r="C1436" s="16">
        <f>HYPERLINK("https://eosportal.federatedhermes.com/companies/Q29tcGFueQppNDM5Mzg=", "KB Financial Group Inc")</f>
      </c>
      <c r="D1436" s="0" t="s">
        <v>25</v>
      </c>
      <c r="E1436" s="0" t="s">
        <v>4167</v>
      </c>
      <c r="F1436" s="16">
        <f>HYPERLINK("https://eosportal.federatedhermes.com/engagements/RW5nYWdlbWVudAppMjgxNDE=", "Misselling of Financial Products")</f>
      </c>
      <c r="G1436" s="14" t="s">
        <v>4168</v>
      </c>
      <c r="H1436" s="0" t="s">
        <v>130</v>
      </c>
      <c r="I1436" s="14" t="s">
        <v>131</v>
      </c>
      <c r="J1436" s="0" t="s">
        <v>153</v>
      </c>
      <c r="K1436" s="0" t="s">
        <v>185</v>
      </c>
      <c r="L1436" s="0" t="s">
        <v>186</v>
      </c>
      <c r="M1436" s="0" t="s">
        <v>802</v>
      </c>
      <c r="N1436" s="0" t="s">
        <v>2800</v>
      </c>
      <c r="O1436" s="0" t="s">
        <v>238</v>
      </c>
      <c r="Q1436" s="0" t="s">
        <v>130</v>
      </c>
      <c r="R1436" s="0" t="s">
        <v>138</v>
      </c>
      <c r="S1436" s="14">
        <v>0</v>
      </c>
      <c r="T1436" s="0" t="s">
        <v>355</v>
      </c>
      <c r="U1436" s="0" t="s">
        <v>138</v>
      </c>
      <c r="V1436" s="14" t="s">
        <v>138</v>
      </c>
      <c r="W1436" s="0" t="s">
        <v>138</v>
      </c>
      <c r="X1436" s="14" t="s">
        <v>138</v>
      </c>
      <c r="Y1436" s="0" t="s">
        <v>138</v>
      </c>
      <c r="Z1436" s="14" t="s">
        <v>138</v>
      </c>
      <c r="AA1436" s="0" t="s">
        <v>138</v>
      </c>
      <c r="AB1436" s="14" t="s">
        <v>138</v>
      </c>
      <c r="AD1436" s="0" t="s">
        <v>138</v>
      </c>
      <c r="AF1436" s="0">
        <v>0</v>
      </c>
      <c r="AG1436" s="0">
        <v>0</v>
      </c>
      <c r="AH1436" s="0" t="s">
        <v>140</v>
      </c>
      <c r="AI1436" s="0" t="s">
        <v>138</v>
      </c>
      <c r="AL1436" s="14"/>
      <c r="AN1436" s="14"/>
      <c r="AQ1436" s="0" t="s">
        <v>130</v>
      </c>
      <c r="AR1436" s="0" t="s">
        <v>130</v>
      </c>
      <c r="AS1436" s="0" t="s">
        <v>130</v>
      </c>
      <c r="AT1436" s="0" t="s">
        <v>130</v>
      </c>
      <c r="AU1436" s="0" t="s">
        <v>130</v>
      </c>
      <c r="AV1436" s="0" t="s">
        <v>130</v>
      </c>
      <c r="AW1436" s="0" t="s">
        <v>130</v>
      </c>
      <c r="AX1436" s="0" t="s">
        <v>130</v>
      </c>
      <c r="AY1436" s="0" t="s">
        <v>130</v>
      </c>
      <c r="AZ1436" s="0" t="s">
        <v>130</v>
      </c>
      <c r="BA1436" s="0" t="s">
        <v>130</v>
      </c>
      <c r="BB1436" s="0" t="s">
        <v>130</v>
      </c>
      <c r="BC1436" s="0" t="s">
        <v>130</v>
      </c>
      <c r="BD1436" s="0" t="s">
        <v>130</v>
      </c>
      <c r="BE1436" s="0" t="s">
        <v>130</v>
      </c>
      <c r="BF1436" s="0" t="s">
        <v>130</v>
      </c>
      <c r="BG1436" s="0" t="s">
        <v>130</v>
      </c>
      <c r="BH1436" s="0" t="s">
        <v>130</v>
      </c>
      <c r="BI1436" s="0" t="s">
        <v>130</v>
      </c>
      <c r="BJ1436" s="0" t="s">
        <v>130</v>
      </c>
      <c r="BK1436" s="0" t="s">
        <v>130</v>
      </c>
      <c r="BL1436" s="0" t="s">
        <v>130</v>
      </c>
      <c r="BM1436" s="0" t="s">
        <v>130</v>
      </c>
      <c r="BN1436" s="0" t="s">
        <v>130</v>
      </c>
      <c r="BO1436" s="0" t="s">
        <v>130</v>
      </c>
      <c r="BP1436" s="0" t="s">
        <v>130</v>
      </c>
      <c r="BQ1436" s="0" t="s">
        <v>130</v>
      </c>
      <c r="BR1436" s="0" t="s">
        <v>130</v>
      </c>
      <c r="BS1436" s="0" t="s">
        <v>130</v>
      </c>
      <c r="BT1436" s="0" t="s">
        <v>130</v>
      </c>
      <c r="BU1436" s="0" t="s">
        <v>130</v>
      </c>
      <c r="BV1436" s="0" t="s">
        <v>130</v>
      </c>
      <c r="BW1436" s="0" t="s">
        <v>130</v>
      </c>
      <c r="BX1436" s="0" t="s">
        <v>130</v>
      </c>
      <c r="BY1436" s="0" t="s">
        <v>130</v>
      </c>
      <c r="BZ1436" s="0" t="s">
        <v>130</v>
      </c>
      <c r="CA1436" s="0" t="s">
        <v>130</v>
      </c>
      <c r="CB1436" s="0" t="s">
        <v>130</v>
      </c>
      <c r="CC1436" s="0" t="s">
        <v>130</v>
      </c>
      <c r="CD1436" s="0" t="s">
        <v>130</v>
      </c>
      <c r="CE1436" s="0" t="s">
        <v>130</v>
      </c>
      <c r="CF1436" s="0" t="s">
        <v>130</v>
      </c>
      <c r="CG1436" s="0" t="s">
        <v>130</v>
      </c>
      <c r="CH1436" s="0" t="s">
        <v>130</v>
      </c>
      <c r="CI1436" s="0" t="s">
        <v>130</v>
      </c>
      <c r="CJ1436" s="0" t="s">
        <v>130</v>
      </c>
      <c r="CK1436" s="0" t="s">
        <v>130</v>
      </c>
      <c r="CL1436" s="0" t="s">
        <v>130</v>
      </c>
      <c r="CM1436" s="0" t="s">
        <v>130</v>
      </c>
      <c r="CN1436" s="0" t="s">
        <v>130</v>
      </c>
      <c r="CO1436" s="0" t="s">
        <v>130</v>
      </c>
      <c r="CP1436" s="0" t="s">
        <v>130</v>
      </c>
      <c r="CQ1436" s="0" t="s">
        <v>130</v>
      </c>
      <c r="CR1436" s="0" t="s">
        <v>130</v>
      </c>
      <c r="CS1436" s="0" t="s">
        <v>130</v>
      </c>
      <c r="CT1436" s="0" t="s">
        <v>4169</v>
      </c>
    </row>
    <row r="1437">
      <c r="A1437" s="14">
        <v>23600574</v>
      </c>
      <c r="B1437" s="0" t="s">
        <v>4170</v>
      </c>
      <c r="C1437" s="16">
        <f>HYPERLINK("https://eosportal.federatedhermes.com/companies/Q29tcGFueQppNjY5NDg=", "Veeva Systems Inc")</f>
      </c>
      <c r="D1437" s="0" t="s">
        <v>25</v>
      </c>
      <c r="E1437" s="0" t="s">
        <v>3067</v>
      </c>
      <c r="F1437" s="16">
        <f>HYPERLINK("https://eosportal.federatedhermes.com/engagements/RW5nYWdlbWVudAppMjgxOTA=", "Dual Class Share Structure")</f>
      </c>
      <c r="G1437" s="14" t="s">
        <v>4171</v>
      </c>
      <c r="H1437" s="0" t="s">
        <v>130</v>
      </c>
      <c r="I1437" s="14" t="s">
        <v>131</v>
      </c>
      <c r="J1437" s="0" t="s">
        <v>145</v>
      </c>
      <c r="K1437" s="0" t="s">
        <v>400</v>
      </c>
      <c r="L1437" s="0" t="s">
        <v>507</v>
      </c>
      <c r="M1437" s="0" t="s">
        <v>135</v>
      </c>
      <c r="N1437" s="0" t="s">
        <v>136</v>
      </c>
      <c r="O1437" s="0" t="s">
        <v>274</v>
      </c>
      <c r="Q1437" s="0" t="s">
        <v>130</v>
      </c>
      <c r="R1437" s="0" t="s">
        <v>138</v>
      </c>
      <c r="S1437" s="14">
        <v>0</v>
      </c>
      <c r="T1437" s="0" t="s">
        <v>148</v>
      </c>
      <c r="U1437" s="0" t="s">
        <v>138</v>
      </c>
      <c r="V1437" s="14" t="s">
        <v>138</v>
      </c>
      <c r="W1437" s="0" t="s">
        <v>138</v>
      </c>
      <c r="X1437" s="14" t="s">
        <v>138</v>
      </c>
      <c r="Y1437" s="0" t="s">
        <v>138</v>
      </c>
      <c r="Z1437" s="14" t="s">
        <v>138</v>
      </c>
      <c r="AA1437" s="0" t="s">
        <v>138</v>
      </c>
      <c r="AB1437" s="14" t="s">
        <v>138</v>
      </c>
      <c r="AD1437" s="0" t="s">
        <v>138</v>
      </c>
      <c r="AF1437" s="0">
        <v>0</v>
      </c>
      <c r="AG1437" s="0">
        <v>0</v>
      </c>
      <c r="AH1437" s="0" t="s">
        <v>140</v>
      </c>
      <c r="AI1437" s="0" t="s">
        <v>138</v>
      </c>
      <c r="AL1437" s="14"/>
      <c r="AN1437" s="14"/>
      <c r="AQ1437" s="0" t="s">
        <v>130</v>
      </c>
      <c r="AR1437" s="0" t="s">
        <v>130</v>
      </c>
      <c r="AS1437" s="0" t="s">
        <v>130</v>
      </c>
      <c r="AT1437" s="0" t="s">
        <v>130</v>
      </c>
      <c r="AU1437" s="0" t="s">
        <v>130</v>
      </c>
      <c r="AV1437" s="0" t="s">
        <v>130</v>
      </c>
      <c r="AW1437" s="0" t="s">
        <v>130</v>
      </c>
      <c r="AX1437" s="0" t="s">
        <v>130</v>
      </c>
      <c r="AY1437" s="0" t="s">
        <v>130</v>
      </c>
      <c r="AZ1437" s="0" t="s">
        <v>130</v>
      </c>
      <c r="BA1437" s="0" t="s">
        <v>130</v>
      </c>
      <c r="BB1437" s="0" t="s">
        <v>130</v>
      </c>
      <c r="BC1437" s="0" t="s">
        <v>130</v>
      </c>
      <c r="BD1437" s="0" t="s">
        <v>130</v>
      </c>
      <c r="BE1437" s="0" t="s">
        <v>130</v>
      </c>
      <c r="BF1437" s="0" t="s">
        <v>130</v>
      </c>
      <c r="BG1437" s="0" t="s">
        <v>130</v>
      </c>
      <c r="BH1437" s="0" t="s">
        <v>130</v>
      </c>
      <c r="BI1437" s="0" t="s">
        <v>130</v>
      </c>
      <c r="BJ1437" s="0" t="s">
        <v>130</v>
      </c>
      <c r="BK1437" s="0" t="s">
        <v>130</v>
      </c>
      <c r="BL1437" s="0" t="s">
        <v>130</v>
      </c>
      <c r="BM1437" s="0" t="s">
        <v>130</v>
      </c>
      <c r="BN1437" s="0" t="s">
        <v>130</v>
      </c>
      <c r="BO1437" s="0" t="s">
        <v>130</v>
      </c>
      <c r="BP1437" s="0" t="s">
        <v>130</v>
      </c>
      <c r="BQ1437" s="0" t="s">
        <v>130</v>
      </c>
      <c r="BR1437" s="0" t="s">
        <v>130</v>
      </c>
      <c r="BS1437" s="0" t="s">
        <v>130</v>
      </c>
      <c r="BT1437" s="0" t="s">
        <v>130</v>
      </c>
      <c r="BU1437" s="0" t="s">
        <v>130</v>
      </c>
      <c r="BV1437" s="0" t="s">
        <v>130</v>
      </c>
      <c r="BW1437" s="0" t="s">
        <v>130</v>
      </c>
      <c r="BX1437" s="0" t="s">
        <v>130</v>
      </c>
      <c r="BY1437" s="0" t="s">
        <v>130</v>
      </c>
      <c r="BZ1437" s="0" t="s">
        <v>130</v>
      </c>
      <c r="CA1437" s="0" t="s">
        <v>130</v>
      </c>
      <c r="CB1437" s="0" t="s">
        <v>130</v>
      </c>
      <c r="CC1437" s="0" t="s">
        <v>130</v>
      </c>
      <c r="CD1437" s="0" t="s">
        <v>130</v>
      </c>
      <c r="CE1437" s="0" t="s">
        <v>130</v>
      </c>
      <c r="CF1437" s="0" t="s">
        <v>130</v>
      </c>
      <c r="CG1437" s="0" t="s">
        <v>130</v>
      </c>
      <c r="CH1437" s="0" t="s">
        <v>130</v>
      </c>
      <c r="CI1437" s="0" t="s">
        <v>130</v>
      </c>
      <c r="CJ1437" s="0" t="s">
        <v>130</v>
      </c>
      <c r="CK1437" s="0" t="s">
        <v>130</v>
      </c>
      <c r="CL1437" s="0" t="s">
        <v>130</v>
      </c>
      <c r="CM1437" s="0" t="s">
        <v>130</v>
      </c>
      <c r="CN1437" s="0" t="s">
        <v>130</v>
      </c>
      <c r="CO1437" s="0" t="s">
        <v>130</v>
      </c>
      <c r="CP1437" s="0" t="s">
        <v>130</v>
      </c>
      <c r="CQ1437" s="0" t="s">
        <v>130</v>
      </c>
      <c r="CR1437" s="0" t="s">
        <v>130</v>
      </c>
      <c r="CS1437" s="0" t="s">
        <v>130</v>
      </c>
      <c r="CT1437" s="0" t="s">
        <v>4172</v>
      </c>
    </row>
    <row r="1438">
      <c r="A1438" s="14">
        <v>23600574</v>
      </c>
      <c r="B1438" s="0" t="s">
        <v>4170</v>
      </c>
      <c r="C1438" s="16">
        <f>HYPERLINK("https://eosportal.federatedhermes.com/companies/Q29tcGFueQppNjY5NDg=", "Veeva Systems Inc")</f>
      </c>
      <c r="D1438" s="0" t="s">
        <v>25</v>
      </c>
      <c r="E1438" s="0" t="s">
        <v>4173</v>
      </c>
      <c r="F1438" s="16">
        <f>HYPERLINK("https://eosportal.federatedhermes.com/engagements/RW5nYWdlbWVudAppMjgxOTE=", "Cyber Strategy")</f>
      </c>
      <c r="G1438" s="14" t="s">
        <v>4174</v>
      </c>
      <c r="H1438" s="0" t="s">
        <v>130</v>
      </c>
      <c r="I1438" s="14" t="s">
        <v>131</v>
      </c>
      <c r="J1438" s="0" t="s">
        <v>132</v>
      </c>
      <c r="K1438" s="0" t="s">
        <v>260</v>
      </c>
      <c r="L1438" s="0" t="s">
        <v>743</v>
      </c>
      <c r="M1438" s="0" t="s">
        <v>135</v>
      </c>
      <c r="N1438" s="0" t="s">
        <v>136</v>
      </c>
      <c r="O1438" s="0" t="s">
        <v>274</v>
      </c>
      <c r="Q1438" s="0" t="s">
        <v>130</v>
      </c>
      <c r="R1438" s="0" t="s">
        <v>138</v>
      </c>
      <c r="S1438" s="14">
        <v>0</v>
      </c>
      <c r="T1438" s="0" t="s">
        <v>193</v>
      </c>
      <c r="U1438" s="0" t="s">
        <v>138</v>
      </c>
      <c r="V1438" s="14" t="s">
        <v>138</v>
      </c>
      <c r="W1438" s="0" t="s">
        <v>138</v>
      </c>
      <c r="X1438" s="14" t="s">
        <v>138</v>
      </c>
      <c r="Y1438" s="0" t="s">
        <v>138</v>
      </c>
      <c r="Z1438" s="14" t="s">
        <v>138</v>
      </c>
      <c r="AA1438" s="0" t="s">
        <v>138</v>
      </c>
      <c r="AB1438" s="14" t="s">
        <v>138</v>
      </c>
      <c r="AD1438" s="0" t="s">
        <v>138</v>
      </c>
      <c r="AF1438" s="0">
        <v>0</v>
      </c>
      <c r="AG1438" s="0">
        <v>0</v>
      </c>
      <c r="AH1438" s="0" t="s">
        <v>140</v>
      </c>
      <c r="AI1438" s="0" t="s">
        <v>138</v>
      </c>
      <c r="AL1438" s="14"/>
      <c r="AN1438" s="14"/>
      <c r="AQ1438" s="0" t="s">
        <v>130</v>
      </c>
      <c r="AR1438" s="0" t="s">
        <v>130</v>
      </c>
      <c r="AS1438" s="0" t="s">
        <v>130</v>
      </c>
      <c r="AT1438" s="0" t="s">
        <v>130</v>
      </c>
      <c r="AU1438" s="0" t="s">
        <v>130</v>
      </c>
      <c r="AV1438" s="0" t="s">
        <v>130</v>
      </c>
      <c r="AW1438" s="0" t="s">
        <v>130</v>
      </c>
      <c r="AX1438" s="0" t="s">
        <v>130</v>
      </c>
      <c r="AY1438" s="0" t="s">
        <v>141</v>
      </c>
      <c r="AZ1438" s="0" t="s">
        <v>130</v>
      </c>
      <c r="BA1438" s="0" t="s">
        <v>130</v>
      </c>
      <c r="BB1438" s="0" t="s">
        <v>130</v>
      </c>
      <c r="BC1438" s="0" t="s">
        <v>130</v>
      </c>
      <c r="BD1438" s="0" t="s">
        <v>130</v>
      </c>
      <c r="BE1438" s="0" t="s">
        <v>130</v>
      </c>
      <c r="BF1438" s="0" t="s">
        <v>130</v>
      </c>
      <c r="BG1438" s="0" t="s">
        <v>130</v>
      </c>
      <c r="BH1438" s="0" t="s">
        <v>130</v>
      </c>
      <c r="BI1438" s="0" t="s">
        <v>130</v>
      </c>
      <c r="BJ1438" s="0" t="s">
        <v>130</v>
      </c>
      <c r="BK1438" s="0" t="s">
        <v>130</v>
      </c>
      <c r="BL1438" s="0" t="s">
        <v>130</v>
      </c>
      <c r="BM1438" s="0" t="s">
        <v>130</v>
      </c>
      <c r="BN1438" s="0" t="s">
        <v>130</v>
      </c>
      <c r="BO1438" s="0" t="s">
        <v>130</v>
      </c>
      <c r="BP1438" s="0" t="s">
        <v>130</v>
      </c>
      <c r="BQ1438" s="0" t="s">
        <v>130</v>
      </c>
      <c r="BR1438" s="0" t="s">
        <v>130</v>
      </c>
      <c r="BS1438" s="0" t="s">
        <v>130</v>
      </c>
      <c r="BT1438" s="0" t="s">
        <v>130</v>
      </c>
      <c r="BU1438" s="0" t="s">
        <v>130</v>
      </c>
      <c r="BV1438" s="0" t="s">
        <v>130</v>
      </c>
      <c r="BW1438" s="0" t="s">
        <v>130</v>
      </c>
      <c r="BX1438" s="0" t="s">
        <v>130</v>
      </c>
      <c r="BY1438" s="0" t="s">
        <v>130</v>
      </c>
      <c r="BZ1438" s="0" t="s">
        <v>130</v>
      </c>
      <c r="CA1438" s="0" t="s">
        <v>130</v>
      </c>
      <c r="CB1438" s="0" t="s">
        <v>130</v>
      </c>
      <c r="CC1438" s="0" t="s">
        <v>130</v>
      </c>
      <c r="CD1438" s="0" t="s">
        <v>130</v>
      </c>
      <c r="CE1438" s="0" t="s">
        <v>130</v>
      </c>
      <c r="CF1438" s="0" t="s">
        <v>130</v>
      </c>
      <c r="CG1438" s="0" t="s">
        <v>130</v>
      </c>
      <c r="CH1438" s="0" t="s">
        <v>130</v>
      </c>
      <c r="CI1438" s="0" t="s">
        <v>130</v>
      </c>
      <c r="CJ1438" s="0" t="s">
        <v>130</v>
      </c>
      <c r="CK1438" s="0" t="s">
        <v>130</v>
      </c>
      <c r="CL1438" s="0" t="s">
        <v>130</v>
      </c>
      <c r="CM1438" s="0" t="s">
        <v>130</v>
      </c>
      <c r="CN1438" s="0" t="s">
        <v>130</v>
      </c>
      <c r="CO1438" s="0" t="s">
        <v>130</v>
      </c>
      <c r="CP1438" s="0" t="s">
        <v>130</v>
      </c>
      <c r="CQ1438" s="0" t="s">
        <v>130</v>
      </c>
      <c r="CR1438" s="0" t="s">
        <v>130</v>
      </c>
      <c r="CS1438" s="0" t="s">
        <v>130</v>
      </c>
      <c r="CT1438" s="0" t="s">
        <v>4175</v>
      </c>
    </row>
    <row r="1439">
      <c r="A1439" s="14">
        <v>23600574</v>
      </c>
      <c r="B1439" s="0" t="s">
        <v>4170</v>
      </c>
      <c r="C1439" s="16">
        <f>HYPERLINK("https://eosportal.federatedhermes.com/companies/Q29tcGFueQppNjY5NDg=", "Veeva Systems Inc")</f>
      </c>
      <c r="D1439" s="0" t="s">
        <v>25</v>
      </c>
      <c r="E1439" s="0" t="s">
        <v>3702</v>
      </c>
      <c r="F1439" s="16">
        <f>HYPERLINK("https://eosportal.federatedhermes.com/engagements/RW5nYWdlbWVudAppMjgxOTI=", "Classified Board")</f>
      </c>
      <c r="G1439" s="14" t="s">
        <v>4176</v>
      </c>
      <c r="H1439" s="0" t="s">
        <v>130</v>
      </c>
      <c r="I1439" s="14" t="s">
        <v>131</v>
      </c>
      <c r="J1439" s="0" t="s">
        <v>145</v>
      </c>
      <c r="K1439" s="0" t="s">
        <v>400</v>
      </c>
      <c r="L1439" s="0" t="s">
        <v>507</v>
      </c>
      <c r="M1439" s="0" t="s">
        <v>135</v>
      </c>
      <c r="N1439" s="0" t="s">
        <v>136</v>
      </c>
      <c r="O1439" s="0" t="s">
        <v>274</v>
      </c>
      <c r="Q1439" s="0" t="s">
        <v>130</v>
      </c>
      <c r="R1439" s="0" t="s">
        <v>138</v>
      </c>
      <c r="S1439" s="14">
        <v>0</v>
      </c>
      <c r="T1439" s="0" t="s">
        <v>148</v>
      </c>
      <c r="U1439" s="0" t="s">
        <v>138</v>
      </c>
      <c r="V1439" s="14" t="s">
        <v>138</v>
      </c>
      <c r="W1439" s="0" t="s">
        <v>138</v>
      </c>
      <c r="X1439" s="14" t="s">
        <v>138</v>
      </c>
      <c r="Y1439" s="0" t="s">
        <v>138</v>
      </c>
      <c r="Z1439" s="14" t="s">
        <v>138</v>
      </c>
      <c r="AA1439" s="0" t="s">
        <v>138</v>
      </c>
      <c r="AB1439" s="14" t="s">
        <v>138</v>
      </c>
      <c r="AD1439" s="0" t="s">
        <v>138</v>
      </c>
      <c r="AF1439" s="0">
        <v>0</v>
      </c>
      <c r="AG1439" s="0">
        <v>0</v>
      </c>
      <c r="AH1439" s="0" t="s">
        <v>140</v>
      </c>
      <c r="AI1439" s="0" t="s">
        <v>138</v>
      </c>
      <c r="AL1439" s="14"/>
      <c r="AN1439" s="14"/>
      <c r="AQ1439" s="0" t="s">
        <v>130</v>
      </c>
      <c r="AR1439" s="0" t="s">
        <v>130</v>
      </c>
      <c r="AS1439" s="0" t="s">
        <v>130</v>
      </c>
      <c r="AT1439" s="0" t="s">
        <v>130</v>
      </c>
      <c r="AU1439" s="0" t="s">
        <v>130</v>
      </c>
      <c r="AV1439" s="0" t="s">
        <v>130</v>
      </c>
      <c r="AW1439" s="0" t="s">
        <v>130</v>
      </c>
      <c r="AX1439" s="0" t="s">
        <v>130</v>
      </c>
      <c r="AY1439" s="0" t="s">
        <v>130</v>
      </c>
      <c r="AZ1439" s="0" t="s">
        <v>130</v>
      </c>
      <c r="BA1439" s="0" t="s">
        <v>130</v>
      </c>
      <c r="BB1439" s="0" t="s">
        <v>130</v>
      </c>
      <c r="BC1439" s="0" t="s">
        <v>130</v>
      </c>
      <c r="BD1439" s="0" t="s">
        <v>130</v>
      </c>
      <c r="BE1439" s="0" t="s">
        <v>130</v>
      </c>
      <c r="BF1439" s="0" t="s">
        <v>130</v>
      </c>
      <c r="BG1439" s="0" t="s">
        <v>130</v>
      </c>
      <c r="BH1439" s="0" t="s">
        <v>130</v>
      </c>
      <c r="BI1439" s="0" t="s">
        <v>130</v>
      </c>
      <c r="BJ1439" s="0" t="s">
        <v>130</v>
      </c>
      <c r="BK1439" s="0" t="s">
        <v>130</v>
      </c>
      <c r="BL1439" s="0" t="s">
        <v>130</v>
      </c>
      <c r="BM1439" s="0" t="s">
        <v>130</v>
      </c>
      <c r="BN1439" s="0" t="s">
        <v>130</v>
      </c>
      <c r="BO1439" s="0" t="s">
        <v>130</v>
      </c>
      <c r="BP1439" s="0" t="s">
        <v>130</v>
      </c>
      <c r="BQ1439" s="0" t="s">
        <v>130</v>
      </c>
      <c r="BR1439" s="0" t="s">
        <v>130</v>
      </c>
      <c r="BS1439" s="0" t="s">
        <v>130</v>
      </c>
      <c r="BT1439" s="0" t="s">
        <v>130</v>
      </c>
      <c r="BU1439" s="0" t="s">
        <v>130</v>
      </c>
      <c r="BV1439" s="0" t="s">
        <v>130</v>
      </c>
      <c r="BW1439" s="0" t="s">
        <v>130</v>
      </c>
      <c r="BX1439" s="0" t="s">
        <v>130</v>
      </c>
      <c r="BY1439" s="0" t="s">
        <v>130</v>
      </c>
      <c r="BZ1439" s="0" t="s">
        <v>130</v>
      </c>
      <c r="CA1439" s="0" t="s">
        <v>130</v>
      </c>
      <c r="CB1439" s="0" t="s">
        <v>130</v>
      </c>
      <c r="CC1439" s="0" t="s">
        <v>130</v>
      </c>
      <c r="CD1439" s="0" t="s">
        <v>130</v>
      </c>
      <c r="CE1439" s="0" t="s">
        <v>130</v>
      </c>
      <c r="CF1439" s="0" t="s">
        <v>130</v>
      </c>
      <c r="CG1439" s="0" t="s">
        <v>130</v>
      </c>
      <c r="CH1439" s="0" t="s">
        <v>130</v>
      </c>
      <c r="CI1439" s="0" t="s">
        <v>130</v>
      </c>
      <c r="CJ1439" s="0" t="s">
        <v>130</v>
      </c>
      <c r="CK1439" s="0" t="s">
        <v>130</v>
      </c>
      <c r="CL1439" s="0" t="s">
        <v>130</v>
      </c>
      <c r="CM1439" s="0" t="s">
        <v>130</v>
      </c>
      <c r="CN1439" s="0" t="s">
        <v>130</v>
      </c>
      <c r="CO1439" s="0" t="s">
        <v>130</v>
      </c>
      <c r="CP1439" s="0" t="s">
        <v>130</v>
      </c>
      <c r="CQ1439" s="0" t="s">
        <v>130</v>
      </c>
      <c r="CR1439" s="0" t="s">
        <v>130</v>
      </c>
      <c r="CS1439" s="0" t="s">
        <v>130</v>
      </c>
      <c r="CT1439" s="0" t="s">
        <v>4177</v>
      </c>
    </row>
    <row r="1440">
      <c r="A1440" s="14">
        <v>23600574</v>
      </c>
      <c r="B1440" s="0" t="s">
        <v>4170</v>
      </c>
      <c r="C1440" s="16">
        <f>HYPERLINK("https://eosportal.federatedhermes.com/companies/Q29tcGFueQppNjY5NDg=", "Veeva Systems Inc")</f>
      </c>
      <c r="D1440" s="0" t="s">
        <v>25</v>
      </c>
      <c r="E1440" s="0" t="s">
        <v>266</v>
      </c>
      <c r="F1440" s="16">
        <f>HYPERLINK("https://eosportal.federatedhermes.com/engagements/RW5nYWdlbWVudAppMjgxOTM=", "Diversity &amp; Inclusion Strategy")</f>
      </c>
      <c r="G1440" s="14" t="s">
        <v>4178</v>
      </c>
      <c r="H1440" s="0" t="s">
        <v>130</v>
      </c>
      <c r="I1440" s="14" t="s">
        <v>131</v>
      </c>
      <c r="J1440" s="0" t="s">
        <v>153</v>
      </c>
      <c r="K1440" s="0" t="s">
        <v>154</v>
      </c>
      <c r="L1440" s="0" t="s">
        <v>268</v>
      </c>
      <c r="M1440" s="0" t="s">
        <v>135</v>
      </c>
      <c r="N1440" s="0" t="s">
        <v>136</v>
      </c>
      <c r="O1440" s="0" t="s">
        <v>274</v>
      </c>
      <c r="Q1440" s="0" t="s">
        <v>130</v>
      </c>
      <c r="R1440" s="0" t="s">
        <v>138</v>
      </c>
      <c r="S1440" s="14">
        <v>0</v>
      </c>
      <c r="T1440" s="0" t="s">
        <v>394</v>
      </c>
      <c r="U1440" s="0" t="s">
        <v>138</v>
      </c>
      <c r="V1440" s="14" t="s">
        <v>138</v>
      </c>
      <c r="W1440" s="0" t="s">
        <v>138</v>
      </c>
      <c r="X1440" s="14" t="s">
        <v>138</v>
      </c>
      <c r="Y1440" s="0" t="s">
        <v>138</v>
      </c>
      <c r="Z1440" s="14" t="s">
        <v>138</v>
      </c>
      <c r="AA1440" s="0" t="s">
        <v>138</v>
      </c>
      <c r="AB1440" s="14" t="s">
        <v>138</v>
      </c>
      <c r="AD1440" s="0" t="s">
        <v>138</v>
      </c>
      <c r="AF1440" s="0">
        <v>0</v>
      </c>
      <c r="AG1440" s="0">
        <v>0</v>
      </c>
      <c r="AH1440" s="0" t="s">
        <v>140</v>
      </c>
      <c r="AI1440" s="0" t="s">
        <v>138</v>
      </c>
      <c r="AL1440" s="14"/>
      <c r="AN1440" s="14"/>
      <c r="AQ1440" s="0" t="s">
        <v>130</v>
      </c>
      <c r="AR1440" s="0" t="s">
        <v>130</v>
      </c>
      <c r="AS1440" s="0" t="s">
        <v>130</v>
      </c>
      <c r="AT1440" s="0" t="s">
        <v>130</v>
      </c>
      <c r="AU1440" s="0" t="s">
        <v>130</v>
      </c>
      <c r="AV1440" s="0" t="s">
        <v>130</v>
      </c>
      <c r="AW1440" s="0" t="s">
        <v>130</v>
      </c>
      <c r="AX1440" s="0" t="s">
        <v>130</v>
      </c>
      <c r="AY1440" s="0" t="s">
        <v>130</v>
      </c>
      <c r="AZ1440" s="0" t="s">
        <v>130</v>
      </c>
      <c r="BA1440" s="0" t="s">
        <v>130</v>
      </c>
      <c r="BB1440" s="0" t="s">
        <v>130</v>
      </c>
      <c r="BC1440" s="0" t="s">
        <v>130</v>
      </c>
      <c r="BD1440" s="0" t="s">
        <v>130</v>
      </c>
      <c r="BE1440" s="0" t="s">
        <v>130</v>
      </c>
      <c r="BF1440" s="0" t="s">
        <v>130</v>
      </c>
      <c r="BG1440" s="0" t="s">
        <v>130</v>
      </c>
      <c r="BH1440" s="0" t="s">
        <v>130</v>
      </c>
      <c r="BI1440" s="0" t="s">
        <v>130</v>
      </c>
      <c r="BJ1440" s="0" t="s">
        <v>130</v>
      </c>
      <c r="BK1440" s="0" t="s">
        <v>130</v>
      </c>
      <c r="BL1440" s="0" t="s">
        <v>130</v>
      </c>
      <c r="BM1440" s="0" t="s">
        <v>130</v>
      </c>
      <c r="BN1440" s="0" t="s">
        <v>130</v>
      </c>
      <c r="BO1440" s="0" t="s">
        <v>130</v>
      </c>
      <c r="BP1440" s="0" t="s">
        <v>130</v>
      </c>
      <c r="BQ1440" s="0" t="s">
        <v>130</v>
      </c>
      <c r="BR1440" s="0" t="s">
        <v>130</v>
      </c>
      <c r="BS1440" s="0" t="s">
        <v>130</v>
      </c>
      <c r="BT1440" s="0" t="s">
        <v>130</v>
      </c>
      <c r="BU1440" s="0" t="s">
        <v>130</v>
      </c>
      <c r="BV1440" s="0" t="s">
        <v>130</v>
      </c>
      <c r="BW1440" s="0" t="s">
        <v>130</v>
      </c>
      <c r="BX1440" s="0" t="s">
        <v>130</v>
      </c>
      <c r="BY1440" s="0" t="s">
        <v>130</v>
      </c>
      <c r="BZ1440" s="0" t="s">
        <v>130</v>
      </c>
      <c r="CA1440" s="0" t="s">
        <v>130</v>
      </c>
      <c r="CB1440" s="0" t="s">
        <v>130</v>
      </c>
      <c r="CC1440" s="0" t="s">
        <v>130</v>
      </c>
      <c r="CD1440" s="0" t="s">
        <v>130</v>
      </c>
      <c r="CE1440" s="0" t="s">
        <v>130</v>
      </c>
      <c r="CF1440" s="0" t="s">
        <v>130</v>
      </c>
      <c r="CG1440" s="0" t="s">
        <v>130</v>
      </c>
      <c r="CH1440" s="0" t="s">
        <v>130</v>
      </c>
      <c r="CI1440" s="0" t="s">
        <v>130</v>
      </c>
      <c r="CJ1440" s="0" t="s">
        <v>130</v>
      </c>
      <c r="CK1440" s="0" t="s">
        <v>141</v>
      </c>
      <c r="CL1440" s="0" t="s">
        <v>130</v>
      </c>
      <c r="CM1440" s="0" t="s">
        <v>130</v>
      </c>
      <c r="CN1440" s="0" t="s">
        <v>130</v>
      </c>
      <c r="CO1440" s="0" t="s">
        <v>130</v>
      </c>
      <c r="CP1440" s="0" t="s">
        <v>130</v>
      </c>
      <c r="CQ1440" s="0" t="s">
        <v>130</v>
      </c>
      <c r="CR1440" s="0" t="s">
        <v>130</v>
      </c>
      <c r="CS1440" s="0" t="s">
        <v>130</v>
      </c>
      <c r="CT1440" s="0" t="s">
        <v>4179</v>
      </c>
    </row>
    <row r="1441">
      <c r="A1441" s="14">
        <v>23600574</v>
      </c>
      <c r="B1441" s="0" t="s">
        <v>4170</v>
      </c>
      <c r="C1441" s="16">
        <f>HYPERLINK("https://eosportal.federatedhermes.com/companies/Q29tcGFueQppNjY5NDg=", "Veeva Systems Inc")</f>
      </c>
      <c r="D1441" s="0" t="s">
        <v>25</v>
      </c>
      <c r="E1441" s="0" t="s">
        <v>4180</v>
      </c>
      <c r="F1441" s="16">
        <f>HYPERLINK("https://eosportal.federatedhermes.com/engagements/RW5nYWdlbWVudAppMjgxOTQ=", "Conversion to Public Benefit Corporation")</f>
      </c>
      <c r="G1441" s="14" t="s">
        <v>4181</v>
      </c>
      <c r="H1441" s="0" t="s">
        <v>130</v>
      </c>
      <c r="I1441" s="14" t="s">
        <v>131</v>
      </c>
      <c r="J1441" s="0" t="s">
        <v>132</v>
      </c>
      <c r="K1441" s="0" t="s">
        <v>133</v>
      </c>
      <c r="L1441" s="0" t="s">
        <v>160</v>
      </c>
      <c r="M1441" s="0" t="s">
        <v>135</v>
      </c>
      <c r="N1441" s="0" t="s">
        <v>136</v>
      </c>
      <c r="O1441" s="0" t="s">
        <v>274</v>
      </c>
      <c r="Q1441" s="0" t="s">
        <v>130</v>
      </c>
      <c r="R1441" s="0" t="s">
        <v>138</v>
      </c>
      <c r="S1441" s="14">
        <v>0</v>
      </c>
      <c r="T1441" s="0" t="s">
        <v>156</v>
      </c>
      <c r="U1441" s="0" t="s">
        <v>138</v>
      </c>
      <c r="V1441" s="14" t="s">
        <v>138</v>
      </c>
      <c r="W1441" s="0" t="s">
        <v>138</v>
      </c>
      <c r="X1441" s="14" t="s">
        <v>138</v>
      </c>
      <c r="Y1441" s="0" t="s">
        <v>138</v>
      </c>
      <c r="Z1441" s="14" t="s">
        <v>138</v>
      </c>
      <c r="AA1441" s="0" t="s">
        <v>138</v>
      </c>
      <c r="AB1441" s="14" t="s">
        <v>138</v>
      </c>
      <c r="AD1441" s="0" t="s">
        <v>138</v>
      </c>
      <c r="AF1441" s="0">
        <v>0</v>
      </c>
      <c r="AG1441" s="0">
        <v>0</v>
      </c>
      <c r="AH1441" s="0" t="s">
        <v>140</v>
      </c>
      <c r="AI1441" s="0" t="s">
        <v>138</v>
      </c>
      <c r="AL1441" s="14"/>
      <c r="AN1441" s="14"/>
      <c r="AQ1441" s="0" t="s">
        <v>130</v>
      </c>
      <c r="AR1441" s="0" t="s">
        <v>130</v>
      </c>
      <c r="AS1441" s="0" t="s">
        <v>130</v>
      </c>
      <c r="AT1441" s="0" t="s">
        <v>130</v>
      </c>
      <c r="AU1441" s="0" t="s">
        <v>130</v>
      </c>
      <c r="AV1441" s="0" t="s">
        <v>130</v>
      </c>
      <c r="AW1441" s="0" t="s">
        <v>130</v>
      </c>
      <c r="AX1441" s="0" t="s">
        <v>130</v>
      </c>
      <c r="AY1441" s="0" t="s">
        <v>130</v>
      </c>
      <c r="AZ1441" s="0" t="s">
        <v>130</v>
      </c>
      <c r="BA1441" s="0" t="s">
        <v>130</v>
      </c>
      <c r="BB1441" s="0" t="s">
        <v>130</v>
      </c>
      <c r="BC1441" s="0" t="s">
        <v>130</v>
      </c>
      <c r="BD1441" s="0" t="s">
        <v>130</v>
      </c>
      <c r="BE1441" s="0" t="s">
        <v>130</v>
      </c>
      <c r="BF1441" s="0" t="s">
        <v>130</v>
      </c>
      <c r="BG1441" s="0" t="s">
        <v>130</v>
      </c>
      <c r="BH1441" s="0" t="s">
        <v>130</v>
      </c>
      <c r="BI1441" s="0" t="s">
        <v>130</v>
      </c>
      <c r="BJ1441" s="0" t="s">
        <v>130</v>
      </c>
      <c r="BK1441" s="0" t="s">
        <v>130</v>
      </c>
      <c r="BL1441" s="0" t="s">
        <v>130</v>
      </c>
      <c r="BM1441" s="0" t="s">
        <v>130</v>
      </c>
      <c r="BN1441" s="0" t="s">
        <v>130</v>
      </c>
      <c r="BO1441" s="0" t="s">
        <v>130</v>
      </c>
      <c r="BP1441" s="0" t="s">
        <v>130</v>
      </c>
      <c r="BQ1441" s="0" t="s">
        <v>130</v>
      </c>
      <c r="BR1441" s="0" t="s">
        <v>130</v>
      </c>
      <c r="BS1441" s="0" t="s">
        <v>130</v>
      </c>
      <c r="BT1441" s="0" t="s">
        <v>130</v>
      </c>
      <c r="BU1441" s="0" t="s">
        <v>130</v>
      </c>
      <c r="BV1441" s="0" t="s">
        <v>130</v>
      </c>
      <c r="BW1441" s="0" t="s">
        <v>130</v>
      </c>
      <c r="BX1441" s="0" t="s">
        <v>130</v>
      </c>
      <c r="BY1441" s="0" t="s">
        <v>130</v>
      </c>
      <c r="BZ1441" s="0" t="s">
        <v>130</v>
      </c>
      <c r="CA1441" s="0" t="s">
        <v>130</v>
      </c>
      <c r="CB1441" s="0" t="s">
        <v>130</v>
      </c>
      <c r="CC1441" s="0" t="s">
        <v>130</v>
      </c>
      <c r="CD1441" s="0" t="s">
        <v>130</v>
      </c>
      <c r="CE1441" s="0" t="s">
        <v>130</v>
      </c>
      <c r="CF1441" s="0" t="s">
        <v>130</v>
      </c>
      <c r="CG1441" s="0" t="s">
        <v>130</v>
      </c>
      <c r="CH1441" s="0" t="s">
        <v>130</v>
      </c>
      <c r="CI1441" s="0" t="s">
        <v>130</v>
      </c>
      <c r="CJ1441" s="0" t="s">
        <v>130</v>
      </c>
      <c r="CK1441" s="0" t="s">
        <v>130</v>
      </c>
      <c r="CL1441" s="0" t="s">
        <v>130</v>
      </c>
      <c r="CM1441" s="0" t="s">
        <v>130</v>
      </c>
      <c r="CN1441" s="0" t="s">
        <v>130</v>
      </c>
      <c r="CO1441" s="0" t="s">
        <v>130</v>
      </c>
      <c r="CP1441" s="0" t="s">
        <v>130</v>
      </c>
      <c r="CQ1441" s="0" t="s">
        <v>130</v>
      </c>
      <c r="CR1441" s="0" t="s">
        <v>130</v>
      </c>
      <c r="CS1441" s="0" t="s">
        <v>130</v>
      </c>
      <c r="CT1441" s="0" t="s">
        <v>4182</v>
      </c>
    </row>
    <row r="1442">
      <c r="A1442" s="14">
        <v>23743170</v>
      </c>
      <c r="B1442" s="0" t="s">
        <v>4183</v>
      </c>
      <c r="C1442" s="16">
        <f>HYPERLINK("https://eosportal.federatedhermes.com/companies/Q29tcGFueQppNjY5NjY=", "Xylem Inc/NY")</f>
      </c>
      <c r="D1442" s="0" t="s">
        <v>25</v>
      </c>
      <c r="E1442" s="0" t="s">
        <v>4184</v>
      </c>
      <c r="F1442" s="16">
        <f>HYPERLINK("https://eosportal.federatedhermes.com/engagements/RW5nYWdlbWVudAppMjgxOTk=", "Water intensity of operations")</f>
      </c>
      <c r="G1442" s="14" t="s">
        <v>4185</v>
      </c>
      <c r="H1442" s="0" t="s">
        <v>130</v>
      </c>
      <c r="I1442" s="14" t="s">
        <v>319</v>
      </c>
      <c r="J1442" s="0" t="s">
        <v>197</v>
      </c>
      <c r="K1442" s="0" t="s">
        <v>337</v>
      </c>
      <c r="L1442" s="0" t="s">
        <v>338</v>
      </c>
      <c r="M1442" s="0" t="s">
        <v>135</v>
      </c>
      <c r="N1442" s="0" t="s">
        <v>136</v>
      </c>
      <c r="O1442" s="0" t="s">
        <v>176</v>
      </c>
      <c r="Q1442" s="0" t="s">
        <v>130</v>
      </c>
      <c r="R1442" s="0" t="s">
        <v>138</v>
      </c>
      <c r="S1442" s="14">
        <v>0</v>
      </c>
      <c r="T1442" s="0" t="s">
        <v>333</v>
      </c>
      <c r="U1442" s="0" t="s">
        <v>138</v>
      </c>
      <c r="V1442" s="14" t="s">
        <v>138</v>
      </c>
      <c r="W1442" s="0" t="s">
        <v>138</v>
      </c>
      <c r="X1442" s="14" t="s">
        <v>138</v>
      </c>
      <c r="Y1442" s="0" t="s">
        <v>138</v>
      </c>
      <c r="Z1442" s="14" t="s">
        <v>138</v>
      </c>
      <c r="AA1442" s="0" t="s">
        <v>138</v>
      </c>
      <c r="AB1442" s="14" t="s">
        <v>138</v>
      </c>
      <c r="AD1442" s="0" t="s">
        <v>138</v>
      </c>
      <c r="AF1442" s="0">
        <v>0</v>
      </c>
      <c r="AG1442" s="0">
        <v>0</v>
      </c>
      <c r="AH1442" s="0" t="s">
        <v>140</v>
      </c>
      <c r="AI1442" s="0" t="s">
        <v>138</v>
      </c>
      <c r="AL1442" s="14"/>
      <c r="AN1442" s="14"/>
      <c r="AQ1442" s="0" t="s">
        <v>130</v>
      </c>
      <c r="AR1442" s="0" t="s">
        <v>130</v>
      </c>
      <c r="AS1442" s="0" t="s">
        <v>130</v>
      </c>
      <c r="AT1442" s="0" t="s">
        <v>130</v>
      </c>
      <c r="AU1442" s="0" t="s">
        <v>130</v>
      </c>
      <c r="AV1442" s="0" t="s">
        <v>141</v>
      </c>
      <c r="AW1442" s="0" t="s">
        <v>130</v>
      </c>
      <c r="AX1442" s="0" t="s">
        <v>130</v>
      </c>
      <c r="AY1442" s="0" t="s">
        <v>130</v>
      </c>
      <c r="AZ1442" s="0" t="s">
        <v>130</v>
      </c>
      <c r="BA1442" s="0" t="s">
        <v>130</v>
      </c>
      <c r="BB1442" s="0" t="s">
        <v>130</v>
      </c>
      <c r="BC1442" s="0" t="s">
        <v>130</v>
      </c>
      <c r="BD1442" s="0" t="s">
        <v>130</v>
      </c>
      <c r="BE1442" s="0" t="s">
        <v>130</v>
      </c>
      <c r="BF1442" s="0" t="s">
        <v>130</v>
      </c>
      <c r="BG1442" s="0" t="s">
        <v>130</v>
      </c>
      <c r="BH1442" s="0" t="s">
        <v>130</v>
      </c>
      <c r="BI1442" s="0" t="s">
        <v>130</v>
      </c>
      <c r="BJ1442" s="0" t="s">
        <v>130</v>
      </c>
      <c r="BK1442" s="0" t="s">
        <v>130</v>
      </c>
      <c r="BL1442" s="0" t="s">
        <v>130</v>
      </c>
      <c r="BM1442" s="0" t="s">
        <v>130</v>
      </c>
      <c r="BN1442" s="0" t="s">
        <v>130</v>
      </c>
      <c r="BO1442" s="0" t="s">
        <v>130</v>
      </c>
      <c r="BP1442" s="0" t="s">
        <v>130</v>
      </c>
      <c r="BQ1442" s="0" t="s">
        <v>130</v>
      </c>
      <c r="BR1442" s="0" t="s">
        <v>130</v>
      </c>
      <c r="BS1442" s="0" t="s">
        <v>130</v>
      </c>
      <c r="BT1442" s="0" t="s">
        <v>130</v>
      </c>
      <c r="BU1442" s="0" t="s">
        <v>130</v>
      </c>
      <c r="BV1442" s="0" t="s">
        <v>130</v>
      </c>
      <c r="BW1442" s="0" t="s">
        <v>130</v>
      </c>
      <c r="BX1442" s="0" t="s">
        <v>141</v>
      </c>
      <c r="BY1442" s="0" t="s">
        <v>130</v>
      </c>
      <c r="BZ1442" s="0" t="s">
        <v>130</v>
      </c>
      <c r="CA1442" s="0" t="s">
        <v>130</v>
      </c>
      <c r="CB1442" s="0" t="s">
        <v>130</v>
      </c>
      <c r="CC1442" s="0" t="s">
        <v>130</v>
      </c>
      <c r="CD1442" s="0" t="s">
        <v>130</v>
      </c>
      <c r="CE1442" s="0" t="s">
        <v>130</v>
      </c>
      <c r="CF1442" s="0" t="s">
        <v>130</v>
      </c>
      <c r="CG1442" s="0" t="s">
        <v>130</v>
      </c>
      <c r="CH1442" s="0" t="s">
        <v>130</v>
      </c>
      <c r="CI1442" s="0" t="s">
        <v>130</v>
      </c>
      <c r="CJ1442" s="0" t="s">
        <v>130</v>
      </c>
      <c r="CK1442" s="0" t="s">
        <v>130</v>
      </c>
      <c r="CL1442" s="0" t="s">
        <v>130</v>
      </c>
      <c r="CM1442" s="0" t="s">
        <v>130</v>
      </c>
      <c r="CN1442" s="0" t="s">
        <v>130</v>
      </c>
      <c r="CO1442" s="0" t="s">
        <v>130</v>
      </c>
      <c r="CP1442" s="0" t="s">
        <v>130</v>
      </c>
      <c r="CQ1442" s="0" t="s">
        <v>130</v>
      </c>
      <c r="CR1442" s="0" t="s">
        <v>130</v>
      </c>
      <c r="CS1442" s="0" t="s">
        <v>130</v>
      </c>
      <c r="CT1442" s="0" t="s">
        <v>4186</v>
      </c>
    </row>
    <row r="1443">
      <c r="A1443" s="14">
        <v>23743170</v>
      </c>
      <c r="B1443" s="0" t="s">
        <v>4183</v>
      </c>
      <c r="C1443" s="16">
        <f>HYPERLINK("https://eosportal.federatedhermes.com/companies/Q29tcGFueQppNjY5NjY=", "Xylem Inc/NY")</f>
      </c>
      <c r="D1443" s="0" t="s">
        <v>25</v>
      </c>
      <c r="E1443" s="0" t="s">
        <v>4187</v>
      </c>
      <c r="F1443" s="16">
        <f>HYPERLINK("https://eosportal.federatedhermes.com/engagements/RW5nYWdlbWVudAppMjgyMDA=", "Impact reporting")</f>
      </c>
      <c r="G1443" s="14" t="s">
        <v>4188</v>
      </c>
      <c r="H1443" s="0" t="s">
        <v>130</v>
      </c>
      <c r="I1443" s="14" t="s">
        <v>319</v>
      </c>
      <c r="J1443" s="0" t="s">
        <v>197</v>
      </c>
      <c r="K1443" s="0" t="s">
        <v>337</v>
      </c>
      <c r="L1443" s="0" t="s">
        <v>338</v>
      </c>
      <c r="M1443" s="0" t="s">
        <v>135</v>
      </c>
      <c r="N1443" s="0" t="s">
        <v>136</v>
      </c>
      <c r="O1443" s="0" t="s">
        <v>176</v>
      </c>
      <c r="Q1443" s="0" t="s">
        <v>130</v>
      </c>
      <c r="R1443" s="0" t="s">
        <v>138</v>
      </c>
      <c r="S1443" s="14">
        <v>0</v>
      </c>
      <c r="T1443" s="0" t="s">
        <v>333</v>
      </c>
      <c r="U1443" s="0" t="s">
        <v>138</v>
      </c>
      <c r="V1443" s="14" t="s">
        <v>138</v>
      </c>
      <c r="W1443" s="0" t="s">
        <v>138</v>
      </c>
      <c r="X1443" s="14" t="s">
        <v>138</v>
      </c>
      <c r="Y1443" s="0" t="s">
        <v>138</v>
      </c>
      <c r="Z1443" s="14" t="s">
        <v>138</v>
      </c>
      <c r="AA1443" s="0" t="s">
        <v>138</v>
      </c>
      <c r="AB1443" s="14" t="s">
        <v>138</v>
      </c>
      <c r="AD1443" s="0" t="s">
        <v>138</v>
      </c>
      <c r="AF1443" s="0">
        <v>0</v>
      </c>
      <c r="AG1443" s="0">
        <v>0</v>
      </c>
      <c r="AH1443" s="0" t="s">
        <v>140</v>
      </c>
      <c r="AI1443" s="0" t="s">
        <v>138</v>
      </c>
      <c r="AL1443" s="14"/>
      <c r="AN1443" s="14"/>
      <c r="AQ1443" s="0" t="s">
        <v>130</v>
      </c>
      <c r="AR1443" s="0" t="s">
        <v>130</v>
      </c>
      <c r="AS1443" s="0" t="s">
        <v>130</v>
      </c>
      <c r="AT1443" s="0" t="s">
        <v>130</v>
      </c>
      <c r="AU1443" s="0" t="s">
        <v>130</v>
      </c>
      <c r="AV1443" s="0" t="s">
        <v>141</v>
      </c>
      <c r="AW1443" s="0" t="s">
        <v>130</v>
      </c>
      <c r="AX1443" s="0" t="s">
        <v>130</v>
      </c>
      <c r="AY1443" s="0" t="s">
        <v>130</v>
      </c>
      <c r="AZ1443" s="0" t="s">
        <v>130</v>
      </c>
      <c r="BA1443" s="0" t="s">
        <v>130</v>
      </c>
      <c r="BB1443" s="0" t="s">
        <v>130</v>
      </c>
      <c r="BC1443" s="0" t="s">
        <v>130</v>
      </c>
      <c r="BD1443" s="0" t="s">
        <v>130</v>
      </c>
      <c r="BE1443" s="0" t="s">
        <v>130</v>
      </c>
      <c r="BF1443" s="0" t="s">
        <v>130</v>
      </c>
      <c r="BG1443" s="0" t="s">
        <v>130</v>
      </c>
      <c r="BH1443" s="0" t="s">
        <v>130</v>
      </c>
      <c r="BI1443" s="0" t="s">
        <v>130</v>
      </c>
      <c r="BJ1443" s="0" t="s">
        <v>130</v>
      </c>
      <c r="BK1443" s="0" t="s">
        <v>130</v>
      </c>
      <c r="BL1443" s="0" t="s">
        <v>130</v>
      </c>
      <c r="BM1443" s="0" t="s">
        <v>130</v>
      </c>
      <c r="BN1443" s="0" t="s">
        <v>130</v>
      </c>
      <c r="BO1443" s="0" t="s">
        <v>130</v>
      </c>
      <c r="BP1443" s="0" t="s">
        <v>130</v>
      </c>
      <c r="BQ1443" s="0" t="s">
        <v>130</v>
      </c>
      <c r="BR1443" s="0" t="s">
        <v>130</v>
      </c>
      <c r="BS1443" s="0" t="s">
        <v>130</v>
      </c>
      <c r="BT1443" s="0" t="s">
        <v>130</v>
      </c>
      <c r="BU1443" s="0" t="s">
        <v>130</v>
      </c>
      <c r="BV1443" s="0" t="s">
        <v>130</v>
      </c>
      <c r="BW1443" s="0" t="s">
        <v>130</v>
      </c>
      <c r="BX1443" s="0" t="s">
        <v>141</v>
      </c>
      <c r="BY1443" s="0" t="s">
        <v>130</v>
      </c>
      <c r="BZ1443" s="0" t="s">
        <v>130</v>
      </c>
      <c r="CA1443" s="0" t="s">
        <v>130</v>
      </c>
      <c r="CB1443" s="0" t="s">
        <v>130</v>
      </c>
      <c r="CC1443" s="0" t="s">
        <v>130</v>
      </c>
      <c r="CD1443" s="0" t="s">
        <v>130</v>
      </c>
      <c r="CE1443" s="0" t="s">
        <v>130</v>
      </c>
      <c r="CF1443" s="0" t="s">
        <v>130</v>
      </c>
      <c r="CG1443" s="0" t="s">
        <v>130</v>
      </c>
      <c r="CH1443" s="0" t="s">
        <v>130</v>
      </c>
      <c r="CI1443" s="0" t="s">
        <v>130</v>
      </c>
      <c r="CJ1443" s="0" t="s">
        <v>130</v>
      </c>
      <c r="CK1443" s="0" t="s">
        <v>130</v>
      </c>
      <c r="CL1443" s="0" t="s">
        <v>130</v>
      </c>
      <c r="CM1443" s="0" t="s">
        <v>130</v>
      </c>
      <c r="CN1443" s="0" t="s">
        <v>130</v>
      </c>
      <c r="CO1443" s="0" t="s">
        <v>130</v>
      </c>
      <c r="CP1443" s="0" t="s">
        <v>130</v>
      </c>
      <c r="CQ1443" s="0" t="s">
        <v>130</v>
      </c>
      <c r="CR1443" s="0" t="s">
        <v>130</v>
      </c>
      <c r="CS1443" s="0" t="s">
        <v>130</v>
      </c>
      <c r="CT1443" s="0" t="s">
        <v>4189</v>
      </c>
    </row>
    <row r="1444">
      <c r="A1444" s="14">
        <v>23743170</v>
      </c>
      <c r="B1444" s="0" t="s">
        <v>4183</v>
      </c>
      <c r="C1444" s="16">
        <f>HYPERLINK("https://eosportal.federatedhermes.com/companies/Q29tcGFueQppNjY5NjY=", "Xylem Inc/NY")</f>
      </c>
      <c r="D1444" s="0" t="s">
        <v>25</v>
      </c>
      <c r="E1444" s="0" t="s">
        <v>459</v>
      </c>
      <c r="F1444" s="16">
        <f>HYPERLINK("https://eosportal.federatedhermes.com/engagements/RW5nYWdlbWVudAppMjgyMDE=", "Human capital management")</f>
      </c>
      <c r="G1444" s="14" t="s">
        <v>4190</v>
      </c>
      <c r="H1444" s="0" t="s">
        <v>130</v>
      </c>
      <c r="I1444" s="14" t="s">
        <v>319</v>
      </c>
      <c r="J1444" s="0" t="s">
        <v>153</v>
      </c>
      <c r="K1444" s="0" t="s">
        <v>154</v>
      </c>
      <c r="L1444" s="0" t="s">
        <v>268</v>
      </c>
      <c r="M1444" s="0" t="s">
        <v>135</v>
      </c>
      <c r="N1444" s="0" t="s">
        <v>136</v>
      </c>
      <c r="O1444" s="0" t="s">
        <v>176</v>
      </c>
      <c r="Q1444" s="0" t="s">
        <v>130</v>
      </c>
      <c r="R1444" s="0" t="s">
        <v>138</v>
      </c>
      <c r="S1444" s="14">
        <v>0</v>
      </c>
      <c r="T1444" s="0" t="s">
        <v>333</v>
      </c>
      <c r="U1444" s="0" t="s">
        <v>138</v>
      </c>
      <c r="V1444" s="14" t="s">
        <v>138</v>
      </c>
      <c r="W1444" s="0" t="s">
        <v>138</v>
      </c>
      <c r="X1444" s="14" t="s">
        <v>138</v>
      </c>
      <c r="Y1444" s="0" t="s">
        <v>138</v>
      </c>
      <c r="Z1444" s="14" t="s">
        <v>138</v>
      </c>
      <c r="AA1444" s="0" t="s">
        <v>138</v>
      </c>
      <c r="AB1444" s="14" t="s">
        <v>138</v>
      </c>
      <c r="AD1444" s="0" t="s">
        <v>138</v>
      </c>
      <c r="AF1444" s="0">
        <v>0</v>
      </c>
      <c r="AG1444" s="0">
        <v>0</v>
      </c>
      <c r="AH1444" s="0" t="s">
        <v>140</v>
      </c>
      <c r="AI1444" s="0" t="s">
        <v>138</v>
      </c>
      <c r="AL1444" s="14"/>
      <c r="AN1444" s="14"/>
      <c r="AQ1444" s="0" t="s">
        <v>130</v>
      </c>
      <c r="AR1444" s="0" t="s">
        <v>130</v>
      </c>
      <c r="AS1444" s="0" t="s">
        <v>130</v>
      </c>
      <c r="AT1444" s="0" t="s">
        <v>130</v>
      </c>
      <c r="AU1444" s="0" t="s">
        <v>130</v>
      </c>
      <c r="AV1444" s="0" t="s">
        <v>130</v>
      </c>
      <c r="AW1444" s="0" t="s">
        <v>130</v>
      </c>
      <c r="AX1444" s="0" t="s">
        <v>130</v>
      </c>
      <c r="AY1444" s="0" t="s">
        <v>130</v>
      </c>
      <c r="AZ1444" s="0" t="s">
        <v>130</v>
      </c>
      <c r="BA1444" s="0" t="s">
        <v>130</v>
      </c>
      <c r="BB1444" s="0" t="s">
        <v>130</v>
      </c>
      <c r="BC1444" s="0" t="s">
        <v>130</v>
      </c>
      <c r="BD1444" s="0" t="s">
        <v>130</v>
      </c>
      <c r="BE1444" s="0" t="s">
        <v>130</v>
      </c>
      <c r="BF1444" s="0" t="s">
        <v>130</v>
      </c>
      <c r="BG1444" s="0" t="s">
        <v>130</v>
      </c>
      <c r="BH1444" s="0" t="s">
        <v>130</v>
      </c>
      <c r="BI1444" s="0" t="s">
        <v>130</v>
      </c>
      <c r="BJ1444" s="0" t="s">
        <v>130</v>
      </c>
      <c r="BK1444" s="0" t="s">
        <v>130</v>
      </c>
      <c r="BL1444" s="0" t="s">
        <v>130</v>
      </c>
      <c r="BM1444" s="0" t="s">
        <v>130</v>
      </c>
      <c r="BN1444" s="0" t="s">
        <v>130</v>
      </c>
      <c r="BO1444" s="0" t="s">
        <v>130</v>
      </c>
      <c r="BP1444" s="0" t="s">
        <v>130</v>
      </c>
      <c r="BQ1444" s="0" t="s">
        <v>130</v>
      </c>
      <c r="BR1444" s="0" t="s">
        <v>130</v>
      </c>
      <c r="BS1444" s="0" t="s">
        <v>130</v>
      </c>
      <c r="BT1444" s="0" t="s">
        <v>130</v>
      </c>
      <c r="BU1444" s="0" t="s">
        <v>130</v>
      </c>
      <c r="BV1444" s="0" t="s">
        <v>130</v>
      </c>
      <c r="BW1444" s="0" t="s">
        <v>130</v>
      </c>
      <c r="BX1444" s="0" t="s">
        <v>130</v>
      </c>
      <c r="BY1444" s="0" t="s">
        <v>130</v>
      </c>
      <c r="BZ1444" s="0" t="s">
        <v>130</v>
      </c>
      <c r="CA1444" s="0" t="s">
        <v>130</v>
      </c>
      <c r="CB1444" s="0" t="s">
        <v>130</v>
      </c>
      <c r="CC1444" s="0" t="s">
        <v>130</v>
      </c>
      <c r="CD1444" s="0" t="s">
        <v>130</v>
      </c>
      <c r="CE1444" s="0" t="s">
        <v>130</v>
      </c>
      <c r="CF1444" s="0" t="s">
        <v>130</v>
      </c>
      <c r="CG1444" s="0" t="s">
        <v>130</v>
      </c>
      <c r="CH1444" s="0" t="s">
        <v>130</v>
      </c>
      <c r="CI1444" s="0" t="s">
        <v>130</v>
      </c>
      <c r="CJ1444" s="0" t="s">
        <v>130</v>
      </c>
      <c r="CK1444" s="0" t="s">
        <v>141</v>
      </c>
      <c r="CL1444" s="0" t="s">
        <v>130</v>
      </c>
      <c r="CM1444" s="0" t="s">
        <v>130</v>
      </c>
      <c r="CN1444" s="0" t="s">
        <v>130</v>
      </c>
      <c r="CO1444" s="0" t="s">
        <v>130</v>
      </c>
      <c r="CP1444" s="0" t="s">
        <v>130</v>
      </c>
      <c r="CQ1444" s="0" t="s">
        <v>130</v>
      </c>
      <c r="CR1444" s="0" t="s">
        <v>130</v>
      </c>
      <c r="CS1444" s="0" t="s">
        <v>130</v>
      </c>
      <c r="CT1444" s="0" t="s">
        <v>4191</v>
      </c>
    </row>
    <row r="1445">
      <c r="A1445" s="14">
        <v>23743170</v>
      </c>
      <c r="B1445" s="0" t="s">
        <v>4183</v>
      </c>
      <c r="C1445" s="16">
        <f>HYPERLINK("https://eosportal.federatedhermes.com/companies/Q29tcGFueQppNjY5NjY=", "Xylem Inc/NY")</f>
      </c>
      <c r="D1445" s="0" t="s">
        <v>25</v>
      </c>
      <c r="E1445" s="0" t="s">
        <v>236</v>
      </c>
      <c r="F1445" s="16">
        <f>HYPERLINK("https://eosportal.federatedhermes.com/engagements/RW5nYWdlbWVudAppMjgyMDI=", "Executive pay")</f>
      </c>
      <c r="G1445" s="14" t="s">
        <v>4192</v>
      </c>
      <c r="H1445" s="0" t="s">
        <v>130</v>
      </c>
      <c r="I1445" s="14" t="s">
        <v>319</v>
      </c>
      <c r="J1445" s="0" t="s">
        <v>145</v>
      </c>
      <c r="K1445" s="0" t="s">
        <v>146</v>
      </c>
      <c r="L1445" s="0" t="s">
        <v>147</v>
      </c>
      <c r="M1445" s="0" t="s">
        <v>135</v>
      </c>
      <c r="N1445" s="0" t="s">
        <v>136</v>
      </c>
      <c r="O1445" s="0" t="s">
        <v>176</v>
      </c>
      <c r="Q1445" s="0" t="s">
        <v>130</v>
      </c>
      <c r="R1445" s="0" t="s">
        <v>138</v>
      </c>
      <c r="S1445" s="14">
        <v>0</v>
      </c>
      <c r="T1445" s="0" t="s">
        <v>148</v>
      </c>
      <c r="U1445" s="0" t="s">
        <v>138</v>
      </c>
      <c r="V1445" s="14" t="s">
        <v>138</v>
      </c>
      <c r="W1445" s="0" t="s">
        <v>138</v>
      </c>
      <c r="X1445" s="14" t="s">
        <v>138</v>
      </c>
      <c r="Y1445" s="0" t="s">
        <v>138</v>
      </c>
      <c r="Z1445" s="14" t="s">
        <v>138</v>
      </c>
      <c r="AA1445" s="0" t="s">
        <v>138</v>
      </c>
      <c r="AB1445" s="14" t="s">
        <v>138</v>
      </c>
      <c r="AD1445" s="0" t="s">
        <v>138</v>
      </c>
      <c r="AF1445" s="0">
        <v>0</v>
      </c>
      <c r="AG1445" s="0">
        <v>0</v>
      </c>
      <c r="AH1445" s="0" t="s">
        <v>140</v>
      </c>
      <c r="AI1445" s="0" t="s">
        <v>138</v>
      </c>
      <c r="AL1445" s="14"/>
      <c r="AN1445" s="14"/>
      <c r="AQ1445" s="0" t="s">
        <v>130</v>
      </c>
      <c r="AR1445" s="0" t="s">
        <v>130</v>
      </c>
      <c r="AS1445" s="0" t="s">
        <v>130</v>
      </c>
      <c r="AT1445" s="0" t="s">
        <v>130</v>
      </c>
      <c r="AU1445" s="0" t="s">
        <v>130</v>
      </c>
      <c r="AV1445" s="0" t="s">
        <v>130</v>
      </c>
      <c r="AW1445" s="0" t="s">
        <v>130</v>
      </c>
      <c r="AX1445" s="0" t="s">
        <v>130</v>
      </c>
      <c r="AY1445" s="0" t="s">
        <v>130</v>
      </c>
      <c r="AZ1445" s="0" t="s">
        <v>130</v>
      </c>
      <c r="BA1445" s="0" t="s">
        <v>130</v>
      </c>
      <c r="BB1445" s="0" t="s">
        <v>130</v>
      </c>
      <c r="BC1445" s="0" t="s">
        <v>130</v>
      </c>
      <c r="BD1445" s="0" t="s">
        <v>130</v>
      </c>
      <c r="BE1445" s="0" t="s">
        <v>130</v>
      </c>
      <c r="BF1445" s="0" t="s">
        <v>130</v>
      </c>
      <c r="BG1445" s="0" t="s">
        <v>130</v>
      </c>
      <c r="BH1445" s="0" t="s">
        <v>130</v>
      </c>
      <c r="BI1445" s="0" t="s">
        <v>130</v>
      </c>
      <c r="BJ1445" s="0" t="s">
        <v>130</v>
      </c>
      <c r="BK1445" s="0" t="s">
        <v>130</v>
      </c>
      <c r="BL1445" s="0" t="s">
        <v>130</v>
      </c>
      <c r="BM1445" s="0" t="s">
        <v>130</v>
      </c>
      <c r="BN1445" s="0" t="s">
        <v>130</v>
      </c>
      <c r="BO1445" s="0" t="s">
        <v>130</v>
      </c>
      <c r="BP1445" s="0" t="s">
        <v>130</v>
      </c>
      <c r="BQ1445" s="0" t="s">
        <v>130</v>
      </c>
      <c r="BR1445" s="0" t="s">
        <v>130</v>
      </c>
      <c r="BS1445" s="0" t="s">
        <v>130</v>
      </c>
      <c r="BT1445" s="0" t="s">
        <v>130</v>
      </c>
      <c r="BU1445" s="0" t="s">
        <v>130</v>
      </c>
      <c r="BV1445" s="0" t="s">
        <v>130</v>
      </c>
      <c r="BW1445" s="0" t="s">
        <v>130</v>
      </c>
      <c r="BX1445" s="0" t="s">
        <v>130</v>
      </c>
      <c r="BY1445" s="0" t="s">
        <v>130</v>
      </c>
      <c r="BZ1445" s="0" t="s">
        <v>130</v>
      </c>
      <c r="CA1445" s="0" t="s">
        <v>130</v>
      </c>
      <c r="CB1445" s="0" t="s">
        <v>130</v>
      </c>
      <c r="CC1445" s="0" t="s">
        <v>130</v>
      </c>
      <c r="CD1445" s="0" t="s">
        <v>130</v>
      </c>
      <c r="CE1445" s="0" t="s">
        <v>130</v>
      </c>
      <c r="CF1445" s="0" t="s">
        <v>130</v>
      </c>
      <c r="CG1445" s="0" t="s">
        <v>130</v>
      </c>
      <c r="CH1445" s="0" t="s">
        <v>130</v>
      </c>
      <c r="CI1445" s="0" t="s">
        <v>130</v>
      </c>
      <c r="CJ1445" s="0" t="s">
        <v>130</v>
      </c>
      <c r="CK1445" s="0" t="s">
        <v>130</v>
      </c>
      <c r="CL1445" s="0" t="s">
        <v>130</v>
      </c>
      <c r="CM1445" s="0" t="s">
        <v>130</v>
      </c>
      <c r="CN1445" s="0" t="s">
        <v>130</v>
      </c>
      <c r="CO1445" s="0" t="s">
        <v>130</v>
      </c>
      <c r="CP1445" s="0" t="s">
        <v>130</v>
      </c>
      <c r="CQ1445" s="0" t="s">
        <v>130</v>
      </c>
      <c r="CR1445" s="0" t="s">
        <v>130</v>
      </c>
      <c r="CS1445" s="0" t="s">
        <v>130</v>
      </c>
      <c r="CT1445" s="0" t="s">
        <v>4193</v>
      </c>
    </row>
    <row r="1446">
      <c r="A1446" s="14">
        <v>23743170</v>
      </c>
      <c r="B1446" s="0" t="s">
        <v>4183</v>
      </c>
      <c r="C1446" s="16">
        <f>HYPERLINK("https://eosportal.federatedhermes.com/companies/Q29tcGFueQppNjY5NjY=", "Xylem Inc/NY")</f>
      </c>
      <c r="D1446" s="0" t="s">
        <v>25</v>
      </c>
      <c r="E1446" s="0" t="s">
        <v>4194</v>
      </c>
      <c r="F1446" s="16">
        <f>HYPERLINK("https://eosportal.federatedhermes.com/engagements/RW5nYWdlbWVudAppMjgyMDM=", "Threshold to call a special meeting")</f>
      </c>
      <c r="G1446" s="14" t="s">
        <v>4195</v>
      </c>
      <c r="H1446" s="0" t="s">
        <v>130</v>
      </c>
      <c r="I1446" s="14" t="s">
        <v>319</v>
      </c>
      <c r="J1446" s="0" t="s">
        <v>145</v>
      </c>
      <c r="K1446" s="0" t="s">
        <v>400</v>
      </c>
      <c r="L1446" s="0" t="s">
        <v>507</v>
      </c>
      <c r="M1446" s="0" t="s">
        <v>135</v>
      </c>
      <c r="N1446" s="0" t="s">
        <v>136</v>
      </c>
      <c r="O1446" s="0" t="s">
        <v>176</v>
      </c>
      <c r="Q1446" s="0" t="s">
        <v>130</v>
      </c>
      <c r="R1446" s="0" t="s">
        <v>138</v>
      </c>
      <c r="S1446" s="14">
        <v>0</v>
      </c>
      <c r="T1446" s="0" t="s">
        <v>166</v>
      </c>
      <c r="U1446" s="0" t="s">
        <v>138</v>
      </c>
      <c r="V1446" s="14" t="s">
        <v>138</v>
      </c>
      <c r="W1446" s="0" t="s">
        <v>138</v>
      </c>
      <c r="X1446" s="14" t="s">
        <v>138</v>
      </c>
      <c r="Y1446" s="0" t="s">
        <v>138</v>
      </c>
      <c r="Z1446" s="14" t="s">
        <v>138</v>
      </c>
      <c r="AA1446" s="0" t="s">
        <v>138</v>
      </c>
      <c r="AB1446" s="14" t="s">
        <v>138</v>
      </c>
      <c r="AD1446" s="0" t="s">
        <v>138</v>
      </c>
      <c r="AF1446" s="0">
        <v>0</v>
      </c>
      <c r="AG1446" s="0">
        <v>0</v>
      </c>
      <c r="AH1446" s="0" t="s">
        <v>140</v>
      </c>
      <c r="AI1446" s="0" t="s">
        <v>138</v>
      </c>
      <c r="AL1446" s="14"/>
      <c r="AN1446" s="14"/>
      <c r="AQ1446" s="0" t="s">
        <v>130</v>
      </c>
      <c r="AR1446" s="0" t="s">
        <v>130</v>
      </c>
      <c r="AS1446" s="0" t="s">
        <v>130</v>
      </c>
      <c r="AT1446" s="0" t="s">
        <v>130</v>
      </c>
      <c r="AU1446" s="0" t="s">
        <v>130</v>
      </c>
      <c r="AV1446" s="0" t="s">
        <v>130</v>
      </c>
      <c r="AW1446" s="0" t="s">
        <v>130</v>
      </c>
      <c r="AX1446" s="0" t="s">
        <v>130</v>
      </c>
      <c r="AY1446" s="0" t="s">
        <v>130</v>
      </c>
      <c r="AZ1446" s="0" t="s">
        <v>130</v>
      </c>
      <c r="BA1446" s="0" t="s">
        <v>130</v>
      </c>
      <c r="BB1446" s="0" t="s">
        <v>130</v>
      </c>
      <c r="BC1446" s="0" t="s">
        <v>130</v>
      </c>
      <c r="BD1446" s="0" t="s">
        <v>130</v>
      </c>
      <c r="BE1446" s="0" t="s">
        <v>130</v>
      </c>
      <c r="BF1446" s="0" t="s">
        <v>130</v>
      </c>
      <c r="BG1446" s="0" t="s">
        <v>130</v>
      </c>
      <c r="BH1446" s="0" t="s">
        <v>130</v>
      </c>
      <c r="BI1446" s="0" t="s">
        <v>130</v>
      </c>
      <c r="BJ1446" s="0" t="s">
        <v>130</v>
      </c>
      <c r="BK1446" s="0" t="s">
        <v>130</v>
      </c>
      <c r="BL1446" s="0" t="s">
        <v>130</v>
      </c>
      <c r="BM1446" s="0" t="s">
        <v>130</v>
      </c>
      <c r="BN1446" s="0" t="s">
        <v>130</v>
      </c>
      <c r="BO1446" s="0" t="s">
        <v>130</v>
      </c>
      <c r="BP1446" s="0" t="s">
        <v>130</v>
      </c>
      <c r="BQ1446" s="0" t="s">
        <v>130</v>
      </c>
      <c r="BR1446" s="0" t="s">
        <v>130</v>
      </c>
      <c r="BS1446" s="0" t="s">
        <v>130</v>
      </c>
      <c r="BT1446" s="0" t="s">
        <v>130</v>
      </c>
      <c r="BU1446" s="0" t="s">
        <v>130</v>
      </c>
      <c r="BV1446" s="0" t="s">
        <v>130</v>
      </c>
      <c r="BW1446" s="0" t="s">
        <v>130</v>
      </c>
      <c r="BX1446" s="0" t="s">
        <v>130</v>
      </c>
      <c r="BY1446" s="0" t="s">
        <v>130</v>
      </c>
      <c r="BZ1446" s="0" t="s">
        <v>130</v>
      </c>
      <c r="CA1446" s="0" t="s">
        <v>130</v>
      </c>
      <c r="CB1446" s="0" t="s">
        <v>130</v>
      </c>
      <c r="CC1446" s="0" t="s">
        <v>130</v>
      </c>
      <c r="CD1446" s="0" t="s">
        <v>130</v>
      </c>
      <c r="CE1446" s="0" t="s">
        <v>130</v>
      </c>
      <c r="CF1446" s="0" t="s">
        <v>130</v>
      </c>
      <c r="CG1446" s="0" t="s">
        <v>130</v>
      </c>
      <c r="CH1446" s="0" t="s">
        <v>130</v>
      </c>
      <c r="CI1446" s="0" t="s">
        <v>130</v>
      </c>
      <c r="CJ1446" s="0" t="s">
        <v>130</v>
      </c>
      <c r="CK1446" s="0" t="s">
        <v>130</v>
      </c>
      <c r="CL1446" s="0" t="s">
        <v>130</v>
      </c>
      <c r="CM1446" s="0" t="s">
        <v>130</v>
      </c>
      <c r="CN1446" s="0" t="s">
        <v>130</v>
      </c>
      <c r="CO1446" s="0" t="s">
        <v>130</v>
      </c>
      <c r="CP1446" s="0" t="s">
        <v>130</v>
      </c>
      <c r="CQ1446" s="0" t="s">
        <v>130</v>
      </c>
      <c r="CR1446" s="0" t="s">
        <v>130</v>
      </c>
      <c r="CS1446" s="0" t="s">
        <v>130</v>
      </c>
      <c r="CT1446" s="0" t="s">
        <v>4196</v>
      </c>
    </row>
    <row r="1447">
      <c r="A1447" s="14">
        <v>15951478</v>
      </c>
      <c r="B1447" s="0" t="s">
        <v>4197</v>
      </c>
      <c r="C1447" s="16">
        <f>HYPERLINK("https://eosportal.federatedhermes.com/companies/Q29tcGFueQppNTIyMzc=", "Dollarama Inc")</f>
      </c>
      <c r="D1447" s="0" t="s">
        <v>25</v>
      </c>
      <c r="E1447" s="0" t="s">
        <v>922</v>
      </c>
      <c r="F1447" s="16">
        <f>HYPERLINK("https://eosportal.federatedhermes.com/engagements/RW5nYWdlbWVudAppMjgyMjI=", "Human rights")</f>
      </c>
      <c r="G1447" s="14" t="s">
        <v>4198</v>
      </c>
      <c r="H1447" s="0" t="s">
        <v>130</v>
      </c>
      <c r="I1447" s="14" t="s">
        <v>636</v>
      </c>
      <c r="J1447" s="0" t="s">
        <v>153</v>
      </c>
      <c r="K1447" s="0" t="s">
        <v>243</v>
      </c>
      <c r="L1447" s="0" t="s">
        <v>244</v>
      </c>
      <c r="M1447" s="0" t="s">
        <v>135</v>
      </c>
      <c r="N1447" s="0" t="s">
        <v>1678</v>
      </c>
      <c r="O1447" s="0" t="s">
        <v>643</v>
      </c>
      <c r="Q1447" s="0" t="s">
        <v>130</v>
      </c>
      <c r="R1447" s="0" t="s">
        <v>138</v>
      </c>
      <c r="S1447" s="14">
        <v>0</v>
      </c>
      <c r="T1447" s="0" t="s">
        <v>355</v>
      </c>
      <c r="U1447" s="0" t="s">
        <v>138</v>
      </c>
      <c r="V1447" s="14" t="s">
        <v>138</v>
      </c>
      <c r="W1447" s="0" t="s">
        <v>138</v>
      </c>
      <c r="X1447" s="14" t="s">
        <v>138</v>
      </c>
      <c r="Y1447" s="0" t="s">
        <v>138</v>
      </c>
      <c r="Z1447" s="14" t="s">
        <v>138</v>
      </c>
      <c r="AA1447" s="0" t="s">
        <v>138</v>
      </c>
      <c r="AB1447" s="14" t="s">
        <v>138</v>
      </c>
      <c r="AD1447" s="0" t="s">
        <v>138</v>
      </c>
      <c r="AF1447" s="0">
        <v>0</v>
      </c>
      <c r="AG1447" s="0">
        <v>0</v>
      </c>
      <c r="AH1447" s="0" t="s">
        <v>140</v>
      </c>
      <c r="AI1447" s="0" t="s">
        <v>138</v>
      </c>
      <c r="AL1447" s="14"/>
      <c r="AN1447" s="14"/>
      <c r="AQ1447" s="0" t="s">
        <v>130</v>
      </c>
      <c r="AR1447" s="0" t="s">
        <v>130</v>
      </c>
      <c r="AS1447" s="0" t="s">
        <v>130</v>
      </c>
      <c r="AT1447" s="0" t="s">
        <v>130</v>
      </c>
      <c r="AU1447" s="0" t="s">
        <v>130</v>
      </c>
      <c r="AV1447" s="0" t="s">
        <v>130</v>
      </c>
      <c r="AW1447" s="0" t="s">
        <v>130</v>
      </c>
      <c r="AX1447" s="0" t="s">
        <v>141</v>
      </c>
      <c r="AY1447" s="0" t="s">
        <v>130</v>
      </c>
      <c r="AZ1447" s="0" t="s">
        <v>130</v>
      </c>
      <c r="BA1447" s="0" t="s">
        <v>130</v>
      </c>
      <c r="BB1447" s="0" t="s">
        <v>130</v>
      </c>
      <c r="BC1447" s="0" t="s">
        <v>130</v>
      </c>
      <c r="BD1447" s="0" t="s">
        <v>130</v>
      </c>
      <c r="BE1447" s="0" t="s">
        <v>130</v>
      </c>
      <c r="BF1447" s="0" t="s">
        <v>130</v>
      </c>
      <c r="BG1447" s="0" t="s">
        <v>130</v>
      </c>
      <c r="BH1447" s="0" t="s">
        <v>130</v>
      </c>
      <c r="BI1447" s="0" t="s">
        <v>130</v>
      </c>
      <c r="BJ1447" s="0" t="s">
        <v>130</v>
      </c>
      <c r="BK1447" s="0" t="s">
        <v>130</v>
      </c>
      <c r="BL1447" s="0" t="s">
        <v>130</v>
      </c>
      <c r="BM1447" s="0" t="s">
        <v>130</v>
      </c>
      <c r="BN1447" s="0" t="s">
        <v>130</v>
      </c>
      <c r="BO1447" s="0" t="s">
        <v>130</v>
      </c>
      <c r="BP1447" s="0" t="s">
        <v>130</v>
      </c>
      <c r="BQ1447" s="0" t="s">
        <v>130</v>
      </c>
      <c r="BR1447" s="0" t="s">
        <v>130</v>
      </c>
      <c r="BS1447" s="0" t="s">
        <v>130</v>
      </c>
      <c r="BT1447" s="0" t="s">
        <v>130</v>
      </c>
      <c r="BU1447" s="0" t="s">
        <v>130</v>
      </c>
      <c r="BV1447" s="0" t="s">
        <v>130</v>
      </c>
      <c r="BW1447" s="0" t="s">
        <v>130</v>
      </c>
      <c r="BX1447" s="0" t="s">
        <v>130</v>
      </c>
      <c r="BY1447" s="0" t="s">
        <v>130</v>
      </c>
      <c r="BZ1447" s="0" t="s">
        <v>130</v>
      </c>
      <c r="CA1447" s="0" t="s">
        <v>130</v>
      </c>
      <c r="CB1447" s="0" t="s">
        <v>130</v>
      </c>
      <c r="CC1447" s="0" t="s">
        <v>130</v>
      </c>
      <c r="CD1447" s="0" t="s">
        <v>130</v>
      </c>
      <c r="CE1447" s="0" t="s">
        <v>130</v>
      </c>
      <c r="CF1447" s="0" t="s">
        <v>130</v>
      </c>
      <c r="CG1447" s="0" t="s">
        <v>130</v>
      </c>
      <c r="CH1447" s="0" t="s">
        <v>130</v>
      </c>
      <c r="CI1447" s="0" t="s">
        <v>130</v>
      </c>
      <c r="CJ1447" s="0" t="s">
        <v>130</v>
      </c>
      <c r="CK1447" s="0" t="s">
        <v>130</v>
      </c>
      <c r="CL1447" s="0" t="s">
        <v>130</v>
      </c>
      <c r="CM1447" s="0" t="s">
        <v>130</v>
      </c>
      <c r="CN1447" s="0" t="s">
        <v>130</v>
      </c>
      <c r="CO1447" s="0" t="s">
        <v>130</v>
      </c>
      <c r="CP1447" s="0" t="s">
        <v>130</v>
      </c>
      <c r="CQ1447" s="0" t="s">
        <v>130</v>
      </c>
      <c r="CR1447" s="0" t="s">
        <v>130</v>
      </c>
      <c r="CS1447" s="0" t="s">
        <v>130</v>
      </c>
      <c r="CT1447" s="0" t="s">
        <v>4199</v>
      </c>
    </row>
    <row r="1448">
      <c r="A1448" s="14">
        <v>15951478</v>
      </c>
      <c r="B1448" s="0" t="s">
        <v>4197</v>
      </c>
      <c r="C1448" s="16">
        <f>HYPERLINK("https://eosportal.federatedhermes.com/companies/Q29tcGFueQppNTIyMzc=", "Dollarama Inc")</f>
      </c>
      <c r="D1448" s="0" t="s">
        <v>25</v>
      </c>
      <c r="E1448" s="0" t="s">
        <v>1811</v>
      </c>
      <c r="F1448" s="16">
        <f>HYPERLINK("https://eosportal.federatedhermes.com/engagements/RW5nYWdlbWVudAppMjgyMjU=", "Living wage")</f>
      </c>
      <c r="G1448" s="14" t="s">
        <v>4200</v>
      </c>
      <c r="H1448" s="0" t="s">
        <v>130</v>
      </c>
      <c r="I1448" s="14" t="s">
        <v>636</v>
      </c>
      <c r="J1448" s="0" t="s">
        <v>153</v>
      </c>
      <c r="K1448" s="0" t="s">
        <v>154</v>
      </c>
      <c r="L1448" s="0" t="s">
        <v>306</v>
      </c>
      <c r="M1448" s="0" t="s">
        <v>135</v>
      </c>
      <c r="N1448" s="0" t="s">
        <v>1678</v>
      </c>
      <c r="O1448" s="0" t="s">
        <v>643</v>
      </c>
      <c r="Q1448" s="0" t="s">
        <v>130</v>
      </c>
      <c r="R1448" s="0" t="s">
        <v>138</v>
      </c>
      <c r="S1448" s="14">
        <v>0</v>
      </c>
      <c r="T1448" s="0" t="s">
        <v>166</v>
      </c>
      <c r="U1448" s="0" t="s">
        <v>138</v>
      </c>
      <c r="V1448" s="14" t="s">
        <v>138</v>
      </c>
      <c r="W1448" s="0" t="s">
        <v>138</v>
      </c>
      <c r="X1448" s="14" t="s">
        <v>138</v>
      </c>
      <c r="Y1448" s="0" t="s">
        <v>138</v>
      </c>
      <c r="Z1448" s="14" t="s">
        <v>138</v>
      </c>
      <c r="AA1448" s="0" t="s">
        <v>138</v>
      </c>
      <c r="AB1448" s="14" t="s">
        <v>138</v>
      </c>
      <c r="AD1448" s="0" t="s">
        <v>138</v>
      </c>
      <c r="AF1448" s="0">
        <v>0</v>
      </c>
      <c r="AG1448" s="0">
        <v>0</v>
      </c>
      <c r="AH1448" s="0" t="s">
        <v>140</v>
      </c>
      <c r="AI1448" s="0" t="s">
        <v>138</v>
      </c>
      <c r="AL1448" s="14"/>
      <c r="AN1448" s="14"/>
      <c r="AQ1448" s="0" t="s">
        <v>141</v>
      </c>
      <c r="AR1448" s="0" t="s">
        <v>130</v>
      </c>
      <c r="AS1448" s="0" t="s">
        <v>130</v>
      </c>
      <c r="AT1448" s="0" t="s">
        <v>130</v>
      </c>
      <c r="AU1448" s="0" t="s">
        <v>130</v>
      </c>
      <c r="AV1448" s="0" t="s">
        <v>130</v>
      </c>
      <c r="AW1448" s="0" t="s">
        <v>130</v>
      </c>
      <c r="AX1448" s="0" t="s">
        <v>141</v>
      </c>
      <c r="AY1448" s="0" t="s">
        <v>130</v>
      </c>
      <c r="AZ1448" s="0" t="s">
        <v>141</v>
      </c>
      <c r="BA1448" s="0" t="s">
        <v>130</v>
      </c>
      <c r="BB1448" s="0" t="s">
        <v>130</v>
      </c>
      <c r="BC1448" s="0" t="s">
        <v>130</v>
      </c>
      <c r="BD1448" s="0" t="s">
        <v>130</v>
      </c>
      <c r="BE1448" s="0" t="s">
        <v>130</v>
      </c>
      <c r="BF1448" s="0" t="s">
        <v>130</v>
      </c>
      <c r="BG1448" s="0" t="s">
        <v>130</v>
      </c>
      <c r="BH1448" s="0" t="s">
        <v>130</v>
      </c>
      <c r="BI1448" s="0" t="s">
        <v>130</v>
      </c>
      <c r="BJ1448" s="0" t="s">
        <v>130</v>
      </c>
      <c r="BK1448" s="0" t="s">
        <v>130</v>
      </c>
      <c r="BL1448" s="0" t="s">
        <v>130</v>
      </c>
      <c r="BM1448" s="0" t="s">
        <v>130</v>
      </c>
      <c r="BN1448" s="0" t="s">
        <v>130</v>
      </c>
      <c r="BO1448" s="0" t="s">
        <v>130</v>
      </c>
      <c r="BP1448" s="0" t="s">
        <v>130</v>
      </c>
      <c r="BQ1448" s="0" t="s">
        <v>130</v>
      </c>
      <c r="BR1448" s="0" t="s">
        <v>130</v>
      </c>
      <c r="BS1448" s="0" t="s">
        <v>130</v>
      </c>
      <c r="BT1448" s="0" t="s">
        <v>130</v>
      </c>
      <c r="BU1448" s="0" t="s">
        <v>130</v>
      </c>
      <c r="BV1448" s="0" t="s">
        <v>130</v>
      </c>
      <c r="BW1448" s="0" t="s">
        <v>130</v>
      </c>
      <c r="BX1448" s="0" t="s">
        <v>130</v>
      </c>
      <c r="BY1448" s="0" t="s">
        <v>130</v>
      </c>
      <c r="BZ1448" s="0" t="s">
        <v>130</v>
      </c>
      <c r="CA1448" s="0" t="s">
        <v>130</v>
      </c>
      <c r="CB1448" s="0" t="s">
        <v>130</v>
      </c>
      <c r="CC1448" s="0" t="s">
        <v>130</v>
      </c>
      <c r="CD1448" s="0" t="s">
        <v>130</v>
      </c>
      <c r="CE1448" s="0" t="s">
        <v>130</v>
      </c>
      <c r="CF1448" s="0" t="s">
        <v>130</v>
      </c>
      <c r="CG1448" s="0" t="s">
        <v>130</v>
      </c>
      <c r="CH1448" s="0" t="s">
        <v>130</v>
      </c>
      <c r="CI1448" s="0" t="s">
        <v>130</v>
      </c>
      <c r="CJ1448" s="0" t="s">
        <v>130</v>
      </c>
      <c r="CK1448" s="0" t="s">
        <v>130</v>
      </c>
      <c r="CL1448" s="0" t="s">
        <v>130</v>
      </c>
      <c r="CM1448" s="0" t="s">
        <v>130</v>
      </c>
      <c r="CN1448" s="0" t="s">
        <v>130</v>
      </c>
      <c r="CO1448" s="0" t="s">
        <v>130</v>
      </c>
      <c r="CP1448" s="0" t="s">
        <v>130</v>
      </c>
      <c r="CQ1448" s="0" t="s">
        <v>130</v>
      </c>
      <c r="CR1448" s="0" t="s">
        <v>130</v>
      </c>
      <c r="CS1448" s="0" t="s">
        <v>130</v>
      </c>
      <c r="CT1448" s="0" t="s">
        <v>4201</v>
      </c>
    </row>
    <row r="1449">
      <c r="A1449" s="14">
        <v>16378307</v>
      </c>
      <c r="B1449" s="0" t="s">
        <v>4202</v>
      </c>
      <c r="C1449" s="16">
        <f>HYPERLINK("https://eosportal.federatedhermes.com/companies/Q29tcGFueQppNzU3MTg=", "ServiceNow Inc")</f>
      </c>
      <c r="D1449" s="0" t="s">
        <v>25</v>
      </c>
      <c r="E1449" s="0" t="s">
        <v>143</v>
      </c>
      <c r="F1449" s="16">
        <f>HYPERLINK("https://eosportal.federatedhermes.com/engagements/RW5nYWdlbWVudAppMjgyMzQ=", "Executive compensation")</f>
      </c>
      <c r="G1449" s="14" t="s">
        <v>4203</v>
      </c>
      <c r="H1449" s="0" t="s">
        <v>141</v>
      </c>
      <c r="I1449" s="14" t="s">
        <v>131</v>
      </c>
      <c r="J1449" s="0" t="s">
        <v>145</v>
      </c>
      <c r="K1449" s="0" t="s">
        <v>146</v>
      </c>
      <c r="L1449" s="0" t="s">
        <v>147</v>
      </c>
      <c r="M1449" s="0" t="s">
        <v>135</v>
      </c>
      <c r="N1449" s="0" t="s">
        <v>136</v>
      </c>
      <c r="O1449" s="0" t="s">
        <v>137</v>
      </c>
      <c r="Q1449" s="0" t="s">
        <v>130</v>
      </c>
      <c r="R1449" s="0" t="s">
        <v>138</v>
      </c>
      <c r="S1449" s="14">
        <v>0</v>
      </c>
      <c r="T1449" s="0" t="s">
        <v>148</v>
      </c>
      <c r="U1449" s="0" t="s">
        <v>138</v>
      </c>
      <c r="V1449" s="14" t="s">
        <v>138</v>
      </c>
      <c r="W1449" s="0" t="s">
        <v>138</v>
      </c>
      <c r="X1449" s="14" t="s">
        <v>138</v>
      </c>
      <c r="Y1449" s="0" t="s">
        <v>138</v>
      </c>
      <c r="Z1449" s="14" t="s">
        <v>138</v>
      </c>
      <c r="AA1449" s="0" t="s">
        <v>138</v>
      </c>
      <c r="AB1449" s="14" t="s">
        <v>138</v>
      </c>
      <c r="AD1449" s="0" t="s">
        <v>138</v>
      </c>
      <c r="AF1449" s="0">
        <v>0</v>
      </c>
      <c r="AG1449" s="0">
        <v>0</v>
      </c>
      <c r="AH1449" s="0" t="s">
        <v>140</v>
      </c>
      <c r="AI1449" s="0" t="s">
        <v>138</v>
      </c>
      <c r="AL1449" s="14"/>
      <c r="AN1449" s="14"/>
      <c r="AQ1449" s="0" t="s">
        <v>130</v>
      </c>
      <c r="AR1449" s="0" t="s">
        <v>130</v>
      </c>
      <c r="AS1449" s="0" t="s">
        <v>130</v>
      </c>
      <c r="AT1449" s="0" t="s">
        <v>130</v>
      </c>
      <c r="AU1449" s="0" t="s">
        <v>130</v>
      </c>
      <c r="AV1449" s="0" t="s">
        <v>130</v>
      </c>
      <c r="AW1449" s="0" t="s">
        <v>130</v>
      </c>
      <c r="AX1449" s="0" t="s">
        <v>130</v>
      </c>
      <c r="AY1449" s="0" t="s">
        <v>130</v>
      </c>
      <c r="AZ1449" s="0" t="s">
        <v>130</v>
      </c>
      <c r="BA1449" s="0" t="s">
        <v>130</v>
      </c>
      <c r="BB1449" s="0" t="s">
        <v>130</v>
      </c>
      <c r="BC1449" s="0" t="s">
        <v>130</v>
      </c>
      <c r="BD1449" s="0" t="s">
        <v>130</v>
      </c>
      <c r="BE1449" s="0" t="s">
        <v>130</v>
      </c>
      <c r="BF1449" s="0" t="s">
        <v>130</v>
      </c>
      <c r="BG1449" s="0" t="s">
        <v>130</v>
      </c>
      <c r="BH1449" s="0" t="s">
        <v>130</v>
      </c>
      <c r="BI1449" s="0" t="s">
        <v>130</v>
      </c>
      <c r="BJ1449" s="0" t="s">
        <v>130</v>
      </c>
      <c r="BK1449" s="0" t="s">
        <v>130</v>
      </c>
      <c r="BL1449" s="0" t="s">
        <v>130</v>
      </c>
      <c r="BM1449" s="0" t="s">
        <v>130</v>
      </c>
      <c r="BN1449" s="0" t="s">
        <v>130</v>
      </c>
      <c r="BO1449" s="0" t="s">
        <v>130</v>
      </c>
      <c r="BP1449" s="0" t="s">
        <v>130</v>
      </c>
      <c r="BQ1449" s="0" t="s">
        <v>130</v>
      </c>
      <c r="BR1449" s="0" t="s">
        <v>130</v>
      </c>
      <c r="BS1449" s="0" t="s">
        <v>130</v>
      </c>
      <c r="BT1449" s="0" t="s">
        <v>130</v>
      </c>
      <c r="BU1449" s="0" t="s">
        <v>130</v>
      </c>
      <c r="BV1449" s="0" t="s">
        <v>130</v>
      </c>
      <c r="BW1449" s="0" t="s">
        <v>130</v>
      </c>
      <c r="BX1449" s="0" t="s">
        <v>130</v>
      </c>
      <c r="BY1449" s="0" t="s">
        <v>130</v>
      </c>
      <c r="BZ1449" s="0" t="s">
        <v>130</v>
      </c>
      <c r="CA1449" s="0" t="s">
        <v>130</v>
      </c>
      <c r="CB1449" s="0" t="s">
        <v>130</v>
      </c>
      <c r="CC1449" s="0" t="s">
        <v>130</v>
      </c>
      <c r="CD1449" s="0" t="s">
        <v>130</v>
      </c>
      <c r="CE1449" s="0" t="s">
        <v>130</v>
      </c>
      <c r="CF1449" s="0" t="s">
        <v>130</v>
      </c>
      <c r="CG1449" s="0" t="s">
        <v>130</v>
      </c>
      <c r="CH1449" s="0" t="s">
        <v>130</v>
      </c>
      <c r="CI1449" s="0" t="s">
        <v>130</v>
      </c>
      <c r="CJ1449" s="0" t="s">
        <v>130</v>
      </c>
      <c r="CK1449" s="0" t="s">
        <v>130</v>
      </c>
      <c r="CL1449" s="0" t="s">
        <v>130</v>
      </c>
      <c r="CM1449" s="0" t="s">
        <v>130</v>
      </c>
      <c r="CN1449" s="0" t="s">
        <v>130</v>
      </c>
      <c r="CO1449" s="0" t="s">
        <v>130</v>
      </c>
      <c r="CP1449" s="0" t="s">
        <v>130</v>
      </c>
      <c r="CQ1449" s="0" t="s">
        <v>130</v>
      </c>
      <c r="CR1449" s="0" t="s">
        <v>130</v>
      </c>
      <c r="CS1449" s="0" t="s">
        <v>130</v>
      </c>
      <c r="CT1449" s="0" t="s">
        <v>4204</v>
      </c>
    </row>
    <row r="1450">
      <c r="A1450" s="14">
        <v>16378307</v>
      </c>
      <c r="B1450" s="0" t="s">
        <v>4202</v>
      </c>
      <c r="C1450" s="16">
        <f>HYPERLINK("https://eosportal.federatedhermes.com/companies/Q29tcGFueQppNzU3MTg=", "ServiceNow Inc")</f>
      </c>
      <c r="D1450" s="0" t="s">
        <v>25</v>
      </c>
      <c r="E1450" s="0" t="s">
        <v>4205</v>
      </c>
      <c r="F1450" s="16">
        <f>HYPERLINK("https://eosportal.federatedhermes.com/engagements/RW5nYWdlbWVudAppMjgyMzU=", "CEO shareholding multiple")</f>
      </c>
      <c r="G1450" s="14" t="s">
        <v>4206</v>
      </c>
      <c r="H1450" s="0" t="s">
        <v>141</v>
      </c>
      <c r="I1450" s="14" t="s">
        <v>131</v>
      </c>
      <c r="J1450" s="0" t="s">
        <v>145</v>
      </c>
      <c r="K1450" s="0" t="s">
        <v>146</v>
      </c>
      <c r="L1450" s="0" t="s">
        <v>147</v>
      </c>
      <c r="M1450" s="0" t="s">
        <v>135</v>
      </c>
      <c r="N1450" s="0" t="s">
        <v>136</v>
      </c>
      <c r="O1450" s="0" t="s">
        <v>137</v>
      </c>
      <c r="Q1450" s="0" t="s">
        <v>130</v>
      </c>
      <c r="R1450" s="0" t="s">
        <v>138</v>
      </c>
      <c r="S1450" s="14">
        <v>0</v>
      </c>
      <c r="T1450" s="0" t="s">
        <v>148</v>
      </c>
      <c r="U1450" s="0" t="s">
        <v>138</v>
      </c>
      <c r="V1450" s="14" t="s">
        <v>138</v>
      </c>
      <c r="W1450" s="0" t="s">
        <v>138</v>
      </c>
      <c r="X1450" s="14" t="s">
        <v>138</v>
      </c>
      <c r="Y1450" s="0" t="s">
        <v>138</v>
      </c>
      <c r="Z1450" s="14" t="s">
        <v>138</v>
      </c>
      <c r="AA1450" s="0" t="s">
        <v>138</v>
      </c>
      <c r="AB1450" s="14" t="s">
        <v>138</v>
      </c>
      <c r="AD1450" s="0" t="s">
        <v>138</v>
      </c>
      <c r="AF1450" s="0">
        <v>0</v>
      </c>
      <c r="AG1450" s="0">
        <v>0</v>
      </c>
      <c r="AH1450" s="0" t="s">
        <v>140</v>
      </c>
      <c r="AI1450" s="0" t="s">
        <v>138</v>
      </c>
      <c r="AL1450" s="14"/>
      <c r="AN1450" s="14"/>
      <c r="AQ1450" s="0" t="s">
        <v>130</v>
      </c>
      <c r="AR1450" s="0" t="s">
        <v>130</v>
      </c>
      <c r="AS1450" s="0" t="s">
        <v>130</v>
      </c>
      <c r="AT1450" s="0" t="s">
        <v>130</v>
      </c>
      <c r="AU1450" s="0" t="s">
        <v>130</v>
      </c>
      <c r="AV1450" s="0" t="s">
        <v>130</v>
      </c>
      <c r="AW1450" s="0" t="s">
        <v>130</v>
      </c>
      <c r="AX1450" s="0" t="s">
        <v>130</v>
      </c>
      <c r="AY1450" s="0" t="s">
        <v>130</v>
      </c>
      <c r="AZ1450" s="0" t="s">
        <v>130</v>
      </c>
      <c r="BA1450" s="0" t="s">
        <v>130</v>
      </c>
      <c r="BB1450" s="0" t="s">
        <v>130</v>
      </c>
      <c r="BC1450" s="0" t="s">
        <v>130</v>
      </c>
      <c r="BD1450" s="0" t="s">
        <v>130</v>
      </c>
      <c r="BE1450" s="0" t="s">
        <v>130</v>
      </c>
      <c r="BF1450" s="0" t="s">
        <v>130</v>
      </c>
      <c r="BG1450" s="0" t="s">
        <v>130</v>
      </c>
      <c r="BH1450" s="0" t="s">
        <v>130</v>
      </c>
      <c r="BI1450" s="0" t="s">
        <v>130</v>
      </c>
      <c r="BJ1450" s="0" t="s">
        <v>130</v>
      </c>
      <c r="BK1450" s="0" t="s">
        <v>130</v>
      </c>
      <c r="BL1450" s="0" t="s">
        <v>130</v>
      </c>
      <c r="BM1450" s="0" t="s">
        <v>130</v>
      </c>
      <c r="BN1450" s="0" t="s">
        <v>130</v>
      </c>
      <c r="BO1450" s="0" t="s">
        <v>130</v>
      </c>
      <c r="BP1450" s="0" t="s">
        <v>130</v>
      </c>
      <c r="BQ1450" s="0" t="s">
        <v>130</v>
      </c>
      <c r="BR1450" s="0" t="s">
        <v>130</v>
      </c>
      <c r="BS1450" s="0" t="s">
        <v>130</v>
      </c>
      <c r="BT1450" s="0" t="s">
        <v>130</v>
      </c>
      <c r="BU1450" s="0" t="s">
        <v>130</v>
      </c>
      <c r="BV1450" s="0" t="s">
        <v>130</v>
      </c>
      <c r="BW1450" s="0" t="s">
        <v>130</v>
      </c>
      <c r="BX1450" s="0" t="s">
        <v>130</v>
      </c>
      <c r="BY1450" s="0" t="s">
        <v>130</v>
      </c>
      <c r="BZ1450" s="0" t="s">
        <v>130</v>
      </c>
      <c r="CA1450" s="0" t="s">
        <v>130</v>
      </c>
      <c r="CB1450" s="0" t="s">
        <v>130</v>
      </c>
      <c r="CC1450" s="0" t="s">
        <v>130</v>
      </c>
      <c r="CD1450" s="0" t="s">
        <v>130</v>
      </c>
      <c r="CE1450" s="0" t="s">
        <v>130</v>
      </c>
      <c r="CF1450" s="0" t="s">
        <v>130</v>
      </c>
      <c r="CG1450" s="0" t="s">
        <v>130</v>
      </c>
      <c r="CH1450" s="0" t="s">
        <v>130</v>
      </c>
      <c r="CI1450" s="0" t="s">
        <v>130</v>
      </c>
      <c r="CJ1450" s="0" t="s">
        <v>130</v>
      </c>
      <c r="CK1450" s="0" t="s">
        <v>130</v>
      </c>
      <c r="CL1450" s="0" t="s">
        <v>130</v>
      </c>
      <c r="CM1450" s="0" t="s">
        <v>130</v>
      </c>
      <c r="CN1450" s="0" t="s">
        <v>130</v>
      </c>
      <c r="CO1450" s="0" t="s">
        <v>130</v>
      </c>
      <c r="CP1450" s="0" t="s">
        <v>130</v>
      </c>
      <c r="CQ1450" s="0" t="s">
        <v>130</v>
      </c>
      <c r="CR1450" s="0" t="s">
        <v>130</v>
      </c>
      <c r="CS1450" s="0" t="s">
        <v>130</v>
      </c>
      <c r="CT1450" s="0" t="s">
        <v>4207</v>
      </c>
    </row>
    <row r="1451">
      <c r="A1451" s="14">
        <v>16378307</v>
      </c>
      <c r="B1451" s="0" t="s">
        <v>4202</v>
      </c>
      <c r="C1451" s="16">
        <f>HYPERLINK("https://eosportal.federatedhermes.com/companies/Q29tcGFueQppNzU3MTg=", "ServiceNow Inc")</f>
      </c>
      <c r="D1451" s="0" t="s">
        <v>25</v>
      </c>
      <c r="E1451" s="0" t="s">
        <v>1490</v>
      </c>
      <c r="F1451" s="16">
        <f>HYPERLINK("https://eosportal.federatedhermes.com/engagements/RW5nYWdlbWVudAppMjgyMzY=", "Statement of Business Purpose")</f>
      </c>
      <c r="G1451" s="14" t="s">
        <v>4208</v>
      </c>
      <c r="H1451" s="0" t="s">
        <v>141</v>
      </c>
      <c r="I1451" s="14" t="s">
        <v>131</v>
      </c>
      <c r="J1451" s="0" t="s">
        <v>132</v>
      </c>
      <c r="K1451" s="0" t="s">
        <v>133</v>
      </c>
      <c r="L1451" s="0" t="s">
        <v>134</v>
      </c>
      <c r="M1451" s="0" t="s">
        <v>135</v>
      </c>
      <c r="N1451" s="0" t="s">
        <v>136</v>
      </c>
      <c r="O1451" s="0" t="s">
        <v>137</v>
      </c>
      <c r="Q1451" s="0" t="s">
        <v>130</v>
      </c>
      <c r="R1451" s="0" t="s">
        <v>138</v>
      </c>
      <c r="S1451" s="14">
        <v>0</v>
      </c>
      <c r="T1451" s="0" t="s">
        <v>193</v>
      </c>
      <c r="U1451" s="0" t="s">
        <v>138</v>
      </c>
      <c r="V1451" s="14" t="s">
        <v>138</v>
      </c>
      <c r="W1451" s="0" t="s">
        <v>138</v>
      </c>
      <c r="X1451" s="14" t="s">
        <v>138</v>
      </c>
      <c r="Y1451" s="0" t="s">
        <v>138</v>
      </c>
      <c r="Z1451" s="14" t="s">
        <v>138</v>
      </c>
      <c r="AA1451" s="0" t="s">
        <v>138</v>
      </c>
      <c r="AB1451" s="14" t="s">
        <v>138</v>
      </c>
      <c r="AD1451" s="0" t="s">
        <v>138</v>
      </c>
      <c r="AF1451" s="0">
        <v>0</v>
      </c>
      <c r="AG1451" s="0">
        <v>0</v>
      </c>
      <c r="AH1451" s="0" t="s">
        <v>140</v>
      </c>
      <c r="AI1451" s="0" t="s">
        <v>138</v>
      </c>
      <c r="AL1451" s="14"/>
      <c r="AN1451" s="14"/>
      <c r="AQ1451" s="0" t="s">
        <v>130</v>
      </c>
      <c r="AR1451" s="0" t="s">
        <v>130</v>
      </c>
      <c r="AS1451" s="0" t="s">
        <v>130</v>
      </c>
      <c r="AT1451" s="0" t="s">
        <v>130</v>
      </c>
      <c r="AU1451" s="0" t="s">
        <v>130</v>
      </c>
      <c r="AV1451" s="0" t="s">
        <v>130</v>
      </c>
      <c r="AW1451" s="0" t="s">
        <v>130</v>
      </c>
      <c r="AX1451" s="0" t="s">
        <v>130</v>
      </c>
      <c r="AY1451" s="0" t="s">
        <v>130</v>
      </c>
      <c r="AZ1451" s="0" t="s">
        <v>130</v>
      </c>
      <c r="BA1451" s="0" t="s">
        <v>130</v>
      </c>
      <c r="BB1451" s="0" t="s">
        <v>130</v>
      </c>
      <c r="BC1451" s="0" t="s">
        <v>130</v>
      </c>
      <c r="BD1451" s="0" t="s">
        <v>130</v>
      </c>
      <c r="BE1451" s="0" t="s">
        <v>130</v>
      </c>
      <c r="BF1451" s="0" t="s">
        <v>130</v>
      </c>
      <c r="BG1451" s="0" t="s">
        <v>130</v>
      </c>
      <c r="BH1451" s="0" t="s">
        <v>130</v>
      </c>
      <c r="BI1451" s="0" t="s">
        <v>130</v>
      </c>
      <c r="BJ1451" s="0" t="s">
        <v>130</v>
      </c>
      <c r="BK1451" s="0" t="s">
        <v>130</v>
      </c>
      <c r="BL1451" s="0" t="s">
        <v>130</v>
      </c>
      <c r="BM1451" s="0" t="s">
        <v>130</v>
      </c>
      <c r="BN1451" s="0" t="s">
        <v>130</v>
      </c>
      <c r="BO1451" s="0" t="s">
        <v>130</v>
      </c>
      <c r="BP1451" s="0" t="s">
        <v>130</v>
      </c>
      <c r="BQ1451" s="0" t="s">
        <v>130</v>
      </c>
      <c r="BR1451" s="0" t="s">
        <v>130</v>
      </c>
      <c r="BS1451" s="0" t="s">
        <v>130</v>
      </c>
      <c r="BT1451" s="0" t="s">
        <v>130</v>
      </c>
      <c r="BU1451" s="0" t="s">
        <v>130</v>
      </c>
      <c r="BV1451" s="0" t="s">
        <v>130</v>
      </c>
      <c r="BW1451" s="0" t="s">
        <v>130</v>
      </c>
      <c r="BX1451" s="0" t="s">
        <v>130</v>
      </c>
      <c r="BY1451" s="0" t="s">
        <v>130</v>
      </c>
      <c r="BZ1451" s="0" t="s">
        <v>130</v>
      </c>
      <c r="CA1451" s="0" t="s">
        <v>130</v>
      </c>
      <c r="CB1451" s="0" t="s">
        <v>130</v>
      </c>
      <c r="CC1451" s="0" t="s">
        <v>130</v>
      </c>
      <c r="CD1451" s="0" t="s">
        <v>130</v>
      </c>
      <c r="CE1451" s="0" t="s">
        <v>130</v>
      </c>
      <c r="CF1451" s="0" t="s">
        <v>130</v>
      </c>
      <c r="CG1451" s="0" t="s">
        <v>130</v>
      </c>
      <c r="CH1451" s="0" t="s">
        <v>130</v>
      </c>
      <c r="CI1451" s="0" t="s">
        <v>130</v>
      </c>
      <c r="CJ1451" s="0" t="s">
        <v>130</v>
      </c>
      <c r="CK1451" s="0" t="s">
        <v>130</v>
      </c>
      <c r="CL1451" s="0" t="s">
        <v>130</v>
      </c>
      <c r="CM1451" s="0" t="s">
        <v>130</v>
      </c>
      <c r="CN1451" s="0" t="s">
        <v>130</v>
      </c>
      <c r="CO1451" s="0" t="s">
        <v>130</v>
      </c>
      <c r="CP1451" s="0" t="s">
        <v>130</v>
      </c>
      <c r="CQ1451" s="0" t="s">
        <v>130</v>
      </c>
      <c r="CR1451" s="0" t="s">
        <v>130</v>
      </c>
      <c r="CS1451" s="0" t="s">
        <v>130</v>
      </c>
      <c r="CT1451" s="0" t="s">
        <v>4209</v>
      </c>
    </row>
    <row r="1452">
      <c r="A1452" s="14">
        <v>16378307</v>
      </c>
      <c r="B1452" s="0" t="s">
        <v>4202</v>
      </c>
      <c r="C1452" s="16">
        <f>HYPERLINK("https://eosportal.federatedhermes.com/companies/Q29tcGFueQppNzU3MTg=", "ServiceNow Inc")</f>
      </c>
      <c r="D1452" s="0" t="s">
        <v>25</v>
      </c>
      <c r="E1452" s="0" t="s">
        <v>4210</v>
      </c>
      <c r="F1452" s="16">
        <f>HYPERLINK("https://eosportal.federatedhermes.com/engagements/RW5nYWdlbWVudAppMjgyNDA=", "Majority standard")</f>
      </c>
      <c r="G1452" s="14" t="s">
        <v>4211</v>
      </c>
      <c r="H1452" s="0" t="s">
        <v>141</v>
      </c>
      <c r="I1452" s="14" t="s">
        <v>131</v>
      </c>
      <c r="J1452" s="0" t="s">
        <v>145</v>
      </c>
      <c r="K1452" s="0" t="s">
        <v>400</v>
      </c>
      <c r="L1452" s="0" t="s">
        <v>507</v>
      </c>
      <c r="M1452" s="0" t="s">
        <v>135</v>
      </c>
      <c r="N1452" s="0" t="s">
        <v>136</v>
      </c>
      <c r="O1452" s="0" t="s">
        <v>137</v>
      </c>
      <c r="Q1452" s="0" t="s">
        <v>130</v>
      </c>
      <c r="R1452" s="0" t="s">
        <v>138</v>
      </c>
      <c r="S1452" s="14">
        <v>0</v>
      </c>
      <c r="T1452" s="0" t="s">
        <v>148</v>
      </c>
      <c r="U1452" s="0" t="s">
        <v>138</v>
      </c>
      <c r="V1452" s="14" t="s">
        <v>138</v>
      </c>
      <c r="W1452" s="0" t="s">
        <v>138</v>
      </c>
      <c r="X1452" s="14" t="s">
        <v>138</v>
      </c>
      <c r="Y1452" s="0" t="s">
        <v>138</v>
      </c>
      <c r="Z1452" s="14" t="s">
        <v>138</v>
      </c>
      <c r="AA1452" s="0" t="s">
        <v>138</v>
      </c>
      <c r="AB1452" s="14" t="s">
        <v>138</v>
      </c>
      <c r="AD1452" s="0" t="s">
        <v>138</v>
      </c>
      <c r="AF1452" s="0">
        <v>0</v>
      </c>
      <c r="AG1452" s="0">
        <v>0</v>
      </c>
      <c r="AH1452" s="0" t="s">
        <v>140</v>
      </c>
      <c r="AI1452" s="0" t="s">
        <v>138</v>
      </c>
      <c r="AL1452" s="14"/>
      <c r="AN1452" s="14"/>
      <c r="AQ1452" s="0" t="s">
        <v>130</v>
      </c>
      <c r="AR1452" s="0" t="s">
        <v>130</v>
      </c>
      <c r="AS1452" s="0" t="s">
        <v>130</v>
      </c>
      <c r="AT1452" s="0" t="s">
        <v>130</v>
      </c>
      <c r="AU1452" s="0" t="s">
        <v>130</v>
      </c>
      <c r="AV1452" s="0" t="s">
        <v>130</v>
      </c>
      <c r="AW1452" s="0" t="s">
        <v>130</v>
      </c>
      <c r="AX1452" s="0" t="s">
        <v>130</v>
      </c>
      <c r="AY1452" s="0" t="s">
        <v>130</v>
      </c>
      <c r="AZ1452" s="0" t="s">
        <v>130</v>
      </c>
      <c r="BA1452" s="0" t="s">
        <v>130</v>
      </c>
      <c r="BB1452" s="0" t="s">
        <v>130</v>
      </c>
      <c r="BC1452" s="0" t="s">
        <v>130</v>
      </c>
      <c r="BD1452" s="0" t="s">
        <v>130</v>
      </c>
      <c r="BE1452" s="0" t="s">
        <v>130</v>
      </c>
      <c r="BF1452" s="0" t="s">
        <v>130</v>
      </c>
      <c r="BG1452" s="0" t="s">
        <v>130</v>
      </c>
      <c r="BH1452" s="0" t="s">
        <v>130</v>
      </c>
      <c r="BI1452" s="0" t="s">
        <v>130</v>
      </c>
      <c r="BJ1452" s="0" t="s">
        <v>130</v>
      </c>
      <c r="BK1452" s="0" t="s">
        <v>130</v>
      </c>
      <c r="BL1452" s="0" t="s">
        <v>130</v>
      </c>
      <c r="BM1452" s="0" t="s">
        <v>130</v>
      </c>
      <c r="BN1452" s="0" t="s">
        <v>130</v>
      </c>
      <c r="BO1452" s="0" t="s">
        <v>130</v>
      </c>
      <c r="BP1452" s="0" t="s">
        <v>130</v>
      </c>
      <c r="BQ1452" s="0" t="s">
        <v>130</v>
      </c>
      <c r="BR1452" s="0" t="s">
        <v>130</v>
      </c>
      <c r="BS1452" s="0" t="s">
        <v>130</v>
      </c>
      <c r="BT1452" s="0" t="s">
        <v>130</v>
      </c>
      <c r="BU1452" s="0" t="s">
        <v>130</v>
      </c>
      <c r="BV1452" s="0" t="s">
        <v>130</v>
      </c>
      <c r="BW1452" s="0" t="s">
        <v>130</v>
      </c>
      <c r="BX1452" s="0" t="s">
        <v>130</v>
      </c>
      <c r="BY1452" s="0" t="s">
        <v>130</v>
      </c>
      <c r="BZ1452" s="0" t="s">
        <v>130</v>
      </c>
      <c r="CA1452" s="0" t="s">
        <v>130</v>
      </c>
      <c r="CB1452" s="0" t="s">
        <v>130</v>
      </c>
      <c r="CC1452" s="0" t="s">
        <v>130</v>
      </c>
      <c r="CD1452" s="0" t="s">
        <v>130</v>
      </c>
      <c r="CE1452" s="0" t="s">
        <v>130</v>
      </c>
      <c r="CF1452" s="0" t="s">
        <v>130</v>
      </c>
      <c r="CG1452" s="0" t="s">
        <v>130</v>
      </c>
      <c r="CH1452" s="0" t="s">
        <v>130</v>
      </c>
      <c r="CI1452" s="0" t="s">
        <v>130</v>
      </c>
      <c r="CJ1452" s="0" t="s">
        <v>130</v>
      </c>
      <c r="CK1452" s="0" t="s">
        <v>130</v>
      </c>
      <c r="CL1452" s="0" t="s">
        <v>130</v>
      </c>
      <c r="CM1452" s="0" t="s">
        <v>130</v>
      </c>
      <c r="CN1452" s="0" t="s">
        <v>130</v>
      </c>
      <c r="CO1452" s="0" t="s">
        <v>130</v>
      </c>
      <c r="CP1452" s="0" t="s">
        <v>130</v>
      </c>
      <c r="CQ1452" s="0" t="s">
        <v>130</v>
      </c>
      <c r="CR1452" s="0" t="s">
        <v>130</v>
      </c>
      <c r="CS1452" s="0" t="s">
        <v>130</v>
      </c>
      <c r="CT1452" s="0" t="s">
        <v>4212</v>
      </c>
    </row>
    <row r="1453">
      <c r="A1453" s="14">
        <v>16378307</v>
      </c>
      <c r="B1453" s="0" t="s">
        <v>4202</v>
      </c>
      <c r="C1453" s="16">
        <f>HYPERLINK("https://eosportal.federatedhermes.com/companies/Q29tcGFueQppNzU3MTg=", "ServiceNow Inc")</f>
      </c>
      <c r="D1453" s="0" t="s">
        <v>25</v>
      </c>
      <c r="E1453" s="0" t="s">
        <v>4213</v>
      </c>
      <c r="F1453" s="16">
        <f>HYPERLINK("https://eosportal.federatedhermes.com/engagements/RW5nYWdlbWVudAppMjgyNDE=", "Race and gender equity")</f>
      </c>
      <c r="G1453" s="14" t="s">
        <v>4214</v>
      </c>
      <c r="H1453" s="0" t="s">
        <v>141</v>
      </c>
      <c r="I1453" s="14" t="s">
        <v>131</v>
      </c>
      <c r="J1453" s="0" t="s">
        <v>153</v>
      </c>
      <c r="K1453" s="0" t="s">
        <v>154</v>
      </c>
      <c r="L1453" s="0" t="s">
        <v>268</v>
      </c>
      <c r="M1453" s="0" t="s">
        <v>135</v>
      </c>
      <c r="N1453" s="0" t="s">
        <v>136</v>
      </c>
      <c r="O1453" s="0" t="s">
        <v>137</v>
      </c>
      <c r="Q1453" s="0" t="s">
        <v>130</v>
      </c>
      <c r="R1453" s="0" t="s">
        <v>138</v>
      </c>
      <c r="S1453" s="14">
        <v>0</v>
      </c>
      <c r="T1453" s="0" t="s">
        <v>148</v>
      </c>
      <c r="U1453" s="0" t="s">
        <v>138</v>
      </c>
      <c r="V1453" s="14" t="s">
        <v>138</v>
      </c>
      <c r="W1453" s="0" t="s">
        <v>138</v>
      </c>
      <c r="X1453" s="14" t="s">
        <v>138</v>
      </c>
      <c r="Y1453" s="0" t="s">
        <v>138</v>
      </c>
      <c r="Z1453" s="14" t="s">
        <v>138</v>
      </c>
      <c r="AA1453" s="0" t="s">
        <v>138</v>
      </c>
      <c r="AB1453" s="14" t="s">
        <v>138</v>
      </c>
      <c r="AD1453" s="0" t="s">
        <v>138</v>
      </c>
      <c r="AF1453" s="0">
        <v>0</v>
      </c>
      <c r="AG1453" s="0">
        <v>0</v>
      </c>
      <c r="AH1453" s="0" t="s">
        <v>140</v>
      </c>
      <c r="AI1453" s="0" t="s">
        <v>138</v>
      </c>
      <c r="AL1453" s="14"/>
      <c r="AN1453" s="14"/>
      <c r="AQ1453" s="0" t="s">
        <v>130</v>
      </c>
      <c r="AR1453" s="0" t="s">
        <v>130</v>
      </c>
      <c r="AS1453" s="0" t="s">
        <v>130</v>
      </c>
      <c r="AT1453" s="0" t="s">
        <v>130</v>
      </c>
      <c r="AU1453" s="0" t="s">
        <v>130</v>
      </c>
      <c r="AV1453" s="0" t="s">
        <v>130</v>
      </c>
      <c r="AW1453" s="0" t="s">
        <v>130</v>
      </c>
      <c r="AX1453" s="0" t="s">
        <v>141</v>
      </c>
      <c r="AY1453" s="0" t="s">
        <v>130</v>
      </c>
      <c r="AZ1453" s="0" t="s">
        <v>130</v>
      </c>
      <c r="BA1453" s="0" t="s">
        <v>130</v>
      </c>
      <c r="BB1453" s="0" t="s">
        <v>130</v>
      </c>
      <c r="BC1453" s="0" t="s">
        <v>130</v>
      </c>
      <c r="BD1453" s="0" t="s">
        <v>130</v>
      </c>
      <c r="BE1453" s="0" t="s">
        <v>130</v>
      </c>
      <c r="BF1453" s="0" t="s">
        <v>130</v>
      </c>
      <c r="BG1453" s="0" t="s">
        <v>130</v>
      </c>
      <c r="BH1453" s="0" t="s">
        <v>130</v>
      </c>
      <c r="BI1453" s="0" t="s">
        <v>130</v>
      </c>
      <c r="BJ1453" s="0" t="s">
        <v>130</v>
      </c>
      <c r="BK1453" s="0" t="s">
        <v>130</v>
      </c>
      <c r="BL1453" s="0" t="s">
        <v>130</v>
      </c>
      <c r="BM1453" s="0" t="s">
        <v>130</v>
      </c>
      <c r="BN1453" s="0" t="s">
        <v>130</v>
      </c>
      <c r="BO1453" s="0" t="s">
        <v>130</v>
      </c>
      <c r="BP1453" s="0" t="s">
        <v>130</v>
      </c>
      <c r="BQ1453" s="0" t="s">
        <v>130</v>
      </c>
      <c r="BR1453" s="0" t="s">
        <v>130</v>
      </c>
      <c r="BS1453" s="0" t="s">
        <v>130</v>
      </c>
      <c r="BT1453" s="0" t="s">
        <v>130</v>
      </c>
      <c r="BU1453" s="0" t="s">
        <v>130</v>
      </c>
      <c r="BV1453" s="0" t="s">
        <v>130</v>
      </c>
      <c r="BW1453" s="0" t="s">
        <v>130</v>
      </c>
      <c r="BX1453" s="0" t="s">
        <v>130</v>
      </c>
      <c r="BY1453" s="0" t="s">
        <v>130</v>
      </c>
      <c r="BZ1453" s="0" t="s">
        <v>130</v>
      </c>
      <c r="CA1453" s="0" t="s">
        <v>130</v>
      </c>
      <c r="CB1453" s="0" t="s">
        <v>130</v>
      </c>
      <c r="CC1453" s="0" t="s">
        <v>130</v>
      </c>
      <c r="CD1453" s="0" t="s">
        <v>130</v>
      </c>
      <c r="CE1453" s="0" t="s">
        <v>130</v>
      </c>
      <c r="CF1453" s="0" t="s">
        <v>130</v>
      </c>
      <c r="CG1453" s="0" t="s">
        <v>130</v>
      </c>
      <c r="CH1453" s="0" t="s">
        <v>130</v>
      </c>
      <c r="CI1453" s="0" t="s">
        <v>130</v>
      </c>
      <c r="CJ1453" s="0" t="s">
        <v>130</v>
      </c>
      <c r="CK1453" s="0" t="s">
        <v>141</v>
      </c>
      <c r="CL1453" s="0" t="s">
        <v>130</v>
      </c>
      <c r="CM1453" s="0" t="s">
        <v>130</v>
      </c>
      <c r="CN1453" s="0" t="s">
        <v>130</v>
      </c>
      <c r="CO1453" s="0" t="s">
        <v>130</v>
      </c>
      <c r="CP1453" s="0" t="s">
        <v>130</v>
      </c>
      <c r="CQ1453" s="0" t="s">
        <v>130</v>
      </c>
      <c r="CR1453" s="0" t="s">
        <v>130</v>
      </c>
      <c r="CS1453" s="0" t="s">
        <v>130</v>
      </c>
      <c r="CT1453" s="0" t="s">
        <v>4215</v>
      </c>
    </row>
    <row r="1454">
      <c r="A1454" s="14">
        <v>16378307</v>
      </c>
      <c r="B1454" s="0" t="s">
        <v>4202</v>
      </c>
      <c r="C1454" s="16">
        <f>HYPERLINK("https://eosportal.federatedhermes.com/companies/Q29tcGFueQppNzU3MTg=", "ServiceNow Inc")</f>
      </c>
      <c r="D1454" s="0" t="s">
        <v>25</v>
      </c>
      <c r="E1454" s="0" t="s">
        <v>4216</v>
      </c>
      <c r="F1454" s="16">
        <f>HYPERLINK("https://eosportal.federatedhermes.com/engagements/RW5nYWdlbWVudAppMjgyNDI=", "Right to call special meeting")</f>
      </c>
      <c r="G1454" s="14" t="s">
        <v>4217</v>
      </c>
      <c r="H1454" s="0" t="s">
        <v>141</v>
      </c>
      <c r="I1454" s="14" t="s">
        <v>131</v>
      </c>
      <c r="J1454" s="0" t="s">
        <v>145</v>
      </c>
      <c r="K1454" s="0" t="s">
        <v>400</v>
      </c>
      <c r="L1454" s="0" t="s">
        <v>507</v>
      </c>
      <c r="M1454" s="0" t="s">
        <v>135</v>
      </c>
      <c r="N1454" s="0" t="s">
        <v>136</v>
      </c>
      <c r="O1454" s="0" t="s">
        <v>137</v>
      </c>
      <c r="Q1454" s="0" t="s">
        <v>130</v>
      </c>
      <c r="R1454" s="0" t="s">
        <v>138</v>
      </c>
      <c r="S1454" s="14">
        <v>0</v>
      </c>
      <c r="T1454" s="0" t="s">
        <v>148</v>
      </c>
      <c r="U1454" s="0" t="s">
        <v>138</v>
      </c>
      <c r="V1454" s="14" t="s">
        <v>138</v>
      </c>
      <c r="W1454" s="0" t="s">
        <v>138</v>
      </c>
      <c r="X1454" s="14" t="s">
        <v>138</v>
      </c>
      <c r="Y1454" s="0" t="s">
        <v>138</v>
      </c>
      <c r="Z1454" s="14" t="s">
        <v>138</v>
      </c>
      <c r="AA1454" s="0" t="s">
        <v>138</v>
      </c>
      <c r="AB1454" s="14" t="s">
        <v>138</v>
      </c>
      <c r="AD1454" s="0" t="s">
        <v>138</v>
      </c>
      <c r="AF1454" s="0">
        <v>0</v>
      </c>
      <c r="AG1454" s="0">
        <v>0</v>
      </c>
      <c r="AH1454" s="0" t="s">
        <v>140</v>
      </c>
      <c r="AI1454" s="0" t="s">
        <v>138</v>
      </c>
      <c r="AL1454" s="14"/>
      <c r="AN1454" s="14"/>
      <c r="AQ1454" s="0" t="s">
        <v>130</v>
      </c>
      <c r="AR1454" s="0" t="s">
        <v>130</v>
      </c>
      <c r="AS1454" s="0" t="s">
        <v>130</v>
      </c>
      <c r="AT1454" s="0" t="s">
        <v>130</v>
      </c>
      <c r="AU1454" s="0" t="s">
        <v>130</v>
      </c>
      <c r="AV1454" s="0" t="s">
        <v>130</v>
      </c>
      <c r="AW1454" s="0" t="s">
        <v>130</v>
      </c>
      <c r="AX1454" s="0" t="s">
        <v>130</v>
      </c>
      <c r="AY1454" s="0" t="s">
        <v>130</v>
      </c>
      <c r="AZ1454" s="0" t="s">
        <v>130</v>
      </c>
      <c r="BA1454" s="0" t="s">
        <v>130</v>
      </c>
      <c r="BB1454" s="0" t="s">
        <v>130</v>
      </c>
      <c r="BC1454" s="0" t="s">
        <v>130</v>
      </c>
      <c r="BD1454" s="0" t="s">
        <v>130</v>
      </c>
      <c r="BE1454" s="0" t="s">
        <v>130</v>
      </c>
      <c r="BF1454" s="0" t="s">
        <v>130</v>
      </c>
      <c r="BG1454" s="0" t="s">
        <v>130</v>
      </c>
      <c r="BH1454" s="0" t="s">
        <v>130</v>
      </c>
      <c r="BI1454" s="0" t="s">
        <v>130</v>
      </c>
      <c r="BJ1454" s="0" t="s">
        <v>130</v>
      </c>
      <c r="BK1454" s="0" t="s">
        <v>130</v>
      </c>
      <c r="BL1454" s="0" t="s">
        <v>130</v>
      </c>
      <c r="BM1454" s="0" t="s">
        <v>130</v>
      </c>
      <c r="BN1454" s="0" t="s">
        <v>130</v>
      </c>
      <c r="BO1454" s="0" t="s">
        <v>130</v>
      </c>
      <c r="BP1454" s="0" t="s">
        <v>130</v>
      </c>
      <c r="BQ1454" s="0" t="s">
        <v>130</v>
      </c>
      <c r="BR1454" s="0" t="s">
        <v>130</v>
      </c>
      <c r="BS1454" s="0" t="s">
        <v>130</v>
      </c>
      <c r="BT1454" s="0" t="s">
        <v>130</v>
      </c>
      <c r="BU1454" s="0" t="s">
        <v>130</v>
      </c>
      <c r="BV1454" s="0" t="s">
        <v>130</v>
      </c>
      <c r="BW1454" s="0" t="s">
        <v>130</v>
      </c>
      <c r="BX1454" s="0" t="s">
        <v>130</v>
      </c>
      <c r="BY1454" s="0" t="s">
        <v>130</v>
      </c>
      <c r="BZ1454" s="0" t="s">
        <v>130</v>
      </c>
      <c r="CA1454" s="0" t="s">
        <v>130</v>
      </c>
      <c r="CB1454" s="0" t="s">
        <v>130</v>
      </c>
      <c r="CC1454" s="0" t="s">
        <v>130</v>
      </c>
      <c r="CD1454" s="0" t="s">
        <v>130</v>
      </c>
      <c r="CE1454" s="0" t="s">
        <v>130</v>
      </c>
      <c r="CF1454" s="0" t="s">
        <v>130</v>
      </c>
      <c r="CG1454" s="0" t="s">
        <v>130</v>
      </c>
      <c r="CH1454" s="0" t="s">
        <v>130</v>
      </c>
      <c r="CI1454" s="0" t="s">
        <v>130</v>
      </c>
      <c r="CJ1454" s="0" t="s">
        <v>130</v>
      </c>
      <c r="CK1454" s="0" t="s">
        <v>130</v>
      </c>
      <c r="CL1454" s="0" t="s">
        <v>130</v>
      </c>
      <c r="CM1454" s="0" t="s">
        <v>130</v>
      </c>
      <c r="CN1454" s="0" t="s">
        <v>130</v>
      </c>
      <c r="CO1454" s="0" t="s">
        <v>130</v>
      </c>
      <c r="CP1454" s="0" t="s">
        <v>130</v>
      </c>
      <c r="CQ1454" s="0" t="s">
        <v>130</v>
      </c>
      <c r="CR1454" s="0" t="s">
        <v>130</v>
      </c>
      <c r="CS1454" s="0" t="s">
        <v>130</v>
      </c>
      <c r="CT1454" s="0" t="s">
        <v>4218</v>
      </c>
    </row>
    <row r="1455">
      <c r="A1455" s="14">
        <v>16378307</v>
      </c>
      <c r="B1455" s="0" t="s">
        <v>4202</v>
      </c>
      <c r="C1455" s="16">
        <f>HYPERLINK("https://eosportal.federatedhermes.com/companies/Q29tcGFueQppNzU3MTg=", "ServiceNow Inc")</f>
      </c>
      <c r="D1455" s="0" t="s">
        <v>25</v>
      </c>
      <c r="E1455" s="0" t="s">
        <v>258</v>
      </c>
      <c r="F1455" s="16">
        <f>HYPERLINK("https://eosportal.federatedhermes.com/engagements/RW5nYWdlbWVudAppMjgyNDM=", "AI leadership")</f>
      </c>
      <c r="G1455" s="14" t="s">
        <v>259</v>
      </c>
      <c r="H1455" s="0" t="s">
        <v>141</v>
      </c>
      <c r="I1455" s="14" t="s">
        <v>131</v>
      </c>
      <c r="J1455" s="0" t="s">
        <v>153</v>
      </c>
      <c r="K1455" s="0" t="s">
        <v>243</v>
      </c>
      <c r="L1455" s="0" t="s">
        <v>537</v>
      </c>
      <c r="M1455" s="0" t="s">
        <v>135</v>
      </c>
      <c r="N1455" s="0" t="s">
        <v>136</v>
      </c>
      <c r="O1455" s="0" t="s">
        <v>137</v>
      </c>
      <c r="Q1455" s="0" t="s">
        <v>141</v>
      </c>
      <c r="R1455" s="0" t="s">
        <v>138</v>
      </c>
      <c r="S1455" s="14">
        <v>1</v>
      </c>
      <c r="T1455" s="0" t="s">
        <v>148</v>
      </c>
      <c r="U1455" s="0" t="s">
        <v>138</v>
      </c>
      <c r="V1455" s="14" t="s">
        <v>138</v>
      </c>
      <c r="W1455" s="0" t="s">
        <v>138</v>
      </c>
      <c r="X1455" s="14" t="s">
        <v>138</v>
      </c>
      <c r="Y1455" s="0" t="s">
        <v>138</v>
      </c>
      <c r="Z1455" s="14" t="s">
        <v>138</v>
      </c>
      <c r="AA1455" s="0" t="s">
        <v>138</v>
      </c>
      <c r="AB1455" s="14" t="s">
        <v>138</v>
      </c>
      <c r="AD1455" s="0" t="s">
        <v>138</v>
      </c>
      <c r="AF1455" s="0">
        <v>0</v>
      </c>
      <c r="AG1455" s="0">
        <v>0</v>
      </c>
      <c r="AH1455" s="0" t="s">
        <v>140</v>
      </c>
      <c r="AI1455" s="0" t="s">
        <v>138</v>
      </c>
      <c r="AK1455" s="0" t="s">
        <v>1470</v>
      </c>
      <c r="AL1455" s="14"/>
      <c r="AN1455" s="14"/>
      <c r="AQ1455" s="0" t="s">
        <v>130</v>
      </c>
      <c r="AR1455" s="0" t="s">
        <v>130</v>
      </c>
      <c r="AS1455" s="0" t="s">
        <v>130</v>
      </c>
      <c r="AT1455" s="0" t="s">
        <v>130</v>
      </c>
      <c r="AU1455" s="0" t="s">
        <v>130</v>
      </c>
      <c r="AV1455" s="0" t="s">
        <v>130</v>
      </c>
      <c r="AW1455" s="0" t="s">
        <v>130</v>
      </c>
      <c r="AX1455" s="0" t="s">
        <v>130</v>
      </c>
      <c r="AY1455" s="0" t="s">
        <v>130</v>
      </c>
      <c r="AZ1455" s="0" t="s">
        <v>130</v>
      </c>
      <c r="BA1455" s="0" t="s">
        <v>130</v>
      </c>
      <c r="BB1455" s="0" t="s">
        <v>130</v>
      </c>
      <c r="BC1455" s="0" t="s">
        <v>130</v>
      </c>
      <c r="BD1455" s="0" t="s">
        <v>130</v>
      </c>
      <c r="BE1455" s="0" t="s">
        <v>130</v>
      </c>
      <c r="BF1455" s="0" t="s">
        <v>141</v>
      </c>
      <c r="BG1455" s="0" t="s">
        <v>130</v>
      </c>
      <c r="BH1455" s="0" t="s">
        <v>130</v>
      </c>
      <c r="BI1455" s="0" t="s">
        <v>130</v>
      </c>
      <c r="BJ1455" s="0" t="s">
        <v>130</v>
      </c>
      <c r="BK1455" s="0" t="s">
        <v>130</v>
      </c>
      <c r="BL1455" s="0" t="s">
        <v>130</v>
      </c>
      <c r="BM1455" s="0" t="s">
        <v>130</v>
      </c>
      <c r="BN1455" s="0" t="s">
        <v>130</v>
      </c>
      <c r="BO1455" s="0" t="s">
        <v>130</v>
      </c>
      <c r="BP1455" s="0" t="s">
        <v>130</v>
      </c>
      <c r="BQ1455" s="0" t="s">
        <v>130</v>
      </c>
      <c r="BR1455" s="0" t="s">
        <v>130</v>
      </c>
      <c r="BS1455" s="0" t="s">
        <v>130</v>
      </c>
      <c r="BT1455" s="0" t="s">
        <v>130</v>
      </c>
      <c r="BU1455" s="0" t="s">
        <v>130</v>
      </c>
      <c r="BV1455" s="0" t="s">
        <v>130</v>
      </c>
      <c r="BW1455" s="0" t="s">
        <v>130</v>
      </c>
      <c r="BX1455" s="0" t="s">
        <v>130</v>
      </c>
      <c r="BY1455" s="0" t="s">
        <v>130</v>
      </c>
      <c r="BZ1455" s="0" t="s">
        <v>130</v>
      </c>
      <c r="CA1455" s="0" t="s">
        <v>130</v>
      </c>
      <c r="CB1455" s="0" t="s">
        <v>130</v>
      </c>
      <c r="CC1455" s="0" t="s">
        <v>130</v>
      </c>
      <c r="CD1455" s="0" t="s">
        <v>130</v>
      </c>
      <c r="CE1455" s="0" t="s">
        <v>130</v>
      </c>
      <c r="CF1455" s="0" t="s">
        <v>130</v>
      </c>
      <c r="CG1455" s="0" t="s">
        <v>130</v>
      </c>
      <c r="CH1455" s="0" t="s">
        <v>130</v>
      </c>
      <c r="CI1455" s="0" t="s">
        <v>130</v>
      </c>
      <c r="CJ1455" s="0" t="s">
        <v>130</v>
      </c>
      <c r="CK1455" s="0" t="s">
        <v>130</v>
      </c>
      <c r="CL1455" s="0" t="s">
        <v>130</v>
      </c>
      <c r="CM1455" s="0" t="s">
        <v>130</v>
      </c>
      <c r="CN1455" s="0" t="s">
        <v>130</v>
      </c>
      <c r="CO1455" s="0" t="s">
        <v>130</v>
      </c>
      <c r="CP1455" s="0" t="s">
        <v>130</v>
      </c>
      <c r="CQ1455" s="0" t="s">
        <v>130</v>
      </c>
      <c r="CR1455" s="0" t="s">
        <v>130</v>
      </c>
      <c r="CS1455" s="0" t="s">
        <v>130</v>
      </c>
      <c r="CT1455" s="0" t="s">
        <v>4219</v>
      </c>
    </row>
    <row r="1456">
      <c r="A1456" s="14">
        <v>16632863</v>
      </c>
      <c r="B1456" s="0" t="s">
        <v>4220</v>
      </c>
      <c r="C1456" s="16">
        <f>HYPERLINK("https://eosportal.federatedhermes.com/companies/Q29tcGFueQppNDQ5NjA=", "General Motors Co")</f>
      </c>
      <c r="D1456" s="0" t="s">
        <v>25</v>
      </c>
      <c r="E1456" s="0" t="s">
        <v>4221</v>
      </c>
      <c r="F1456" s="16">
        <f>HYPERLINK("https://eosportal.federatedhermes.com/engagements/RW5nYWdlbWVudAppMjgyNDY=", "Shareholder Rights Enhancements")</f>
      </c>
      <c r="G1456" s="14" t="s">
        <v>4222</v>
      </c>
      <c r="H1456" s="0" t="s">
        <v>141</v>
      </c>
      <c r="I1456" s="14" t="s">
        <v>191</v>
      </c>
      <c r="J1456" s="0" t="s">
        <v>145</v>
      </c>
      <c r="K1456" s="0" t="s">
        <v>400</v>
      </c>
      <c r="L1456" s="0" t="s">
        <v>507</v>
      </c>
      <c r="M1456" s="0" t="s">
        <v>135</v>
      </c>
      <c r="N1456" s="0" t="s">
        <v>136</v>
      </c>
      <c r="O1456" s="0" t="s">
        <v>425</v>
      </c>
      <c r="Q1456" s="0" t="s">
        <v>130</v>
      </c>
      <c r="R1456" s="0" t="s">
        <v>138</v>
      </c>
      <c r="S1456" s="14">
        <v>0</v>
      </c>
      <c r="T1456" s="0" t="s">
        <v>148</v>
      </c>
      <c r="U1456" s="0" t="s">
        <v>138</v>
      </c>
      <c r="V1456" s="14" t="s">
        <v>138</v>
      </c>
      <c r="W1456" s="0" t="s">
        <v>138</v>
      </c>
      <c r="X1456" s="14" t="s">
        <v>138</v>
      </c>
      <c r="Y1456" s="0" t="s">
        <v>138</v>
      </c>
      <c r="Z1456" s="14" t="s">
        <v>138</v>
      </c>
      <c r="AA1456" s="0" t="s">
        <v>138</v>
      </c>
      <c r="AB1456" s="14" t="s">
        <v>138</v>
      </c>
      <c r="AD1456" s="0" t="s">
        <v>138</v>
      </c>
      <c r="AF1456" s="0">
        <v>0</v>
      </c>
      <c r="AG1456" s="0">
        <v>0</v>
      </c>
      <c r="AH1456" s="0" t="s">
        <v>140</v>
      </c>
      <c r="AI1456" s="0" t="s">
        <v>138</v>
      </c>
      <c r="AL1456" s="14"/>
      <c r="AN1456" s="14"/>
      <c r="AQ1456" s="0" t="s">
        <v>130</v>
      </c>
      <c r="AR1456" s="0" t="s">
        <v>130</v>
      </c>
      <c r="AS1456" s="0" t="s">
        <v>130</v>
      </c>
      <c r="AT1456" s="0" t="s">
        <v>130</v>
      </c>
      <c r="AU1456" s="0" t="s">
        <v>130</v>
      </c>
      <c r="AV1456" s="0" t="s">
        <v>130</v>
      </c>
      <c r="AW1456" s="0" t="s">
        <v>130</v>
      </c>
      <c r="AX1456" s="0" t="s">
        <v>130</v>
      </c>
      <c r="AY1456" s="0" t="s">
        <v>130</v>
      </c>
      <c r="AZ1456" s="0" t="s">
        <v>130</v>
      </c>
      <c r="BA1456" s="0" t="s">
        <v>130</v>
      </c>
      <c r="BB1456" s="0" t="s">
        <v>130</v>
      </c>
      <c r="BC1456" s="0" t="s">
        <v>130</v>
      </c>
      <c r="BD1456" s="0" t="s">
        <v>130</v>
      </c>
      <c r="BE1456" s="0" t="s">
        <v>130</v>
      </c>
      <c r="BF1456" s="0" t="s">
        <v>130</v>
      </c>
      <c r="BG1456" s="0" t="s">
        <v>130</v>
      </c>
      <c r="BH1456" s="0" t="s">
        <v>130</v>
      </c>
      <c r="BI1456" s="0" t="s">
        <v>130</v>
      </c>
      <c r="BJ1456" s="0" t="s">
        <v>130</v>
      </c>
      <c r="BK1456" s="0" t="s">
        <v>130</v>
      </c>
      <c r="BL1456" s="0" t="s">
        <v>130</v>
      </c>
      <c r="BM1456" s="0" t="s">
        <v>130</v>
      </c>
      <c r="BN1456" s="0" t="s">
        <v>130</v>
      </c>
      <c r="BO1456" s="0" t="s">
        <v>130</v>
      </c>
      <c r="BP1456" s="0" t="s">
        <v>130</v>
      </c>
      <c r="BQ1456" s="0" t="s">
        <v>130</v>
      </c>
      <c r="BR1456" s="0" t="s">
        <v>130</v>
      </c>
      <c r="BS1456" s="0" t="s">
        <v>130</v>
      </c>
      <c r="BT1456" s="0" t="s">
        <v>130</v>
      </c>
      <c r="BU1456" s="0" t="s">
        <v>130</v>
      </c>
      <c r="BV1456" s="0" t="s">
        <v>130</v>
      </c>
      <c r="BW1456" s="0" t="s">
        <v>130</v>
      </c>
      <c r="BX1456" s="0" t="s">
        <v>130</v>
      </c>
      <c r="BY1456" s="0" t="s">
        <v>130</v>
      </c>
      <c r="BZ1456" s="0" t="s">
        <v>130</v>
      </c>
      <c r="CA1456" s="0" t="s">
        <v>130</v>
      </c>
      <c r="CB1456" s="0" t="s">
        <v>130</v>
      </c>
      <c r="CC1456" s="0" t="s">
        <v>130</v>
      </c>
      <c r="CD1456" s="0" t="s">
        <v>130</v>
      </c>
      <c r="CE1456" s="0" t="s">
        <v>130</v>
      </c>
      <c r="CF1456" s="0" t="s">
        <v>130</v>
      </c>
      <c r="CG1456" s="0" t="s">
        <v>130</v>
      </c>
      <c r="CH1456" s="0" t="s">
        <v>130</v>
      </c>
      <c r="CI1456" s="0" t="s">
        <v>130</v>
      </c>
      <c r="CJ1456" s="0" t="s">
        <v>130</v>
      </c>
      <c r="CK1456" s="0" t="s">
        <v>130</v>
      </c>
      <c r="CL1456" s="0" t="s">
        <v>130</v>
      </c>
      <c r="CM1456" s="0" t="s">
        <v>130</v>
      </c>
      <c r="CN1456" s="0" t="s">
        <v>130</v>
      </c>
      <c r="CO1456" s="0" t="s">
        <v>130</v>
      </c>
      <c r="CP1456" s="0" t="s">
        <v>130</v>
      </c>
      <c r="CQ1456" s="0" t="s">
        <v>130</v>
      </c>
      <c r="CR1456" s="0" t="s">
        <v>130</v>
      </c>
      <c r="CS1456" s="0" t="s">
        <v>130</v>
      </c>
      <c r="CT1456" s="0" t="s">
        <v>4223</v>
      </c>
    </row>
    <row r="1457">
      <c r="A1457" s="14">
        <v>16632863</v>
      </c>
      <c r="B1457" s="0" t="s">
        <v>4220</v>
      </c>
      <c r="C1457" s="16">
        <f>HYPERLINK("https://eosportal.federatedhermes.com/companies/Q29tcGFueQppNDQ5NjA=", "General Motors Co")</f>
      </c>
      <c r="D1457" s="0" t="s">
        <v>25</v>
      </c>
      <c r="E1457" s="0" t="s">
        <v>4224</v>
      </c>
      <c r="F1457" s="16">
        <f>HYPERLINK("https://eosportal.federatedhermes.com/engagements/RW5nYWdlbWVudAppMjgyNDc=", "Gender and racial equality strategy and implementation")</f>
      </c>
      <c r="G1457" s="14" t="s">
        <v>4225</v>
      </c>
      <c r="H1457" s="0" t="s">
        <v>141</v>
      </c>
      <c r="I1457" s="14" t="s">
        <v>191</v>
      </c>
      <c r="J1457" s="0" t="s">
        <v>153</v>
      </c>
      <c r="K1457" s="0" t="s">
        <v>154</v>
      </c>
      <c r="L1457" s="0" t="s">
        <v>268</v>
      </c>
      <c r="M1457" s="0" t="s">
        <v>135</v>
      </c>
      <c r="N1457" s="0" t="s">
        <v>136</v>
      </c>
      <c r="O1457" s="0" t="s">
        <v>425</v>
      </c>
      <c r="Q1457" s="0" t="s">
        <v>130</v>
      </c>
      <c r="R1457" s="0" t="s">
        <v>138</v>
      </c>
      <c r="S1457" s="14">
        <v>0</v>
      </c>
      <c r="T1457" s="0" t="s">
        <v>206</v>
      </c>
      <c r="U1457" s="0" t="s">
        <v>138</v>
      </c>
      <c r="V1457" s="14" t="s">
        <v>138</v>
      </c>
      <c r="W1457" s="0" t="s">
        <v>138</v>
      </c>
      <c r="X1457" s="14" t="s">
        <v>138</v>
      </c>
      <c r="Y1457" s="0" t="s">
        <v>138</v>
      </c>
      <c r="Z1457" s="14" t="s">
        <v>138</v>
      </c>
      <c r="AA1457" s="0" t="s">
        <v>138</v>
      </c>
      <c r="AB1457" s="14" t="s">
        <v>138</v>
      </c>
      <c r="AD1457" s="0" t="s">
        <v>138</v>
      </c>
      <c r="AF1457" s="0">
        <v>0</v>
      </c>
      <c r="AG1457" s="0">
        <v>0</v>
      </c>
      <c r="AH1457" s="0" t="s">
        <v>140</v>
      </c>
      <c r="AI1457" s="0" t="s">
        <v>138</v>
      </c>
      <c r="AL1457" s="14"/>
      <c r="AN1457" s="14"/>
      <c r="AQ1457" s="0" t="s">
        <v>130</v>
      </c>
      <c r="AR1457" s="0" t="s">
        <v>130</v>
      </c>
      <c r="AS1457" s="0" t="s">
        <v>130</v>
      </c>
      <c r="AT1457" s="0" t="s">
        <v>130</v>
      </c>
      <c r="AU1457" s="0" t="s">
        <v>130</v>
      </c>
      <c r="AV1457" s="0" t="s">
        <v>130</v>
      </c>
      <c r="AW1457" s="0" t="s">
        <v>130</v>
      </c>
      <c r="AX1457" s="0" t="s">
        <v>130</v>
      </c>
      <c r="AY1457" s="0" t="s">
        <v>130</v>
      </c>
      <c r="AZ1457" s="0" t="s">
        <v>130</v>
      </c>
      <c r="BA1457" s="0" t="s">
        <v>130</v>
      </c>
      <c r="BB1457" s="0" t="s">
        <v>130</v>
      </c>
      <c r="BC1457" s="0" t="s">
        <v>130</v>
      </c>
      <c r="BD1457" s="0" t="s">
        <v>130</v>
      </c>
      <c r="BE1457" s="0" t="s">
        <v>130</v>
      </c>
      <c r="BF1457" s="0" t="s">
        <v>130</v>
      </c>
      <c r="BG1457" s="0" t="s">
        <v>130</v>
      </c>
      <c r="BH1457" s="0" t="s">
        <v>130</v>
      </c>
      <c r="BI1457" s="0" t="s">
        <v>130</v>
      </c>
      <c r="BJ1457" s="0" t="s">
        <v>130</v>
      </c>
      <c r="BK1457" s="0" t="s">
        <v>130</v>
      </c>
      <c r="BL1457" s="0" t="s">
        <v>130</v>
      </c>
      <c r="BM1457" s="0" t="s">
        <v>130</v>
      </c>
      <c r="BN1457" s="0" t="s">
        <v>130</v>
      </c>
      <c r="BO1457" s="0" t="s">
        <v>130</v>
      </c>
      <c r="BP1457" s="0" t="s">
        <v>130</v>
      </c>
      <c r="BQ1457" s="0" t="s">
        <v>130</v>
      </c>
      <c r="BR1457" s="0" t="s">
        <v>130</v>
      </c>
      <c r="BS1457" s="0" t="s">
        <v>130</v>
      </c>
      <c r="BT1457" s="0" t="s">
        <v>130</v>
      </c>
      <c r="BU1457" s="0" t="s">
        <v>130</v>
      </c>
      <c r="BV1457" s="0" t="s">
        <v>130</v>
      </c>
      <c r="BW1457" s="0" t="s">
        <v>130</v>
      </c>
      <c r="BX1457" s="0" t="s">
        <v>130</v>
      </c>
      <c r="BY1457" s="0" t="s">
        <v>130</v>
      </c>
      <c r="BZ1457" s="0" t="s">
        <v>130</v>
      </c>
      <c r="CA1457" s="0" t="s">
        <v>130</v>
      </c>
      <c r="CB1457" s="0" t="s">
        <v>130</v>
      </c>
      <c r="CC1457" s="0" t="s">
        <v>130</v>
      </c>
      <c r="CD1457" s="0" t="s">
        <v>130</v>
      </c>
      <c r="CE1457" s="0" t="s">
        <v>130</v>
      </c>
      <c r="CF1457" s="0" t="s">
        <v>130</v>
      </c>
      <c r="CG1457" s="0" t="s">
        <v>130</v>
      </c>
      <c r="CH1457" s="0" t="s">
        <v>130</v>
      </c>
      <c r="CI1457" s="0" t="s">
        <v>130</v>
      </c>
      <c r="CJ1457" s="0" t="s">
        <v>130</v>
      </c>
      <c r="CK1457" s="0" t="s">
        <v>141</v>
      </c>
      <c r="CL1457" s="0" t="s">
        <v>130</v>
      </c>
      <c r="CM1457" s="0" t="s">
        <v>130</v>
      </c>
      <c r="CN1457" s="0" t="s">
        <v>130</v>
      </c>
      <c r="CO1457" s="0" t="s">
        <v>130</v>
      </c>
      <c r="CP1457" s="0" t="s">
        <v>130</v>
      </c>
      <c r="CQ1457" s="0" t="s">
        <v>130</v>
      </c>
      <c r="CR1457" s="0" t="s">
        <v>130</v>
      </c>
      <c r="CS1457" s="0" t="s">
        <v>130</v>
      </c>
      <c r="CT1457" s="0" t="s">
        <v>4226</v>
      </c>
    </row>
    <row r="1458">
      <c r="A1458" s="14">
        <v>16632863</v>
      </c>
      <c r="B1458" s="0" t="s">
        <v>4220</v>
      </c>
      <c r="C1458" s="16">
        <f>HYPERLINK("https://eosportal.federatedhermes.com/companies/Q29tcGFueQppNDQ5NjA=", "General Motors Co")</f>
      </c>
      <c r="D1458" s="0" t="s">
        <v>25</v>
      </c>
      <c r="E1458" s="0" t="s">
        <v>4227</v>
      </c>
      <c r="F1458" s="16">
        <f>HYPERLINK("https://eosportal.federatedhermes.com/engagements/RW5nYWdlbWVudAppMjgyNDg=", "Reporting against TCFD recommendations")</f>
      </c>
      <c r="G1458" s="14" t="s">
        <v>4228</v>
      </c>
      <c r="H1458" s="0" t="s">
        <v>141</v>
      </c>
      <c r="I1458" s="14" t="s">
        <v>191</v>
      </c>
      <c r="J1458" s="0" t="s">
        <v>197</v>
      </c>
      <c r="K1458" s="0" t="s">
        <v>198</v>
      </c>
      <c r="L1458" s="0" t="s">
        <v>199</v>
      </c>
      <c r="M1458" s="0" t="s">
        <v>135</v>
      </c>
      <c r="N1458" s="0" t="s">
        <v>136</v>
      </c>
      <c r="O1458" s="0" t="s">
        <v>425</v>
      </c>
      <c r="Q1458" s="0" t="s">
        <v>130</v>
      </c>
      <c r="R1458" s="0" t="s">
        <v>138</v>
      </c>
      <c r="S1458" s="14">
        <v>0</v>
      </c>
      <c r="T1458" s="0" t="s">
        <v>314</v>
      </c>
      <c r="U1458" s="0" t="s">
        <v>138</v>
      </c>
      <c r="V1458" s="14" t="s">
        <v>138</v>
      </c>
      <c r="W1458" s="0" t="s">
        <v>138</v>
      </c>
      <c r="X1458" s="14" t="s">
        <v>138</v>
      </c>
      <c r="Y1458" s="0" t="s">
        <v>138</v>
      </c>
      <c r="Z1458" s="14" t="s">
        <v>138</v>
      </c>
      <c r="AA1458" s="0" t="s">
        <v>138</v>
      </c>
      <c r="AB1458" s="14" t="s">
        <v>138</v>
      </c>
      <c r="AD1458" s="0" t="s">
        <v>138</v>
      </c>
      <c r="AF1458" s="0">
        <v>0</v>
      </c>
      <c r="AG1458" s="0">
        <v>0</v>
      </c>
      <c r="AH1458" s="0" t="s">
        <v>140</v>
      </c>
      <c r="AI1458" s="0" t="s">
        <v>138</v>
      </c>
      <c r="AL1458" s="14"/>
      <c r="AN1458" s="14"/>
      <c r="AQ1458" s="0" t="s">
        <v>130</v>
      </c>
      <c r="AR1458" s="0" t="s">
        <v>130</v>
      </c>
      <c r="AS1458" s="0" t="s">
        <v>130</v>
      </c>
      <c r="AT1458" s="0" t="s">
        <v>130</v>
      </c>
      <c r="AU1458" s="0" t="s">
        <v>130</v>
      </c>
      <c r="AV1458" s="0" t="s">
        <v>130</v>
      </c>
      <c r="AW1458" s="0" t="s">
        <v>130</v>
      </c>
      <c r="AX1458" s="0" t="s">
        <v>130</v>
      </c>
      <c r="AY1458" s="0" t="s">
        <v>130</v>
      </c>
      <c r="AZ1458" s="0" t="s">
        <v>130</v>
      </c>
      <c r="BA1458" s="0" t="s">
        <v>130</v>
      </c>
      <c r="BB1458" s="0" t="s">
        <v>141</v>
      </c>
      <c r="BC1458" s="0" t="s">
        <v>141</v>
      </c>
      <c r="BD1458" s="0" t="s">
        <v>130</v>
      </c>
      <c r="BE1458" s="0" t="s">
        <v>130</v>
      </c>
      <c r="BF1458" s="0" t="s">
        <v>130</v>
      </c>
      <c r="BG1458" s="0" t="s">
        <v>130</v>
      </c>
      <c r="BH1458" s="0" t="s">
        <v>130</v>
      </c>
      <c r="BI1458" s="0" t="s">
        <v>130</v>
      </c>
      <c r="BJ1458" s="0" t="s">
        <v>130</v>
      </c>
      <c r="BK1458" s="0" t="s">
        <v>130</v>
      </c>
      <c r="BL1458" s="0" t="s">
        <v>130</v>
      </c>
      <c r="BM1458" s="0" t="s">
        <v>130</v>
      </c>
      <c r="BN1458" s="0" t="s">
        <v>130</v>
      </c>
      <c r="BO1458" s="0" t="s">
        <v>130</v>
      </c>
      <c r="BP1458" s="0" t="s">
        <v>130</v>
      </c>
      <c r="BQ1458" s="0" t="s">
        <v>130</v>
      </c>
      <c r="BR1458" s="0" t="s">
        <v>130</v>
      </c>
      <c r="BS1458" s="0" t="s">
        <v>130</v>
      </c>
      <c r="BT1458" s="0" t="s">
        <v>130</v>
      </c>
      <c r="BU1458" s="0" t="s">
        <v>130</v>
      </c>
      <c r="BV1458" s="0" t="s">
        <v>130</v>
      </c>
      <c r="BW1458" s="0" t="s">
        <v>130</v>
      </c>
      <c r="BX1458" s="0" t="s">
        <v>130</v>
      </c>
      <c r="BY1458" s="0" t="s">
        <v>130</v>
      </c>
      <c r="BZ1458" s="0" t="s">
        <v>130</v>
      </c>
      <c r="CA1458" s="0" t="s">
        <v>130</v>
      </c>
      <c r="CB1458" s="0" t="s">
        <v>130</v>
      </c>
      <c r="CC1458" s="0" t="s">
        <v>130</v>
      </c>
      <c r="CD1458" s="0" t="s">
        <v>130</v>
      </c>
      <c r="CE1458" s="0" t="s">
        <v>130</v>
      </c>
      <c r="CF1458" s="0" t="s">
        <v>130</v>
      </c>
      <c r="CG1458" s="0" t="s">
        <v>130</v>
      </c>
      <c r="CH1458" s="0" t="s">
        <v>130</v>
      </c>
      <c r="CI1458" s="0" t="s">
        <v>130</v>
      </c>
      <c r="CJ1458" s="0" t="s">
        <v>130</v>
      </c>
      <c r="CK1458" s="0" t="s">
        <v>130</v>
      </c>
      <c r="CL1458" s="0" t="s">
        <v>130</v>
      </c>
      <c r="CM1458" s="0" t="s">
        <v>130</v>
      </c>
      <c r="CN1458" s="0" t="s">
        <v>130</v>
      </c>
      <c r="CO1458" s="0" t="s">
        <v>130</v>
      </c>
      <c r="CP1458" s="0" t="s">
        <v>130</v>
      </c>
      <c r="CQ1458" s="0" t="s">
        <v>130</v>
      </c>
      <c r="CR1458" s="0" t="s">
        <v>130</v>
      </c>
      <c r="CS1458" s="0" t="s">
        <v>130</v>
      </c>
      <c r="CT1458" s="0" t="s">
        <v>4229</v>
      </c>
    </row>
    <row r="1459">
      <c r="A1459" s="14">
        <v>16632863</v>
      </c>
      <c r="B1459" s="0" t="s">
        <v>4220</v>
      </c>
      <c r="C1459" s="16">
        <f>HYPERLINK("https://eosportal.federatedhermes.com/companies/Q29tcGFueQppNDQ5NjA=", "General Motors Co")</f>
      </c>
      <c r="D1459" s="0" t="s">
        <v>25</v>
      </c>
      <c r="E1459" s="0" t="s">
        <v>4230</v>
      </c>
      <c r="F1459" s="16">
        <f>HYPERLINK("https://eosportal.federatedhermes.com/engagements/RW5nYWdlbWVudAppMjgyNDk=", "Electrification Strategy &amp; Key Risks")</f>
      </c>
      <c r="G1459" s="14" t="s">
        <v>4231</v>
      </c>
      <c r="H1459" s="0" t="s">
        <v>141</v>
      </c>
      <c r="I1459" s="14" t="s">
        <v>191</v>
      </c>
      <c r="J1459" s="0" t="s">
        <v>132</v>
      </c>
      <c r="K1459" s="0" t="s">
        <v>260</v>
      </c>
      <c r="L1459" s="0" t="s">
        <v>261</v>
      </c>
      <c r="M1459" s="0" t="s">
        <v>135</v>
      </c>
      <c r="N1459" s="0" t="s">
        <v>136</v>
      </c>
      <c r="O1459" s="0" t="s">
        <v>425</v>
      </c>
      <c r="Q1459" s="0" t="s">
        <v>141</v>
      </c>
      <c r="R1459" s="0" t="s">
        <v>138</v>
      </c>
      <c r="S1459" s="14">
        <v>1</v>
      </c>
      <c r="T1459" s="0" t="s">
        <v>394</v>
      </c>
      <c r="U1459" s="0" t="s">
        <v>138</v>
      </c>
      <c r="V1459" s="14" t="s">
        <v>138</v>
      </c>
      <c r="W1459" s="0" t="s">
        <v>138</v>
      </c>
      <c r="X1459" s="14" t="s">
        <v>138</v>
      </c>
      <c r="Y1459" s="0" t="s">
        <v>138</v>
      </c>
      <c r="Z1459" s="14" t="s">
        <v>138</v>
      </c>
      <c r="AA1459" s="0" t="s">
        <v>138</v>
      </c>
      <c r="AB1459" s="14" t="s">
        <v>138</v>
      </c>
      <c r="AD1459" s="0" t="s">
        <v>138</v>
      </c>
      <c r="AF1459" s="0">
        <v>0</v>
      </c>
      <c r="AG1459" s="0">
        <v>0</v>
      </c>
      <c r="AH1459" s="0" t="s">
        <v>140</v>
      </c>
      <c r="AI1459" s="0" t="s">
        <v>138</v>
      </c>
      <c r="AK1459" s="0" t="s">
        <v>3145</v>
      </c>
      <c r="AL1459" s="14"/>
      <c r="AN1459" s="14"/>
      <c r="AQ1459" s="0" t="s">
        <v>130</v>
      </c>
      <c r="AR1459" s="0" t="s">
        <v>130</v>
      </c>
      <c r="AS1459" s="0" t="s">
        <v>130</v>
      </c>
      <c r="AT1459" s="0" t="s">
        <v>130</v>
      </c>
      <c r="AU1459" s="0" t="s">
        <v>130</v>
      </c>
      <c r="AV1459" s="0" t="s">
        <v>130</v>
      </c>
      <c r="AW1459" s="0" t="s">
        <v>130</v>
      </c>
      <c r="AX1459" s="0" t="s">
        <v>130</v>
      </c>
      <c r="AY1459" s="0" t="s">
        <v>130</v>
      </c>
      <c r="AZ1459" s="0" t="s">
        <v>130</v>
      </c>
      <c r="BA1459" s="0" t="s">
        <v>130</v>
      </c>
      <c r="BB1459" s="0" t="s">
        <v>130</v>
      </c>
      <c r="BC1459" s="0" t="s">
        <v>130</v>
      </c>
      <c r="BD1459" s="0" t="s">
        <v>130</v>
      </c>
      <c r="BE1459" s="0" t="s">
        <v>130</v>
      </c>
      <c r="BF1459" s="0" t="s">
        <v>130</v>
      </c>
      <c r="BG1459" s="0" t="s">
        <v>130</v>
      </c>
      <c r="BH1459" s="0" t="s">
        <v>130</v>
      </c>
      <c r="BI1459" s="0" t="s">
        <v>130</v>
      </c>
      <c r="BJ1459" s="0" t="s">
        <v>130</v>
      </c>
      <c r="BK1459" s="0" t="s">
        <v>130</v>
      </c>
      <c r="BL1459" s="0" t="s">
        <v>130</v>
      </c>
      <c r="BM1459" s="0" t="s">
        <v>130</v>
      </c>
      <c r="BN1459" s="0" t="s">
        <v>130</v>
      </c>
      <c r="BO1459" s="0" t="s">
        <v>130</v>
      </c>
      <c r="BP1459" s="0" t="s">
        <v>130</v>
      </c>
      <c r="BQ1459" s="0" t="s">
        <v>130</v>
      </c>
      <c r="BR1459" s="0" t="s">
        <v>130</v>
      </c>
      <c r="BS1459" s="0" t="s">
        <v>130</v>
      </c>
      <c r="BT1459" s="0" t="s">
        <v>130</v>
      </c>
      <c r="BU1459" s="0" t="s">
        <v>130</v>
      </c>
      <c r="BV1459" s="0" t="s">
        <v>130</v>
      </c>
      <c r="BW1459" s="0" t="s">
        <v>130</v>
      </c>
      <c r="BX1459" s="0" t="s">
        <v>130</v>
      </c>
      <c r="BY1459" s="0" t="s">
        <v>130</v>
      </c>
      <c r="BZ1459" s="0" t="s">
        <v>130</v>
      </c>
      <c r="CA1459" s="0" t="s">
        <v>130</v>
      </c>
      <c r="CB1459" s="0" t="s">
        <v>130</v>
      </c>
      <c r="CC1459" s="0" t="s">
        <v>130</v>
      </c>
      <c r="CD1459" s="0" t="s">
        <v>130</v>
      </c>
      <c r="CE1459" s="0" t="s">
        <v>130</v>
      </c>
      <c r="CF1459" s="0" t="s">
        <v>130</v>
      </c>
      <c r="CG1459" s="0" t="s">
        <v>130</v>
      </c>
      <c r="CH1459" s="0" t="s">
        <v>130</v>
      </c>
      <c r="CI1459" s="0" t="s">
        <v>130</v>
      </c>
      <c r="CJ1459" s="0" t="s">
        <v>130</v>
      </c>
      <c r="CK1459" s="0" t="s">
        <v>130</v>
      </c>
      <c r="CL1459" s="0" t="s">
        <v>130</v>
      </c>
      <c r="CM1459" s="0" t="s">
        <v>130</v>
      </c>
      <c r="CN1459" s="0" t="s">
        <v>130</v>
      </c>
      <c r="CO1459" s="0" t="s">
        <v>130</v>
      </c>
      <c r="CP1459" s="0" t="s">
        <v>130</v>
      </c>
      <c r="CQ1459" s="0" t="s">
        <v>130</v>
      </c>
      <c r="CR1459" s="0" t="s">
        <v>130</v>
      </c>
      <c r="CS1459" s="0" t="s">
        <v>130</v>
      </c>
      <c r="CT1459" s="0" t="s">
        <v>4232</v>
      </c>
    </row>
    <row r="1460">
      <c r="A1460" s="14">
        <v>16632863</v>
      </c>
      <c r="B1460" s="0" t="s">
        <v>4220</v>
      </c>
      <c r="C1460" s="16">
        <f>HYPERLINK("https://eosportal.federatedhermes.com/companies/Q29tcGFueQppNDQ5NjA=", "General Motors Co")</f>
      </c>
      <c r="D1460" s="0" t="s">
        <v>25</v>
      </c>
      <c r="E1460" s="0" t="s">
        <v>4233</v>
      </c>
      <c r="F1460" s="16">
        <f>HYPERLINK("https://eosportal.federatedhermes.com/engagements/RW5nYWdlbWVudAppMjgyNTA=", "Board &amp; Management Changes")</f>
      </c>
      <c r="G1460" s="14"/>
      <c r="H1460" s="0" t="s">
        <v>141</v>
      </c>
      <c r="I1460" s="14" t="s">
        <v>191</v>
      </c>
      <c r="J1460" s="0" t="s">
        <v>145</v>
      </c>
      <c r="K1460" s="0" t="s">
        <v>164</v>
      </c>
      <c r="L1460" s="0" t="s">
        <v>165</v>
      </c>
      <c r="M1460" s="0" t="s">
        <v>135</v>
      </c>
      <c r="N1460" s="0" t="s">
        <v>136</v>
      </c>
      <c r="O1460" s="0" t="s">
        <v>425</v>
      </c>
      <c r="Q1460" s="0" t="s">
        <v>130</v>
      </c>
      <c r="R1460" s="0" t="s">
        <v>138</v>
      </c>
      <c r="S1460" s="14">
        <v>0</v>
      </c>
      <c r="T1460" s="0" t="s">
        <v>380</v>
      </c>
      <c r="U1460" s="0" t="s">
        <v>138</v>
      </c>
      <c r="V1460" s="14" t="s">
        <v>138</v>
      </c>
      <c r="W1460" s="0" t="s">
        <v>138</v>
      </c>
      <c r="X1460" s="14" t="s">
        <v>138</v>
      </c>
      <c r="Y1460" s="0" t="s">
        <v>138</v>
      </c>
      <c r="Z1460" s="14" t="s">
        <v>138</v>
      </c>
      <c r="AA1460" s="0" t="s">
        <v>138</v>
      </c>
      <c r="AB1460" s="14" t="s">
        <v>138</v>
      </c>
      <c r="AD1460" s="0" t="s">
        <v>138</v>
      </c>
      <c r="AF1460" s="0">
        <v>0</v>
      </c>
      <c r="AG1460" s="0">
        <v>0</v>
      </c>
      <c r="AH1460" s="0" t="s">
        <v>140</v>
      </c>
      <c r="AI1460" s="0" t="s">
        <v>138</v>
      </c>
      <c r="AL1460" s="14"/>
      <c r="AN1460" s="14"/>
      <c r="AQ1460" s="0" t="s">
        <v>130</v>
      </c>
      <c r="AR1460" s="0" t="s">
        <v>130</v>
      </c>
      <c r="AS1460" s="0" t="s">
        <v>130</v>
      </c>
      <c r="AT1460" s="0" t="s">
        <v>130</v>
      </c>
      <c r="AU1460" s="0" t="s">
        <v>130</v>
      </c>
      <c r="AV1460" s="0" t="s">
        <v>130</v>
      </c>
      <c r="AW1460" s="0" t="s">
        <v>130</v>
      </c>
      <c r="AX1460" s="0" t="s">
        <v>130</v>
      </c>
      <c r="AY1460" s="0" t="s">
        <v>130</v>
      </c>
      <c r="AZ1460" s="0" t="s">
        <v>130</v>
      </c>
      <c r="BA1460" s="0" t="s">
        <v>130</v>
      </c>
      <c r="BB1460" s="0" t="s">
        <v>130</v>
      </c>
      <c r="BC1460" s="0" t="s">
        <v>130</v>
      </c>
      <c r="BD1460" s="0" t="s">
        <v>130</v>
      </c>
      <c r="BE1460" s="0" t="s">
        <v>130</v>
      </c>
      <c r="BF1460" s="0" t="s">
        <v>130</v>
      </c>
      <c r="BG1460" s="0" t="s">
        <v>130</v>
      </c>
      <c r="BH1460" s="0" t="s">
        <v>130</v>
      </c>
      <c r="BI1460" s="0" t="s">
        <v>130</v>
      </c>
      <c r="BJ1460" s="0" t="s">
        <v>130</v>
      </c>
      <c r="BK1460" s="0" t="s">
        <v>130</v>
      </c>
      <c r="BL1460" s="0" t="s">
        <v>130</v>
      </c>
      <c r="BM1460" s="0" t="s">
        <v>130</v>
      </c>
      <c r="BN1460" s="0" t="s">
        <v>130</v>
      </c>
      <c r="BO1460" s="0" t="s">
        <v>130</v>
      </c>
      <c r="BP1460" s="0" t="s">
        <v>130</v>
      </c>
      <c r="BQ1460" s="0" t="s">
        <v>130</v>
      </c>
      <c r="BR1460" s="0" t="s">
        <v>130</v>
      </c>
      <c r="BS1460" s="0" t="s">
        <v>130</v>
      </c>
      <c r="BT1460" s="0" t="s">
        <v>130</v>
      </c>
      <c r="BU1460" s="0" t="s">
        <v>130</v>
      </c>
      <c r="BV1460" s="0" t="s">
        <v>130</v>
      </c>
      <c r="BW1460" s="0" t="s">
        <v>130</v>
      </c>
      <c r="BX1460" s="0" t="s">
        <v>130</v>
      </c>
      <c r="BY1460" s="0" t="s">
        <v>130</v>
      </c>
      <c r="BZ1460" s="0" t="s">
        <v>130</v>
      </c>
      <c r="CA1460" s="0" t="s">
        <v>130</v>
      </c>
      <c r="CB1460" s="0" t="s">
        <v>130</v>
      </c>
      <c r="CC1460" s="0" t="s">
        <v>130</v>
      </c>
      <c r="CD1460" s="0" t="s">
        <v>130</v>
      </c>
      <c r="CE1460" s="0" t="s">
        <v>130</v>
      </c>
      <c r="CF1460" s="0" t="s">
        <v>130</v>
      </c>
      <c r="CG1460" s="0" t="s">
        <v>130</v>
      </c>
      <c r="CH1460" s="0" t="s">
        <v>130</v>
      </c>
      <c r="CI1460" s="0" t="s">
        <v>130</v>
      </c>
      <c r="CJ1460" s="0" t="s">
        <v>130</v>
      </c>
      <c r="CK1460" s="0" t="s">
        <v>130</v>
      </c>
      <c r="CL1460" s="0" t="s">
        <v>130</v>
      </c>
      <c r="CM1460" s="0" t="s">
        <v>130</v>
      </c>
      <c r="CN1460" s="0" t="s">
        <v>130</v>
      </c>
      <c r="CO1460" s="0" t="s">
        <v>130</v>
      </c>
      <c r="CP1460" s="0" t="s">
        <v>130</v>
      </c>
      <c r="CQ1460" s="0" t="s">
        <v>130</v>
      </c>
      <c r="CR1460" s="0" t="s">
        <v>130</v>
      </c>
      <c r="CS1460" s="0" t="s">
        <v>130</v>
      </c>
      <c r="CT1460" s="0" t="s">
        <v>4234</v>
      </c>
    </row>
    <row r="1461">
      <c r="A1461" s="14">
        <v>16632863</v>
      </c>
      <c r="B1461" s="0" t="s">
        <v>4220</v>
      </c>
      <c r="C1461" s="16">
        <f>HYPERLINK("https://eosportal.federatedhermes.com/companies/Q29tcGFueQppNDQ5NjA=", "General Motors Co")</f>
      </c>
      <c r="D1461" s="0" t="s">
        <v>23</v>
      </c>
      <c r="E1461" s="0" t="s">
        <v>228</v>
      </c>
      <c r="F1461" s="16">
        <f>HYPERLINK("https://eosportal.federatedhermes.com/engagements/RW5nYWdlbWVudAppMjgyNTQ=", "Climate strategy")</f>
      </c>
      <c r="G1461" s="14" t="s">
        <v>4235</v>
      </c>
      <c r="H1461" s="0" t="s">
        <v>141</v>
      </c>
      <c r="I1461" s="14" t="s">
        <v>191</v>
      </c>
      <c r="J1461" s="0" t="s">
        <v>197</v>
      </c>
      <c r="K1461" s="0" t="s">
        <v>198</v>
      </c>
      <c r="L1461" s="0" t="s">
        <v>220</v>
      </c>
      <c r="M1461" s="0" t="s">
        <v>135</v>
      </c>
      <c r="N1461" s="0" t="s">
        <v>136</v>
      </c>
      <c r="O1461" s="0" t="s">
        <v>425</v>
      </c>
      <c r="Q1461" s="0" t="s">
        <v>141</v>
      </c>
      <c r="R1461" s="0" t="s">
        <v>141</v>
      </c>
      <c r="S1461" s="14">
        <v>1</v>
      </c>
      <c r="T1461" s="0" t="s">
        <v>583</v>
      </c>
      <c r="U1461" s="0" t="s">
        <v>221</v>
      </c>
      <c r="V1461" s="14" t="s">
        <v>583</v>
      </c>
      <c r="W1461" s="0" t="s">
        <v>221</v>
      </c>
      <c r="X1461" s="14" t="s">
        <v>231</v>
      </c>
      <c r="Y1461" s="0" t="s">
        <v>221</v>
      </c>
      <c r="Z1461" s="14" t="s">
        <v>361</v>
      </c>
      <c r="AA1461" s="0" t="s">
        <v>223</v>
      </c>
      <c r="AB1461" s="14" t="s">
        <v>138</v>
      </c>
      <c r="AC1461" s="0" t="s">
        <v>17</v>
      </c>
      <c r="AD1461" s="0" t="s">
        <v>20</v>
      </c>
      <c r="AE1461" s="0" t="s">
        <v>2266</v>
      </c>
      <c r="AF1461" s="0">
        <v>1</v>
      </c>
      <c r="AG1461" s="0">
        <v>0</v>
      </c>
      <c r="AH1461" s="0" t="s">
        <v>140</v>
      </c>
      <c r="AI1461" s="0" t="s">
        <v>479</v>
      </c>
      <c r="AK1461" s="0" t="s">
        <v>3145</v>
      </c>
      <c r="AL1461" s="14"/>
      <c r="AN1461" s="14"/>
      <c r="AQ1461" s="0" t="s">
        <v>130</v>
      </c>
      <c r="AR1461" s="0" t="s">
        <v>130</v>
      </c>
      <c r="AS1461" s="0" t="s">
        <v>130</v>
      </c>
      <c r="AT1461" s="0" t="s">
        <v>130</v>
      </c>
      <c r="AU1461" s="0" t="s">
        <v>130</v>
      </c>
      <c r="AV1461" s="0" t="s">
        <v>130</v>
      </c>
      <c r="AW1461" s="0" t="s">
        <v>141</v>
      </c>
      <c r="AX1461" s="0" t="s">
        <v>130</v>
      </c>
      <c r="AY1461" s="0" t="s">
        <v>141</v>
      </c>
      <c r="AZ1461" s="0" t="s">
        <v>130</v>
      </c>
      <c r="BA1461" s="0" t="s">
        <v>130</v>
      </c>
      <c r="BB1461" s="0" t="s">
        <v>130</v>
      </c>
      <c r="BC1461" s="0" t="s">
        <v>141</v>
      </c>
      <c r="BD1461" s="0" t="s">
        <v>130</v>
      </c>
      <c r="BE1461" s="0" t="s">
        <v>130</v>
      </c>
      <c r="BF1461" s="0" t="s">
        <v>130</v>
      </c>
      <c r="BG1461" s="0" t="s">
        <v>130</v>
      </c>
      <c r="BH1461" s="0" t="s">
        <v>141</v>
      </c>
      <c r="BI1461" s="0" t="s">
        <v>141</v>
      </c>
      <c r="BJ1461" s="0" t="s">
        <v>141</v>
      </c>
      <c r="BK1461" s="0" t="s">
        <v>130</v>
      </c>
      <c r="BL1461" s="0" t="s">
        <v>130</v>
      </c>
      <c r="BM1461" s="0" t="s">
        <v>130</v>
      </c>
      <c r="BN1461" s="0" t="s">
        <v>130</v>
      </c>
      <c r="BO1461" s="0" t="s">
        <v>130</v>
      </c>
      <c r="BP1461" s="0" t="s">
        <v>130</v>
      </c>
      <c r="BQ1461" s="0" t="s">
        <v>130</v>
      </c>
      <c r="BR1461" s="0" t="s">
        <v>130</v>
      </c>
      <c r="BS1461" s="0" t="s">
        <v>130</v>
      </c>
      <c r="BT1461" s="0" t="s">
        <v>130</v>
      </c>
      <c r="BU1461" s="0" t="s">
        <v>130</v>
      </c>
      <c r="BV1461" s="0" t="s">
        <v>141</v>
      </c>
      <c r="BW1461" s="0" t="s">
        <v>141</v>
      </c>
      <c r="BX1461" s="0" t="s">
        <v>130</v>
      </c>
      <c r="BY1461" s="0" t="s">
        <v>130</v>
      </c>
      <c r="BZ1461" s="0" t="s">
        <v>130</v>
      </c>
      <c r="CA1461" s="0" t="s">
        <v>130</v>
      </c>
      <c r="CB1461" s="0" t="s">
        <v>130</v>
      </c>
      <c r="CC1461" s="0" t="s">
        <v>130</v>
      </c>
      <c r="CD1461" s="0" t="s">
        <v>130</v>
      </c>
      <c r="CE1461" s="0" t="s">
        <v>130</v>
      </c>
      <c r="CF1461" s="0" t="s">
        <v>130</v>
      </c>
      <c r="CG1461" s="0" t="s">
        <v>130</v>
      </c>
      <c r="CH1461" s="0" t="s">
        <v>130</v>
      </c>
      <c r="CI1461" s="0" t="s">
        <v>130</v>
      </c>
      <c r="CJ1461" s="0" t="s">
        <v>130</v>
      </c>
      <c r="CK1461" s="0" t="s">
        <v>130</v>
      </c>
      <c r="CL1461" s="0" t="s">
        <v>130</v>
      </c>
      <c r="CM1461" s="0" t="s">
        <v>130</v>
      </c>
      <c r="CN1461" s="0" t="s">
        <v>130</v>
      </c>
      <c r="CO1461" s="0" t="s">
        <v>130</v>
      </c>
      <c r="CP1461" s="0" t="s">
        <v>130</v>
      </c>
      <c r="CQ1461" s="0" t="s">
        <v>130</v>
      </c>
      <c r="CR1461" s="0" t="s">
        <v>130</v>
      </c>
      <c r="CS1461" s="0" t="s">
        <v>130</v>
      </c>
      <c r="CT1461" s="0" t="s">
        <v>4236</v>
      </c>
    </row>
    <row r="1462">
      <c r="A1462" s="14">
        <v>16632863</v>
      </c>
      <c r="B1462" s="0" t="s">
        <v>4220</v>
      </c>
      <c r="C1462" s="16">
        <f>HYPERLINK("https://eosportal.federatedhermes.com/companies/Q29tcGFueQppNDQ5NjA=", "General Motors Co")</f>
      </c>
      <c r="D1462" s="0" t="s">
        <v>23</v>
      </c>
      <c r="E1462" s="0" t="s">
        <v>4237</v>
      </c>
      <c r="F1462" s="16">
        <f>HYPERLINK("https://eosportal.federatedhermes.com/engagements/RW5nYWdlbWVudAppMjgyNTU=", "Increase Transparency on Supply Chain Social &amp; Human Rights Performance")</f>
      </c>
      <c r="G1462" s="14" t="s">
        <v>4238</v>
      </c>
      <c r="H1462" s="0" t="s">
        <v>141</v>
      </c>
      <c r="I1462" s="14" t="s">
        <v>191</v>
      </c>
      <c r="J1462" s="0" t="s">
        <v>153</v>
      </c>
      <c r="K1462" s="0" t="s">
        <v>243</v>
      </c>
      <c r="L1462" s="0" t="s">
        <v>244</v>
      </c>
      <c r="M1462" s="0" t="s">
        <v>135</v>
      </c>
      <c r="N1462" s="0" t="s">
        <v>136</v>
      </c>
      <c r="O1462" s="0" t="s">
        <v>425</v>
      </c>
      <c r="Q1462" s="0" t="s">
        <v>141</v>
      </c>
      <c r="R1462" s="0" t="s">
        <v>130</v>
      </c>
      <c r="S1462" s="14">
        <v>1</v>
      </c>
      <c r="T1462" s="0" t="s">
        <v>583</v>
      </c>
      <c r="U1462" s="0" t="s">
        <v>221</v>
      </c>
      <c r="V1462" s="14" t="s">
        <v>583</v>
      </c>
      <c r="W1462" s="0" t="s">
        <v>221</v>
      </c>
      <c r="X1462" s="14" t="s">
        <v>583</v>
      </c>
      <c r="Y1462" s="0" t="s">
        <v>221</v>
      </c>
      <c r="Z1462" s="14" t="s">
        <v>222</v>
      </c>
      <c r="AA1462" s="0" t="s">
        <v>223</v>
      </c>
      <c r="AB1462" s="14" t="s">
        <v>138</v>
      </c>
      <c r="AD1462" s="0" t="s">
        <v>20</v>
      </c>
      <c r="AF1462" s="0">
        <v>0</v>
      </c>
      <c r="AG1462" s="0">
        <v>0</v>
      </c>
      <c r="AH1462" s="0" t="s">
        <v>140</v>
      </c>
      <c r="AI1462" s="0" t="s">
        <v>479</v>
      </c>
      <c r="AK1462" s="0" t="s">
        <v>3145</v>
      </c>
      <c r="AL1462" s="14"/>
      <c r="AN1462" s="14"/>
      <c r="AQ1462" s="0" t="s">
        <v>130</v>
      </c>
      <c r="AR1462" s="0" t="s">
        <v>130</v>
      </c>
      <c r="AS1462" s="0" t="s">
        <v>130</v>
      </c>
      <c r="AT1462" s="0" t="s">
        <v>130</v>
      </c>
      <c r="AU1462" s="0" t="s">
        <v>130</v>
      </c>
      <c r="AV1462" s="0" t="s">
        <v>130</v>
      </c>
      <c r="AW1462" s="0" t="s">
        <v>130</v>
      </c>
      <c r="AX1462" s="0" t="s">
        <v>141</v>
      </c>
      <c r="AY1462" s="0" t="s">
        <v>130</v>
      </c>
      <c r="AZ1462" s="0" t="s">
        <v>130</v>
      </c>
      <c r="BA1462" s="0" t="s">
        <v>130</v>
      </c>
      <c r="BB1462" s="0" t="s">
        <v>130</v>
      </c>
      <c r="BC1462" s="0" t="s">
        <v>130</v>
      </c>
      <c r="BD1462" s="0" t="s">
        <v>130</v>
      </c>
      <c r="BE1462" s="0" t="s">
        <v>130</v>
      </c>
      <c r="BF1462" s="0" t="s">
        <v>130</v>
      </c>
      <c r="BG1462" s="0" t="s">
        <v>130</v>
      </c>
      <c r="BH1462" s="0" t="s">
        <v>130</v>
      </c>
      <c r="BI1462" s="0" t="s">
        <v>130</v>
      </c>
      <c r="BJ1462" s="0" t="s">
        <v>130</v>
      </c>
      <c r="BK1462" s="0" t="s">
        <v>130</v>
      </c>
      <c r="BL1462" s="0" t="s">
        <v>130</v>
      </c>
      <c r="BM1462" s="0" t="s">
        <v>130</v>
      </c>
      <c r="BN1462" s="0" t="s">
        <v>130</v>
      </c>
      <c r="BO1462" s="0" t="s">
        <v>130</v>
      </c>
      <c r="BP1462" s="0" t="s">
        <v>130</v>
      </c>
      <c r="BQ1462" s="0" t="s">
        <v>130</v>
      </c>
      <c r="BR1462" s="0" t="s">
        <v>130</v>
      </c>
      <c r="BS1462" s="0" t="s">
        <v>130</v>
      </c>
      <c r="BT1462" s="0" t="s">
        <v>130</v>
      </c>
      <c r="BU1462" s="0" t="s">
        <v>130</v>
      </c>
      <c r="BV1462" s="0" t="s">
        <v>130</v>
      </c>
      <c r="BW1462" s="0" t="s">
        <v>130</v>
      </c>
      <c r="BX1462" s="0" t="s">
        <v>130</v>
      </c>
      <c r="BY1462" s="0" t="s">
        <v>130</v>
      </c>
      <c r="BZ1462" s="0" t="s">
        <v>130</v>
      </c>
      <c r="CA1462" s="0" t="s">
        <v>130</v>
      </c>
      <c r="CB1462" s="0" t="s">
        <v>130</v>
      </c>
      <c r="CC1462" s="0" t="s">
        <v>130</v>
      </c>
      <c r="CD1462" s="0" t="s">
        <v>130</v>
      </c>
      <c r="CE1462" s="0" t="s">
        <v>130</v>
      </c>
      <c r="CF1462" s="0" t="s">
        <v>130</v>
      </c>
      <c r="CG1462" s="0" t="s">
        <v>130</v>
      </c>
      <c r="CH1462" s="0" t="s">
        <v>130</v>
      </c>
      <c r="CI1462" s="0" t="s">
        <v>130</v>
      </c>
      <c r="CJ1462" s="0" t="s">
        <v>130</v>
      </c>
      <c r="CK1462" s="0" t="s">
        <v>130</v>
      </c>
      <c r="CL1462" s="0" t="s">
        <v>130</v>
      </c>
      <c r="CM1462" s="0" t="s">
        <v>130</v>
      </c>
      <c r="CN1462" s="0" t="s">
        <v>130</v>
      </c>
      <c r="CO1462" s="0" t="s">
        <v>130</v>
      </c>
      <c r="CP1462" s="0" t="s">
        <v>130</v>
      </c>
      <c r="CQ1462" s="0" t="s">
        <v>130</v>
      </c>
      <c r="CR1462" s="0" t="s">
        <v>130</v>
      </c>
      <c r="CS1462" s="0" t="s">
        <v>130</v>
      </c>
      <c r="CT1462" s="0" t="s">
        <v>4239</v>
      </c>
    </row>
    <row r="1463">
      <c r="A1463" s="14">
        <v>16632863</v>
      </c>
      <c r="B1463" s="0" t="s">
        <v>4220</v>
      </c>
      <c r="C1463" s="16">
        <f>HYPERLINK("https://eosportal.federatedhermes.com/companies/Q29tcGFueQppNDQ5NjA=", "General Motors Co")</f>
      </c>
      <c r="D1463" s="0" t="s">
        <v>25</v>
      </c>
      <c r="E1463" s="0" t="s">
        <v>4240</v>
      </c>
      <c r="F1463" s="16">
        <f>HYPERLINK("https://eosportal.federatedhermes.com/engagements/RW5nYWdlbWVudAppMjgyNTk=", "Improved Remuneration Policies")</f>
      </c>
      <c r="G1463" s="14" t="s">
        <v>4241</v>
      </c>
      <c r="H1463" s="0" t="s">
        <v>141</v>
      </c>
      <c r="I1463" s="14" t="s">
        <v>191</v>
      </c>
      <c r="J1463" s="0" t="s">
        <v>145</v>
      </c>
      <c r="K1463" s="0" t="s">
        <v>146</v>
      </c>
      <c r="L1463" s="0" t="s">
        <v>147</v>
      </c>
      <c r="M1463" s="0" t="s">
        <v>135</v>
      </c>
      <c r="N1463" s="0" t="s">
        <v>136</v>
      </c>
      <c r="O1463" s="0" t="s">
        <v>425</v>
      </c>
      <c r="Q1463" s="0" t="s">
        <v>130</v>
      </c>
      <c r="R1463" s="0" t="s">
        <v>138</v>
      </c>
      <c r="S1463" s="14">
        <v>0</v>
      </c>
      <c r="T1463" s="0" t="s">
        <v>200</v>
      </c>
      <c r="U1463" s="0" t="s">
        <v>138</v>
      </c>
      <c r="V1463" s="14" t="s">
        <v>138</v>
      </c>
      <c r="W1463" s="0" t="s">
        <v>138</v>
      </c>
      <c r="X1463" s="14" t="s">
        <v>138</v>
      </c>
      <c r="Y1463" s="0" t="s">
        <v>138</v>
      </c>
      <c r="Z1463" s="14" t="s">
        <v>138</v>
      </c>
      <c r="AA1463" s="0" t="s">
        <v>138</v>
      </c>
      <c r="AB1463" s="14" t="s">
        <v>138</v>
      </c>
      <c r="AD1463" s="0" t="s">
        <v>138</v>
      </c>
      <c r="AF1463" s="0">
        <v>0</v>
      </c>
      <c r="AG1463" s="0">
        <v>0</v>
      </c>
      <c r="AH1463" s="0" t="s">
        <v>140</v>
      </c>
      <c r="AI1463" s="0" t="s">
        <v>138</v>
      </c>
      <c r="AL1463" s="14"/>
      <c r="AN1463" s="14"/>
      <c r="AQ1463" s="0" t="s">
        <v>130</v>
      </c>
      <c r="AR1463" s="0" t="s">
        <v>130</v>
      </c>
      <c r="AS1463" s="0" t="s">
        <v>130</v>
      </c>
      <c r="AT1463" s="0" t="s">
        <v>130</v>
      </c>
      <c r="AU1463" s="0" t="s">
        <v>130</v>
      </c>
      <c r="AV1463" s="0" t="s">
        <v>130</v>
      </c>
      <c r="AW1463" s="0" t="s">
        <v>130</v>
      </c>
      <c r="AX1463" s="0" t="s">
        <v>130</v>
      </c>
      <c r="AY1463" s="0" t="s">
        <v>130</v>
      </c>
      <c r="AZ1463" s="0" t="s">
        <v>130</v>
      </c>
      <c r="BA1463" s="0" t="s">
        <v>130</v>
      </c>
      <c r="BB1463" s="0" t="s">
        <v>130</v>
      </c>
      <c r="BC1463" s="0" t="s">
        <v>130</v>
      </c>
      <c r="BD1463" s="0" t="s">
        <v>130</v>
      </c>
      <c r="BE1463" s="0" t="s">
        <v>130</v>
      </c>
      <c r="BF1463" s="0" t="s">
        <v>130</v>
      </c>
      <c r="BG1463" s="0" t="s">
        <v>130</v>
      </c>
      <c r="BH1463" s="0" t="s">
        <v>130</v>
      </c>
      <c r="BI1463" s="0" t="s">
        <v>130</v>
      </c>
      <c r="BJ1463" s="0" t="s">
        <v>130</v>
      </c>
      <c r="BK1463" s="0" t="s">
        <v>130</v>
      </c>
      <c r="BL1463" s="0" t="s">
        <v>130</v>
      </c>
      <c r="BM1463" s="0" t="s">
        <v>130</v>
      </c>
      <c r="BN1463" s="0" t="s">
        <v>130</v>
      </c>
      <c r="BO1463" s="0" t="s">
        <v>130</v>
      </c>
      <c r="BP1463" s="0" t="s">
        <v>130</v>
      </c>
      <c r="BQ1463" s="0" t="s">
        <v>130</v>
      </c>
      <c r="BR1463" s="0" t="s">
        <v>130</v>
      </c>
      <c r="BS1463" s="0" t="s">
        <v>130</v>
      </c>
      <c r="BT1463" s="0" t="s">
        <v>130</v>
      </c>
      <c r="BU1463" s="0" t="s">
        <v>130</v>
      </c>
      <c r="BV1463" s="0" t="s">
        <v>130</v>
      </c>
      <c r="BW1463" s="0" t="s">
        <v>130</v>
      </c>
      <c r="BX1463" s="0" t="s">
        <v>130</v>
      </c>
      <c r="BY1463" s="0" t="s">
        <v>130</v>
      </c>
      <c r="BZ1463" s="0" t="s">
        <v>130</v>
      </c>
      <c r="CA1463" s="0" t="s">
        <v>130</v>
      </c>
      <c r="CB1463" s="0" t="s">
        <v>130</v>
      </c>
      <c r="CC1463" s="0" t="s">
        <v>130</v>
      </c>
      <c r="CD1463" s="0" t="s">
        <v>130</v>
      </c>
      <c r="CE1463" s="0" t="s">
        <v>130</v>
      </c>
      <c r="CF1463" s="0" t="s">
        <v>130</v>
      </c>
      <c r="CG1463" s="0" t="s">
        <v>130</v>
      </c>
      <c r="CH1463" s="0" t="s">
        <v>130</v>
      </c>
      <c r="CI1463" s="0" t="s">
        <v>130</v>
      </c>
      <c r="CJ1463" s="0" t="s">
        <v>130</v>
      </c>
      <c r="CK1463" s="0" t="s">
        <v>130</v>
      </c>
      <c r="CL1463" s="0" t="s">
        <v>130</v>
      </c>
      <c r="CM1463" s="0" t="s">
        <v>130</v>
      </c>
      <c r="CN1463" s="0" t="s">
        <v>130</v>
      </c>
      <c r="CO1463" s="0" t="s">
        <v>130</v>
      </c>
      <c r="CP1463" s="0" t="s">
        <v>130</v>
      </c>
      <c r="CQ1463" s="0" t="s">
        <v>130</v>
      </c>
      <c r="CR1463" s="0" t="s">
        <v>130</v>
      </c>
      <c r="CS1463" s="0" t="s">
        <v>130</v>
      </c>
      <c r="CT1463" s="0" t="s">
        <v>4242</v>
      </c>
    </row>
    <row r="1464">
      <c r="A1464" s="14">
        <v>16632863</v>
      </c>
      <c r="B1464" s="0" t="s">
        <v>4220</v>
      </c>
      <c r="C1464" s="16">
        <f>HYPERLINK("https://eosportal.federatedhermes.com/companies/Q29tcGFueQppNDQ5NjA=", "General Motors Co")</f>
      </c>
      <c r="D1464" s="0" t="s">
        <v>25</v>
      </c>
      <c r="E1464" s="0" t="s">
        <v>4243</v>
      </c>
      <c r="F1464" s="16">
        <f>HYPERLINK("https://eosportal.federatedhermes.com/engagements/RW5nYWdlbWVudAppMjgyNjA=", "US Fuel Economy, GHG &amp; Electrification Lobbying, Policy &amp; Regulation")</f>
      </c>
      <c r="G1464" s="14" t="s">
        <v>4244</v>
      </c>
      <c r="H1464" s="0" t="s">
        <v>141</v>
      </c>
      <c r="I1464" s="14" t="s">
        <v>191</v>
      </c>
      <c r="J1464" s="0" t="s">
        <v>197</v>
      </c>
      <c r="K1464" s="0" t="s">
        <v>198</v>
      </c>
      <c r="L1464" s="0" t="s">
        <v>199</v>
      </c>
      <c r="M1464" s="0" t="s">
        <v>135</v>
      </c>
      <c r="N1464" s="0" t="s">
        <v>136</v>
      </c>
      <c r="O1464" s="0" t="s">
        <v>425</v>
      </c>
      <c r="Q1464" s="0" t="s">
        <v>130</v>
      </c>
      <c r="R1464" s="0" t="s">
        <v>138</v>
      </c>
      <c r="S1464" s="14">
        <v>0</v>
      </c>
      <c r="T1464" s="0" t="s">
        <v>343</v>
      </c>
      <c r="U1464" s="0" t="s">
        <v>138</v>
      </c>
      <c r="V1464" s="14" t="s">
        <v>138</v>
      </c>
      <c r="W1464" s="0" t="s">
        <v>138</v>
      </c>
      <c r="X1464" s="14" t="s">
        <v>138</v>
      </c>
      <c r="Y1464" s="0" t="s">
        <v>138</v>
      </c>
      <c r="Z1464" s="14" t="s">
        <v>138</v>
      </c>
      <c r="AA1464" s="0" t="s">
        <v>138</v>
      </c>
      <c r="AB1464" s="14" t="s">
        <v>138</v>
      </c>
      <c r="AD1464" s="0" t="s">
        <v>138</v>
      </c>
      <c r="AF1464" s="0">
        <v>0</v>
      </c>
      <c r="AG1464" s="0">
        <v>0</v>
      </c>
      <c r="AH1464" s="0" t="s">
        <v>140</v>
      </c>
      <c r="AI1464" s="0" t="s">
        <v>138</v>
      </c>
      <c r="AL1464" s="14"/>
      <c r="AN1464" s="14"/>
      <c r="AQ1464" s="0" t="s">
        <v>130</v>
      </c>
      <c r="AR1464" s="0" t="s">
        <v>130</v>
      </c>
      <c r="AS1464" s="0" t="s">
        <v>130</v>
      </c>
      <c r="AT1464" s="0" t="s">
        <v>130</v>
      </c>
      <c r="AU1464" s="0" t="s">
        <v>130</v>
      </c>
      <c r="AV1464" s="0" t="s">
        <v>130</v>
      </c>
      <c r="AW1464" s="0" t="s">
        <v>130</v>
      </c>
      <c r="AX1464" s="0" t="s">
        <v>130</v>
      </c>
      <c r="AY1464" s="0" t="s">
        <v>130</v>
      </c>
      <c r="AZ1464" s="0" t="s">
        <v>130</v>
      </c>
      <c r="BA1464" s="0" t="s">
        <v>130</v>
      </c>
      <c r="BB1464" s="0" t="s">
        <v>141</v>
      </c>
      <c r="BC1464" s="0" t="s">
        <v>141</v>
      </c>
      <c r="BD1464" s="0" t="s">
        <v>130</v>
      </c>
      <c r="BE1464" s="0" t="s">
        <v>130</v>
      </c>
      <c r="BF1464" s="0" t="s">
        <v>130</v>
      </c>
      <c r="BG1464" s="0" t="s">
        <v>130</v>
      </c>
      <c r="BH1464" s="0" t="s">
        <v>130</v>
      </c>
      <c r="BI1464" s="0" t="s">
        <v>130</v>
      </c>
      <c r="BJ1464" s="0" t="s">
        <v>130</v>
      </c>
      <c r="BK1464" s="0" t="s">
        <v>130</v>
      </c>
      <c r="BL1464" s="0" t="s">
        <v>130</v>
      </c>
      <c r="BM1464" s="0" t="s">
        <v>130</v>
      </c>
      <c r="BN1464" s="0" t="s">
        <v>130</v>
      </c>
      <c r="BO1464" s="0" t="s">
        <v>130</v>
      </c>
      <c r="BP1464" s="0" t="s">
        <v>130</v>
      </c>
      <c r="BQ1464" s="0" t="s">
        <v>130</v>
      </c>
      <c r="BR1464" s="0" t="s">
        <v>130</v>
      </c>
      <c r="BS1464" s="0" t="s">
        <v>130</v>
      </c>
      <c r="BT1464" s="0" t="s">
        <v>130</v>
      </c>
      <c r="BU1464" s="0" t="s">
        <v>130</v>
      </c>
      <c r="BV1464" s="0" t="s">
        <v>130</v>
      </c>
      <c r="BW1464" s="0" t="s">
        <v>130</v>
      </c>
      <c r="BX1464" s="0" t="s">
        <v>130</v>
      </c>
      <c r="BY1464" s="0" t="s">
        <v>130</v>
      </c>
      <c r="BZ1464" s="0" t="s">
        <v>130</v>
      </c>
      <c r="CA1464" s="0" t="s">
        <v>130</v>
      </c>
      <c r="CB1464" s="0" t="s">
        <v>130</v>
      </c>
      <c r="CC1464" s="0" t="s">
        <v>130</v>
      </c>
      <c r="CD1464" s="0" t="s">
        <v>130</v>
      </c>
      <c r="CE1464" s="0" t="s">
        <v>130</v>
      </c>
      <c r="CF1464" s="0" t="s">
        <v>130</v>
      </c>
      <c r="CG1464" s="0" t="s">
        <v>130</v>
      </c>
      <c r="CH1464" s="0" t="s">
        <v>130</v>
      </c>
      <c r="CI1464" s="0" t="s">
        <v>130</v>
      </c>
      <c r="CJ1464" s="0" t="s">
        <v>130</v>
      </c>
      <c r="CK1464" s="0" t="s">
        <v>130</v>
      </c>
      <c r="CL1464" s="0" t="s">
        <v>130</v>
      </c>
      <c r="CM1464" s="0" t="s">
        <v>130</v>
      </c>
      <c r="CN1464" s="0" t="s">
        <v>130</v>
      </c>
      <c r="CO1464" s="0" t="s">
        <v>130</v>
      </c>
      <c r="CP1464" s="0" t="s">
        <v>130</v>
      </c>
      <c r="CQ1464" s="0" t="s">
        <v>130</v>
      </c>
      <c r="CR1464" s="0" t="s">
        <v>130</v>
      </c>
      <c r="CS1464" s="0" t="s">
        <v>130</v>
      </c>
      <c r="CT1464" s="0" t="s">
        <v>4245</v>
      </c>
    </row>
    <row r="1465">
      <c r="A1465" s="14">
        <v>16632863</v>
      </c>
      <c r="B1465" s="0" t="s">
        <v>4220</v>
      </c>
      <c r="C1465" s="16">
        <f>HYPERLINK("https://eosportal.federatedhermes.com/companies/Q29tcGFueQppNDQ5NjA=", "General Motors Co")</f>
      </c>
      <c r="D1465" s="0" t="s">
        <v>25</v>
      </c>
      <c r="E1465" s="0" t="s">
        <v>4246</v>
      </c>
      <c r="F1465" s="16">
        <f>HYPERLINK("https://eosportal.federatedhermes.com/engagements/RW5nYWdlbWVudAppMjgyNjE=", "Evolution of Board Skills")</f>
      </c>
      <c r="G1465" s="14" t="s">
        <v>4247</v>
      </c>
      <c r="H1465" s="0" t="s">
        <v>141</v>
      </c>
      <c r="I1465" s="14" t="s">
        <v>191</v>
      </c>
      <c r="J1465" s="0" t="s">
        <v>145</v>
      </c>
      <c r="K1465" s="0" t="s">
        <v>164</v>
      </c>
      <c r="L1465" s="0" t="s">
        <v>165</v>
      </c>
      <c r="M1465" s="0" t="s">
        <v>135</v>
      </c>
      <c r="N1465" s="0" t="s">
        <v>136</v>
      </c>
      <c r="O1465" s="0" t="s">
        <v>425</v>
      </c>
      <c r="Q1465" s="0" t="s">
        <v>130</v>
      </c>
      <c r="R1465" s="0" t="s">
        <v>138</v>
      </c>
      <c r="S1465" s="14">
        <v>0</v>
      </c>
      <c r="T1465" s="0" t="s">
        <v>583</v>
      </c>
      <c r="U1465" s="0" t="s">
        <v>138</v>
      </c>
      <c r="V1465" s="14" t="s">
        <v>138</v>
      </c>
      <c r="W1465" s="0" t="s">
        <v>138</v>
      </c>
      <c r="X1465" s="14" t="s">
        <v>138</v>
      </c>
      <c r="Y1465" s="0" t="s">
        <v>138</v>
      </c>
      <c r="Z1465" s="14" t="s">
        <v>138</v>
      </c>
      <c r="AA1465" s="0" t="s">
        <v>138</v>
      </c>
      <c r="AB1465" s="14" t="s">
        <v>138</v>
      </c>
      <c r="AD1465" s="0" t="s">
        <v>138</v>
      </c>
      <c r="AF1465" s="0">
        <v>0</v>
      </c>
      <c r="AG1465" s="0">
        <v>0</v>
      </c>
      <c r="AH1465" s="0" t="s">
        <v>140</v>
      </c>
      <c r="AI1465" s="0" t="s">
        <v>138</v>
      </c>
      <c r="AL1465" s="14"/>
      <c r="AN1465" s="14"/>
      <c r="AQ1465" s="0" t="s">
        <v>130</v>
      </c>
      <c r="AR1465" s="0" t="s">
        <v>130</v>
      </c>
      <c r="AS1465" s="0" t="s">
        <v>130</v>
      </c>
      <c r="AT1465" s="0" t="s">
        <v>130</v>
      </c>
      <c r="AU1465" s="0" t="s">
        <v>130</v>
      </c>
      <c r="AV1465" s="0" t="s">
        <v>130</v>
      </c>
      <c r="AW1465" s="0" t="s">
        <v>130</v>
      </c>
      <c r="AX1465" s="0" t="s">
        <v>130</v>
      </c>
      <c r="AY1465" s="0" t="s">
        <v>130</v>
      </c>
      <c r="AZ1465" s="0" t="s">
        <v>130</v>
      </c>
      <c r="BA1465" s="0" t="s">
        <v>130</v>
      </c>
      <c r="BB1465" s="0" t="s">
        <v>130</v>
      </c>
      <c r="BC1465" s="0" t="s">
        <v>130</v>
      </c>
      <c r="BD1465" s="0" t="s">
        <v>130</v>
      </c>
      <c r="BE1465" s="0" t="s">
        <v>130</v>
      </c>
      <c r="BF1465" s="0" t="s">
        <v>130</v>
      </c>
      <c r="BG1465" s="0" t="s">
        <v>130</v>
      </c>
      <c r="BH1465" s="0" t="s">
        <v>130</v>
      </c>
      <c r="BI1465" s="0" t="s">
        <v>130</v>
      </c>
      <c r="BJ1465" s="0" t="s">
        <v>130</v>
      </c>
      <c r="BK1465" s="0" t="s">
        <v>130</v>
      </c>
      <c r="BL1465" s="0" t="s">
        <v>130</v>
      </c>
      <c r="BM1465" s="0" t="s">
        <v>130</v>
      </c>
      <c r="BN1465" s="0" t="s">
        <v>130</v>
      </c>
      <c r="BO1465" s="0" t="s">
        <v>130</v>
      </c>
      <c r="BP1465" s="0" t="s">
        <v>130</v>
      </c>
      <c r="BQ1465" s="0" t="s">
        <v>130</v>
      </c>
      <c r="BR1465" s="0" t="s">
        <v>130</v>
      </c>
      <c r="BS1465" s="0" t="s">
        <v>130</v>
      </c>
      <c r="BT1465" s="0" t="s">
        <v>130</v>
      </c>
      <c r="BU1465" s="0" t="s">
        <v>130</v>
      </c>
      <c r="BV1465" s="0" t="s">
        <v>130</v>
      </c>
      <c r="BW1465" s="0" t="s">
        <v>130</v>
      </c>
      <c r="BX1465" s="0" t="s">
        <v>130</v>
      </c>
      <c r="BY1465" s="0" t="s">
        <v>130</v>
      </c>
      <c r="BZ1465" s="0" t="s">
        <v>130</v>
      </c>
      <c r="CA1465" s="0" t="s">
        <v>130</v>
      </c>
      <c r="CB1465" s="0" t="s">
        <v>130</v>
      </c>
      <c r="CC1465" s="0" t="s">
        <v>130</v>
      </c>
      <c r="CD1465" s="0" t="s">
        <v>130</v>
      </c>
      <c r="CE1465" s="0" t="s">
        <v>130</v>
      </c>
      <c r="CF1465" s="0" t="s">
        <v>130</v>
      </c>
      <c r="CG1465" s="0" t="s">
        <v>130</v>
      </c>
      <c r="CH1465" s="0" t="s">
        <v>130</v>
      </c>
      <c r="CI1465" s="0" t="s">
        <v>130</v>
      </c>
      <c r="CJ1465" s="0" t="s">
        <v>130</v>
      </c>
      <c r="CK1465" s="0" t="s">
        <v>130</v>
      </c>
      <c r="CL1465" s="0" t="s">
        <v>130</v>
      </c>
      <c r="CM1465" s="0" t="s">
        <v>130</v>
      </c>
      <c r="CN1465" s="0" t="s">
        <v>130</v>
      </c>
      <c r="CO1465" s="0" t="s">
        <v>130</v>
      </c>
      <c r="CP1465" s="0" t="s">
        <v>130</v>
      </c>
      <c r="CQ1465" s="0" t="s">
        <v>130</v>
      </c>
      <c r="CR1465" s="0" t="s">
        <v>130</v>
      </c>
      <c r="CS1465" s="0" t="s">
        <v>130</v>
      </c>
      <c r="CT1465" s="0" t="s">
        <v>4248</v>
      </c>
    </row>
    <row r="1466">
      <c r="A1466" s="14">
        <v>16632863</v>
      </c>
      <c r="B1466" s="0" t="s">
        <v>4220</v>
      </c>
      <c r="C1466" s="16">
        <f>HYPERLINK("https://eosportal.federatedhermes.com/companies/Q29tcGFueQppNDQ5NjA=", "General Motors Co")</f>
      </c>
      <c r="D1466" s="0" t="s">
        <v>25</v>
      </c>
      <c r="E1466" s="0" t="s">
        <v>4249</v>
      </c>
      <c r="F1466" s="16">
        <f>HYPERLINK("https://eosportal.federatedhermes.com/engagements/RW5nYWdlbWVudAppMjgyNjI=", "Business purpose and long-term strategy")</f>
      </c>
      <c r="G1466" s="14" t="s">
        <v>4250</v>
      </c>
      <c r="H1466" s="0" t="s">
        <v>141</v>
      </c>
      <c r="I1466" s="14" t="s">
        <v>191</v>
      </c>
      <c r="J1466" s="0" t="s">
        <v>132</v>
      </c>
      <c r="K1466" s="0" t="s">
        <v>133</v>
      </c>
      <c r="L1466" s="0" t="s">
        <v>134</v>
      </c>
      <c r="M1466" s="0" t="s">
        <v>135</v>
      </c>
      <c r="N1466" s="0" t="s">
        <v>136</v>
      </c>
      <c r="O1466" s="0" t="s">
        <v>425</v>
      </c>
      <c r="Q1466" s="0" t="s">
        <v>130</v>
      </c>
      <c r="R1466" s="0" t="s">
        <v>138</v>
      </c>
      <c r="S1466" s="14">
        <v>0</v>
      </c>
      <c r="T1466" s="0" t="s">
        <v>156</v>
      </c>
      <c r="U1466" s="0" t="s">
        <v>138</v>
      </c>
      <c r="V1466" s="14" t="s">
        <v>138</v>
      </c>
      <c r="W1466" s="0" t="s">
        <v>138</v>
      </c>
      <c r="X1466" s="14" t="s">
        <v>138</v>
      </c>
      <c r="Y1466" s="0" t="s">
        <v>138</v>
      </c>
      <c r="Z1466" s="14" t="s">
        <v>138</v>
      </c>
      <c r="AA1466" s="0" t="s">
        <v>138</v>
      </c>
      <c r="AB1466" s="14" t="s">
        <v>138</v>
      </c>
      <c r="AD1466" s="0" t="s">
        <v>138</v>
      </c>
      <c r="AF1466" s="0">
        <v>0</v>
      </c>
      <c r="AG1466" s="0">
        <v>0</v>
      </c>
      <c r="AH1466" s="0" t="s">
        <v>140</v>
      </c>
      <c r="AI1466" s="0" t="s">
        <v>138</v>
      </c>
      <c r="AL1466" s="14"/>
      <c r="AN1466" s="14"/>
      <c r="AQ1466" s="0" t="s">
        <v>130</v>
      </c>
      <c r="AR1466" s="0" t="s">
        <v>130</v>
      </c>
      <c r="AS1466" s="0" t="s">
        <v>130</v>
      </c>
      <c r="AT1466" s="0" t="s">
        <v>130</v>
      </c>
      <c r="AU1466" s="0" t="s">
        <v>130</v>
      </c>
      <c r="AV1466" s="0" t="s">
        <v>130</v>
      </c>
      <c r="AW1466" s="0" t="s">
        <v>130</v>
      </c>
      <c r="AX1466" s="0" t="s">
        <v>130</v>
      </c>
      <c r="AY1466" s="0" t="s">
        <v>130</v>
      </c>
      <c r="AZ1466" s="0" t="s">
        <v>130</v>
      </c>
      <c r="BA1466" s="0" t="s">
        <v>130</v>
      </c>
      <c r="BB1466" s="0" t="s">
        <v>130</v>
      </c>
      <c r="BC1466" s="0" t="s">
        <v>130</v>
      </c>
      <c r="BD1466" s="0" t="s">
        <v>130</v>
      </c>
      <c r="BE1466" s="0" t="s">
        <v>130</v>
      </c>
      <c r="BF1466" s="0" t="s">
        <v>130</v>
      </c>
      <c r="BG1466" s="0" t="s">
        <v>130</v>
      </c>
      <c r="BH1466" s="0" t="s">
        <v>130</v>
      </c>
      <c r="BI1466" s="0" t="s">
        <v>130</v>
      </c>
      <c r="BJ1466" s="0" t="s">
        <v>130</v>
      </c>
      <c r="BK1466" s="0" t="s">
        <v>130</v>
      </c>
      <c r="BL1466" s="0" t="s">
        <v>130</v>
      </c>
      <c r="BM1466" s="0" t="s">
        <v>130</v>
      </c>
      <c r="BN1466" s="0" t="s">
        <v>130</v>
      </c>
      <c r="BO1466" s="0" t="s">
        <v>130</v>
      </c>
      <c r="BP1466" s="0" t="s">
        <v>130</v>
      </c>
      <c r="BQ1466" s="0" t="s">
        <v>130</v>
      </c>
      <c r="BR1466" s="0" t="s">
        <v>130</v>
      </c>
      <c r="BS1466" s="0" t="s">
        <v>130</v>
      </c>
      <c r="BT1466" s="0" t="s">
        <v>130</v>
      </c>
      <c r="BU1466" s="0" t="s">
        <v>130</v>
      </c>
      <c r="BV1466" s="0" t="s">
        <v>130</v>
      </c>
      <c r="BW1466" s="0" t="s">
        <v>130</v>
      </c>
      <c r="BX1466" s="0" t="s">
        <v>130</v>
      </c>
      <c r="BY1466" s="0" t="s">
        <v>130</v>
      </c>
      <c r="BZ1466" s="0" t="s">
        <v>130</v>
      </c>
      <c r="CA1466" s="0" t="s">
        <v>130</v>
      </c>
      <c r="CB1466" s="0" t="s">
        <v>130</v>
      </c>
      <c r="CC1466" s="0" t="s">
        <v>130</v>
      </c>
      <c r="CD1466" s="0" t="s">
        <v>130</v>
      </c>
      <c r="CE1466" s="0" t="s">
        <v>130</v>
      </c>
      <c r="CF1466" s="0" t="s">
        <v>130</v>
      </c>
      <c r="CG1466" s="0" t="s">
        <v>130</v>
      </c>
      <c r="CH1466" s="0" t="s">
        <v>130</v>
      </c>
      <c r="CI1466" s="0" t="s">
        <v>130</v>
      </c>
      <c r="CJ1466" s="0" t="s">
        <v>130</v>
      </c>
      <c r="CK1466" s="0" t="s">
        <v>130</v>
      </c>
      <c r="CL1466" s="0" t="s">
        <v>130</v>
      </c>
      <c r="CM1466" s="0" t="s">
        <v>130</v>
      </c>
      <c r="CN1466" s="0" t="s">
        <v>130</v>
      </c>
      <c r="CO1466" s="0" t="s">
        <v>130</v>
      </c>
      <c r="CP1466" s="0" t="s">
        <v>130</v>
      </c>
      <c r="CQ1466" s="0" t="s">
        <v>130</v>
      </c>
      <c r="CR1466" s="0" t="s">
        <v>130</v>
      </c>
      <c r="CS1466" s="0" t="s">
        <v>130</v>
      </c>
      <c r="CT1466" s="0" t="s">
        <v>4251</v>
      </c>
    </row>
    <row r="1467">
      <c r="A1467" s="14">
        <v>16632863</v>
      </c>
      <c r="B1467" s="0" t="s">
        <v>4220</v>
      </c>
      <c r="C1467" s="16">
        <f>HYPERLINK("https://eosportal.federatedhermes.com/companies/Q29tcGFueQppNDQ5NjA=", "General Motors Co")</f>
      </c>
      <c r="D1467" s="0" t="s">
        <v>25</v>
      </c>
      <c r="E1467" s="0" t="s">
        <v>4252</v>
      </c>
      <c r="F1467" s="16">
        <f>HYPERLINK("https://eosportal.federatedhermes.com/engagements/RW5nYWdlbWVudAppMjgyNjM=", "Transparency on Human Rights &amp; Social Performance in Supply Chains")</f>
      </c>
      <c r="G1467" s="14" t="s">
        <v>4253</v>
      </c>
      <c r="H1467" s="0" t="s">
        <v>141</v>
      </c>
      <c r="I1467" s="14" t="s">
        <v>191</v>
      </c>
      <c r="J1467" s="0" t="s">
        <v>153</v>
      </c>
      <c r="K1467" s="0" t="s">
        <v>243</v>
      </c>
      <c r="L1467" s="0" t="s">
        <v>244</v>
      </c>
      <c r="M1467" s="0" t="s">
        <v>135</v>
      </c>
      <c r="N1467" s="0" t="s">
        <v>136</v>
      </c>
      <c r="O1467" s="0" t="s">
        <v>425</v>
      </c>
      <c r="Q1467" s="0" t="s">
        <v>141</v>
      </c>
      <c r="R1467" s="0" t="s">
        <v>138</v>
      </c>
      <c r="S1467" s="14">
        <v>1</v>
      </c>
      <c r="T1467" s="0" t="s">
        <v>148</v>
      </c>
      <c r="U1467" s="0" t="s">
        <v>138</v>
      </c>
      <c r="V1467" s="14" t="s">
        <v>138</v>
      </c>
      <c r="W1467" s="0" t="s">
        <v>138</v>
      </c>
      <c r="X1467" s="14" t="s">
        <v>138</v>
      </c>
      <c r="Y1467" s="0" t="s">
        <v>138</v>
      </c>
      <c r="Z1467" s="14" t="s">
        <v>138</v>
      </c>
      <c r="AA1467" s="0" t="s">
        <v>138</v>
      </c>
      <c r="AB1467" s="14" t="s">
        <v>138</v>
      </c>
      <c r="AD1467" s="0" t="s">
        <v>138</v>
      </c>
      <c r="AF1467" s="0">
        <v>0</v>
      </c>
      <c r="AG1467" s="0">
        <v>0</v>
      </c>
      <c r="AH1467" s="0" t="s">
        <v>140</v>
      </c>
      <c r="AI1467" s="0" t="s">
        <v>138</v>
      </c>
      <c r="AK1467" s="0" t="s">
        <v>3145</v>
      </c>
      <c r="AL1467" s="14"/>
      <c r="AN1467" s="14"/>
      <c r="AQ1467" s="0" t="s">
        <v>130</v>
      </c>
      <c r="AR1467" s="0" t="s">
        <v>130</v>
      </c>
      <c r="AS1467" s="0" t="s">
        <v>130</v>
      </c>
      <c r="AT1467" s="0" t="s">
        <v>130</v>
      </c>
      <c r="AU1467" s="0" t="s">
        <v>130</v>
      </c>
      <c r="AV1467" s="0" t="s">
        <v>130</v>
      </c>
      <c r="AW1467" s="0" t="s">
        <v>130</v>
      </c>
      <c r="AX1467" s="0" t="s">
        <v>141</v>
      </c>
      <c r="AY1467" s="0" t="s">
        <v>130</v>
      </c>
      <c r="AZ1467" s="0" t="s">
        <v>130</v>
      </c>
      <c r="BA1467" s="0" t="s">
        <v>130</v>
      </c>
      <c r="BB1467" s="0" t="s">
        <v>130</v>
      </c>
      <c r="BC1467" s="0" t="s">
        <v>130</v>
      </c>
      <c r="BD1467" s="0" t="s">
        <v>130</v>
      </c>
      <c r="BE1467" s="0" t="s">
        <v>130</v>
      </c>
      <c r="BF1467" s="0" t="s">
        <v>130</v>
      </c>
      <c r="BG1467" s="0" t="s">
        <v>130</v>
      </c>
      <c r="BH1467" s="0" t="s">
        <v>130</v>
      </c>
      <c r="BI1467" s="0" t="s">
        <v>130</v>
      </c>
      <c r="BJ1467" s="0" t="s">
        <v>130</v>
      </c>
      <c r="BK1467" s="0" t="s">
        <v>130</v>
      </c>
      <c r="BL1467" s="0" t="s">
        <v>130</v>
      </c>
      <c r="BM1467" s="0" t="s">
        <v>130</v>
      </c>
      <c r="BN1467" s="0" t="s">
        <v>130</v>
      </c>
      <c r="BO1467" s="0" t="s">
        <v>130</v>
      </c>
      <c r="BP1467" s="0" t="s">
        <v>130</v>
      </c>
      <c r="BQ1467" s="0" t="s">
        <v>130</v>
      </c>
      <c r="BR1467" s="0" t="s">
        <v>130</v>
      </c>
      <c r="BS1467" s="0" t="s">
        <v>130</v>
      </c>
      <c r="BT1467" s="0" t="s">
        <v>130</v>
      </c>
      <c r="BU1467" s="0" t="s">
        <v>130</v>
      </c>
      <c r="BV1467" s="0" t="s">
        <v>130</v>
      </c>
      <c r="BW1467" s="0" t="s">
        <v>130</v>
      </c>
      <c r="BX1467" s="0" t="s">
        <v>130</v>
      </c>
      <c r="BY1467" s="0" t="s">
        <v>130</v>
      </c>
      <c r="BZ1467" s="0" t="s">
        <v>130</v>
      </c>
      <c r="CA1467" s="0" t="s">
        <v>130</v>
      </c>
      <c r="CB1467" s="0" t="s">
        <v>130</v>
      </c>
      <c r="CC1467" s="0" t="s">
        <v>130</v>
      </c>
      <c r="CD1467" s="0" t="s">
        <v>130</v>
      </c>
      <c r="CE1467" s="0" t="s">
        <v>130</v>
      </c>
      <c r="CF1467" s="0" t="s">
        <v>130</v>
      </c>
      <c r="CG1467" s="0" t="s">
        <v>130</v>
      </c>
      <c r="CH1467" s="0" t="s">
        <v>130</v>
      </c>
      <c r="CI1467" s="0" t="s">
        <v>130</v>
      </c>
      <c r="CJ1467" s="0" t="s">
        <v>130</v>
      </c>
      <c r="CK1467" s="0" t="s">
        <v>130</v>
      </c>
      <c r="CL1467" s="0" t="s">
        <v>130</v>
      </c>
      <c r="CM1467" s="0" t="s">
        <v>130</v>
      </c>
      <c r="CN1467" s="0" t="s">
        <v>130</v>
      </c>
      <c r="CO1467" s="0" t="s">
        <v>130</v>
      </c>
      <c r="CP1467" s="0" t="s">
        <v>130</v>
      </c>
      <c r="CQ1467" s="0" t="s">
        <v>130</v>
      </c>
      <c r="CR1467" s="0" t="s">
        <v>130</v>
      </c>
      <c r="CS1467" s="0" t="s">
        <v>130</v>
      </c>
      <c r="CT1467" s="0" t="s">
        <v>4254</v>
      </c>
    </row>
    <row r="1468">
      <c r="A1468" s="14">
        <v>16632863</v>
      </c>
      <c r="B1468" s="0" t="s">
        <v>4220</v>
      </c>
      <c r="C1468" s="16">
        <f>HYPERLINK("https://eosportal.federatedhermes.com/companies/Q29tcGFueQppNDQ5NjA=", "General Motors Co")</f>
      </c>
      <c r="D1468" s="0" t="s">
        <v>25</v>
      </c>
      <c r="E1468" s="0" t="s">
        <v>4255</v>
      </c>
      <c r="F1468" s="16">
        <f>HYPERLINK("https://eosportal.federatedhermes.com/engagements/RW5nYWdlbWVudAppMjgyNjQ=", "Policy &amp; Political Risk in China")</f>
      </c>
      <c r="G1468" s="14" t="s">
        <v>4256</v>
      </c>
      <c r="H1468" s="0" t="s">
        <v>141</v>
      </c>
      <c r="I1468" s="14" t="s">
        <v>191</v>
      </c>
      <c r="J1468" s="0" t="s">
        <v>132</v>
      </c>
      <c r="K1468" s="0" t="s">
        <v>260</v>
      </c>
      <c r="L1468" s="0" t="s">
        <v>261</v>
      </c>
      <c r="M1468" s="0" t="s">
        <v>135</v>
      </c>
      <c r="N1468" s="0" t="s">
        <v>136</v>
      </c>
      <c r="O1468" s="0" t="s">
        <v>425</v>
      </c>
      <c r="Q1468" s="0" t="s">
        <v>130</v>
      </c>
      <c r="R1468" s="0" t="s">
        <v>138</v>
      </c>
      <c r="S1468" s="14">
        <v>0</v>
      </c>
      <c r="T1468" s="0" t="s">
        <v>583</v>
      </c>
      <c r="U1468" s="0" t="s">
        <v>138</v>
      </c>
      <c r="V1468" s="14" t="s">
        <v>138</v>
      </c>
      <c r="W1468" s="0" t="s">
        <v>138</v>
      </c>
      <c r="X1468" s="14" t="s">
        <v>138</v>
      </c>
      <c r="Y1468" s="0" t="s">
        <v>138</v>
      </c>
      <c r="Z1468" s="14" t="s">
        <v>138</v>
      </c>
      <c r="AA1468" s="0" t="s">
        <v>138</v>
      </c>
      <c r="AB1468" s="14" t="s">
        <v>138</v>
      </c>
      <c r="AD1468" s="0" t="s">
        <v>138</v>
      </c>
      <c r="AF1468" s="0">
        <v>0</v>
      </c>
      <c r="AG1468" s="0">
        <v>0</v>
      </c>
      <c r="AH1468" s="0" t="s">
        <v>140</v>
      </c>
      <c r="AI1468" s="0" t="s">
        <v>138</v>
      </c>
      <c r="AL1468" s="14"/>
      <c r="AN1468" s="14"/>
      <c r="AQ1468" s="0" t="s">
        <v>130</v>
      </c>
      <c r="AR1468" s="0" t="s">
        <v>130</v>
      </c>
      <c r="AS1468" s="0" t="s">
        <v>130</v>
      </c>
      <c r="AT1468" s="0" t="s">
        <v>130</v>
      </c>
      <c r="AU1468" s="0" t="s">
        <v>130</v>
      </c>
      <c r="AV1468" s="0" t="s">
        <v>130</v>
      </c>
      <c r="AW1468" s="0" t="s">
        <v>130</v>
      </c>
      <c r="AX1468" s="0" t="s">
        <v>130</v>
      </c>
      <c r="AY1468" s="0" t="s">
        <v>130</v>
      </c>
      <c r="AZ1468" s="0" t="s">
        <v>130</v>
      </c>
      <c r="BA1468" s="0" t="s">
        <v>130</v>
      </c>
      <c r="BB1468" s="0" t="s">
        <v>130</v>
      </c>
      <c r="BC1468" s="0" t="s">
        <v>130</v>
      </c>
      <c r="BD1468" s="0" t="s">
        <v>130</v>
      </c>
      <c r="BE1468" s="0" t="s">
        <v>130</v>
      </c>
      <c r="BF1468" s="0" t="s">
        <v>130</v>
      </c>
      <c r="BG1468" s="0" t="s">
        <v>130</v>
      </c>
      <c r="BH1468" s="0" t="s">
        <v>130</v>
      </c>
      <c r="BI1468" s="0" t="s">
        <v>130</v>
      </c>
      <c r="BJ1468" s="0" t="s">
        <v>130</v>
      </c>
      <c r="BK1468" s="0" t="s">
        <v>130</v>
      </c>
      <c r="BL1468" s="0" t="s">
        <v>130</v>
      </c>
      <c r="BM1468" s="0" t="s">
        <v>130</v>
      </c>
      <c r="BN1468" s="0" t="s">
        <v>130</v>
      </c>
      <c r="BO1468" s="0" t="s">
        <v>130</v>
      </c>
      <c r="BP1468" s="0" t="s">
        <v>130</v>
      </c>
      <c r="BQ1468" s="0" t="s">
        <v>130</v>
      </c>
      <c r="BR1468" s="0" t="s">
        <v>130</v>
      </c>
      <c r="BS1468" s="0" t="s">
        <v>130</v>
      </c>
      <c r="BT1468" s="0" t="s">
        <v>130</v>
      </c>
      <c r="BU1468" s="0" t="s">
        <v>130</v>
      </c>
      <c r="BV1468" s="0" t="s">
        <v>130</v>
      </c>
      <c r="BW1468" s="0" t="s">
        <v>130</v>
      </c>
      <c r="BX1468" s="0" t="s">
        <v>130</v>
      </c>
      <c r="BY1468" s="0" t="s">
        <v>130</v>
      </c>
      <c r="BZ1468" s="0" t="s">
        <v>130</v>
      </c>
      <c r="CA1468" s="0" t="s">
        <v>130</v>
      </c>
      <c r="CB1468" s="0" t="s">
        <v>130</v>
      </c>
      <c r="CC1468" s="0" t="s">
        <v>130</v>
      </c>
      <c r="CD1468" s="0" t="s">
        <v>130</v>
      </c>
      <c r="CE1468" s="0" t="s">
        <v>130</v>
      </c>
      <c r="CF1468" s="0" t="s">
        <v>130</v>
      </c>
      <c r="CG1468" s="0" t="s">
        <v>130</v>
      </c>
      <c r="CH1468" s="0" t="s">
        <v>130</v>
      </c>
      <c r="CI1468" s="0" t="s">
        <v>130</v>
      </c>
      <c r="CJ1468" s="0" t="s">
        <v>130</v>
      </c>
      <c r="CK1468" s="0" t="s">
        <v>130</v>
      </c>
      <c r="CL1468" s="0" t="s">
        <v>130</v>
      </c>
      <c r="CM1468" s="0" t="s">
        <v>130</v>
      </c>
      <c r="CN1468" s="0" t="s">
        <v>130</v>
      </c>
      <c r="CO1468" s="0" t="s">
        <v>130</v>
      </c>
      <c r="CP1468" s="0" t="s">
        <v>130</v>
      </c>
      <c r="CQ1468" s="0" t="s">
        <v>130</v>
      </c>
      <c r="CR1468" s="0" t="s">
        <v>130</v>
      </c>
      <c r="CS1468" s="0" t="s">
        <v>130</v>
      </c>
      <c r="CT1468" s="0" t="s">
        <v>4257</v>
      </c>
    </row>
    <row r="1469">
      <c r="A1469" s="14">
        <v>16632863</v>
      </c>
      <c r="B1469" s="0" t="s">
        <v>4220</v>
      </c>
      <c r="C1469" s="16">
        <f>HYPERLINK("https://eosportal.federatedhermes.com/companies/Q29tcGFueQppNDQ5NjA=", "General Motors Co")</f>
      </c>
      <c r="D1469" s="0" t="s">
        <v>25</v>
      </c>
      <c r="E1469" s="0" t="s">
        <v>4258</v>
      </c>
      <c r="F1469" s="16">
        <f>HYPERLINK("https://eosportal.federatedhermes.com/engagements/RW5nYWdlbWVudAppMjgyNjU=", "Workforce climate justice through the carbon transition")</f>
      </c>
      <c r="G1469" s="14" t="s">
        <v>4259</v>
      </c>
      <c r="H1469" s="0" t="s">
        <v>141</v>
      </c>
      <c r="I1469" s="14" t="s">
        <v>191</v>
      </c>
      <c r="J1469" s="0" t="s">
        <v>197</v>
      </c>
      <c r="K1469" s="0" t="s">
        <v>198</v>
      </c>
      <c r="L1469" s="0" t="s">
        <v>199</v>
      </c>
      <c r="M1469" s="0" t="s">
        <v>135</v>
      </c>
      <c r="N1469" s="0" t="s">
        <v>136</v>
      </c>
      <c r="O1469" s="0" t="s">
        <v>425</v>
      </c>
      <c r="Q1469" s="0" t="s">
        <v>141</v>
      </c>
      <c r="R1469" s="0" t="s">
        <v>138</v>
      </c>
      <c r="S1469" s="14">
        <v>1</v>
      </c>
      <c r="T1469" s="0" t="s">
        <v>206</v>
      </c>
      <c r="U1469" s="0" t="s">
        <v>138</v>
      </c>
      <c r="V1469" s="14" t="s">
        <v>138</v>
      </c>
      <c r="W1469" s="0" t="s">
        <v>138</v>
      </c>
      <c r="X1469" s="14" t="s">
        <v>138</v>
      </c>
      <c r="Y1469" s="0" t="s">
        <v>138</v>
      </c>
      <c r="Z1469" s="14" t="s">
        <v>138</v>
      </c>
      <c r="AA1469" s="0" t="s">
        <v>138</v>
      </c>
      <c r="AB1469" s="14" t="s">
        <v>138</v>
      </c>
      <c r="AD1469" s="0" t="s">
        <v>138</v>
      </c>
      <c r="AF1469" s="0">
        <v>0</v>
      </c>
      <c r="AG1469" s="0">
        <v>0</v>
      </c>
      <c r="AH1469" s="0" t="s">
        <v>140</v>
      </c>
      <c r="AI1469" s="0" t="s">
        <v>138</v>
      </c>
      <c r="AK1469" s="0" t="s">
        <v>3145</v>
      </c>
      <c r="AL1469" s="14"/>
      <c r="AN1469" s="14"/>
      <c r="AQ1469" s="0" t="s">
        <v>130</v>
      </c>
      <c r="AR1469" s="0" t="s">
        <v>130</v>
      </c>
      <c r="AS1469" s="0" t="s">
        <v>130</v>
      </c>
      <c r="AT1469" s="0" t="s">
        <v>130</v>
      </c>
      <c r="AU1469" s="0" t="s">
        <v>130</v>
      </c>
      <c r="AV1469" s="0" t="s">
        <v>130</v>
      </c>
      <c r="AW1469" s="0" t="s">
        <v>130</v>
      </c>
      <c r="AX1469" s="0" t="s">
        <v>130</v>
      </c>
      <c r="AY1469" s="0" t="s">
        <v>130</v>
      </c>
      <c r="AZ1469" s="0" t="s">
        <v>130</v>
      </c>
      <c r="BA1469" s="0" t="s">
        <v>130</v>
      </c>
      <c r="BB1469" s="0" t="s">
        <v>141</v>
      </c>
      <c r="BC1469" s="0" t="s">
        <v>130</v>
      </c>
      <c r="BD1469" s="0" t="s">
        <v>130</v>
      </c>
      <c r="BE1469" s="0" t="s">
        <v>130</v>
      </c>
      <c r="BF1469" s="0" t="s">
        <v>130</v>
      </c>
      <c r="BG1469" s="0" t="s">
        <v>130</v>
      </c>
      <c r="BH1469" s="0" t="s">
        <v>130</v>
      </c>
      <c r="BI1469" s="0" t="s">
        <v>130</v>
      </c>
      <c r="BJ1469" s="0" t="s">
        <v>130</v>
      </c>
      <c r="BK1469" s="0" t="s">
        <v>130</v>
      </c>
      <c r="BL1469" s="0" t="s">
        <v>130</v>
      </c>
      <c r="BM1469" s="0" t="s">
        <v>130</v>
      </c>
      <c r="BN1469" s="0" t="s">
        <v>130</v>
      </c>
      <c r="BO1469" s="0" t="s">
        <v>130</v>
      </c>
      <c r="BP1469" s="0" t="s">
        <v>130</v>
      </c>
      <c r="BQ1469" s="0" t="s">
        <v>130</v>
      </c>
      <c r="BR1469" s="0" t="s">
        <v>130</v>
      </c>
      <c r="BS1469" s="0" t="s">
        <v>130</v>
      </c>
      <c r="BT1469" s="0" t="s">
        <v>130</v>
      </c>
      <c r="BU1469" s="0" t="s">
        <v>130</v>
      </c>
      <c r="BV1469" s="0" t="s">
        <v>130</v>
      </c>
      <c r="BW1469" s="0" t="s">
        <v>130</v>
      </c>
      <c r="BX1469" s="0" t="s">
        <v>130</v>
      </c>
      <c r="BY1469" s="0" t="s">
        <v>130</v>
      </c>
      <c r="BZ1469" s="0" t="s">
        <v>130</v>
      </c>
      <c r="CA1469" s="0" t="s">
        <v>130</v>
      </c>
      <c r="CB1469" s="0" t="s">
        <v>130</v>
      </c>
      <c r="CC1469" s="0" t="s">
        <v>130</v>
      </c>
      <c r="CD1469" s="0" t="s">
        <v>130</v>
      </c>
      <c r="CE1469" s="0" t="s">
        <v>130</v>
      </c>
      <c r="CF1469" s="0" t="s">
        <v>130</v>
      </c>
      <c r="CG1469" s="0" t="s">
        <v>130</v>
      </c>
      <c r="CH1469" s="0" t="s">
        <v>130</v>
      </c>
      <c r="CI1469" s="0" t="s">
        <v>130</v>
      </c>
      <c r="CJ1469" s="0" t="s">
        <v>130</v>
      </c>
      <c r="CK1469" s="0" t="s">
        <v>130</v>
      </c>
      <c r="CL1469" s="0" t="s">
        <v>130</v>
      </c>
      <c r="CM1469" s="0" t="s">
        <v>130</v>
      </c>
      <c r="CN1469" s="0" t="s">
        <v>130</v>
      </c>
      <c r="CO1469" s="0" t="s">
        <v>130</v>
      </c>
      <c r="CP1469" s="0" t="s">
        <v>130</v>
      </c>
      <c r="CQ1469" s="0" t="s">
        <v>130</v>
      </c>
      <c r="CR1469" s="0" t="s">
        <v>130</v>
      </c>
      <c r="CS1469" s="0" t="s">
        <v>130</v>
      </c>
      <c r="CT1469" s="0" t="s">
        <v>4260</v>
      </c>
    </row>
    <row r="1470">
      <c r="A1470" s="14">
        <v>16632863</v>
      </c>
      <c r="B1470" s="0" t="s">
        <v>4220</v>
      </c>
      <c r="C1470" s="16">
        <f>HYPERLINK("https://eosportal.federatedhermes.com/companies/Q29tcGFueQppNDQ5NjA=", "General Motors Co")</f>
      </c>
      <c r="D1470" s="0" t="s">
        <v>25</v>
      </c>
      <c r="E1470" s="0" t="s">
        <v>4261</v>
      </c>
      <c r="F1470" s="16">
        <f>HYPERLINK("https://eosportal.federatedhermes.com/engagements/RW5nYWdlbWVudAppMjgyNjY=", "Electrification, emissions &amp; climate incentives in pay")</f>
      </c>
      <c r="G1470" s="14" t="s">
        <v>4262</v>
      </c>
      <c r="H1470" s="0" t="s">
        <v>141</v>
      </c>
      <c r="I1470" s="14" t="s">
        <v>191</v>
      </c>
      <c r="J1470" s="0" t="s">
        <v>145</v>
      </c>
      <c r="K1470" s="0" t="s">
        <v>146</v>
      </c>
      <c r="L1470" s="0" t="s">
        <v>147</v>
      </c>
      <c r="M1470" s="0" t="s">
        <v>135</v>
      </c>
      <c r="N1470" s="0" t="s">
        <v>136</v>
      </c>
      <c r="O1470" s="0" t="s">
        <v>425</v>
      </c>
      <c r="Q1470" s="0" t="s">
        <v>130</v>
      </c>
      <c r="R1470" s="0" t="s">
        <v>138</v>
      </c>
      <c r="S1470" s="14">
        <v>0</v>
      </c>
      <c r="T1470" s="0" t="s">
        <v>355</v>
      </c>
      <c r="U1470" s="0" t="s">
        <v>138</v>
      </c>
      <c r="V1470" s="14" t="s">
        <v>138</v>
      </c>
      <c r="W1470" s="0" t="s">
        <v>138</v>
      </c>
      <c r="X1470" s="14" t="s">
        <v>138</v>
      </c>
      <c r="Y1470" s="0" t="s">
        <v>138</v>
      </c>
      <c r="Z1470" s="14" t="s">
        <v>138</v>
      </c>
      <c r="AA1470" s="0" t="s">
        <v>138</v>
      </c>
      <c r="AB1470" s="14" t="s">
        <v>138</v>
      </c>
      <c r="AD1470" s="0" t="s">
        <v>138</v>
      </c>
      <c r="AF1470" s="0">
        <v>0</v>
      </c>
      <c r="AG1470" s="0">
        <v>0</v>
      </c>
      <c r="AH1470" s="0" t="s">
        <v>140</v>
      </c>
      <c r="AI1470" s="0" t="s">
        <v>138</v>
      </c>
      <c r="AL1470" s="14"/>
      <c r="AN1470" s="14"/>
      <c r="AQ1470" s="0" t="s">
        <v>130</v>
      </c>
      <c r="AR1470" s="0" t="s">
        <v>130</v>
      </c>
      <c r="AS1470" s="0" t="s">
        <v>130</v>
      </c>
      <c r="AT1470" s="0" t="s">
        <v>130</v>
      </c>
      <c r="AU1470" s="0" t="s">
        <v>130</v>
      </c>
      <c r="AV1470" s="0" t="s">
        <v>130</v>
      </c>
      <c r="AW1470" s="0" t="s">
        <v>130</v>
      </c>
      <c r="AX1470" s="0" t="s">
        <v>130</v>
      </c>
      <c r="AY1470" s="0" t="s">
        <v>130</v>
      </c>
      <c r="AZ1470" s="0" t="s">
        <v>130</v>
      </c>
      <c r="BA1470" s="0" t="s">
        <v>130</v>
      </c>
      <c r="BB1470" s="0" t="s">
        <v>130</v>
      </c>
      <c r="BC1470" s="0" t="s">
        <v>130</v>
      </c>
      <c r="BD1470" s="0" t="s">
        <v>130</v>
      </c>
      <c r="BE1470" s="0" t="s">
        <v>130</v>
      </c>
      <c r="BF1470" s="0" t="s">
        <v>130</v>
      </c>
      <c r="BG1470" s="0" t="s">
        <v>130</v>
      </c>
      <c r="BH1470" s="0" t="s">
        <v>130</v>
      </c>
      <c r="BI1470" s="0" t="s">
        <v>130</v>
      </c>
      <c r="BJ1470" s="0" t="s">
        <v>130</v>
      </c>
      <c r="BK1470" s="0" t="s">
        <v>130</v>
      </c>
      <c r="BL1470" s="0" t="s">
        <v>130</v>
      </c>
      <c r="BM1470" s="0" t="s">
        <v>130</v>
      </c>
      <c r="BN1470" s="0" t="s">
        <v>130</v>
      </c>
      <c r="BO1470" s="0" t="s">
        <v>130</v>
      </c>
      <c r="BP1470" s="0" t="s">
        <v>130</v>
      </c>
      <c r="BQ1470" s="0" t="s">
        <v>130</v>
      </c>
      <c r="BR1470" s="0" t="s">
        <v>130</v>
      </c>
      <c r="BS1470" s="0" t="s">
        <v>130</v>
      </c>
      <c r="BT1470" s="0" t="s">
        <v>130</v>
      </c>
      <c r="BU1470" s="0" t="s">
        <v>130</v>
      </c>
      <c r="BV1470" s="0" t="s">
        <v>130</v>
      </c>
      <c r="BW1470" s="0" t="s">
        <v>130</v>
      </c>
      <c r="BX1470" s="0" t="s">
        <v>130</v>
      </c>
      <c r="BY1470" s="0" t="s">
        <v>130</v>
      </c>
      <c r="BZ1470" s="0" t="s">
        <v>130</v>
      </c>
      <c r="CA1470" s="0" t="s">
        <v>130</v>
      </c>
      <c r="CB1470" s="0" t="s">
        <v>130</v>
      </c>
      <c r="CC1470" s="0" t="s">
        <v>130</v>
      </c>
      <c r="CD1470" s="0" t="s">
        <v>130</v>
      </c>
      <c r="CE1470" s="0" t="s">
        <v>130</v>
      </c>
      <c r="CF1470" s="0" t="s">
        <v>130</v>
      </c>
      <c r="CG1470" s="0" t="s">
        <v>130</v>
      </c>
      <c r="CH1470" s="0" t="s">
        <v>130</v>
      </c>
      <c r="CI1470" s="0" t="s">
        <v>130</v>
      </c>
      <c r="CJ1470" s="0" t="s">
        <v>130</v>
      </c>
      <c r="CK1470" s="0" t="s">
        <v>130</v>
      </c>
      <c r="CL1470" s="0" t="s">
        <v>130</v>
      </c>
      <c r="CM1470" s="0" t="s">
        <v>130</v>
      </c>
      <c r="CN1470" s="0" t="s">
        <v>130</v>
      </c>
      <c r="CO1470" s="0" t="s">
        <v>130</v>
      </c>
      <c r="CP1470" s="0" t="s">
        <v>130</v>
      </c>
      <c r="CQ1470" s="0" t="s">
        <v>130</v>
      </c>
      <c r="CR1470" s="0" t="s">
        <v>130</v>
      </c>
      <c r="CS1470" s="0" t="s">
        <v>130</v>
      </c>
      <c r="CT1470" s="0" t="s">
        <v>4263</v>
      </c>
    </row>
    <row r="1471">
      <c r="A1471" s="14">
        <v>16632863</v>
      </c>
      <c r="B1471" s="0" t="s">
        <v>4220</v>
      </c>
      <c r="C1471" s="16">
        <f>HYPERLINK("https://eosportal.federatedhermes.com/companies/Q29tcGFueQppNDQ5NjA=", "General Motors Co")</f>
      </c>
      <c r="D1471" s="0" t="s">
        <v>25</v>
      </c>
      <c r="E1471" s="0" t="s">
        <v>839</v>
      </c>
      <c r="F1471" s="16">
        <f>HYPERLINK("https://eosportal.federatedhermes.com/engagements/RW5nYWdlbWVudAppMjgyNjc=", "Climate change strategy")</f>
      </c>
      <c r="G1471" s="14" t="s">
        <v>4264</v>
      </c>
      <c r="H1471" s="0" t="s">
        <v>141</v>
      </c>
      <c r="I1471" s="14" t="s">
        <v>191</v>
      </c>
      <c r="J1471" s="0" t="s">
        <v>197</v>
      </c>
      <c r="K1471" s="0" t="s">
        <v>198</v>
      </c>
      <c r="L1471" s="0" t="s">
        <v>199</v>
      </c>
      <c r="M1471" s="0" t="s">
        <v>135</v>
      </c>
      <c r="N1471" s="0" t="s">
        <v>136</v>
      </c>
      <c r="O1471" s="0" t="s">
        <v>425</v>
      </c>
      <c r="Q1471" s="0" t="s">
        <v>141</v>
      </c>
      <c r="R1471" s="0" t="s">
        <v>138</v>
      </c>
      <c r="S1471" s="14">
        <v>1</v>
      </c>
      <c r="T1471" s="0" t="s">
        <v>249</v>
      </c>
      <c r="U1471" s="0" t="s">
        <v>138</v>
      </c>
      <c r="V1471" s="14" t="s">
        <v>138</v>
      </c>
      <c r="W1471" s="0" t="s">
        <v>138</v>
      </c>
      <c r="X1471" s="14" t="s">
        <v>138</v>
      </c>
      <c r="Y1471" s="0" t="s">
        <v>138</v>
      </c>
      <c r="Z1471" s="14" t="s">
        <v>138</v>
      </c>
      <c r="AA1471" s="0" t="s">
        <v>138</v>
      </c>
      <c r="AB1471" s="14" t="s">
        <v>138</v>
      </c>
      <c r="AD1471" s="0" t="s">
        <v>138</v>
      </c>
      <c r="AF1471" s="0">
        <v>0</v>
      </c>
      <c r="AG1471" s="0">
        <v>0</v>
      </c>
      <c r="AH1471" s="0" t="s">
        <v>140</v>
      </c>
      <c r="AI1471" s="0" t="s">
        <v>138</v>
      </c>
      <c r="AK1471" s="0" t="s">
        <v>3145</v>
      </c>
      <c r="AL1471" s="14"/>
      <c r="AN1471" s="14"/>
      <c r="AQ1471" s="0" t="s">
        <v>130</v>
      </c>
      <c r="AR1471" s="0" t="s">
        <v>130</v>
      </c>
      <c r="AS1471" s="0" t="s">
        <v>130</v>
      </c>
      <c r="AT1471" s="0" t="s">
        <v>130</v>
      </c>
      <c r="AU1471" s="0" t="s">
        <v>130</v>
      </c>
      <c r="AV1471" s="0" t="s">
        <v>130</v>
      </c>
      <c r="AW1471" s="0" t="s">
        <v>130</v>
      </c>
      <c r="AX1471" s="0" t="s">
        <v>130</v>
      </c>
      <c r="AY1471" s="0" t="s">
        <v>130</v>
      </c>
      <c r="AZ1471" s="0" t="s">
        <v>130</v>
      </c>
      <c r="BA1471" s="0" t="s">
        <v>130</v>
      </c>
      <c r="BB1471" s="0" t="s">
        <v>141</v>
      </c>
      <c r="BC1471" s="0" t="s">
        <v>130</v>
      </c>
      <c r="BD1471" s="0" t="s">
        <v>130</v>
      </c>
      <c r="BE1471" s="0" t="s">
        <v>130</v>
      </c>
      <c r="BF1471" s="0" t="s">
        <v>130</v>
      </c>
      <c r="BG1471" s="0" t="s">
        <v>130</v>
      </c>
      <c r="BH1471" s="0" t="s">
        <v>130</v>
      </c>
      <c r="BI1471" s="0" t="s">
        <v>130</v>
      </c>
      <c r="BJ1471" s="0" t="s">
        <v>130</v>
      </c>
      <c r="BK1471" s="0" t="s">
        <v>130</v>
      </c>
      <c r="BL1471" s="0" t="s">
        <v>130</v>
      </c>
      <c r="BM1471" s="0" t="s">
        <v>130</v>
      </c>
      <c r="BN1471" s="0" t="s">
        <v>130</v>
      </c>
      <c r="BO1471" s="0" t="s">
        <v>130</v>
      </c>
      <c r="BP1471" s="0" t="s">
        <v>130</v>
      </c>
      <c r="BQ1471" s="0" t="s">
        <v>130</v>
      </c>
      <c r="BR1471" s="0" t="s">
        <v>130</v>
      </c>
      <c r="BS1471" s="0" t="s">
        <v>130</v>
      </c>
      <c r="BT1471" s="0" t="s">
        <v>130</v>
      </c>
      <c r="BU1471" s="0" t="s">
        <v>130</v>
      </c>
      <c r="BV1471" s="0" t="s">
        <v>130</v>
      </c>
      <c r="BW1471" s="0" t="s">
        <v>130</v>
      </c>
      <c r="BX1471" s="0" t="s">
        <v>130</v>
      </c>
      <c r="BY1471" s="0" t="s">
        <v>130</v>
      </c>
      <c r="BZ1471" s="0" t="s">
        <v>130</v>
      </c>
      <c r="CA1471" s="0" t="s">
        <v>130</v>
      </c>
      <c r="CB1471" s="0" t="s">
        <v>130</v>
      </c>
      <c r="CC1471" s="0" t="s">
        <v>130</v>
      </c>
      <c r="CD1471" s="0" t="s">
        <v>130</v>
      </c>
      <c r="CE1471" s="0" t="s">
        <v>130</v>
      </c>
      <c r="CF1471" s="0" t="s">
        <v>130</v>
      </c>
      <c r="CG1471" s="0" t="s">
        <v>130</v>
      </c>
      <c r="CH1471" s="0" t="s">
        <v>130</v>
      </c>
      <c r="CI1471" s="0" t="s">
        <v>130</v>
      </c>
      <c r="CJ1471" s="0" t="s">
        <v>130</v>
      </c>
      <c r="CK1471" s="0" t="s">
        <v>130</v>
      </c>
      <c r="CL1471" s="0" t="s">
        <v>130</v>
      </c>
      <c r="CM1471" s="0" t="s">
        <v>130</v>
      </c>
      <c r="CN1471" s="0" t="s">
        <v>130</v>
      </c>
      <c r="CO1471" s="0" t="s">
        <v>130</v>
      </c>
      <c r="CP1471" s="0" t="s">
        <v>130</v>
      </c>
      <c r="CQ1471" s="0" t="s">
        <v>130</v>
      </c>
      <c r="CR1471" s="0" t="s">
        <v>130</v>
      </c>
      <c r="CS1471" s="0" t="s">
        <v>130</v>
      </c>
      <c r="CT1471" s="0" t="s">
        <v>4265</v>
      </c>
    </row>
    <row r="1472">
      <c r="A1472" s="14">
        <v>16632863</v>
      </c>
      <c r="B1472" s="0" t="s">
        <v>4220</v>
      </c>
      <c r="C1472" s="16">
        <f>HYPERLINK("https://eosportal.federatedhermes.com/companies/Q29tcGFueQppNDQ5NjA=", "General Motors Co")</f>
      </c>
      <c r="D1472" s="0" t="s">
        <v>25</v>
      </c>
      <c r="E1472" s="0" t="s">
        <v>1381</v>
      </c>
      <c r="F1472" s="16">
        <f>HYPERLINK("https://eosportal.federatedhermes.com/engagements/RW5nYWdlbWVudAppMjgyNjg=", "Strategy")</f>
      </c>
      <c r="G1472" s="14"/>
      <c r="H1472" s="0" t="s">
        <v>141</v>
      </c>
      <c r="I1472" s="14" t="s">
        <v>191</v>
      </c>
      <c r="J1472" s="0" t="s">
        <v>132</v>
      </c>
      <c r="K1472" s="0" t="s">
        <v>133</v>
      </c>
      <c r="L1472" s="0" t="s">
        <v>160</v>
      </c>
      <c r="M1472" s="0" t="s">
        <v>135</v>
      </c>
      <c r="N1472" s="0" t="s">
        <v>136</v>
      </c>
      <c r="O1472" s="0" t="s">
        <v>425</v>
      </c>
      <c r="Q1472" s="0" t="s">
        <v>130</v>
      </c>
      <c r="R1472" s="0" t="s">
        <v>138</v>
      </c>
      <c r="S1472" s="14">
        <v>0</v>
      </c>
      <c r="T1472" s="0" t="s">
        <v>4266</v>
      </c>
      <c r="U1472" s="0" t="s">
        <v>138</v>
      </c>
      <c r="V1472" s="14" t="s">
        <v>138</v>
      </c>
      <c r="W1472" s="0" t="s">
        <v>138</v>
      </c>
      <c r="X1472" s="14" t="s">
        <v>138</v>
      </c>
      <c r="Y1472" s="0" t="s">
        <v>138</v>
      </c>
      <c r="Z1472" s="14" t="s">
        <v>138</v>
      </c>
      <c r="AA1472" s="0" t="s">
        <v>138</v>
      </c>
      <c r="AB1472" s="14" t="s">
        <v>138</v>
      </c>
      <c r="AD1472" s="0" t="s">
        <v>138</v>
      </c>
      <c r="AF1472" s="0">
        <v>0</v>
      </c>
      <c r="AG1472" s="0">
        <v>0</v>
      </c>
      <c r="AH1472" s="0" t="s">
        <v>140</v>
      </c>
      <c r="AI1472" s="0" t="s">
        <v>138</v>
      </c>
      <c r="AL1472" s="14"/>
      <c r="AN1472" s="14"/>
      <c r="AQ1472" s="0" t="s">
        <v>130</v>
      </c>
      <c r="AR1472" s="0" t="s">
        <v>130</v>
      </c>
      <c r="AS1472" s="0" t="s">
        <v>130</v>
      </c>
      <c r="AT1472" s="0" t="s">
        <v>130</v>
      </c>
      <c r="AU1472" s="0" t="s">
        <v>130</v>
      </c>
      <c r="AV1472" s="0" t="s">
        <v>130</v>
      </c>
      <c r="AW1472" s="0" t="s">
        <v>130</v>
      </c>
      <c r="AX1472" s="0" t="s">
        <v>130</v>
      </c>
      <c r="AY1472" s="0" t="s">
        <v>130</v>
      </c>
      <c r="AZ1472" s="0" t="s">
        <v>130</v>
      </c>
      <c r="BA1472" s="0" t="s">
        <v>130</v>
      </c>
      <c r="BB1472" s="0" t="s">
        <v>130</v>
      </c>
      <c r="BC1472" s="0" t="s">
        <v>130</v>
      </c>
      <c r="BD1472" s="0" t="s">
        <v>130</v>
      </c>
      <c r="BE1472" s="0" t="s">
        <v>130</v>
      </c>
      <c r="BF1472" s="0" t="s">
        <v>130</v>
      </c>
      <c r="BG1472" s="0" t="s">
        <v>130</v>
      </c>
      <c r="BH1472" s="0" t="s">
        <v>130</v>
      </c>
      <c r="BI1472" s="0" t="s">
        <v>130</v>
      </c>
      <c r="BJ1472" s="0" t="s">
        <v>130</v>
      </c>
      <c r="BK1472" s="0" t="s">
        <v>130</v>
      </c>
      <c r="BL1472" s="0" t="s">
        <v>130</v>
      </c>
      <c r="BM1472" s="0" t="s">
        <v>130</v>
      </c>
      <c r="BN1472" s="0" t="s">
        <v>130</v>
      </c>
      <c r="BO1472" s="0" t="s">
        <v>130</v>
      </c>
      <c r="BP1472" s="0" t="s">
        <v>130</v>
      </c>
      <c r="BQ1472" s="0" t="s">
        <v>130</v>
      </c>
      <c r="BR1472" s="0" t="s">
        <v>130</v>
      </c>
      <c r="BS1472" s="0" t="s">
        <v>130</v>
      </c>
      <c r="BT1472" s="0" t="s">
        <v>130</v>
      </c>
      <c r="BU1472" s="0" t="s">
        <v>130</v>
      </c>
      <c r="BV1472" s="0" t="s">
        <v>130</v>
      </c>
      <c r="BW1472" s="0" t="s">
        <v>130</v>
      </c>
      <c r="BX1472" s="0" t="s">
        <v>130</v>
      </c>
      <c r="BY1472" s="0" t="s">
        <v>130</v>
      </c>
      <c r="BZ1472" s="0" t="s">
        <v>130</v>
      </c>
      <c r="CA1472" s="0" t="s">
        <v>130</v>
      </c>
      <c r="CB1472" s="0" t="s">
        <v>130</v>
      </c>
      <c r="CC1472" s="0" t="s">
        <v>130</v>
      </c>
      <c r="CD1472" s="0" t="s">
        <v>130</v>
      </c>
      <c r="CE1472" s="0" t="s">
        <v>130</v>
      </c>
      <c r="CF1472" s="0" t="s">
        <v>130</v>
      </c>
      <c r="CG1472" s="0" t="s">
        <v>130</v>
      </c>
      <c r="CH1472" s="0" t="s">
        <v>130</v>
      </c>
      <c r="CI1472" s="0" t="s">
        <v>130</v>
      </c>
      <c r="CJ1472" s="0" t="s">
        <v>130</v>
      </c>
      <c r="CK1472" s="0" t="s">
        <v>130</v>
      </c>
      <c r="CL1472" s="0" t="s">
        <v>130</v>
      </c>
      <c r="CM1472" s="0" t="s">
        <v>130</v>
      </c>
      <c r="CN1472" s="0" t="s">
        <v>130</v>
      </c>
      <c r="CO1472" s="0" t="s">
        <v>130</v>
      </c>
      <c r="CP1472" s="0" t="s">
        <v>130</v>
      </c>
      <c r="CQ1472" s="0" t="s">
        <v>130</v>
      </c>
      <c r="CR1472" s="0" t="s">
        <v>130</v>
      </c>
      <c r="CS1472" s="0" t="s">
        <v>130</v>
      </c>
      <c r="CT1472" s="0" t="s">
        <v>4267</v>
      </c>
    </row>
    <row r="1473">
      <c r="A1473" s="14">
        <v>16632863</v>
      </c>
      <c r="B1473" s="0" t="s">
        <v>4220</v>
      </c>
      <c r="C1473" s="16">
        <f>HYPERLINK("https://eosportal.federatedhermes.com/companies/Q29tcGFueQppNDQ5NjA=", "General Motors Co")</f>
      </c>
      <c r="D1473" s="0" t="s">
        <v>25</v>
      </c>
      <c r="E1473" s="0" t="s">
        <v>4268</v>
      </c>
      <c r="F1473" s="16">
        <f>HYPERLINK("https://eosportal.federatedhermes.com/engagements/RW5nYWdlbWVudAppMjgyNjk=", "Materiality of ESG factors for financial disclosures")</f>
      </c>
      <c r="G1473" s="14" t="s">
        <v>4269</v>
      </c>
      <c r="H1473" s="0" t="s">
        <v>141</v>
      </c>
      <c r="I1473" s="14" t="s">
        <v>191</v>
      </c>
      <c r="J1473" s="0" t="s">
        <v>132</v>
      </c>
      <c r="K1473" s="0" t="s">
        <v>170</v>
      </c>
      <c r="L1473" s="0" t="s">
        <v>171</v>
      </c>
      <c r="M1473" s="0" t="s">
        <v>135</v>
      </c>
      <c r="N1473" s="0" t="s">
        <v>136</v>
      </c>
      <c r="O1473" s="0" t="s">
        <v>425</v>
      </c>
      <c r="Q1473" s="0" t="s">
        <v>130</v>
      </c>
      <c r="R1473" s="0" t="s">
        <v>138</v>
      </c>
      <c r="S1473" s="14">
        <v>0</v>
      </c>
      <c r="T1473" s="0" t="s">
        <v>1145</v>
      </c>
      <c r="U1473" s="0" t="s">
        <v>138</v>
      </c>
      <c r="V1473" s="14" t="s">
        <v>138</v>
      </c>
      <c r="W1473" s="0" t="s">
        <v>138</v>
      </c>
      <c r="X1473" s="14" t="s">
        <v>138</v>
      </c>
      <c r="Y1473" s="0" t="s">
        <v>138</v>
      </c>
      <c r="Z1473" s="14" t="s">
        <v>138</v>
      </c>
      <c r="AA1473" s="0" t="s">
        <v>138</v>
      </c>
      <c r="AB1473" s="14" t="s">
        <v>138</v>
      </c>
      <c r="AD1473" s="0" t="s">
        <v>138</v>
      </c>
      <c r="AF1473" s="0">
        <v>0</v>
      </c>
      <c r="AG1473" s="0">
        <v>0</v>
      </c>
      <c r="AH1473" s="0" t="s">
        <v>140</v>
      </c>
      <c r="AI1473" s="0" t="s">
        <v>138</v>
      </c>
      <c r="AL1473" s="14"/>
      <c r="AN1473" s="14"/>
      <c r="AQ1473" s="0" t="s">
        <v>130</v>
      </c>
      <c r="AR1473" s="0" t="s">
        <v>130</v>
      </c>
      <c r="AS1473" s="0" t="s">
        <v>130</v>
      </c>
      <c r="AT1473" s="0" t="s">
        <v>130</v>
      </c>
      <c r="AU1473" s="0" t="s">
        <v>130</v>
      </c>
      <c r="AV1473" s="0" t="s">
        <v>130</v>
      </c>
      <c r="AW1473" s="0" t="s">
        <v>130</v>
      </c>
      <c r="AX1473" s="0" t="s">
        <v>130</v>
      </c>
      <c r="AY1473" s="0" t="s">
        <v>130</v>
      </c>
      <c r="AZ1473" s="0" t="s">
        <v>130</v>
      </c>
      <c r="BA1473" s="0" t="s">
        <v>130</v>
      </c>
      <c r="BB1473" s="0" t="s">
        <v>130</v>
      </c>
      <c r="BC1473" s="0" t="s">
        <v>130</v>
      </c>
      <c r="BD1473" s="0" t="s">
        <v>130</v>
      </c>
      <c r="BE1473" s="0" t="s">
        <v>130</v>
      </c>
      <c r="BF1473" s="0" t="s">
        <v>130</v>
      </c>
      <c r="BG1473" s="0" t="s">
        <v>130</v>
      </c>
      <c r="BH1473" s="0" t="s">
        <v>130</v>
      </c>
      <c r="BI1473" s="0" t="s">
        <v>130</v>
      </c>
      <c r="BJ1473" s="0" t="s">
        <v>130</v>
      </c>
      <c r="BK1473" s="0" t="s">
        <v>130</v>
      </c>
      <c r="BL1473" s="0" t="s">
        <v>130</v>
      </c>
      <c r="BM1473" s="0" t="s">
        <v>130</v>
      </c>
      <c r="BN1473" s="0" t="s">
        <v>130</v>
      </c>
      <c r="BO1473" s="0" t="s">
        <v>130</v>
      </c>
      <c r="BP1473" s="0" t="s">
        <v>130</v>
      </c>
      <c r="BQ1473" s="0" t="s">
        <v>130</v>
      </c>
      <c r="BR1473" s="0" t="s">
        <v>130</v>
      </c>
      <c r="BS1473" s="0" t="s">
        <v>130</v>
      </c>
      <c r="BT1473" s="0" t="s">
        <v>130</v>
      </c>
      <c r="BU1473" s="0" t="s">
        <v>130</v>
      </c>
      <c r="BV1473" s="0" t="s">
        <v>130</v>
      </c>
      <c r="BW1473" s="0" t="s">
        <v>130</v>
      </c>
      <c r="BX1473" s="0" t="s">
        <v>130</v>
      </c>
      <c r="BY1473" s="0" t="s">
        <v>130</v>
      </c>
      <c r="BZ1473" s="0" t="s">
        <v>130</v>
      </c>
      <c r="CA1473" s="0" t="s">
        <v>130</v>
      </c>
      <c r="CB1473" s="0" t="s">
        <v>130</v>
      </c>
      <c r="CC1473" s="0" t="s">
        <v>130</v>
      </c>
      <c r="CD1473" s="0" t="s">
        <v>130</v>
      </c>
      <c r="CE1473" s="0" t="s">
        <v>130</v>
      </c>
      <c r="CF1473" s="0" t="s">
        <v>130</v>
      </c>
      <c r="CG1473" s="0" t="s">
        <v>130</v>
      </c>
      <c r="CH1473" s="0" t="s">
        <v>130</v>
      </c>
      <c r="CI1473" s="0" t="s">
        <v>130</v>
      </c>
      <c r="CJ1473" s="0" t="s">
        <v>130</v>
      </c>
      <c r="CK1473" s="0" t="s">
        <v>130</v>
      </c>
      <c r="CL1473" s="0" t="s">
        <v>130</v>
      </c>
      <c r="CM1473" s="0" t="s">
        <v>130</v>
      </c>
      <c r="CN1473" s="0" t="s">
        <v>130</v>
      </c>
      <c r="CO1473" s="0" t="s">
        <v>130</v>
      </c>
      <c r="CP1473" s="0" t="s">
        <v>130</v>
      </c>
      <c r="CQ1473" s="0" t="s">
        <v>130</v>
      </c>
      <c r="CR1473" s="0" t="s">
        <v>130</v>
      </c>
      <c r="CS1473" s="0" t="s">
        <v>130</v>
      </c>
      <c r="CT1473" s="0" t="s">
        <v>4270</v>
      </c>
    </row>
    <row r="1474">
      <c r="A1474" s="14">
        <v>16857643</v>
      </c>
      <c r="B1474" s="0" t="s">
        <v>4271</v>
      </c>
      <c r="C1474" s="16">
        <f>HYPERLINK("https://eosportal.federatedhermes.com/companies/Q29tcGFueQppNzgyNzY=", "Alibaba Group Holding Ltd")</f>
      </c>
      <c r="D1474" s="0" t="s">
        <v>25</v>
      </c>
      <c r="E1474" s="0" t="s">
        <v>4272</v>
      </c>
      <c r="F1474" s="16">
        <f>HYPERLINK("https://eosportal.federatedhermes.com/engagements/RW5nYWdlbWVudAppMjgyODA=", "Protection of minority shareholder rights")</f>
      </c>
      <c r="G1474" s="14" t="s">
        <v>4273</v>
      </c>
      <c r="H1474" s="0" t="s">
        <v>141</v>
      </c>
      <c r="I1474" s="14" t="s">
        <v>1645</v>
      </c>
      <c r="J1474" s="0" t="s">
        <v>145</v>
      </c>
      <c r="K1474" s="0" t="s">
        <v>400</v>
      </c>
      <c r="L1474" s="0" t="s">
        <v>507</v>
      </c>
      <c r="M1474" s="0" t="s">
        <v>802</v>
      </c>
      <c r="N1474" s="0" t="s">
        <v>803</v>
      </c>
      <c r="O1474" s="0" t="s">
        <v>643</v>
      </c>
      <c r="Q1474" s="0" t="s">
        <v>141</v>
      </c>
      <c r="R1474" s="0" t="s">
        <v>138</v>
      </c>
      <c r="S1474" s="14">
        <v>3</v>
      </c>
      <c r="T1474" s="0" t="s">
        <v>390</v>
      </c>
      <c r="U1474" s="0" t="s">
        <v>138</v>
      </c>
      <c r="V1474" s="14" t="s">
        <v>138</v>
      </c>
      <c r="W1474" s="0" t="s">
        <v>138</v>
      </c>
      <c r="X1474" s="14" t="s">
        <v>138</v>
      </c>
      <c r="Y1474" s="0" t="s">
        <v>138</v>
      </c>
      <c r="Z1474" s="14" t="s">
        <v>138</v>
      </c>
      <c r="AA1474" s="0" t="s">
        <v>138</v>
      </c>
      <c r="AB1474" s="14" t="s">
        <v>138</v>
      </c>
      <c r="AD1474" s="0" t="s">
        <v>138</v>
      </c>
      <c r="AF1474" s="0">
        <v>0</v>
      </c>
      <c r="AG1474" s="0">
        <v>0</v>
      </c>
      <c r="AH1474" s="0" t="s">
        <v>140</v>
      </c>
      <c r="AI1474" s="0" t="s">
        <v>138</v>
      </c>
      <c r="AK1474" s="0" t="s">
        <v>4274</v>
      </c>
      <c r="AL1474" s="14"/>
      <c r="AN1474" s="14"/>
      <c r="AQ1474" s="0" t="s">
        <v>130</v>
      </c>
      <c r="AR1474" s="0" t="s">
        <v>130</v>
      </c>
      <c r="AS1474" s="0" t="s">
        <v>130</v>
      </c>
      <c r="AT1474" s="0" t="s">
        <v>130</v>
      </c>
      <c r="AU1474" s="0" t="s">
        <v>130</v>
      </c>
      <c r="AV1474" s="0" t="s">
        <v>130</v>
      </c>
      <c r="AW1474" s="0" t="s">
        <v>130</v>
      </c>
      <c r="AX1474" s="0" t="s">
        <v>130</v>
      </c>
      <c r="AY1474" s="0" t="s">
        <v>130</v>
      </c>
      <c r="AZ1474" s="0" t="s">
        <v>130</v>
      </c>
      <c r="BA1474" s="0" t="s">
        <v>130</v>
      </c>
      <c r="BB1474" s="0" t="s">
        <v>130</v>
      </c>
      <c r="BC1474" s="0" t="s">
        <v>130</v>
      </c>
      <c r="BD1474" s="0" t="s">
        <v>130</v>
      </c>
      <c r="BE1474" s="0" t="s">
        <v>130</v>
      </c>
      <c r="BF1474" s="0" t="s">
        <v>130</v>
      </c>
      <c r="BG1474" s="0" t="s">
        <v>130</v>
      </c>
      <c r="BH1474" s="0" t="s">
        <v>130</v>
      </c>
      <c r="BI1474" s="0" t="s">
        <v>130</v>
      </c>
      <c r="BJ1474" s="0" t="s">
        <v>130</v>
      </c>
      <c r="BK1474" s="0" t="s">
        <v>130</v>
      </c>
      <c r="BL1474" s="0" t="s">
        <v>130</v>
      </c>
      <c r="BM1474" s="0" t="s">
        <v>130</v>
      </c>
      <c r="BN1474" s="0" t="s">
        <v>130</v>
      </c>
      <c r="BO1474" s="0" t="s">
        <v>130</v>
      </c>
      <c r="BP1474" s="0" t="s">
        <v>130</v>
      </c>
      <c r="BQ1474" s="0" t="s">
        <v>130</v>
      </c>
      <c r="BR1474" s="0" t="s">
        <v>130</v>
      </c>
      <c r="BS1474" s="0" t="s">
        <v>130</v>
      </c>
      <c r="BT1474" s="0" t="s">
        <v>130</v>
      </c>
      <c r="BU1474" s="0" t="s">
        <v>130</v>
      </c>
      <c r="BV1474" s="0" t="s">
        <v>130</v>
      </c>
      <c r="BW1474" s="0" t="s">
        <v>130</v>
      </c>
      <c r="BX1474" s="0" t="s">
        <v>130</v>
      </c>
      <c r="BY1474" s="0" t="s">
        <v>130</v>
      </c>
      <c r="BZ1474" s="0" t="s">
        <v>130</v>
      </c>
      <c r="CA1474" s="0" t="s">
        <v>130</v>
      </c>
      <c r="CB1474" s="0" t="s">
        <v>130</v>
      </c>
      <c r="CC1474" s="0" t="s">
        <v>130</v>
      </c>
      <c r="CD1474" s="0" t="s">
        <v>130</v>
      </c>
      <c r="CE1474" s="0" t="s">
        <v>130</v>
      </c>
      <c r="CF1474" s="0" t="s">
        <v>130</v>
      </c>
      <c r="CG1474" s="0" t="s">
        <v>130</v>
      </c>
      <c r="CH1474" s="0" t="s">
        <v>130</v>
      </c>
      <c r="CI1474" s="0" t="s">
        <v>130</v>
      </c>
      <c r="CJ1474" s="0" t="s">
        <v>130</v>
      </c>
      <c r="CK1474" s="0" t="s">
        <v>130</v>
      </c>
      <c r="CL1474" s="0" t="s">
        <v>130</v>
      </c>
      <c r="CM1474" s="0" t="s">
        <v>130</v>
      </c>
      <c r="CN1474" s="0" t="s">
        <v>130</v>
      </c>
      <c r="CO1474" s="0" t="s">
        <v>130</v>
      </c>
      <c r="CP1474" s="0" t="s">
        <v>130</v>
      </c>
      <c r="CQ1474" s="0" t="s">
        <v>130</v>
      </c>
      <c r="CR1474" s="0" t="s">
        <v>130</v>
      </c>
      <c r="CS1474" s="0" t="s">
        <v>130</v>
      </c>
      <c r="CT1474" s="0" t="s">
        <v>4275</v>
      </c>
    </row>
    <row r="1475">
      <c r="A1475" s="14">
        <v>16857643</v>
      </c>
      <c r="B1475" s="0" t="s">
        <v>4271</v>
      </c>
      <c r="C1475" s="16">
        <f>HYPERLINK("https://eosportal.federatedhermes.com/companies/Q29tcGFueQppNzgyNzY=", "Alibaba Group Holding Ltd")</f>
      </c>
      <c r="D1475" s="0" t="s">
        <v>23</v>
      </c>
      <c r="E1475" s="0" t="s">
        <v>4276</v>
      </c>
      <c r="F1475" s="16">
        <f>HYPERLINK("https://eosportal.federatedhermes.com/engagements/RW5nYWdlbWVudAppMjgyODE=", "Engagement with board directors")</f>
      </c>
      <c r="G1475" s="14" t="s">
        <v>4277</v>
      </c>
      <c r="H1475" s="0" t="s">
        <v>141</v>
      </c>
      <c r="I1475" s="14" t="s">
        <v>1645</v>
      </c>
      <c r="J1475" s="0" t="s">
        <v>145</v>
      </c>
      <c r="K1475" s="0" t="s">
        <v>400</v>
      </c>
      <c r="L1475" s="0" t="s">
        <v>401</v>
      </c>
      <c r="M1475" s="0" t="s">
        <v>802</v>
      </c>
      <c r="N1475" s="0" t="s">
        <v>803</v>
      </c>
      <c r="O1475" s="0" t="s">
        <v>643</v>
      </c>
      <c r="Q1475" s="0" t="s">
        <v>141</v>
      </c>
      <c r="R1475" s="0" t="s">
        <v>130</v>
      </c>
      <c r="S1475" s="14">
        <v>4</v>
      </c>
      <c r="T1475" s="0" t="s">
        <v>583</v>
      </c>
      <c r="U1475" s="0" t="s">
        <v>221</v>
      </c>
      <c r="V1475" s="14" t="s">
        <v>583</v>
      </c>
      <c r="W1475" s="0" t="s">
        <v>221</v>
      </c>
      <c r="X1475" s="14" t="s">
        <v>231</v>
      </c>
      <c r="Y1475" s="0" t="s">
        <v>223</v>
      </c>
      <c r="Z1475" s="14" t="s">
        <v>138</v>
      </c>
      <c r="AA1475" s="0" t="s">
        <v>224</v>
      </c>
      <c r="AB1475" s="14" t="s">
        <v>138</v>
      </c>
      <c r="AD1475" s="0" t="s">
        <v>17</v>
      </c>
      <c r="AF1475" s="0">
        <v>0</v>
      </c>
      <c r="AG1475" s="0">
        <v>0</v>
      </c>
      <c r="AH1475" s="0" t="s">
        <v>140</v>
      </c>
      <c r="AI1475" s="0" t="s">
        <v>479</v>
      </c>
      <c r="AK1475" s="0" t="s">
        <v>4274</v>
      </c>
      <c r="AL1475" s="14"/>
      <c r="AN1475" s="14"/>
      <c r="AQ1475" s="0" t="s">
        <v>130</v>
      </c>
      <c r="AR1475" s="0" t="s">
        <v>130</v>
      </c>
      <c r="AS1475" s="0" t="s">
        <v>130</v>
      </c>
      <c r="AT1475" s="0" t="s">
        <v>130</v>
      </c>
      <c r="AU1475" s="0" t="s">
        <v>130</v>
      </c>
      <c r="AV1475" s="0" t="s">
        <v>130</v>
      </c>
      <c r="AW1475" s="0" t="s">
        <v>130</v>
      </c>
      <c r="AX1475" s="0" t="s">
        <v>130</v>
      </c>
      <c r="AY1475" s="0" t="s">
        <v>130</v>
      </c>
      <c r="AZ1475" s="0" t="s">
        <v>130</v>
      </c>
      <c r="BA1475" s="0" t="s">
        <v>130</v>
      </c>
      <c r="BB1475" s="0" t="s">
        <v>130</v>
      </c>
      <c r="BC1475" s="0" t="s">
        <v>130</v>
      </c>
      <c r="BD1475" s="0" t="s">
        <v>130</v>
      </c>
      <c r="BE1475" s="0" t="s">
        <v>130</v>
      </c>
      <c r="BF1475" s="0" t="s">
        <v>130</v>
      </c>
      <c r="BG1475" s="0" t="s">
        <v>130</v>
      </c>
      <c r="BH1475" s="0" t="s">
        <v>130</v>
      </c>
      <c r="BI1475" s="0" t="s">
        <v>130</v>
      </c>
      <c r="BJ1475" s="0" t="s">
        <v>130</v>
      </c>
      <c r="BK1475" s="0" t="s">
        <v>130</v>
      </c>
      <c r="BL1475" s="0" t="s">
        <v>130</v>
      </c>
      <c r="BM1475" s="0" t="s">
        <v>130</v>
      </c>
      <c r="BN1475" s="0" t="s">
        <v>130</v>
      </c>
      <c r="BO1475" s="0" t="s">
        <v>130</v>
      </c>
      <c r="BP1475" s="0" t="s">
        <v>130</v>
      </c>
      <c r="BQ1475" s="0" t="s">
        <v>130</v>
      </c>
      <c r="BR1475" s="0" t="s">
        <v>130</v>
      </c>
      <c r="BS1475" s="0" t="s">
        <v>130</v>
      </c>
      <c r="BT1475" s="0" t="s">
        <v>130</v>
      </c>
      <c r="BU1475" s="0" t="s">
        <v>130</v>
      </c>
      <c r="BV1475" s="0" t="s">
        <v>130</v>
      </c>
      <c r="BW1475" s="0" t="s">
        <v>130</v>
      </c>
      <c r="BX1475" s="0" t="s">
        <v>130</v>
      </c>
      <c r="BY1475" s="0" t="s">
        <v>130</v>
      </c>
      <c r="BZ1475" s="0" t="s">
        <v>130</v>
      </c>
      <c r="CA1475" s="0" t="s">
        <v>130</v>
      </c>
      <c r="CB1475" s="0" t="s">
        <v>130</v>
      </c>
      <c r="CC1475" s="0" t="s">
        <v>130</v>
      </c>
      <c r="CD1475" s="0" t="s">
        <v>130</v>
      </c>
      <c r="CE1475" s="0" t="s">
        <v>130</v>
      </c>
      <c r="CF1475" s="0" t="s">
        <v>130</v>
      </c>
      <c r="CG1475" s="0" t="s">
        <v>130</v>
      </c>
      <c r="CH1475" s="0" t="s">
        <v>130</v>
      </c>
      <c r="CI1475" s="0" t="s">
        <v>130</v>
      </c>
      <c r="CJ1475" s="0" t="s">
        <v>130</v>
      </c>
      <c r="CK1475" s="0" t="s">
        <v>130</v>
      </c>
      <c r="CL1475" s="0" t="s">
        <v>130</v>
      </c>
      <c r="CM1475" s="0" t="s">
        <v>130</v>
      </c>
      <c r="CN1475" s="0" t="s">
        <v>130</v>
      </c>
      <c r="CO1475" s="0" t="s">
        <v>130</v>
      </c>
      <c r="CP1475" s="0" t="s">
        <v>130</v>
      </c>
      <c r="CQ1475" s="0" t="s">
        <v>130</v>
      </c>
      <c r="CR1475" s="0" t="s">
        <v>130</v>
      </c>
      <c r="CS1475" s="0" t="s">
        <v>130</v>
      </c>
      <c r="CT1475" s="0" t="s">
        <v>4278</v>
      </c>
    </row>
    <row r="1476">
      <c r="A1476" s="14">
        <v>16857643</v>
      </c>
      <c r="B1476" s="0" t="s">
        <v>4271</v>
      </c>
      <c r="C1476" s="16">
        <f>HYPERLINK("https://eosportal.federatedhermes.com/companies/Q29tcGFueQppNzgyNzY=", "Alibaba Group Holding Ltd")</f>
      </c>
      <c r="D1476" s="0" t="s">
        <v>25</v>
      </c>
      <c r="E1476" s="0" t="s">
        <v>4279</v>
      </c>
      <c r="F1476" s="16">
        <f>HYPERLINK("https://eosportal.federatedhermes.com/engagements/RW5nYWdlbWVudAppMjgyODI=", "Counterfeit products and harmful content on the e-commerce platform")</f>
      </c>
      <c r="G1476" s="14" t="s">
        <v>4280</v>
      </c>
      <c r="H1476" s="0" t="s">
        <v>141</v>
      </c>
      <c r="I1476" s="14" t="s">
        <v>1645</v>
      </c>
      <c r="J1476" s="0" t="s">
        <v>132</v>
      </c>
      <c r="K1476" s="0" t="s">
        <v>260</v>
      </c>
      <c r="L1476" s="0" t="s">
        <v>261</v>
      </c>
      <c r="M1476" s="0" t="s">
        <v>802</v>
      </c>
      <c r="N1476" s="0" t="s">
        <v>803</v>
      </c>
      <c r="O1476" s="0" t="s">
        <v>643</v>
      </c>
      <c r="Q1476" s="0" t="s">
        <v>130</v>
      </c>
      <c r="R1476" s="0" t="s">
        <v>138</v>
      </c>
      <c r="S1476" s="14">
        <v>0</v>
      </c>
      <c r="T1476" s="0" t="s">
        <v>390</v>
      </c>
      <c r="U1476" s="0" t="s">
        <v>138</v>
      </c>
      <c r="V1476" s="14" t="s">
        <v>138</v>
      </c>
      <c r="W1476" s="0" t="s">
        <v>138</v>
      </c>
      <c r="X1476" s="14" t="s">
        <v>138</v>
      </c>
      <c r="Y1476" s="0" t="s">
        <v>138</v>
      </c>
      <c r="Z1476" s="14" t="s">
        <v>138</v>
      </c>
      <c r="AA1476" s="0" t="s">
        <v>138</v>
      </c>
      <c r="AB1476" s="14" t="s">
        <v>138</v>
      </c>
      <c r="AD1476" s="0" t="s">
        <v>138</v>
      </c>
      <c r="AF1476" s="0">
        <v>0</v>
      </c>
      <c r="AG1476" s="0">
        <v>0</v>
      </c>
      <c r="AH1476" s="0" t="s">
        <v>140</v>
      </c>
      <c r="AI1476" s="0" t="s">
        <v>138</v>
      </c>
      <c r="AL1476" s="14"/>
      <c r="AN1476" s="14"/>
      <c r="AQ1476" s="0" t="s">
        <v>130</v>
      </c>
      <c r="AR1476" s="0" t="s">
        <v>130</v>
      </c>
      <c r="AS1476" s="0" t="s">
        <v>130</v>
      </c>
      <c r="AT1476" s="0" t="s">
        <v>130</v>
      </c>
      <c r="AU1476" s="0" t="s">
        <v>130</v>
      </c>
      <c r="AV1476" s="0" t="s">
        <v>130</v>
      </c>
      <c r="AW1476" s="0" t="s">
        <v>130</v>
      </c>
      <c r="AX1476" s="0" t="s">
        <v>130</v>
      </c>
      <c r="AY1476" s="0" t="s">
        <v>130</v>
      </c>
      <c r="AZ1476" s="0" t="s">
        <v>130</v>
      </c>
      <c r="BA1476" s="0" t="s">
        <v>130</v>
      </c>
      <c r="BB1476" s="0" t="s">
        <v>130</v>
      </c>
      <c r="BC1476" s="0" t="s">
        <v>130</v>
      </c>
      <c r="BD1476" s="0" t="s">
        <v>130</v>
      </c>
      <c r="BE1476" s="0" t="s">
        <v>130</v>
      </c>
      <c r="BF1476" s="0" t="s">
        <v>130</v>
      </c>
      <c r="BG1476" s="0" t="s">
        <v>130</v>
      </c>
      <c r="BH1476" s="0" t="s">
        <v>130</v>
      </c>
      <c r="BI1476" s="0" t="s">
        <v>130</v>
      </c>
      <c r="BJ1476" s="0" t="s">
        <v>130</v>
      </c>
      <c r="BK1476" s="0" t="s">
        <v>130</v>
      </c>
      <c r="BL1476" s="0" t="s">
        <v>130</v>
      </c>
      <c r="BM1476" s="0" t="s">
        <v>130</v>
      </c>
      <c r="BN1476" s="0" t="s">
        <v>130</v>
      </c>
      <c r="BO1476" s="0" t="s">
        <v>130</v>
      </c>
      <c r="BP1476" s="0" t="s">
        <v>130</v>
      </c>
      <c r="BQ1476" s="0" t="s">
        <v>130</v>
      </c>
      <c r="BR1476" s="0" t="s">
        <v>130</v>
      </c>
      <c r="BS1476" s="0" t="s">
        <v>130</v>
      </c>
      <c r="BT1476" s="0" t="s">
        <v>130</v>
      </c>
      <c r="BU1476" s="0" t="s">
        <v>130</v>
      </c>
      <c r="BV1476" s="0" t="s">
        <v>130</v>
      </c>
      <c r="BW1476" s="0" t="s">
        <v>130</v>
      </c>
      <c r="BX1476" s="0" t="s">
        <v>130</v>
      </c>
      <c r="BY1476" s="0" t="s">
        <v>130</v>
      </c>
      <c r="BZ1476" s="0" t="s">
        <v>130</v>
      </c>
      <c r="CA1476" s="0" t="s">
        <v>130</v>
      </c>
      <c r="CB1476" s="0" t="s">
        <v>130</v>
      </c>
      <c r="CC1476" s="0" t="s">
        <v>130</v>
      </c>
      <c r="CD1476" s="0" t="s">
        <v>130</v>
      </c>
      <c r="CE1476" s="0" t="s">
        <v>130</v>
      </c>
      <c r="CF1476" s="0" t="s">
        <v>130</v>
      </c>
      <c r="CG1476" s="0" t="s">
        <v>130</v>
      </c>
      <c r="CH1476" s="0" t="s">
        <v>130</v>
      </c>
      <c r="CI1476" s="0" t="s">
        <v>130</v>
      </c>
      <c r="CJ1476" s="0" t="s">
        <v>130</v>
      </c>
      <c r="CK1476" s="0" t="s">
        <v>130</v>
      </c>
      <c r="CL1476" s="0" t="s">
        <v>130</v>
      </c>
      <c r="CM1476" s="0" t="s">
        <v>130</v>
      </c>
      <c r="CN1476" s="0" t="s">
        <v>130</v>
      </c>
      <c r="CO1476" s="0" t="s">
        <v>130</v>
      </c>
      <c r="CP1476" s="0" t="s">
        <v>130</v>
      </c>
      <c r="CQ1476" s="0" t="s">
        <v>130</v>
      </c>
      <c r="CR1476" s="0" t="s">
        <v>130</v>
      </c>
      <c r="CS1476" s="0" t="s">
        <v>130</v>
      </c>
      <c r="CT1476" s="0" t="s">
        <v>4281</v>
      </c>
    </row>
    <row r="1477">
      <c r="A1477" s="14">
        <v>16857643</v>
      </c>
      <c r="B1477" s="0" t="s">
        <v>4271</v>
      </c>
      <c r="C1477" s="16">
        <f>HYPERLINK("https://eosportal.federatedhermes.com/companies/Q29tcGFueQppNzgyNzY=", "Alibaba Group Holding Ltd")</f>
      </c>
      <c r="D1477" s="0" t="s">
        <v>25</v>
      </c>
      <c r="E1477" s="0" t="s">
        <v>4282</v>
      </c>
      <c r="F1477" s="16">
        <f>HYPERLINK("https://eosportal.federatedhermes.com/engagements/RW5nYWdlbWVudAppMjgyODM=", "Human rights practices")</f>
      </c>
      <c r="G1477" s="14" t="s">
        <v>4283</v>
      </c>
      <c r="H1477" s="0" t="s">
        <v>141</v>
      </c>
      <c r="I1477" s="14" t="s">
        <v>1645</v>
      </c>
      <c r="J1477" s="0" t="s">
        <v>153</v>
      </c>
      <c r="K1477" s="0" t="s">
        <v>243</v>
      </c>
      <c r="L1477" s="0" t="s">
        <v>244</v>
      </c>
      <c r="M1477" s="0" t="s">
        <v>802</v>
      </c>
      <c r="N1477" s="0" t="s">
        <v>803</v>
      </c>
      <c r="O1477" s="0" t="s">
        <v>643</v>
      </c>
      <c r="Q1477" s="0" t="s">
        <v>130</v>
      </c>
      <c r="R1477" s="0" t="s">
        <v>138</v>
      </c>
      <c r="S1477" s="14">
        <v>0</v>
      </c>
      <c r="T1477" s="0" t="s">
        <v>416</v>
      </c>
      <c r="U1477" s="0" t="s">
        <v>138</v>
      </c>
      <c r="V1477" s="14" t="s">
        <v>138</v>
      </c>
      <c r="W1477" s="0" t="s">
        <v>138</v>
      </c>
      <c r="X1477" s="14" t="s">
        <v>138</v>
      </c>
      <c r="Y1477" s="0" t="s">
        <v>138</v>
      </c>
      <c r="Z1477" s="14" t="s">
        <v>138</v>
      </c>
      <c r="AA1477" s="0" t="s">
        <v>138</v>
      </c>
      <c r="AB1477" s="14" t="s">
        <v>138</v>
      </c>
      <c r="AD1477" s="0" t="s">
        <v>138</v>
      </c>
      <c r="AF1477" s="0">
        <v>0</v>
      </c>
      <c r="AG1477" s="0">
        <v>0</v>
      </c>
      <c r="AH1477" s="0" t="s">
        <v>140</v>
      </c>
      <c r="AI1477" s="0" t="s">
        <v>138</v>
      </c>
      <c r="AL1477" s="14"/>
      <c r="AN1477" s="14"/>
      <c r="AQ1477" s="0" t="s">
        <v>130</v>
      </c>
      <c r="AR1477" s="0" t="s">
        <v>130</v>
      </c>
      <c r="AS1477" s="0" t="s">
        <v>130</v>
      </c>
      <c r="AT1477" s="0" t="s">
        <v>130</v>
      </c>
      <c r="AU1477" s="0" t="s">
        <v>130</v>
      </c>
      <c r="AV1477" s="0" t="s">
        <v>130</v>
      </c>
      <c r="AW1477" s="0" t="s">
        <v>130</v>
      </c>
      <c r="AX1477" s="0" t="s">
        <v>141</v>
      </c>
      <c r="AY1477" s="0" t="s">
        <v>130</v>
      </c>
      <c r="AZ1477" s="0" t="s">
        <v>130</v>
      </c>
      <c r="BA1477" s="0" t="s">
        <v>130</v>
      </c>
      <c r="BB1477" s="0" t="s">
        <v>130</v>
      </c>
      <c r="BC1477" s="0" t="s">
        <v>130</v>
      </c>
      <c r="BD1477" s="0" t="s">
        <v>130</v>
      </c>
      <c r="BE1477" s="0" t="s">
        <v>130</v>
      </c>
      <c r="BF1477" s="0" t="s">
        <v>130</v>
      </c>
      <c r="BG1477" s="0" t="s">
        <v>130</v>
      </c>
      <c r="BH1477" s="0" t="s">
        <v>130</v>
      </c>
      <c r="BI1477" s="0" t="s">
        <v>130</v>
      </c>
      <c r="BJ1477" s="0" t="s">
        <v>130</v>
      </c>
      <c r="BK1477" s="0" t="s">
        <v>130</v>
      </c>
      <c r="BL1477" s="0" t="s">
        <v>130</v>
      </c>
      <c r="BM1477" s="0" t="s">
        <v>130</v>
      </c>
      <c r="BN1477" s="0" t="s">
        <v>130</v>
      </c>
      <c r="BO1477" s="0" t="s">
        <v>130</v>
      </c>
      <c r="BP1477" s="0" t="s">
        <v>130</v>
      </c>
      <c r="BQ1477" s="0" t="s">
        <v>130</v>
      </c>
      <c r="BR1477" s="0" t="s">
        <v>130</v>
      </c>
      <c r="BS1477" s="0" t="s">
        <v>130</v>
      </c>
      <c r="BT1477" s="0" t="s">
        <v>130</v>
      </c>
      <c r="BU1477" s="0" t="s">
        <v>130</v>
      </c>
      <c r="BV1477" s="0" t="s">
        <v>130</v>
      </c>
      <c r="BW1477" s="0" t="s">
        <v>130</v>
      </c>
      <c r="BX1477" s="0" t="s">
        <v>130</v>
      </c>
      <c r="BY1477" s="0" t="s">
        <v>130</v>
      </c>
      <c r="BZ1477" s="0" t="s">
        <v>130</v>
      </c>
      <c r="CA1477" s="0" t="s">
        <v>130</v>
      </c>
      <c r="CB1477" s="0" t="s">
        <v>130</v>
      </c>
      <c r="CC1477" s="0" t="s">
        <v>130</v>
      </c>
      <c r="CD1477" s="0" t="s">
        <v>130</v>
      </c>
      <c r="CE1477" s="0" t="s">
        <v>130</v>
      </c>
      <c r="CF1477" s="0" t="s">
        <v>130</v>
      </c>
      <c r="CG1477" s="0" t="s">
        <v>130</v>
      </c>
      <c r="CH1477" s="0" t="s">
        <v>130</v>
      </c>
      <c r="CI1477" s="0" t="s">
        <v>130</v>
      </c>
      <c r="CJ1477" s="0" t="s">
        <v>130</v>
      </c>
      <c r="CK1477" s="0" t="s">
        <v>130</v>
      </c>
      <c r="CL1477" s="0" t="s">
        <v>130</v>
      </c>
      <c r="CM1477" s="0" t="s">
        <v>130</v>
      </c>
      <c r="CN1477" s="0" t="s">
        <v>130</v>
      </c>
      <c r="CO1477" s="0" t="s">
        <v>130</v>
      </c>
      <c r="CP1477" s="0" t="s">
        <v>130</v>
      </c>
      <c r="CQ1477" s="0" t="s">
        <v>130</v>
      </c>
      <c r="CR1477" s="0" t="s">
        <v>130</v>
      </c>
      <c r="CS1477" s="0" t="s">
        <v>130</v>
      </c>
      <c r="CT1477" s="0" t="s">
        <v>4284</v>
      </c>
    </row>
    <row r="1478">
      <c r="A1478" s="14">
        <v>16857643</v>
      </c>
      <c r="B1478" s="0" t="s">
        <v>4271</v>
      </c>
      <c r="C1478" s="16">
        <f>HYPERLINK("https://eosportal.federatedhermes.com/companies/Q29tcGFueQppNzgyNzY=", "Alibaba Group Holding Ltd")</f>
      </c>
      <c r="D1478" s="0" t="s">
        <v>25</v>
      </c>
      <c r="E1478" s="0" t="s">
        <v>4285</v>
      </c>
      <c r="F1478" s="16">
        <f>HYPERLINK("https://eosportal.federatedhermes.com/engagements/RW5nYWdlbWVudAppMjgyODQ=", "Accounting practices")</f>
      </c>
      <c r="G1478" s="14" t="s">
        <v>4286</v>
      </c>
      <c r="H1478" s="0" t="s">
        <v>141</v>
      </c>
      <c r="I1478" s="14" t="s">
        <v>1645</v>
      </c>
      <c r="J1478" s="0" t="s">
        <v>132</v>
      </c>
      <c r="K1478" s="0" t="s">
        <v>170</v>
      </c>
      <c r="L1478" s="0" t="s">
        <v>310</v>
      </c>
      <c r="M1478" s="0" t="s">
        <v>802</v>
      </c>
      <c r="N1478" s="0" t="s">
        <v>803</v>
      </c>
      <c r="O1478" s="0" t="s">
        <v>643</v>
      </c>
      <c r="Q1478" s="0" t="s">
        <v>130</v>
      </c>
      <c r="R1478" s="0" t="s">
        <v>138</v>
      </c>
      <c r="S1478" s="14">
        <v>0</v>
      </c>
      <c r="T1478" s="0" t="s">
        <v>416</v>
      </c>
      <c r="U1478" s="0" t="s">
        <v>138</v>
      </c>
      <c r="V1478" s="14" t="s">
        <v>138</v>
      </c>
      <c r="W1478" s="0" t="s">
        <v>138</v>
      </c>
      <c r="X1478" s="14" t="s">
        <v>138</v>
      </c>
      <c r="Y1478" s="0" t="s">
        <v>138</v>
      </c>
      <c r="Z1478" s="14" t="s">
        <v>138</v>
      </c>
      <c r="AA1478" s="0" t="s">
        <v>138</v>
      </c>
      <c r="AB1478" s="14" t="s">
        <v>138</v>
      </c>
      <c r="AD1478" s="0" t="s">
        <v>138</v>
      </c>
      <c r="AF1478" s="0">
        <v>0</v>
      </c>
      <c r="AG1478" s="0">
        <v>0</v>
      </c>
      <c r="AH1478" s="0" t="s">
        <v>140</v>
      </c>
      <c r="AI1478" s="0" t="s">
        <v>138</v>
      </c>
      <c r="AL1478" s="14"/>
      <c r="AN1478" s="14"/>
      <c r="AQ1478" s="0" t="s">
        <v>130</v>
      </c>
      <c r="AR1478" s="0" t="s">
        <v>130</v>
      </c>
      <c r="AS1478" s="0" t="s">
        <v>130</v>
      </c>
      <c r="AT1478" s="0" t="s">
        <v>130</v>
      </c>
      <c r="AU1478" s="0" t="s">
        <v>130</v>
      </c>
      <c r="AV1478" s="0" t="s">
        <v>130</v>
      </c>
      <c r="AW1478" s="0" t="s">
        <v>130</v>
      </c>
      <c r="AX1478" s="0" t="s">
        <v>130</v>
      </c>
      <c r="AY1478" s="0" t="s">
        <v>130</v>
      </c>
      <c r="AZ1478" s="0" t="s">
        <v>130</v>
      </c>
      <c r="BA1478" s="0" t="s">
        <v>130</v>
      </c>
      <c r="BB1478" s="0" t="s">
        <v>130</v>
      </c>
      <c r="BC1478" s="0" t="s">
        <v>130</v>
      </c>
      <c r="BD1478" s="0" t="s">
        <v>130</v>
      </c>
      <c r="BE1478" s="0" t="s">
        <v>130</v>
      </c>
      <c r="BF1478" s="0" t="s">
        <v>130</v>
      </c>
      <c r="BG1478" s="0" t="s">
        <v>130</v>
      </c>
      <c r="BH1478" s="0" t="s">
        <v>130</v>
      </c>
      <c r="BI1478" s="0" t="s">
        <v>130</v>
      </c>
      <c r="BJ1478" s="0" t="s">
        <v>130</v>
      </c>
      <c r="BK1478" s="0" t="s">
        <v>130</v>
      </c>
      <c r="BL1478" s="0" t="s">
        <v>130</v>
      </c>
      <c r="BM1478" s="0" t="s">
        <v>130</v>
      </c>
      <c r="BN1478" s="0" t="s">
        <v>130</v>
      </c>
      <c r="BO1478" s="0" t="s">
        <v>130</v>
      </c>
      <c r="BP1478" s="0" t="s">
        <v>130</v>
      </c>
      <c r="BQ1478" s="0" t="s">
        <v>130</v>
      </c>
      <c r="BR1478" s="0" t="s">
        <v>130</v>
      </c>
      <c r="BS1478" s="0" t="s">
        <v>130</v>
      </c>
      <c r="BT1478" s="0" t="s">
        <v>130</v>
      </c>
      <c r="BU1478" s="0" t="s">
        <v>130</v>
      </c>
      <c r="BV1478" s="0" t="s">
        <v>130</v>
      </c>
      <c r="BW1478" s="0" t="s">
        <v>130</v>
      </c>
      <c r="BX1478" s="0" t="s">
        <v>130</v>
      </c>
      <c r="BY1478" s="0" t="s">
        <v>130</v>
      </c>
      <c r="BZ1478" s="0" t="s">
        <v>130</v>
      </c>
      <c r="CA1478" s="0" t="s">
        <v>130</v>
      </c>
      <c r="CB1478" s="0" t="s">
        <v>130</v>
      </c>
      <c r="CC1478" s="0" t="s">
        <v>130</v>
      </c>
      <c r="CD1478" s="0" t="s">
        <v>130</v>
      </c>
      <c r="CE1478" s="0" t="s">
        <v>130</v>
      </c>
      <c r="CF1478" s="0" t="s">
        <v>130</v>
      </c>
      <c r="CG1478" s="0" t="s">
        <v>130</v>
      </c>
      <c r="CH1478" s="0" t="s">
        <v>130</v>
      </c>
      <c r="CI1478" s="0" t="s">
        <v>130</v>
      </c>
      <c r="CJ1478" s="0" t="s">
        <v>130</v>
      </c>
      <c r="CK1478" s="0" t="s">
        <v>130</v>
      </c>
      <c r="CL1478" s="0" t="s">
        <v>130</v>
      </c>
      <c r="CM1478" s="0" t="s">
        <v>130</v>
      </c>
      <c r="CN1478" s="0" t="s">
        <v>130</v>
      </c>
      <c r="CO1478" s="0" t="s">
        <v>130</v>
      </c>
      <c r="CP1478" s="0" t="s">
        <v>130</v>
      </c>
      <c r="CQ1478" s="0" t="s">
        <v>130</v>
      </c>
      <c r="CR1478" s="0" t="s">
        <v>130</v>
      </c>
      <c r="CS1478" s="0" t="s">
        <v>130</v>
      </c>
      <c r="CT1478" s="0" t="s">
        <v>4287</v>
      </c>
    </row>
    <row r="1479">
      <c r="A1479" s="14">
        <v>16857643</v>
      </c>
      <c r="B1479" s="0" t="s">
        <v>4271</v>
      </c>
      <c r="C1479" s="16">
        <f>HYPERLINK("https://eosportal.federatedhermes.com/companies/Q29tcGFueQppNzgyNzY=", "Alibaba Group Holding Ltd")</f>
      </c>
      <c r="D1479" s="0" t="s">
        <v>25</v>
      </c>
      <c r="E1479" s="0" t="s">
        <v>4288</v>
      </c>
      <c r="F1479" s="16">
        <f>HYPERLINK("https://eosportal.federatedhermes.com/engagements/RW5nYWdlbWVudAppMjgyODU=", "Shareholder communication")</f>
      </c>
      <c r="G1479" s="14" t="s">
        <v>4289</v>
      </c>
      <c r="H1479" s="0" t="s">
        <v>141</v>
      </c>
      <c r="I1479" s="14" t="s">
        <v>1645</v>
      </c>
      <c r="J1479" s="0" t="s">
        <v>132</v>
      </c>
      <c r="K1479" s="0" t="s">
        <v>170</v>
      </c>
      <c r="L1479" s="0" t="s">
        <v>171</v>
      </c>
      <c r="M1479" s="0" t="s">
        <v>802</v>
      </c>
      <c r="N1479" s="0" t="s">
        <v>803</v>
      </c>
      <c r="O1479" s="0" t="s">
        <v>643</v>
      </c>
      <c r="Q1479" s="0" t="s">
        <v>130</v>
      </c>
      <c r="R1479" s="0" t="s">
        <v>138</v>
      </c>
      <c r="S1479" s="14">
        <v>0</v>
      </c>
      <c r="T1479" s="0" t="s">
        <v>390</v>
      </c>
      <c r="U1479" s="0" t="s">
        <v>138</v>
      </c>
      <c r="V1479" s="14" t="s">
        <v>138</v>
      </c>
      <c r="W1479" s="0" t="s">
        <v>138</v>
      </c>
      <c r="X1479" s="14" t="s">
        <v>138</v>
      </c>
      <c r="Y1479" s="0" t="s">
        <v>138</v>
      </c>
      <c r="Z1479" s="14" t="s">
        <v>138</v>
      </c>
      <c r="AA1479" s="0" t="s">
        <v>138</v>
      </c>
      <c r="AB1479" s="14" t="s">
        <v>138</v>
      </c>
      <c r="AD1479" s="0" t="s">
        <v>138</v>
      </c>
      <c r="AF1479" s="0">
        <v>0</v>
      </c>
      <c r="AG1479" s="0">
        <v>0</v>
      </c>
      <c r="AH1479" s="0" t="s">
        <v>140</v>
      </c>
      <c r="AI1479" s="0" t="s">
        <v>138</v>
      </c>
      <c r="AL1479" s="14"/>
      <c r="AN1479" s="14"/>
      <c r="AQ1479" s="0" t="s">
        <v>130</v>
      </c>
      <c r="AR1479" s="0" t="s">
        <v>130</v>
      </c>
      <c r="AS1479" s="0" t="s">
        <v>130</v>
      </c>
      <c r="AT1479" s="0" t="s">
        <v>130</v>
      </c>
      <c r="AU1479" s="0" t="s">
        <v>130</v>
      </c>
      <c r="AV1479" s="0" t="s">
        <v>130</v>
      </c>
      <c r="AW1479" s="0" t="s">
        <v>130</v>
      </c>
      <c r="AX1479" s="0" t="s">
        <v>130</v>
      </c>
      <c r="AY1479" s="0" t="s">
        <v>130</v>
      </c>
      <c r="AZ1479" s="0" t="s">
        <v>130</v>
      </c>
      <c r="BA1479" s="0" t="s">
        <v>130</v>
      </c>
      <c r="BB1479" s="0" t="s">
        <v>130</v>
      </c>
      <c r="BC1479" s="0" t="s">
        <v>130</v>
      </c>
      <c r="BD1479" s="0" t="s">
        <v>130</v>
      </c>
      <c r="BE1479" s="0" t="s">
        <v>130</v>
      </c>
      <c r="BF1479" s="0" t="s">
        <v>130</v>
      </c>
      <c r="BG1479" s="0" t="s">
        <v>130</v>
      </c>
      <c r="BH1479" s="0" t="s">
        <v>130</v>
      </c>
      <c r="BI1479" s="0" t="s">
        <v>130</v>
      </c>
      <c r="BJ1479" s="0" t="s">
        <v>130</v>
      </c>
      <c r="BK1479" s="0" t="s">
        <v>130</v>
      </c>
      <c r="BL1479" s="0" t="s">
        <v>130</v>
      </c>
      <c r="BM1479" s="0" t="s">
        <v>130</v>
      </c>
      <c r="BN1479" s="0" t="s">
        <v>130</v>
      </c>
      <c r="BO1479" s="0" t="s">
        <v>130</v>
      </c>
      <c r="BP1479" s="0" t="s">
        <v>130</v>
      </c>
      <c r="BQ1479" s="0" t="s">
        <v>130</v>
      </c>
      <c r="BR1479" s="0" t="s">
        <v>130</v>
      </c>
      <c r="BS1479" s="0" t="s">
        <v>130</v>
      </c>
      <c r="BT1479" s="0" t="s">
        <v>130</v>
      </c>
      <c r="BU1479" s="0" t="s">
        <v>130</v>
      </c>
      <c r="BV1479" s="0" t="s">
        <v>130</v>
      </c>
      <c r="BW1479" s="0" t="s">
        <v>130</v>
      </c>
      <c r="BX1479" s="0" t="s">
        <v>130</v>
      </c>
      <c r="BY1479" s="0" t="s">
        <v>130</v>
      </c>
      <c r="BZ1479" s="0" t="s">
        <v>130</v>
      </c>
      <c r="CA1479" s="0" t="s">
        <v>130</v>
      </c>
      <c r="CB1479" s="0" t="s">
        <v>130</v>
      </c>
      <c r="CC1479" s="0" t="s">
        <v>130</v>
      </c>
      <c r="CD1479" s="0" t="s">
        <v>130</v>
      </c>
      <c r="CE1479" s="0" t="s">
        <v>130</v>
      </c>
      <c r="CF1479" s="0" t="s">
        <v>130</v>
      </c>
      <c r="CG1479" s="0" t="s">
        <v>130</v>
      </c>
      <c r="CH1479" s="0" t="s">
        <v>130</v>
      </c>
      <c r="CI1479" s="0" t="s">
        <v>130</v>
      </c>
      <c r="CJ1479" s="0" t="s">
        <v>130</v>
      </c>
      <c r="CK1479" s="0" t="s">
        <v>130</v>
      </c>
      <c r="CL1479" s="0" t="s">
        <v>130</v>
      </c>
      <c r="CM1479" s="0" t="s">
        <v>130</v>
      </c>
      <c r="CN1479" s="0" t="s">
        <v>130</v>
      </c>
      <c r="CO1479" s="0" t="s">
        <v>130</v>
      </c>
      <c r="CP1479" s="0" t="s">
        <v>130</v>
      </c>
      <c r="CQ1479" s="0" t="s">
        <v>130</v>
      </c>
      <c r="CR1479" s="0" t="s">
        <v>130</v>
      </c>
      <c r="CS1479" s="0" t="s">
        <v>130</v>
      </c>
      <c r="CT1479" s="0" t="s">
        <v>4290</v>
      </c>
    </row>
    <row r="1480">
      <c r="A1480" s="14">
        <v>16857643</v>
      </c>
      <c r="B1480" s="0" t="s">
        <v>4271</v>
      </c>
      <c r="C1480" s="16">
        <f>HYPERLINK("https://eosportal.federatedhermes.com/companies/Q29tcGFueQppNzgyNzY=", "Alibaba Group Holding Ltd")</f>
      </c>
      <c r="D1480" s="0" t="s">
        <v>25</v>
      </c>
      <c r="E1480" s="0" t="s">
        <v>4291</v>
      </c>
      <c r="F1480" s="16">
        <f>HYPERLINK("https://eosportal.federatedhermes.com/engagements/RW5nYWdlbWVudAppMjgyOTg=", "Customer data privacy regarding epayments and sale of wealth management products")</f>
      </c>
      <c r="G1480" s="14" t="s">
        <v>4292</v>
      </c>
      <c r="H1480" s="0" t="s">
        <v>141</v>
      </c>
      <c r="I1480" s="14" t="s">
        <v>1645</v>
      </c>
      <c r="J1480" s="0" t="s">
        <v>153</v>
      </c>
      <c r="K1480" s="0" t="s">
        <v>185</v>
      </c>
      <c r="L1480" s="0" t="s">
        <v>186</v>
      </c>
      <c r="M1480" s="0" t="s">
        <v>802</v>
      </c>
      <c r="N1480" s="0" t="s">
        <v>803</v>
      </c>
      <c r="O1480" s="0" t="s">
        <v>643</v>
      </c>
      <c r="Q1480" s="0" t="s">
        <v>130</v>
      </c>
      <c r="R1480" s="0" t="s">
        <v>138</v>
      </c>
      <c r="S1480" s="14">
        <v>0</v>
      </c>
      <c r="T1480" s="0" t="s">
        <v>343</v>
      </c>
      <c r="U1480" s="0" t="s">
        <v>138</v>
      </c>
      <c r="V1480" s="14" t="s">
        <v>138</v>
      </c>
      <c r="W1480" s="0" t="s">
        <v>138</v>
      </c>
      <c r="X1480" s="14" t="s">
        <v>138</v>
      </c>
      <c r="Y1480" s="0" t="s">
        <v>138</v>
      </c>
      <c r="Z1480" s="14" t="s">
        <v>138</v>
      </c>
      <c r="AA1480" s="0" t="s">
        <v>138</v>
      </c>
      <c r="AB1480" s="14" t="s">
        <v>138</v>
      </c>
      <c r="AD1480" s="0" t="s">
        <v>138</v>
      </c>
      <c r="AF1480" s="0">
        <v>0</v>
      </c>
      <c r="AG1480" s="0">
        <v>0</v>
      </c>
      <c r="AH1480" s="0" t="s">
        <v>140</v>
      </c>
      <c r="AI1480" s="0" t="s">
        <v>138</v>
      </c>
      <c r="AL1480" s="14"/>
      <c r="AN1480" s="14"/>
      <c r="AQ1480" s="0" t="s">
        <v>130</v>
      </c>
      <c r="AR1480" s="0" t="s">
        <v>130</v>
      </c>
      <c r="AS1480" s="0" t="s">
        <v>130</v>
      </c>
      <c r="AT1480" s="0" t="s">
        <v>130</v>
      </c>
      <c r="AU1480" s="0" t="s">
        <v>130</v>
      </c>
      <c r="AV1480" s="0" t="s">
        <v>130</v>
      </c>
      <c r="AW1480" s="0" t="s">
        <v>130</v>
      </c>
      <c r="AX1480" s="0" t="s">
        <v>130</v>
      </c>
      <c r="AY1480" s="0" t="s">
        <v>130</v>
      </c>
      <c r="AZ1480" s="0" t="s">
        <v>130</v>
      </c>
      <c r="BA1480" s="0" t="s">
        <v>130</v>
      </c>
      <c r="BB1480" s="0" t="s">
        <v>130</v>
      </c>
      <c r="BC1480" s="0" t="s">
        <v>130</v>
      </c>
      <c r="BD1480" s="0" t="s">
        <v>130</v>
      </c>
      <c r="BE1480" s="0" t="s">
        <v>130</v>
      </c>
      <c r="BF1480" s="0" t="s">
        <v>130</v>
      </c>
      <c r="BG1480" s="0" t="s">
        <v>130</v>
      </c>
      <c r="BH1480" s="0" t="s">
        <v>130</v>
      </c>
      <c r="BI1480" s="0" t="s">
        <v>130</v>
      </c>
      <c r="BJ1480" s="0" t="s">
        <v>130</v>
      </c>
      <c r="BK1480" s="0" t="s">
        <v>130</v>
      </c>
      <c r="BL1480" s="0" t="s">
        <v>130</v>
      </c>
      <c r="BM1480" s="0" t="s">
        <v>130</v>
      </c>
      <c r="BN1480" s="0" t="s">
        <v>130</v>
      </c>
      <c r="BO1480" s="0" t="s">
        <v>130</v>
      </c>
      <c r="BP1480" s="0" t="s">
        <v>130</v>
      </c>
      <c r="BQ1480" s="0" t="s">
        <v>130</v>
      </c>
      <c r="BR1480" s="0" t="s">
        <v>130</v>
      </c>
      <c r="BS1480" s="0" t="s">
        <v>130</v>
      </c>
      <c r="BT1480" s="0" t="s">
        <v>130</v>
      </c>
      <c r="BU1480" s="0" t="s">
        <v>130</v>
      </c>
      <c r="BV1480" s="0" t="s">
        <v>130</v>
      </c>
      <c r="BW1480" s="0" t="s">
        <v>130</v>
      </c>
      <c r="BX1480" s="0" t="s">
        <v>130</v>
      </c>
      <c r="BY1480" s="0" t="s">
        <v>130</v>
      </c>
      <c r="BZ1480" s="0" t="s">
        <v>130</v>
      </c>
      <c r="CA1480" s="0" t="s">
        <v>130</v>
      </c>
      <c r="CB1480" s="0" t="s">
        <v>130</v>
      </c>
      <c r="CC1480" s="0" t="s">
        <v>130</v>
      </c>
      <c r="CD1480" s="0" t="s">
        <v>130</v>
      </c>
      <c r="CE1480" s="0" t="s">
        <v>130</v>
      </c>
      <c r="CF1480" s="0" t="s">
        <v>130</v>
      </c>
      <c r="CG1480" s="0" t="s">
        <v>130</v>
      </c>
      <c r="CH1480" s="0" t="s">
        <v>130</v>
      </c>
      <c r="CI1480" s="0" t="s">
        <v>130</v>
      </c>
      <c r="CJ1480" s="0" t="s">
        <v>130</v>
      </c>
      <c r="CK1480" s="0" t="s">
        <v>130</v>
      </c>
      <c r="CL1480" s="0" t="s">
        <v>130</v>
      </c>
      <c r="CM1480" s="0" t="s">
        <v>130</v>
      </c>
      <c r="CN1480" s="0" t="s">
        <v>130</v>
      </c>
      <c r="CO1480" s="0" t="s">
        <v>130</v>
      </c>
      <c r="CP1480" s="0" t="s">
        <v>130</v>
      </c>
      <c r="CQ1480" s="0" t="s">
        <v>130</v>
      </c>
      <c r="CR1480" s="0" t="s">
        <v>130</v>
      </c>
      <c r="CS1480" s="0" t="s">
        <v>130</v>
      </c>
      <c r="CT1480" s="0" t="s">
        <v>4293</v>
      </c>
    </row>
    <row r="1481">
      <c r="A1481" s="14">
        <v>16857643</v>
      </c>
      <c r="B1481" s="0" t="s">
        <v>4271</v>
      </c>
      <c r="C1481" s="16">
        <f>HYPERLINK("https://eosportal.federatedhermes.com/companies/Q29tcGFueQppNzgyNzY=", "Alibaba Group Holding Ltd")</f>
      </c>
      <c r="D1481" s="0" t="s">
        <v>25</v>
      </c>
      <c r="E1481" s="0" t="s">
        <v>330</v>
      </c>
      <c r="F1481" s="16">
        <f>HYPERLINK("https://eosportal.federatedhermes.com/engagements/RW5nYWdlbWVudAppMjgyOTk=", "Science-based Target Setting")</f>
      </c>
      <c r="G1481" s="14" t="s">
        <v>687</v>
      </c>
      <c r="H1481" s="0" t="s">
        <v>141</v>
      </c>
      <c r="I1481" s="14" t="s">
        <v>1645</v>
      </c>
      <c r="J1481" s="0" t="s">
        <v>197</v>
      </c>
      <c r="K1481" s="0" t="s">
        <v>198</v>
      </c>
      <c r="L1481" s="0" t="s">
        <v>216</v>
      </c>
      <c r="M1481" s="0" t="s">
        <v>802</v>
      </c>
      <c r="N1481" s="0" t="s">
        <v>803</v>
      </c>
      <c r="O1481" s="0" t="s">
        <v>643</v>
      </c>
      <c r="Q1481" s="0" t="s">
        <v>141</v>
      </c>
      <c r="R1481" s="0" t="s">
        <v>138</v>
      </c>
      <c r="S1481" s="14">
        <v>1</v>
      </c>
      <c r="T1481" s="0" t="s">
        <v>288</v>
      </c>
      <c r="U1481" s="0" t="s">
        <v>138</v>
      </c>
      <c r="V1481" s="14" t="s">
        <v>138</v>
      </c>
      <c r="W1481" s="0" t="s">
        <v>138</v>
      </c>
      <c r="X1481" s="14" t="s">
        <v>138</v>
      </c>
      <c r="Y1481" s="0" t="s">
        <v>138</v>
      </c>
      <c r="Z1481" s="14" t="s">
        <v>138</v>
      </c>
      <c r="AA1481" s="0" t="s">
        <v>138</v>
      </c>
      <c r="AB1481" s="14" t="s">
        <v>138</v>
      </c>
      <c r="AD1481" s="0" t="s">
        <v>138</v>
      </c>
      <c r="AF1481" s="0">
        <v>0</v>
      </c>
      <c r="AG1481" s="0">
        <v>0</v>
      </c>
      <c r="AH1481" s="0" t="s">
        <v>140</v>
      </c>
      <c r="AI1481" s="0" t="s">
        <v>138</v>
      </c>
      <c r="AK1481" s="0" t="s">
        <v>675</v>
      </c>
      <c r="AL1481" s="14"/>
      <c r="AN1481" s="14"/>
      <c r="AQ1481" s="0" t="s">
        <v>130</v>
      </c>
      <c r="AR1481" s="0" t="s">
        <v>130</v>
      </c>
      <c r="AS1481" s="0" t="s">
        <v>130</v>
      </c>
      <c r="AT1481" s="0" t="s">
        <v>130</v>
      </c>
      <c r="AU1481" s="0" t="s">
        <v>130</v>
      </c>
      <c r="AV1481" s="0" t="s">
        <v>130</v>
      </c>
      <c r="AW1481" s="0" t="s">
        <v>141</v>
      </c>
      <c r="AX1481" s="0" t="s">
        <v>130</v>
      </c>
      <c r="AY1481" s="0" t="s">
        <v>130</v>
      </c>
      <c r="AZ1481" s="0" t="s">
        <v>130</v>
      </c>
      <c r="BA1481" s="0" t="s">
        <v>130</v>
      </c>
      <c r="BB1481" s="0" t="s">
        <v>130</v>
      </c>
      <c r="BC1481" s="0" t="s">
        <v>141</v>
      </c>
      <c r="BD1481" s="0" t="s">
        <v>130</v>
      </c>
      <c r="BE1481" s="0" t="s">
        <v>130</v>
      </c>
      <c r="BF1481" s="0" t="s">
        <v>130</v>
      </c>
      <c r="BG1481" s="0" t="s">
        <v>130</v>
      </c>
      <c r="BH1481" s="0" t="s">
        <v>141</v>
      </c>
      <c r="BI1481" s="0" t="s">
        <v>141</v>
      </c>
      <c r="BJ1481" s="0" t="s">
        <v>141</v>
      </c>
      <c r="BK1481" s="0" t="s">
        <v>130</v>
      </c>
      <c r="BL1481" s="0" t="s">
        <v>130</v>
      </c>
      <c r="BM1481" s="0" t="s">
        <v>130</v>
      </c>
      <c r="BN1481" s="0" t="s">
        <v>130</v>
      </c>
      <c r="BO1481" s="0" t="s">
        <v>130</v>
      </c>
      <c r="BP1481" s="0" t="s">
        <v>130</v>
      </c>
      <c r="BQ1481" s="0" t="s">
        <v>130</v>
      </c>
      <c r="BR1481" s="0" t="s">
        <v>130</v>
      </c>
      <c r="BS1481" s="0" t="s">
        <v>130</v>
      </c>
      <c r="BT1481" s="0" t="s">
        <v>130</v>
      </c>
      <c r="BU1481" s="0" t="s">
        <v>130</v>
      </c>
      <c r="BV1481" s="0" t="s">
        <v>141</v>
      </c>
      <c r="BW1481" s="0" t="s">
        <v>141</v>
      </c>
      <c r="BX1481" s="0" t="s">
        <v>130</v>
      </c>
      <c r="BY1481" s="0" t="s">
        <v>130</v>
      </c>
      <c r="BZ1481" s="0" t="s">
        <v>130</v>
      </c>
      <c r="CA1481" s="0" t="s">
        <v>130</v>
      </c>
      <c r="CB1481" s="0" t="s">
        <v>130</v>
      </c>
      <c r="CC1481" s="0" t="s">
        <v>130</v>
      </c>
      <c r="CD1481" s="0" t="s">
        <v>130</v>
      </c>
      <c r="CE1481" s="0" t="s">
        <v>130</v>
      </c>
      <c r="CF1481" s="0" t="s">
        <v>130</v>
      </c>
      <c r="CG1481" s="0" t="s">
        <v>130</v>
      </c>
      <c r="CH1481" s="0" t="s">
        <v>130</v>
      </c>
      <c r="CI1481" s="0" t="s">
        <v>130</v>
      </c>
      <c r="CJ1481" s="0" t="s">
        <v>130</v>
      </c>
      <c r="CK1481" s="0" t="s">
        <v>130</v>
      </c>
      <c r="CL1481" s="0" t="s">
        <v>130</v>
      </c>
      <c r="CM1481" s="0" t="s">
        <v>130</v>
      </c>
      <c r="CN1481" s="0" t="s">
        <v>130</v>
      </c>
      <c r="CO1481" s="0" t="s">
        <v>130</v>
      </c>
      <c r="CP1481" s="0" t="s">
        <v>130</v>
      </c>
      <c r="CQ1481" s="0" t="s">
        <v>130</v>
      </c>
      <c r="CR1481" s="0" t="s">
        <v>130</v>
      </c>
      <c r="CS1481" s="0" t="s">
        <v>130</v>
      </c>
      <c r="CT1481" s="0" t="s">
        <v>4294</v>
      </c>
    </row>
    <row r="1482">
      <c r="A1482" s="14">
        <v>16857643</v>
      </c>
      <c r="B1482" s="0" t="s">
        <v>4271</v>
      </c>
      <c r="C1482" s="16">
        <f>HYPERLINK("https://eosportal.federatedhermes.com/companies/Q29tcGFueQppNzgyNzY=", "Alibaba Group Holding Ltd")</f>
      </c>
      <c r="D1482" s="0" t="s">
        <v>25</v>
      </c>
      <c r="E1482" s="0" t="s">
        <v>3711</v>
      </c>
      <c r="F1482" s="16">
        <f>HYPERLINK("https://eosportal.federatedhermes.com/engagements/RW5nYWdlbWVudAppMjgzMDA=", "Controversy linked to General OECD Issue - Anti Competitive Practices")</f>
      </c>
      <c r="G1482" s="14" t="s">
        <v>4295</v>
      </c>
      <c r="H1482" s="0" t="s">
        <v>141</v>
      </c>
      <c r="I1482" s="14" t="s">
        <v>1645</v>
      </c>
      <c r="J1482" s="0" t="s">
        <v>132</v>
      </c>
      <c r="K1482" s="0" t="s">
        <v>133</v>
      </c>
      <c r="L1482" s="0" t="s">
        <v>160</v>
      </c>
      <c r="M1482" s="0" t="s">
        <v>802</v>
      </c>
      <c r="N1482" s="0" t="s">
        <v>803</v>
      </c>
      <c r="O1482" s="0" t="s">
        <v>643</v>
      </c>
      <c r="Q1482" s="0" t="s">
        <v>130</v>
      </c>
      <c r="R1482" s="0" t="s">
        <v>138</v>
      </c>
      <c r="S1482" s="14">
        <v>0</v>
      </c>
      <c r="T1482" s="0" t="s">
        <v>206</v>
      </c>
      <c r="U1482" s="0" t="s">
        <v>138</v>
      </c>
      <c r="V1482" s="14" t="s">
        <v>138</v>
      </c>
      <c r="W1482" s="0" t="s">
        <v>138</v>
      </c>
      <c r="X1482" s="14" t="s">
        <v>138</v>
      </c>
      <c r="Y1482" s="0" t="s">
        <v>138</v>
      </c>
      <c r="Z1482" s="14" t="s">
        <v>138</v>
      </c>
      <c r="AA1482" s="0" t="s">
        <v>138</v>
      </c>
      <c r="AB1482" s="14" t="s">
        <v>138</v>
      </c>
      <c r="AD1482" s="0" t="s">
        <v>138</v>
      </c>
      <c r="AF1482" s="0">
        <v>0</v>
      </c>
      <c r="AG1482" s="0">
        <v>0</v>
      </c>
      <c r="AH1482" s="0" t="s">
        <v>140</v>
      </c>
      <c r="AI1482" s="0" t="s">
        <v>138</v>
      </c>
      <c r="AL1482" s="14"/>
      <c r="AN1482" s="14"/>
      <c r="AQ1482" s="0" t="s">
        <v>130</v>
      </c>
      <c r="AR1482" s="0" t="s">
        <v>130</v>
      </c>
      <c r="AS1482" s="0" t="s">
        <v>130</v>
      </c>
      <c r="AT1482" s="0" t="s">
        <v>130</v>
      </c>
      <c r="AU1482" s="0" t="s">
        <v>130</v>
      </c>
      <c r="AV1482" s="0" t="s">
        <v>130</v>
      </c>
      <c r="AW1482" s="0" t="s">
        <v>130</v>
      </c>
      <c r="AX1482" s="0" t="s">
        <v>130</v>
      </c>
      <c r="AY1482" s="0" t="s">
        <v>130</v>
      </c>
      <c r="AZ1482" s="0" t="s">
        <v>130</v>
      </c>
      <c r="BA1482" s="0" t="s">
        <v>130</v>
      </c>
      <c r="BB1482" s="0" t="s">
        <v>130</v>
      </c>
      <c r="BC1482" s="0" t="s">
        <v>130</v>
      </c>
      <c r="BD1482" s="0" t="s">
        <v>130</v>
      </c>
      <c r="BE1482" s="0" t="s">
        <v>130</v>
      </c>
      <c r="BF1482" s="0" t="s">
        <v>130</v>
      </c>
      <c r="BG1482" s="0" t="s">
        <v>130</v>
      </c>
      <c r="BH1482" s="0" t="s">
        <v>130</v>
      </c>
      <c r="BI1482" s="0" t="s">
        <v>130</v>
      </c>
      <c r="BJ1482" s="0" t="s">
        <v>130</v>
      </c>
      <c r="BK1482" s="0" t="s">
        <v>130</v>
      </c>
      <c r="BL1482" s="0" t="s">
        <v>130</v>
      </c>
      <c r="BM1482" s="0" t="s">
        <v>130</v>
      </c>
      <c r="BN1482" s="0" t="s">
        <v>130</v>
      </c>
      <c r="BO1482" s="0" t="s">
        <v>130</v>
      </c>
      <c r="BP1482" s="0" t="s">
        <v>141</v>
      </c>
      <c r="BQ1482" s="0" t="s">
        <v>130</v>
      </c>
      <c r="BR1482" s="0" t="s">
        <v>130</v>
      </c>
      <c r="BS1482" s="0" t="s">
        <v>130</v>
      </c>
      <c r="BT1482" s="0" t="s">
        <v>130</v>
      </c>
      <c r="BU1482" s="0" t="s">
        <v>130</v>
      </c>
      <c r="BV1482" s="0" t="s">
        <v>130</v>
      </c>
      <c r="BW1482" s="0" t="s">
        <v>130</v>
      </c>
      <c r="BX1482" s="0" t="s">
        <v>130</v>
      </c>
      <c r="BY1482" s="0" t="s">
        <v>130</v>
      </c>
      <c r="BZ1482" s="0" t="s">
        <v>130</v>
      </c>
      <c r="CA1482" s="0" t="s">
        <v>130</v>
      </c>
      <c r="CB1482" s="0" t="s">
        <v>130</v>
      </c>
      <c r="CC1482" s="0" t="s">
        <v>130</v>
      </c>
      <c r="CD1482" s="0" t="s">
        <v>130</v>
      </c>
      <c r="CE1482" s="0" t="s">
        <v>130</v>
      </c>
      <c r="CF1482" s="0" t="s">
        <v>130</v>
      </c>
      <c r="CG1482" s="0" t="s">
        <v>130</v>
      </c>
      <c r="CH1482" s="0" t="s">
        <v>130</v>
      </c>
      <c r="CI1482" s="0" t="s">
        <v>130</v>
      </c>
      <c r="CJ1482" s="0" t="s">
        <v>130</v>
      </c>
      <c r="CK1482" s="0" t="s">
        <v>130</v>
      </c>
      <c r="CL1482" s="0" t="s">
        <v>130</v>
      </c>
      <c r="CM1482" s="0" t="s">
        <v>130</v>
      </c>
      <c r="CN1482" s="0" t="s">
        <v>130</v>
      </c>
      <c r="CO1482" s="0" t="s">
        <v>130</v>
      </c>
      <c r="CP1482" s="0" t="s">
        <v>130</v>
      </c>
      <c r="CQ1482" s="0" t="s">
        <v>130</v>
      </c>
      <c r="CR1482" s="0" t="s">
        <v>130</v>
      </c>
      <c r="CS1482" s="0" t="s">
        <v>130</v>
      </c>
      <c r="CT1482" s="0" t="s">
        <v>4296</v>
      </c>
    </row>
    <row r="1483">
      <c r="A1483" s="14">
        <v>16857643</v>
      </c>
      <c r="B1483" s="0" t="s">
        <v>4271</v>
      </c>
      <c r="C1483" s="16">
        <f>HYPERLINK("https://eosportal.federatedhermes.com/companies/Q29tcGFueQppNzgyNzY=", "Alibaba Group Holding Ltd")</f>
      </c>
      <c r="D1483" s="0" t="s">
        <v>25</v>
      </c>
      <c r="E1483" s="0" t="s">
        <v>4297</v>
      </c>
      <c r="F1483" s="16">
        <f>HYPERLINK("https://eosportal.federatedhermes.com/engagements/RW5nYWdlbWVudAppMjgzMDE=", "Human rights impacts of facial recognition technology")</f>
      </c>
      <c r="G1483" s="14" t="s">
        <v>4298</v>
      </c>
      <c r="H1483" s="0" t="s">
        <v>141</v>
      </c>
      <c r="I1483" s="14" t="s">
        <v>1645</v>
      </c>
      <c r="J1483" s="0" t="s">
        <v>153</v>
      </c>
      <c r="K1483" s="0" t="s">
        <v>243</v>
      </c>
      <c r="L1483" s="0" t="s">
        <v>537</v>
      </c>
      <c r="M1483" s="0" t="s">
        <v>802</v>
      </c>
      <c r="N1483" s="0" t="s">
        <v>803</v>
      </c>
      <c r="O1483" s="0" t="s">
        <v>643</v>
      </c>
      <c r="Q1483" s="0" t="s">
        <v>130</v>
      </c>
      <c r="R1483" s="0" t="s">
        <v>138</v>
      </c>
      <c r="S1483" s="14">
        <v>0</v>
      </c>
      <c r="T1483" s="0" t="s">
        <v>206</v>
      </c>
      <c r="U1483" s="0" t="s">
        <v>138</v>
      </c>
      <c r="V1483" s="14" t="s">
        <v>138</v>
      </c>
      <c r="W1483" s="0" t="s">
        <v>138</v>
      </c>
      <c r="X1483" s="14" t="s">
        <v>138</v>
      </c>
      <c r="Y1483" s="0" t="s">
        <v>138</v>
      </c>
      <c r="Z1483" s="14" t="s">
        <v>138</v>
      </c>
      <c r="AA1483" s="0" t="s">
        <v>138</v>
      </c>
      <c r="AB1483" s="14" t="s">
        <v>138</v>
      </c>
      <c r="AD1483" s="0" t="s">
        <v>138</v>
      </c>
      <c r="AF1483" s="0">
        <v>0</v>
      </c>
      <c r="AG1483" s="0">
        <v>0</v>
      </c>
      <c r="AH1483" s="0" t="s">
        <v>140</v>
      </c>
      <c r="AI1483" s="0" t="s">
        <v>138</v>
      </c>
      <c r="AL1483" s="14"/>
      <c r="AN1483" s="14"/>
      <c r="AQ1483" s="0" t="s">
        <v>130</v>
      </c>
      <c r="AR1483" s="0" t="s">
        <v>130</v>
      </c>
      <c r="AS1483" s="0" t="s">
        <v>130</v>
      </c>
      <c r="AT1483" s="0" t="s">
        <v>130</v>
      </c>
      <c r="AU1483" s="0" t="s">
        <v>130</v>
      </c>
      <c r="AV1483" s="0" t="s">
        <v>130</v>
      </c>
      <c r="AW1483" s="0" t="s">
        <v>130</v>
      </c>
      <c r="AX1483" s="0" t="s">
        <v>130</v>
      </c>
      <c r="AY1483" s="0" t="s">
        <v>130</v>
      </c>
      <c r="AZ1483" s="0" t="s">
        <v>141</v>
      </c>
      <c r="BA1483" s="0" t="s">
        <v>130</v>
      </c>
      <c r="BB1483" s="0" t="s">
        <v>130</v>
      </c>
      <c r="BC1483" s="0" t="s">
        <v>130</v>
      </c>
      <c r="BD1483" s="0" t="s">
        <v>130</v>
      </c>
      <c r="BE1483" s="0" t="s">
        <v>130</v>
      </c>
      <c r="BF1483" s="0" t="s">
        <v>141</v>
      </c>
      <c r="BG1483" s="0" t="s">
        <v>130</v>
      </c>
      <c r="BH1483" s="0" t="s">
        <v>130</v>
      </c>
      <c r="BI1483" s="0" t="s">
        <v>130</v>
      </c>
      <c r="BJ1483" s="0" t="s">
        <v>130</v>
      </c>
      <c r="BK1483" s="0" t="s">
        <v>130</v>
      </c>
      <c r="BL1483" s="0" t="s">
        <v>130</v>
      </c>
      <c r="BM1483" s="0" t="s">
        <v>130</v>
      </c>
      <c r="BN1483" s="0" t="s">
        <v>130</v>
      </c>
      <c r="BO1483" s="0" t="s">
        <v>130</v>
      </c>
      <c r="BP1483" s="0" t="s">
        <v>130</v>
      </c>
      <c r="BQ1483" s="0" t="s">
        <v>130</v>
      </c>
      <c r="BR1483" s="0" t="s">
        <v>130</v>
      </c>
      <c r="BS1483" s="0" t="s">
        <v>130</v>
      </c>
      <c r="BT1483" s="0" t="s">
        <v>130</v>
      </c>
      <c r="BU1483" s="0" t="s">
        <v>130</v>
      </c>
      <c r="BV1483" s="0" t="s">
        <v>130</v>
      </c>
      <c r="BW1483" s="0" t="s">
        <v>130</v>
      </c>
      <c r="BX1483" s="0" t="s">
        <v>130</v>
      </c>
      <c r="BY1483" s="0" t="s">
        <v>130</v>
      </c>
      <c r="BZ1483" s="0" t="s">
        <v>130</v>
      </c>
      <c r="CA1483" s="0" t="s">
        <v>130</v>
      </c>
      <c r="CB1483" s="0" t="s">
        <v>130</v>
      </c>
      <c r="CC1483" s="0" t="s">
        <v>130</v>
      </c>
      <c r="CD1483" s="0" t="s">
        <v>130</v>
      </c>
      <c r="CE1483" s="0" t="s">
        <v>130</v>
      </c>
      <c r="CF1483" s="0" t="s">
        <v>130</v>
      </c>
      <c r="CG1483" s="0" t="s">
        <v>130</v>
      </c>
      <c r="CH1483" s="0" t="s">
        <v>130</v>
      </c>
      <c r="CI1483" s="0" t="s">
        <v>130</v>
      </c>
      <c r="CJ1483" s="0" t="s">
        <v>130</v>
      </c>
      <c r="CK1483" s="0" t="s">
        <v>130</v>
      </c>
      <c r="CL1483" s="0" t="s">
        <v>130</v>
      </c>
      <c r="CM1483" s="0" t="s">
        <v>130</v>
      </c>
      <c r="CN1483" s="0" t="s">
        <v>130</v>
      </c>
      <c r="CO1483" s="0" t="s">
        <v>130</v>
      </c>
      <c r="CP1483" s="0" t="s">
        <v>130</v>
      </c>
      <c r="CQ1483" s="0" t="s">
        <v>130</v>
      </c>
      <c r="CR1483" s="0" t="s">
        <v>130</v>
      </c>
      <c r="CS1483" s="0" t="s">
        <v>130</v>
      </c>
      <c r="CT1483" s="0" t="s">
        <v>4299</v>
      </c>
    </row>
    <row r="1484">
      <c r="A1484" s="14">
        <v>16857643</v>
      </c>
      <c r="B1484" s="0" t="s">
        <v>4271</v>
      </c>
      <c r="C1484" s="16">
        <f>HYPERLINK("https://eosportal.federatedhermes.com/companies/Q29tcGFueQppNzgyNzY=", "Alibaba Group Holding Ltd")</f>
      </c>
      <c r="D1484" s="0" t="s">
        <v>25</v>
      </c>
      <c r="E1484" s="0" t="s">
        <v>4300</v>
      </c>
      <c r="F1484" s="16">
        <f>HYPERLINK("https://eosportal.federatedhermes.com/engagements/RW5nYWdlbWVudAppMjgzMDI=", "Gender equality and technology")</f>
      </c>
      <c r="G1484" s="14" t="s">
        <v>4301</v>
      </c>
      <c r="H1484" s="0" t="s">
        <v>141</v>
      </c>
      <c r="I1484" s="14" t="s">
        <v>1645</v>
      </c>
      <c r="J1484" s="0" t="s">
        <v>153</v>
      </c>
      <c r="K1484" s="0" t="s">
        <v>243</v>
      </c>
      <c r="L1484" s="0" t="s">
        <v>537</v>
      </c>
      <c r="M1484" s="0" t="s">
        <v>802</v>
      </c>
      <c r="N1484" s="0" t="s">
        <v>803</v>
      </c>
      <c r="O1484" s="0" t="s">
        <v>643</v>
      </c>
      <c r="Q1484" s="0" t="s">
        <v>130</v>
      </c>
      <c r="R1484" s="0" t="s">
        <v>138</v>
      </c>
      <c r="S1484" s="14">
        <v>0</v>
      </c>
      <c r="T1484" s="0" t="s">
        <v>394</v>
      </c>
      <c r="U1484" s="0" t="s">
        <v>138</v>
      </c>
      <c r="V1484" s="14" t="s">
        <v>138</v>
      </c>
      <c r="W1484" s="0" t="s">
        <v>138</v>
      </c>
      <c r="X1484" s="14" t="s">
        <v>138</v>
      </c>
      <c r="Y1484" s="0" t="s">
        <v>138</v>
      </c>
      <c r="Z1484" s="14" t="s">
        <v>138</v>
      </c>
      <c r="AA1484" s="0" t="s">
        <v>138</v>
      </c>
      <c r="AB1484" s="14" t="s">
        <v>138</v>
      </c>
      <c r="AD1484" s="0" t="s">
        <v>138</v>
      </c>
      <c r="AF1484" s="0">
        <v>0</v>
      </c>
      <c r="AG1484" s="0">
        <v>0</v>
      </c>
      <c r="AH1484" s="0" t="s">
        <v>140</v>
      </c>
      <c r="AI1484" s="0" t="s">
        <v>138</v>
      </c>
      <c r="AL1484" s="14"/>
      <c r="AN1484" s="14"/>
      <c r="AQ1484" s="0" t="s">
        <v>130</v>
      </c>
      <c r="AR1484" s="0" t="s">
        <v>130</v>
      </c>
      <c r="AS1484" s="0" t="s">
        <v>130</v>
      </c>
      <c r="AT1484" s="0" t="s">
        <v>130</v>
      </c>
      <c r="AU1484" s="0" t="s">
        <v>141</v>
      </c>
      <c r="AV1484" s="0" t="s">
        <v>130</v>
      </c>
      <c r="AW1484" s="0" t="s">
        <v>130</v>
      </c>
      <c r="AX1484" s="0" t="s">
        <v>130</v>
      </c>
      <c r="AY1484" s="0" t="s">
        <v>130</v>
      </c>
      <c r="AZ1484" s="0" t="s">
        <v>130</v>
      </c>
      <c r="BA1484" s="0" t="s">
        <v>130</v>
      </c>
      <c r="BB1484" s="0" t="s">
        <v>130</v>
      </c>
      <c r="BC1484" s="0" t="s">
        <v>130</v>
      </c>
      <c r="BD1484" s="0" t="s">
        <v>130</v>
      </c>
      <c r="BE1484" s="0" t="s">
        <v>130</v>
      </c>
      <c r="BF1484" s="0" t="s">
        <v>130</v>
      </c>
      <c r="BG1484" s="0" t="s">
        <v>130</v>
      </c>
      <c r="BH1484" s="0" t="s">
        <v>130</v>
      </c>
      <c r="BI1484" s="0" t="s">
        <v>130</v>
      </c>
      <c r="BJ1484" s="0" t="s">
        <v>130</v>
      </c>
      <c r="BK1484" s="0" t="s">
        <v>130</v>
      </c>
      <c r="BL1484" s="0" t="s">
        <v>130</v>
      </c>
      <c r="BM1484" s="0" t="s">
        <v>130</v>
      </c>
      <c r="BN1484" s="0" t="s">
        <v>130</v>
      </c>
      <c r="BO1484" s="0" t="s">
        <v>130</v>
      </c>
      <c r="BP1484" s="0" t="s">
        <v>130</v>
      </c>
      <c r="BQ1484" s="0" t="s">
        <v>130</v>
      </c>
      <c r="BR1484" s="0" t="s">
        <v>130</v>
      </c>
      <c r="BS1484" s="0" t="s">
        <v>130</v>
      </c>
      <c r="BT1484" s="0" t="s">
        <v>130</v>
      </c>
      <c r="BU1484" s="0" t="s">
        <v>130</v>
      </c>
      <c r="BV1484" s="0" t="s">
        <v>130</v>
      </c>
      <c r="BW1484" s="0" t="s">
        <v>130</v>
      </c>
      <c r="BX1484" s="0" t="s">
        <v>130</v>
      </c>
      <c r="BY1484" s="0" t="s">
        <v>130</v>
      </c>
      <c r="BZ1484" s="0" t="s">
        <v>130</v>
      </c>
      <c r="CA1484" s="0" t="s">
        <v>130</v>
      </c>
      <c r="CB1484" s="0" t="s">
        <v>130</v>
      </c>
      <c r="CC1484" s="0" t="s">
        <v>130</v>
      </c>
      <c r="CD1484" s="0" t="s">
        <v>130</v>
      </c>
      <c r="CE1484" s="0" t="s">
        <v>130</v>
      </c>
      <c r="CF1484" s="0" t="s">
        <v>130</v>
      </c>
      <c r="CG1484" s="0" t="s">
        <v>130</v>
      </c>
      <c r="CH1484" s="0" t="s">
        <v>130</v>
      </c>
      <c r="CI1484" s="0" t="s">
        <v>130</v>
      </c>
      <c r="CJ1484" s="0" t="s">
        <v>130</v>
      </c>
      <c r="CK1484" s="0" t="s">
        <v>130</v>
      </c>
      <c r="CL1484" s="0" t="s">
        <v>130</v>
      </c>
      <c r="CM1484" s="0" t="s">
        <v>130</v>
      </c>
      <c r="CN1484" s="0" t="s">
        <v>130</v>
      </c>
      <c r="CO1484" s="0" t="s">
        <v>130</v>
      </c>
      <c r="CP1484" s="0" t="s">
        <v>130</v>
      </c>
      <c r="CQ1484" s="0" t="s">
        <v>130</v>
      </c>
      <c r="CR1484" s="0" t="s">
        <v>130</v>
      </c>
      <c r="CS1484" s="0" t="s">
        <v>130</v>
      </c>
      <c r="CT1484" s="0" t="s">
        <v>4302</v>
      </c>
    </row>
    <row r="1485">
      <c r="A1485" s="14">
        <v>16857643</v>
      </c>
      <c r="B1485" s="0" t="s">
        <v>4271</v>
      </c>
      <c r="C1485" s="16">
        <f>HYPERLINK("https://eosportal.federatedhermes.com/companies/Q29tcGFueQppNzgyNzY=", "Alibaba Group Holding Ltd")</f>
      </c>
      <c r="D1485" s="0" t="s">
        <v>25</v>
      </c>
      <c r="E1485" s="0" t="s">
        <v>4303</v>
      </c>
      <c r="F1485" s="16">
        <f>HYPERLINK("https://eosportal.federatedhermes.com/engagements/RW5nYWdlbWVudAppMjgzMDM=", "Customer data protection and data privacy")</f>
      </c>
      <c r="G1485" s="14" t="s">
        <v>4304</v>
      </c>
      <c r="H1485" s="0" t="s">
        <v>141</v>
      </c>
      <c r="I1485" s="14" t="s">
        <v>1645</v>
      </c>
      <c r="J1485" s="0" t="s">
        <v>153</v>
      </c>
      <c r="K1485" s="0" t="s">
        <v>243</v>
      </c>
      <c r="L1485" s="0" t="s">
        <v>537</v>
      </c>
      <c r="M1485" s="0" t="s">
        <v>802</v>
      </c>
      <c r="N1485" s="0" t="s">
        <v>803</v>
      </c>
      <c r="O1485" s="0" t="s">
        <v>643</v>
      </c>
      <c r="Q1485" s="0" t="s">
        <v>130</v>
      </c>
      <c r="R1485" s="0" t="s">
        <v>138</v>
      </c>
      <c r="S1485" s="14">
        <v>0</v>
      </c>
      <c r="T1485" s="0" t="s">
        <v>390</v>
      </c>
      <c r="U1485" s="0" t="s">
        <v>138</v>
      </c>
      <c r="V1485" s="14" t="s">
        <v>138</v>
      </c>
      <c r="W1485" s="0" t="s">
        <v>138</v>
      </c>
      <c r="X1485" s="14" t="s">
        <v>138</v>
      </c>
      <c r="Y1485" s="0" t="s">
        <v>138</v>
      </c>
      <c r="Z1485" s="14" t="s">
        <v>138</v>
      </c>
      <c r="AA1485" s="0" t="s">
        <v>138</v>
      </c>
      <c r="AB1485" s="14" t="s">
        <v>138</v>
      </c>
      <c r="AD1485" s="0" t="s">
        <v>138</v>
      </c>
      <c r="AF1485" s="0">
        <v>0</v>
      </c>
      <c r="AG1485" s="0">
        <v>0</v>
      </c>
      <c r="AH1485" s="0" t="s">
        <v>140</v>
      </c>
      <c r="AI1485" s="0" t="s">
        <v>138</v>
      </c>
      <c r="AL1485" s="14"/>
      <c r="AN1485" s="14"/>
      <c r="AQ1485" s="0" t="s">
        <v>130</v>
      </c>
      <c r="AR1485" s="0" t="s">
        <v>130</v>
      </c>
      <c r="AS1485" s="0" t="s">
        <v>130</v>
      </c>
      <c r="AT1485" s="0" t="s">
        <v>130</v>
      </c>
      <c r="AU1485" s="0" t="s">
        <v>130</v>
      </c>
      <c r="AV1485" s="0" t="s">
        <v>130</v>
      </c>
      <c r="AW1485" s="0" t="s">
        <v>130</v>
      </c>
      <c r="AX1485" s="0" t="s">
        <v>130</v>
      </c>
      <c r="AY1485" s="0" t="s">
        <v>130</v>
      </c>
      <c r="AZ1485" s="0" t="s">
        <v>130</v>
      </c>
      <c r="BA1485" s="0" t="s">
        <v>130</v>
      </c>
      <c r="BB1485" s="0" t="s">
        <v>141</v>
      </c>
      <c r="BC1485" s="0" t="s">
        <v>130</v>
      </c>
      <c r="BD1485" s="0" t="s">
        <v>130</v>
      </c>
      <c r="BE1485" s="0" t="s">
        <v>130</v>
      </c>
      <c r="BF1485" s="0" t="s">
        <v>141</v>
      </c>
      <c r="BG1485" s="0" t="s">
        <v>130</v>
      </c>
      <c r="BH1485" s="0" t="s">
        <v>130</v>
      </c>
      <c r="BI1485" s="0" t="s">
        <v>130</v>
      </c>
      <c r="BJ1485" s="0" t="s">
        <v>130</v>
      </c>
      <c r="BK1485" s="0" t="s">
        <v>130</v>
      </c>
      <c r="BL1485" s="0" t="s">
        <v>130</v>
      </c>
      <c r="BM1485" s="0" t="s">
        <v>130</v>
      </c>
      <c r="BN1485" s="0" t="s">
        <v>130</v>
      </c>
      <c r="BO1485" s="0" t="s">
        <v>130</v>
      </c>
      <c r="BP1485" s="0" t="s">
        <v>130</v>
      </c>
      <c r="BQ1485" s="0" t="s">
        <v>130</v>
      </c>
      <c r="BR1485" s="0" t="s">
        <v>130</v>
      </c>
      <c r="BS1485" s="0" t="s">
        <v>130</v>
      </c>
      <c r="BT1485" s="0" t="s">
        <v>130</v>
      </c>
      <c r="BU1485" s="0" t="s">
        <v>130</v>
      </c>
      <c r="BV1485" s="0" t="s">
        <v>130</v>
      </c>
      <c r="BW1485" s="0" t="s">
        <v>130</v>
      </c>
      <c r="BX1485" s="0" t="s">
        <v>130</v>
      </c>
      <c r="BY1485" s="0" t="s">
        <v>130</v>
      </c>
      <c r="BZ1485" s="0" t="s">
        <v>130</v>
      </c>
      <c r="CA1485" s="0" t="s">
        <v>130</v>
      </c>
      <c r="CB1485" s="0" t="s">
        <v>130</v>
      </c>
      <c r="CC1485" s="0" t="s">
        <v>130</v>
      </c>
      <c r="CD1485" s="0" t="s">
        <v>130</v>
      </c>
      <c r="CE1485" s="0" t="s">
        <v>130</v>
      </c>
      <c r="CF1485" s="0" t="s">
        <v>130</v>
      </c>
      <c r="CG1485" s="0" t="s">
        <v>130</v>
      </c>
      <c r="CH1485" s="0" t="s">
        <v>130</v>
      </c>
      <c r="CI1485" s="0" t="s">
        <v>130</v>
      </c>
      <c r="CJ1485" s="0" t="s">
        <v>130</v>
      </c>
      <c r="CK1485" s="0" t="s">
        <v>130</v>
      </c>
      <c r="CL1485" s="0" t="s">
        <v>130</v>
      </c>
      <c r="CM1485" s="0" t="s">
        <v>130</v>
      </c>
      <c r="CN1485" s="0" t="s">
        <v>130</v>
      </c>
      <c r="CO1485" s="0" t="s">
        <v>130</v>
      </c>
      <c r="CP1485" s="0" t="s">
        <v>130</v>
      </c>
      <c r="CQ1485" s="0" t="s">
        <v>130</v>
      </c>
      <c r="CR1485" s="0" t="s">
        <v>130</v>
      </c>
      <c r="CS1485" s="0" t="s">
        <v>130</v>
      </c>
      <c r="CT1485" s="0" t="s">
        <v>4305</v>
      </c>
    </row>
    <row r="1486">
      <c r="A1486" s="14">
        <v>17085420</v>
      </c>
      <c r="B1486" s="0" t="s">
        <v>4306</v>
      </c>
      <c r="C1486" s="16">
        <f>HYPERLINK("https://eosportal.federatedhermes.com/companies/Q29tcGFueQppNTIwNTI=", "Argenx SE")</f>
      </c>
      <c r="D1486" s="0" t="s">
        <v>23</v>
      </c>
      <c r="E1486" s="0" t="s">
        <v>396</v>
      </c>
      <c r="F1486" s="16">
        <f>HYPERLINK("https://eosportal.federatedhermes.com/engagements/RW5nYWdlbWVudAppMjgzMTM=", "Remuneration structure")</f>
      </c>
      <c r="G1486" s="14" t="s">
        <v>4307</v>
      </c>
      <c r="H1486" s="0" t="s">
        <v>130</v>
      </c>
      <c r="I1486" s="14" t="s">
        <v>319</v>
      </c>
      <c r="J1486" s="0" t="s">
        <v>145</v>
      </c>
      <c r="K1486" s="0" t="s">
        <v>146</v>
      </c>
      <c r="L1486" s="0" t="s">
        <v>147</v>
      </c>
      <c r="M1486" s="0" t="s">
        <v>378</v>
      </c>
      <c r="N1486" s="0" t="s">
        <v>2554</v>
      </c>
      <c r="O1486" s="0" t="s">
        <v>274</v>
      </c>
      <c r="Q1486" s="0" t="s">
        <v>141</v>
      </c>
      <c r="R1486" s="0" t="s">
        <v>141</v>
      </c>
      <c r="S1486" s="14">
        <v>1</v>
      </c>
      <c r="T1486" s="0" t="s">
        <v>148</v>
      </c>
      <c r="U1486" s="0" t="s">
        <v>221</v>
      </c>
      <c r="V1486" s="14" t="s">
        <v>148</v>
      </c>
      <c r="W1486" s="0" t="s">
        <v>221</v>
      </c>
      <c r="X1486" s="14" t="s">
        <v>148</v>
      </c>
      <c r="Y1486" s="0" t="s">
        <v>221</v>
      </c>
      <c r="Z1486" s="14" t="s">
        <v>2270</v>
      </c>
      <c r="AA1486" s="0" t="s">
        <v>221</v>
      </c>
      <c r="AB1486" s="14" t="s">
        <v>361</v>
      </c>
      <c r="AC1486" s="0" t="s">
        <v>20</v>
      </c>
      <c r="AD1486" s="0" t="s">
        <v>362</v>
      </c>
      <c r="AE1486" s="0" t="s">
        <v>363</v>
      </c>
      <c r="AF1486" s="0">
        <v>1</v>
      </c>
      <c r="AG1486" s="0">
        <v>0</v>
      </c>
      <c r="AH1486" s="0" t="s">
        <v>140</v>
      </c>
      <c r="AI1486" s="0" t="s">
        <v>221</v>
      </c>
      <c r="AJ1486" s="0" t="s">
        <v>364</v>
      </c>
      <c r="AK1486" s="0" t="s">
        <v>930</v>
      </c>
      <c r="AL1486" s="14" t="s">
        <v>4308</v>
      </c>
      <c r="AM1486" s="0" t="s">
        <v>366</v>
      </c>
      <c r="AN1486" s="14"/>
      <c r="AQ1486" s="0" t="s">
        <v>130</v>
      </c>
      <c r="AR1486" s="0" t="s">
        <v>130</v>
      </c>
      <c r="AS1486" s="0" t="s">
        <v>130</v>
      </c>
      <c r="AT1486" s="0" t="s">
        <v>130</v>
      </c>
      <c r="AU1486" s="0" t="s">
        <v>130</v>
      </c>
      <c r="AV1486" s="0" t="s">
        <v>130</v>
      </c>
      <c r="AW1486" s="0" t="s">
        <v>130</v>
      </c>
      <c r="AX1486" s="0" t="s">
        <v>130</v>
      </c>
      <c r="AY1486" s="0" t="s">
        <v>130</v>
      </c>
      <c r="AZ1486" s="0" t="s">
        <v>130</v>
      </c>
      <c r="BA1486" s="0" t="s">
        <v>130</v>
      </c>
      <c r="BB1486" s="0" t="s">
        <v>130</v>
      </c>
      <c r="BC1486" s="0" t="s">
        <v>130</v>
      </c>
      <c r="BD1486" s="0" t="s">
        <v>130</v>
      </c>
      <c r="BE1486" s="0" t="s">
        <v>130</v>
      </c>
      <c r="BF1486" s="0" t="s">
        <v>130</v>
      </c>
      <c r="BG1486" s="0" t="s">
        <v>130</v>
      </c>
      <c r="BH1486" s="0" t="s">
        <v>130</v>
      </c>
      <c r="BI1486" s="0" t="s">
        <v>130</v>
      </c>
      <c r="BJ1486" s="0" t="s">
        <v>130</v>
      </c>
      <c r="BK1486" s="0" t="s">
        <v>130</v>
      </c>
      <c r="BL1486" s="0" t="s">
        <v>130</v>
      </c>
      <c r="BM1486" s="0" t="s">
        <v>130</v>
      </c>
      <c r="BN1486" s="0" t="s">
        <v>130</v>
      </c>
      <c r="BO1486" s="0" t="s">
        <v>130</v>
      </c>
      <c r="BP1486" s="0" t="s">
        <v>130</v>
      </c>
      <c r="BQ1486" s="0" t="s">
        <v>130</v>
      </c>
      <c r="BR1486" s="0" t="s">
        <v>130</v>
      </c>
      <c r="BS1486" s="0" t="s">
        <v>130</v>
      </c>
      <c r="BT1486" s="0" t="s">
        <v>130</v>
      </c>
      <c r="BU1486" s="0" t="s">
        <v>130</v>
      </c>
      <c r="BV1486" s="0" t="s">
        <v>130</v>
      </c>
      <c r="BW1486" s="0" t="s">
        <v>130</v>
      </c>
      <c r="BX1486" s="0" t="s">
        <v>130</v>
      </c>
      <c r="BY1486" s="0" t="s">
        <v>130</v>
      </c>
      <c r="BZ1486" s="0" t="s">
        <v>130</v>
      </c>
      <c r="CA1486" s="0" t="s">
        <v>130</v>
      </c>
      <c r="CB1486" s="0" t="s">
        <v>130</v>
      </c>
      <c r="CC1486" s="0" t="s">
        <v>130</v>
      </c>
      <c r="CD1486" s="0" t="s">
        <v>130</v>
      </c>
      <c r="CE1486" s="0" t="s">
        <v>130</v>
      </c>
      <c r="CF1486" s="0" t="s">
        <v>130</v>
      </c>
      <c r="CG1486" s="0" t="s">
        <v>130</v>
      </c>
      <c r="CH1486" s="0" t="s">
        <v>130</v>
      </c>
      <c r="CI1486" s="0" t="s">
        <v>130</v>
      </c>
      <c r="CJ1486" s="0" t="s">
        <v>130</v>
      </c>
      <c r="CK1486" s="0" t="s">
        <v>130</v>
      </c>
      <c r="CL1486" s="0" t="s">
        <v>130</v>
      </c>
      <c r="CM1486" s="0" t="s">
        <v>130</v>
      </c>
      <c r="CN1486" s="0" t="s">
        <v>130</v>
      </c>
      <c r="CO1486" s="0" t="s">
        <v>130</v>
      </c>
      <c r="CP1486" s="0" t="s">
        <v>130</v>
      </c>
      <c r="CQ1486" s="0" t="s">
        <v>130</v>
      </c>
      <c r="CR1486" s="0" t="s">
        <v>130</v>
      </c>
      <c r="CS1486" s="0" t="s">
        <v>130</v>
      </c>
      <c r="CT1486" s="0" t="s">
        <v>4309</v>
      </c>
    </row>
    <row r="1487">
      <c r="A1487" s="14">
        <v>17085420</v>
      </c>
      <c r="B1487" s="0" t="s">
        <v>4306</v>
      </c>
      <c r="C1487" s="16">
        <f>HYPERLINK("https://eosportal.federatedhermes.com/companies/Q29tcGFueQppNTIwNTI=", "Argenx SE")</f>
      </c>
      <c r="D1487" s="0" t="s">
        <v>23</v>
      </c>
      <c r="E1487" s="0" t="s">
        <v>4310</v>
      </c>
      <c r="F1487" s="16">
        <f>HYPERLINK("https://eosportal.federatedhermes.com/engagements/RW5nYWdlbWVudAppMjgzMTQ=", "Improve ESG reporting")</f>
      </c>
      <c r="G1487" s="14" t="s">
        <v>4311</v>
      </c>
      <c r="H1487" s="0" t="s">
        <v>130</v>
      </c>
      <c r="I1487" s="14" t="s">
        <v>319</v>
      </c>
      <c r="J1487" s="0" t="s">
        <v>132</v>
      </c>
      <c r="K1487" s="0" t="s">
        <v>170</v>
      </c>
      <c r="L1487" s="0" t="s">
        <v>171</v>
      </c>
      <c r="M1487" s="0" t="s">
        <v>378</v>
      </c>
      <c r="N1487" s="0" t="s">
        <v>2554</v>
      </c>
      <c r="O1487" s="0" t="s">
        <v>274</v>
      </c>
      <c r="Q1487" s="0" t="s">
        <v>130</v>
      </c>
      <c r="R1487" s="0" t="s">
        <v>141</v>
      </c>
      <c r="S1487" s="14">
        <v>0</v>
      </c>
      <c r="T1487" s="0" t="s">
        <v>230</v>
      </c>
      <c r="U1487" s="0" t="s">
        <v>221</v>
      </c>
      <c r="V1487" s="14" t="s">
        <v>230</v>
      </c>
      <c r="W1487" s="0" t="s">
        <v>221</v>
      </c>
      <c r="X1487" s="14" t="s">
        <v>230</v>
      </c>
      <c r="Y1487" s="0" t="s">
        <v>221</v>
      </c>
      <c r="Z1487" s="14" t="s">
        <v>2270</v>
      </c>
      <c r="AA1487" s="0" t="s">
        <v>221</v>
      </c>
      <c r="AB1487" s="14" t="s">
        <v>361</v>
      </c>
      <c r="AC1487" s="0" t="s">
        <v>20</v>
      </c>
      <c r="AD1487" s="0" t="s">
        <v>362</v>
      </c>
      <c r="AE1487" s="0" t="s">
        <v>363</v>
      </c>
      <c r="AF1487" s="0">
        <v>1</v>
      </c>
      <c r="AG1487" s="0">
        <v>0</v>
      </c>
      <c r="AH1487" s="0" t="s">
        <v>140</v>
      </c>
      <c r="AI1487" s="0" t="s">
        <v>221</v>
      </c>
      <c r="AJ1487" s="0" t="s">
        <v>577</v>
      </c>
      <c r="AL1487" s="14" t="s">
        <v>291</v>
      </c>
      <c r="AN1487" s="14"/>
      <c r="AQ1487" s="0" t="s">
        <v>130</v>
      </c>
      <c r="AR1487" s="0" t="s">
        <v>130</v>
      </c>
      <c r="AS1487" s="0" t="s">
        <v>130</v>
      </c>
      <c r="AT1487" s="0" t="s">
        <v>130</v>
      </c>
      <c r="AU1487" s="0" t="s">
        <v>130</v>
      </c>
      <c r="AV1487" s="0" t="s">
        <v>130</v>
      </c>
      <c r="AW1487" s="0" t="s">
        <v>130</v>
      </c>
      <c r="AX1487" s="0" t="s">
        <v>130</v>
      </c>
      <c r="AY1487" s="0" t="s">
        <v>130</v>
      </c>
      <c r="AZ1487" s="0" t="s">
        <v>130</v>
      </c>
      <c r="BA1487" s="0" t="s">
        <v>130</v>
      </c>
      <c r="BB1487" s="0" t="s">
        <v>130</v>
      </c>
      <c r="BC1487" s="0" t="s">
        <v>130</v>
      </c>
      <c r="BD1487" s="0" t="s">
        <v>130</v>
      </c>
      <c r="BE1487" s="0" t="s">
        <v>130</v>
      </c>
      <c r="BF1487" s="0" t="s">
        <v>130</v>
      </c>
      <c r="BG1487" s="0" t="s">
        <v>130</v>
      </c>
      <c r="BH1487" s="0" t="s">
        <v>130</v>
      </c>
      <c r="BI1487" s="0" t="s">
        <v>130</v>
      </c>
      <c r="BJ1487" s="0" t="s">
        <v>130</v>
      </c>
      <c r="BK1487" s="0" t="s">
        <v>130</v>
      </c>
      <c r="BL1487" s="0" t="s">
        <v>130</v>
      </c>
      <c r="BM1487" s="0" t="s">
        <v>130</v>
      </c>
      <c r="BN1487" s="0" t="s">
        <v>130</v>
      </c>
      <c r="BO1487" s="0" t="s">
        <v>130</v>
      </c>
      <c r="BP1487" s="0" t="s">
        <v>130</v>
      </c>
      <c r="BQ1487" s="0" t="s">
        <v>130</v>
      </c>
      <c r="BR1487" s="0" t="s">
        <v>130</v>
      </c>
      <c r="BS1487" s="0" t="s">
        <v>130</v>
      </c>
      <c r="BT1487" s="0" t="s">
        <v>130</v>
      </c>
      <c r="BU1487" s="0" t="s">
        <v>130</v>
      </c>
      <c r="BV1487" s="0" t="s">
        <v>130</v>
      </c>
      <c r="BW1487" s="0" t="s">
        <v>130</v>
      </c>
      <c r="BX1487" s="0" t="s">
        <v>130</v>
      </c>
      <c r="BY1487" s="0" t="s">
        <v>130</v>
      </c>
      <c r="BZ1487" s="0" t="s">
        <v>130</v>
      </c>
      <c r="CA1487" s="0" t="s">
        <v>130</v>
      </c>
      <c r="CB1487" s="0" t="s">
        <v>130</v>
      </c>
      <c r="CC1487" s="0" t="s">
        <v>130</v>
      </c>
      <c r="CD1487" s="0" t="s">
        <v>130</v>
      </c>
      <c r="CE1487" s="0" t="s">
        <v>130</v>
      </c>
      <c r="CF1487" s="0" t="s">
        <v>130</v>
      </c>
      <c r="CG1487" s="0" t="s">
        <v>130</v>
      </c>
      <c r="CH1487" s="0" t="s">
        <v>130</v>
      </c>
      <c r="CI1487" s="0" t="s">
        <v>130</v>
      </c>
      <c r="CJ1487" s="0" t="s">
        <v>130</v>
      </c>
      <c r="CK1487" s="0" t="s">
        <v>130</v>
      </c>
      <c r="CL1487" s="0" t="s">
        <v>130</v>
      </c>
      <c r="CM1487" s="0" t="s">
        <v>130</v>
      </c>
      <c r="CN1487" s="0" t="s">
        <v>130</v>
      </c>
      <c r="CO1487" s="0" t="s">
        <v>130</v>
      </c>
      <c r="CP1487" s="0" t="s">
        <v>130</v>
      </c>
      <c r="CQ1487" s="0" t="s">
        <v>130</v>
      </c>
      <c r="CR1487" s="0" t="s">
        <v>130</v>
      </c>
      <c r="CS1487" s="0" t="s">
        <v>130</v>
      </c>
      <c r="CT1487" s="0" t="s">
        <v>4312</v>
      </c>
    </row>
    <row r="1488">
      <c r="A1488" s="14">
        <v>17085420</v>
      </c>
      <c r="B1488" s="0" t="s">
        <v>4306</v>
      </c>
      <c r="C1488" s="16">
        <f>HYPERLINK("https://eosportal.federatedhermes.com/companies/Q29tcGFueQppNTIwNTI=", "Argenx SE")</f>
      </c>
      <c r="D1488" s="0" t="s">
        <v>25</v>
      </c>
      <c r="E1488" s="0" t="s">
        <v>1670</v>
      </c>
      <c r="F1488" s="16">
        <f>HYPERLINK("https://eosportal.federatedhermes.com/engagements/RW5nYWdlbWVudAppMjgzMTU=", "Coronavirus crisis")</f>
      </c>
      <c r="G1488" s="14" t="s">
        <v>1356</v>
      </c>
      <c r="H1488" s="0" t="s">
        <v>130</v>
      </c>
      <c r="I1488" s="14" t="s">
        <v>319</v>
      </c>
      <c r="J1488" s="0" t="s">
        <v>132</v>
      </c>
      <c r="K1488" s="0" t="s">
        <v>260</v>
      </c>
      <c r="L1488" s="0" t="s">
        <v>261</v>
      </c>
      <c r="M1488" s="0" t="s">
        <v>378</v>
      </c>
      <c r="N1488" s="0" t="s">
        <v>2554</v>
      </c>
      <c r="O1488" s="0" t="s">
        <v>274</v>
      </c>
      <c r="Q1488" s="0" t="s">
        <v>130</v>
      </c>
      <c r="R1488" s="0" t="s">
        <v>138</v>
      </c>
      <c r="S1488" s="14">
        <v>0</v>
      </c>
      <c r="T1488" s="0" t="s">
        <v>148</v>
      </c>
      <c r="U1488" s="0" t="s">
        <v>138</v>
      </c>
      <c r="V1488" s="14" t="s">
        <v>138</v>
      </c>
      <c r="W1488" s="0" t="s">
        <v>138</v>
      </c>
      <c r="X1488" s="14" t="s">
        <v>138</v>
      </c>
      <c r="Y1488" s="0" t="s">
        <v>138</v>
      </c>
      <c r="Z1488" s="14" t="s">
        <v>138</v>
      </c>
      <c r="AA1488" s="0" t="s">
        <v>138</v>
      </c>
      <c r="AB1488" s="14" t="s">
        <v>138</v>
      </c>
      <c r="AD1488" s="0" t="s">
        <v>138</v>
      </c>
      <c r="AF1488" s="0">
        <v>0</v>
      </c>
      <c r="AG1488" s="0">
        <v>0</v>
      </c>
      <c r="AH1488" s="0" t="s">
        <v>140</v>
      </c>
      <c r="AI1488" s="0" t="s">
        <v>138</v>
      </c>
      <c r="AL1488" s="14"/>
      <c r="AN1488" s="14"/>
      <c r="AQ1488" s="0" t="s">
        <v>130</v>
      </c>
      <c r="AR1488" s="0" t="s">
        <v>130</v>
      </c>
      <c r="AS1488" s="0" t="s">
        <v>141</v>
      </c>
      <c r="AT1488" s="0" t="s">
        <v>130</v>
      </c>
      <c r="AU1488" s="0" t="s">
        <v>130</v>
      </c>
      <c r="AV1488" s="0" t="s">
        <v>130</v>
      </c>
      <c r="AW1488" s="0" t="s">
        <v>130</v>
      </c>
      <c r="AX1488" s="0" t="s">
        <v>141</v>
      </c>
      <c r="AY1488" s="0" t="s">
        <v>130</v>
      </c>
      <c r="AZ1488" s="0" t="s">
        <v>130</v>
      </c>
      <c r="BA1488" s="0" t="s">
        <v>130</v>
      </c>
      <c r="BB1488" s="0" t="s">
        <v>130</v>
      </c>
      <c r="BC1488" s="0" t="s">
        <v>130</v>
      </c>
      <c r="BD1488" s="0" t="s">
        <v>130</v>
      </c>
      <c r="BE1488" s="0" t="s">
        <v>130</v>
      </c>
      <c r="BF1488" s="0" t="s">
        <v>130</v>
      </c>
      <c r="BG1488" s="0" t="s">
        <v>130</v>
      </c>
      <c r="BH1488" s="0" t="s">
        <v>130</v>
      </c>
      <c r="BI1488" s="0" t="s">
        <v>130</v>
      </c>
      <c r="BJ1488" s="0" t="s">
        <v>130</v>
      </c>
      <c r="BK1488" s="0" t="s">
        <v>130</v>
      </c>
      <c r="BL1488" s="0" t="s">
        <v>130</v>
      </c>
      <c r="BM1488" s="0" t="s">
        <v>130</v>
      </c>
      <c r="BN1488" s="0" t="s">
        <v>130</v>
      </c>
      <c r="BO1488" s="0" t="s">
        <v>130</v>
      </c>
      <c r="BP1488" s="0" t="s">
        <v>130</v>
      </c>
      <c r="BQ1488" s="0" t="s">
        <v>130</v>
      </c>
      <c r="BR1488" s="0" t="s">
        <v>130</v>
      </c>
      <c r="BS1488" s="0" t="s">
        <v>130</v>
      </c>
      <c r="BT1488" s="0" t="s">
        <v>130</v>
      </c>
      <c r="BU1488" s="0" t="s">
        <v>130</v>
      </c>
      <c r="BV1488" s="0" t="s">
        <v>130</v>
      </c>
      <c r="BW1488" s="0" t="s">
        <v>130</v>
      </c>
      <c r="BX1488" s="0" t="s">
        <v>130</v>
      </c>
      <c r="BY1488" s="0" t="s">
        <v>130</v>
      </c>
      <c r="BZ1488" s="0" t="s">
        <v>130</v>
      </c>
      <c r="CA1488" s="0" t="s">
        <v>130</v>
      </c>
      <c r="CB1488" s="0" t="s">
        <v>130</v>
      </c>
      <c r="CC1488" s="0" t="s">
        <v>130</v>
      </c>
      <c r="CD1488" s="0" t="s">
        <v>130</v>
      </c>
      <c r="CE1488" s="0" t="s">
        <v>130</v>
      </c>
      <c r="CF1488" s="0" t="s">
        <v>130</v>
      </c>
      <c r="CG1488" s="0" t="s">
        <v>130</v>
      </c>
      <c r="CH1488" s="0" t="s">
        <v>130</v>
      </c>
      <c r="CI1488" s="0" t="s">
        <v>130</v>
      </c>
      <c r="CJ1488" s="0" t="s">
        <v>130</v>
      </c>
      <c r="CK1488" s="0" t="s">
        <v>130</v>
      </c>
      <c r="CL1488" s="0" t="s">
        <v>130</v>
      </c>
      <c r="CM1488" s="0" t="s">
        <v>130</v>
      </c>
      <c r="CN1488" s="0" t="s">
        <v>130</v>
      </c>
      <c r="CO1488" s="0" t="s">
        <v>130</v>
      </c>
      <c r="CP1488" s="0" t="s">
        <v>130</v>
      </c>
      <c r="CQ1488" s="0" t="s">
        <v>130</v>
      </c>
      <c r="CR1488" s="0" t="s">
        <v>130</v>
      </c>
      <c r="CS1488" s="0" t="s">
        <v>130</v>
      </c>
      <c r="CT1488" s="0" t="s">
        <v>4313</v>
      </c>
    </row>
    <row r="1489">
      <c r="A1489" s="14">
        <v>24815130</v>
      </c>
      <c r="B1489" s="0" t="s">
        <v>4314</v>
      </c>
      <c r="C1489" s="16">
        <f>HYPERLINK("https://eosportal.federatedhermes.com/companies/Q29tcGFueQppNjMzMjY=", "IQVIA Holdings Inc")</f>
      </c>
      <c r="D1489" s="0" t="s">
        <v>25</v>
      </c>
      <c r="E1489" s="0" t="s">
        <v>3702</v>
      </c>
      <c r="F1489" s="16">
        <f>HYPERLINK("https://eosportal.federatedhermes.com/engagements/RW5nYWdlbWVudAppMjgzMTk=", "Classified Board")</f>
      </c>
      <c r="G1489" s="14" t="s">
        <v>2040</v>
      </c>
      <c r="H1489" s="0" t="s">
        <v>130</v>
      </c>
      <c r="I1489" s="14" t="s">
        <v>131</v>
      </c>
      <c r="J1489" s="0" t="s">
        <v>145</v>
      </c>
      <c r="K1489" s="0" t="s">
        <v>400</v>
      </c>
      <c r="L1489" s="0" t="s">
        <v>507</v>
      </c>
      <c r="M1489" s="0" t="s">
        <v>135</v>
      </c>
      <c r="N1489" s="0" t="s">
        <v>136</v>
      </c>
      <c r="O1489" s="0" t="s">
        <v>274</v>
      </c>
      <c r="Q1489" s="0" t="s">
        <v>130</v>
      </c>
      <c r="R1489" s="0" t="s">
        <v>138</v>
      </c>
      <c r="S1489" s="14">
        <v>0</v>
      </c>
      <c r="T1489" s="0" t="s">
        <v>394</v>
      </c>
      <c r="U1489" s="0" t="s">
        <v>138</v>
      </c>
      <c r="V1489" s="14" t="s">
        <v>138</v>
      </c>
      <c r="W1489" s="0" t="s">
        <v>138</v>
      </c>
      <c r="X1489" s="14" t="s">
        <v>138</v>
      </c>
      <c r="Y1489" s="0" t="s">
        <v>138</v>
      </c>
      <c r="Z1489" s="14" t="s">
        <v>138</v>
      </c>
      <c r="AA1489" s="0" t="s">
        <v>138</v>
      </c>
      <c r="AB1489" s="14" t="s">
        <v>138</v>
      </c>
      <c r="AD1489" s="0" t="s">
        <v>138</v>
      </c>
      <c r="AF1489" s="0">
        <v>0</v>
      </c>
      <c r="AG1489" s="0">
        <v>0</v>
      </c>
      <c r="AH1489" s="0" t="s">
        <v>140</v>
      </c>
      <c r="AI1489" s="0" t="s">
        <v>138</v>
      </c>
      <c r="AL1489" s="14"/>
      <c r="AN1489" s="14"/>
      <c r="AQ1489" s="0" t="s">
        <v>130</v>
      </c>
      <c r="AR1489" s="0" t="s">
        <v>130</v>
      </c>
      <c r="AS1489" s="0" t="s">
        <v>130</v>
      </c>
      <c r="AT1489" s="0" t="s">
        <v>130</v>
      </c>
      <c r="AU1489" s="0" t="s">
        <v>130</v>
      </c>
      <c r="AV1489" s="0" t="s">
        <v>130</v>
      </c>
      <c r="AW1489" s="0" t="s">
        <v>130</v>
      </c>
      <c r="AX1489" s="0" t="s">
        <v>130</v>
      </c>
      <c r="AY1489" s="0" t="s">
        <v>130</v>
      </c>
      <c r="AZ1489" s="0" t="s">
        <v>130</v>
      </c>
      <c r="BA1489" s="0" t="s">
        <v>130</v>
      </c>
      <c r="BB1489" s="0" t="s">
        <v>130</v>
      </c>
      <c r="BC1489" s="0" t="s">
        <v>130</v>
      </c>
      <c r="BD1489" s="0" t="s">
        <v>130</v>
      </c>
      <c r="BE1489" s="0" t="s">
        <v>130</v>
      </c>
      <c r="BF1489" s="0" t="s">
        <v>130</v>
      </c>
      <c r="BG1489" s="0" t="s">
        <v>130</v>
      </c>
      <c r="BH1489" s="0" t="s">
        <v>130</v>
      </c>
      <c r="BI1489" s="0" t="s">
        <v>130</v>
      </c>
      <c r="BJ1489" s="0" t="s">
        <v>130</v>
      </c>
      <c r="BK1489" s="0" t="s">
        <v>130</v>
      </c>
      <c r="BL1489" s="0" t="s">
        <v>130</v>
      </c>
      <c r="BM1489" s="0" t="s">
        <v>130</v>
      </c>
      <c r="BN1489" s="0" t="s">
        <v>130</v>
      </c>
      <c r="BO1489" s="0" t="s">
        <v>130</v>
      </c>
      <c r="BP1489" s="0" t="s">
        <v>130</v>
      </c>
      <c r="BQ1489" s="0" t="s">
        <v>130</v>
      </c>
      <c r="BR1489" s="0" t="s">
        <v>130</v>
      </c>
      <c r="BS1489" s="0" t="s">
        <v>130</v>
      </c>
      <c r="BT1489" s="0" t="s">
        <v>130</v>
      </c>
      <c r="BU1489" s="0" t="s">
        <v>130</v>
      </c>
      <c r="BV1489" s="0" t="s">
        <v>130</v>
      </c>
      <c r="BW1489" s="0" t="s">
        <v>130</v>
      </c>
      <c r="BX1489" s="0" t="s">
        <v>130</v>
      </c>
      <c r="BY1489" s="0" t="s">
        <v>130</v>
      </c>
      <c r="BZ1489" s="0" t="s">
        <v>130</v>
      </c>
      <c r="CA1489" s="0" t="s">
        <v>130</v>
      </c>
      <c r="CB1489" s="0" t="s">
        <v>130</v>
      </c>
      <c r="CC1489" s="0" t="s">
        <v>130</v>
      </c>
      <c r="CD1489" s="0" t="s">
        <v>130</v>
      </c>
      <c r="CE1489" s="0" t="s">
        <v>130</v>
      </c>
      <c r="CF1489" s="0" t="s">
        <v>130</v>
      </c>
      <c r="CG1489" s="0" t="s">
        <v>130</v>
      </c>
      <c r="CH1489" s="0" t="s">
        <v>130</v>
      </c>
      <c r="CI1489" s="0" t="s">
        <v>130</v>
      </c>
      <c r="CJ1489" s="0" t="s">
        <v>130</v>
      </c>
      <c r="CK1489" s="0" t="s">
        <v>130</v>
      </c>
      <c r="CL1489" s="0" t="s">
        <v>130</v>
      </c>
      <c r="CM1489" s="0" t="s">
        <v>130</v>
      </c>
      <c r="CN1489" s="0" t="s">
        <v>130</v>
      </c>
      <c r="CO1489" s="0" t="s">
        <v>130</v>
      </c>
      <c r="CP1489" s="0" t="s">
        <v>130</v>
      </c>
      <c r="CQ1489" s="0" t="s">
        <v>130</v>
      </c>
      <c r="CR1489" s="0" t="s">
        <v>130</v>
      </c>
      <c r="CS1489" s="0" t="s">
        <v>130</v>
      </c>
      <c r="CT1489" s="0" t="s">
        <v>4315</v>
      </c>
    </row>
    <row r="1490">
      <c r="A1490" s="14">
        <v>24815130</v>
      </c>
      <c r="B1490" s="0" t="s">
        <v>4314</v>
      </c>
      <c r="C1490" s="16">
        <f>HYPERLINK("https://eosportal.federatedhermes.com/companies/Q29tcGFueQppNjMzMjY=", "IQVIA Holdings Inc")</f>
      </c>
      <c r="D1490" s="0" t="s">
        <v>25</v>
      </c>
      <c r="E1490" s="0" t="s">
        <v>146</v>
      </c>
      <c r="F1490" s="16">
        <f>HYPERLINK("https://eosportal.federatedhermes.com/engagements/RW5nYWdlbWVudAppMjgzMjA=", "Executive Remuneration")</f>
      </c>
      <c r="G1490" s="14" t="s">
        <v>4316</v>
      </c>
      <c r="H1490" s="0" t="s">
        <v>130</v>
      </c>
      <c r="I1490" s="14" t="s">
        <v>131</v>
      </c>
      <c r="J1490" s="0" t="s">
        <v>145</v>
      </c>
      <c r="K1490" s="0" t="s">
        <v>146</v>
      </c>
      <c r="L1490" s="0" t="s">
        <v>147</v>
      </c>
      <c r="M1490" s="0" t="s">
        <v>135</v>
      </c>
      <c r="N1490" s="0" t="s">
        <v>136</v>
      </c>
      <c r="O1490" s="0" t="s">
        <v>274</v>
      </c>
      <c r="Q1490" s="0" t="s">
        <v>130</v>
      </c>
      <c r="R1490" s="0" t="s">
        <v>138</v>
      </c>
      <c r="S1490" s="14">
        <v>0</v>
      </c>
      <c r="T1490" s="0" t="s">
        <v>394</v>
      </c>
      <c r="U1490" s="0" t="s">
        <v>138</v>
      </c>
      <c r="V1490" s="14" t="s">
        <v>138</v>
      </c>
      <c r="W1490" s="0" t="s">
        <v>138</v>
      </c>
      <c r="X1490" s="14" t="s">
        <v>138</v>
      </c>
      <c r="Y1490" s="0" t="s">
        <v>138</v>
      </c>
      <c r="Z1490" s="14" t="s">
        <v>138</v>
      </c>
      <c r="AA1490" s="0" t="s">
        <v>138</v>
      </c>
      <c r="AB1490" s="14" t="s">
        <v>138</v>
      </c>
      <c r="AD1490" s="0" t="s">
        <v>138</v>
      </c>
      <c r="AF1490" s="0">
        <v>0</v>
      </c>
      <c r="AG1490" s="0">
        <v>0</v>
      </c>
      <c r="AH1490" s="0" t="s">
        <v>140</v>
      </c>
      <c r="AI1490" s="0" t="s">
        <v>138</v>
      </c>
      <c r="AL1490" s="14"/>
      <c r="AN1490" s="14"/>
      <c r="AQ1490" s="0" t="s">
        <v>130</v>
      </c>
      <c r="AR1490" s="0" t="s">
        <v>130</v>
      </c>
      <c r="AS1490" s="0" t="s">
        <v>130</v>
      </c>
      <c r="AT1490" s="0" t="s">
        <v>130</v>
      </c>
      <c r="AU1490" s="0" t="s">
        <v>130</v>
      </c>
      <c r="AV1490" s="0" t="s">
        <v>130</v>
      </c>
      <c r="AW1490" s="0" t="s">
        <v>130</v>
      </c>
      <c r="AX1490" s="0" t="s">
        <v>130</v>
      </c>
      <c r="AY1490" s="0" t="s">
        <v>130</v>
      </c>
      <c r="AZ1490" s="0" t="s">
        <v>130</v>
      </c>
      <c r="BA1490" s="0" t="s">
        <v>130</v>
      </c>
      <c r="BB1490" s="0" t="s">
        <v>130</v>
      </c>
      <c r="BC1490" s="0" t="s">
        <v>130</v>
      </c>
      <c r="BD1490" s="0" t="s">
        <v>130</v>
      </c>
      <c r="BE1490" s="0" t="s">
        <v>130</v>
      </c>
      <c r="BF1490" s="0" t="s">
        <v>130</v>
      </c>
      <c r="BG1490" s="0" t="s">
        <v>130</v>
      </c>
      <c r="BH1490" s="0" t="s">
        <v>130</v>
      </c>
      <c r="BI1490" s="0" t="s">
        <v>130</v>
      </c>
      <c r="BJ1490" s="0" t="s">
        <v>130</v>
      </c>
      <c r="BK1490" s="0" t="s">
        <v>130</v>
      </c>
      <c r="BL1490" s="0" t="s">
        <v>130</v>
      </c>
      <c r="BM1490" s="0" t="s">
        <v>130</v>
      </c>
      <c r="BN1490" s="0" t="s">
        <v>130</v>
      </c>
      <c r="BO1490" s="0" t="s">
        <v>130</v>
      </c>
      <c r="BP1490" s="0" t="s">
        <v>130</v>
      </c>
      <c r="BQ1490" s="0" t="s">
        <v>130</v>
      </c>
      <c r="BR1490" s="0" t="s">
        <v>130</v>
      </c>
      <c r="BS1490" s="0" t="s">
        <v>130</v>
      </c>
      <c r="BT1490" s="0" t="s">
        <v>130</v>
      </c>
      <c r="BU1490" s="0" t="s">
        <v>130</v>
      </c>
      <c r="BV1490" s="0" t="s">
        <v>130</v>
      </c>
      <c r="BW1490" s="0" t="s">
        <v>130</v>
      </c>
      <c r="BX1490" s="0" t="s">
        <v>130</v>
      </c>
      <c r="BY1490" s="0" t="s">
        <v>130</v>
      </c>
      <c r="BZ1490" s="0" t="s">
        <v>130</v>
      </c>
      <c r="CA1490" s="0" t="s">
        <v>130</v>
      </c>
      <c r="CB1490" s="0" t="s">
        <v>130</v>
      </c>
      <c r="CC1490" s="0" t="s">
        <v>130</v>
      </c>
      <c r="CD1490" s="0" t="s">
        <v>130</v>
      </c>
      <c r="CE1490" s="0" t="s">
        <v>130</v>
      </c>
      <c r="CF1490" s="0" t="s">
        <v>130</v>
      </c>
      <c r="CG1490" s="0" t="s">
        <v>130</v>
      </c>
      <c r="CH1490" s="0" t="s">
        <v>130</v>
      </c>
      <c r="CI1490" s="0" t="s">
        <v>130</v>
      </c>
      <c r="CJ1490" s="0" t="s">
        <v>130</v>
      </c>
      <c r="CK1490" s="0" t="s">
        <v>130</v>
      </c>
      <c r="CL1490" s="0" t="s">
        <v>130</v>
      </c>
      <c r="CM1490" s="0" t="s">
        <v>130</v>
      </c>
      <c r="CN1490" s="0" t="s">
        <v>130</v>
      </c>
      <c r="CO1490" s="0" t="s">
        <v>130</v>
      </c>
      <c r="CP1490" s="0" t="s">
        <v>130</v>
      </c>
      <c r="CQ1490" s="0" t="s">
        <v>130</v>
      </c>
      <c r="CR1490" s="0" t="s">
        <v>130</v>
      </c>
      <c r="CS1490" s="0" t="s">
        <v>130</v>
      </c>
      <c r="CT1490" s="0" t="s">
        <v>4317</v>
      </c>
    </row>
    <row r="1491">
      <c r="A1491" s="14">
        <v>24815130</v>
      </c>
      <c r="B1491" s="0" t="s">
        <v>4314</v>
      </c>
      <c r="C1491" s="16">
        <f>HYPERLINK("https://eosportal.federatedhermes.com/companies/Q29tcGFueQppNjMzMjY=", "IQVIA Holdings Inc")</f>
      </c>
      <c r="D1491" s="0" t="s">
        <v>25</v>
      </c>
      <c r="E1491" s="0" t="s">
        <v>1047</v>
      </c>
      <c r="F1491" s="16">
        <f>HYPERLINK("https://eosportal.federatedhermes.com/engagements/RW5nYWdlbWVudAppMjgzMjE=", "Governance of artificial intelligence")</f>
      </c>
      <c r="G1491" s="14" t="s">
        <v>4318</v>
      </c>
      <c r="H1491" s="0" t="s">
        <v>130</v>
      </c>
      <c r="I1491" s="14" t="s">
        <v>131</v>
      </c>
      <c r="J1491" s="0" t="s">
        <v>153</v>
      </c>
      <c r="K1491" s="0" t="s">
        <v>243</v>
      </c>
      <c r="L1491" s="0" t="s">
        <v>537</v>
      </c>
      <c r="M1491" s="0" t="s">
        <v>135</v>
      </c>
      <c r="N1491" s="0" t="s">
        <v>136</v>
      </c>
      <c r="O1491" s="0" t="s">
        <v>274</v>
      </c>
      <c r="Q1491" s="0" t="s">
        <v>130</v>
      </c>
      <c r="R1491" s="0" t="s">
        <v>138</v>
      </c>
      <c r="S1491" s="14">
        <v>0</v>
      </c>
      <c r="T1491" s="0" t="s">
        <v>327</v>
      </c>
      <c r="U1491" s="0" t="s">
        <v>138</v>
      </c>
      <c r="V1491" s="14" t="s">
        <v>138</v>
      </c>
      <c r="W1491" s="0" t="s">
        <v>138</v>
      </c>
      <c r="X1491" s="14" t="s">
        <v>138</v>
      </c>
      <c r="Y1491" s="0" t="s">
        <v>138</v>
      </c>
      <c r="Z1491" s="14" t="s">
        <v>138</v>
      </c>
      <c r="AA1491" s="0" t="s">
        <v>138</v>
      </c>
      <c r="AB1491" s="14" t="s">
        <v>138</v>
      </c>
      <c r="AD1491" s="0" t="s">
        <v>138</v>
      </c>
      <c r="AF1491" s="0">
        <v>0</v>
      </c>
      <c r="AG1491" s="0">
        <v>0</v>
      </c>
      <c r="AH1491" s="0" t="s">
        <v>140</v>
      </c>
      <c r="AI1491" s="0" t="s">
        <v>138</v>
      </c>
      <c r="AL1491" s="14"/>
      <c r="AN1491" s="14"/>
      <c r="AQ1491" s="0" t="s">
        <v>130</v>
      </c>
      <c r="AR1491" s="0" t="s">
        <v>130</v>
      </c>
      <c r="AS1491" s="0" t="s">
        <v>130</v>
      </c>
      <c r="AT1491" s="0" t="s">
        <v>130</v>
      </c>
      <c r="AU1491" s="0" t="s">
        <v>130</v>
      </c>
      <c r="AV1491" s="0" t="s">
        <v>130</v>
      </c>
      <c r="AW1491" s="0" t="s">
        <v>130</v>
      </c>
      <c r="AX1491" s="0" t="s">
        <v>130</v>
      </c>
      <c r="AY1491" s="0" t="s">
        <v>130</v>
      </c>
      <c r="AZ1491" s="0" t="s">
        <v>130</v>
      </c>
      <c r="BA1491" s="0" t="s">
        <v>130</v>
      </c>
      <c r="BB1491" s="0" t="s">
        <v>141</v>
      </c>
      <c r="BC1491" s="0" t="s">
        <v>130</v>
      </c>
      <c r="BD1491" s="0" t="s">
        <v>130</v>
      </c>
      <c r="BE1491" s="0" t="s">
        <v>130</v>
      </c>
      <c r="BF1491" s="0" t="s">
        <v>141</v>
      </c>
      <c r="BG1491" s="0" t="s">
        <v>130</v>
      </c>
      <c r="BH1491" s="0" t="s">
        <v>130</v>
      </c>
      <c r="BI1491" s="0" t="s">
        <v>130</v>
      </c>
      <c r="BJ1491" s="0" t="s">
        <v>130</v>
      </c>
      <c r="BK1491" s="0" t="s">
        <v>130</v>
      </c>
      <c r="BL1491" s="0" t="s">
        <v>130</v>
      </c>
      <c r="BM1491" s="0" t="s">
        <v>130</v>
      </c>
      <c r="BN1491" s="0" t="s">
        <v>130</v>
      </c>
      <c r="BO1491" s="0" t="s">
        <v>130</v>
      </c>
      <c r="BP1491" s="0" t="s">
        <v>130</v>
      </c>
      <c r="BQ1491" s="0" t="s">
        <v>130</v>
      </c>
      <c r="BR1491" s="0" t="s">
        <v>130</v>
      </c>
      <c r="BS1491" s="0" t="s">
        <v>130</v>
      </c>
      <c r="BT1491" s="0" t="s">
        <v>130</v>
      </c>
      <c r="BU1491" s="0" t="s">
        <v>130</v>
      </c>
      <c r="BV1491" s="0" t="s">
        <v>130</v>
      </c>
      <c r="BW1491" s="0" t="s">
        <v>130</v>
      </c>
      <c r="BX1491" s="0" t="s">
        <v>130</v>
      </c>
      <c r="BY1491" s="0" t="s">
        <v>130</v>
      </c>
      <c r="BZ1491" s="0" t="s">
        <v>130</v>
      </c>
      <c r="CA1491" s="0" t="s">
        <v>130</v>
      </c>
      <c r="CB1491" s="0" t="s">
        <v>130</v>
      </c>
      <c r="CC1491" s="0" t="s">
        <v>130</v>
      </c>
      <c r="CD1491" s="0" t="s">
        <v>130</v>
      </c>
      <c r="CE1491" s="0" t="s">
        <v>130</v>
      </c>
      <c r="CF1491" s="0" t="s">
        <v>130</v>
      </c>
      <c r="CG1491" s="0" t="s">
        <v>130</v>
      </c>
      <c r="CH1491" s="0" t="s">
        <v>130</v>
      </c>
      <c r="CI1491" s="0" t="s">
        <v>130</v>
      </c>
      <c r="CJ1491" s="0" t="s">
        <v>130</v>
      </c>
      <c r="CK1491" s="0" t="s">
        <v>130</v>
      </c>
      <c r="CL1491" s="0" t="s">
        <v>130</v>
      </c>
      <c r="CM1491" s="0" t="s">
        <v>130</v>
      </c>
      <c r="CN1491" s="0" t="s">
        <v>130</v>
      </c>
      <c r="CO1491" s="0" t="s">
        <v>130</v>
      </c>
      <c r="CP1491" s="0" t="s">
        <v>130</v>
      </c>
      <c r="CQ1491" s="0" t="s">
        <v>130</v>
      </c>
      <c r="CR1491" s="0" t="s">
        <v>130</v>
      </c>
      <c r="CS1491" s="0" t="s">
        <v>130</v>
      </c>
      <c r="CT1491" s="0" t="s">
        <v>4319</v>
      </c>
    </row>
    <row r="1492">
      <c r="A1492" s="14">
        <v>24815130</v>
      </c>
      <c r="B1492" s="0" t="s">
        <v>4314</v>
      </c>
      <c r="C1492" s="16">
        <f>HYPERLINK("https://eosportal.federatedhermes.com/companies/Q29tcGFueQppNjMzMjY=", "IQVIA Holdings Inc")</f>
      </c>
      <c r="D1492" s="0" t="s">
        <v>25</v>
      </c>
      <c r="E1492" s="0" t="s">
        <v>4320</v>
      </c>
      <c r="F1492" s="16">
        <f>HYPERLINK("https://eosportal.federatedhermes.com/engagements/RW5nYWdlbWVudAppMjgzMjI=", "Antimicrobial resistence (AMR) risk")</f>
      </c>
      <c r="G1492" s="14" t="s">
        <v>4321</v>
      </c>
      <c r="H1492" s="0" t="s">
        <v>130</v>
      </c>
      <c r="I1492" s="14" t="s">
        <v>131</v>
      </c>
      <c r="J1492" s="0" t="s">
        <v>197</v>
      </c>
      <c r="K1492" s="0" t="s">
        <v>337</v>
      </c>
      <c r="L1492" s="0" t="s">
        <v>1222</v>
      </c>
      <c r="M1492" s="0" t="s">
        <v>135</v>
      </c>
      <c r="N1492" s="0" t="s">
        <v>136</v>
      </c>
      <c r="O1492" s="0" t="s">
        <v>274</v>
      </c>
      <c r="Q1492" s="0" t="s">
        <v>130</v>
      </c>
      <c r="R1492" s="0" t="s">
        <v>138</v>
      </c>
      <c r="S1492" s="14">
        <v>0</v>
      </c>
      <c r="T1492" s="0" t="s">
        <v>327</v>
      </c>
      <c r="U1492" s="0" t="s">
        <v>138</v>
      </c>
      <c r="V1492" s="14" t="s">
        <v>138</v>
      </c>
      <c r="W1492" s="0" t="s">
        <v>138</v>
      </c>
      <c r="X1492" s="14" t="s">
        <v>138</v>
      </c>
      <c r="Y1492" s="0" t="s">
        <v>138</v>
      </c>
      <c r="Z1492" s="14" t="s">
        <v>138</v>
      </c>
      <c r="AA1492" s="0" t="s">
        <v>138</v>
      </c>
      <c r="AB1492" s="14" t="s">
        <v>138</v>
      </c>
      <c r="AD1492" s="0" t="s">
        <v>138</v>
      </c>
      <c r="AF1492" s="0">
        <v>0</v>
      </c>
      <c r="AG1492" s="0">
        <v>0</v>
      </c>
      <c r="AH1492" s="0" t="s">
        <v>140</v>
      </c>
      <c r="AI1492" s="0" t="s">
        <v>138</v>
      </c>
      <c r="AL1492" s="14"/>
      <c r="AN1492" s="14"/>
      <c r="AQ1492" s="0" t="s">
        <v>130</v>
      </c>
      <c r="AR1492" s="0" t="s">
        <v>130</v>
      </c>
      <c r="AS1492" s="0" t="s">
        <v>141</v>
      </c>
      <c r="AT1492" s="0" t="s">
        <v>130</v>
      </c>
      <c r="AU1492" s="0" t="s">
        <v>130</v>
      </c>
      <c r="AV1492" s="0" t="s">
        <v>130</v>
      </c>
      <c r="AW1492" s="0" t="s">
        <v>130</v>
      </c>
      <c r="AX1492" s="0" t="s">
        <v>130</v>
      </c>
      <c r="AY1492" s="0" t="s">
        <v>130</v>
      </c>
      <c r="AZ1492" s="0" t="s">
        <v>130</v>
      </c>
      <c r="BA1492" s="0" t="s">
        <v>130</v>
      </c>
      <c r="BB1492" s="0" t="s">
        <v>141</v>
      </c>
      <c r="BC1492" s="0" t="s">
        <v>130</v>
      </c>
      <c r="BD1492" s="0" t="s">
        <v>130</v>
      </c>
      <c r="BE1492" s="0" t="s">
        <v>130</v>
      </c>
      <c r="BF1492" s="0" t="s">
        <v>130</v>
      </c>
      <c r="BG1492" s="0" t="s">
        <v>130</v>
      </c>
      <c r="BH1492" s="0" t="s">
        <v>130</v>
      </c>
      <c r="BI1492" s="0" t="s">
        <v>130</v>
      </c>
      <c r="BJ1492" s="0" t="s">
        <v>130</v>
      </c>
      <c r="BK1492" s="0" t="s">
        <v>130</v>
      </c>
      <c r="BL1492" s="0" t="s">
        <v>130</v>
      </c>
      <c r="BM1492" s="0" t="s">
        <v>130</v>
      </c>
      <c r="BN1492" s="0" t="s">
        <v>130</v>
      </c>
      <c r="BO1492" s="0" t="s">
        <v>130</v>
      </c>
      <c r="BP1492" s="0" t="s">
        <v>130</v>
      </c>
      <c r="BQ1492" s="0" t="s">
        <v>130</v>
      </c>
      <c r="BR1492" s="0" t="s">
        <v>130</v>
      </c>
      <c r="BS1492" s="0" t="s">
        <v>130</v>
      </c>
      <c r="BT1492" s="0" t="s">
        <v>130</v>
      </c>
      <c r="BU1492" s="0" t="s">
        <v>130</v>
      </c>
      <c r="BV1492" s="0" t="s">
        <v>130</v>
      </c>
      <c r="BW1492" s="0" t="s">
        <v>130</v>
      </c>
      <c r="BX1492" s="0" t="s">
        <v>130</v>
      </c>
      <c r="BY1492" s="0" t="s">
        <v>130</v>
      </c>
      <c r="BZ1492" s="0" t="s">
        <v>130</v>
      </c>
      <c r="CA1492" s="0" t="s">
        <v>130</v>
      </c>
      <c r="CB1492" s="0" t="s">
        <v>130</v>
      </c>
      <c r="CC1492" s="0" t="s">
        <v>130</v>
      </c>
      <c r="CD1492" s="0" t="s">
        <v>130</v>
      </c>
      <c r="CE1492" s="0" t="s">
        <v>130</v>
      </c>
      <c r="CF1492" s="0" t="s">
        <v>130</v>
      </c>
      <c r="CG1492" s="0" t="s">
        <v>130</v>
      </c>
      <c r="CH1492" s="0" t="s">
        <v>130</v>
      </c>
      <c r="CI1492" s="0" t="s">
        <v>130</v>
      </c>
      <c r="CJ1492" s="0" t="s">
        <v>130</v>
      </c>
      <c r="CK1492" s="0" t="s">
        <v>130</v>
      </c>
      <c r="CL1492" s="0" t="s">
        <v>130</v>
      </c>
      <c r="CM1492" s="0" t="s">
        <v>130</v>
      </c>
      <c r="CN1492" s="0" t="s">
        <v>130</v>
      </c>
      <c r="CO1492" s="0" t="s">
        <v>130</v>
      </c>
      <c r="CP1492" s="0" t="s">
        <v>130</v>
      </c>
      <c r="CQ1492" s="0" t="s">
        <v>130</v>
      </c>
      <c r="CR1492" s="0" t="s">
        <v>130</v>
      </c>
      <c r="CS1492" s="0" t="s">
        <v>130</v>
      </c>
      <c r="CT1492" s="0" t="s">
        <v>4322</v>
      </c>
    </row>
    <row r="1493">
      <c r="A1493" s="14">
        <v>26327793</v>
      </c>
      <c r="B1493" s="0" t="s">
        <v>4323</v>
      </c>
      <c r="C1493" s="16">
        <f>HYPERLINK("https://eosportal.federatedhermes.com/companies/Q29tcGFueQppNzcwNDY=", "Zalando SE")</f>
      </c>
      <c r="D1493" s="0" t="s">
        <v>23</v>
      </c>
      <c r="E1493" s="0" t="s">
        <v>4324</v>
      </c>
      <c r="F1493" s="16">
        <f>HYPERLINK("https://eosportal.federatedhermes.com/engagements/RW5nYWdlbWVudAppMjgzODA=", "Increase proportion of sustainable products")</f>
      </c>
      <c r="G1493" s="14" t="s">
        <v>4325</v>
      </c>
      <c r="H1493" s="0" t="s">
        <v>130</v>
      </c>
      <c r="I1493" s="14" t="s">
        <v>319</v>
      </c>
      <c r="J1493" s="0" t="s">
        <v>197</v>
      </c>
      <c r="K1493" s="0" t="s">
        <v>337</v>
      </c>
      <c r="L1493" s="0" t="s">
        <v>576</v>
      </c>
      <c r="M1493" s="0" t="s">
        <v>378</v>
      </c>
      <c r="N1493" s="0" t="s">
        <v>2485</v>
      </c>
      <c r="O1493" s="0" t="s">
        <v>643</v>
      </c>
      <c r="Q1493" s="0" t="s">
        <v>130</v>
      </c>
      <c r="R1493" s="0" t="s">
        <v>130</v>
      </c>
      <c r="S1493" s="14">
        <v>0</v>
      </c>
      <c r="T1493" s="0" t="s">
        <v>231</v>
      </c>
      <c r="U1493" s="0" t="s">
        <v>221</v>
      </c>
      <c r="V1493" s="14" t="s">
        <v>231</v>
      </c>
      <c r="W1493" s="0" t="s">
        <v>221</v>
      </c>
      <c r="X1493" s="14" t="s">
        <v>222</v>
      </c>
      <c r="Y1493" s="0" t="s">
        <v>223</v>
      </c>
      <c r="Z1493" s="14" t="s">
        <v>138</v>
      </c>
      <c r="AA1493" s="0" t="s">
        <v>224</v>
      </c>
      <c r="AB1493" s="14" t="s">
        <v>138</v>
      </c>
      <c r="AD1493" s="0" t="s">
        <v>17</v>
      </c>
      <c r="AF1493" s="0">
        <v>0</v>
      </c>
      <c r="AG1493" s="0">
        <v>0</v>
      </c>
      <c r="AH1493" s="0" t="s">
        <v>140</v>
      </c>
      <c r="AI1493" s="0" t="s">
        <v>479</v>
      </c>
      <c r="AL1493" s="14"/>
      <c r="AN1493" s="14"/>
      <c r="AQ1493" s="0" t="s">
        <v>130</v>
      </c>
      <c r="AR1493" s="0" t="s">
        <v>130</v>
      </c>
      <c r="AS1493" s="0" t="s">
        <v>130</v>
      </c>
      <c r="AT1493" s="0" t="s">
        <v>130</v>
      </c>
      <c r="AU1493" s="0" t="s">
        <v>130</v>
      </c>
      <c r="AV1493" s="0" t="s">
        <v>130</v>
      </c>
      <c r="AW1493" s="0" t="s">
        <v>130</v>
      </c>
      <c r="AX1493" s="0" t="s">
        <v>130</v>
      </c>
      <c r="AY1493" s="0" t="s">
        <v>130</v>
      </c>
      <c r="AZ1493" s="0" t="s">
        <v>130</v>
      </c>
      <c r="BA1493" s="0" t="s">
        <v>130</v>
      </c>
      <c r="BB1493" s="0" t="s">
        <v>141</v>
      </c>
      <c r="BC1493" s="0" t="s">
        <v>130</v>
      </c>
      <c r="BD1493" s="0" t="s">
        <v>130</v>
      </c>
      <c r="BE1493" s="0" t="s">
        <v>141</v>
      </c>
      <c r="BF1493" s="0" t="s">
        <v>130</v>
      </c>
      <c r="BG1493" s="0" t="s">
        <v>130</v>
      </c>
      <c r="BH1493" s="0" t="s">
        <v>130</v>
      </c>
      <c r="BI1493" s="0" t="s">
        <v>130</v>
      </c>
      <c r="BJ1493" s="0" t="s">
        <v>130</v>
      </c>
      <c r="BK1493" s="0" t="s">
        <v>130</v>
      </c>
      <c r="BL1493" s="0" t="s">
        <v>130</v>
      </c>
      <c r="BM1493" s="0" t="s">
        <v>130</v>
      </c>
      <c r="BN1493" s="0" t="s">
        <v>130</v>
      </c>
      <c r="BO1493" s="0" t="s">
        <v>130</v>
      </c>
      <c r="BP1493" s="0" t="s">
        <v>130</v>
      </c>
      <c r="BQ1493" s="0" t="s">
        <v>130</v>
      </c>
      <c r="BR1493" s="0" t="s">
        <v>130</v>
      </c>
      <c r="BS1493" s="0" t="s">
        <v>130</v>
      </c>
      <c r="BT1493" s="0" t="s">
        <v>130</v>
      </c>
      <c r="BU1493" s="0" t="s">
        <v>130</v>
      </c>
      <c r="BV1493" s="0" t="s">
        <v>130</v>
      </c>
      <c r="BW1493" s="0" t="s">
        <v>130</v>
      </c>
      <c r="BX1493" s="0" t="s">
        <v>130</v>
      </c>
      <c r="BY1493" s="0" t="s">
        <v>130</v>
      </c>
      <c r="BZ1493" s="0" t="s">
        <v>130</v>
      </c>
      <c r="CA1493" s="0" t="s">
        <v>130</v>
      </c>
      <c r="CB1493" s="0" t="s">
        <v>130</v>
      </c>
      <c r="CC1493" s="0" t="s">
        <v>130</v>
      </c>
      <c r="CD1493" s="0" t="s">
        <v>130</v>
      </c>
      <c r="CE1493" s="0" t="s">
        <v>130</v>
      </c>
      <c r="CF1493" s="0" t="s">
        <v>130</v>
      </c>
      <c r="CG1493" s="0" t="s">
        <v>130</v>
      </c>
      <c r="CH1493" s="0" t="s">
        <v>130</v>
      </c>
      <c r="CI1493" s="0" t="s">
        <v>130</v>
      </c>
      <c r="CJ1493" s="0" t="s">
        <v>130</v>
      </c>
      <c r="CK1493" s="0" t="s">
        <v>130</v>
      </c>
      <c r="CL1493" s="0" t="s">
        <v>130</v>
      </c>
      <c r="CM1493" s="0" t="s">
        <v>130</v>
      </c>
      <c r="CN1493" s="0" t="s">
        <v>130</v>
      </c>
      <c r="CO1493" s="0" t="s">
        <v>130</v>
      </c>
      <c r="CP1493" s="0" t="s">
        <v>130</v>
      </c>
      <c r="CQ1493" s="0" t="s">
        <v>130</v>
      </c>
      <c r="CR1493" s="0" t="s">
        <v>130</v>
      </c>
      <c r="CS1493" s="0" t="s">
        <v>130</v>
      </c>
      <c r="CT1493" s="0" t="s">
        <v>4326</v>
      </c>
    </row>
    <row r="1494">
      <c r="A1494" s="14">
        <v>26327793</v>
      </c>
      <c r="B1494" s="0" t="s">
        <v>4323</v>
      </c>
      <c r="C1494" s="16">
        <f>HYPERLINK("https://eosportal.federatedhermes.com/companies/Q29tcGFueQppNzcwNDY=", "Zalando SE")</f>
      </c>
      <c r="D1494" s="0" t="s">
        <v>25</v>
      </c>
      <c r="E1494" s="0" t="s">
        <v>4327</v>
      </c>
      <c r="F1494" s="16">
        <f>HYPERLINK("https://eosportal.federatedhermes.com/engagements/RW5nYWdlbWVudAppMjgzODE=", "Executive Board Remuneration System")</f>
      </c>
      <c r="G1494" s="14" t="s">
        <v>4328</v>
      </c>
      <c r="H1494" s="0" t="s">
        <v>130</v>
      </c>
      <c r="I1494" s="14" t="s">
        <v>319</v>
      </c>
      <c r="J1494" s="0" t="s">
        <v>145</v>
      </c>
      <c r="K1494" s="0" t="s">
        <v>146</v>
      </c>
      <c r="L1494" s="0" t="s">
        <v>147</v>
      </c>
      <c r="M1494" s="0" t="s">
        <v>378</v>
      </c>
      <c r="N1494" s="0" t="s">
        <v>2485</v>
      </c>
      <c r="O1494" s="0" t="s">
        <v>643</v>
      </c>
      <c r="Q1494" s="0" t="s">
        <v>130</v>
      </c>
      <c r="R1494" s="0" t="s">
        <v>138</v>
      </c>
      <c r="S1494" s="14">
        <v>0</v>
      </c>
      <c r="T1494" s="0" t="s">
        <v>487</v>
      </c>
      <c r="U1494" s="0" t="s">
        <v>138</v>
      </c>
      <c r="V1494" s="14" t="s">
        <v>138</v>
      </c>
      <c r="W1494" s="0" t="s">
        <v>138</v>
      </c>
      <c r="X1494" s="14" t="s">
        <v>138</v>
      </c>
      <c r="Y1494" s="0" t="s">
        <v>138</v>
      </c>
      <c r="Z1494" s="14" t="s">
        <v>138</v>
      </c>
      <c r="AA1494" s="0" t="s">
        <v>138</v>
      </c>
      <c r="AB1494" s="14" t="s">
        <v>138</v>
      </c>
      <c r="AD1494" s="0" t="s">
        <v>138</v>
      </c>
      <c r="AF1494" s="0">
        <v>0</v>
      </c>
      <c r="AG1494" s="0">
        <v>0</v>
      </c>
      <c r="AH1494" s="0" t="s">
        <v>140</v>
      </c>
      <c r="AI1494" s="0" t="s">
        <v>138</v>
      </c>
      <c r="AL1494" s="14"/>
      <c r="AN1494" s="14"/>
      <c r="AQ1494" s="0" t="s">
        <v>130</v>
      </c>
      <c r="AR1494" s="0" t="s">
        <v>130</v>
      </c>
      <c r="AS1494" s="0" t="s">
        <v>130</v>
      </c>
      <c r="AT1494" s="0" t="s">
        <v>130</v>
      </c>
      <c r="AU1494" s="0" t="s">
        <v>130</v>
      </c>
      <c r="AV1494" s="0" t="s">
        <v>130</v>
      </c>
      <c r="AW1494" s="0" t="s">
        <v>130</v>
      </c>
      <c r="AX1494" s="0" t="s">
        <v>130</v>
      </c>
      <c r="AY1494" s="0" t="s">
        <v>130</v>
      </c>
      <c r="AZ1494" s="0" t="s">
        <v>130</v>
      </c>
      <c r="BA1494" s="0" t="s">
        <v>130</v>
      </c>
      <c r="BB1494" s="0" t="s">
        <v>130</v>
      </c>
      <c r="BC1494" s="0" t="s">
        <v>130</v>
      </c>
      <c r="BD1494" s="0" t="s">
        <v>130</v>
      </c>
      <c r="BE1494" s="0" t="s">
        <v>130</v>
      </c>
      <c r="BF1494" s="0" t="s">
        <v>130</v>
      </c>
      <c r="BG1494" s="0" t="s">
        <v>130</v>
      </c>
      <c r="BH1494" s="0" t="s">
        <v>130</v>
      </c>
      <c r="BI1494" s="0" t="s">
        <v>130</v>
      </c>
      <c r="BJ1494" s="0" t="s">
        <v>130</v>
      </c>
      <c r="BK1494" s="0" t="s">
        <v>130</v>
      </c>
      <c r="BL1494" s="0" t="s">
        <v>130</v>
      </c>
      <c r="BM1494" s="0" t="s">
        <v>130</v>
      </c>
      <c r="BN1494" s="0" t="s">
        <v>130</v>
      </c>
      <c r="BO1494" s="0" t="s">
        <v>130</v>
      </c>
      <c r="BP1494" s="0" t="s">
        <v>130</v>
      </c>
      <c r="BQ1494" s="0" t="s">
        <v>130</v>
      </c>
      <c r="BR1494" s="0" t="s">
        <v>130</v>
      </c>
      <c r="BS1494" s="0" t="s">
        <v>130</v>
      </c>
      <c r="BT1494" s="0" t="s">
        <v>130</v>
      </c>
      <c r="BU1494" s="0" t="s">
        <v>130</v>
      </c>
      <c r="BV1494" s="0" t="s">
        <v>130</v>
      </c>
      <c r="BW1494" s="0" t="s">
        <v>130</v>
      </c>
      <c r="BX1494" s="0" t="s">
        <v>130</v>
      </c>
      <c r="BY1494" s="0" t="s">
        <v>130</v>
      </c>
      <c r="BZ1494" s="0" t="s">
        <v>130</v>
      </c>
      <c r="CA1494" s="0" t="s">
        <v>130</v>
      </c>
      <c r="CB1494" s="0" t="s">
        <v>130</v>
      </c>
      <c r="CC1494" s="0" t="s">
        <v>130</v>
      </c>
      <c r="CD1494" s="0" t="s">
        <v>130</v>
      </c>
      <c r="CE1494" s="0" t="s">
        <v>130</v>
      </c>
      <c r="CF1494" s="0" t="s">
        <v>130</v>
      </c>
      <c r="CG1494" s="0" t="s">
        <v>130</v>
      </c>
      <c r="CH1494" s="0" t="s">
        <v>130</v>
      </c>
      <c r="CI1494" s="0" t="s">
        <v>130</v>
      </c>
      <c r="CJ1494" s="0" t="s">
        <v>130</v>
      </c>
      <c r="CK1494" s="0" t="s">
        <v>130</v>
      </c>
      <c r="CL1494" s="0" t="s">
        <v>130</v>
      </c>
      <c r="CM1494" s="0" t="s">
        <v>130</v>
      </c>
      <c r="CN1494" s="0" t="s">
        <v>130</v>
      </c>
      <c r="CO1494" s="0" t="s">
        <v>130</v>
      </c>
      <c r="CP1494" s="0" t="s">
        <v>130</v>
      </c>
      <c r="CQ1494" s="0" t="s">
        <v>130</v>
      </c>
      <c r="CR1494" s="0" t="s">
        <v>130</v>
      </c>
      <c r="CS1494" s="0" t="s">
        <v>130</v>
      </c>
      <c r="CT1494" s="0" t="s">
        <v>4329</v>
      </c>
    </row>
    <row r="1495">
      <c r="A1495" s="14">
        <v>27186779</v>
      </c>
      <c r="B1495" s="0" t="s">
        <v>4330</v>
      </c>
      <c r="C1495" s="16">
        <f>HYPERLINK("https://eosportal.federatedhermes.com/companies/Q29tcGFueQppODI1ODQ=", "Shopify Inc")</f>
      </c>
      <c r="D1495" s="0" t="s">
        <v>25</v>
      </c>
      <c r="E1495" s="0" t="s">
        <v>1104</v>
      </c>
      <c r="F1495" s="16">
        <f>HYPERLINK("https://eosportal.federatedhermes.com/engagements/RW5nYWdlbWVudAppMjgzODc=", "Executive Compensation")</f>
      </c>
      <c r="G1495" s="14" t="s">
        <v>4331</v>
      </c>
      <c r="H1495" s="0" t="s">
        <v>130</v>
      </c>
      <c r="I1495" s="14" t="s">
        <v>319</v>
      </c>
      <c r="J1495" s="0" t="s">
        <v>145</v>
      </c>
      <c r="K1495" s="0" t="s">
        <v>146</v>
      </c>
      <c r="L1495" s="0" t="s">
        <v>147</v>
      </c>
      <c r="M1495" s="0" t="s">
        <v>135</v>
      </c>
      <c r="N1495" s="0" t="s">
        <v>1678</v>
      </c>
      <c r="O1495" s="0" t="s">
        <v>137</v>
      </c>
      <c r="Q1495" s="0" t="s">
        <v>130</v>
      </c>
      <c r="R1495" s="0" t="s">
        <v>138</v>
      </c>
      <c r="S1495" s="14">
        <v>0</v>
      </c>
      <c r="T1495" s="0" t="s">
        <v>355</v>
      </c>
      <c r="U1495" s="0" t="s">
        <v>138</v>
      </c>
      <c r="V1495" s="14" t="s">
        <v>138</v>
      </c>
      <c r="W1495" s="0" t="s">
        <v>138</v>
      </c>
      <c r="X1495" s="14" t="s">
        <v>138</v>
      </c>
      <c r="Y1495" s="0" t="s">
        <v>138</v>
      </c>
      <c r="Z1495" s="14" t="s">
        <v>138</v>
      </c>
      <c r="AA1495" s="0" t="s">
        <v>138</v>
      </c>
      <c r="AB1495" s="14" t="s">
        <v>138</v>
      </c>
      <c r="AD1495" s="0" t="s">
        <v>138</v>
      </c>
      <c r="AF1495" s="0">
        <v>0</v>
      </c>
      <c r="AG1495" s="0">
        <v>0</v>
      </c>
      <c r="AH1495" s="0" t="s">
        <v>140</v>
      </c>
      <c r="AI1495" s="0" t="s">
        <v>138</v>
      </c>
      <c r="AL1495" s="14"/>
      <c r="AN1495" s="14"/>
      <c r="AQ1495" s="0" t="s">
        <v>130</v>
      </c>
      <c r="AR1495" s="0" t="s">
        <v>130</v>
      </c>
      <c r="AS1495" s="0" t="s">
        <v>130</v>
      </c>
      <c r="AT1495" s="0" t="s">
        <v>130</v>
      </c>
      <c r="AU1495" s="0" t="s">
        <v>130</v>
      </c>
      <c r="AV1495" s="0" t="s">
        <v>130</v>
      </c>
      <c r="AW1495" s="0" t="s">
        <v>130</v>
      </c>
      <c r="AX1495" s="0" t="s">
        <v>130</v>
      </c>
      <c r="AY1495" s="0" t="s">
        <v>130</v>
      </c>
      <c r="AZ1495" s="0" t="s">
        <v>130</v>
      </c>
      <c r="BA1495" s="0" t="s">
        <v>130</v>
      </c>
      <c r="BB1495" s="0" t="s">
        <v>130</v>
      </c>
      <c r="BC1495" s="0" t="s">
        <v>130</v>
      </c>
      <c r="BD1495" s="0" t="s">
        <v>130</v>
      </c>
      <c r="BE1495" s="0" t="s">
        <v>130</v>
      </c>
      <c r="BF1495" s="0" t="s">
        <v>130</v>
      </c>
      <c r="BG1495" s="0" t="s">
        <v>130</v>
      </c>
      <c r="BH1495" s="0" t="s">
        <v>130</v>
      </c>
      <c r="BI1495" s="0" t="s">
        <v>130</v>
      </c>
      <c r="BJ1495" s="0" t="s">
        <v>130</v>
      </c>
      <c r="BK1495" s="0" t="s">
        <v>130</v>
      </c>
      <c r="BL1495" s="0" t="s">
        <v>130</v>
      </c>
      <c r="BM1495" s="0" t="s">
        <v>130</v>
      </c>
      <c r="BN1495" s="0" t="s">
        <v>130</v>
      </c>
      <c r="BO1495" s="0" t="s">
        <v>130</v>
      </c>
      <c r="BP1495" s="0" t="s">
        <v>130</v>
      </c>
      <c r="BQ1495" s="0" t="s">
        <v>130</v>
      </c>
      <c r="BR1495" s="0" t="s">
        <v>130</v>
      </c>
      <c r="BS1495" s="0" t="s">
        <v>130</v>
      </c>
      <c r="BT1495" s="0" t="s">
        <v>130</v>
      </c>
      <c r="BU1495" s="0" t="s">
        <v>130</v>
      </c>
      <c r="BV1495" s="0" t="s">
        <v>130</v>
      </c>
      <c r="BW1495" s="0" t="s">
        <v>130</v>
      </c>
      <c r="BX1495" s="0" t="s">
        <v>130</v>
      </c>
      <c r="BY1495" s="0" t="s">
        <v>130</v>
      </c>
      <c r="BZ1495" s="0" t="s">
        <v>130</v>
      </c>
      <c r="CA1495" s="0" t="s">
        <v>130</v>
      </c>
      <c r="CB1495" s="0" t="s">
        <v>130</v>
      </c>
      <c r="CC1495" s="0" t="s">
        <v>130</v>
      </c>
      <c r="CD1495" s="0" t="s">
        <v>130</v>
      </c>
      <c r="CE1495" s="0" t="s">
        <v>130</v>
      </c>
      <c r="CF1495" s="0" t="s">
        <v>130</v>
      </c>
      <c r="CG1495" s="0" t="s">
        <v>130</v>
      </c>
      <c r="CH1495" s="0" t="s">
        <v>130</v>
      </c>
      <c r="CI1495" s="0" t="s">
        <v>130</v>
      </c>
      <c r="CJ1495" s="0" t="s">
        <v>130</v>
      </c>
      <c r="CK1495" s="0" t="s">
        <v>130</v>
      </c>
      <c r="CL1495" s="0" t="s">
        <v>130</v>
      </c>
      <c r="CM1495" s="0" t="s">
        <v>130</v>
      </c>
      <c r="CN1495" s="0" t="s">
        <v>130</v>
      </c>
      <c r="CO1495" s="0" t="s">
        <v>130</v>
      </c>
      <c r="CP1495" s="0" t="s">
        <v>130</v>
      </c>
      <c r="CQ1495" s="0" t="s">
        <v>130</v>
      </c>
      <c r="CR1495" s="0" t="s">
        <v>130</v>
      </c>
      <c r="CS1495" s="0" t="s">
        <v>130</v>
      </c>
      <c r="CT1495" s="0" t="s">
        <v>4332</v>
      </c>
    </row>
    <row r="1496">
      <c r="A1496" s="14">
        <v>28046509</v>
      </c>
      <c r="B1496" s="0" t="s">
        <v>4333</v>
      </c>
      <c r="C1496" s="16">
        <f>HYPERLINK("https://eosportal.federatedhermes.com/companies/Q29tcGFueQppNzM3NjA=", "AbbVie Inc")</f>
      </c>
      <c r="D1496" s="0" t="s">
        <v>25</v>
      </c>
      <c r="E1496" s="0" t="s">
        <v>1287</v>
      </c>
      <c r="F1496" s="16">
        <f>HYPERLINK("https://eosportal.federatedhermes.com/engagements/RW5nYWdlbWVudAppMjg0MDM=", "Access to medicine")</f>
      </c>
      <c r="G1496" s="14" t="s">
        <v>1287</v>
      </c>
      <c r="H1496" s="0" t="s">
        <v>141</v>
      </c>
      <c r="I1496" s="14" t="s">
        <v>131</v>
      </c>
      <c r="J1496" s="0" t="s">
        <v>153</v>
      </c>
      <c r="K1496" s="0" t="s">
        <v>243</v>
      </c>
      <c r="L1496" s="0" t="s">
        <v>292</v>
      </c>
      <c r="M1496" s="0" t="s">
        <v>135</v>
      </c>
      <c r="N1496" s="0" t="s">
        <v>136</v>
      </c>
      <c r="O1496" s="0" t="s">
        <v>274</v>
      </c>
      <c r="Q1496" s="0" t="s">
        <v>141</v>
      </c>
      <c r="R1496" s="0" t="s">
        <v>138</v>
      </c>
      <c r="S1496" s="14">
        <v>1</v>
      </c>
      <c r="T1496" s="0" t="s">
        <v>390</v>
      </c>
      <c r="U1496" s="0" t="s">
        <v>138</v>
      </c>
      <c r="V1496" s="14" t="s">
        <v>138</v>
      </c>
      <c r="W1496" s="0" t="s">
        <v>138</v>
      </c>
      <c r="X1496" s="14" t="s">
        <v>138</v>
      </c>
      <c r="Y1496" s="0" t="s">
        <v>138</v>
      </c>
      <c r="Z1496" s="14" t="s">
        <v>138</v>
      </c>
      <c r="AA1496" s="0" t="s">
        <v>138</v>
      </c>
      <c r="AB1496" s="14" t="s">
        <v>138</v>
      </c>
      <c r="AD1496" s="0" t="s">
        <v>138</v>
      </c>
      <c r="AF1496" s="0">
        <v>0</v>
      </c>
      <c r="AG1496" s="0">
        <v>0</v>
      </c>
      <c r="AH1496" s="0" t="s">
        <v>140</v>
      </c>
      <c r="AI1496" s="0" t="s">
        <v>138</v>
      </c>
      <c r="AK1496" s="0" t="s">
        <v>3145</v>
      </c>
      <c r="AL1496" s="14"/>
      <c r="AN1496" s="14"/>
      <c r="AQ1496" s="0" t="s">
        <v>130</v>
      </c>
      <c r="AR1496" s="0" t="s">
        <v>130</v>
      </c>
      <c r="AS1496" s="0" t="s">
        <v>141</v>
      </c>
      <c r="AT1496" s="0" t="s">
        <v>130</v>
      </c>
      <c r="AU1496" s="0" t="s">
        <v>130</v>
      </c>
      <c r="AV1496" s="0" t="s">
        <v>130</v>
      </c>
      <c r="AW1496" s="0" t="s">
        <v>130</v>
      </c>
      <c r="AX1496" s="0" t="s">
        <v>130</v>
      </c>
      <c r="AY1496" s="0" t="s">
        <v>130</v>
      </c>
      <c r="AZ1496" s="0" t="s">
        <v>130</v>
      </c>
      <c r="BA1496" s="0" t="s">
        <v>130</v>
      </c>
      <c r="BB1496" s="0" t="s">
        <v>130</v>
      </c>
      <c r="BC1496" s="0" t="s">
        <v>130</v>
      </c>
      <c r="BD1496" s="0" t="s">
        <v>130</v>
      </c>
      <c r="BE1496" s="0" t="s">
        <v>130</v>
      </c>
      <c r="BF1496" s="0" t="s">
        <v>130</v>
      </c>
      <c r="BG1496" s="0" t="s">
        <v>130</v>
      </c>
      <c r="BH1496" s="0" t="s">
        <v>130</v>
      </c>
      <c r="BI1496" s="0" t="s">
        <v>130</v>
      </c>
      <c r="BJ1496" s="0" t="s">
        <v>130</v>
      </c>
      <c r="BK1496" s="0" t="s">
        <v>130</v>
      </c>
      <c r="BL1496" s="0" t="s">
        <v>130</v>
      </c>
      <c r="BM1496" s="0" t="s">
        <v>130</v>
      </c>
      <c r="BN1496" s="0" t="s">
        <v>130</v>
      </c>
      <c r="BO1496" s="0" t="s">
        <v>130</v>
      </c>
      <c r="BP1496" s="0" t="s">
        <v>130</v>
      </c>
      <c r="BQ1496" s="0" t="s">
        <v>130</v>
      </c>
      <c r="BR1496" s="0" t="s">
        <v>130</v>
      </c>
      <c r="BS1496" s="0" t="s">
        <v>130</v>
      </c>
      <c r="BT1496" s="0" t="s">
        <v>130</v>
      </c>
      <c r="BU1496" s="0" t="s">
        <v>130</v>
      </c>
      <c r="BV1496" s="0" t="s">
        <v>130</v>
      </c>
      <c r="BW1496" s="0" t="s">
        <v>130</v>
      </c>
      <c r="BX1496" s="0" t="s">
        <v>130</v>
      </c>
      <c r="BY1496" s="0" t="s">
        <v>130</v>
      </c>
      <c r="BZ1496" s="0" t="s">
        <v>130</v>
      </c>
      <c r="CA1496" s="0" t="s">
        <v>130</v>
      </c>
      <c r="CB1496" s="0" t="s">
        <v>130</v>
      </c>
      <c r="CC1496" s="0" t="s">
        <v>130</v>
      </c>
      <c r="CD1496" s="0" t="s">
        <v>130</v>
      </c>
      <c r="CE1496" s="0" t="s">
        <v>130</v>
      </c>
      <c r="CF1496" s="0" t="s">
        <v>130</v>
      </c>
      <c r="CG1496" s="0" t="s">
        <v>130</v>
      </c>
      <c r="CH1496" s="0" t="s">
        <v>130</v>
      </c>
      <c r="CI1496" s="0" t="s">
        <v>130</v>
      </c>
      <c r="CJ1496" s="0" t="s">
        <v>130</v>
      </c>
      <c r="CK1496" s="0" t="s">
        <v>130</v>
      </c>
      <c r="CL1496" s="0" t="s">
        <v>130</v>
      </c>
      <c r="CM1496" s="0" t="s">
        <v>130</v>
      </c>
      <c r="CN1496" s="0" t="s">
        <v>130</v>
      </c>
      <c r="CO1496" s="0" t="s">
        <v>130</v>
      </c>
      <c r="CP1496" s="0" t="s">
        <v>130</v>
      </c>
      <c r="CQ1496" s="0" t="s">
        <v>130</v>
      </c>
      <c r="CR1496" s="0" t="s">
        <v>130</v>
      </c>
      <c r="CS1496" s="0" t="s">
        <v>130</v>
      </c>
      <c r="CT1496" s="0" t="s">
        <v>4334</v>
      </c>
    </row>
    <row r="1497">
      <c r="A1497" s="14">
        <v>28046509</v>
      </c>
      <c r="B1497" s="0" t="s">
        <v>4333</v>
      </c>
      <c r="C1497" s="16">
        <f>HYPERLINK("https://eosportal.federatedhermes.com/companies/Q29tcGFueQppNzM3NjA=", "AbbVie Inc")</f>
      </c>
      <c r="D1497" s="0" t="s">
        <v>25</v>
      </c>
      <c r="E1497" s="0" t="s">
        <v>1279</v>
      </c>
      <c r="F1497" s="16">
        <f>HYPERLINK("https://eosportal.federatedhermes.com/engagements/RW5nYWdlbWVudAppMjg0MDQ=", "COVID response")</f>
      </c>
      <c r="G1497" s="14" t="s">
        <v>4335</v>
      </c>
      <c r="H1497" s="0" t="s">
        <v>141</v>
      </c>
      <c r="I1497" s="14" t="s">
        <v>131</v>
      </c>
      <c r="J1497" s="0" t="s">
        <v>153</v>
      </c>
      <c r="K1497" s="0" t="s">
        <v>154</v>
      </c>
      <c r="L1497" s="0" t="s">
        <v>155</v>
      </c>
      <c r="M1497" s="0" t="s">
        <v>135</v>
      </c>
      <c r="N1497" s="0" t="s">
        <v>136</v>
      </c>
      <c r="O1497" s="0" t="s">
        <v>274</v>
      </c>
      <c r="Q1497" s="0" t="s">
        <v>130</v>
      </c>
      <c r="R1497" s="0" t="s">
        <v>138</v>
      </c>
      <c r="S1497" s="14">
        <v>0</v>
      </c>
      <c r="T1497" s="0" t="s">
        <v>148</v>
      </c>
      <c r="U1497" s="0" t="s">
        <v>138</v>
      </c>
      <c r="V1497" s="14" t="s">
        <v>138</v>
      </c>
      <c r="W1497" s="0" t="s">
        <v>138</v>
      </c>
      <c r="X1497" s="14" t="s">
        <v>138</v>
      </c>
      <c r="Y1497" s="0" t="s">
        <v>138</v>
      </c>
      <c r="Z1497" s="14" t="s">
        <v>138</v>
      </c>
      <c r="AA1497" s="0" t="s">
        <v>138</v>
      </c>
      <c r="AB1497" s="14" t="s">
        <v>138</v>
      </c>
      <c r="AD1497" s="0" t="s">
        <v>138</v>
      </c>
      <c r="AF1497" s="0">
        <v>0</v>
      </c>
      <c r="AG1497" s="0">
        <v>0</v>
      </c>
      <c r="AH1497" s="0" t="s">
        <v>140</v>
      </c>
      <c r="AI1497" s="0" t="s">
        <v>138</v>
      </c>
      <c r="AL1497" s="14"/>
      <c r="AN1497" s="14"/>
      <c r="AQ1497" s="0" t="s">
        <v>130</v>
      </c>
      <c r="AR1497" s="0" t="s">
        <v>130</v>
      </c>
      <c r="AS1497" s="0" t="s">
        <v>141</v>
      </c>
      <c r="AT1497" s="0" t="s">
        <v>130</v>
      </c>
      <c r="AU1497" s="0" t="s">
        <v>130</v>
      </c>
      <c r="AV1497" s="0" t="s">
        <v>130</v>
      </c>
      <c r="AW1497" s="0" t="s">
        <v>130</v>
      </c>
      <c r="AX1497" s="0" t="s">
        <v>130</v>
      </c>
      <c r="AY1497" s="0" t="s">
        <v>130</v>
      </c>
      <c r="AZ1497" s="0" t="s">
        <v>130</v>
      </c>
      <c r="BA1497" s="0" t="s">
        <v>130</v>
      </c>
      <c r="BB1497" s="0" t="s">
        <v>130</v>
      </c>
      <c r="BC1497" s="0" t="s">
        <v>130</v>
      </c>
      <c r="BD1497" s="0" t="s">
        <v>130</v>
      </c>
      <c r="BE1497" s="0" t="s">
        <v>130</v>
      </c>
      <c r="BF1497" s="0" t="s">
        <v>130</v>
      </c>
      <c r="BG1497" s="0" t="s">
        <v>130</v>
      </c>
      <c r="BH1497" s="0" t="s">
        <v>130</v>
      </c>
      <c r="BI1497" s="0" t="s">
        <v>130</v>
      </c>
      <c r="BJ1497" s="0" t="s">
        <v>130</v>
      </c>
      <c r="BK1497" s="0" t="s">
        <v>130</v>
      </c>
      <c r="BL1497" s="0" t="s">
        <v>130</v>
      </c>
      <c r="BM1497" s="0" t="s">
        <v>130</v>
      </c>
      <c r="BN1497" s="0" t="s">
        <v>130</v>
      </c>
      <c r="BO1497" s="0" t="s">
        <v>130</v>
      </c>
      <c r="BP1497" s="0" t="s">
        <v>130</v>
      </c>
      <c r="BQ1497" s="0" t="s">
        <v>130</v>
      </c>
      <c r="BR1497" s="0" t="s">
        <v>130</v>
      </c>
      <c r="BS1497" s="0" t="s">
        <v>130</v>
      </c>
      <c r="BT1497" s="0" t="s">
        <v>130</v>
      </c>
      <c r="BU1497" s="0" t="s">
        <v>130</v>
      </c>
      <c r="BV1497" s="0" t="s">
        <v>130</v>
      </c>
      <c r="BW1497" s="0" t="s">
        <v>130</v>
      </c>
      <c r="BX1497" s="0" t="s">
        <v>130</v>
      </c>
      <c r="BY1497" s="0" t="s">
        <v>130</v>
      </c>
      <c r="BZ1497" s="0" t="s">
        <v>130</v>
      </c>
      <c r="CA1497" s="0" t="s">
        <v>130</v>
      </c>
      <c r="CB1497" s="0" t="s">
        <v>130</v>
      </c>
      <c r="CC1497" s="0" t="s">
        <v>130</v>
      </c>
      <c r="CD1497" s="0" t="s">
        <v>130</v>
      </c>
      <c r="CE1497" s="0" t="s">
        <v>130</v>
      </c>
      <c r="CF1497" s="0" t="s">
        <v>130</v>
      </c>
      <c r="CG1497" s="0" t="s">
        <v>130</v>
      </c>
      <c r="CH1497" s="0" t="s">
        <v>130</v>
      </c>
      <c r="CI1497" s="0" t="s">
        <v>141</v>
      </c>
      <c r="CJ1497" s="0" t="s">
        <v>130</v>
      </c>
      <c r="CK1497" s="0" t="s">
        <v>130</v>
      </c>
      <c r="CL1497" s="0" t="s">
        <v>130</v>
      </c>
      <c r="CM1497" s="0" t="s">
        <v>130</v>
      </c>
      <c r="CN1497" s="0" t="s">
        <v>130</v>
      </c>
      <c r="CO1497" s="0" t="s">
        <v>130</v>
      </c>
      <c r="CP1497" s="0" t="s">
        <v>130</v>
      </c>
      <c r="CQ1497" s="0" t="s">
        <v>130</v>
      </c>
      <c r="CR1497" s="0" t="s">
        <v>130</v>
      </c>
      <c r="CS1497" s="0" t="s">
        <v>130</v>
      </c>
      <c r="CT1497" s="0" t="s">
        <v>4336</v>
      </c>
    </row>
    <row r="1498">
      <c r="A1498" s="14">
        <v>28046509</v>
      </c>
      <c r="B1498" s="0" t="s">
        <v>4333</v>
      </c>
      <c r="C1498" s="16">
        <f>HYPERLINK("https://eosportal.federatedhermes.com/companies/Q29tcGFueQppNzM3NjA=", "AbbVie Inc")</f>
      </c>
      <c r="D1498" s="0" t="s">
        <v>25</v>
      </c>
      <c r="E1498" s="0" t="s">
        <v>4337</v>
      </c>
      <c r="F1498" s="16">
        <f>HYPERLINK("https://eosportal.federatedhermes.com/engagements/RW5nYWdlbWVudAppMjg0MDU=", "Ethics of artificial intelligence")</f>
      </c>
      <c r="G1498" s="14" t="s">
        <v>4338</v>
      </c>
      <c r="H1498" s="0" t="s">
        <v>141</v>
      </c>
      <c r="I1498" s="14" t="s">
        <v>131</v>
      </c>
      <c r="J1498" s="0" t="s">
        <v>153</v>
      </c>
      <c r="K1498" s="0" t="s">
        <v>243</v>
      </c>
      <c r="L1498" s="0" t="s">
        <v>537</v>
      </c>
      <c r="M1498" s="0" t="s">
        <v>135</v>
      </c>
      <c r="N1498" s="0" t="s">
        <v>136</v>
      </c>
      <c r="O1498" s="0" t="s">
        <v>274</v>
      </c>
      <c r="Q1498" s="0" t="s">
        <v>130</v>
      </c>
      <c r="R1498" s="0" t="s">
        <v>138</v>
      </c>
      <c r="S1498" s="14">
        <v>0</v>
      </c>
      <c r="T1498" s="0" t="s">
        <v>206</v>
      </c>
      <c r="U1498" s="0" t="s">
        <v>138</v>
      </c>
      <c r="V1498" s="14" t="s">
        <v>138</v>
      </c>
      <c r="W1498" s="0" t="s">
        <v>138</v>
      </c>
      <c r="X1498" s="14" t="s">
        <v>138</v>
      </c>
      <c r="Y1498" s="0" t="s">
        <v>138</v>
      </c>
      <c r="Z1498" s="14" t="s">
        <v>138</v>
      </c>
      <c r="AA1498" s="0" t="s">
        <v>138</v>
      </c>
      <c r="AB1498" s="14" t="s">
        <v>138</v>
      </c>
      <c r="AD1498" s="0" t="s">
        <v>138</v>
      </c>
      <c r="AF1498" s="0">
        <v>0</v>
      </c>
      <c r="AG1498" s="0">
        <v>0</v>
      </c>
      <c r="AH1498" s="0" t="s">
        <v>140</v>
      </c>
      <c r="AI1498" s="0" t="s">
        <v>138</v>
      </c>
      <c r="AL1498" s="14"/>
      <c r="AN1498" s="14"/>
      <c r="AQ1498" s="0" t="s">
        <v>130</v>
      </c>
      <c r="AR1498" s="0" t="s">
        <v>130</v>
      </c>
      <c r="AS1498" s="0" t="s">
        <v>130</v>
      </c>
      <c r="AT1498" s="0" t="s">
        <v>130</v>
      </c>
      <c r="AU1498" s="0" t="s">
        <v>130</v>
      </c>
      <c r="AV1498" s="0" t="s">
        <v>130</v>
      </c>
      <c r="AW1498" s="0" t="s">
        <v>130</v>
      </c>
      <c r="AX1498" s="0" t="s">
        <v>130</v>
      </c>
      <c r="AY1498" s="0" t="s">
        <v>130</v>
      </c>
      <c r="AZ1498" s="0" t="s">
        <v>130</v>
      </c>
      <c r="BA1498" s="0" t="s">
        <v>130</v>
      </c>
      <c r="BB1498" s="0" t="s">
        <v>130</v>
      </c>
      <c r="BC1498" s="0" t="s">
        <v>130</v>
      </c>
      <c r="BD1498" s="0" t="s">
        <v>130</v>
      </c>
      <c r="BE1498" s="0" t="s">
        <v>130</v>
      </c>
      <c r="BF1498" s="0" t="s">
        <v>141</v>
      </c>
      <c r="BG1498" s="0" t="s">
        <v>130</v>
      </c>
      <c r="BH1498" s="0" t="s">
        <v>130</v>
      </c>
      <c r="BI1498" s="0" t="s">
        <v>130</v>
      </c>
      <c r="BJ1498" s="0" t="s">
        <v>130</v>
      </c>
      <c r="BK1498" s="0" t="s">
        <v>130</v>
      </c>
      <c r="BL1498" s="0" t="s">
        <v>130</v>
      </c>
      <c r="BM1498" s="0" t="s">
        <v>130</v>
      </c>
      <c r="BN1498" s="0" t="s">
        <v>130</v>
      </c>
      <c r="BO1498" s="0" t="s">
        <v>130</v>
      </c>
      <c r="BP1498" s="0" t="s">
        <v>130</v>
      </c>
      <c r="BQ1498" s="0" t="s">
        <v>130</v>
      </c>
      <c r="BR1498" s="0" t="s">
        <v>130</v>
      </c>
      <c r="BS1498" s="0" t="s">
        <v>130</v>
      </c>
      <c r="BT1498" s="0" t="s">
        <v>130</v>
      </c>
      <c r="BU1498" s="0" t="s">
        <v>130</v>
      </c>
      <c r="BV1498" s="0" t="s">
        <v>130</v>
      </c>
      <c r="BW1498" s="0" t="s">
        <v>130</v>
      </c>
      <c r="BX1498" s="0" t="s">
        <v>130</v>
      </c>
      <c r="BY1498" s="0" t="s">
        <v>130</v>
      </c>
      <c r="BZ1498" s="0" t="s">
        <v>130</v>
      </c>
      <c r="CA1498" s="0" t="s">
        <v>130</v>
      </c>
      <c r="CB1498" s="0" t="s">
        <v>130</v>
      </c>
      <c r="CC1498" s="0" t="s">
        <v>130</v>
      </c>
      <c r="CD1498" s="0" t="s">
        <v>130</v>
      </c>
      <c r="CE1498" s="0" t="s">
        <v>130</v>
      </c>
      <c r="CF1498" s="0" t="s">
        <v>130</v>
      </c>
      <c r="CG1498" s="0" t="s">
        <v>130</v>
      </c>
      <c r="CH1498" s="0" t="s">
        <v>130</v>
      </c>
      <c r="CI1498" s="0" t="s">
        <v>130</v>
      </c>
      <c r="CJ1498" s="0" t="s">
        <v>130</v>
      </c>
      <c r="CK1498" s="0" t="s">
        <v>130</v>
      </c>
      <c r="CL1498" s="0" t="s">
        <v>130</v>
      </c>
      <c r="CM1498" s="0" t="s">
        <v>130</v>
      </c>
      <c r="CN1498" s="0" t="s">
        <v>130</v>
      </c>
      <c r="CO1498" s="0" t="s">
        <v>130</v>
      </c>
      <c r="CP1498" s="0" t="s">
        <v>130</v>
      </c>
      <c r="CQ1498" s="0" t="s">
        <v>130</v>
      </c>
      <c r="CR1498" s="0" t="s">
        <v>130</v>
      </c>
      <c r="CS1498" s="0" t="s">
        <v>130</v>
      </c>
      <c r="CT1498" s="0" t="s">
        <v>4339</v>
      </c>
    </row>
    <row r="1499">
      <c r="A1499" s="14">
        <v>28046509</v>
      </c>
      <c r="B1499" s="0" t="s">
        <v>4333</v>
      </c>
      <c r="C1499" s="16">
        <f>HYPERLINK("https://eosportal.federatedhermes.com/companies/Q29tcGFueQppNzM3NjA=", "AbbVie Inc")</f>
      </c>
      <c r="D1499" s="0" t="s">
        <v>25</v>
      </c>
      <c r="E1499" s="0" t="s">
        <v>729</v>
      </c>
      <c r="F1499" s="16">
        <f>HYPERLINK("https://eosportal.federatedhermes.com/engagements/RW5nYWdlbWVudAppMjg0MDY=", "Board diversity")</f>
      </c>
      <c r="G1499" s="14" t="s">
        <v>4340</v>
      </c>
      <c r="H1499" s="0" t="s">
        <v>141</v>
      </c>
      <c r="I1499" s="14" t="s">
        <v>131</v>
      </c>
      <c r="J1499" s="0" t="s">
        <v>145</v>
      </c>
      <c r="K1499" s="0" t="s">
        <v>164</v>
      </c>
      <c r="L1499" s="0" t="s">
        <v>165</v>
      </c>
      <c r="M1499" s="0" t="s">
        <v>135</v>
      </c>
      <c r="N1499" s="0" t="s">
        <v>136</v>
      </c>
      <c r="O1499" s="0" t="s">
        <v>274</v>
      </c>
      <c r="Q1499" s="0" t="s">
        <v>130</v>
      </c>
      <c r="R1499" s="0" t="s">
        <v>138</v>
      </c>
      <c r="S1499" s="14">
        <v>0</v>
      </c>
      <c r="T1499" s="0" t="s">
        <v>1145</v>
      </c>
      <c r="U1499" s="0" t="s">
        <v>138</v>
      </c>
      <c r="V1499" s="14" t="s">
        <v>138</v>
      </c>
      <c r="W1499" s="0" t="s">
        <v>138</v>
      </c>
      <c r="X1499" s="14" t="s">
        <v>138</v>
      </c>
      <c r="Y1499" s="0" t="s">
        <v>138</v>
      </c>
      <c r="Z1499" s="14" t="s">
        <v>138</v>
      </c>
      <c r="AA1499" s="0" t="s">
        <v>138</v>
      </c>
      <c r="AB1499" s="14" t="s">
        <v>138</v>
      </c>
      <c r="AD1499" s="0" t="s">
        <v>138</v>
      </c>
      <c r="AF1499" s="0">
        <v>0</v>
      </c>
      <c r="AG1499" s="0">
        <v>0</v>
      </c>
      <c r="AH1499" s="0" t="s">
        <v>140</v>
      </c>
      <c r="AI1499" s="0" t="s">
        <v>138</v>
      </c>
      <c r="AL1499" s="14"/>
      <c r="AN1499" s="14"/>
      <c r="AQ1499" s="0" t="s">
        <v>130</v>
      </c>
      <c r="AR1499" s="0" t="s">
        <v>130</v>
      </c>
      <c r="AS1499" s="0" t="s">
        <v>130</v>
      </c>
      <c r="AT1499" s="0" t="s">
        <v>130</v>
      </c>
      <c r="AU1499" s="0" t="s">
        <v>141</v>
      </c>
      <c r="AV1499" s="0" t="s">
        <v>130</v>
      </c>
      <c r="AW1499" s="0" t="s">
        <v>130</v>
      </c>
      <c r="AX1499" s="0" t="s">
        <v>130</v>
      </c>
      <c r="AY1499" s="0" t="s">
        <v>130</v>
      </c>
      <c r="AZ1499" s="0" t="s">
        <v>141</v>
      </c>
      <c r="BA1499" s="0" t="s">
        <v>130</v>
      </c>
      <c r="BB1499" s="0" t="s">
        <v>130</v>
      </c>
      <c r="BC1499" s="0" t="s">
        <v>130</v>
      </c>
      <c r="BD1499" s="0" t="s">
        <v>130</v>
      </c>
      <c r="BE1499" s="0" t="s">
        <v>130</v>
      </c>
      <c r="BF1499" s="0" t="s">
        <v>130</v>
      </c>
      <c r="BG1499" s="0" t="s">
        <v>130</v>
      </c>
      <c r="BH1499" s="0" t="s">
        <v>130</v>
      </c>
      <c r="BI1499" s="0" t="s">
        <v>130</v>
      </c>
      <c r="BJ1499" s="0" t="s">
        <v>130</v>
      </c>
      <c r="BK1499" s="0" t="s">
        <v>130</v>
      </c>
      <c r="BL1499" s="0" t="s">
        <v>130</v>
      </c>
      <c r="BM1499" s="0" t="s">
        <v>130</v>
      </c>
      <c r="BN1499" s="0" t="s">
        <v>130</v>
      </c>
      <c r="BO1499" s="0" t="s">
        <v>130</v>
      </c>
      <c r="BP1499" s="0" t="s">
        <v>130</v>
      </c>
      <c r="BQ1499" s="0" t="s">
        <v>130</v>
      </c>
      <c r="BR1499" s="0" t="s">
        <v>130</v>
      </c>
      <c r="BS1499" s="0" t="s">
        <v>130</v>
      </c>
      <c r="BT1499" s="0" t="s">
        <v>130</v>
      </c>
      <c r="BU1499" s="0" t="s">
        <v>130</v>
      </c>
      <c r="BV1499" s="0" t="s">
        <v>130</v>
      </c>
      <c r="BW1499" s="0" t="s">
        <v>130</v>
      </c>
      <c r="BX1499" s="0" t="s">
        <v>130</v>
      </c>
      <c r="BY1499" s="0" t="s">
        <v>130</v>
      </c>
      <c r="BZ1499" s="0" t="s">
        <v>130</v>
      </c>
      <c r="CA1499" s="0" t="s">
        <v>130</v>
      </c>
      <c r="CB1499" s="0" t="s">
        <v>130</v>
      </c>
      <c r="CC1499" s="0" t="s">
        <v>130</v>
      </c>
      <c r="CD1499" s="0" t="s">
        <v>130</v>
      </c>
      <c r="CE1499" s="0" t="s">
        <v>130</v>
      </c>
      <c r="CF1499" s="0" t="s">
        <v>130</v>
      </c>
      <c r="CG1499" s="0" t="s">
        <v>130</v>
      </c>
      <c r="CH1499" s="0" t="s">
        <v>130</v>
      </c>
      <c r="CI1499" s="0" t="s">
        <v>130</v>
      </c>
      <c r="CJ1499" s="0" t="s">
        <v>130</v>
      </c>
      <c r="CK1499" s="0" t="s">
        <v>130</v>
      </c>
      <c r="CL1499" s="0" t="s">
        <v>130</v>
      </c>
      <c r="CM1499" s="0" t="s">
        <v>130</v>
      </c>
      <c r="CN1499" s="0" t="s">
        <v>130</v>
      </c>
      <c r="CO1499" s="0" t="s">
        <v>130</v>
      </c>
      <c r="CP1499" s="0" t="s">
        <v>130</v>
      </c>
      <c r="CQ1499" s="0" t="s">
        <v>130</v>
      </c>
      <c r="CR1499" s="0" t="s">
        <v>130</v>
      </c>
      <c r="CS1499" s="0" t="s">
        <v>130</v>
      </c>
      <c r="CT1499" s="0" t="s">
        <v>4341</v>
      </c>
    </row>
    <row r="1500">
      <c r="A1500" s="14">
        <v>28046509</v>
      </c>
      <c r="B1500" s="0" t="s">
        <v>4333</v>
      </c>
      <c r="C1500" s="16">
        <f>HYPERLINK("https://eosportal.federatedhermes.com/companies/Q29tcGFueQppNzM3NjA=", "AbbVie Inc")</f>
      </c>
      <c r="D1500" s="0" t="s">
        <v>25</v>
      </c>
      <c r="E1500" s="0" t="s">
        <v>1900</v>
      </c>
      <c r="F1500" s="16">
        <f>HYPERLINK("https://eosportal.federatedhermes.com/engagements/RW5nYWdlbWVudAppMjg0MDc=", "Business purpose")</f>
      </c>
      <c r="G1500" s="14" t="s">
        <v>4342</v>
      </c>
      <c r="H1500" s="0" t="s">
        <v>141</v>
      </c>
      <c r="I1500" s="14" t="s">
        <v>131</v>
      </c>
      <c r="J1500" s="0" t="s">
        <v>132</v>
      </c>
      <c r="K1500" s="0" t="s">
        <v>133</v>
      </c>
      <c r="L1500" s="0" t="s">
        <v>134</v>
      </c>
      <c r="M1500" s="0" t="s">
        <v>135</v>
      </c>
      <c r="N1500" s="0" t="s">
        <v>136</v>
      </c>
      <c r="O1500" s="0" t="s">
        <v>274</v>
      </c>
      <c r="Q1500" s="0" t="s">
        <v>130</v>
      </c>
      <c r="R1500" s="0" t="s">
        <v>138</v>
      </c>
      <c r="S1500" s="14">
        <v>0</v>
      </c>
      <c r="T1500" s="0" t="s">
        <v>1145</v>
      </c>
      <c r="U1500" s="0" t="s">
        <v>138</v>
      </c>
      <c r="V1500" s="14" t="s">
        <v>138</v>
      </c>
      <c r="W1500" s="0" t="s">
        <v>138</v>
      </c>
      <c r="X1500" s="14" t="s">
        <v>138</v>
      </c>
      <c r="Y1500" s="0" t="s">
        <v>138</v>
      </c>
      <c r="Z1500" s="14" t="s">
        <v>138</v>
      </c>
      <c r="AA1500" s="0" t="s">
        <v>138</v>
      </c>
      <c r="AB1500" s="14" t="s">
        <v>138</v>
      </c>
      <c r="AD1500" s="0" t="s">
        <v>138</v>
      </c>
      <c r="AF1500" s="0">
        <v>0</v>
      </c>
      <c r="AG1500" s="0">
        <v>0</v>
      </c>
      <c r="AH1500" s="0" t="s">
        <v>140</v>
      </c>
      <c r="AI1500" s="0" t="s">
        <v>138</v>
      </c>
      <c r="AL1500" s="14"/>
      <c r="AN1500" s="14"/>
      <c r="AQ1500" s="0" t="s">
        <v>130</v>
      </c>
      <c r="AR1500" s="0" t="s">
        <v>130</v>
      </c>
      <c r="AS1500" s="0" t="s">
        <v>130</v>
      </c>
      <c r="AT1500" s="0" t="s">
        <v>130</v>
      </c>
      <c r="AU1500" s="0" t="s">
        <v>130</v>
      </c>
      <c r="AV1500" s="0" t="s">
        <v>130</v>
      </c>
      <c r="AW1500" s="0" t="s">
        <v>130</v>
      </c>
      <c r="AX1500" s="0" t="s">
        <v>130</v>
      </c>
      <c r="AY1500" s="0" t="s">
        <v>130</v>
      </c>
      <c r="AZ1500" s="0" t="s">
        <v>130</v>
      </c>
      <c r="BA1500" s="0" t="s">
        <v>130</v>
      </c>
      <c r="BB1500" s="0" t="s">
        <v>130</v>
      </c>
      <c r="BC1500" s="0" t="s">
        <v>130</v>
      </c>
      <c r="BD1500" s="0" t="s">
        <v>130</v>
      </c>
      <c r="BE1500" s="0" t="s">
        <v>130</v>
      </c>
      <c r="BF1500" s="0" t="s">
        <v>130</v>
      </c>
      <c r="BG1500" s="0" t="s">
        <v>130</v>
      </c>
      <c r="BH1500" s="0" t="s">
        <v>130</v>
      </c>
      <c r="BI1500" s="0" t="s">
        <v>130</v>
      </c>
      <c r="BJ1500" s="0" t="s">
        <v>130</v>
      </c>
      <c r="BK1500" s="0" t="s">
        <v>130</v>
      </c>
      <c r="BL1500" s="0" t="s">
        <v>130</v>
      </c>
      <c r="BM1500" s="0" t="s">
        <v>130</v>
      </c>
      <c r="BN1500" s="0" t="s">
        <v>130</v>
      </c>
      <c r="BO1500" s="0" t="s">
        <v>130</v>
      </c>
      <c r="BP1500" s="0" t="s">
        <v>130</v>
      </c>
      <c r="BQ1500" s="0" t="s">
        <v>130</v>
      </c>
      <c r="BR1500" s="0" t="s">
        <v>130</v>
      </c>
      <c r="BS1500" s="0" t="s">
        <v>130</v>
      </c>
      <c r="BT1500" s="0" t="s">
        <v>130</v>
      </c>
      <c r="BU1500" s="0" t="s">
        <v>130</v>
      </c>
      <c r="BV1500" s="0" t="s">
        <v>130</v>
      </c>
      <c r="BW1500" s="0" t="s">
        <v>130</v>
      </c>
      <c r="BX1500" s="0" t="s">
        <v>130</v>
      </c>
      <c r="BY1500" s="0" t="s">
        <v>130</v>
      </c>
      <c r="BZ1500" s="0" t="s">
        <v>130</v>
      </c>
      <c r="CA1500" s="0" t="s">
        <v>130</v>
      </c>
      <c r="CB1500" s="0" t="s">
        <v>130</v>
      </c>
      <c r="CC1500" s="0" t="s">
        <v>130</v>
      </c>
      <c r="CD1500" s="0" t="s">
        <v>130</v>
      </c>
      <c r="CE1500" s="0" t="s">
        <v>130</v>
      </c>
      <c r="CF1500" s="0" t="s">
        <v>130</v>
      </c>
      <c r="CG1500" s="0" t="s">
        <v>130</v>
      </c>
      <c r="CH1500" s="0" t="s">
        <v>130</v>
      </c>
      <c r="CI1500" s="0" t="s">
        <v>130</v>
      </c>
      <c r="CJ1500" s="0" t="s">
        <v>130</v>
      </c>
      <c r="CK1500" s="0" t="s">
        <v>130</v>
      </c>
      <c r="CL1500" s="0" t="s">
        <v>130</v>
      </c>
      <c r="CM1500" s="0" t="s">
        <v>130</v>
      </c>
      <c r="CN1500" s="0" t="s">
        <v>130</v>
      </c>
      <c r="CO1500" s="0" t="s">
        <v>130</v>
      </c>
      <c r="CP1500" s="0" t="s">
        <v>130</v>
      </c>
      <c r="CQ1500" s="0" t="s">
        <v>130</v>
      </c>
      <c r="CR1500" s="0" t="s">
        <v>130</v>
      </c>
      <c r="CS1500" s="0" t="s">
        <v>130</v>
      </c>
      <c r="CT1500" s="0" t="s">
        <v>4343</v>
      </c>
    </row>
    <row r="1501">
      <c r="A1501" s="14">
        <v>28046509</v>
      </c>
      <c r="B1501" s="0" t="s">
        <v>4333</v>
      </c>
      <c r="C1501" s="16">
        <f>HYPERLINK("https://eosportal.federatedhermes.com/companies/Q29tcGFueQppNzM3NjA=", "AbbVie Inc")</f>
      </c>
      <c r="D1501" s="0" t="s">
        <v>25</v>
      </c>
      <c r="E1501" s="0" t="s">
        <v>4344</v>
      </c>
      <c r="F1501" s="16">
        <f>HYPERLINK("https://eosportal.federatedhermes.com/engagements/RW5nYWdlbWVudAppMjg0MDg=", "Political and lobbying activity")</f>
      </c>
      <c r="G1501" s="14" t="s">
        <v>4345</v>
      </c>
      <c r="H1501" s="0" t="s">
        <v>141</v>
      </c>
      <c r="I1501" s="14" t="s">
        <v>131</v>
      </c>
      <c r="J1501" s="0" t="s">
        <v>132</v>
      </c>
      <c r="K1501" s="0" t="s">
        <v>170</v>
      </c>
      <c r="L1501" s="0" t="s">
        <v>171</v>
      </c>
      <c r="M1501" s="0" t="s">
        <v>135</v>
      </c>
      <c r="N1501" s="0" t="s">
        <v>136</v>
      </c>
      <c r="O1501" s="0" t="s">
        <v>274</v>
      </c>
      <c r="Q1501" s="0" t="s">
        <v>130</v>
      </c>
      <c r="R1501" s="0" t="s">
        <v>138</v>
      </c>
      <c r="S1501" s="14">
        <v>0</v>
      </c>
      <c r="T1501" s="0" t="s">
        <v>416</v>
      </c>
      <c r="U1501" s="0" t="s">
        <v>138</v>
      </c>
      <c r="V1501" s="14" t="s">
        <v>138</v>
      </c>
      <c r="W1501" s="0" t="s">
        <v>138</v>
      </c>
      <c r="X1501" s="14" t="s">
        <v>138</v>
      </c>
      <c r="Y1501" s="0" t="s">
        <v>138</v>
      </c>
      <c r="Z1501" s="14" t="s">
        <v>138</v>
      </c>
      <c r="AA1501" s="0" t="s">
        <v>138</v>
      </c>
      <c r="AB1501" s="14" t="s">
        <v>138</v>
      </c>
      <c r="AD1501" s="0" t="s">
        <v>138</v>
      </c>
      <c r="AF1501" s="0">
        <v>0</v>
      </c>
      <c r="AG1501" s="0">
        <v>0</v>
      </c>
      <c r="AH1501" s="0" t="s">
        <v>140</v>
      </c>
      <c r="AI1501" s="0" t="s">
        <v>138</v>
      </c>
      <c r="AL1501" s="14"/>
      <c r="AN1501" s="14"/>
      <c r="AQ1501" s="0" t="s">
        <v>130</v>
      </c>
      <c r="AR1501" s="0" t="s">
        <v>130</v>
      </c>
      <c r="AS1501" s="0" t="s">
        <v>130</v>
      </c>
      <c r="AT1501" s="0" t="s">
        <v>130</v>
      </c>
      <c r="AU1501" s="0" t="s">
        <v>130</v>
      </c>
      <c r="AV1501" s="0" t="s">
        <v>130</v>
      </c>
      <c r="AW1501" s="0" t="s">
        <v>130</v>
      </c>
      <c r="AX1501" s="0" t="s">
        <v>130</v>
      </c>
      <c r="AY1501" s="0" t="s">
        <v>130</v>
      </c>
      <c r="AZ1501" s="0" t="s">
        <v>130</v>
      </c>
      <c r="BA1501" s="0" t="s">
        <v>130</v>
      </c>
      <c r="BB1501" s="0" t="s">
        <v>130</v>
      </c>
      <c r="BC1501" s="0" t="s">
        <v>130</v>
      </c>
      <c r="BD1501" s="0" t="s">
        <v>130</v>
      </c>
      <c r="BE1501" s="0" t="s">
        <v>130</v>
      </c>
      <c r="BF1501" s="0" t="s">
        <v>130</v>
      </c>
      <c r="BG1501" s="0" t="s">
        <v>130</v>
      </c>
      <c r="BH1501" s="0" t="s">
        <v>130</v>
      </c>
      <c r="BI1501" s="0" t="s">
        <v>130</v>
      </c>
      <c r="BJ1501" s="0" t="s">
        <v>130</v>
      </c>
      <c r="BK1501" s="0" t="s">
        <v>130</v>
      </c>
      <c r="BL1501" s="0" t="s">
        <v>130</v>
      </c>
      <c r="BM1501" s="0" t="s">
        <v>130</v>
      </c>
      <c r="BN1501" s="0" t="s">
        <v>130</v>
      </c>
      <c r="BO1501" s="0" t="s">
        <v>130</v>
      </c>
      <c r="BP1501" s="0" t="s">
        <v>130</v>
      </c>
      <c r="BQ1501" s="0" t="s">
        <v>130</v>
      </c>
      <c r="BR1501" s="0" t="s">
        <v>130</v>
      </c>
      <c r="BS1501" s="0" t="s">
        <v>130</v>
      </c>
      <c r="BT1501" s="0" t="s">
        <v>130</v>
      </c>
      <c r="BU1501" s="0" t="s">
        <v>130</v>
      </c>
      <c r="BV1501" s="0" t="s">
        <v>130</v>
      </c>
      <c r="BW1501" s="0" t="s">
        <v>130</v>
      </c>
      <c r="BX1501" s="0" t="s">
        <v>130</v>
      </c>
      <c r="BY1501" s="0" t="s">
        <v>130</v>
      </c>
      <c r="BZ1501" s="0" t="s">
        <v>130</v>
      </c>
      <c r="CA1501" s="0" t="s">
        <v>130</v>
      </c>
      <c r="CB1501" s="0" t="s">
        <v>130</v>
      </c>
      <c r="CC1501" s="0" t="s">
        <v>130</v>
      </c>
      <c r="CD1501" s="0" t="s">
        <v>130</v>
      </c>
      <c r="CE1501" s="0" t="s">
        <v>130</v>
      </c>
      <c r="CF1501" s="0" t="s">
        <v>130</v>
      </c>
      <c r="CG1501" s="0" t="s">
        <v>130</v>
      </c>
      <c r="CH1501" s="0" t="s">
        <v>130</v>
      </c>
      <c r="CI1501" s="0" t="s">
        <v>130</v>
      </c>
      <c r="CJ1501" s="0" t="s">
        <v>130</v>
      </c>
      <c r="CK1501" s="0" t="s">
        <v>130</v>
      </c>
      <c r="CL1501" s="0" t="s">
        <v>130</v>
      </c>
      <c r="CM1501" s="0" t="s">
        <v>130</v>
      </c>
      <c r="CN1501" s="0" t="s">
        <v>130</v>
      </c>
      <c r="CO1501" s="0" t="s">
        <v>130</v>
      </c>
      <c r="CP1501" s="0" t="s">
        <v>130</v>
      </c>
      <c r="CQ1501" s="0" t="s">
        <v>130</v>
      </c>
      <c r="CR1501" s="0" t="s">
        <v>130</v>
      </c>
      <c r="CS1501" s="0" t="s">
        <v>130</v>
      </c>
      <c r="CT1501" s="0" t="s">
        <v>4346</v>
      </c>
    </row>
    <row r="1502">
      <c r="A1502" s="14">
        <v>28046509</v>
      </c>
      <c r="B1502" s="0" t="s">
        <v>4333</v>
      </c>
      <c r="C1502" s="16">
        <f>HYPERLINK("https://eosportal.federatedhermes.com/companies/Q29tcGFueQppNzM3NjA=", "AbbVie Inc")</f>
      </c>
      <c r="D1502" s="0" t="s">
        <v>25</v>
      </c>
      <c r="E1502" s="0" t="s">
        <v>4347</v>
      </c>
      <c r="F1502" s="16">
        <f>HYPERLINK("https://eosportal.federatedhermes.com/engagements/RW5nYWdlbWVudAppMjg0MTQ=", "Lobbying activity")</f>
      </c>
      <c r="G1502" s="14" t="s">
        <v>4348</v>
      </c>
      <c r="H1502" s="0" t="s">
        <v>141</v>
      </c>
      <c r="I1502" s="14" t="s">
        <v>131</v>
      </c>
      <c r="J1502" s="0" t="s">
        <v>153</v>
      </c>
      <c r="K1502" s="0" t="s">
        <v>185</v>
      </c>
      <c r="L1502" s="0" t="s">
        <v>186</v>
      </c>
      <c r="M1502" s="0" t="s">
        <v>135</v>
      </c>
      <c r="N1502" s="0" t="s">
        <v>136</v>
      </c>
      <c r="O1502" s="0" t="s">
        <v>274</v>
      </c>
      <c r="Q1502" s="0" t="s">
        <v>130</v>
      </c>
      <c r="R1502" s="0" t="s">
        <v>138</v>
      </c>
      <c r="S1502" s="14">
        <v>0</v>
      </c>
      <c r="T1502" s="0" t="s">
        <v>416</v>
      </c>
      <c r="U1502" s="0" t="s">
        <v>138</v>
      </c>
      <c r="V1502" s="14" t="s">
        <v>138</v>
      </c>
      <c r="W1502" s="0" t="s">
        <v>138</v>
      </c>
      <c r="X1502" s="14" t="s">
        <v>138</v>
      </c>
      <c r="Y1502" s="0" t="s">
        <v>138</v>
      </c>
      <c r="Z1502" s="14" t="s">
        <v>138</v>
      </c>
      <c r="AA1502" s="0" t="s">
        <v>138</v>
      </c>
      <c r="AB1502" s="14" t="s">
        <v>138</v>
      </c>
      <c r="AD1502" s="0" t="s">
        <v>138</v>
      </c>
      <c r="AF1502" s="0">
        <v>0</v>
      </c>
      <c r="AG1502" s="0">
        <v>0</v>
      </c>
      <c r="AH1502" s="0" t="s">
        <v>140</v>
      </c>
      <c r="AI1502" s="0" t="s">
        <v>138</v>
      </c>
      <c r="AL1502" s="14"/>
      <c r="AN1502" s="14"/>
      <c r="AQ1502" s="0" t="s">
        <v>130</v>
      </c>
      <c r="AR1502" s="0" t="s">
        <v>130</v>
      </c>
      <c r="AS1502" s="0" t="s">
        <v>130</v>
      </c>
      <c r="AT1502" s="0" t="s">
        <v>130</v>
      </c>
      <c r="AU1502" s="0" t="s">
        <v>130</v>
      </c>
      <c r="AV1502" s="0" t="s">
        <v>130</v>
      </c>
      <c r="AW1502" s="0" t="s">
        <v>130</v>
      </c>
      <c r="AX1502" s="0" t="s">
        <v>130</v>
      </c>
      <c r="AY1502" s="0" t="s">
        <v>130</v>
      </c>
      <c r="AZ1502" s="0" t="s">
        <v>130</v>
      </c>
      <c r="BA1502" s="0" t="s">
        <v>130</v>
      </c>
      <c r="BB1502" s="0" t="s">
        <v>130</v>
      </c>
      <c r="BC1502" s="0" t="s">
        <v>130</v>
      </c>
      <c r="BD1502" s="0" t="s">
        <v>130</v>
      </c>
      <c r="BE1502" s="0" t="s">
        <v>130</v>
      </c>
      <c r="BF1502" s="0" t="s">
        <v>130</v>
      </c>
      <c r="BG1502" s="0" t="s">
        <v>130</v>
      </c>
      <c r="BH1502" s="0" t="s">
        <v>130</v>
      </c>
      <c r="BI1502" s="0" t="s">
        <v>130</v>
      </c>
      <c r="BJ1502" s="0" t="s">
        <v>130</v>
      </c>
      <c r="BK1502" s="0" t="s">
        <v>130</v>
      </c>
      <c r="BL1502" s="0" t="s">
        <v>130</v>
      </c>
      <c r="BM1502" s="0" t="s">
        <v>130</v>
      </c>
      <c r="BN1502" s="0" t="s">
        <v>130</v>
      </c>
      <c r="BO1502" s="0" t="s">
        <v>130</v>
      </c>
      <c r="BP1502" s="0" t="s">
        <v>130</v>
      </c>
      <c r="BQ1502" s="0" t="s">
        <v>130</v>
      </c>
      <c r="BR1502" s="0" t="s">
        <v>130</v>
      </c>
      <c r="BS1502" s="0" t="s">
        <v>130</v>
      </c>
      <c r="BT1502" s="0" t="s">
        <v>130</v>
      </c>
      <c r="BU1502" s="0" t="s">
        <v>130</v>
      </c>
      <c r="BV1502" s="0" t="s">
        <v>130</v>
      </c>
      <c r="BW1502" s="0" t="s">
        <v>130</v>
      </c>
      <c r="BX1502" s="0" t="s">
        <v>130</v>
      </c>
      <c r="BY1502" s="0" t="s">
        <v>130</v>
      </c>
      <c r="BZ1502" s="0" t="s">
        <v>130</v>
      </c>
      <c r="CA1502" s="0" t="s">
        <v>130</v>
      </c>
      <c r="CB1502" s="0" t="s">
        <v>130</v>
      </c>
      <c r="CC1502" s="0" t="s">
        <v>130</v>
      </c>
      <c r="CD1502" s="0" t="s">
        <v>130</v>
      </c>
      <c r="CE1502" s="0" t="s">
        <v>130</v>
      </c>
      <c r="CF1502" s="0" t="s">
        <v>130</v>
      </c>
      <c r="CG1502" s="0" t="s">
        <v>130</v>
      </c>
      <c r="CH1502" s="0" t="s">
        <v>130</v>
      </c>
      <c r="CI1502" s="0" t="s">
        <v>130</v>
      </c>
      <c r="CJ1502" s="0" t="s">
        <v>130</v>
      </c>
      <c r="CK1502" s="0" t="s">
        <v>130</v>
      </c>
      <c r="CL1502" s="0" t="s">
        <v>130</v>
      </c>
      <c r="CM1502" s="0" t="s">
        <v>130</v>
      </c>
      <c r="CN1502" s="0" t="s">
        <v>130</v>
      </c>
      <c r="CO1502" s="0" t="s">
        <v>130</v>
      </c>
      <c r="CP1502" s="0" t="s">
        <v>130</v>
      </c>
      <c r="CQ1502" s="0" t="s">
        <v>130</v>
      </c>
      <c r="CR1502" s="0" t="s">
        <v>130</v>
      </c>
      <c r="CS1502" s="0" t="s">
        <v>130</v>
      </c>
      <c r="CT1502" s="0" t="s">
        <v>4349</v>
      </c>
    </row>
    <row r="1503">
      <c r="A1503" s="14">
        <v>28399721</v>
      </c>
      <c r="B1503" s="0" t="s">
        <v>4350</v>
      </c>
      <c r="C1503" s="16">
        <f>HYPERLINK("https://eosportal.federatedhermes.com/companies/Q29tcGFueQppNTg5ODY=", "Phillips 66")</f>
      </c>
      <c r="D1503" s="0" t="s">
        <v>25</v>
      </c>
      <c r="E1503" s="0" t="s">
        <v>4351</v>
      </c>
      <c r="F1503" s="16">
        <f>HYPERLINK("https://eosportal.federatedhermes.com/engagements/RW5nYWdlbWVudAppMjg0MTY=", "Review promised improved environmental reporting and consider next steps")</f>
      </c>
      <c r="G1503" s="14" t="s">
        <v>4352</v>
      </c>
      <c r="H1503" s="0" t="s">
        <v>141</v>
      </c>
      <c r="I1503" s="14" t="s">
        <v>191</v>
      </c>
      <c r="J1503" s="0" t="s">
        <v>132</v>
      </c>
      <c r="K1503" s="0" t="s">
        <v>170</v>
      </c>
      <c r="L1503" s="0" t="s">
        <v>171</v>
      </c>
      <c r="M1503" s="0" t="s">
        <v>135</v>
      </c>
      <c r="N1503" s="0" t="s">
        <v>136</v>
      </c>
      <c r="O1503" s="0" t="s">
        <v>542</v>
      </c>
      <c r="Q1503" s="0" t="s">
        <v>130</v>
      </c>
      <c r="R1503" s="0" t="s">
        <v>138</v>
      </c>
      <c r="S1503" s="14">
        <v>0</v>
      </c>
      <c r="T1503" s="0" t="s">
        <v>920</v>
      </c>
      <c r="U1503" s="0" t="s">
        <v>138</v>
      </c>
      <c r="V1503" s="14" t="s">
        <v>138</v>
      </c>
      <c r="W1503" s="0" t="s">
        <v>138</v>
      </c>
      <c r="X1503" s="14" t="s">
        <v>138</v>
      </c>
      <c r="Y1503" s="0" t="s">
        <v>138</v>
      </c>
      <c r="Z1503" s="14" t="s">
        <v>138</v>
      </c>
      <c r="AA1503" s="0" t="s">
        <v>138</v>
      </c>
      <c r="AB1503" s="14" t="s">
        <v>138</v>
      </c>
      <c r="AD1503" s="0" t="s">
        <v>138</v>
      </c>
      <c r="AF1503" s="0">
        <v>0</v>
      </c>
      <c r="AG1503" s="0">
        <v>0</v>
      </c>
      <c r="AH1503" s="0" t="s">
        <v>140</v>
      </c>
      <c r="AI1503" s="0" t="s">
        <v>138</v>
      </c>
      <c r="AL1503" s="14"/>
      <c r="AN1503" s="14"/>
      <c r="AQ1503" s="0" t="s">
        <v>130</v>
      </c>
      <c r="AR1503" s="0" t="s">
        <v>130</v>
      </c>
      <c r="AS1503" s="0" t="s">
        <v>130</v>
      </c>
      <c r="AT1503" s="0" t="s">
        <v>130</v>
      </c>
      <c r="AU1503" s="0" t="s">
        <v>130</v>
      </c>
      <c r="AV1503" s="0" t="s">
        <v>130</v>
      </c>
      <c r="AW1503" s="0" t="s">
        <v>130</v>
      </c>
      <c r="AX1503" s="0" t="s">
        <v>130</v>
      </c>
      <c r="AY1503" s="0" t="s">
        <v>130</v>
      </c>
      <c r="AZ1503" s="0" t="s">
        <v>130</v>
      </c>
      <c r="BA1503" s="0" t="s">
        <v>130</v>
      </c>
      <c r="BB1503" s="0" t="s">
        <v>141</v>
      </c>
      <c r="BC1503" s="0" t="s">
        <v>130</v>
      </c>
      <c r="BD1503" s="0" t="s">
        <v>130</v>
      </c>
      <c r="BE1503" s="0" t="s">
        <v>130</v>
      </c>
      <c r="BF1503" s="0" t="s">
        <v>130</v>
      </c>
      <c r="BG1503" s="0" t="s">
        <v>130</v>
      </c>
      <c r="BH1503" s="0" t="s">
        <v>130</v>
      </c>
      <c r="BI1503" s="0" t="s">
        <v>130</v>
      </c>
      <c r="BJ1503" s="0" t="s">
        <v>130</v>
      </c>
      <c r="BK1503" s="0" t="s">
        <v>130</v>
      </c>
      <c r="BL1503" s="0" t="s">
        <v>130</v>
      </c>
      <c r="BM1503" s="0" t="s">
        <v>130</v>
      </c>
      <c r="BN1503" s="0" t="s">
        <v>130</v>
      </c>
      <c r="BO1503" s="0" t="s">
        <v>130</v>
      </c>
      <c r="BP1503" s="0" t="s">
        <v>130</v>
      </c>
      <c r="BQ1503" s="0" t="s">
        <v>130</v>
      </c>
      <c r="BR1503" s="0" t="s">
        <v>130</v>
      </c>
      <c r="BS1503" s="0" t="s">
        <v>130</v>
      </c>
      <c r="BT1503" s="0" t="s">
        <v>130</v>
      </c>
      <c r="BU1503" s="0" t="s">
        <v>130</v>
      </c>
      <c r="BV1503" s="0" t="s">
        <v>130</v>
      </c>
      <c r="BW1503" s="0" t="s">
        <v>130</v>
      </c>
      <c r="BX1503" s="0" t="s">
        <v>130</v>
      </c>
      <c r="BY1503" s="0" t="s">
        <v>130</v>
      </c>
      <c r="BZ1503" s="0" t="s">
        <v>130</v>
      </c>
      <c r="CA1503" s="0" t="s">
        <v>130</v>
      </c>
      <c r="CB1503" s="0" t="s">
        <v>130</v>
      </c>
      <c r="CC1503" s="0" t="s">
        <v>130</v>
      </c>
      <c r="CD1503" s="0" t="s">
        <v>130</v>
      </c>
      <c r="CE1503" s="0" t="s">
        <v>130</v>
      </c>
      <c r="CF1503" s="0" t="s">
        <v>130</v>
      </c>
      <c r="CG1503" s="0" t="s">
        <v>130</v>
      </c>
      <c r="CH1503" s="0" t="s">
        <v>130</v>
      </c>
      <c r="CI1503" s="0" t="s">
        <v>130</v>
      </c>
      <c r="CJ1503" s="0" t="s">
        <v>130</v>
      </c>
      <c r="CK1503" s="0" t="s">
        <v>130</v>
      </c>
      <c r="CL1503" s="0" t="s">
        <v>130</v>
      </c>
      <c r="CM1503" s="0" t="s">
        <v>130</v>
      </c>
      <c r="CN1503" s="0" t="s">
        <v>130</v>
      </c>
      <c r="CO1503" s="0" t="s">
        <v>130</v>
      </c>
      <c r="CP1503" s="0" t="s">
        <v>130</v>
      </c>
      <c r="CQ1503" s="0" t="s">
        <v>130</v>
      </c>
      <c r="CR1503" s="0" t="s">
        <v>130</v>
      </c>
      <c r="CS1503" s="0" t="s">
        <v>130</v>
      </c>
      <c r="CT1503" s="0" t="s">
        <v>4353</v>
      </c>
    </row>
    <row r="1504">
      <c r="A1504" s="14">
        <v>28399721</v>
      </c>
      <c r="B1504" s="0" t="s">
        <v>4350</v>
      </c>
      <c r="C1504" s="16">
        <f>HYPERLINK("https://eosportal.federatedhermes.com/companies/Q29tcGFueQppNTg5ODY=", "Phillips 66")</f>
      </c>
      <c r="D1504" s="0" t="s">
        <v>25</v>
      </c>
      <c r="E1504" s="0" t="s">
        <v>943</v>
      </c>
      <c r="F1504" s="16">
        <f>HYPERLINK("https://eosportal.federatedhermes.com/engagements/RW5nYWdlbWVudAppMjg0MTc=", "Diversity")</f>
      </c>
      <c r="G1504" s="14" t="s">
        <v>4354</v>
      </c>
      <c r="H1504" s="0" t="s">
        <v>141</v>
      </c>
      <c r="I1504" s="14" t="s">
        <v>191</v>
      </c>
      <c r="J1504" s="0" t="s">
        <v>153</v>
      </c>
      <c r="K1504" s="0" t="s">
        <v>154</v>
      </c>
      <c r="L1504" s="0" t="s">
        <v>268</v>
      </c>
      <c r="M1504" s="0" t="s">
        <v>135</v>
      </c>
      <c r="N1504" s="0" t="s">
        <v>136</v>
      </c>
      <c r="O1504" s="0" t="s">
        <v>542</v>
      </c>
      <c r="Q1504" s="0" t="s">
        <v>130</v>
      </c>
      <c r="R1504" s="0" t="s">
        <v>138</v>
      </c>
      <c r="S1504" s="14">
        <v>0</v>
      </c>
      <c r="T1504" s="0" t="s">
        <v>148</v>
      </c>
      <c r="U1504" s="0" t="s">
        <v>138</v>
      </c>
      <c r="V1504" s="14" t="s">
        <v>138</v>
      </c>
      <c r="W1504" s="0" t="s">
        <v>138</v>
      </c>
      <c r="X1504" s="14" t="s">
        <v>138</v>
      </c>
      <c r="Y1504" s="0" t="s">
        <v>138</v>
      </c>
      <c r="Z1504" s="14" t="s">
        <v>138</v>
      </c>
      <c r="AA1504" s="0" t="s">
        <v>138</v>
      </c>
      <c r="AB1504" s="14" t="s">
        <v>138</v>
      </c>
      <c r="AD1504" s="0" t="s">
        <v>138</v>
      </c>
      <c r="AF1504" s="0">
        <v>0</v>
      </c>
      <c r="AG1504" s="0">
        <v>0</v>
      </c>
      <c r="AH1504" s="0" t="s">
        <v>140</v>
      </c>
      <c r="AI1504" s="0" t="s">
        <v>138</v>
      </c>
      <c r="AL1504" s="14"/>
      <c r="AN1504" s="14"/>
      <c r="AQ1504" s="0" t="s">
        <v>130</v>
      </c>
      <c r="AR1504" s="0" t="s">
        <v>130</v>
      </c>
      <c r="AS1504" s="0" t="s">
        <v>130</v>
      </c>
      <c r="AT1504" s="0" t="s">
        <v>130</v>
      </c>
      <c r="AU1504" s="0" t="s">
        <v>130</v>
      </c>
      <c r="AV1504" s="0" t="s">
        <v>130</v>
      </c>
      <c r="AW1504" s="0" t="s">
        <v>130</v>
      </c>
      <c r="AX1504" s="0" t="s">
        <v>141</v>
      </c>
      <c r="AY1504" s="0" t="s">
        <v>130</v>
      </c>
      <c r="AZ1504" s="0" t="s">
        <v>130</v>
      </c>
      <c r="BA1504" s="0" t="s">
        <v>130</v>
      </c>
      <c r="BB1504" s="0" t="s">
        <v>130</v>
      </c>
      <c r="BC1504" s="0" t="s">
        <v>130</v>
      </c>
      <c r="BD1504" s="0" t="s">
        <v>130</v>
      </c>
      <c r="BE1504" s="0" t="s">
        <v>130</v>
      </c>
      <c r="BF1504" s="0" t="s">
        <v>130</v>
      </c>
      <c r="BG1504" s="0" t="s">
        <v>130</v>
      </c>
      <c r="BH1504" s="0" t="s">
        <v>130</v>
      </c>
      <c r="BI1504" s="0" t="s">
        <v>130</v>
      </c>
      <c r="BJ1504" s="0" t="s">
        <v>130</v>
      </c>
      <c r="BK1504" s="0" t="s">
        <v>130</v>
      </c>
      <c r="BL1504" s="0" t="s">
        <v>130</v>
      </c>
      <c r="BM1504" s="0" t="s">
        <v>130</v>
      </c>
      <c r="BN1504" s="0" t="s">
        <v>130</v>
      </c>
      <c r="BO1504" s="0" t="s">
        <v>130</v>
      </c>
      <c r="BP1504" s="0" t="s">
        <v>130</v>
      </c>
      <c r="BQ1504" s="0" t="s">
        <v>130</v>
      </c>
      <c r="BR1504" s="0" t="s">
        <v>130</v>
      </c>
      <c r="BS1504" s="0" t="s">
        <v>130</v>
      </c>
      <c r="BT1504" s="0" t="s">
        <v>130</v>
      </c>
      <c r="BU1504" s="0" t="s">
        <v>130</v>
      </c>
      <c r="BV1504" s="0" t="s">
        <v>130</v>
      </c>
      <c r="BW1504" s="0" t="s">
        <v>130</v>
      </c>
      <c r="BX1504" s="0" t="s">
        <v>130</v>
      </c>
      <c r="BY1504" s="0" t="s">
        <v>130</v>
      </c>
      <c r="BZ1504" s="0" t="s">
        <v>130</v>
      </c>
      <c r="CA1504" s="0" t="s">
        <v>130</v>
      </c>
      <c r="CB1504" s="0" t="s">
        <v>130</v>
      </c>
      <c r="CC1504" s="0" t="s">
        <v>130</v>
      </c>
      <c r="CD1504" s="0" t="s">
        <v>130</v>
      </c>
      <c r="CE1504" s="0" t="s">
        <v>130</v>
      </c>
      <c r="CF1504" s="0" t="s">
        <v>130</v>
      </c>
      <c r="CG1504" s="0" t="s">
        <v>130</v>
      </c>
      <c r="CH1504" s="0" t="s">
        <v>130</v>
      </c>
      <c r="CI1504" s="0" t="s">
        <v>130</v>
      </c>
      <c r="CJ1504" s="0" t="s">
        <v>130</v>
      </c>
      <c r="CK1504" s="0" t="s">
        <v>141</v>
      </c>
      <c r="CL1504" s="0" t="s">
        <v>130</v>
      </c>
      <c r="CM1504" s="0" t="s">
        <v>130</v>
      </c>
      <c r="CN1504" s="0" t="s">
        <v>130</v>
      </c>
      <c r="CO1504" s="0" t="s">
        <v>130</v>
      </c>
      <c r="CP1504" s="0" t="s">
        <v>130</v>
      </c>
      <c r="CQ1504" s="0" t="s">
        <v>130</v>
      </c>
      <c r="CR1504" s="0" t="s">
        <v>130</v>
      </c>
      <c r="CS1504" s="0" t="s">
        <v>130</v>
      </c>
      <c r="CT1504" s="0" t="s">
        <v>4355</v>
      </c>
    </row>
    <row r="1505">
      <c r="A1505" s="14">
        <v>28399721</v>
      </c>
      <c r="B1505" s="0" t="s">
        <v>4350</v>
      </c>
      <c r="C1505" s="16">
        <f>HYPERLINK("https://eosportal.federatedhermes.com/companies/Q29tcGFueQppNTg5ODY=", "Phillips 66")</f>
      </c>
      <c r="D1505" s="0" t="s">
        <v>25</v>
      </c>
      <c r="E1505" s="0" t="s">
        <v>4356</v>
      </c>
      <c r="F1505" s="16">
        <f>HYPERLINK("https://eosportal.federatedhermes.com/engagements/RW5nYWdlbWVudAppMjg0MTg=", "Human rights disclosure")</f>
      </c>
      <c r="G1505" s="14" t="s">
        <v>4357</v>
      </c>
      <c r="H1505" s="0" t="s">
        <v>141</v>
      </c>
      <c r="I1505" s="14" t="s">
        <v>191</v>
      </c>
      <c r="J1505" s="0" t="s">
        <v>153</v>
      </c>
      <c r="K1505" s="0" t="s">
        <v>243</v>
      </c>
      <c r="L1505" s="0" t="s">
        <v>244</v>
      </c>
      <c r="M1505" s="0" t="s">
        <v>135</v>
      </c>
      <c r="N1505" s="0" t="s">
        <v>136</v>
      </c>
      <c r="O1505" s="0" t="s">
        <v>542</v>
      </c>
      <c r="Q1505" s="0" t="s">
        <v>130</v>
      </c>
      <c r="R1505" s="0" t="s">
        <v>138</v>
      </c>
      <c r="S1505" s="14">
        <v>0</v>
      </c>
      <c r="T1505" s="0" t="s">
        <v>148</v>
      </c>
      <c r="U1505" s="0" t="s">
        <v>138</v>
      </c>
      <c r="V1505" s="14" t="s">
        <v>138</v>
      </c>
      <c r="W1505" s="0" t="s">
        <v>138</v>
      </c>
      <c r="X1505" s="14" t="s">
        <v>138</v>
      </c>
      <c r="Y1505" s="0" t="s">
        <v>138</v>
      </c>
      <c r="Z1505" s="14" t="s">
        <v>138</v>
      </c>
      <c r="AA1505" s="0" t="s">
        <v>138</v>
      </c>
      <c r="AB1505" s="14" t="s">
        <v>138</v>
      </c>
      <c r="AD1505" s="0" t="s">
        <v>138</v>
      </c>
      <c r="AF1505" s="0">
        <v>0</v>
      </c>
      <c r="AG1505" s="0">
        <v>0</v>
      </c>
      <c r="AH1505" s="0" t="s">
        <v>140</v>
      </c>
      <c r="AI1505" s="0" t="s">
        <v>138</v>
      </c>
      <c r="AL1505" s="14"/>
      <c r="AN1505" s="14"/>
      <c r="AQ1505" s="0" t="s">
        <v>130</v>
      </c>
      <c r="AR1505" s="0" t="s">
        <v>130</v>
      </c>
      <c r="AS1505" s="0" t="s">
        <v>130</v>
      </c>
      <c r="AT1505" s="0" t="s">
        <v>130</v>
      </c>
      <c r="AU1505" s="0" t="s">
        <v>130</v>
      </c>
      <c r="AV1505" s="0" t="s">
        <v>130</v>
      </c>
      <c r="AW1505" s="0" t="s">
        <v>130</v>
      </c>
      <c r="AX1505" s="0" t="s">
        <v>141</v>
      </c>
      <c r="AY1505" s="0" t="s">
        <v>130</v>
      </c>
      <c r="AZ1505" s="0" t="s">
        <v>130</v>
      </c>
      <c r="BA1505" s="0" t="s">
        <v>130</v>
      </c>
      <c r="BB1505" s="0" t="s">
        <v>130</v>
      </c>
      <c r="BC1505" s="0" t="s">
        <v>130</v>
      </c>
      <c r="BD1505" s="0" t="s">
        <v>130</v>
      </c>
      <c r="BE1505" s="0" t="s">
        <v>130</v>
      </c>
      <c r="BF1505" s="0" t="s">
        <v>130</v>
      </c>
      <c r="BG1505" s="0" t="s">
        <v>130</v>
      </c>
      <c r="BH1505" s="0" t="s">
        <v>130</v>
      </c>
      <c r="BI1505" s="0" t="s">
        <v>130</v>
      </c>
      <c r="BJ1505" s="0" t="s">
        <v>130</v>
      </c>
      <c r="BK1505" s="0" t="s">
        <v>130</v>
      </c>
      <c r="BL1505" s="0" t="s">
        <v>130</v>
      </c>
      <c r="BM1505" s="0" t="s">
        <v>130</v>
      </c>
      <c r="BN1505" s="0" t="s">
        <v>130</v>
      </c>
      <c r="BO1505" s="0" t="s">
        <v>130</v>
      </c>
      <c r="BP1505" s="0" t="s">
        <v>130</v>
      </c>
      <c r="BQ1505" s="0" t="s">
        <v>130</v>
      </c>
      <c r="BR1505" s="0" t="s">
        <v>130</v>
      </c>
      <c r="BS1505" s="0" t="s">
        <v>130</v>
      </c>
      <c r="BT1505" s="0" t="s">
        <v>130</v>
      </c>
      <c r="BU1505" s="0" t="s">
        <v>130</v>
      </c>
      <c r="BV1505" s="0" t="s">
        <v>130</v>
      </c>
      <c r="BW1505" s="0" t="s">
        <v>130</v>
      </c>
      <c r="BX1505" s="0" t="s">
        <v>130</v>
      </c>
      <c r="BY1505" s="0" t="s">
        <v>130</v>
      </c>
      <c r="BZ1505" s="0" t="s">
        <v>130</v>
      </c>
      <c r="CA1505" s="0" t="s">
        <v>130</v>
      </c>
      <c r="CB1505" s="0" t="s">
        <v>130</v>
      </c>
      <c r="CC1505" s="0" t="s">
        <v>130</v>
      </c>
      <c r="CD1505" s="0" t="s">
        <v>130</v>
      </c>
      <c r="CE1505" s="0" t="s">
        <v>130</v>
      </c>
      <c r="CF1505" s="0" t="s">
        <v>130</v>
      </c>
      <c r="CG1505" s="0" t="s">
        <v>130</v>
      </c>
      <c r="CH1505" s="0" t="s">
        <v>130</v>
      </c>
      <c r="CI1505" s="0" t="s">
        <v>130</v>
      </c>
      <c r="CJ1505" s="0" t="s">
        <v>130</v>
      </c>
      <c r="CK1505" s="0" t="s">
        <v>130</v>
      </c>
      <c r="CL1505" s="0" t="s">
        <v>130</v>
      </c>
      <c r="CM1505" s="0" t="s">
        <v>130</v>
      </c>
      <c r="CN1505" s="0" t="s">
        <v>130</v>
      </c>
      <c r="CO1505" s="0" t="s">
        <v>130</v>
      </c>
      <c r="CP1505" s="0" t="s">
        <v>130</v>
      </c>
      <c r="CQ1505" s="0" t="s">
        <v>130</v>
      </c>
      <c r="CR1505" s="0" t="s">
        <v>130</v>
      </c>
      <c r="CS1505" s="0" t="s">
        <v>130</v>
      </c>
      <c r="CT1505" s="0" t="s">
        <v>4358</v>
      </c>
    </row>
    <row r="1506">
      <c r="A1506" s="14">
        <v>28399721</v>
      </c>
      <c r="B1506" s="0" t="s">
        <v>4350</v>
      </c>
      <c r="C1506" s="16">
        <f>HYPERLINK("https://eosportal.federatedhermes.com/companies/Q29tcGFueQppNTg5ODY=", "Phillips 66")</f>
      </c>
      <c r="D1506" s="0" t="s">
        <v>25</v>
      </c>
      <c r="E1506" s="0" t="s">
        <v>4359</v>
      </c>
      <c r="F1506" s="16">
        <f>HYPERLINK("https://eosportal.federatedhermes.com/engagements/RW5nYWdlbWVudAppMjg0MTk=", "Management of health, safety and environmental risk")</f>
      </c>
      <c r="G1506" s="14" t="s">
        <v>4360</v>
      </c>
      <c r="H1506" s="0" t="s">
        <v>141</v>
      </c>
      <c r="I1506" s="14" t="s">
        <v>191</v>
      </c>
      <c r="J1506" s="0" t="s">
        <v>132</v>
      </c>
      <c r="K1506" s="0" t="s">
        <v>260</v>
      </c>
      <c r="L1506" s="0" t="s">
        <v>261</v>
      </c>
      <c r="M1506" s="0" t="s">
        <v>135</v>
      </c>
      <c r="N1506" s="0" t="s">
        <v>136</v>
      </c>
      <c r="O1506" s="0" t="s">
        <v>542</v>
      </c>
      <c r="Q1506" s="0" t="s">
        <v>130</v>
      </c>
      <c r="R1506" s="0" t="s">
        <v>138</v>
      </c>
      <c r="S1506" s="14">
        <v>0</v>
      </c>
      <c r="T1506" s="0" t="s">
        <v>299</v>
      </c>
      <c r="U1506" s="0" t="s">
        <v>138</v>
      </c>
      <c r="V1506" s="14" t="s">
        <v>138</v>
      </c>
      <c r="W1506" s="0" t="s">
        <v>138</v>
      </c>
      <c r="X1506" s="14" t="s">
        <v>138</v>
      </c>
      <c r="Y1506" s="0" t="s">
        <v>138</v>
      </c>
      <c r="Z1506" s="14" t="s">
        <v>138</v>
      </c>
      <c r="AA1506" s="0" t="s">
        <v>138</v>
      </c>
      <c r="AB1506" s="14" t="s">
        <v>138</v>
      </c>
      <c r="AD1506" s="0" t="s">
        <v>138</v>
      </c>
      <c r="AF1506" s="0">
        <v>0</v>
      </c>
      <c r="AG1506" s="0">
        <v>0</v>
      </c>
      <c r="AH1506" s="0" t="s">
        <v>140</v>
      </c>
      <c r="AI1506" s="0" t="s">
        <v>138</v>
      </c>
      <c r="AL1506" s="14"/>
      <c r="AN1506" s="14"/>
      <c r="AQ1506" s="0" t="s">
        <v>130</v>
      </c>
      <c r="AR1506" s="0" t="s">
        <v>130</v>
      </c>
      <c r="AS1506" s="0" t="s">
        <v>130</v>
      </c>
      <c r="AT1506" s="0" t="s">
        <v>130</v>
      </c>
      <c r="AU1506" s="0" t="s">
        <v>130</v>
      </c>
      <c r="AV1506" s="0" t="s">
        <v>130</v>
      </c>
      <c r="AW1506" s="0" t="s">
        <v>130</v>
      </c>
      <c r="AX1506" s="0" t="s">
        <v>141</v>
      </c>
      <c r="AY1506" s="0" t="s">
        <v>130</v>
      </c>
      <c r="AZ1506" s="0" t="s">
        <v>130</v>
      </c>
      <c r="BA1506" s="0" t="s">
        <v>130</v>
      </c>
      <c r="BB1506" s="0" t="s">
        <v>130</v>
      </c>
      <c r="BC1506" s="0" t="s">
        <v>130</v>
      </c>
      <c r="BD1506" s="0" t="s">
        <v>130</v>
      </c>
      <c r="BE1506" s="0" t="s">
        <v>130</v>
      </c>
      <c r="BF1506" s="0" t="s">
        <v>130</v>
      </c>
      <c r="BG1506" s="0" t="s">
        <v>130</v>
      </c>
      <c r="BH1506" s="0" t="s">
        <v>130</v>
      </c>
      <c r="BI1506" s="0" t="s">
        <v>130</v>
      </c>
      <c r="BJ1506" s="0" t="s">
        <v>130</v>
      </c>
      <c r="BK1506" s="0" t="s">
        <v>130</v>
      </c>
      <c r="BL1506" s="0" t="s">
        <v>130</v>
      </c>
      <c r="BM1506" s="0" t="s">
        <v>130</v>
      </c>
      <c r="BN1506" s="0" t="s">
        <v>130</v>
      </c>
      <c r="BO1506" s="0" t="s">
        <v>130</v>
      </c>
      <c r="BP1506" s="0" t="s">
        <v>130</v>
      </c>
      <c r="BQ1506" s="0" t="s">
        <v>130</v>
      </c>
      <c r="BR1506" s="0" t="s">
        <v>130</v>
      </c>
      <c r="BS1506" s="0" t="s">
        <v>130</v>
      </c>
      <c r="BT1506" s="0" t="s">
        <v>130</v>
      </c>
      <c r="BU1506" s="0" t="s">
        <v>130</v>
      </c>
      <c r="BV1506" s="0" t="s">
        <v>130</v>
      </c>
      <c r="BW1506" s="0" t="s">
        <v>130</v>
      </c>
      <c r="BX1506" s="0" t="s">
        <v>130</v>
      </c>
      <c r="BY1506" s="0" t="s">
        <v>130</v>
      </c>
      <c r="BZ1506" s="0" t="s">
        <v>130</v>
      </c>
      <c r="CA1506" s="0" t="s">
        <v>130</v>
      </c>
      <c r="CB1506" s="0" t="s">
        <v>130</v>
      </c>
      <c r="CC1506" s="0" t="s">
        <v>130</v>
      </c>
      <c r="CD1506" s="0" t="s">
        <v>130</v>
      </c>
      <c r="CE1506" s="0" t="s">
        <v>130</v>
      </c>
      <c r="CF1506" s="0" t="s">
        <v>130</v>
      </c>
      <c r="CG1506" s="0" t="s">
        <v>130</v>
      </c>
      <c r="CH1506" s="0" t="s">
        <v>130</v>
      </c>
      <c r="CI1506" s="0" t="s">
        <v>130</v>
      </c>
      <c r="CJ1506" s="0" t="s">
        <v>130</v>
      </c>
      <c r="CK1506" s="0" t="s">
        <v>130</v>
      </c>
      <c r="CL1506" s="0" t="s">
        <v>130</v>
      </c>
      <c r="CM1506" s="0" t="s">
        <v>130</v>
      </c>
      <c r="CN1506" s="0" t="s">
        <v>130</v>
      </c>
      <c r="CO1506" s="0" t="s">
        <v>130</v>
      </c>
      <c r="CP1506" s="0" t="s">
        <v>130</v>
      </c>
      <c r="CQ1506" s="0" t="s">
        <v>130</v>
      </c>
      <c r="CR1506" s="0" t="s">
        <v>130</v>
      </c>
      <c r="CS1506" s="0" t="s">
        <v>130</v>
      </c>
      <c r="CT1506" s="0" t="s">
        <v>4361</v>
      </c>
    </row>
    <row r="1507">
      <c r="A1507" s="14">
        <v>28399721</v>
      </c>
      <c r="B1507" s="0" t="s">
        <v>4350</v>
      </c>
      <c r="C1507" s="16">
        <f>HYPERLINK("https://eosportal.federatedhermes.com/companies/Q29tcGFueQppNTg5ODY=", "Phillips 66")</f>
      </c>
      <c r="D1507" s="0" t="s">
        <v>25</v>
      </c>
      <c r="E1507" s="0" t="s">
        <v>4362</v>
      </c>
      <c r="F1507" s="16">
        <f>HYPERLINK("https://eosportal.federatedhermes.com/engagements/RW5nYWdlbWVudAppMjg0MjA=", "Lessons from Dakota Access Pipeline")</f>
      </c>
      <c r="G1507" s="14" t="s">
        <v>4363</v>
      </c>
      <c r="H1507" s="0" t="s">
        <v>141</v>
      </c>
      <c r="I1507" s="14" t="s">
        <v>191</v>
      </c>
      <c r="J1507" s="0" t="s">
        <v>153</v>
      </c>
      <c r="K1507" s="0" t="s">
        <v>243</v>
      </c>
      <c r="L1507" s="0" t="s">
        <v>571</v>
      </c>
      <c r="M1507" s="0" t="s">
        <v>135</v>
      </c>
      <c r="N1507" s="0" t="s">
        <v>136</v>
      </c>
      <c r="O1507" s="0" t="s">
        <v>542</v>
      </c>
      <c r="Q1507" s="0" t="s">
        <v>130</v>
      </c>
      <c r="R1507" s="0" t="s">
        <v>138</v>
      </c>
      <c r="S1507" s="14">
        <v>0</v>
      </c>
      <c r="T1507" s="0" t="s">
        <v>314</v>
      </c>
      <c r="U1507" s="0" t="s">
        <v>138</v>
      </c>
      <c r="V1507" s="14" t="s">
        <v>138</v>
      </c>
      <c r="W1507" s="0" t="s">
        <v>138</v>
      </c>
      <c r="X1507" s="14" t="s">
        <v>138</v>
      </c>
      <c r="Y1507" s="0" t="s">
        <v>138</v>
      </c>
      <c r="Z1507" s="14" t="s">
        <v>138</v>
      </c>
      <c r="AA1507" s="0" t="s">
        <v>138</v>
      </c>
      <c r="AB1507" s="14" t="s">
        <v>138</v>
      </c>
      <c r="AD1507" s="0" t="s">
        <v>138</v>
      </c>
      <c r="AF1507" s="0">
        <v>0</v>
      </c>
      <c r="AG1507" s="0">
        <v>0</v>
      </c>
      <c r="AH1507" s="0" t="s">
        <v>140</v>
      </c>
      <c r="AI1507" s="0" t="s">
        <v>138</v>
      </c>
      <c r="AL1507" s="14"/>
      <c r="AN1507" s="14"/>
      <c r="AQ1507" s="0" t="s">
        <v>130</v>
      </c>
      <c r="AR1507" s="0" t="s">
        <v>130</v>
      </c>
      <c r="AS1507" s="0" t="s">
        <v>130</v>
      </c>
      <c r="AT1507" s="0" t="s">
        <v>130</v>
      </c>
      <c r="AU1507" s="0" t="s">
        <v>130</v>
      </c>
      <c r="AV1507" s="0" t="s">
        <v>130</v>
      </c>
      <c r="AW1507" s="0" t="s">
        <v>130</v>
      </c>
      <c r="AX1507" s="0" t="s">
        <v>130</v>
      </c>
      <c r="AY1507" s="0" t="s">
        <v>130</v>
      </c>
      <c r="AZ1507" s="0" t="s">
        <v>130</v>
      </c>
      <c r="BA1507" s="0" t="s">
        <v>130</v>
      </c>
      <c r="BB1507" s="0" t="s">
        <v>130</v>
      </c>
      <c r="BC1507" s="0" t="s">
        <v>130</v>
      </c>
      <c r="BD1507" s="0" t="s">
        <v>130</v>
      </c>
      <c r="BE1507" s="0" t="s">
        <v>130</v>
      </c>
      <c r="BF1507" s="0" t="s">
        <v>130</v>
      </c>
      <c r="BG1507" s="0" t="s">
        <v>130</v>
      </c>
      <c r="BH1507" s="0" t="s">
        <v>130</v>
      </c>
      <c r="BI1507" s="0" t="s">
        <v>130</v>
      </c>
      <c r="BJ1507" s="0" t="s">
        <v>130</v>
      </c>
      <c r="BK1507" s="0" t="s">
        <v>130</v>
      </c>
      <c r="BL1507" s="0" t="s">
        <v>130</v>
      </c>
      <c r="BM1507" s="0" t="s">
        <v>130</v>
      </c>
      <c r="BN1507" s="0" t="s">
        <v>130</v>
      </c>
      <c r="BO1507" s="0" t="s">
        <v>130</v>
      </c>
      <c r="BP1507" s="0" t="s">
        <v>130</v>
      </c>
      <c r="BQ1507" s="0" t="s">
        <v>130</v>
      </c>
      <c r="BR1507" s="0" t="s">
        <v>130</v>
      </c>
      <c r="BS1507" s="0" t="s">
        <v>130</v>
      </c>
      <c r="BT1507" s="0" t="s">
        <v>130</v>
      </c>
      <c r="BU1507" s="0" t="s">
        <v>130</v>
      </c>
      <c r="BV1507" s="0" t="s">
        <v>130</v>
      </c>
      <c r="BW1507" s="0" t="s">
        <v>130</v>
      </c>
      <c r="BX1507" s="0" t="s">
        <v>130</v>
      </c>
      <c r="BY1507" s="0" t="s">
        <v>130</v>
      </c>
      <c r="BZ1507" s="0" t="s">
        <v>130</v>
      </c>
      <c r="CA1507" s="0" t="s">
        <v>130</v>
      </c>
      <c r="CB1507" s="0" t="s">
        <v>130</v>
      </c>
      <c r="CC1507" s="0" t="s">
        <v>130</v>
      </c>
      <c r="CD1507" s="0" t="s">
        <v>130</v>
      </c>
      <c r="CE1507" s="0" t="s">
        <v>130</v>
      </c>
      <c r="CF1507" s="0" t="s">
        <v>130</v>
      </c>
      <c r="CG1507" s="0" t="s">
        <v>130</v>
      </c>
      <c r="CH1507" s="0" t="s">
        <v>130</v>
      </c>
      <c r="CI1507" s="0" t="s">
        <v>130</v>
      </c>
      <c r="CJ1507" s="0" t="s">
        <v>130</v>
      </c>
      <c r="CK1507" s="0" t="s">
        <v>130</v>
      </c>
      <c r="CL1507" s="0" t="s">
        <v>130</v>
      </c>
      <c r="CM1507" s="0" t="s">
        <v>130</v>
      </c>
      <c r="CN1507" s="0" t="s">
        <v>130</v>
      </c>
      <c r="CO1507" s="0" t="s">
        <v>130</v>
      </c>
      <c r="CP1507" s="0" t="s">
        <v>130</v>
      </c>
      <c r="CQ1507" s="0" t="s">
        <v>130</v>
      </c>
      <c r="CR1507" s="0" t="s">
        <v>130</v>
      </c>
      <c r="CS1507" s="0" t="s">
        <v>130</v>
      </c>
      <c r="CT1507" s="0" t="s">
        <v>4364</v>
      </c>
    </row>
    <row r="1508">
      <c r="A1508" s="14">
        <v>28399721</v>
      </c>
      <c r="B1508" s="0" t="s">
        <v>4350</v>
      </c>
      <c r="C1508" s="16">
        <f>HYPERLINK("https://eosportal.federatedhermes.com/companies/Q29tcGFueQppNTg5ODY=", "Phillips 66")</f>
      </c>
      <c r="D1508" s="0" t="s">
        <v>25</v>
      </c>
      <c r="E1508" s="0" t="s">
        <v>4365</v>
      </c>
      <c r="F1508" s="16">
        <f>HYPERLINK("https://eosportal.federatedhermes.com/engagements/RW5nYWdlbWVudAppMjg0MjE=", "Encourage reduction of greenhouse gas emissions")</f>
      </c>
      <c r="G1508" s="14" t="s">
        <v>4366</v>
      </c>
      <c r="H1508" s="0" t="s">
        <v>141</v>
      </c>
      <c r="I1508" s="14" t="s">
        <v>191</v>
      </c>
      <c r="J1508" s="0" t="s">
        <v>197</v>
      </c>
      <c r="K1508" s="0" t="s">
        <v>198</v>
      </c>
      <c r="L1508" s="0" t="s">
        <v>216</v>
      </c>
      <c r="M1508" s="0" t="s">
        <v>135</v>
      </c>
      <c r="N1508" s="0" t="s">
        <v>136</v>
      </c>
      <c r="O1508" s="0" t="s">
        <v>542</v>
      </c>
      <c r="Q1508" s="0" t="s">
        <v>130</v>
      </c>
      <c r="R1508" s="0" t="s">
        <v>138</v>
      </c>
      <c r="S1508" s="14">
        <v>0</v>
      </c>
      <c r="T1508" s="0" t="s">
        <v>181</v>
      </c>
      <c r="U1508" s="0" t="s">
        <v>138</v>
      </c>
      <c r="V1508" s="14" t="s">
        <v>138</v>
      </c>
      <c r="W1508" s="0" t="s">
        <v>138</v>
      </c>
      <c r="X1508" s="14" t="s">
        <v>138</v>
      </c>
      <c r="Y1508" s="0" t="s">
        <v>138</v>
      </c>
      <c r="Z1508" s="14" t="s">
        <v>138</v>
      </c>
      <c r="AA1508" s="0" t="s">
        <v>138</v>
      </c>
      <c r="AB1508" s="14" t="s">
        <v>138</v>
      </c>
      <c r="AD1508" s="0" t="s">
        <v>138</v>
      </c>
      <c r="AF1508" s="0">
        <v>0</v>
      </c>
      <c r="AG1508" s="0">
        <v>0</v>
      </c>
      <c r="AH1508" s="0" t="s">
        <v>140</v>
      </c>
      <c r="AI1508" s="0" t="s">
        <v>138</v>
      </c>
      <c r="AL1508" s="14"/>
      <c r="AN1508" s="14"/>
      <c r="AQ1508" s="0" t="s">
        <v>130</v>
      </c>
      <c r="AR1508" s="0" t="s">
        <v>130</v>
      </c>
      <c r="AS1508" s="0" t="s">
        <v>130</v>
      </c>
      <c r="AT1508" s="0" t="s">
        <v>130</v>
      </c>
      <c r="AU1508" s="0" t="s">
        <v>130</v>
      </c>
      <c r="AV1508" s="0" t="s">
        <v>130</v>
      </c>
      <c r="AW1508" s="0" t="s">
        <v>141</v>
      </c>
      <c r="AX1508" s="0" t="s">
        <v>130</v>
      </c>
      <c r="AY1508" s="0" t="s">
        <v>130</v>
      </c>
      <c r="AZ1508" s="0" t="s">
        <v>130</v>
      </c>
      <c r="BA1508" s="0" t="s">
        <v>130</v>
      </c>
      <c r="BB1508" s="0" t="s">
        <v>130</v>
      </c>
      <c r="BC1508" s="0" t="s">
        <v>141</v>
      </c>
      <c r="BD1508" s="0" t="s">
        <v>130</v>
      </c>
      <c r="BE1508" s="0" t="s">
        <v>130</v>
      </c>
      <c r="BF1508" s="0" t="s">
        <v>130</v>
      </c>
      <c r="BG1508" s="0" t="s">
        <v>130</v>
      </c>
      <c r="BH1508" s="0" t="s">
        <v>141</v>
      </c>
      <c r="BI1508" s="0" t="s">
        <v>141</v>
      </c>
      <c r="BJ1508" s="0" t="s">
        <v>141</v>
      </c>
      <c r="BK1508" s="0" t="s">
        <v>130</v>
      </c>
      <c r="BL1508" s="0" t="s">
        <v>130</v>
      </c>
      <c r="BM1508" s="0" t="s">
        <v>130</v>
      </c>
      <c r="BN1508" s="0" t="s">
        <v>130</v>
      </c>
      <c r="BO1508" s="0" t="s">
        <v>130</v>
      </c>
      <c r="BP1508" s="0" t="s">
        <v>130</v>
      </c>
      <c r="BQ1508" s="0" t="s">
        <v>130</v>
      </c>
      <c r="BR1508" s="0" t="s">
        <v>130</v>
      </c>
      <c r="BS1508" s="0" t="s">
        <v>130</v>
      </c>
      <c r="BT1508" s="0" t="s">
        <v>130</v>
      </c>
      <c r="BU1508" s="0" t="s">
        <v>130</v>
      </c>
      <c r="BV1508" s="0" t="s">
        <v>141</v>
      </c>
      <c r="BW1508" s="0" t="s">
        <v>141</v>
      </c>
      <c r="BX1508" s="0" t="s">
        <v>130</v>
      </c>
      <c r="BY1508" s="0" t="s">
        <v>130</v>
      </c>
      <c r="BZ1508" s="0" t="s">
        <v>130</v>
      </c>
      <c r="CA1508" s="0" t="s">
        <v>130</v>
      </c>
      <c r="CB1508" s="0" t="s">
        <v>130</v>
      </c>
      <c r="CC1508" s="0" t="s">
        <v>130</v>
      </c>
      <c r="CD1508" s="0" t="s">
        <v>130</v>
      </c>
      <c r="CE1508" s="0" t="s">
        <v>130</v>
      </c>
      <c r="CF1508" s="0" t="s">
        <v>130</v>
      </c>
      <c r="CG1508" s="0" t="s">
        <v>130</v>
      </c>
      <c r="CH1508" s="0" t="s">
        <v>130</v>
      </c>
      <c r="CI1508" s="0" t="s">
        <v>130</v>
      </c>
      <c r="CJ1508" s="0" t="s">
        <v>130</v>
      </c>
      <c r="CK1508" s="0" t="s">
        <v>130</v>
      </c>
      <c r="CL1508" s="0" t="s">
        <v>130</v>
      </c>
      <c r="CM1508" s="0" t="s">
        <v>130</v>
      </c>
      <c r="CN1508" s="0" t="s">
        <v>130</v>
      </c>
      <c r="CO1508" s="0" t="s">
        <v>130</v>
      </c>
      <c r="CP1508" s="0" t="s">
        <v>130</v>
      </c>
      <c r="CQ1508" s="0" t="s">
        <v>130</v>
      </c>
      <c r="CR1508" s="0" t="s">
        <v>130</v>
      </c>
      <c r="CS1508" s="0" t="s">
        <v>130</v>
      </c>
      <c r="CT1508" s="0" t="s">
        <v>4367</v>
      </c>
    </row>
    <row r="1509">
      <c r="A1509" s="14">
        <v>28399721</v>
      </c>
      <c r="B1509" s="0" t="s">
        <v>4350</v>
      </c>
      <c r="C1509" s="16">
        <f>HYPERLINK("https://eosportal.federatedhermes.com/companies/Q29tcGFueQppNTg5ODY=", "Phillips 66")</f>
      </c>
      <c r="D1509" s="0" t="s">
        <v>25</v>
      </c>
      <c r="E1509" s="0" t="s">
        <v>143</v>
      </c>
      <c r="F1509" s="16">
        <f>HYPERLINK("https://eosportal.federatedhermes.com/engagements/RW5nYWdlbWVudAppMjg0Mjg=", "Executive compensation")</f>
      </c>
      <c r="G1509" s="14" t="s">
        <v>4368</v>
      </c>
      <c r="H1509" s="0" t="s">
        <v>141</v>
      </c>
      <c r="I1509" s="14" t="s">
        <v>191</v>
      </c>
      <c r="J1509" s="0" t="s">
        <v>145</v>
      </c>
      <c r="K1509" s="0" t="s">
        <v>146</v>
      </c>
      <c r="L1509" s="0" t="s">
        <v>500</v>
      </c>
      <c r="M1509" s="0" t="s">
        <v>135</v>
      </c>
      <c r="N1509" s="0" t="s">
        <v>136</v>
      </c>
      <c r="O1509" s="0" t="s">
        <v>542</v>
      </c>
      <c r="Q1509" s="0" t="s">
        <v>130</v>
      </c>
      <c r="R1509" s="0" t="s">
        <v>138</v>
      </c>
      <c r="S1509" s="14">
        <v>0</v>
      </c>
      <c r="T1509" s="0" t="s">
        <v>148</v>
      </c>
      <c r="U1509" s="0" t="s">
        <v>138</v>
      </c>
      <c r="V1509" s="14" t="s">
        <v>138</v>
      </c>
      <c r="W1509" s="0" t="s">
        <v>138</v>
      </c>
      <c r="X1509" s="14" t="s">
        <v>138</v>
      </c>
      <c r="Y1509" s="0" t="s">
        <v>138</v>
      </c>
      <c r="Z1509" s="14" t="s">
        <v>138</v>
      </c>
      <c r="AA1509" s="0" t="s">
        <v>138</v>
      </c>
      <c r="AB1509" s="14" t="s">
        <v>138</v>
      </c>
      <c r="AD1509" s="0" t="s">
        <v>138</v>
      </c>
      <c r="AF1509" s="0">
        <v>0</v>
      </c>
      <c r="AG1509" s="0">
        <v>0</v>
      </c>
      <c r="AH1509" s="0" t="s">
        <v>140</v>
      </c>
      <c r="AI1509" s="0" t="s">
        <v>138</v>
      </c>
      <c r="AL1509" s="14"/>
      <c r="AN1509" s="14"/>
      <c r="AQ1509" s="0" t="s">
        <v>130</v>
      </c>
      <c r="AR1509" s="0" t="s">
        <v>130</v>
      </c>
      <c r="AS1509" s="0" t="s">
        <v>130</v>
      </c>
      <c r="AT1509" s="0" t="s">
        <v>130</v>
      </c>
      <c r="AU1509" s="0" t="s">
        <v>130</v>
      </c>
      <c r="AV1509" s="0" t="s">
        <v>130</v>
      </c>
      <c r="AW1509" s="0" t="s">
        <v>130</v>
      </c>
      <c r="AX1509" s="0" t="s">
        <v>130</v>
      </c>
      <c r="AY1509" s="0" t="s">
        <v>130</v>
      </c>
      <c r="AZ1509" s="0" t="s">
        <v>130</v>
      </c>
      <c r="BA1509" s="0" t="s">
        <v>130</v>
      </c>
      <c r="BB1509" s="0" t="s">
        <v>130</v>
      </c>
      <c r="BC1509" s="0" t="s">
        <v>130</v>
      </c>
      <c r="BD1509" s="0" t="s">
        <v>130</v>
      </c>
      <c r="BE1509" s="0" t="s">
        <v>130</v>
      </c>
      <c r="BF1509" s="0" t="s">
        <v>130</v>
      </c>
      <c r="BG1509" s="0" t="s">
        <v>130</v>
      </c>
      <c r="BH1509" s="0" t="s">
        <v>130</v>
      </c>
      <c r="BI1509" s="0" t="s">
        <v>130</v>
      </c>
      <c r="BJ1509" s="0" t="s">
        <v>130</v>
      </c>
      <c r="BK1509" s="0" t="s">
        <v>130</v>
      </c>
      <c r="BL1509" s="0" t="s">
        <v>130</v>
      </c>
      <c r="BM1509" s="0" t="s">
        <v>130</v>
      </c>
      <c r="BN1509" s="0" t="s">
        <v>130</v>
      </c>
      <c r="BO1509" s="0" t="s">
        <v>130</v>
      </c>
      <c r="BP1509" s="0" t="s">
        <v>130</v>
      </c>
      <c r="BQ1509" s="0" t="s">
        <v>130</v>
      </c>
      <c r="BR1509" s="0" t="s">
        <v>130</v>
      </c>
      <c r="BS1509" s="0" t="s">
        <v>130</v>
      </c>
      <c r="BT1509" s="0" t="s">
        <v>130</v>
      </c>
      <c r="BU1509" s="0" t="s">
        <v>130</v>
      </c>
      <c r="BV1509" s="0" t="s">
        <v>130</v>
      </c>
      <c r="BW1509" s="0" t="s">
        <v>130</v>
      </c>
      <c r="BX1509" s="0" t="s">
        <v>130</v>
      </c>
      <c r="BY1509" s="0" t="s">
        <v>130</v>
      </c>
      <c r="BZ1509" s="0" t="s">
        <v>130</v>
      </c>
      <c r="CA1509" s="0" t="s">
        <v>130</v>
      </c>
      <c r="CB1509" s="0" t="s">
        <v>130</v>
      </c>
      <c r="CC1509" s="0" t="s">
        <v>130</v>
      </c>
      <c r="CD1509" s="0" t="s">
        <v>130</v>
      </c>
      <c r="CE1509" s="0" t="s">
        <v>130</v>
      </c>
      <c r="CF1509" s="0" t="s">
        <v>130</v>
      </c>
      <c r="CG1509" s="0" t="s">
        <v>130</v>
      </c>
      <c r="CH1509" s="0" t="s">
        <v>130</v>
      </c>
      <c r="CI1509" s="0" t="s">
        <v>130</v>
      </c>
      <c r="CJ1509" s="0" t="s">
        <v>130</v>
      </c>
      <c r="CK1509" s="0" t="s">
        <v>130</v>
      </c>
      <c r="CL1509" s="0" t="s">
        <v>130</v>
      </c>
      <c r="CM1509" s="0" t="s">
        <v>130</v>
      </c>
      <c r="CN1509" s="0" t="s">
        <v>130</v>
      </c>
      <c r="CO1509" s="0" t="s">
        <v>130</v>
      </c>
      <c r="CP1509" s="0" t="s">
        <v>130</v>
      </c>
      <c r="CQ1509" s="0" t="s">
        <v>130</v>
      </c>
      <c r="CR1509" s="0" t="s">
        <v>130</v>
      </c>
      <c r="CS1509" s="0" t="s">
        <v>130</v>
      </c>
      <c r="CT1509" s="0" t="s">
        <v>4369</v>
      </c>
    </row>
    <row r="1510">
      <c r="A1510" s="14">
        <v>28569160</v>
      </c>
      <c r="B1510" s="0" t="s">
        <v>4370</v>
      </c>
      <c r="C1510" s="16">
        <f>HYPERLINK("https://eosportal.federatedhermes.com/companies/Q29tcGFueQppNTg5NDE=", "Uber Technologies Inc")</f>
      </c>
      <c r="D1510" s="0" t="s">
        <v>25</v>
      </c>
      <c r="E1510" s="0" t="s">
        <v>907</v>
      </c>
      <c r="F1510" s="16">
        <f>HYPERLINK("https://eosportal.federatedhermes.com/engagements/RW5nYWdlbWVudAppMjg0MzQ=", "Climate change")</f>
      </c>
      <c r="G1510" s="14" t="s">
        <v>4371</v>
      </c>
      <c r="H1510" s="0" t="s">
        <v>141</v>
      </c>
      <c r="I1510" s="14" t="s">
        <v>131</v>
      </c>
      <c r="J1510" s="0" t="s">
        <v>197</v>
      </c>
      <c r="K1510" s="0" t="s">
        <v>198</v>
      </c>
      <c r="L1510" s="0" t="s">
        <v>199</v>
      </c>
      <c r="M1510" s="0" t="s">
        <v>135</v>
      </c>
      <c r="N1510" s="0" t="s">
        <v>136</v>
      </c>
      <c r="O1510" s="0" t="s">
        <v>425</v>
      </c>
      <c r="Q1510" s="0" t="s">
        <v>130</v>
      </c>
      <c r="R1510" s="0" t="s">
        <v>138</v>
      </c>
      <c r="S1510" s="14">
        <v>0</v>
      </c>
      <c r="T1510" s="0" t="s">
        <v>148</v>
      </c>
      <c r="U1510" s="0" t="s">
        <v>138</v>
      </c>
      <c r="V1510" s="14" t="s">
        <v>138</v>
      </c>
      <c r="W1510" s="0" t="s">
        <v>138</v>
      </c>
      <c r="X1510" s="14" t="s">
        <v>138</v>
      </c>
      <c r="Y1510" s="0" t="s">
        <v>138</v>
      </c>
      <c r="Z1510" s="14" t="s">
        <v>138</v>
      </c>
      <c r="AA1510" s="0" t="s">
        <v>138</v>
      </c>
      <c r="AB1510" s="14" t="s">
        <v>138</v>
      </c>
      <c r="AD1510" s="0" t="s">
        <v>138</v>
      </c>
      <c r="AF1510" s="0">
        <v>0</v>
      </c>
      <c r="AG1510" s="0">
        <v>0</v>
      </c>
      <c r="AH1510" s="0" t="s">
        <v>140</v>
      </c>
      <c r="AI1510" s="0" t="s">
        <v>138</v>
      </c>
      <c r="AL1510" s="14"/>
      <c r="AN1510" s="14"/>
      <c r="AQ1510" s="0" t="s">
        <v>130</v>
      </c>
      <c r="AR1510" s="0" t="s">
        <v>130</v>
      </c>
      <c r="AS1510" s="0" t="s">
        <v>130</v>
      </c>
      <c r="AT1510" s="0" t="s">
        <v>130</v>
      </c>
      <c r="AU1510" s="0" t="s">
        <v>130</v>
      </c>
      <c r="AV1510" s="0" t="s">
        <v>130</v>
      </c>
      <c r="AW1510" s="0" t="s">
        <v>130</v>
      </c>
      <c r="AX1510" s="0" t="s">
        <v>130</v>
      </c>
      <c r="AY1510" s="0" t="s">
        <v>130</v>
      </c>
      <c r="AZ1510" s="0" t="s">
        <v>130</v>
      </c>
      <c r="BA1510" s="0" t="s">
        <v>130</v>
      </c>
      <c r="BB1510" s="0" t="s">
        <v>141</v>
      </c>
      <c r="BC1510" s="0" t="s">
        <v>130</v>
      </c>
      <c r="BD1510" s="0" t="s">
        <v>130</v>
      </c>
      <c r="BE1510" s="0" t="s">
        <v>130</v>
      </c>
      <c r="BF1510" s="0" t="s">
        <v>130</v>
      </c>
      <c r="BG1510" s="0" t="s">
        <v>130</v>
      </c>
      <c r="BH1510" s="0" t="s">
        <v>130</v>
      </c>
      <c r="BI1510" s="0" t="s">
        <v>130</v>
      </c>
      <c r="BJ1510" s="0" t="s">
        <v>130</v>
      </c>
      <c r="BK1510" s="0" t="s">
        <v>130</v>
      </c>
      <c r="BL1510" s="0" t="s">
        <v>130</v>
      </c>
      <c r="BM1510" s="0" t="s">
        <v>130</v>
      </c>
      <c r="BN1510" s="0" t="s">
        <v>130</v>
      </c>
      <c r="BO1510" s="0" t="s">
        <v>130</v>
      </c>
      <c r="BP1510" s="0" t="s">
        <v>130</v>
      </c>
      <c r="BQ1510" s="0" t="s">
        <v>130</v>
      </c>
      <c r="BR1510" s="0" t="s">
        <v>130</v>
      </c>
      <c r="BS1510" s="0" t="s">
        <v>130</v>
      </c>
      <c r="BT1510" s="0" t="s">
        <v>130</v>
      </c>
      <c r="BU1510" s="0" t="s">
        <v>130</v>
      </c>
      <c r="BV1510" s="0" t="s">
        <v>130</v>
      </c>
      <c r="BW1510" s="0" t="s">
        <v>130</v>
      </c>
      <c r="BX1510" s="0" t="s">
        <v>130</v>
      </c>
      <c r="BY1510" s="0" t="s">
        <v>130</v>
      </c>
      <c r="BZ1510" s="0" t="s">
        <v>130</v>
      </c>
      <c r="CA1510" s="0" t="s">
        <v>130</v>
      </c>
      <c r="CB1510" s="0" t="s">
        <v>130</v>
      </c>
      <c r="CC1510" s="0" t="s">
        <v>130</v>
      </c>
      <c r="CD1510" s="0" t="s">
        <v>130</v>
      </c>
      <c r="CE1510" s="0" t="s">
        <v>130</v>
      </c>
      <c r="CF1510" s="0" t="s">
        <v>130</v>
      </c>
      <c r="CG1510" s="0" t="s">
        <v>130</v>
      </c>
      <c r="CH1510" s="0" t="s">
        <v>130</v>
      </c>
      <c r="CI1510" s="0" t="s">
        <v>130</v>
      </c>
      <c r="CJ1510" s="0" t="s">
        <v>130</v>
      </c>
      <c r="CK1510" s="0" t="s">
        <v>130</v>
      </c>
      <c r="CL1510" s="0" t="s">
        <v>130</v>
      </c>
      <c r="CM1510" s="0" t="s">
        <v>130</v>
      </c>
      <c r="CN1510" s="0" t="s">
        <v>130</v>
      </c>
      <c r="CO1510" s="0" t="s">
        <v>130</v>
      </c>
      <c r="CP1510" s="0" t="s">
        <v>130</v>
      </c>
      <c r="CQ1510" s="0" t="s">
        <v>130</v>
      </c>
      <c r="CR1510" s="0" t="s">
        <v>130</v>
      </c>
      <c r="CS1510" s="0" t="s">
        <v>130</v>
      </c>
      <c r="CT1510" s="0" t="s">
        <v>4372</v>
      </c>
    </row>
    <row r="1511">
      <c r="A1511" s="14">
        <v>28569160</v>
      </c>
      <c r="B1511" s="0" t="s">
        <v>4370</v>
      </c>
      <c r="C1511" s="16">
        <f>HYPERLINK("https://eosportal.federatedhermes.com/companies/Q29tcGFueQppNTg5NDE=", "Uber Technologies Inc")</f>
      </c>
      <c r="D1511" s="0" t="s">
        <v>25</v>
      </c>
      <c r="E1511" s="0" t="s">
        <v>2396</v>
      </c>
      <c r="F1511" s="16">
        <f>HYPERLINK("https://eosportal.federatedhermes.com/engagements/RW5nYWdlbWVudAppMjg0MzU=", "Corporate purpose")</f>
      </c>
      <c r="G1511" s="14" t="s">
        <v>4373</v>
      </c>
      <c r="H1511" s="0" t="s">
        <v>141</v>
      </c>
      <c r="I1511" s="14" t="s">
        <v>131</v>
      </c>
      <c r="J1511" s="0" t="s">
        <v>132</v>
      </c>
      <c r="K1511" s="0" t="s">
        <v>133</v>
      </c>
      <c r="L1511" s="0" t="s">
        <v>134</v>
      </c>
      <c r="M1511" s="0" t="s">
        <v>135</v>
      </c>
      <c r="N1511" s="0" t="s">
        <v>136</v>
      </c>
      <c r="O1511" s="0" t="s">
        <v>425</v>
      </c>
      <c r="Q1511" s="0" t="s">
        <v>130</v>
      </c>
      <c r="R1511" s="0" t="s">
        <v>138</v>
      </c>
      <c r="S1511" s="14">
        <v>0</v>
      </c>
      <c r="T1511" s="0" t="s">
        <v>206</v>
      </c>
      <c r="U1511" s="0" t="s">
        <v>138</v>
      </c>
      <c r="V1511" s="14" t="s">
        <v>138</v>
      </c>
      <c r="W1511" s="0" t="s">
        <v>138</v>
      </c>
      <c r="X1511" s="14" t="s">
        <v>138</v>
      </c>
      <c r="Y1511" s="0" t="s">
        <v>138</v>
      </c>
      <c r="Z1511" s="14" t="s">
        <v>138</v>
      </c>
      <c r="AA1511" s="0" t="s">
        <v>138</v>
      </c>
      <c r="AB1511" s="14" t="s">
        <v>138</v>
      </c>
      <c r="AD1511" s="0" t="s">
        <v>138</v>
      </c>
      <c r="AF1511" s="0">
        <v>0</v>
      </c>
      <c r="AG1511" s="0">
        <v>0</v>
      </c>
      <c r="AH1511" s="0" t="s">
        <v>140</v>
      </c>
      <c r="AI1511" s="0" t="s">
        <v>138</v>
      </c>
      <c r="AL1511" s="14"/>
      <c r="AN1511" s="14"/>
      <c r="AQ1511" s="0" t="s">
        <v>130</v>
      </c>
      <c r="AR1511" s="0" t="s">
        <v>130</v>
      </c>
      <c r="AS1511" s="0" t="s">
        <v>130</v>
      </c>
      <c r="AT1511" s="0" t="s">
        <v>130</v>
      </c>
      <c r="AU1511" s="0" t="s">
        <v>130</v>
      </c>
      <c r="AV1511" s="0" t="s">
        <v>130</v>
      </c>
      <c r="AW1511" s="0" t="s">
        <v>130</v>
      </c>
      <c r="AX1511" s="0" t="s">
        <v>130</v>
      </c>
      <c r="AY1511" s="0" t="s">
        <v>130</v>
      </c>
      <c r="AZ1511" s="0" t="s">
        <v>130</v>
      </c>
      <c r="BA1511" s="0" t="s">
        <v>130</v>
      </c>
      <c r="BB1511" s="0" t="s">
        <v>130</v>
      </c>
      <c r="BC1511" s="0" t="s">
        <v>130</v>
      </c>
      <c r="BD1511" s="0" t="s">
        <v>130</v>
      </c>
      <c r="BE1511" s="0" t="s">
        <v>130</v>
      </c>
      <c r="BF1511" s="0" t="s">
        <v>130</v>
      </c>
      <c r="BG1511" s="0" t="s">
        <v>130</v>
      </c>
      <c r="BH1511" s="0" t="s">
        <v>130</v>
      </c>
      <c r="BI1511" s="0" t="s">
        <v>130</v>
      </c>
      <c r="BJ1511" s="0" t="s">
        <v>130</v>
      </c>
      <c r="BK1511" s="0" t="s">
        <v>130</v>
      </c>
      <c r="BL1511" s="0" t="s">
        <v>130</v>
      </c>
      <c r="BM1511" s="0" t="s">
        <v>130</v>
      </c>
      <c r="BN1511" s="0" t="s">
        <v>130</v>
      </c>
      <c r="BO1511" s="0" t="s">
        <v>130</v>
      </c>
      <c r="BP1511" s="0" t="s">
        <v>130</v>
      </c>
      <c r="BQ1511" s="0" t="s">
        <v>130</v>
      </c>
      <c r="BR1511" s="0" t="s">
        <v>130</v>
      </c>
      <c r="BS1511" s="0" t="s">
        <v>130</v>
      </c>
      <c r="BT1511" s="0" t="s">
        <v>130</v>
      </c>
      <c r="BU1511" s="0" t="s">
        <v>130</v>
      </c>
      <c r="BV1511" s="0" t="s">
        <v>130</v>
      </c>
      <c r="BW1511" s="0" t="s">
        <v>130</v>
      </c>
      <c r="BX1511" s="0" t="s">
        <v>130</v>
      </c>
      <c r="BY1511" s="0" t="s">
        <v>130</v>
      </c>
      <c r="BZ1511" s="0" t="s">
        <v>130</v>
      </c>
      <c r="CA1511" s="0" t="s">
        <v>130</v>
      </c>
      <c r="CB1511" s="0" t="s">
        <v>130</v>
      </c>
      <c r="CC1511" s="0" t="s">
        <v>130</v>
      </c>
      <c r="CD1511" s="0" t="s">
        <v>130</v>
      </c>
      <c r="CE1511" s="0" t="s">
        <v>130</v>
      </c>
      <c r="CF1511" s="0" t="s">
        <v>130</v>
      </c>
      <c r="CG1511" s="0" t="s">
        <v>130</v>
      </c>
      <c r="CH1511" s="0" t="s">
        <v>130</v>
      </c>
      <c r="CI1511" s="0" t="s">
        <v>130</v>
      </c>
      <c r="CJ1511" s="0" t="s">
        <v>130</v>
      </c>
      <c r="CK1511" s="0" t="s">
        <v>130</v>
      </c>
      <c r="CL1511" s="0" t="s">
        <v>130</v>
      </c>
      <c r="CM1511" s="0" t="s">
        <v>130</v>
      </c>
      <c r="CN1511" s="0" t="s">
        <v>130</v>
      </c>
      <c r="CO1511" s="0" t="s">
        <v>130</v>
      </c>
      <c r="CP1511" s="0" t="s">
        <v>130</v>
      </c>
      <c r="CQ1511" s="0" t="s">
        <v>130</v>
      </c>
      <c r="CR1511" s="0" t="s">
        <v>130</v>
      </c>
      <c r="CS1511" s="0" t="s">
        <v>130</v>
      </c>
      <c r="CT1511" s="0" t="s">
        <v>4374</v>
      </c>
    </row>
    <row r="1512">
      <c r="A1512" s="14">
        <v>28569160</v>
      </c>
      <c r="B1512" s="0" t="s">
        <v>4370</v>
      </c>
      <c r="C1512" s="16">
        <f>HYPERLINK("https://eosportal.federatedhermes.com/companies/Q29tcGFueQppNTg5NDE=", "Uber Technologies Inc")</f>
      </c>
      <c r="D1512" s="0" t="s">
        <v>25</v>
      </c>
      <c r="E1512" s="0" t="s">
        <v>4375</v>
      </c>
      <c r="F1512" s="16">
        <f>HYPERLINK("https://eosportal.federatedhermes.com/engagements/RW5nYWdlbWVudAppMjg0MzY=", "Long term financial sustainability")</f>
      </c>
      <c r="G1512" s="14" t="s">
        <v>4376</v>
      </c>
      <c r="H1512" s="0" t="s">
        <v>141</v>
      </c>
      <c r="I1512" s="14" t="s">
        <v>131</v>
      </c>
      <c r="J1512" s="0" t="s">
        <v>132</v>
      </c>
      <c r="K1512" s="0" t="s">
        <v>133</v>
      </c>
      <c r="L1512" s="0" t="s">
        <v>160</v>
      </c>
      <c r="M1512" s="0" t="s">
        <v>135</v>
      </c>
      <c r="N1512" s="0" t="s">
        <v>136</v>
      </c>
      <c r="O1512" s="0" t="s">
        <v>425</v>
      </c>
      <c r="Q1512" s="0" t="s">
        <v>130</v>
      </c>
      <c r="R1512" s="0" t="s">
        <v>138</v>
      </c>
      <c r="S1512" s="14">
        <v>0</v>
      </c>
      <c r="T1512" s="0" t="s">
        <v>166</v>
      </c>
      <c r="U1512" s="0" t="s">
        <v>138</v>
      </c>
      <c r="V1512" s="14" t="s">
        <v>138</v>
      </c>
      <c r="W1512" s="0" t="s">
        <v>138</v>
      </c>
      <c r="X1512" s="14" t="s">
        <v>138</v>
      </c>
      <c r="Y1512" s="0" t="s">
        <v>138</v>
      </c>
      <c r="Z1512" s="14" t="s">
        <v>138</v>
      </c>
      <c r="AA1512" s="0" t="s">
        <v>138</v>
      </c>
      <c r="AB1512" s="14" t="s">
        <v>138</v>
      </c>
      <c r="AD1512" s="0" t="s">
        <v>138</v>
      </c>
      <c r="AF1512" s="0">
        <v>0</v>
      </c>
      <c r="AG1512" s="0">
        <v>0</v>
      </c>
      <c r="AH1512" s="0" t="s">
        <v>140</v>
      </c>
      <c r="AI1512" s="0" t="s">
        <v>138</v>
      </c>
      <c r="AL1512" s="14"/>
      <c r="AN1512" s="14"/>
      <c r="AQ1512" s="0" t="s">
        <v>130</v>
      </c>
      <c r="AR1512" s="0" t="s">
        <v>130</v>
      </c>
      <c r="AS1512" s="0" t="s">
        <v>130</v>
      </c>
      <c r="AT1512" s="0" t="s">
        <v>130</v>
      </c>
      <c r="AU1512" s="0" t="s">
        <v>130</v>
      </c>
      <c r="AV1512" s="0" t="s">
        <v>130</v>
      </c>
      <c r="AW1512" s="0" t="s">
        <v>130</v>
      </c>
      <c r="AX1512" s="0" t="s">
        <v>130</v>
      </c>
      <c r="AY1512" s="0" t="s">
        <v>130</v>
      </c>
      <c r="AZ1512" s="0" t="s">
        <v>130</v>
      </c>
      <c r="BA1512" s="0" t="s">
        <v>130</v>
      </c>
      <c r="BB1512" s="0" t="s">
        <v>130</v>
      </c>
      <c r="BC1512" s="0" t="s">
        <v>130</v>
      </c>
      <c r="BD1512" s="0" t="s">
        <v>130</v>
      </c>
      <c r="BE1512" s="0" t="s">
        <v>130</v>
      </c>
      <c r="BF1512" s="0" t="s">
        <v>130</v>
      </c>
      <c r="BG1512" s="0" t="s">
        <v>130</v>
      </c>
      <c r="BH1512" s="0" t="s">
        <v>130</v>
      </c>
      <c r="BI1512" s="0" t="s">
        <v>130</v>
      </c>
      <c r="BJ1512" s="0" t="s">
        <v>130</v>
      </c>
      <c r="BK1512" s="0" t="s">
        <v>130</v>
      </c>
      <c r="BL1512" s="0" t="s">
        <v>130</v>
      </c>
      <c r="BM1512" s="0" t="s">
        <v>130</v>
      </c>
      <c r="BN1512" s="0" t="s">
        <v>130</v>
      </c>
      <c r="BO1512" s="0" t="s">
        <v>130</v>
      </c>
      <c r="BP1512" s="0" t="s">
        <v>130</v>
      </c>
      <c r="BQ1512" s="0" t="s">
        <v>130</v>
      </c>
      <c r="BR1512" s="0" t="s">
        <v>130</v>
      </c>
      <c r="BS1512" s="0" t="s">
        <v>130</v>
      </c>
      <c r="BT1512" s="0" t="s">
        <v>130</v>
      </c>
      <c r="BU1512" s="0" t="s">
        <v>130</v>
      </c>
      <c r="BV1512" s="0" t="s">
        <v>130</v>
      </c>
      <c r="BW1512" s="0" t="s">
        <v>130</v>
      </c>
      <c r="BX1512" s="0" t="s">
        <v>130</v>
      </c>
      <c r="BY1512" s="0" t="s">
        <v>130</v>
      </c>
      <c r="BZ1512" s="0" t="s">
        <v>130</v>
      </c>
      <c r="CA1512" s="0" t="s">
        <v>130</v>
      </c>
      <c r="CB1512" s="0" t="s">
        <v>130</v>
      </c>
      <c r="CC1512" s="0" t="s">
        <v>130</v>
      </c>
      <c r="CD1512" s="0" t="s">
        <v>130</v>
      </c>
      <c r="CE1512" s="0" t="s">
        <v>130</v>
      </c>
      <c r="CF1512" s="0" t="s">
        <v>130</v>
      </c>
      <c r="CG1512" s="0" t="s">
        <v>130</v>
      </c>
      <c r="CH1512" s="0" t="s">
        <v>130</v>
      </c>
      <c r="CI1512" s="0" t="s">
        <v>130</v>
      </c>
      <c r="CJ1512" s="0" t="s">
        <v>130</v>
      </c>
      <c r="CK1512" s="0" t="s">
        <v>130</v>
      </c>
      <c r="CL1512" s="0" t="s">
        <v>130</v>
      </c>
      <c r="CM1512" s="0" t="s">
        <v>130</v>
      </c>
      <c r="CN1512" s="0" t="s">
        <v>130</v>
      </c>
      <c r="CO1512" s="0" t="s">
        <v>130</v>
      </c>
      <c r="CP1512" s="0" t="s">
        <v>130</v>
      </c>
      <c r="CQ1512" s="0" t="s">
        <v>130</v>
      </c>
      <c r="CR1512" s="0" t="s">
        <v>130</v>
      </c>
      <c r="CS1512" s="0" t="s">
        <v>130</v>
      </c>
      <c r="CT1512" s="0" t="s">
        <v>4377</v>
      </c>
    </row>
    <row r="1513">
      <c r="A1513" s="14">
        <v>28569160</v>
      </c>
      <c r="B1513" s="0" t="s">
        <v>4370</v>
      </c>
      <c r="C1513" s="16">
        <f>HYPERLINK("https://eosportal.federatedhermes.com/companies/Q29tcGFueQppNTg5NDE=", "Uber Technologies Inc")</f>
      </c>
      <c r="D1513" s="0" t="s">
        <v>25</v>
      </c>
      <c r="E1513" s="0" t="s">
        <v>4378</v>
      </c>
      <c r="F1513" s="16">
        <f>HYPERLINK("https://eosportal.federatedhermes.com/engagements/RW5nYWdlbWVudAppMjg0Mzc=", "Drivers management and work practice disclosure")</f>
      </c>
      <c r="G1513" s="14" t="s">
        <v>4379</v>
      </c>
      <c r="H1513" s="0" t="s">
        <v>141</v>
      </c>
      <c r="I1513" s="14" t="s">
        <v>131</v>
      </c>
      <c r="J1513" s="0" t="s">
        <v>153</v>
      </c>
      <c r="K1513" s="0" t="s">
        <v>154</v>
      </c>
      <c r="L1513" s="0" t="s">
        <v>306</v>
      </c>
      <c r="M1513" s="0" t="s">
        <v>135</v>
      </c>
      <c r="N1513" s="0" t="s">
        <v>136</v>
      </c>
      <c r="O1513" s="0" t="s">
        <v>425</v>
      </c>
      <c r="Q1513" s="0" t="s">
        <v>130</v>
      </c>
      <c r="R1513" s="0" t="s">
        <v>138</v>
      </c>
      <c r="S1513" s="14">
        <v>0</v>
      </c>
      <c r="T1513" s="0" t="s">
        <v>166</v>
      </c>
      <c r="U1513" s="0" t="s">
        <v>138</v>
      </c>
      <c r="V1513" s="14" t="s">
        <v>138</v>
      </c>
      <c r="W1513" s="0" t="s">
        <v>138</v>
      </c>
      <c r="X1513" s="14" t="s">
        <v>138</v>
      </c>
      <c r="Y1513" s="0" t="s">
        <v>138</v>
      </c>
      <c r="Z1513" s="14" t="s">
        <v>138</v>
      </c>
      <c r="AA1513" s="0" t="s">
        <v>138</v>
      </c>
      <c r="AB1513" s="14" t="s">
        <v>138</v>
      </c>
      <c r="AD1513" s="0" t="s">
        <v>138</v>
      </c>
      <c r="AF1513" s="0">
        <v>0</v>
      </c>
      <c r="AG1513" s="0">
        <v>0</v>
      </c>
      <c r="AH1513" s="0" t="s">
        <v>140</v>
      </c>
      <c r="AI1513" s="0" t="s">
        <v>138</v>
      </c>
      <c r="AL1513" s="14"/>
      <c r="AN1513" s="14"/>
      <c r="AQ1513" s="0" t="s">
        <v>130</v>
      </c>
      <c r="AR1513" s="0" t="s">
        <v>130</v>
      </c>
      <c r="AS1513" s="0" t="s">
        <v>130</v>
      </c>
      <c r="AT1513" s="0" t="s">
        <v>130</v>
      </c>
      <c r="AU1513" s="0" t="s">
        <v>130</v>
      </c>
      <c r="AV1513" s="0" t="s">
        <v>130</v>
      </c>
      <c r="AW1513" s="0" t="s">
        <v>130</v>
      </c>
      <c r="AX1513" s="0" t="s">
        <v>141</v>
      </c>
      <c r="AY1513" s="0" t="s">
        <v>130</v>
      </c>
      <c r="AZ1513" s="0" t="s">
        <v>141</v>
      </c>
      <c r="BA1513" s="0" t="s">
        <v>130</v>
      </c>
      <c r="BB1513" s="0" t="s">
        <v>130</v>
      </c>
      <c r="BC1513" s="0" t="s">
        <v>130</v>
      </c>
      <c r="BD1513" s="0" t="s">
        <v>130</v>
      </c>
      <c r="BE1513" s="0" t="s">
        <v>130</v>
      </c>
      <c r="BF1513" s="0" t="s">
        <v>130</v>
      </c>
      <c r="BG1513" s="0" t="s">
        <v>130</v>
      </c>
      <c r="BH1513" s="0" t="s">
        <v>130</v>
      </c>
      <c r="BI1513" s="0" t="s">
        <v>130</v>
      </c>
      <c r="BJ1513" s="0" t="s">
        <v>130</v>
      </c>
      <c r="BK1513" s="0" t="s">
        <v>130</v>
      </c>
      <c r="BL1513" s="0" t="s">
        <v>130</v>
      </c>
      <c r="BM1513" s="0" t="s">
        <v>130</v>
      </c>
      <c r="BN1513" s="0" t="s">
        <v>130</v>
      </c>
      <c r="BO1513" s="0" t="s">
        <v>130</v>
      </c>
      <c r="BP1513" s="0" t="s">
        <v>130</v>
      </c>
      <c r="BQ1513" s="0" t="s">
        <v>130</v>
      </c>
      <c r="BR1513" s="0" t="s">
        <v>130</v>
      </c>
      <c r="BS1513" s="0" t="s">
        <v>130</v>
      </c>
      <c r="BT1513" s="0" t="s">
        <v>130</v>
      </c>
      <c r="BU1513" s="0" t="s">
        <v>130</v>
      </c>
      <c r="BV1513" s="0" t="s">
        <v>130</v>
      </c>
      <c r="BW1513" s="0" t="s">
        <v>130</v>
      </c>
      <c r="BX1513" s="0" t="s">
        <v>130</v>
      </c>
      <c r="BY1513" s="0" t="s">
        <v>130</v>
      </c>
      <c r="BZ1513" s="0" t="s">
        <v>130</v>
      </c>
      <c r="CA1513" s="0" t="s">
        <v>130</v>
      </c>
      <c r="CB1513" s="0" t="s">
        <v>130</v>
      </c>
      <c r="CC1513" s="0" t="s">
        <v>130</v>
      </c>
      <c r="CD1513" s="0" t="s">
        <v>130</v>
      </c>
      <c r="CE1513" s="0" t="s">
        <v>130</v>
      </c>
      <c r="CF1513" s="0" t="s">
        <v>130</v>
      </c>
      <c r="CG1513" s="0" t="s">
        <v>130</v>
      </c>
      <c r="CH1513" s="0" t="s">
        <v>130</v>
      </c>
      <c r="CI1513" s="0" t="s">
        <v>130</v>
      </c>
      <c r="CJ1513" s="0" t="s">
        <v>130</v>
      </c>
      <c r="CK1513" s="0" t="s">
        <v>130</v>
      </c>
      <c r="CL1513" s="0" t="s">
        <v>130</v>
      </c>
      <c r="CM1513" s="0" t="s">
        <v>130</v>
      </c>
      <c r="CN1513" s="0" t="s">
        <v>130</v>
      </c>
      <c r="CO1513" s="0" t="s">
        <v>130</v>
      </c>
      <c r="CP1513" s="0" t="s">
        <v>130</v>
      </c>
      <c r="CQ1513" s="0" t="s">
        <v>130</v>
      </c>
      <c r="CR1513" s="0" t="s">
        <v>130</v>
      </c>
      <c r="CS1513" s="0" t="s">
        <v>130</v>
      </c>
      <c r="CT1513" s="0" t="s">
        <v>4380</v>
      </c>
    </row>
    <row r="1514">
      <c r="A1514" s="14">
        <v>28569160</v>
      </c>
      <c r="B1514" s="0" t="s">
        <v>4370</v>
      </c>
      <c r="C1514" s="16">
        <f>HYPERLINK("https://eosportal.federatedhermes.com/companies/Q29tcGFueQppNTg5NDE=", "Uber Technologies Inc")</f>
      </c>
      <c r="D1514" s="0" t="s">
        <v>25</v>
      </c>
      <c r="E1514" s="0" t="s">
        <v>4381</v>
      </c>
      <c r="F1514" s="16">
        <f>HYPERLINK("https://eosportal.federatedhermes.com/engagements/RW5nYWdlbWVudAppMjg0NDE=", "Reform of corporate culture")</f>
      </c>
      <c r="G1514" s="14" t="s">
        <v>4382</v>
      </c>
      <c r="H1514" s="0" t="s">
        <v>141</v>
      </c>
      <c r="I1514" s="14" t="s">
        <v>131</v>
      </c>
      <c r="J1514" s="0" t="s">
        <v>153</v>
      </c>
      <c r="K1514" s="0" t="s">
        <v>185</v>
      </c>
      <c r="L1514" s="0" t="s">
        <v>186</v>
      </c>
      <c r="M1514" s="0" t="s">
        <v>135</v>
      </c>
      <c r="N1514" s="0" t="s">
        <v>136</v>
      </c>
      <c r="O1514" s="0" t="s">
        <v>425</v>
      </c>
      <c r="Q1514" s="0" t="s">
        <v>130</v>
      </c>
      <c r="R1514" s="0" t="s">
        <v>138</v>
      </c>
      <c r="S1514" s="14">
        <v>0</v>
      </c>
      <c r="T1514" s="0" t="s">
        <v>166</v>
      </c>
      <c r="U1514" s="0" t="s">
        <v>138</v>
      </c>
      <c r="V1514" s="14" t="s">
        <v>138</v>
      </c>
      <c r="W1514" s="0" t="s">
        <v>138</v>
      </c>
      <c r="X1514" s="14" t="s">
        <v>138</v>
      </c>
      <c r="Y1514" s="0" t="s">
        <v>138</v>
      </c>
      <c r="Z1514" s="14" t="s">
        <v>138</v>
      </c>
      <c r="AA1514" s="0" t="s">
        <v>138</v>
      </c>
      <c r="AB1514" s="14" t="s">
        <v>138</v>
      </c>
      <c r="AD1514" s="0" t="s">
        <v>138</v>
      </c>
      <c r="AF1514" s="0">
        <v>0</v>
      </c>
      <c r="AG1514" s="0">
        <v>0</v>
      </c>
      <c r="AH1514" s="0" t="s">
        <v>140</v>
      </c>
      <c r="AI1514" s="0" t="s">
        <v>138</v>
      </c>
      <c r="AL1514" s="14"/>
      <c r="AN1514" s="14"/>
      <c r="AQ1514" s="0" t="s">
        <v>130</v>
      </c>
      <c r="AR1514" s="0" t="s">
        <v>130</v>
      </c>
      <c r="AS1514" s="0" t="s">
        <v>130</v>
      </c>
      <c r="AT1514" s="0" t="s">
        <v>130</v>
      </c>
      <c r="AU1514" s="0" t="s">
        <v>130</v>
      </c>
      <c r="AV1514" s="0" t="s">
        <v>130</v>
      </c>
      <c r="AW1514" s="0" t="s">
        <v>130</v>
      </c>
      <c r="AX1514" s="0" t="s">
        <v>130</v>
      </c>
      <c r="AY1514" s="0" t="s">
        <v>130</v>
      </c>
      <c r="AZ1514" s="0" t="s">
        <v>130</v>
      </c>
      <c r="BA1514" s="0" t="s">
        <v>130</v>
      </c>
      <c r="BB1514" s="0" t="s">
        <v>130</v>
      </c>
      <c r="BC1514" s="0" t="s">
        <v>130</v>
      </c>
      <c r="BD1514" s="0" t="s">
        <v>130</v>
      </c>
      <c r="BE1514" s="0" t="s">
        <v>130</v>
      </c>
      <c r="BF1514" s="0" t="s">
        <v>130</v>
      </c>
      <c r="BG1514" s="0" t="s">
        <v>130</v>
      </c>
      <c r="BH1514" s="0" t="s">
        <v>130</v>
      </c>
      <c r="BI1514" s="0" t="s">
        <v>130</v>
      </c>
      <c r="BJ1514" s="0" t="s">
        <v>130</v>
      </c>
      <c r="BK1514" s="0" t="s">
        <v>130</v>
      </c>
      <c r="BL1514" s="0" t="s">
        <v>130</v>
      </c>
      <c r="BM1514" s="0" t="s">
        <v>130</v>
      </c>
      <c r="BN1514" s="0" t="s">
        <v>130</v>
      </c>
      <c r="BO1514" s="0" t="s">
        <v>130</v>
      </c>
      <c r="BP1514" s="0" t="s">
        <v>130</v>
      </c>
      <c r="BQ1514" s="0" t="s">
        <v>130</v>
      </c>
      <c r="BR1514" s="0" t="s">
        <v>130</v>
      </c>
      <c r="BS1514" s="0" t="s">
        <v>130</v>
      </c>
      <c r="BT1514" s="0" t="s">
        <v>130</v>
      </c>
      <c r="BU1514" s="0" t="s">
        <v>130</v>
      </c>
      <c r="BV1514" s="0" t="s">
        <v>130</v>
      </c>
      <c r="BW1514" s="0" t="s">
        <v>130</v>
      </c>
      <c r="BX1514" s="0" t="s">
        <v>130</v>
      </c>
      <c r="BY1514" s="0" t="s">
        <v>130</v>
      </c>
      <c r="BZ1514" s="0" t="s">
        <v>130</v>
      </c>
      <c r="CA1514" s="0" t="s">
        <v>130</v>
      </c>
      <c r="CB1514" s="0" t="s">
        <v>130</v>
      </c>
      <c r="CC1514" s="0" t="s">
        <v>130</v>
      </c>
      <c r="CD1514" s="0" t="s">
        <v>130</v>
      </c>
      <c r="CE1514" s="0" t="s">
        <v>130</v>
      </c>
      <c r="CF1514" s="0" t="s">
        <v>130</v>
      </c>
      <c r="CG1514" s="0" t="s">
        <v>130</v>
      </c>
      <c r="CH1514" s="0" t="s">
        <v>130</v>
      </c>
      <c r="CI1514" s="0" t="s">
        <v>130</v>
      </c>
      <c r="CJ1514" s="0" t="s">
        <v>130</v>
      </c>
      <c r="CK1514" s="0" t="s">
        <v>130</v>
      </c>
      <c r="CL1514" s="0" t="s">
        <v>130</v>
      </c>
      <c r="CM1514" s="0" t="s">
        <v>130</v>
      </c>
      <c r="CN1514" s="0" t="s">
        <v>130</v>
      </c>
      <c r="CO1514" s="0" t="s">
        <v>130</v>
      </c>
      <c r="CP1514" s="0" t="s">
        <v>130</v>
      </c>
      <c r="CQ1514" s="0" t="s">
        <v>130</v>
      </c>
      <c r="CR1514" s="0" t="s">
        <v>130</v>
      </c>
      <c r="CS1514" s="0" t="s">
        <v>130</v>
      </c>
      <c r="CT1514" s="0" t="s">
        <v>4383</v>
      </c>
    </row>
    <row r="1515">
      <c r="A1515" s="14">
        <v>18154272</v>
      </c>
      <c r="B1515" s="0" t="s">
        <v>4384</v>
      </c>
      <c r="C1515" s="16">
        <f>HYPERLINK("https://eosportal.federatedhermes.com/companies/Q29tcGFueQppNTU1ODE=", "ENEOS Holdings Inc")</f>
      </c>
      <c r="D1515" s="0" t="s">
        <v>25</v>
      </c>
      <c r="E1515" s="0" t="s">
        <v>1399</v>
      </c>
      <c r="F1515" s="16">
        <f>HYPERLINK("https://eosportal.federatedhermes.com/engagements/RW5nYWdlbWVudAppMjg0NTk=", "Allegiant shareholdings")</f>
      </c>
      <c r="G1515" s="14" t="s">
        <v>4385</v>
      </c>
      <c r="H1515" s="0" t="s">
        <v>130</v>
      </c>
      <c r="I1515" s="14" t="s">
        <v>319</v>
      </c>
      <c r="J1515" s="0" t="s">
        <v>145</v>
      </c>
      <c r="K1515" s="0" t="s">
        <v>400</v>
      </c>
      <c r="L1515" s="0" t="s">
        <v>507</v>
      </c>
      <c r="M1515" s="0" t="s">
        <v>802</v>
      </c>
      <c r="N1515" s="0" t="s">
        <v>952</v>
      </c>
      <c r="O1515" s="0" t="s">
        <v>542</v>
      </c>
      <c r="Q1515" s="0" t="s">
        <v>130</v>
      </c>
      <c r="R1515" s="0" t="s">
        <v>138</v>
      </c>
      <c r="S1515" s="14">
        <v>0</v>
      </c>
      <c r="T1515" s="0" t="s">
        <v>384</v>
      </c>
      <c r="U1515" s="0" t="s">
        <v>138</v>
      </c>
      <c r="V1515" s="14" t="s">
        <v>138</v>
      </c>
      <c r="W1515" s="0" t="s">
        <v>138</v>
      </c>
      <c r="X1515" s="14" t="s">
        <v>138</v>
      </c>
      <c r="Y1515" s="0" t="s">
        <v>138</v>
      </c>
      <c r="Z1515" s="14" t="s">
        <v>138</v>
      </c>
      <c r="AA1515" s="0" t="s">
        <v>138</v>
      </c>
      <c r="AB1515" s="14" t="s">
        <v>138</v>
      </c>
      <c r="AD1515" s="0" t="s">
        <v>138</v>
      </c>
      <c r="AF1515" s="0">
        <v>0</v>
      </c>
      <c r="AG1515" s="0">
        <v>0</v>
      </c>
      <c r="AH1515" s="0" t="s">
        <v>140</v>
      </c>
      <c r="AI1515" s="0" t="s">
        <v>138</v>
      </c>
      <c r="AL1515" s="14"/>
      <c r="AN1515" s="14"/>
      <c r="AQ1515" s="0" t="s">
        <v>130</v>
      </c>
      <c r="AR1515" s="0" t="s">
        <v>130</v>
      </c>
      <c r="AS1515" s="0" t="s">
        <v>130</v>
      </c>
      <c r="AT1515" s="0" t="s">
        <v>130</v>
      </c>
      <c r="AU1515" s="0" t="s">
        <v>130</v>
      </c>
      <c r="AV1515" s="0" t="s">
        <v>130</v>
      </c>
      <c r="AW1515" s="0" t="s">
        <v>130</v>
      </c>
      <c r="AX1515" s="0" t="s">
        <v>130</v>
      </c>
      <c r="AY1515" s="0" t="s">
        <v>130</v>
      </c>
      <c r="AZ1515" s="0" t="s">
        <v>130</v>
      </c>
      <c r="BA1515" s="0" t="s">
        <v>130</v>
      </c>
      <c r="BB1515" s="0" t="s">
        <v>130</v>
      </c>
      <c r="BC1515" s="0" t="s">
        <v>130</v>
      </c>
      <c r="BD1515" s="0" t="s">
        <v>130</v>
      </c>
      <c r="BE1515" s="0" t="s">
        <v>130</v>
      </c>
      <c r="BF1515" s="0" t="s">
        <v>130</v>
      </c>
      <c r="BG1515" s="0" t="s">
        <v>130</v>
      </c>
      <c r="BH1515" s="0" t="s">
        <v>130</v>
      </c>
      <c r="BI1515" s="0" t="s">
        <v>130</v>
      </c>
      <c r="BJ1515" s="0" t="s">
        <v>130</v>
      </c>
      <c r="BK1515" s="0" t="s">
        <v>130</v>
      </c>
      <c r="BL1515" s="0" t="s">
        <v>130</v>
      </c>
      <c r="BM1515" s="0" t="s">
        <v>130</v>
      </c>
      <c r="BN1515" s="0" t="s">
        <v>130</v>
      </c>
      <c r="BO1515" s="0" t="s">
        <v>130</v>
      </c>
      <c r="BP1515" s="0" t="s">
        <v>130</v>
      </c>
      <c r="BQ1515" s="0" t="s">
        <v>130</v>
      </c>
      <c r="BR1515" s="0" t="s">
        <v>130</v>
      </c>
      <c r="BS1515" s="0" t="s">
        <v>130</v>
      </c>
      <c r="BT1515" s="0" t="s">
        <v>130</v>
      </c>
      <c r="BU1515" s="0" t="s">
        <v>130</v>
      </c>
      <c r="BV1515" s="0" t="s">
        <v>130</v>
      </c>
      <c r="BW1515" s="0" t="s">
        <v>130</v>
      </c>
      <c r="BX1515" s="0" t="s">
        <v>130</v>
      </c>
      <c r="BY1515" s="0" t="s">
        <v>130</v>
      </c>
      <c r="BZ1515" s="0" t="s">
        <v>130</v>
      </c>
      <c r="CA1515" s="0" t="s">
        <v>130</v>
      </c>
      <c r="CB1515" s="0" t="s">
        <v>130</v>
      </c>
      <c r="CC1515" s="0" t="s">
        <v>130</v>
      </c>
      <c r="CD1515" s="0" t="s">
        <v>130</v>
      </c>
      <c r="CE1515" s="0" t="s">
        <v>130</v>
      </c>
      <c r="CF1515" s="0" t="s">
        <v>130</v>
      </c>
      <c r="CG1515" s="0" t="s">
        <v>130</v>
      </c>
      <c r="CH1515" s="0" t="s">
        <v>130</v>
      </c>
      <c r="CI1515" s="0" t="s">
        <v>130</v>
      </c>
      <c r="CJ1515" s="0" t="s">
        <v>130</v>
      </c>
      <c r="CK1515" s="0" t="s">
        <v>130</v>
      </c>
      <c r="CL1515" s="0" t="s">
        <v>130</v>
      </c>
      <c r="CM1515" s="0" t="s">
        <v>130</v>
      </c>
      <c r="CN1515" s="0" t="s">
        <v>130</v>
      </c>
      <c r="CO1515" s="0" t="s">
        <v>130</v>
      </c>
      <c r="CP1515" s="0" t="s">
        <v>130</v>
      </c>
      <c r="CQ1515" s="0" t="s">
        <v>130</v>
      </c>
      <c r="CR1515" s="0" t="s">
        <v>130</v>
      </c>
      <c r="CS1515" s="0" t="s">
        <v>130</v>
      </c>
      <c r="CT1515" s="0" t="s">
        <v>4386</v>
      </c>
    </row>
    <row r="1516">
      <c r="A1516" s="14">
        <v>18154272</v>
      </c>
      <c r="B1516" s="0" t="s">
        <v>4384</v>
      </c>
      <c r="C1516" s="16">
        <f>HYPERLINK("https://eosportal.federatedhermes.com/companies/Q29tcGFueQppNTU1ODE=", "ENEOS Holdings Inc")</f>
      </c>
      <c r="D1516" s="0" t="s">
        <v>25</v>
      </c>
      <c r="E1516" s="0" t="s">
        <v>4387</v>
      </c>
      <c r="F1516" s="16">
        <f>HYPERLINK("https://eosportal.federatedhermes.com/engagements/RW5nYWdlbWVudAppMjg0NjA=", "Board diversity and skills")</f>
      </c>
      <c r="G1516" s="14" t="s">
        <v>4388</v>
      </c>
      <c r="H1516" s="0" t="s">
        <v>130</v>
      </c>
      <c r="I1516" s="14" t="s">
        <v>319</v>
      </c>
      <c r="J1516" s="0" t="s">
        <v>145</v>
      </c>
      <c r="K1516" s="0" t="s">
        <v>164</v>
      </c>
      <c r="L1516" s="0" t="s">
        <v>165</v>
      </c>
      <c r="M1516" s="0" t="s">
        <v>802</v>
      </c>
      <c r="N1516" s="0" t="s">
        <v>952</v>
      </c>
      <c r="O1516" s="0" t="s">
        <v>542</v>
      </c>
      <c r="Q1516" s="0" t="s">
        <v>141</v>
      </c>
      <c r="R1516" s="0" t="s">
        <v>138</v>
      </c>
      <c r="S1516" s="14">
        <v>1</v>
      </c>
      <c r="T1516" s="0" t="s">
        <v>384</v>
      </c>
      <c r="U1516" s="0" t="s">
        <v>138</v>
      </c>
      <c r="V1516" s="14" t="s">
        <v>138</v>
      </c>
      <c r="W1516" s="0" t="s">
        <v>138</v>
      </c>
      <c r="X1516" s="14" t="s">
        <v>138</v>
      </c>
      <c r="Y1516" s="0" t="s">
        <v>138</v>
      </c>
      <c r="Z1516" s="14" t="s">
        <v>138</v>
      </c>
      <c r="AA1516" s="0" t="s">
        <v>138</v>
      </c>
      <c r="AB1516" s="14" t="s">
        <v>138</v>
      </c>
      <c r="AD1516" s="0" t="s">
        <v>138</v>
      </c>
      <c r="AF1516" s="0">
        <v>0</v>
      </c>
      <c r="AG1516" s="0">
        <v>0</v>
      </c>
      <c r="AH1516" s="0" t="s">
        <v>140</v>
      </c>
      <c r="AI1516" s="0" t="s">
        <v>138</v>
      </c>
      <c r="AK1516" s="0" t="s">
        <v>584</v>
      </c>
      <c r="AL1516" s="14"/>
      <c r="AN1516" s="14"/>
      <c r="AQ1516" s="0" t="s">
        <v>130</v>
      </c>
      <c r="AR1516" s="0" t="s">
        <v>130</v>
      </c>
      <c r="AS1516" s="0" t="s">
        <v>130</v>
      </c>
      <c r="AT1516" s="0" t="s">
        <v>130</v>
      </c>
      <c r="AU1516" s="0" t="s">
        <v>141</v>
      </c>
      <c r="AV1516" s="0" t="s">
        <v>130</v>
      </c>
      <c r="AW1516" s="0" t="s">
        <v>130</v>
      </c>
      <c r="AX1516" s="0" t="s">
        <v>130</v>
      </c>
      <c r="AY1516" s="0" t="s">
        <v>130</v>
      </c>
      <c r="AZ1516" s="0" t="s">
        <v>141</v>
      </c>
      <c r="BA1516" s="0" t="s">
        <v>130</v>
      </c>
      <c r="BB1516" s="0" t="s">
        <v>130</v>
      </c>
      <c r="BC1516" s="0" t="s">
        <v>130</v>
      </c>
      <c r="BD1516" s="0" t="s">
        <v>130</v>
      </c>
      <c r="BE1516" s="0" t="s">
        <v>130</v>
      </c>
      <c r="BF1516" s="0" t="s">
        <v>130</v>
      </c>
      <c r="BG1516" s="0" t="s">
        <v>130</v>
      </c>
      <c r="BH1516" s="0" t="s">
        <v>130</v>
      </c>
      <c r="BI1516" s="0" t="s">
        <v>130</v>
      </c>
      <c r="BJ1516" s="0" t="s">
        <v>130</v>
      </c>
      <c r="BK1516" s="0" t="s">
        <v>130</v>
      </c>
      <c r="BL1516" s="0" t="s">
        <v>130</v>
      </c>
      <c r="BM1516" s="0" t="s">
        <v>130</v>
      </c>
      <c r="BN1516" s="0" t="s">
        <v>130</v>
      </c>
      <c r="BO1516" s="0" t="s">
        <v>130</v>
      </c>
      <c r="BP1516" s="0" t="s">
        <v>130</v>
      </c>
      <c r="BQ1516" s="0" t="s">
        <v>130</v>
      </c>
      <c r="BR1516" s="0" t="s">
        <v>130</v>
      </c>
      <c r="BS1516" s="0" t="s">
        <v>130</v>
      </c>
      <c r="BT1516" s="0" t="s">
        <v>130</v>
      </c>
      <c r="BU1516" s="0" t="s">
        <v>130</v>
      </c>
      <c r="BV1516" s="0" t="s">
        <v>130</v>
      </c>
      <c r="BW1516" s="0" t="s">
        <v>130</v>
      </c>
      <c r="BX1516" s="0" t="s">
        <v>130</v>
      </c>
      <c r="BY1516" s="0" t="s">
        <v>130</v>
      </c>
      <c r="BZ1516" s="0" t="s">
        <v>130</v>
      </c>
      <c r="CA1516" s="0" t="s">
        <v>130</v>
      </c>
      <c r="CB1516" s="0" t="s">
        <v>130</v>
      </c>
      <c r="CC1516" s="0" t="s">
        <v>130</v>
      </c>
      <c r="CD1516" s="0" t="s">
        <v>130</v>
      </c>
      <c r="CE1516" s="0" t="s">
        <v>130</v>
      </c>
      <c r="CF1516" s="0" t="s">
        <v>130</v>
      </c>
      <c r="CG1516" s="0" t="s">
        <v>130</v>
      </c>
      <c r="CH1516" s="0" t="s">
        <v>130</v>
      </c>
      <c r="CI1516" s="0" t="s">
        <v>130</v>
      </c>
      <c r="CJ1516" s="0" t="s">
        <v>130</v>
      </c>
      <c r="CK1516" s="0" t="s">
        <v>130</v>
      </c>
      <c r="CL1516" s="0" t="s">
        <v>130</v>
      </c>
      <c r="CM1516" s="0" t="s">
        <v>130</v>
      </c>
      <c r="CN1516" s="0" t="s">
        <v>130</v>
      </c>
      <c r="CO1516" s="0" t="s">
        <v>130</v>
      </c>
      <c r="CP1516" s="0" t="s">
        <v>130</v>
      </c>
      <c r="CQ1516" s="0" t="s">
        <v>130</v>
      </c>
      <c r="CR1516" s="0" t="s">
        <v>130</v>
      </c>
      <c r="CS1516" s="0" t="s">
        <v>130</v>
      </c>
      <c r="CT1516" s="0" t="s">
        <v>4389</v>
      </c>
    </row>
    <row r="1517">
      <c r="A1517" s="14">
        <v>18154272</v>
      </c>
      <c r="B1517" s="0" t="s">
        <v>4384</v>
      </c>
      <c r="C1517" s="16">
        <f>HYPERLINK("https://eosportal.federatedhermes.com/companies/Q29tcGFueQppNTU1ODE=", "ENEOS Holdings Inc")</f>
      </c>
      <c r="D1517" s="0" t="s">
        <v>25</v>
      </c>
      <c r="E1517" s="0" t="s">
        <v>4390</v>
      </c>
      <c r="F1517" s="16">
        <f>HYPERLINK("https://eosportal.federatedhermes.com/engagements/RW5nYWdlbWVudAppMjg0NjE=", "Climate change risk")</f>
      </c>
      <c r="G1517" s="14" t="s">
        <v>4391</v>
      </c>
      <c r="H1517" s="0" t="s">
        <v>130</v>
      </c>
      <c r="I1517" s="14" t="s">
        <v>319</v>
      </c>
      <c r="J1517" s="0" t="s">
        <v>197</v>
      </c>
      <c r="K1517" s="0" t="s">
        <v>198</v>
      </c>
      <c r="L1517" s="0" t="s">
        <v>199</v>
      </c>
      <c r="M1517" s="0" t="s">
        <v>802</v>
      </c>
      <c r="N1517" s="0" t="s">
        <v>952</v>
      </c>
      <c r="O1517" s="0" t="s">
        <v>542</v>
      </c>
      <c r="Q1517" s="0" t="s">
        <v>141</v>
      </c>
      <c r="R1517" s="0" t="s">
        <v>138</v>
      </c>
      <c r="S1517" s="14">
        <v>1</v>
      </c>
      <c r="T1517" s="0" t="s">
        <v>384</v>
      </c>
      <c r="U1517" s="0" t="s">
        <v>138</v>
      </c>
      <c r="V1517" s="14" t="s">
        <v>138</v>
      </c>
      <c r="W1517" s="0" t="s">
        <v>138</v>
      </c>
      <c r="X1517" s="14" t="s">
        <v>138</v>
      </c>
      <c r="Y1517" s="0" t="s">
        <v>138</v>
      </c>
      <c r="Z1517" s="14" t="s">
        <v>138</v>
      </c>
      <c r="AA1517" s="0" t="s">
        <v>138</v>
      </c>
      <c r="AB1517" s="14" t="s">
        <v>138</v>
      </c>
      <c r="AD1517" s="0" t="s">
        <v>138</v>
      </c>
      <c r="AF1517" s="0">
        <v>0</v>
      </c>
      <c r="AG1517" s="0">
        <v>0</v>
      </c>
      <c r="AH1517" s="0" t="s">
        <v>140</v>
      </c>
      <c r="AI1517" s="0" t="s">
        <v>138</v>
      </c>
      <c r="AK1517" s="0" t="s">
        <v>584</v>
      </c>
      <c r="AL1517" s="14"/>
      <c r="AN1517" s="14"/>
      <c r="AQ1517" s="0" t="s">
        <v>130</v>
      </c>
      <c r="AR1517" s="0" t="s">
        <v>130</v>
      </c>
      <c r="AS1517" s="0" t="s">
        <v>130</v>
      </c>
      <c r="AT1517" s="0" t="s">
        <v>130</v>
      </c>
      <c r="AU1517" s="0" t="s">
        <v>130</v>
      </c>
      <c r="AV1517" s="0" t="s">
        <v>130</v>
      </c>
      <c r="AW1517" s="0" t="s">
        <v>130</v>
      </c>
      <c r="AX1517" s="0" t="s">
        <v>130</v>
      </c>
      <c r="AY1517" s="0" t="s">
        <v>130</v>
      </c>
      <c r="AZ1517" s="0" t="s">
        <v>130</v>
      </c>
      <c r="BA1517" s="0" t="s">
        <v>130</v>
      </c>
      <c r="BB1517" s="0" t="s">
        <v>141</v>
      </c>
      <c r="BC1517" s="0" t="s">
        <v>130</v>
      </c>
      <c r="BD1517" s="0" t="s">
        <v>130</v>
      </c>
      <c r="BE1517" s="0" t="s">
        <v>130</v>
      </c>
      <c r="BF1517" s="0" t="s">
        <v>130</v>
      </c>
      <c r="BG1517" s="0" t="s">
        <v>130</v>
      </c>
      <c r="BH1517" s="0" t="s">
        <v>130</v>
      </c>
      <c r="BI1517" s="0" t="s">
        <v>130</v>
      </c>
      <c r="BJ1517" s="0" t="s">
        <v>130</v>
      </c>
      <c r="BK1517" s="0" t="s">
        <v>130</v>
      </c>
      <c r="BL1517" s="0" t="s">
        <v>130</v>
      </c>
      <c r="BM1517" s="0" t="s">
        <v>130</v>
      </c>
      <c r="BN1517" s="0" t="s">
        <v>130</v>
      </c>
      <c r="BO1517" s="0" t="s">
        <v>130</v>
      </c>
      <c r="BP1517" s="0" t="s">
        <v>130</v>
      </c>
      <c r="BQ1517" s="0" t="s">
        <v>130</v>
      </c>
      <c r="BR1517" s="0" t="s">
        <v>130</v>
      </c>
      <c r="BS1517" s="0" t="s">
        <v>130</v>
      </c>
      <c r="BT1517" s="0" t="s">
        <v>130</v>
      </c>
      <c r="BU1517" s="0" t="s">
        <v>130</v>
      </c>
      <c r="BV1517" s="0" t="s">
        <v>130</v>
      </c>
      <c r="BW1517" s="0" t="s">
        <v>130</v>
      </c>
      <c r="BX1517" s="0" t="s">
        <v>130</v>
      </c>
      <c r="BY1517" s="0" t="s">
        <v>130</v>
      </c>
      <c r="BZ1517" s="0" t="s">
        <v>130</v>
      </c>
      <c r="CA1517" s="0" t="s">
        <v>130</v>
      </c>
      <c r="CB1517" s="0" t="s">
        <v>130</v>
      </c>
      <c r="CC1517" s="0" t="s">
        <v>130</v>
      </c>
      <c r="CD1517" s="0" t="s">
        <v>130</v>
      </c>
      <c r="CE1517" s="0" t="s">
        <v>130</v>
      </c>
      <c r="CF1517" s="0" t="s">
        <v>130</v>
      </c>
      <c r="CG1517" s="0" t="s">
        <v>130</v>
      </c>
      <c r="CH1517" s="0" t="s">
        <v>130</v>
      </c>
      <c r="CI1517" s="0" t="s">
        <v>130</v>
      </c>
      <c r="CJ1517" s="0" t="s">
        <v>130</v>
      </c>
      <c r="CK1517" s="0" t="s">
        <v>130</v>
      </c>
      <c r="CL1517" s="0" t="s">
        <v>130</v>
      </c>
      <c r="CM1517" s="0" t="s">
        <v>130</v>
      </c>
      <c r="CN1517" s="0" t="s">
        <v>130</v>
      </c>
      <c r="CO1517" s="0" t="s">
        <v>130</v>
      </c>
      <c r="CP1517" s="0" t="s">
        <v>130</v>
      </c>
      <c r="CQ1517" s="0" t="s">
        <v>130</v>
      </c>
      <c r="CR1517" s="0" t="s">
        <v>130</v>
      </c>
      <c r="CS1517" s="0" t="s">
        <v>130</v>
      </c>
      <c r="CT1517" s="0" t="s">
        <v>4392</v>
      </c>
    </row>
    <row r="1518">
      <c r="A1518" s="14">
        <v>18154628</v>
      </c>
      <c r="B1518" s="0" t="s">
        <v>4393</v>
      </c>
      <c r="C1518" s="16">
        <f>HYPERLINK("https://eosportal.federatedhermes.com/companies/Q29tcGFueQppODUyMTU=", "AIA Group Ltd")</f>
      </c>
      <c r="D1518" s="0" t="s">
        <v>25</v>
      </c>
      <c r="E1518" s="0" t="s">
        <v>2793</v>
      </c>
      <c r="F1518" s="16">
        <f>HYPERLINK("https://eosportal.federatedhermes.com/engagements/RW5nYWdlbWVudAppMjg0NjI=", "Human Capital Management")</f>
      </c>
      <c r="G1518" s="14" t="s">
        <v>4394</v>
      </c>
      <c r="H1518" s="0" t="s">
        <v>141</v>
      </c>
      <c r="I1518" s="14" t="s">
        <v>131</v>
      </c>
      <c r="J1518" s="0" t="s">
        <v>153</v>
      </c>
      <c r="K1518" s="0" t="s">
        <v>154</v>
      </c>
      <c r="L1518" s="0" t="s">
        <v>306</v>
      </c>
      <c r="M1518" s="0" t="s">
        <v>802</v>
      </c>
      <c r="N1518" s="0" t="s">
        <v>803</v>
      </c>
      <c r="O1518" s="0" t="s">
        <v>238</v>
      </c>
      <c r="Q1518" s="0" t="s">
        <v>141</v>
      </c>
      <c r="R1518" s="0" t="s">
        <v>138</v>
      </c>
      <c r="S1518" s="14">
        <v>1</v>
      </c>
      <c r="T1518" s="0" t="s">
        <v>333</v>
      </c>
      <c r="U1518" s="0" t="s">
        <v>138</v>
      </c>
      <c r="V1518" s="14" t="s">
        <v>138</v>
      </c>
      <c r="W1518" s="0" t="s">
        <v>138</v>
      </c>
      <c r="X1518" s="14" t="s">
        <v>138</v>
      </c>
      <c r="Y1518" s="0" t="s">
        <v>138</v>
      </c>
      <c r="Z1518" s="14" t="s">
        <v>138</v>
      </c>
      <c r="AA1518" s="0" t="s">
        <v>138</v>
      </c>
      <c r="AB1518" s="14" t="s">
        <v>138</v>
      </c>
      <c r="AD1518" s="0" t="s">
        <v>138</v>
      </c>
      <c r="AF1518" s="0">
        <v>0</v>
      </c>
      <c r="AG1518" s="0">
        <v>0</v>
      </c>
      <c r="AH1518" s="0" t="s">
        <v>140</v>
      </c>
      <c r="AI1518" s="0" t="s">
        <v>138</v>
      </c>
      <c r="AK1518" s="0" t="s">
        <v>233</v>
      </c>
      <c r="AL1518" s="14"/>
      <c r="AN1518" s="14"/>
      <c r="AQ1518" s="0" t="s">
        <v>130</v>
      </c>
      <c r="AR1518" s="0" t="s">
        <v>130</v>
      </c>
      <c r="AS1518" s="0" t="s">
        <v>130</v>
      </c>
      <c r="AT1518" s="0" t="s">
        <v>130</v>
      </c>
      <c r="AU1518" s="0" t="s">
        <v>130</v>
      </c>
      <c r="AV1518" s="0" t="s">
        <v>130</v>
      </c>
      <c r="AW1518" s="0" t="s">
        <v>130</v>
      </c>
      <c r="AX1518" s="0" t="s">
        <v>141</v>
      </c>
      <c r="AY1518" s="0" t="s">
        <v>130</v>
      </c>
      <c r="AZ1518" s="0" t="s">
        <v>130</v>
      </c>
      <c r="BA1518" s="0" t="s">
        <v>130</v>
      </c>
      <c r="BB1518" s="0" t="s">
        <v>130</v>
      </c>
      <c r="BC1518" s="0" t="s">
        <v>130</v>
      </c>
      <c r="BD1518" s="0" t="s">
        <v>130</v>
      </c>
      <c r="BE1518" s="0" t="s">
        <v>130</v>
      </c>
      <c r="BF1518" s="0" t="s">
        <v>130</v>
      </c>
      <c r="BG1518" s="0" t="s">
        <v>130</v>
      </c>
      <c r="BH1518" s="0" t="s">
        <v>130</v>
      </c>
      <c r="BI1518" s="0" t="s">
        <v>130</v>
      </c>
      <c r="BJ1518" s="0" t="s">
        <v>130</v>
      </c>
      <c r="BK1518" s="0" t="s">
        <v>130</v>
      </c>
      <c r="BL1518" s="0" t="s">
        <v>130</v>
      </c>
      <c r="BM1518" s="0" t="s">
        <v>130</v>
      </c>
      <c r="BN1518" s="0" t="s">
        <v>130</v>
      </c>
      <c r="BO1518" s="0" t="s">
        <v>130</v>
      </c>
      <c r="BP1518" s="0" t="s">
        <v>130</v>
      </c>
      <c r="BQ1518" s="0" t="s">
        <v>130</v>
      </c>
      <c r="BR1518" s="0" t="s">
        <v>130</v>
      </c>
      <c r="BS1518" s="0" t="s">
        <v>130</v>
      </c>
      <c r="BT1518" s="0" t="s">
        <v>130</v>
      </c>
      <c r="BU1518" s="0" t="s">
        <v>130</v>
      </c>
      <c r="BV1518" s="0" t="s">
        <v>130</v>
      </c>
      <c r="BW1518" s="0" t="s">
        <v>130</v>
      </c>
      <c r="BX1518" s="0" t="s">
        <v>130</v>
      </c>
      <c r="BY1518" s="0" t="s">
        <v>130</v>
      </c>
      <c r="BZ1518" s="0" t="s">
        <v>130</v>
      </c>
      <c r="CA1518" s="0" t="s">
        <v>130</v>
      </c>
      <c r="CB1518" s="0" t="s">
        <v>130</v>
      </c>
      <c r="CC1518" s="0" t="s">
        <v>130</v>
      </c>
      <c r="CD1518" s="0" t="s">
        <v>130</v>
      </c>
      <c r="CE1518" s="0" t="s">
        <v>130</v>
      </c>
      <c r="CF1518" s="0" t="s">
        <v>130</v>
      </c>
      <c r="CG1518" s="0" t="s">
        <v>130</v>
      </c>
      <c r="CH1518" s="0" t="s">
        <v>130</v>
      </c>
      <c r="CI1518" s="0" t="s">
        <v>130</v>
      </c>
      <c r="CJ1518" s="0" t="s">
        <v>130</v>
      </c>
      <c r="CK1518" s="0" t="s">
        <v>130</v>
      </c>
      <c r="CL1518" s="0" t="s">
        <v>130</v>
      </c>
      <c r="CM1518" s="0" t="s">
        <v>130</v>
      </c>
      <c r="CN1518" s="0" t="s">
        <v>130</v>
      </c>
      <c r="CO1518" s="0" t="s">
        <v>130</v>
      </c>
      <c r="CP1518" s="0" t="s">
        <v>130</v>
      </c>
      <c r="CQ1518" s="0" t="s">
        <v>130</v>
      </c>
      <c r="CR1518" s="0" t="s">
        <v>130</v>
      </c>
      <c r="CS1518" s="0" t="s">
        <v>130</v>
      </c>
      <c r="CT1518" s="0" t="s">
        <v>4395</v>
      </c>
    </row>
    <row r="1519">
      <c r="A1519" s="14">
        <v>18154628</v>
      </c>
      <c r="B1519" s="0" t="s">
        <v>4393</v>
      </c>
      <c r="C1519" s="16">
        <f>HYPERLINK("https://eosportal.federatedhermes.com/companies/Q29tcGFueQppODUyMTU=", "AIA Group Ltd")</f>
      </c>
      <c r="D1519" s="0" t="s">
        <v>25</v>
      </c>
      <c r="E1519" s="0" t="s">
        <v>4396</v>
      </c>
      <c r="F1519" s="16">
        <f>HYPERLINK("https://eosportal.federatedhermes.com/engagements/RW5nYWdlbWVudAppMjg0NjM=", "Integration of CSR into business model")</f>
      </c>
      <c r="G1519" s="14" t="s">
        <v>4397</v>
      </c>
      <c r="H1519" s="0" t="s">
        <v>141</v>
      </c>
      <c r="I1519" s="14" t="s">
        <v>131</v>
      </c>
      <c r="J1519" s="0" t="s">
        <v>153</v>
      </c>
      <c r="K1519" s="0" t="s">
        <v>243</v>
      </c>
      <c r="L1519" s="0" t="s">
        <v>244</v>
      </c>
      <c r="M1519" s="0" t="s">
        <v>802</v>
      </c>
      <c r="N1519" s="0" t="s">
        <v>803</v>
      </c>
      <c r="O1519" s="0" t="s">
        <v>238</v>
      </c>
      <c r="Q1519" s="0" t="s">
        <v>130</v>
      </c>
      <c r="R1519" s="0" t="s">
        <v>138</v>
      </c>
      <c r="S1519" s="14">
        <v>0</v>
      </c>
      <c r="T1519" s="0" t="s">
        <v>320</v>
      </c>
      <c r="U1519" s="0" t="s">
        <v>138</v>
      </c>
      <c r="V1519" s="14" t="s">
        <v>138</v>
      </c>
      <c r="W1519" s="0" t="s">
        <v>138</v>
      </c>
      <c r="X1519" s="14" t="s">
        <v>138</v>
      </c>
      <c r="Y1519" s="0" t="s">
        <v>138</v>
      </c>
      <c r="Z1519" s="14" t="s">
        <v>138</v>
      </c>
      <c r="AA1519" s="0" t="s">
        <v>138</v>
      </c>
      <c r="AB1519" s="14" t="s">
        <v>138</v>
      </c>
      <c r="AD1519" s="0" t="s">
        <v>138</v>
      </c>
      <c r="AF1519" s="0">
        <v>0</v>
      </c>
      <c r="AG1519" s="0">
        <v>0</v>
      </c>
      <c r="AH1519" s="0" t="s">
        <v>140</v>
      </c>
      <c r="AI1519" s="0" t="s">
        <v>138</v>
      </c>
      <c r="AL1519" s="14"/>
      <c r="AN1519" s="14"/>
      <c r="AQ1519" s="0" t="s">
        <v>130</v>
      </c>
      <c r="AR1519" s="0" t="s">
        <v>130</v>
      </c>
      <c r="AS1519" s="0" t="s">
        <v>130</v>
      </c>
      <c r="AT1519" s="0" t="s">
        <v>130</v>
      </c>
      <c r="AU1519" s="0" t="s">
        <v>130</v>
      </c>
      <c r="AV1519" s="0" t="s">
        <v>130</v>
      </c>
      <c r="AW1519" s="0" t="s">
        <v>130</v>
      </c>
      <c r="AX1519" s="0" t="s">
        <v>130</v>
      </c>
      <c r="AY1519" s="0" t="s">
        <v>130</v>
      </c>
      <c r="AZ1519" s="0" t="s">
        <v>130</v>
      </c>
      <c r="BA1519" s="0" t="s">
        <v>130</v>
      </c>
      <c r="BB1519" s="0" t="s">
        <v>130</v>
      </c>
      <c r="BC1519" s="0" t="s">
        <v>130</v>
      </c>
      <c r="BD1519" s="0" t="s">
        <v>130</v>
      </c>
      <c r="BE1519" s="0" t="s">
        <v>130</v>
      </c>
      <c r="BF1519" s="0" t="s">
        <v>130</v>
      </c>
      <c r="BG1519" s="0" t="s">
        <v>130</v>
      </c>
      <c r="BH1519" s="0" t="s">
        <v>130</v>
      </c>
      <c r="BI1519" s="0" t="s">
        <v>130</v>
      </c>
      <c r="BJ1519" s="0" t="s">
        <v>130</v>
      </c>
      <c r="BK1519" s="0" t="s">
        <v>130</v>
      </c>
      <c r="BL1519" s="0" t="s">
        <v>130</v>
      </c>
      <c r="BM1519" s="0" t="s">
        <v>130</v>
      </c>
      <c r="BN1519" s="0" t="s">
        <v>130</v>
      </c>
      <c r="BO1519" s="0" t="s">
        <v>130</v>
      </c>
      <c r="BP1519" s="0" t="s">
        <v>130</v>
      </c>
      <c r="BQ1519" s="0" t="s">
        <v>130</v>
      </c>
      <c r="BR1519" s="0" t="s">
        <v>130</v>
      </c>
      <c r="BS1519" s="0" t="s">
        <v>130</v>
      </c>
      <c r="BT1519" s="0" t="s">
        <v>130</v>
      </c>
      <c r="BU1519" s="0" t="s">
        <v>130</v>
      </c>
      <c r="BV1519" s="0" t="s">
        <v>130</v>
      </c>
      <c r="BW1519" s="0" t="s">
        <v>130</v>
      </c>
      <c r="BX1519" s="0" t="s">
        <v>130</v>
      </c>
      <c r="BY1519" s="0" t="s">
        <v>130</v>
      </c>
      <c r="BZ1519" s="0" t="s">
        <v>130</v>
      </c>
      <c r="CA1519" s="0" t="s">
        <v>130</v>
      </c>
      <c r="CB1519" s="0" t="s">
        <v>130</v>
      </c>
      <c r="CC1519" s="0" t="s">
        <v>130</v>
      </c>
      <c r="CD1519" s="0" t="s">
        <v>130</v>
      </c>
      <c r="CE1519" s="0" t="s">
        <v>130</v>
      </c>
      <c r="CF1519" s="0" t="s">
        <v>130</v>
      </c>
      <c r="CG1519" s="0" t="s">
        <v>130</v>
      </c>
      <c r="CH1519" s="0" t="s">
        <v>130</v>
      </c>
      <c r="CI1519" s="0" t="s">
        <v>130</v>
      </c>
      <c r="CJ1519" s="0" t="s">
        <v>130</v>
      </c>
      <c r="CK1519" s="0" t="s">
        <v>130</v>
      </c>
      <c r="CL1519" s="0" t="s">
        <v>130</v>
      </c>
      <c r="CM1519" s="0" t="s">
        <v>130</v>
      </c>
      <c r="CN1519" s="0" t="s">
        <v>130</v>
      </c>
      <c r="CO1519" s="0" t="s">
        <v>130</v>
      </c>
      <c r="CP1519" s="0" t="s">
        <v>130</v>
      </c>
      <c r="CQ1519" s="0" t="s">
        <v>130</v>
      </c>
      <c r="CR1519" s="0" t="s">
        <v>130</v>
      </c>
      <c r="CS1519" s="0" t="s">
        <v>130</v>
      </c>
      <c r="CT1519" s="0" t="s">
        <v>4398</v>
      </c>
    </row>
    <row r="1520">
      <c r="A1520" s="14">
        <v>18154628</v>
      </c>
      <c r="B1520" s="0" t="s">
        <v>4393</v>
      </c>
      <c r="C1520" s="16">
        <f>HYPERLINK("https://eosportal.federatedhermes.com/companies/Q29tcGFueQppODUyMTU=", "AIA Group Ltd")</f>
      </c>
      <c r="D1520" s="0" t="s">
        <v>23</v>
      </c>
      <c r="E1520" s="0" t="s">
        <v>4399</v>
      </c>
      <c r="F1520" s="16">
        <f>HYPERLINK("https://eosportal.federatedhermes.com/engagements/RW5nYWdlbWVudAppMjg0NjU=", "Publish ethical AI and data governance principles")</f>
      </c>
      <c r="G1520" s="14" t="s">
        <v>4400</v>
      </c>
      <c r="H1520" s="0" t="s">
        <v>141</v>
      </c>
      <c r="I1520" s="14" t="s">
        <v>131</v>
      </c>
      <c r="J1520" s="0" t="s">
        <v>153</v>
      </c>
      <c r="K1520" s="0" t="s">
        <v>243</v>
      </c>
      <c r="L1520" s="0" t="s">
        <v>537</v>
      </c>
      <c r="M1520" s="0" t="s">
        <v>802</v>
      </c>
      <c r="N1520" s="0" t="s">
        <v>803</v>
      </c>
      <c r="O1520" s="0" t="s">
        <v>238</v>
      </c>
      <c r="Q1520" s="0" t="s">
        <v>130</v>
      </c>
      <c r="R1520" s="0" t="s">
        <v>130</v>
      </c>
      <c r="S1520" s="14">
        <v>0</v>
      </c>
      <c r="T1520" s="0" t="s">
        <v>166</v>
      </c>
      <c r="U1520" s="0" t="s">
        <v>221</v>
      </c>
      <c r="V1520" s="14" t="s">
        <v>166</v>
      </c>
      <c r="W1520" s="0" t="s">
        <v>221</v>
      </c>
      <c r="X1520" s="14" t="s">
        <v>148</v>
      </c>
      <c r="Y1520" s="0" t="s">
        <v>221</v>
      </c>
      <c r="Z1520" s="14" t="s">
        <v>355</v>
      </c>
      <c r="AA1520" s="0" t="s">
        <v>223</v>
      </c>
      <c r="AB1520" s="14" t="s">
        <v>138</v>
      </c>
      <c r="AD1520" s="0" t="s">
        <v>20</v>
      </c>
      <c r="AF1520" s="0">
        <v>0</v>
      </c>
      <c r="AG1520" s="0">
        <v>0</v>
      </c>
      <c r="AH1520" s="0" t="s">
        <v>140</v>
      </c>
      <c r="AI1520" s="0" t="s">
        <v>479</v>
      </c>
      <c r="AL1520" s="14"/>
      <c r="AN1520" s="14"/>
      <c r="AQ1520" s="0" t="s">
        <v>130</v>
      </c>
      <c r="AR1520" s="0" t="s">
        <v>130</v>
      </c>
      <c r="AS1520" s="0" t="s">
        <v>130</v>
      </c>
      <c r="AT1520" s="0" t="s">
        <v>130</v>
      </c>
      <c r="AU1520" s="0" t="s">
        <v>130</v>
      </c>
      <c r="AV1520" s="0" t="s">
        <v>130</v>
      </c>
      <c r="AW1520" s="0" t="s">
        <v>130</v>
      </c>
      <c r="AX1520" s="0" t="s">
        <v>130</v>
      </c>
      <c r="AY1520" s="0" t="s">
        <v>130</v>
      </c>
      <c r="AZ1520" s="0" t="s">
        <v>130</v>
      </c>
      <c r="BA1520" s="0" t="s">
        <v>130</v>
      </c>
      <c r="BB1520" s="0" t="s">
        <v>130</v>
      </c>
      <c r="BC1520" s="0" t="s">
        <v>130</v>
      </c>
      <c r="BD1520" s="0" t="s">
        <v>130</v>
      </c>
      <c r="BE1520" s="0" t="s">
        <v>130</v>
      </c>
      <c r="BF1520" s="0" t="s">
        <v>141</v>
      </c>
      <c r="BG1520" s="0" t="s">
        <v>130</v>
      </c>
      <c r="BH1520" s="0" t="s">
        <v>130</v>
      </c>
      <c r="BI1520" s="0" t="s">
        <v>130</v>
      </c>
      <c r="BJ1520" s="0" t="s">
        <v>130</v>
      </c>
      <c r="BK1520" s="0" t="s">
        <v>130</v>
      </c>
      <c r="BL1520" s="0" t="s">
        <v>130</v>
      </c>
      <c r="BM1520" s="0" t="s">
        <v>130</v>
      </c>
      <c r="BN1520" s="0" t="s">
        <v>130</v>
      </c>
      <c r="BO1520" s="0" t="s">
        <v>130</v>
      </c>
      <c r="BP1520" s="0" t="s">
        <v>130</v>
      </c>
      <c r="BQ1520" s="0" t="s">
        <v>130</v>
      </c>
      <c r="BR1520" s="0" t="s">
        <v>130</v>
      </c>
      <c r="BS1520" s="0" t="s">
        <v>130</v>
      </c>
      <c r="BT1520" s="0" t="s">
        <v>130</v>
      </c>
      <c r="BU1520" s="0" t="s">
        <v>130</v>
      </c>
      <c r="BV1520" s="0" t="s">
        <v>130</v>
      </c>
      <c r="BW1520" s="0" t="s">
        <v>130</v>
      </c>
      <c r="BX1520" s="0" t="s">
        <v>130</v>
      </c>
      <c r="BY1520" s="0" t="s">
        <v>130</v>
      </c>
      <c r="BZ1520" s="0" t="s">
        <v>130</v>
      </c>
      <c r="CA1520" s="0" t="s">
        <v>130</v>
      </c>
      <c r="CB1520" s="0" t="s">
        <v>130</v>
      </c>
      <c r="CC1520" s="0" t="s">
        <v>130</v>
      </c>
      <c r="CD1520" s="0" t="s">
        <v>130</v>
      </c>
      <c r="CE1520" s="0" t="s">
        <v>130</v>
      </c>
      <c r="CF1520" s="0" t="s">
        <v>130</v>
      </c>
      <c r="CG1520" s="0" t="s">
        <v>130</v>
      </c>
      <c r="CH1520" s="0" t="s">
        <v>130</v>
      </c>
      <c r="CI1520" s="0" t="s">
        <v>130</v>
      </c>
      <c r="CJ1520" s="0" t="s">
        <v>130</v>
      </c>
      <c r="CK1520" s="0" t="s">
        <v>130</v>
      </c>
      <c r="CL1520" s="0" t="s">
        <v>130</v>
      </c>
      <c r="CM1520" s="0" t="s">
        <v>130</v>
      </c>
      <c r="CN1520" s="0" t="s">
        <v>130</v>
      </c>
      <c r="CO1520" s="0" t="s">
        <v>130</v>
      </c>
      <c r="CP1520" s="0" t="s">
        <v>130</v>
      </c>
      <c r="CQ1520" s="0" t="s">
        <v>130</v>
      </c>
      <c r="CR1520" s="0" t="s">
        <v>130</v>
      </c>
      <c r="CS1520" s="0" t="s">
        <v>130</v>
      </c>
      <c r="CT1520" s="0" t="s">
        <v>4401</v>
      </c>
    </row>
    <row r="1521">
      <c r="A1521" s="14">
        <v>18154628</v>
      </c>
      <c r="B1521" s="0" t="s">
        <v>4393</v>
      </c>
      <c r="C1521" s="16">
        <f>HYPERLINK("https://eosportal.federatedhermes.com/companies/Q29tcGFueQppODUyMTU=", "AIA Group Ltd")</f>
      </c>
      <c r="D1521" s="0" t="s">
        <v>25</v>
      </c>
      <c r="E1521" s="0" t="s">
        <v>1516</v>
      </c>
      <c r="F1521" s="16">
        <f>HYPERLINK("https://eosportal.federatedhermes.com/engagements/RW5nYWdlbWVudAppMjg0Njc=", "Cyber security")</f>
      </c>
      <c r="G1521" s="14" t="s">
        <v>4402</v>
      </c>
      <c r="H1521" s="0" t="s">
        <v>141</v>
      </c>
      <c r="I1521" s="14" t="s">
        <v>131</v>
      </c>
      <c r="J1521" s="0" t="s">
        <v>132</v>
      </c>
      <c r="K1521" s="0" t="s">
        <v>260</v>
      </c>
      <c r="L1521" s="0" t="s">
        <v>261</v>
      </c>
      <c r="M1521" s="0" t="s">
        <v>802</v>
      </c>
      <c r="N1521" s="0" t="s">
        <v>803</v>
      </c>
      <c r="O1521" s="0" t="s">
        <v>238</v>
      </c>
      <c r="Q1521" s="0" t="s">
        <v>130</v>
      </c>
      <c r="R1521" s="0" t="s">
        <v>138</v>
      </c>
      <c r="S1521" s="14">
        <v>0</v>
      </c>
      <c r="T1521" s="0" t="s">
        <v>333</v>
      </c>
      <c r="U1521" s="0" t="s">
        <v>138</v>
      </c>
      <c r="V1521" s="14" t="s">
        <v>138</v>
      </c>
      <c r="W1521" s="0" t="s">
        <v>138</v>
      </c>
      <c r="X1521" s="14" t="s">
        <v>138</v>
      </c>
      <c r="Y1521" s="0" t="s">
        <v>138</v>
      </c>
      <c r="Z1521" s="14" t="s">
        <v>138</v>
      </c>
      <c r="AA1521" s="0" t="s">
        <v>138</v>
      </c>
      <c r="AB1521" s="14" t="s">
        <v>138</v>
      </c>
      <c r="AD1521" s="0" t="s">
        <v>138</v>
      </c>
      <c r="AF1521" s="0">
        <v>0</v>
      </c>
      <c r="AG1521" s="0">
        <v>0</v>
      </c>
      <c r="AH1521" s="0" t="s">
        <v>140</v>
      </c>
      <c r="AI1521" s="0" t="s">
        <v>138</v>
      </c>
      <c r="AL1521" s="14"/>
      <c r="AN1521" s="14"/>
      <c r="AQ1521" s="0" t="s">
        <v>130</v>
      </c>
      <c r="AR1521" s="0" t="s">
        <v>130</v>
      </c>
      <c r="AS1521" s="0" t="s">
        <v>130</v>
      </c>
      <c r="AT1521" s="0" t="s">
        <v>130</v>
      </c>
      <c r="AU1521" s="0" t="s">
        <v>130</v>
      </c>
      <c r="AV1521" s="0" t="s">
        <v>130</v>
      </c>
      <c r="AW1521" s="0" t="s">
        <v>130</v>
      </c>
      <c r="AX1521" s="0" t="s">
        <v>130</v>
      </c>
      <c r="AY1521" s="0" t="s">
        <v>141</v>
      </c>
      <c r="AZ1521" s="0" t="s">
        <v>130</v>
      </c>
      <c r="BA1521" s="0" t="s">
        <v>130</v>
      </c>
      <c r="BB1521" s="0" t="s">
        <v>130</v>
      </c>
      <c r="BC1521" s="0" t="s">
        <v>130</v>
      </c>
      <c r="BD1521" s="0" t="s">
        <v>130</v>
      </c>
      <c r="BE1521" s="0" t="s">
        <v>130</v>
      </c>
      <c r="BF1521" s="0" t="s">
        <v>130</v>
      </c>
      <c r="BG1521" s="0" t="s">
        <v>130</v>
      </c>
      <c r="BH1521" s="0" t="s">
        <v>130</v>
      </c>
      <c r="BI1521" s="0" t="s">
        <v>130</v>
      </c>
      <c r="BJ1521" s="0" t="s">
        <v>130</v>
      </c>
      <c r="BK1521" s="0" t="s">
        <v>130</v>
      </c>
      <c r="BL1521" s="0" t="s">
        <v>130</v>
      </c>
      <c r="BM1521" s="0" t="s">
        <v>130</v>
      </c>
      <c r="BN1521" s="0" t="s">
        <v>130</v>
      </c>
      <c r="BO1521" s="0" t="s">
        <v>130</v>
      </c>
      <c r="BP1521" s="0" t="s">
        <v>130</v>
      </c>
      <c r="BQ1521" s="0" t="s">
        <v>130</v>
      </c>
      <c r="BR1521" s="0" t="s">
        <v>130</v>
      </c>
      <c r="BS1521" s="0" t="s">
        <v>130</v>
      </c>
      <c r="BT1521" s="0" t="s">
        <v>130</v>
      </c>
      <c r="BU1521" s="0" t="s">
        <v>130</v>
      </c>
      <c r="BV1521" s="0" t="s">
        <v>130</v>
      </c>
      <c r="BW1521" s="0" t="s">
        <v>130</v>
      </c>
      <c r="BX1521" s="0" t="s">
        <v>130</v>
      </c>
      <c r="BY1521" s="0" t="s">
        <v>130</v>
      </c>
      <c r="BZ1521" s="0" t="s">
        <v>130</v>
      </c>
      <c r="CA1521" s="0" t="s">
        <v>130</v>
      </c>
      <c r="CB1521" s="0" t="s">
        <v>130</v>
      </c>
      <c r="CC1521" s="0" t="s">
        <v>130</v>
      </c>
      <c r="CD1521" s="0" t="s">
        <v>130</v>
      </c>
      <c r="CE1521" s="0" t="s">
        <v>130</v>
      </c>
      <c r="CF1521" s="0" t="s">
        <v>130</v>
      </c>
      <c r="CG1521" s="0" t="s">
        <v>130</v>
      </c>
      <c r="CH1521" s="0" t="s">
        <v>130</v>
      </c>
      <c r="CI1521" s="0" t="s">
        <v>130</v>
      </c>
      <c r="CJ1521" s="0" t="s">
        <v>130</v>
      </c>
      <c r="CK1521" s="0" t="s">
        <v>130</v>
      </c>
      <c r="CL1521" s="0" t="s">
        <v>130</v>
      </c>
      <c r="CM1521" s="0" t="s">
        <v>130</v>
      </c>
      <c r="CN1521" s="0" t="s">
        <v>130</v>
      </c>
      <c r="CO1521" s="0" t="s">
        <v>130</v>
      </c>
      <c r="CP1521" s="0" t="s">
        <v>130</v>
      </c>
      <c r="CQ1521" s="0" t="s">
        <v>130</v>
      </c>
      <c r="CR1521" s="0" t="s">
        <v>130</v>
      </c>
      <c r="CS1521" s="0" t="s">
        <v>130</v>
      </c>
      <c r="CT1521" s="0" t="s">
        <v>4403</v>
      </c>
    </row>
    <row r="1522">
      <c r="A1522" s="14">
        <v>18154628</v>
      </c>
      <c r="B1522" s="0" t="s">
        <v>4393</v>
      </c>
      <c r="C1522" s="16">
        <f>HYPERLINK("https://eosportal.federatedhermes.com/companies/Q29tcGFueQppODUyMTU=", "AIA Group Ltd")</f>
      </c>
      <c r="D1522" s="0" t="s">
        <v>25</v>
      </c>
      <c r="E1522" s="0" t="s">
        <v>4404</v>
      </c>
      <c r="F1522" s="16">
        <f>HYPERLINK("https://eosportal.federatedhermes.com/engagements/RW5nYWdlbWVudAppMjg0Njg=", "Improved board access")</f>
      </c>
      <c r="G1522" s="14" t="s">
        <v>4405</v>
      </c>
      <c r="H1522" s="0" t="s">
        <v>141</v>
      </c>
      <c r="I1522" s="14" t="s">
        <v>131</v>
      </c>
      <c r="J1522" s="0" t="s">
        <v>145</v>
      </c>
      <c r="K1522" s="0" t="s">
        <v>164</v>
      </c>
      <c r="L1522" s="0" t="s">
        <v>165</v>
      </c>
      <c r="M1522" s="0" t="s">
        <v>802</v>
      </c>
      <c r="N1522" s="0" t="s">
        <v>803</v>
      </c>
      <c r="O1522" s="0" t="s">
        <v>238</v>
      </c>
      <c r="Q1522" s="0" t="s">
        <v>130</v>
      </c>
      <c r="R1522" s="0" t="s">
        <v>138</v>
      </c>
      <c r="S1522" s="14">
        <v>0</v>
      </c>
      <c r="T1522" s="0" t="s">
        <v>320</v>
      </c>
      <c r="U1522" s="0" t="s">
        <v>138</v>
      </c>
      <c r="V1522" s="14" t="s">
        <v>138</v>
      </c>
      <c r="W1522" s="0" t="s">
        <v>138</v>
      </c>
      <c r="X1522" s="14" t="s">
        <v>138</v>
      </c>
      <c r="Y1522" s="0" t="s">
        <v>138</v>
      </c>
      <c r="Z1522" s="14" t="s">
        <v>138</v>
      </c>
      <c r="AA1522" s="0" t="s">
        <v>138</v>
      </c>
      <c r="AB1522" s="14" t="s">
        <v>138</v>
      </c>
      <c r="AD1522" s="0" t="s">
        <v>138</v>
      </c>
      <c r="AF1522" s="0">
        <v>0</v>
      </c>
      <c r="AG1522" s="0">
        <v>0</v>
      </c>
      <c r="AH1522" s="0" t="s">
        <v>140</v>
      </c>
      <c r="AI1522" s="0" t="s">
        <v>138</v>
      </c>
      <c r="AL1522" s="14"/>
      <c r="AN1522" s="14"/>
      <c r="AQ1522" s="0" t="s">
        <v>130</v>
      </c>
      <c r="AR1522" s="0" t="s">
        <v>130</v>
      </c>
      <c r="AS1522" s="0" t="s">
        <v>130</v>
      </c>
      <c r="AT1522" s="0" t="s">
        <v>130</v>
      </c>
      <c r="AU1522" s="0" t="s">
        <v>130</v>
      </c>
      <c r="AV1522" s="0" t="s">
        <v>130</v>
      </c>
      <c r="AW1522" s="0" t="s">
        <v>130</v>
      </c>
      <c r="AX1522" s="0" t="s">
        <v>130</v>
      </c>
      <c r="AY1522" s="0" t="s">
        <v>130</v>
      </c>
      <c r="AZ1522" s="0" t="s">
        <v>130</v>
      </c>
      <c r="BA1522" s="0" t="s">
        <v>130</v>
      </c>
      <c r="BB1522" s="0" t="s">
        <v>130</v>
      </c>
      <c r="BC1522" s="0" t="s">
        <v>130</v>
      </c>
      <c r="BD1522" s="0" t="s">
        <v>130</v>
      </c>
      <c r="BE1522" s="0" t="s">
        <v>130</v>
      </c>
      <c r="BF1522" s="0" t="s">
        <v>130</v>
      </c>
      <c r="BG1522" s="0" t="s">
        <v>130</v>
      </c>
      <c r="BH1522" s="0" t="s">
        <v>130</v>
      </c>
      <c r="BI1522" s="0" t="s">
        <v>130</v>
      </c>
      <c r="BJ1522" s="0" t="s">
        <v>130</v>
      </c>
      <c r="BK1522" s="0" t="s">
        <v>130</v>
      </c>
      <c r="BL1522" s="0" t="s">
        <v>130</v>
      </c>
      <c r="BM1522" s="0" t="s">
        <v>130</v>
      </c>
      <c r="BN1522" s="0" t="s">
        <v>130</v>
      </c>
      <c r="BO1522" s="0" t="s">
        <v>130</v>
      </c>
      <c r="BP1522" s="0" t="s">
        <v>130</v>
      </c>
      <c r="BQ1522" s="0" t="s">
        <v>130</v>
      </c>
      <c r="BR1522" s="0" t="s">
        <v>130</v>
      </c>
      <c r="BS1522" s="0" t="s">
        <v>130</v>
      </c>
      <c r="BT1522" s="0" t="s">
        <v>130</v>
      </c>
      <c r="BU1522" s="0" t="s">
        <v>130</v>
      </c>
      <c r="BV1522" s="0" t="s">
        <v>130</v>
      </c>
      <c r="BW1522" s="0" t="s">
        <v>130</v>
      </c>
      <c r="BX1522" s="0" t="s">
        <v>130</v>
      </c>
      <c r="BY1522" s="0" t="s">
        <v>130</v>
      </c>
      <c r="BZ1522" s="0" t="s">
        <v>130</v>
      </c>
      <c r="CA1522" s="0" t="s">
        <v>130</v>
      </c>
      <c r="CB1522" s="0" t="s">
        <v>130</v>
      </c>
      <c r="CC1522" s="0" t="s">
        <v>130</v>
      </c>
      <c r="CD1522" s="0" t="s">
        <v>130</v>
      </c>
      <c r="CE1522" s="0" t="s">
        <v>130</v>
      </c>
      <c r="CF1522" s="0" t="s">
        <v>130</v>
      </c>
      <c r="CG1522" s="0" t="s">
        <v>130</v>
      </c>
      <c r="CH1522" s="0" t="s">
        <v>130</v>
      </c>
      <c r="CI1522" s="0" t="s">
        <v>130</v>
      </c>
      <c r="CJ1522" s="0" t="s">
        <v>130</v>
      </c>
      <c r="CK1522" s="0" t="s">
        <v>130</v>
      </c>
      <c r="CL1522" s="0" t="s">
        <v>130</v>
      </c>
      <c r="CM1522" s="0" t="s">
        <v>130</v>
      </c>
      <c r="CN1522" s="0" t="s">
        <v>130</v>
      </c>
      <c r="CO1522" s="0" t="s">
        <v>130</v>
      </c>
      <c r="CP1522" s="0" t="s">
        <v>130</v>
      </c>
      <c r="CQ1522" s="0" t="s">
        <v>130</v>
      </c>
      <c r="CR1522" s="0" t="s">
        <v>130</v>
      </c>
      <c r="CS1522" s="0" t="s">
        <v>130</v>
      </c>
      <c r="CT1522" s="0" t="s">
        <v>4406</v>
      </c>
    </row>
    <row r="1523">
      <c r="A1523" s="14">
        <v>18154628</v>
      </c>
      <c r="B1523" s="0" t="s">
        <v>4393</v>
      </c>
      <c r="C1523" s="16">
        <f>HYPERLINK("https://eosportal.federatedhermes.com/companies/Q29tcGFueQppODUyMTU=", "AIA Group Ltd")</f>
      </c>
      <c r="D1523" s="0" t="s">
        <v>25</v>
      </c>
      <c r="E1523" s="0" t="s">
        <v>4407</v>
      </c>
      <c r="F1523" s="16">
        <f>HYPERLINK("https://eosportal.federatedhermes.com/engagements/RW5nYWdlbWVudAppMjg0NzA=", "Share option scheme")</f>
      </c>
      <c r="G1523" s="14" t="s">
        <v>4408</v>
      </c>
      <c r="H1523" s="0" t="s">
        <v>141</v>
      </c>
      <c r="I1523" s="14" t="s">
        <v>131</v>
      </c>
      <c r="J1523" s="0" t="s">
        <v>145</v>
      </c>
      <c r="K1523" s="0" t="s">
        <v>400</v>
      </c>
      <c r="L1523" s="0" t="s">
        <v>507</v>
      </c>
      <c r="M1523" s="0" t="s">
        <v>802</v>
      </c>
      <c r="N1523" s="0" t="s">
        <v>803</v>
      </c>
      <c r="O1523" s="0" t="s">
        <v>238</v>
      </c>
      <c r="Q1523" s="0" t="s">
        <v>130</v>
      </c>
      <c r="R1523" s="0" t="s">
        <v>138</v>
      </c>
      <c r="S1523" s="14">
        <v>0</v>
      </c>
      <c r="T1523" s="0" t="s">
        <v>148</v>
      </c>
      <c r="U1523" s="0" t="s">
        <v>138</v>
      </c>
      <c r="V1523" s="14" t="s">
        <v>138</v>
      </c>
      <c r="W1523" s="0" t="s">
        <v>138</v>
      </c>
      <c r="X1523" s="14" t="s">
        <v>138</v>
      </c>
      <c r="Y1523" s="0" t="s">
        <v>138</v>
      </c>
      <c r="Z1523" s="14" t="s">
        <v>138</v>
      </c>
      <c r="AA1523" s="0" t="s">
        <v>138</v>
      </c>
      <c r="AB1523" s="14" t="s">
        <v>138</v>
      </c>
      <c r="AD1523" s="0" t="s">
        <v>138</v>
      </c>
      <c r="AF1523" s="0">
        <v>0</v>
      </c>
      <c r="AG1523" s="0">
        <v>0</v>
      </c>
      <c r="AH1523" s="0" t="s">
        <v>140</v>
      </c>
      <c r="AI1523" s="0" t="s">
        <v>138</v>
      </c>
      <c r="AL1523" s="14"/>
      <c r="AN1523" s="14"/>
      <c r="AQ1523" s="0" t="s">
        <v>130</v>
      </c>
      <c r="AR1523" s="0" t="s">
        <v>130</v>
      </c>
      <c r="AS1523" s="0" t="s">
        <v>130</v>
      </c>
      <c r="AT1523" s="0" t="s">
        <v>130</v>
      </c>
      <c r="AU1523" s="0" t="s">
        <v>130</v>
      </c>
      <c r="AV1523" s="0" t="s">
        <v>130</v>
      </c>
      <c r="AW1523" s="0" t="s">
        <v>130</v>
      </c>
      <c r="AX1523" s="0" t="s">
        <v>130</v>
      </c>
      <c r="AY1523" s="0" t="s">
        <v>130</v>
      </c>
      <c r="AZ1523" s="0" t="s">
        <v>130</v>
      </c>
      <c r="BA1523" s="0" t="s">
        <v>130</v>
      </c>
      <c r="BB1523" s="0" t="s">
        <v>130</v>
      </c>
      <c r="BC1523" s="0" t="s">
        <v>130</v>
      </c>
      <c r="BD1523" s="0" t="s">
        <v>130</v>
      </c>
      <c r="BE1523" s="0" t="s">
        <v>130</v>
      </c>
      <c r="BF1523" s="0" t="s">
        <v>130</v>
      </c>
      <c r="BG1523" s="0" t="s">
        <v>130</v>
      </c>
      <c r="BH1523" s="0" t="s">
        <v>130</v>
      </c>
      <c r="BI1523" s="0" t="s">
        <v>130</v>
      </c>
      <c r="BJ1523" s="0" t="s">
        <v>130</v>
      </c>
      <c r="BK1523" s="0" t="s">
        <v>130</v>
      </c>
      <c r="BL1523" s="0" t="s">
        <v>130</v>
      </c>
      <c r="BM1523" s="0" t="s">
        <v>130</v>
      </c>
      <c r="BN1523" s="0" t="s">
        <v>130</v>
      </c>
      <c r="BO1523" s="0" t="s">
        <v>130</v>
      </c>
      <c r="BP1523" s="0" t="s">
        <v>130</v>
      </c>
      <c r="BQ1523" s="0" t="s">
        <v>130</v>
      </c>
      <c r="BR1523" s="0" t="s">
        <v>130</v>
      </c>
      <c r="BS1523" s="0" t="s">
        <v>130</v>
      </c>
      <c r="BT1523" s="0" t="s">
        <v>130</v>
      </c>
      <c r="BU1523" s="0" t="s">
        <v>130</v>
      </c>
      <c r="BV1523" s="0" t="s">
        <v>130</v>
      </c>
      <c r="BW1523" s="0" t="s">
        <v>130</v>
      </c>
      <c r="BX1523" s="0" t="s">
        <v>130</v>
      </c>
      <c r="BY1523" s="0" t="s">
        <v>130</v>
      </c>
      <c r="BZ1523" s="0" t="s">
        <v>130</v>
      </c>
      <c r="CA1523" s="0" t="s">
        <v>130</v>
      </c>
      <c r="CB1523" s="0" t="s">
        <v>130</v>
      </c>
      <c r="CC1523" s="0" t="s">
        <v>130</v>
      </c>
      <c r="CD1523" s="0" t="s">
        <v>130</v>
      </c>
      <c r="CE1523" s="0" t="s">
        <v>130</v>
      </c>
      <c r="CF1523" s="0" t="s">
        <v>130</v>
      </c>
      <c r="CG1523" s="0" t="s">
        <v>130</v>
      </c>
      <c r="CH1523" s="0" t="s">
        <v>130</v>
      </c>
      <c r="CI1523" s="0" t="s">
        <v>130</v>
      </c>
      <c r="CJ1523" s="0" t="s">
        <v>130</v>
      </c>
      <c r="CK1523" s="0" t="s">
        <v>130</v>
      </c>
      <c r="CL1523" s="0" t="s">
        <v>130</v>
      </c>
      <c r="CM1523" s="0" t="s">
        <v>130</v>
      </c>
      <c r="CN1523" s="0" t="s">
        <v>130</v>
      </c>
      <c r="CO1523" s="0" t="s">
        <v>130</v>
      </c>
      <c r="CP1523" s="0" t="s">
        <v>130</v>
      </c>
      <c r="CQ1523" s="0" t="s">
        <v>130</v>
      </c>
      <c r="CR1523" s="0" t="s">
        <v>130</v>
      </c>
      <c r="CS1523" s="0" t="s">
        <v>130</v>
      </c>
      <c r="CT1523" s="0" t="s">
        <v>4409</v>
      </c>
    </row>
    <row r="1524">
      <c r="A1524" s="14">
        <v>18154628</v>
      </c>
      <c r="B1524" s="0" t="s">
        <v>4393</v>
      </c>
      <c r="C1524" s="16">
        <f>HYPERLINK("https://eosportal.federatedhermes.com/companies/Q29tcGFueQppODUyMTU=", "AIA Group Ltd")</f>
      </c>
      <c r="D1524" s="0" t="s">
        <v>23</v>
      </c>
      <c r="E1524" s="0" t="s">
        <v>4410</v>
      </c>
      <c r="F1524" s="16">
        <f>HYPERLINK("https://eosportal.federatedhermes.com/engagements/RW5nYWdlbWVudAppMjg0NzE=", "Succession planning and independence")</f>
      </c>
      <c r="G1524" s="14" t="s">
        <v>4411</v>
      </c>
      <c r="H1524" s="0" t="s">
        <v>141</v>
      </c>
      <c r="I1524" s="14" t="s">
        <v>131</v>
      </c>
      <c r="J1524" s="0" t="s">
        <v>145</v>
      </c>
      <c r="K1524" s="0" t="s">
        <v>164</v>
      </c>
      <c r="L1524" s="0" t="s">
        <v>165</v>
      </c>
      <c r="M1524" s="0" t="s">
        <v>802</v>
      </c>
      <c r="N1524" s="0" t="s">
        <v>803</v>
      </c>
      <c r="O1524" s="0" t="s">
        <v>238</v>
      </c>
      <c r="Q1524" s="0" t="s">
        <v>130</v>
      </c>
      <c r="R1524" s="0" t="s">
        <v>130</v>
      </c>
      <c r="S1524" s="14">
        <v>0</v>
      </c>
      <c r="T1524" s="0" t="s">
        <v>583</v>
      </c>
      <c r="U1524" s="0" t="s">
        <v>221</v>
      </c>
      <c r="V1524" s="14" t="s">
        <v>583</v>
      </c>
      <c r="W1524" s="0" t="s">
        <v>221</v>
      </c>
      <c r="X1524" s="14" t="s">
        <v>583</v>
      </c>
      <c r="Y1524" s="0" t="s">
        <v>221</v>
      </c>
      <c r="Z1524" s="14" t="s">
        <v>4412</v>
      </c>
      <c r="AA1524" s="0" t="s">
        <v>223</v>
      </c>
      <c r="AB1524" s="14" t="s">
        <v>138</v>
      </c>
      <c r="AD1524" s="0" t="s">
        <v>20</v>
      </c>
      <c r="AF1524" s="0">
        <v>0</v>
      </c>
      <c r="AG1524" s="0">
        <v>0</v>
      </c>
      <c r="AH1524" s="0" t="s">
        <v>140</v>
      </c>
      <c r="AI1524" s="0" t="s">
        <v>479</v>
      </c>
      <c r="AL1524" s="14"/>
      <c r="AN1524" s="14"/>
      <c r="AQ1524" s="0" t="s">
        <v>130</v>
      </c>
      <c r="AR1524" s="0" t="s">
        <v>130</v>
      </c>
      <c r="AS1524" s="0" t="s">
        <v>130</v>
      </c>
      <c r="AT1524" s="0" t="s">
        <v>130</v>
      </c>
      <c r="AU1524" s="0" t="s">
        <v>130</v>
      </c>
      <c r="AV1524" s="0" t="s">
        <v>130</v>
      </c>
      <c r="AW1524" s="0" t="s">
        <v>130</v>
      </c>
      <c r="AX1524" s="0" t="s">
        <v>130</v>
      </c>
      <c r="AY1524" s="0" t="s">
        <v>130</v>
      </c>
      <c r="AZ1524" s="0" t="s">
        <v>130</v>
      </c>
      <c r="BA1524" s="0" t="s">
        <v>130</v>
      </c>
      <c r="BB1524" s="0" t="s">
        <v>130</v>
      </c>
      <c r="BC1524" s="0" t="s">
        <v>130</v>
      </c>
      <c r="BD1524" s="0" t="s">
        <v>130</v>
      </c>
      <c r="BE1524" s="0" t="s">
        <v>130</v>
      </c>
      <c r="BF1524" s="0" t="s">
        <v>130</v>
      </c>
      <c r="BG1524" s="0" t="s">
        <v>130</v>
      </c>
      <c r="BH1524" s="0" t="s">
        <v>130</v>
      </c>
      <c r="BI1524" s="0" t="s">
        <v>130</v>
      </c>
      <c r="BJ1524" s="0" t="s">
        <v>130</v>
      </c>
      <c r="BK1524" s="0" t="s">
        <v>130</v>
      </c>
      <c r="BL1524" s="0" t="s">
        <v>130</v>
      </c>
      <c r="BM1524" s="0" t="s">
        <v>130</v>
      </c>
      <c r="BN1524" s="0" t="s">
        <v>130</v>
      </c>
      <c r="BO1524" s="0" t="s">
        <v>130</v>
      </c>
      <c r="BP1524" s="0" t="s">
        <v>130</v>
      </c>
      <c r="BQ1524" s="0" t="s">
        <v>130</v>
      </c>
      <c r="BR1524" s="0" t="s">
        <v>130</v>
      </c>
      <c r="BS1524" s="0" t="s">
        <v>130</v>
      </c>
      <c r="BT1524" s="0" t="s">
        <v>130</v>
      </c>
      <c r="BU1524" s="0" t="s">
        <v>130</v>
      </c>
      <c r="BV1524" s="0" t="s">
        <v>130</v>
      </c>
      <c r="BW1524" s="0" t="s">
        <v>130</v>
      </c>
      <c r="BX1524" s="0" t="s">
        <v>130</v>
      </c>
      <c r="BY1524" s="0" t="s">
        <v>130</v>
      </c>
      <c r="BZ1524" s="0" t="s">
        <v>130</v>
      </c>
      <c r="CA1524" s="0" t="s">
        <v>130</v>
      </c>
      <c r="CB1524" s="0" t="s">
        <v>130</v>
      </c>
      <c r="CC1524" s="0" t="s">
        <v>130</v>
      </c>
      <c r="CD1524" s="0" t="s">
        <v>130</v>
      </c>
      <c r="CE1524" s="0" t="s">
        <v>130</v>
      </c>
      <c r="CF1524" s="0" t="s">
        <v>130</v>
      </c>
      <c r="CG1524" s="0" t="s">
        <v>130</v>
      </c>
      <c r="CH1524" s="0" t="s">
        <v>130</v>
      </c>
      <c r="CI1524" s="0" t="s">
        <v>130</v>
      </c>
      <c r="CJ1524" s="0" t="s">
        <v>130</v>
      </c>
      <c r="CK1524" s="0" t="s">
        <v>130</v>
      </c>
      <c r="CL1524" s="0" t="s">
        <v>130</v>
      </c>
      <c r="CM1524" s="0" t="s">
        <v>130</v>
      </c>
      <c r="CN1524" s="0" t="s">
        <v>130</v>
      </c>
      <c r="CO1524" s="0" t="s">
        <v>130</v>
      </c>
      <c r="CP1524" s="0" t="s">
        <v>130</v>
      </c>
      <c r="CQ1524" s="0" t="s">
        <v>130</v>
      </c>
      <c r="CR1524" s="0" t="s">
        <v>130</v>
      </c>
      <c r="CS1524" s="0" t="s">
        <v>130</v>
      </c>
      <c r="CT1524" s="0" t="s">
        <v>4413</v>
      </c>
    </row>
    <row r="1525">
      <c r="A1525" s="14">
        <v>18154628</v>
      </c>
      <c r="B1525" s="0" t="s">
        <v>4393</v>
      </c>
      <c r="C1525" s="16">
        <f>HYPERLINK("https://eosportal.federatedhermes.com/companies/Q29tcGFueQppODUyMTU=", "AIA Group Ltd")</f>
      </c>
      <c r="D1525" s="0" t="s">
        <v>25</v>
      </c>
      <c r="E1525" s="0" t="s">
        <v>4414</v>
      </c>
      <c r="F1525" s="16">
        <f>HYPERLINK("https://eosportal.federatedhermes.com/engagements/RW5nYWdlbWVudAppMjg0NzM=", "Board practice")</f>
      </c>
      <c r="G1525" s="14" t="s">
        <v>4415</v>
      </c>
      <c r="H1525" s="0" t="s">
        <v>141</v>
      </c>
      <c r="I1525" s="14" t="s">
        <v>131</v>
      </c>
      <c r="J1525" s="0" t="s">
        <v>145</v>
      </c>
      <c r="K1525" s="0" t="s">
        <v>164</v>
      </c>
      <c r="L1525" s="0" t="s">
        <v>165</v>
      </c>
      <c r="M1525" s="0" t="s">
        <v>802</v>
      </c>
      <c r="N1525" s="0" t="s">
        <v>803</v>
      </c>
      <c r="O1525" s="0" t="s">
        <v>238</v>
      </c>
      <c r="Q1525" s="0" t="s">
        <v>141</v>
      </c>
      <c r="R1525" s="0" t="s">
        <v>138</v>
      </c>
      <c r="S1525" s="14">
        <v>1</v>
      </c>
      <c r="T1525" s="0" t="s">
        <v>920</v>
      </c>
      <c r="U1525" s="0" t="s">
        <v>138</v>
      </c>
      <c r="V1525" s="14" t="s">
        <v>138</v>
      </c>
      <c r="W1525" s="0" t="s">
        <v>138</v>
      </c>
      <c r="X1525" s="14" t="s">
        <v>138</v>
      </c>
      <c r="Y1525" s="0" t="s">
        <v>138</v>
      </c>
      <c r="Z1525" s="14" t="s">
        <v>138</v>
      </c>
      <c r="AA1525" s="0" t="s">
        <v>138</v>
      </c>
      <c r="AB1525" s="14" t="s">
        <v>138</v>
      </c>
      <c r="AD1525" s="0" t="s">
        <v>138</v>
      </c>
      <c r="AF1525" s="0">
        <v>0</v>
      </c>
      <c r="AG1525" s="0">
        <v>0</v>
      </c>
      <c r="AH1525" s="0" t="s">
        <v>140</v>
      </c>
      <c r="AI1525" s="0" t="s">
        <v>138</v>
      </c>
      <c r="AK1525" s="0" t="s">
        <v>233</v>
      </c>
      <c r="AL1525" s="14"/>
      <c r="AN1525" s="14"/>
      <c r="AQ1525" s="0" t="s">
        <v>130</v>
      </c>
      <c r="AR1525" s="0" t="s">
        <v>130</v>
      </c>
      <c r="AS1525" s="0" t="s">
        <v>130</v>
      </c>
      <c r="AT1525" s="0" t="s">
        <v>130</v>
      </c>
      <c r="AU1525" s="0" t="s">
        <v>130</v>
      </c>
      <c r="AV1525" s="0" t="s">
        <v>130</v>
      </c>
      <c r="AW1525" s="0" t="s">
        <v>130</v>
      </c>
      <c r="AX1525" s="0" t="s">
        <v>130</v>
      </c>
      <c r="AY1525" s="0" t="s">
        <v>130</v>
      </c>
      <c r="AZ1525" s="0" t="s">
        <v>130</v>
      </c>
      <c r="BA1525" s="0" t="s">
        <v>130</v>
      </c>
      <c r="BB1525" s="0" t="s">
        <v>130</v>
      </c>
      <c r="BC1525" s="0" t="s">
        <v>130</v>
      </c>
      <c r="BD1525" s="0" t="s">
        <v>130</v>
      </c>
      <c r="BE1525" s="0" t="s">
        <v>130</v>
      </c>
      <c r="BF1525" s="0" t="s">
        <v>130</v>
      </c>
      <c r="BG1525" s="0" t="s">
        <v>130</v>
      </c>
      <c r="BH1525" s="0" t="s">
        <v>130</v>
      </c>
      <c r="BI1525" s="0" t="s">
        <v>130</v>
      </c>
      <c r="BJ1525" s="0" t="s">
        <v>130</v>
      </c>
      <c r="BK1525" s="0" t="s">
        <v>130</v>
      </c>
      <c r="BL1525" s="0" t="s">
        <v>130</v>
      </c>
      <c r="BM1525" s="0" t="s">
        <v>130</v>
      </c>
      <c r="BN1525" s="0" t="s">
        <v>130</v>
      </c>
      <c r="BO1525" s="0" t="s">
        <v>130</v>
      </c>
      <c r="BP1525" s="0" t="s">
        <v>130</v>
      </c>
      <c r="BQ1525" s="0" t="s">
        <v>130</v>
      </c>
      <c r="BR1525" s="0" t="s">
        <v>130</v>
      </c>
      <c r="BS1525" s="0" t="s">
        <v>130</v>
      </c>
      <c r="BT1525" s="0" t="s">
        <v>130</v>
      </c>
      <c r="BU1525" s="0" t="s">
        <v>130</v>
      </c>
      <c r="BV1525" s="0" t="s">
        <v>130</v>
      </c>
      <c r="BW1525" s="0" t="s">
        <v>130</v>
      </c>
      <c r="BX1525" s="0" t="s">
        <v>130</v>
      </c>
      <c r="BY1525" s="0" t="s">
        <v>130</v>
      </c>
      <c r="BZ1525" s="0" t="s">
        <v>130</v>
      </c>
      <c r="CA1525" s="0" t="s">
        <v>130</v>
      </c>
      <c r="CB1525" s="0" t="s">
        <v>130</v>
      </c>
      <c r="CC1525" s="0" t="s">
        <v>130</v>
      </c>
      <c r="CD1525" s="0" t="s">
        <v>130</v>
      </c>
      <c r="CE1525" s="0" t="s">
        <v>130</v>
      </c>
      <c r="CF1525" s="0" t="s">
        <v>130</v>
      </c>
      <c r="CG1525" s="0" t="s">
        <v>130</v>
      </c>
      <c r="CH1525" s="0" t="s">
        <v>130</v>
      </c>
      <c r="CI1525" s="0" t="s">
        <v>130</v>
      </c>
      <c r="CJ1525" s="0" t="s">
        <v>130</v>
      </c>
      <c r="CK1525" s="0" t="s">
        <v>130</v>
      </c>
      <c r="CL1525" s="0" t="s">
        <v>130</v>
      </c>
      <c r="CM1525" s="0" t="s">
        <v>130</v>
      </c>
      <c r="CN1525" s="0" t="s">
        <v>130</v>
      </c>
      <c r="CO1525" s="0" t="s">
        <v>130</v>
      </c>
      <c r="CP1525" s="0" t="s">
        <v>130</v>
      </c>
      <c r="CQ1525" s="0" t="s">
        <v>130</v>
      </c>
      <c r="CR1525" s="0" t="s">
        <v>130</v>
      </c>
      <c r="CS1525" s="0" t="s">
        <v>130</v>
      </c>
      <c r="CT1525" s="0" t="s">
        <v>4416</v>
      </c>
    </row>
    <row r="1526">
      <c r="A1526" s="14">
        <v>18154628</v>
      </c>
      <c r="B1526" s="0" t="s">
        <v>4393</v>
      </c>
      <c r="C1526" s="16">
        <f>HYPERLINK("https://eosportal.federatedhermes.com/companies/Q29tcGFueQppODUyMTU=", "AIA Group Ltd")</f>
      </c>
      <c r="D1526" s="0" t="s">
        <v>25</v>
      </c>
      <c r="E1526" s="0" t="s">
        <v>735</v>
      </c>
      <c r="F1526" s="16">
        <f>HYPERLINK("https://eosportal.federatedhermes.com/engagements/RW5nYWdlbWVudAppMjg0NzQ=", "Sustainability reporting")</f>
      </c>
      <c r="G1526" s="14" t="s">
        <v>4417</v>
      </c>
      <c r="H1526" s="0" t="s">
        <v>141</v>
      </c>
      <c r="I1526" s="14" t="s">
        <v>131</v>
      </c>
      <c r="J1526" s="0" t="s">
        <v>132</v>
      </c>
      <c r="K1526" s="0" t="s">
        <v>170</v>
      </c>
      <c r="L1526" s="0" t="s">
        <v>171</v>
      </c>
      <c r="M1526" s="0" t="s">
        <v>802</v>
      </c>
      <c r="N1526" s="0" t="s">
        <v>803</v>
      </c>
      <c r="O1526" s="0" t="s">
        <v>238</v>
      </c>
      <c r="Q1526" s="0" t="s">
        <v>141</v>
      </c>
      <c r="R1526" s="0" t="s">
        <v>138</v>
      </c>
      <c r="S1526" s="14">
        <v>1</v>
      </c>
      <c r="T1526" s="0" t="s">
        <v>920</v>
      </c>
      <c r="U1526" s="0" t="s">
        <v>138</v>
      </c>
      <c r="V1526" s="14" t="s">
        <v>138</v>
      </c>
      <c r="W1526" s="0" t="s">
        <v>138</v>
      </c>
      <c r="X1526" s="14" t="s">
        <v>138</v>
      </c>
      <c r="Y1526" s="0" t="s">
        <v>138</v>
      </c>
      <c r="Z1526" s="14" t="s">
        <v>138</v>
      </c>
      <c r="AA1526" s="0" t="s">
        <v>138</v>
      </c>
      <c r="AB1526" s="14" t="s">
        <v>138</v>
      </c>
      <c r="AD1526" s="0" t="s">
        <v>138</v>
      </c>
      <c r="AF1526" s="0">
        <v>0</v>
      </c>
      <c r="AG1526" s="0">
        <v>0</v>
      </c>
      <c r="AH1526" s="0" t="s">
        <v>140</v>
      </c>
      <c r="AI1526" s="0" t="s">
        <v>138</v>
      </c>
      <c r="AK1526" s="0" t="s">
        <v>233</v>
      </c>
      <c r="AL1526" s="14"/>
      <c r="AN1526" s="14"/>
      <c r="AQ1526" s="0" t="s">
        <v>130</v>
      </c>
      <c r="AR1526" s="0" t="s">
        <v>130</v>
      </c>
      <c r="AS1526" s="0" t="s">
        <v>130</v>
      </c>
      <c r="AT1526" s="0" t="s">
        <v>130</v>
      </c>
      <c r="AU1526" s="0" t="s">
        <v>130</v>
      </c>
      <c r="AV1526" s="0" t="s">
        <v>130</v>
      </c>
      <c r="AW1526" s="0" t="s">
        <v>130</v>
      </c>
      <c r="AX1526" s="0" t="s">
        <v>130</v>
      </c>
      <c r="AY1526" s="0" t="s">
        <v>130</v>
      </c>
      <c r="AZ1526" s="0" t="s">
        <v>130</v>
      </c>
      <c r="BA1526" s="0" t="s">
        <v>130</v>
      </c>
      <c r="BB1526" s="0" t="s">
        <v>141</v>
      </c>
      <c r="BC1526" s="0" t="s">
        <v>130</v>
      </c>
      <c r="BD1526" s="0" t="s">
        <v>130</v>
      </c>
      <c r="BE1526" s="0" t="s">
        <v>130</v>
      </c>
      <c r="BF1526" s="0" t="s">
        <v>130</v>
      </c>
      <c r="BG1526" s="0" t="s">
        <v>130</v>
      </c>
      <c r="BH1526" s="0" t="s">
        <v>130</v>
      </c>
      <c r="BI1526" s="0" t="s">
        <v>130</v>
      </c>
      <c r="BJ1526" s="0" t="s">
        <v>130</v>
      </c>
      <c r="BK1526" s="0" t="s">
        <v>130</v>
      </c>
      <c r="BL1526" s="0" t="s">
        <v>130</v>
      </c>
      <c r="BM1526" s="0" t="s">
        <v>130</v>
      </c>
      <c r="BN1526" s="0" t="s">
        <v>130</v>
      </c>
      <c r="BO1526" s="0" t="s">
        <v>130</v>
      </c>
      <c r="BP1526" s="0" t="s">
        <v>130</v>
      </c>
      <c r="BQ1526" s="0" t="s">
        <v>130</v>
      </c>
      <c r="BR1526" s="0" t="s">
        <v>130</v>
      </c>
      <c r="BS1526" s="0" t="s">
        <v>130</v>
      </c>
      <c r="BT1526" s="0" t="s">
        <v>130</v>
      </c>
      <c r="BU1526" s="0" t="s">
        <v>130</v>
      </c>
      <c r="BV1526" s="0" t="s">
        <v>130</v>
      </c>
      <c r="BW1526" s="0" t="s">
        <v>130</v>
      </c>
      <c r="BX1526" s="0" t="s">
        <v>130</v>
      </c>
      <c r="BY1526" s="0" t="s">
        <v>130</v>
      </c>
      <c r="BZ1526" s="0" t="s">
        <v>130</v>
      </c>
      <c r="CA1526" s="0" t="s">
        <v>130</v>
      </c>
      <c r="CB1526" s="0" t="s">
        <v>130</v>
      </c>
      <c r="CC1526" s="0" t="s">
        <v>130</v>
      </c>
      <c r="CD1526" s="0" t="s">
        <v>130</v>
      </c>
      <c r="CE1526" s="0" t="s">
        <v>130</v>
      </c>
      <c r="CF1526" s="0" t="s">
        <v>130</v>
      </c>
      <c r="CG1526" s="0" t="s">
        <v>130</v>
      </c>
      <c r="CH1526" s="0" t="s">
        <v>130</v>
      </c>
      <c r="CI1526" s="0" t="s">
        <v>130</v>
      </c>
      <c r="CJ1526" s="0" t="s">
        <v>130</v>
      </c>
      <c r="CK1526" s="0" t="s">
        <v>130</v>
      </c>
      <c r="CL1526" s="0" t="s">
        <v>130</v>
      </c>
      <c r="CM1526" s="0" t="s">
        <v>130</v>
      </c>
      <c r="CN1526" s="0" t="s">
        <v>130</v>
      </c>
      <c r="CO1526" s="0" t="s">
        <v>130</v>
      </c>
      <c r="CP1526" s="0" t="s">
        <v>130</v>
      </c>
      <c r="CQ1526" s="0" t="s">
        <v>130</v>
      </c>
      <c r="CR1526" s="0" t="s">
        <v>130</v>
      </c>
      <c r="CS1526" s="0" t="s">
        <v>130</v>
      </c>
      <c r="CT1526" s="0" t="s">
        <v>4418</v>
      </c>
    </row>
    <row r="1527">
      <c r="A1527" s="14">
        <v>18154628</v>
      </c>
      <c r="B1527" s="0" t="s">
        <v>4393</v>
      </c>
      <c r="C1527" s="16">
        <f>HYPERLINK("https://eosportal.federatedhermes.com/companies/Q29tcGFueQppODUyMTU=", "AIA Group Ltd")</f>
      </c>
      <c r="D1527" s="0" t="s">
        <v>25</v>
      </c>
      <c r="E1527" s="0" t="s">
        <v>4419</v>
      </c>
      <c r="F1527" s="16">
        <f>HYPERLINK("https://eosportal.federatedhermes.com/engagements/RW5nYWdlbWVudAppMjg0NzY=", "Asset liability management")</f>
      </c>
      <c r="G1527" s="14" t="s">
        <v>4420</v>
      </c>
      <c r="H1527" s="0" t="s">
        <v>141</v>
      </c>
      <c r="I1527" s="14" t="s">
        <v>131</v>
      </c>
      <c r="J1527" s="0" t="s">
        <v>132</v>
      </c>
      <c r="K1527" s="0" t="s">
        <v>260</v>
      </c>
      <c r="L1527" s="0" t="s">
        <v>261</v>
      </c>
      <c r="M1527" s="0" t="s">
        <v>802</v>
      </c>
      <c r="N1527" s="0" t="s">
        <v>803</v>
      </c>
      <c r="O1527" s="0" t="s">
        <v>238</v>
      </c>
      <c r="Q1527" s="0" t="s">
        <v>130</v>
      </c>
      <c r="R1527" s="0" t="s">
        <v>138</v>
      </c>
      <c r="S1527" s="14">
        <v>0</v>
      </c>
      <c r="T1527" s="0" t="s">
        <v>320</v>
      </c>
      <c r="U1527" s="0" t="s">
        <v>138</v>
      </c>
      <c r="V1527" s="14" t="s">
        <v>138</v>
      </c>
      <c r="W1527" s="0" t="s">
        <v>138</v>
      </c>
      <c r="X1527" s="14" t="s">
        <v>138</v>
      </c>
      <c r="Y1527" s="0" t="s">
        <v>138</v>
      </c>
      <c r="Z1527" s="14" t="s">
        <v>138</v>
      </c>
      <c r="AA1527" s="0" t="s">
        <v>138</v>
      </c>
      <c r="AB1527" s="14" t="s">
        <v>138</v>
      </c>
      <c r="AD1527" s="0" t="s">
        <v>138</v>
      </c>
      <c r="AF1527" s="0">
        <v>0</v>
      </c>
      <c r="AG1527" s="0">
        <v>0</v>
      </c>
      <c r="AH1527" s="0" t="s">
        <v>140</v>
      </c>
      <c r="AI1527" s="0" t="s">
        <v>138</v>
      </c>
      <c r="AL1527" s="14"/>
      <c r="AN1527" s="14"/>
      <c r="AQ1527" s="0" t="s">
        <v>130</v>
      </c>
      <c r="AR1527" s="0" t="s">
        <v>130</v>
      </c>
      <c r="AS1527" s="0" t="s">
        <v>130</v>
      </c>
      <c r="AT1527" s="0" t="s">
        <v>130</v>
      </c>
      <c r="AU1527" s="0" t="s">
        <v>130</v>
      </c>
      <c r="AV1527" s="0" t="s">
        <v>130</v>
      </c>
      <c r="AW1527" s="0" t="s">
        <v>130</v>
      </c>
      <c r="AX1527" s="0" t="s">
        <v>130</v>
      </c>
      <c r="AY1527" s="0" t="s">
        <v>130</v>
      </c>
      <c r="AZ1527" s="0" t="s">
        <v>130</v>
      </c>
      <c r="BA1527" s="0" t="s">
        <v>130</v>
      </c>
      <c r="BB1527" s="0" t="s">
        <v>130</v>
      </c>
      <c r="BC1527" s="0" t="s">
        <v>130</v>
      </c>
      <c r="BD1527" s="0" t="s">
        <v>130</v>
      </c>
      <c r="BE1527" s="0" t="s">
        <v>130</v>
      </c>
      <c r="BF1527" s="0" t="s">
        <v>130</v>
      </c>
      <c r="BG1527" s="0" t="s">
        <v>130</v>
      </c>
      <c r="BH1527" s="0" t="s">
        <v>130</v>
      </c>
      <c r="BI1527" s="0" t="s">
        <v>130</v>
      </c>
      <c r="BJ1527" s="0" t="s">
        <v>130</v>
      </c>
      <c r="BK1527" s="0" t="s">
        <v>130</v>
      </c>
      <c r="BL1527" s="0" t="s">
        <v>130</v>
      </c>
      <c r="BM1527" s="0" t="s">
        <v>130</v>
      </c>
      <c r="BN1527" s="0" t="s">
        <v>130</v>
      </c>
      <c r="BO1527" s="0" t="s">
        <v>130</v>
      </c>
      <c r="BP1527" s="0" t="s">
        <v>130</v>
      </c>
      <c r="BQ1527" s="0" t="s">
        <v>130</v>
      </c>
      <c r="BR1527" s="0" t="s">
        <v>130</v>
      </c>
      <c r="BS1527" s="0" t="s">
        <v>130</v>
      </c>
      <c r="BT1527" s="0" t="s">
        <v>130</v>
      </c>
      <c r="BU1527" s="0" t="s">
        <v>130</v>
      </c>
      <c r="BV1527" s="0" t="s">
        <v>130</v>
      </c>
      <c r="BW1527" s="0" t="s">
        <v>130</v>
      </c>
      <c r="BX1527" s="0" t="s">
        <v>130</v>
      </c>
      <c r="BY1527" s="0" t="s">
        <v>130</v>
      </c>
      <c r="BZ1527" s="0" t="s">
        <v>130</v>
      </c>
      <c r="CA1527" s="0" t="s">
        <v>130</v>
      </c>
      <c r="CB1527" s="0" t="s">
        <v>130</v>
      </c>
      <c r="CC1527" s="0" t="s">
        <v>130</v>
      </c>
      <c r="CD1527" s="0" t="s">
        <v>130</v>
      </c>
      <c r="CE1527" s="0" t="s">
        <v>130</v>
      </c>
      <c r="CF1527" s="0" t="s">
        <v>130</v>
      </c>
      <c r="CG1527" s="0" t="s">
        <v>130</v>
      </c>
      <c r="CH1527" s="0" t="s">
        <v>130</v>
      </c>
      <c r="CI1527" s="0" t="s">
        <v>130</v>
      </c>
      <c r="CJ1527" s="0" t="s">
        <v>130</v>
      </c>
      <c r="CK1527" s="0" t="s">
        <v>130</v>
      </c>
      <c r="CL1527" s="0" t="s">
        <v>130</v>
      </c>
      <c r="CM1527" s="0" t="s">
        <v>130</v>
      </c>
      <c r="CN1527" s="0" t="s">
        <v>130</v>
      </c>
      <c r="CO1527" s="0" t="s">
        <v>130</v>
      </c>
      <c r="CP1527" s="0" t="s">
        <v>130</v>
      </c>
      <c r="CQ1527" s="0" t="s">
        <v>130</v>
      </c>
      <c r="CR1527" s="0" t="s">
        <v>130</v>
      </c>
      <c r="CS1527" s="0" t="s">
        <v>130</v>
      </c>
      <c r="CT1527" s="0" t="s">
        <v>4421</v>
      </c>
    </row>
    <row r="1528">
      <c r="A1528" s="14">
        <v>18154628</v>
      </c>
      <c r="B1528" s="0" t="s">
        <v>4393</v>
      </c>
      <c r="C1528" s="16">
        <f>HYPERLINK("https://eosportal.federatedhermes.com/companies/Q29tcGFueQppODUyMTU=", "AIA Group Ltd")</f>
      </c>
      <c r="D1528" s="0" t="s">
        <v>25</v>
      </c>
      <c r="E1528" s="0" t="s">
        <v>276</v>
      </c>
      <c r="F1528" s="16">
        <f>HYPERLINK("https://eosportal.federatedhermes.com/engagements/RW5nYWdlbWVudAppMjg0Nzc=", "Succession planning")</f>
      </c>
      <c r="G1528" s="14" t="s">
        <v>4422</v>
      </c>
      <c r="H1528" s="0" t="s">
        <v>141</v>
      </c>
      <c r="I1528" s="14" t="s">
        <v>131</v>
      </c>
      <c r="J1528" s="0" t="s">
        <v>145</v>
      </c>
      <c r="K1528" s="0" t="s">
        <v>164</v>
      </c>
      <c r="L1528" s="0" t="s">
        <v>277</v>
      </c>
      <c r="M1528" s="0" t="s">
        <v>802</v>
      </c>
      <c r="N1528" s="0" t="s">
        <v>803</v>
      </c>
      <c r="O1528" s="0" t="s">
        <v>238</v>
      </c>
      <c r="Q1528" s="0" t="s">
        <v>141</v>
      </c>
      <c r="R1528" s="0" t="s">
        <v>138</v>
      </c>
      <c r="S1528" s="14">
        <v>1</v>
      </c>
      <c r="T1528" s="0" t="s">
        <v>303</v>
      </c>
      <c r="U1528" s="0" t="s">
        <v>138</v>
      </c>
      <c r="V1528" s="14" t="s">
        <v>138</v>
      </c>
      <c r="W1528" s="0" t="s">
        <v>138</v>
      </c>
      <c r="X1528" s="14" t="s">
        <v>138</v>
      </c>
      <c r="Y1528" s="0" t="s">
        <v>138</v>
      </c>
      <c r="Z1528" s="14" t="s">
        <v>138</v>
      </c>
      <c r="AA1528" s="0" t="s">
        <v>138</v>
      </c>
      <c r="AB1528" s="14" t="s">
        <v>138</v>
      </c>
      <c r="AD1528" s="0" t="s">
        <v>138</v>
      </c>
      <c r="AF1528" s="0">
        <v>0</v>
      </c>
      <c r="AG1528" s="0">
        <v>0</v>
      </c>
      <c r="AH1528" s="0" t="s">
        <v>140</v>
      </c>
      <c r="AI1528" s="0" t="s">
        <v>138</v>
      </c>
      <c r="AK1528" s="0" t="s">
        <v>233</v>
      </c>
      <c r="AL1528" s="14"/>
      <c r="AN1528" s="14"/>
      <c r="AQ1528" s="0" t="s">
        <v>130</v>
      </c>
      <c r="AR1528" s="0" t="s">
        <v>130</v>
      </c>
      <c r="AS1528" s="0" t="s">
        <v>130</v>
      </c>
      <c r="AT1528" s="0" t="s">
        <v>130</v>
      </c>
      <c r="AU1528" s="0" t="s">
        <v>130</v>
      </c>
      <c r="AV1528" s="0" t="s">
        <v>130</v>
      </c>
      <c r="AW1528" s="0" t="s">
        <v>130</v>
      </c>
      <c r="AX1528" s="0" t="s">
        <v>130</v>
      </c>
      <c r="AY1528" s="0" t="s">
        <v>130</v>
      </c>
      <c r="AZ1528" s="0" t="s">
        <v>130</v>
      </c>
      <c r="BA1528" s="0" t="s">
        <v>130</v>
      </c>
      <c r="BB1528" s="0" t="s">
        <v>130</v>
      </c>
      <c r="BC1528" s="0" t="s">
        <v>130</v>
      </c>
      <c r="BD1528" s="0" t="s">
        <v>130</v>
      </c>
      <c r="BE1528" s="0" t="s">
        <v>130</v>
      </c>
      <c r="BF1528" s="0" t="s">
        <v>130</v>
      </c>
      <c r="BG1528" s="0" t="s">
        <v>130</v>
      </c>
      <c r="BH1528" s="0" t="s">
        <v>130</v>
      </c>
      <c r="BI1528" s="0" t="s">
        <v>130</v>
      </c>
      <c r="BJ1528" s="0" t="s">
        <v>130</v>
      </c>
      <c r="BK1528" s="0" t="s">
        <v>130</v>
      </c>
      <c r="BL1528" s="0" t="s">
        <v>130</v>
      </c>
      <c r="BM1528" s="0" t="s">
        <v>130</v>
      </c>
      <c r="BN1528" s="0" t="s">
        <v>130</v>
      </c>
      <c r="BO1528" s="0" t="s">
        <v>130</v>
      </c>
      <c r="BP1528" s="0" t="s">
        <v>130</v>
      </c>
      <c r="BQ1528" s="0" t="s">
        <v>130</v>
      </c>
      <c r="BR1528" s="0" t="s">
        <v>130</v>
      </c>
      <c r="BS1528" s="0" t="s">
        <v>130</v>
      </c>
      <c r="BT1528" s="0" t="s">
        <v>130</v>
      </c>
      <c r="BU1528" s="0" t="s">
        <v>130</v>
      </c>
      <c r="BV1528" s="0" t="s">
        <v>130</v>
      </c>
      <c r="BW1528" s="0" t="s">
        <v>130</v>
      </c>
      <c r="BX1528" s="0" t="s">
        <v>130</v>
      </c>
      <c r="BY1528" s="0" t="s">
        <v>130</v>
      </c>
      <c r="BZ1528" s="0" t="s">
        <v>130</v>
      </c>
      <c r="CA1528" s="0" t="s">
        <v>130</v>
      </c>
      <c r="CB1528" s="0" t="s">
        <v>130</v>
      </c>
      <c r="CC1528" s="0" t="s">
        <v>130</v>
      </c>
      <c r="CD1528" s="0" t="s">
        <v>130</v>
      </c>
      <c r="CE1528" s="0" t="s">
        <v>130</v>
      </c>
      <c r="CF1528" s="0" t="s">
        <v>130</v>
      </c>
      <c r="CG1528" s="0" t="s">
        <v>130</v>
      </c>
      <c r="CH1528" s="0" t="s">
        <v>130</v>
      </c>
      <c r="CI1528" s="0" t="s">
        <v>130</v>
      </c>
      <c r="CJ1528" s="0" t="s">
        <v>130</v>
      </c>
      <c r="CK1528" s="0" t="s">
        <v>130</v>
      </c>
      <c r="CL1528" s="0" t="s">
        <v>130</v>
      </c>
      <c r="CM1528" s="0" t="s">
        <v>130</v>
      </c>
      <c r="CN1528" s="0" t="s">
        <v>130</v>
      </c>
      <c r="CO1528" s="0" t="s">
        <v>130</v>
      </c>
      <c r="CP1528" s="0" t="s">
        <v>130</v>
      </c>
      <c r="CQ1528" s="0" t="s">
        <v>130</v>
      </c>
      <c r="CR1528" s="0" t="s">
        <v>130</v>
      </c>
      <c r="CS1528" s="0" t="s">
        <v>130</v>
      </c>
      <c r="CT1528" s="0" t="s">
        <v>4423</v>
      </c>
    </row>
    <row r="1529">
      <c r="A1529" s="14">
        <v>18302043</v>
      </c>
      <c r="B1529" s="0" t="s">
        <v>4424</v>
      </c>
      <c r="C1529" s="16">
        <f>HYPERLINK("https://eosportal.federatedhermes.com/companies/Q29tcGFueQppNTg5ODI=", "Kinder Morgan Inc")</f>
      </c>
      <c r="D1529" s="0" t="s">
        <v>25</v>
      </c>
      <c r="E1529" s="0" t="s">
        <v>1542</v>
      </c>
      <c r="F1529" s="16">
        <f>HYPERLINK("https://eosportal.federatedhermes.com/engagements/RW5nYWdlbWVudAppMjg1MTY=", "Just transition")</f>
      </c>
      <c r="G1529" s="14" t="s">
        <v>4425</v>
      </c>
      <c r="H1529" s="0" t="s">
        <v>141</v>
      </c>
      <c r="I1529" s="14" t="s">
        <v>191</v>
      </c>
      <c r="J1529" s="0" t="s">
        <v>197</v>
      </c>
      <c r="K1529" s="0" t="s">
        <v>198</v>
      </c>
      <c r="L1529" s="0" t="s">
        <v>199</v>
      </c>
      <c r="M1529" s="0" t="s">
        <v>135</v>
      </c>
      <c r="N1529" s="0" t="s">
        <v>136</v>
      </c>
      <c r="O1529" s="0" t="s">
        <v>542</v>
      </c>
      <c r="Q1529" s="0" t="s">
        <v>130</v>
      </c>
      <c r="R1529" s="0" t="s">
        <v>138</v>
      </c>
      <c r="S1529" s="14">
        <v>0</v>
      </c>
      <c r="T1529" s="0" t="s">
        <v>156</v>
      </c>
      <c r="U1529" s="0" t="s">
        <v>138</v>
      </c>
      <c r="V1529" s="14" t="s">
        <v>138</v>
      </c>
      <c r="W1529" s="0" t="s">
        <v>138</v>
      </c>
      <c r="X1529" s="14" t="s">
        <v>138</v>
      </c>
      <c r="Y1529" s="0" t="s">
        <v>138</v>
      </c>
      <c r="Z1529" s="14" t="s">
        <v>138</v>
      </c>
      <c r="AA1529" s="0" t="s">
        <v>138</v>
      </c>
      <c r="AB1529" s="14" t="s">
        <v>138</v>
      </c>
      <c r="AD1529" s="0" t="s">
        <v>138</v>
      </c>
      <c r="AF1529" s="0">
        <v>0</v>
      </c>
      <c r="AG1529" s="0">
        <v>0</v>
      </c>
      <c r="AH1529" s="0" t="s">
        <v>140</v>
      </c>
      <c r="AI1529" s="0" t="s">
        <v>138</v>
      </c>
      <c r="AL1529" s="14"/>
      <c r="AN1529" s="14"/>
      <c r="AQ1529" s="0" t="s">
        <v>130</v>
      </c>
      <c r="AR1529" s="0" t="s">
        <v>130</v>
      </c>
      <c r="AS1529" s="0" t="s">
        <v>130</v>
      </c>
      <c r="AT1529" s="0" t="s">
        <v>130</v>
      </c>
      <c r="AU1529" s="0" t="s">
        <v>130</v>
      </c>
      <c r="AV1529" s="0" t="s">
        <v>130</v>
      </c>
      <c r="AW1529" s="0" t="s">
        <v>130</v>
      </c>
      <c r="AX1529" s="0" t="s">
        <v>130</v>
      </c>
      <c r="AY1529" s="0" t="s">
        <v>130</v>
      </c>
      <c r="AZ1529" s="0" t="s">
        <v>141</v>
      </c>
      <c r="BA1529" s="0" t="s">
        <v>130</v>
      </c>
      <c r="BB1529" s="0" t="s">
        <v>130</v>
      </c>
      <c r="BC1529" s="0" t="s">
        <v>130</v>
      </c>
      <c r="BD1529" s="0" t="s">
        <v>130</v>
      </c>
      <c r="BE1529" s="0" t="s">
        <v>130</v>
      </c>
      <c r="BF1529" s="0" t="s">
        <v>141</v>
      </c>
      <c r="BG1529" s="0" t="s">
        <v>130</v>
      </c>
      <c r="BH1529" s="0" t="s">
        <v>130</v>
      </c>
      <c r="BI1529" s="0" t="s">
        <v>130</v>
      </c>
      <c r="BJ1529" s="0" t="s">
        <v>130</v>
      </c>
      <c r="BK1529" s="0" t="s">
        <v>130</v>
      </c>
      <c r="BL1529" s="0" t="s">
        <v>130</v>
      </c>
      <c r="BM1529" s="0" t="s">
        <v>130</v>
      </c>
      <c r="BN1529" s="0" t="s">
        <v>130</v>
      </c>
      <c r="BO1529" s="0" t="s">
        <v>130</v>
      </c>
      <c r="BP1529" s="0" t="s">
        <v>130</v>
      </c>
      <c r="BQ1529" s="0" t="s">
        <v>130</v>
      </c>
      <c r="BR1529" s="0" t="s">
        <v>130</v>
      </c>
      <c r="BS1529" s="0" t="s">
        <v>130</v>
      </c>
      <c r="BT1529" s="0" t="s">
        <v>130</v>
      </c>
      <c r="BU1529" s="0" t="s">
        <v>130</v>
      </c>
      <c r="BV1529" s="0" t="s">
        <v>130</v>
      </c>
      <c r="BW1529" s="0" t="s">
        <v>130</v>
      </c>
      <c r="BX1529" s="0" t="s">
        <v>130</v>
      </c>
      <c r="BY1529" s="0" t="s">
        <v>130</v>
      </c>
      <c r="BZ1529" s="0" t="s">
        <v>130</v>
      </c>
      <c r="CA1529" s="0" t="s">
        <v>130</v>
      </c>
      <c r="CB1529" s="0" t="s">
        <v>130</v>
      </c>
      <c r="CC1529" s="0" t="s">
        <v>130</v>
      </c>
      <c r="CD1529" s="0" t="s">
        <v>130</v>
      </c>
      <c r="CE1529" s="0" t="s">
        <v>130</v>
      </c>
      <c r="CF1529" s="0" t="s">
        <v>130</v>
      </c>
      <c r="CG1529" s="0" t="s">
        <v>130</v>
      </c>
      <c r="CH1529" s="0" t="s">
        <v>130</v>
      </c>
      <c r="CI1529" s="0" t="s">
        <v>130</v>
      </c>
      <c r="CJ1529" s="0" t="s">
        <v>130</v>
      </c>
      <c r="CK1529" s="0" t="s">
        <v>130</v>
      </c>
      <c r="CL1529" s="0" t="s">
        <v>130</v>
      </c>
      <c r="CM1529" s="0" t="s">
        <v>130</v>
      </c>
      <c r="CN1529" s="0" t="s">
        <v>130</v>
      </c>
      <c r="CO1529" s="0" t="s">
        <v>130</v>
      </c>
      <c r="CP1529" s="0" t="s">
        <v>130</v>
      </c>
      <c r="CQ1529" s="0" t="s">
        <v>130</v>
      </c>
      <c r="CR1529" s="0" t="s">
        <v>130</v>
      </c>
      <c r="CS1529" s="0" t="s">
        <v>130</v>
      </c>
      <c r="CT1529" s="0" t="s">
        <v>4426</v>
      </c>
    </row>
    <row r="1530">
      <c r="A1530" s="14">
        <v>18302043</v>
      </c>
      <c r="B1530" s="0" t="s">
        <v>4424</v>
      </c>
      <c r="C1530" s="16">
        <f>HYPERLINK("https://eosportal.federatedhermes.com/companies/Q29tcGFueQppNTg5ODI=", "Kinder Morgan Inc")</f>
      </c>
      <c r="D1530" s="0" t="s">
        <v>25</v>
      </c>
      <c r="E1530" s="0" t="s">
        <v>4427</v>
      </c>
      <c r="F1530" s="16">
        <f>HYPERLINK("https://eosportal.federatedhermes.com/engagements/RW5nYWdlbWVudAppMjg1MTc=", "Scope 1, 2 targets")</f>
      </c>
      <c r="G1530" s="14" t="s">
        <v>4428</v>
      </c>
      <c r="H1530" s="0" t="s">
        <v>141</v>
      </c>
      <c r="I1530" s="14" t="s">
        <v>191</v>
      </c>
      <c r="J1530" s="0" t="s">
        <v>197</v>
      </c>
      <c r="K1530" s="0" t="s">
        <v>198</v>
      </c>
      <c r="L1530" s="0" t="s">
        <v>216</v>
      </c>
      <c r="M1530" s="0" t="s">
        <v>135</v>
      </c>
      <c r="N1530" s="0" t="s">
        <v>136</v>
      </c>
      <c r="O1530" s="0" t="s">
        <v>542</v>
      </c>
      <c r="Q1530" s="0" t="s">
        <v>130</v>
      </c>
      <c r="R1530" s="0" t="s">
        <v>138</v>
      </c>
      <c r="S1530" s="14">
        <v>0</v>
      </c>
      <c r="T1530" s="0" t="s">
        <v>394</v>
      </c>
      <c r="U1530" s="0" t="s">
        <v>138</v>
      </c>
      <c r="V1530" s="14" t="s">
        <v>138</v>
      </c>
      <c r="W1530" s="0" t="s">
        <v>138</v>
      </c>
      <c r="X1530" s="14" t="s">
        <v>138</v>
      </c>
      <c r="Y1530" s="0" t="s">
        <v>138</v>
      </c>
      <c r="Z1530" s="14" t="s">
        <v>138</v>
      </c>
      <c r="AA1530" s="0" t="s">
        <v>138</v>
      </c>
      <c r="AB1530" s="14" t="s">
        <v>138</v>
      </c>
      <c r="AD1530" s="0" t="s">
        <v>138</v>
      </c>
      <c r="AF1530" s="0">
        <v>0</v>
      </c>
      <c r="AG1530" s="0">
        <v>0</v>
      </c>
      <c r="AH1530" s="0" t="s">
        <v>140</v>
      </c>
      <c r="AI1530" s="0" t="s">
        <v>138</v>
      </c>
      <c r="AL1530" s="14"/>
      <c r="AN1530" s="14"/>
      <c r="AQ1530" s="0" t="s">
        <v>130</v>
      </c>
      <c r="AR1530" s="0" t="s">
        <v>130</v>
      </c>
      <c r="AS1530" s="0" t="s">
        <v>130</v>
      </c>
      <c r="AT1530" s="0" t="s">
        <v>130</v>
      </c>
      <c r="AU1530" s="0" t="s">
        <v>130</v>
      </c>
      <c r="AV1530" s="0" t="s">
        <v>130</v>
      </c>
      <c r="AW1530" s="0" t="s">
        <v>141</v>
      </c>
      <c r="AX1530" s="0" t="s">
        <v>130</v>
      </c>
      <c r="AY1530" s="0" t="s">
        <v>130</v>
      </c>
      <c r="AZ1530" s="0" t="s">
        <v>130</v>
      </c>
      <c r="BA1530" s="0" t="s">
        <v>130</v>
      </c>
      <c r="BB1530" s="0" t="s">
        <v>130</v>
      </c>
      <c r="BC1530" s="0" t="s">
        <v>141</v>
      </c>
      <c r="BD1530" s="0" t="s">
        <v>130</v>
      </c>
      <c r="BE1530" s="0" t="s">
        <v>130</v>
      </c>
      <c r="BF1530" s="0" t="s">
        <v>130</v>
      </c>
      <c r="BG1530" s="0" t="s">
        <v>130</v>
      </c>
      <c r="BH1530" s="0" t="s">
        <v>141</v>
      </c>
      <c r="BI1530" s="0" t="s">
        <v>141</v>
      </c>
      <c r="BJ1530" s="0" t="s">
        <v>141</v>
      </c>
      <c r="BK1530" s="0" t="s">
        <v>130</v>
      </c>
      <c r="BL1530" s="0" t="s">
        <v>130</v>
      </c>
      <c r="BM1530" s="0" t="s">
        <v>130</v>
      </c>
      <c r="BN1530" s="0" t="s">
        <v>130</v>
      </c>
      <c r="BO1530" s="0" t="s">
        <v>130</v>
      </c>
      <c r="BP1530" s="0" t="s">
        <v>130</v>
      </c>
      <c r="BQ1530" s="0" t="s">
        <v>130</v>
      </c>
      <c r="BR1530" s="0" t="s">
        <v>130</v>
      </c>
      <c r="BS1530" s="0" t="s">
        <v>130</v>
      </c>
      <c r="BT1530" s="0" t="s">
        <v>130</v>
      </c>
      <c r="BU1530" s="0" t="s">
        <v>130</v>
      </c>
      <c r="BV1530" s="0" t="s">
        <v>141</v>
      </c>
      <c r="BW1530" s="0" t="s">
        <v>141</v>
      </c>
      <c r="BX1530" s="0" t="s">
        <v>130</v>
      </c>
      <c r="BY1530" s="0" t="s">
        <v>130</v>
      </c>
      <c r="BZ1530" s="0" t="s">
        <v>130</v>
      </c>
      <c r="CA1530" s="0" t="s">
        <v>130</v>
      </c>
      <c r="CB1530" s="0" t="s">
        <v>130</v>
      </c>
      <c r="CC1530" s="0" t="s">
        <v>130</v>
      </c>
      <c r="CD1530" s="0" t="s">
        <v>130</v>
      </c>
      <c r="CE1530" s="0" t="s">
        <v>130</v>
      </c>
      <c r="CF1530" s="0" t="s">
        <v>130</v>
      </c>
      <c r="CG1530" s="0" t="s">
        <v>130</v>
      </c>
      <c r="CH1530" s="0" t="s">
        <v>130</v>
      </c>
      <c r="CI1530" s="0" t="s">
        <v>130</v>
      </c>
      <c r="CJ1530" s="0" t="s">
        <v>130</v>
      </c>
      <c r="CK1530" s="0" t="s">
        <v>130</v>
      </c>
      <c r="CL1530" s="0" t="s">
        <v>130</v>
      </c>
      <c r="CM1530" s="0" t="s">
        <v>130</v>
      </c>
      <c r="CN1530" s="0" t="s">
        <v>130</v>
      </c>
      <c r="CO1530" s="0" t="s">
        <v>130</v>
      </c>
      <c r="CP1530" s="0" t="s">
        <v>130</v>
      </c>
      <c r="CQ1530" s="0" t="s">
        <v>130</v>
      </c>
      <c r="CR1530" s="0" t="s">
        <v>130</v>
      </c>
      <c r="CS1530" s="0" t="s">
        <v>130</v>
      </c>
      <c r="CT1530" s="0" t="s">
        <v>4429</v>
      </c>
    </row>
    <row r="1531">
      <c r="A1531" s="14">
        <v>18302043</v>
      </c>
      <c r="B1531" s="0" t="s">
        <v>4424</v>
      </c>
      <c r="C1531" s="16">
        <f>HYPERLINK("https://eosportal.federatedhermes.com/companies/Q29tcGFueQppNTg5ODI=", "Kinder Morgan Inc")</f>
      </c>
      <c r="D1531" s="0" t="s">
        <v>25</v>
      </c>
      <c r="E1531" s="0" t="s">
        <v>4430</v>
      </c>
      <c r="F1531" s="16">
        <f>HYPERLINK("https://eosportal.federatedhermes.com/engagements/RW5nYWdlbWVudAppMjg1MTg=", "Community and indigenous peoples' engagement")</f>
      </c>
      <c r="G1531" s="14" t="s">
        <v>4431</v>
      </c>
      <c r="H1531" s="0" t="s">
        <v>141</v>
      </c>
      <c r="I1531" s="14" t="s">
        <v>191</v>
      </c>
      <c r="J1531" s="0" t="s">
        <v>153</v>
      </c>
      <c r="K1531" s="0" t="s">
        <v>243</v>
      </c>
      <c r="L1531" s="0" t="s">
        <v>571</v>
      </c>
      <c r="M1531" s="0" t="s">
        <v>135</v>
      </c>
      <c r="N1531" s="0" t="s">
        <v>136</v>
      </c>
      <c r="O1531" s="0" t="s">
        <v>542</v>
      </c>
      <c r="Q1531" s="0" t="s">
        <v>130</v>
      </c>
      <c r="R1531" s="0" t="s">
        <v>138</v>
      </c>
      <c r="S1531" s="14">
        <v>0</v>
      </c>
      <c r="T1531" s="0" t="s">
        <v>288</v>
      </c>
      <c r="U1531" s="0" t="s">
        <v>138</v>
      </c>
      <c r="V1531" s="14" t="s">
        <v>138</v>
      </c>
      <c r="W1531" s="0" t="s">
        <v>138</v>
      </c>
      <c r="X1531" s="14" t="s">
        <v>138</v>
      </c>
      <c r="Y1531" s="0" t="s">
        <v>138</v>
      </c>
      <c r="Z1531" s="14" t="s">
        <v>138</v>
      </c>
      <c r="AA1531" s="0" t="s">
        <v>138</v>
      </c>
      <c r="AB1531" s="14" t="s">
        <v>138</v>
      </c>
      <c r="AD1531" s="0" t="s">
        <v>138</v>
      </c>
      <c r="AF1531" s="0">
        <v>0</v>
      </c>
      <c r="AG1531" s="0">
        <v>0</v>
      </c>
      <c r="AH1531" s="0" t="s">
        <v>140</v>
      </c>
      <c r="AI1531" s="0" t="s">
        <v>138</v>
      </c>
      <c r="AL1531" s="14"/>
      <c r="AN1531" s="14"/>
      <c r="AQ1531" s="0" t="s">
        <v>130</v>
      </c>
      <c r="AR1531" s="0" t="s">
        <v>130</v>
      </c>
      <c r="AS1531" s="0" t="s">
        <v>130</v>
      </c>
      <c r="AT1531" s="0" t="s">
        <v>130</v>
      </c>
      <c r="AU1531" s="0" t="s">
        <v>130</v>
      </c>
      <c r="AV1531" s="0" t="s">
        <v>130</v>
      </c>
      <c r="AW1531" s="0" t="s">
        <v>130</v>
      </c>
      <c r="AX1531" s="0" t="s">
        <v>130</v>
      </c>
      <c r="AY1531" s="0" t="s">
        <v>130</v>
      </c>
      <c r="AZ1531" s="0" t="s">
        <v>141</v>
      </c>
      <c r="BA1531" s="0" t="s">
        <v>141</v>
      </c>
      <c r="BB1531" s="0" t="s">
        <v>130</v>
      </c>
      <c r="BC1531" s="0" t="s">
        <v>130</v>
      </c>
      <c r="BD1531" s="0" t="s">
        <v>130</v>
      </c>
      <c r="BE1531" s="0" t="s">
        <v>130</v>
      </c>
      <c r="BF1531" s="0" t="s">
        <v>141</v>
      </c>
      <c r="BG1531" s="0" t="s">
        <v>130</v>
      </c>
      <c r="BH1531" s="0" t="s">
        <v>130</v>
      </c>
      <c r="BI1531" s="0" t="s">
        <v>130</v>
      </c>
      <c r="BJ1531" s="0" t="s">
        <v>130</v>
      </c>
      <c r="BK1531" s="0" t="s">
        <v>130</v>
      </c>
      <c r="BL1531" s="0" t="s">
        <v>130</v>
      </c>
      <c r="BM1531" s="0" t="s">
        <v>130</v>
      </c>
      <c r="BN1531" s="0" t="s">
        <v>130</v>
      </c>
      <c r="BO1531" s="0" t="s">
        <v>130</v>
      </c>
      <c r="BP1531" s="0" t="s">
        <v>130</v>
      </c>
      <c r="BQ1531" s="0" t="s">
        <v>130</v>
      </c>
      <c r="BR1531" s="0" t="s">
        <v>130</v>
      </c>
      <c r="BS1531" s="0" t="s">
        <v>130</v>
      </c>
      <c r="BT1531" s="0" t="s">
        <v>130</v>
      </c>
      <c r="BU1531" s="0" t="s">
        <v>130</v>
      </c>
      <c r="BV1531" s="0" t="s">
        <v>130</v>
      </c>
      <c r="BW1531" s="0" t="s">
        <v>130</v>
      </c>
      <c r="BX1531" s="0" t="s">
        <v>130</v>
      </c>
      <c r="BY1531" s="0" t="s">
        <v>130</v>
      </c>
      <c r="BZ1531" s="0" t="s">
        <v>130</v>
      </c>
      <c r="CA1531" s="0" t="s">
        <v>130</v>
      </c>
      <c r="CB1531" s="0" t="s">
        <v>130</v>
      </c>
      <c r="CC1531" s="0" t="s">
        <v>130</v>
      </c>
      <c r="CD1531" s="0" t="s">
        <v>130</v>
      </c>
      <c r="CE1531" s="0" t="s">
        <v>130</v>
      </c>
      <c r="CF1531" s="0" t="s">
        <v>130</v>
      </c>
      <c r="CG1531" s="0" t="s">
        <v>130</v>
      </c>
      <c r="CH1531" s="0" t="s">
        <v>130</v>
      </c>
      <c r="CI1531" s="0" t="s">
        <v>130</v>
      </c>
      <c r="CJ1531" s="0" t="s">
        <v>130</v>
      </c>
      <c r="CK1531" s="0" t="s">
        <v>130</v>
      </c>
      <c r="CL1531" s="0" t="s">
        <v>130</v>
      </c>
      <c r="CM1531" s="0" t="s">
        <v>130</v>
      </c>
      <c r="CN1531" s="0" t="s">
        <v>130</v>
      </c>
      <c r="CO1531" s="0" t="s">
        <v>130</v>
      </c>
      <c r="CP1531" s="0" t="s">
        <v>130</v>
      </c>
      <c r="CQ1531" s="0" t="s">
        <v>130</v>
      </c>
      <c r="CR1531" s="0" t="s">
        <v>130</v>
      </c>
      <c r="CS1531" s="0" t="s">
        <v>130</v>
      </c>
      <c r="CT1531" s="0" t="s">
        <v>4432</v>
      </c>
    </row>
    <row r="1532">
      <c r="A1532" s="14">
        <v>18302043</v>
      </c>
      <c r="B1532" s="0" t="s">
        <v>4424</v>
      </c>
      <c r="C1532" s="16">
        <f>HYPERLINK("https://eosportal.federatedhermes.com/companies/Q29tcGFueQppNTg5ODI=", "Kinder Morgan Inc")</f>
      </c>
      <c r="D1532" s="0" t="s">
        <v>25</v>
      </c>
      <c r="E1532" s="0" t="s">
        <v>4433</v>
      </c>
      <c r="F1532" s="16">
        <f>HYPERLINK("https://eosportal.federatedhermes.com/engagements/RW5nYWdlbWVudAppMjg1MTk=", "Supplier methane diligence and reduction activities")</f>
      </c>
      <c r="G1532" s="14" t="s">
        <v>4434</v>
      </c>
      <c r="H1532" s="0" t="s">
        <v>141</v>
      </c>
      <c r="I1532" s="14" t="s">
        <v>191</v>
      </c>
      <c r="J1532" s="0" t="s">
        <v>197</v>
      </c>
      <c r="K1532" s="0" t="s">
        <v>198</v>
      </c>
      <c r="L1532" s="0" t="s">
        <v>199</v>
      </c>
      <c r="M1532" s="0" t="s">
        <v>135</v>
      </c>
      <c r="N1532" s="0" t="s">
        <v>136</v>
      </c>
      <c r="O1532" s="0" t="s">
        <v>542</v>
      </c>
      <c r="Q1532" s="0" t="s">
        <v>141</v>
      </c>
      <c r="R1532" s="0" t="s">
        <v>138</v>
      </c>
      <c r="S1532" s="14">
        <v>1</v>
      </c>
      <c r="T1532" s="0" t="s">
        <v>206</v>
      </c>
      <c r="U1532" s="0" t="s">
        <v>138</v>
      </c>
      <c r="V1532" s="14" t="s">
        <v>138</v>
      </c>
      <c r="W1532" s="0" t="s">
        <v>138</v>
      </c>
      <c r="X1532" s="14" t="s">
        <v>138</v>
      </c>
      <c r="Y1532" s="0" t="s">
        <v>138</v>
      </c>
      <c r="Z1532" s="14" t="s">
        <v>138</v>
      </c>
      <c r="AA1532" s="0" t="s">
        <v>138</v>
      </c>
      <c r="AB1532" s="14" t="s">
        <v>138</v>
      </c>
      <c r="AD1532" s="0" t="s">
        <v>138</v>
      </c>
      <c r="AF1532" s="0">
        <v>0</v>
      </c>
      <c r="AG1532" s="0">
        <v>0</v>
      </c>
      <c r="AH1532" s="0" t="s">
        <v>140</v>
      </c>
      <c r="AI1532" s="0" t="s">
        <v>138</v>
      </c>
      <c r="AK1532" s="0" t="s">
        <v>847</v>
      </c>
      <c r="AL1532" s="14"/>
      <c r="AN1532" s="14"/>
      <c r="AQ1532" s="0" t="s">
        <v>130</v>
      </c>
      <c r="AR1532" s="0" t="s">
        <v>130</v>
      </c>
      <c r="AS1532" s="0" t="s">
        <v>130</v>
      </c>
      <c r="AT1532" s="0" t="s">
        <v>130</v>
      </c>
      <c r="AU1532" s="0" t="s">
        <v>130</v>
      </c>
      <c r="AV1532" s="0" t="s">
        <v>130</v>
      </c>
      <c r="AW1532" s="0" t="s">
        <v>130</v>
      </c>
      <c r="AX1532" s="0" t="s">
        <v>130</v>
      </c>
      <c r="AY1532" s="0" t="s">
        <v>130</v>
      </c>
      <c r="AZ1532" s="0" t="s">
        <v>130</v>
      </c>
      <c r="BA1532" s="0" t="s">
        <v>130</v>
      </c>
      <c r="BB1532" s="0" t="s">
        <v>141</v>
      </c>
      <c r="BC1532" s="0" t="s">
        <v>130</v>
      </c>
      <c r="BD1532" s="0" t="s">
        <v>130</v>
      </c>
      <c r="BE1532" s="0" t="s">
        <v>130</v>
      </c>
      <c r="BF1532" s="0" t="s">
        <v>130</v>
      </c>
      <c r="BG1532" s="0" t="s">
        <v>130</v>
      </c>
      <c r="BH1532" s="0" t="s">
        <v>130</v>
      </c>
      <c r="BI1532" s="0" t="s">
        <v>130</v>
      </c>
      <c r="BJ1532" s="0" t="s">
        <v>130</v>
      </c>
      <c r="BK1532" s="0" t="s">
        <v>130</v>
      </c>
      <c r="BL1532" s="0" t="s">
        <v>130</v>
      </c>
      <c r="BM1532" s="0" t="s">
        <v>130</v>
      </c>
      <c r="BN1532" s="0" t="s">
        <v>130</v>
      </c>
      <c r="BO1532" s="0" t="s">
        <v>130</v>
      </c>
      <c r="BP1532" s="0" t="s">
        <v>130</v>
      </c>
      <c r="BQ1532" s="0" t="s">
        <v>130</v>
      </c>
      <c r="BR1532" s="0" t="s">
        <v>130</v>
      </c>
      <c r="BS1532" s="0" t="s">
        <v>130</v>
      </c>
      <c r="BT1532" s="0" t="s">
        <v>130</v>
      </c>
      <c r="BU1532" s="0" t="s">
        <v>130</v>
      </c>
      <c r="BV1532" s="0" t="s">
        <v>130</v>
      </c>
      <c r="BW1532" s="0" t="s">
        <v>130</v>
      </c>
      <c r="BX1532" s="0" t="s">
        <v>130</v>
      </c>
      <c r="BY1532" s="0" t="s">
        <v>130</v>
      </c>
      <c r="BZ1532" s="0" t="s">
        <v>130</v>
      </c>
      <c r="CA1532" s="0" t="s">
        <v>130</v>
      </c>
      <c r="CB1532" s="0" t="s">
        <v>130</v>
      </c>
      <c r="CC1532" s="0" t="s">
        <v>130</v>
      </c>
      <c r="CD1532" s="0" t="s">
        <v>130</v>
      </c>
      <c r="CE1532" s="0" t="s">
        <v>130</v>
      </c>
      <c r="CF1532" s="0" t="s">
        <v>130</v>
      </c>
      <c r="CG1532" s="0" t="s">
        <v>130</v>
      </c>
      <c r="CH1532" s="0" t="s">
        <v>130</v>
      </c>
      <c r="CI1532" s="0" t="s">
        <v>130</v>
      </c>
      <c r="CJ1532" s="0" t="s">
        <v>130</v>
      </c>
      <c r="CK1532" s="0" t="s">
        <v>130</v>
      </c>
      <c r="CL1532" s="0" t="s">
        <v>130</v>
      </c>
      <c r="CM1532" s="0" t="s">
        <v>130</v>
      </c>
      <c r="CN1532" s="0" t="s">
        <v>130</v>
      </c>
      <c r="CO1532" s="0" t="s">
        <v>130</v>
      </c>
      <c r="CP1532" s="0" t="s">
        <v>130</v>
      </c>
      <c r="CQ1532" s="0" t="s">
        <v>130</v>
      </c>
      <c r="CR1532" s="0" t="s">
        <v>130</v>
      </c>
      <c r="CS1532" s="0" t="s">
        <v>130</v>
      </c>
      <c r="CT1532" s="0" t="s">
        <v>4435</v>
      </c>
    </row>
    <row r="1533">
      <c r="A1533" s="14">
        <v>18302043</v>
      </c>
      <c r="B1533" s="0" t="s">
        <v>4424</v>
      </c>
      <c r="C1533" s="16">
        <f>HYPERLINK("https://eosportal.federatedhermes.com/companies/Q29tcGFueQppNTg5ODI=", "Kinder Morgan Inc")</f>
      </c>
      <c r="D1533" s="0" t="s">
        <v>25</v>
      </c>
      <c r="E1533" s="0" t="s">
        <v>2734</v>
      </c>
      <c r="F1533" s="16">
        <f>HYPERLINK("https://eosportal.federatedhermes.com/engagements/RW5nYWdlbWVudAppMjg1MjA=", "Health and safety")</f>
      </c>
      <c r="G1533" s="14" t="s">
        <v>4436</v>
      </c>
      <c r="H1533" s="0" t="s">
        <v>141</v>
      </c>
      <c r="I1533" s="14" t="s">
        <v>191</v>
      </c>
      <c r="J1533" s="0" t="s">
        <v>153</v>
      </c>
      <c r="K1533" s="0" t="s">
        <v>154</v>
      </c>
      <c r="L1533" s="0" t="s">
        <v>155</v>
      </c>
      <c r="M1533" s="0" t="s">
        <v>135</v>
      </c>
      <c r="N1533" s="0" t="s">
        <v>136</v>
      </c>
      <c r="O1533" s="0" t="s">
        <v>542</v>
      </c>
      <c r="Q1533" s="0" t="s">
        <v>130</v>
      </c>
      <c r="R1533" s="0" t="s">
        <v>138</v>
      </c>
      <c r="S1533" s="14">
        <v>0</v>
      </c>
      <c r="T1533" s="0" t="s">
        <v>288</v>
      </c>
      <c r="U1533" s="0" t="s">
        <v>138</v>
      </c>
      <c r="V1533" s="14" t="s">
        <v>138</v>
      </c>
      <c r="W1533" s="0" t="s">
        <v>138</v>
      </c>
      <c r="X1533" s="14" t="s">
        <v>138</v>
      </c>
      <c r="Y1533" s="0" t="s">
        <v>138</v>
      </c>
      <c r="Z1533" s="14" t="s">
        <v>138</v>
      </c>
      <c r="AA1533" s="0" t="s">
        <v>138</v>
      </c>
      <c r="AB1533" s="14" t="s">
        <v>138</v>
      </c>
      <c r="AD1533" s="0" t="s">
        <v>138</v>
      </c>
      <c r="AF1533" s="0">
        <v>0</v>
      </c>
      <c r="AG1533" s="0">
        <v>0</v>
      </c>
      <c r="AH1533" s="0" t="s">
        <v>140</v>
      </c>
      <c r="AI1533" s="0" t="s">
        <v>138</v>
      </c>
      <c r="AL1533" s="14"/>
      <c r="AN1533" s="14"/>
      <c r="AQ1533" s="0" t="s">
        <v>130</v>
      </c>
      <c r="AR1533" s="0" t="s">
        <v>130</v>
      </c>
      <c r="AS1533" s="0" t="s">
        <v>130</v>
      </c>
      <c r="AT1533" s="0" t="s">
        <v>130</v>
      </c>
      <c r="AU1533" s="0" t="s">
        <v>130</v>
      </c>
      <c r="AV1533" s="0" t="s">
        <v>130</v>
      </c>
      <c r="AW1533" s="0" t="s">
        <v>130</v>
      </c>
      <c r="AX1533" s="0" t="s">
        <v>141</v>
      </c>
      <c r="AY1533" s="0" t="s">
        <v>130</v>
      </c>
      <c r="AZ1533" s="0" t="s">
        <v>130</v>
      </c>
      <c r="BA1533" s="0" t="s">
        <v>130</v>
      </c>
      <c r="BB1533" s="0" t="s">
        <v>130</v>
      </c>
      <c r="BC1533" s="0" t="s">
        <v>130</v>
      </c>
      <c r="BD1533" s="0" t="s">
        <v>130</v>
      </c>
      <c r="BE1533" s="0" t="s">
        <v>130</v>
      </c>
      <c r="BF1533" s="0" t="s">
        <v>130</v>
      </c>
      <c r="BG1533" s="0" t="s">
        <v>130</v>
      </c>
      <c r="BH1533" s="0" t="s">
        <v>130</v>
      </c>
      <c r="BI1533" s="0" t="s">
        <v>130</v>
      </c>
      <c r="BJ1533" s="0" t="s">
        <v>130</v>
      </c>
      <c r="BK1533" s="0" t="s">
        <v>130</v>
      </c>
      <c r="BL1533" s="0" t="s">
        <v>130</v>
      </c>
      <c r="BM1533" s="0" t="s">
        <v>130</v>
      </c>
      <c r="BN1533" s="0" t="s">
        <v>130</v>
      </c>
      <c r="BO1533" s="0" t="s">
        <v>130</v>
      </c>
      <c r="BP1533" s="0" t="s">
        <v>130</v>
      </c>
      <c r="BQ1533" s="0" t="s">
        <v>130</v>
      </c>
      <c r="BR1533" s="0" t="s">
        <v>130</v>
      </c>
      <c r="BS1533" s="0" t="s">
        <v>130</v>
      </c>
      <c r="BT1533" s="0" t="s">
        <v>130</v>
      </c>
      <c r="BU1533" s="0" t="s">
        <v>130</v>
      </c>
      <c r="BV1533" s="0" t="s">
        <v>130</v>
      </c>
      <c r="BW1533" s="0" t="s">
        <v>130</v>
      </c>
      <c r="BX1533" s="0" t="s">
        <v>130</v>
      </c>
      <c r="BY1533" s="0" t="s">
        <v>130</v>
      </c>
      <c r="BZ1533" s="0" t="s">
        <v>130</v>
      </c>
      <c r="CA1533" s="0" t="s">
        <v>130</v>
      </c>
      <c r="CB1533" s="0" t="s">
        <v>130</v>
      </c>
      <c r="CC1533" s="0" t="s">
        <v>130</v>
      </c>
      <c r="CD1533" s="0" t="s">
        <v>130</v>
      </c>
      <c r="CE1533" s="0" t="s">
        <v>130</v>
      </c>
      <c r="CF1533" s="0" t="s">
        <v>130</v>
      </c>
      <c r="CG1533" s="0" t="s">
        <v>130</v>
      </c>
      <c r="CH1533" s="0" t="s">
        <v>130</v>
      </c>
      <c r="CI1533" s="0" t="s">
        <v>141</v>
      </c>
      <c r="CJ1533" s="0" t="s">
        <v>130</v>
      </c>
      <c r="CK1533" s="0" t="s">
        <v>130</v>
      </c>
      <c r="CL1533" s="0" t="s">
        <v>130</v>
      </c>
      <c r="CM1533" s="0" t="s">
        <v>130</v>
      </c>
      <c r="CN1533" s="0" t="s">
        <v>130</v>
      </c>
      <c r="CO1533" s="0" t="s">
        <v>130</v>
      </c>
      <c r="CP1533" s="0" t="s">
        <v>130</v>
      </c>
      <c r="CQ1533" s="0" t="s">
        <v>130</v>
      </c>
      <c r="CR1533" s="0" t="s">
        <v>130</v>
      </c>
      <c r="CS1533" s="0" t="s">
        <v>130</v>
      </c>
      <c r="CT1533" s="0" t="s">
        <v>4437</v>
      </c>
    </row>
    <row r="1534">
      <c r="A1534" s="14">
        <v>18302043</v>
      </c>
      <c r="B1534" s="0" t="s">
        <v>4424</v>
      </c>
      <c r="C1534" s="16">
        <f>HYPERLINK("https://eosportal.federatedhermes.com/companies/Q29tcGFueQppNTg5ODI=", "Kinder Morgan Inc")</f>
      </c>
      <c r="D1534" s="0" t="s">
        <v>25</v>
      </c>
      <c r="E1534" s="0" t="s">
        <v>4438</v>
      </c>
      <c r="F1534" s="16">
        <f>HYPERLINK("https://eosportal.federatedhermes.com/engagements/RW5nYWdlbWVudAppMjg1MjE=", "Purpose/capital allocation focused on long term interest of company")</f>
      </c>
      <c r="G1534" s="14" t="s">
        <v>4439</v>
      </c>
      <c r="H1534" s="0" t="s">
        <v>141</v>
      </c>
      <c r="I1534" s="14" t="s">
        <v>191</v>
      </c>
      <c r="J1534" s="0" t="s">
        <v>132</v>
      </c>
      <c r="K1534" s="0" t="s">
        <v>133</v>
      </c>
      <c r="L1534" s="0" t="s">
        <v>134</v>
      </c>
      <c r="M1534" s="0" t="s">
        <v>135</v>
      </c>
      <c r="N1534" s="0" t="s">
        <v>136</v>
      </c>
      <c r="O1534" s="0" t="s">
        <v>542</v>
      </c>
      <c r="Q1534" s="0" t="s">
        <v>130</v>
      </c>
      <c r="R1534" s="0" t="s">
        <v>138</v>
      </c>
      <c r="S1534" s="14">
        <v>0</v>
      </c>
      <c r="T1534" s="0" t="s">
        <v>355</v>
      </c>
      <c r="U1534" s="0" t="s">
        <v>138</v>
      </c>
      <c r="V1534" s="14" t="s">
        <v>138</v>
      </c>
      <c r="W1534" s="0" t="s">
        <v>138</v>
      </c>
      <c r="X1534" s="14" t="s">
        <v>138</v>
      </c>
      <c r="Y1534" s="0" t="s">
        <v>138</v>
      </c>
      <c r="Z1534" s="14" t="s">
        <v>138</v>
      </c>
      <c r="AA1534" s="0" t="s">
        <v>138</v>
      </c>
      <c r="AB1534" s="14" t="s">
        <v>138</v>
      </c>
      <c r="AD1534" s="0" t="s">
        <v>138</v>
      </c>
      <c r="AF1534" s="0">
        <v>0</v>
      </c>
      <c r="AG1534" s="0">
        <v>0</v>
      </c>
      <c r="AH1534" s="0" t="s">
        <v>140</v>
      </c>
      <c r="AI1534" s="0" t="s">
        <v>138</v>
      </c>
      <c r="AL1534" s="14"/>
      <c r="AN1534" s="14"/>
      <c r="AQ1534" s="0" t="s">
        <v>130</v>
      </c>
      <c r="AR1534" s="0" t="s">
        <v>130</v>
      </c>
      <c r="AS1534" s="0" t="s">
        <v>130</v>
      </c>
      <c r="AT1534" s="0" t="s">
        <v>130</v>
      </c>
      <c r="AU1534" s="0" t="s">
        <v>130</v>
      </c>
      <c r="AV1534" s="0" t="s">
        <v>130</v>
      </c>
      <c r="AW1534" s="0" t="s">
        <v>130</v>
      </c>
      <c r="AX1534" s="0" t="s">
        <v>130</v>
      </c>
      <c r="AY1534" s="0" t="s">
        <v>130</v>
      </c>
      <c r="AZ1534" s="0" t="s">
        <v>130</v>
      </c>
      <c r="BA1534" s="0" t="s">
        <v>130</v>
      </c>
      <c r="BB1534" s="0" t="s">
        <v>141</v>
      </c>
      <c r="BC1534" s="0" t="s">
        <v>130</v>
      </c>
      <c r="BD1534" s="0" t="s">
        <v>130</v>
      </c>
      <c r="BE1534" s="0" t="s">
        <v>130</v>
      </c>
      <c r="BF1534" s="0" t="s">
        <v>130</v>
      </c>
      <c r="BG1534" s="0" t="s">
        <v>130</v>
      </c>
      <c r="BH1534" s="0" t="s">
        <v>130</v>
      </c>
      <c r="BI1534" s="0" t="s">
        <v>130</v>
      </c>
      <c r="BJ1534" s="0" t="s">
        <v>130</v>
      </c>
      <c r="BK1534" s="0" t="s">
        <v>130</v>
      </c>
      <c r="BL1534" s="0" t="s">
        <v>130</v>
      </c>
      <c r="BM1534" s="0" t="s">
        <v>130</v>
      </c>
      <c r="BN1534" s="0" t="s">
        <v>130</v>
      </c>
      <c r="BO1534" s="0" t="s">
        <v>130</v>
      </c>
      <c r="BP1534" s="0" t="s">
        <v>130</v>
      </c>
      <c r="BQ1534" s="0" t="s">
        <v>130</v>
      </c>
      <c r="BR1534" s="0" t="s">
        <v>130</v>
      </c>
      <c r="BS1534" s="0" t="s">
        <v>130</v>
      </c>
      <c r="BT1534" s="0" t="s">
        <v>130</v>
      </c>
      <c r="BU1534" s="0" t="s">
        <v>130</v>
      </c>
      <c r="BV1534" s="0" t="s">
        <v>130</v>
      </c>
      <c r="BW1534" s="0" t="s">
        <v>130</v>
      </c>
      <c r="BX1534" s="0" t="s">
        <v>130</v>
      </c>
      <c r="BY1534" s="0" t="s">
        <v>130</v>
      </c>
      <c r="BZ1534" s="0" t="s">
        <v>130</v>
      </c>
      <c r="CA1534" s="0" t="s">
        <v>130</v>
      </c>
      <c r="CB1534" s="0" t="s">
        <v>130</v>
      </c>
      <c r="CC1534" s="0" t="s">
        <v>130</v>
      </c>
      <c r="CD1534" s="0" t="s">
        <v>130</v>
      </c>
      <c r="CE1534" s="0" t="s">
        <v>130</v>
      </c>
      <c r="CF1534" s="0" t="s">
        <v>130</v>
      </c>
      <c r="CG1534" s="0" t="s">
        <v>130</v>
      </c>
      <c r="CH1534" s="0" t="s">
        <v>130</v>
      </c>
      <c r="CI1534" s="0" t="s">
        <v>130</v>
      </c>
      <c r="CJ1534" s="0" t="s">
        <v>130</v>
      </c>
      <c r="CK1534" s="0" t="s">
        <v>130</v>
      </c>
      <c r="CL1534" s="0" t="s">
        <v>130</v>
      </c>
      <c r="CM1534" s="0" t="s">
        <v>130</v>
      </c>
      <c r="CN1534" s="0" t="s">
        <v>130</v>
      </c>
      <c r="CO1534" s="0" t="s">
        <v>130</v>
      </c>
      <c r="CP1534" s="0" t="s">
        <v>130</v>
      </c>
      <c r="CQ1534" s="0" t="s">
        <v>130</v>
      </c>
      <c r="CR1534" s="0" t="s">
        <v>130</v>
      </c>
      <c r="CS1534" s="0" t="s">
        <v>130</v>
      </c>
      <c r="CT1534" s="0" t="s">
        <v>4440</v>
      </c>
    </row>
    <row r="1535">
      <c r="A1535" s="14">
        <v>18302043</v>
      </c>
      <c r="B1535" s="0" t="s">
        <v>4424</v>
      </c>
      <c r="C1535" s="16">
        <f>HYPERLINK("https://eosportal.federatedhermes.com/companies/Q29tcGFueQppNTg5ODI=", "Kinder Morgan Inc")</f>
      </c>
      <c r="D1535" s="0" t="s">
        <v>23</v>
      </c>
      <c r="E1535" s="0" t="s">
        <v>1903</v>
      </c>
      <c r="F1535" s="16">
        <f>HYPERLINK("https://eosportal.federatedhermes.com/engagements/RW5nYWdlbWVudAppMjg1Mjk=", "CEO shareholding requirements")</f>
      </c>
      <c r="G1535" s="14" t="s">
        <v>4441</v>
      </c>
      <c r="H1535" s="0" t="s">
        <v>141</v>
      </c>
      <c r="I1535" s="14" t="s">
        <v>191</v>
      </c>
      <c r="J1535" s="0" t="s">
        <v>145</v>
      </c>
      <c r="K1535" s="0" t="s">
        <v>146</v>
      </c>
      <c r="L1535" s="0" t="s">
        <v>147</v>
      </c>
      <c r="M1535" s="0" t="s">
        <v>135</v>
      </c>
      <c r="N1535" s="0" t="s">
        <v>136</v>
      </c>
      <c r="O1535" s="0" t="s">
        <v>542</v>
      </c>
      <c r="Q1535" s="0" t="s">
        <v>130</v>
      </c>
      <c r="R1535" s="0" t="s">
        <v>130</v>
      </c>
      <c r="S1535" s="14">
        <v>0</v>
      </c>
      <c r="T1535" s="0" t="s">
        <v>166</v>
      </c>
      <c r="U1535" s="0" t="s">
        <v>221</v>
      </c>
      <c r="V1535" s="14" t="s">
        <v>166</v>
      </c>
      <c r="W1535" s="0" t="s">
        <v>221</v>
      </c>
      <c r="X1535" s="14" t="s">
        <v>222</v>
      </c>
      <c r="Y1535" s="0" t="s">
        <v>221</v>
      </c>
      <c r="Z1535" s="14" t="s">
        <v>4412</v>
      </c>
      <c r="AA1535" s="0" t="s">
        <v>223</v>
      </c>
      <c r="AB1535" s="14" t="s">
        <v>138</v>
      </c>
      <c r="AD1535" s="0" t="s">
        <v>20</v>
      </c>
      <c r="AF1535" s="0">
        <v>0</v>
      </c>
      <c r="AG1535" s="0">
        <v>0</v>
      </c>
      <c r="AH1535" s="0" t="s">
        <v>140</v>
      </c>
      <c r="AI1535" s="0" t="s">
        <v>225</v>
      </c>
      <c r="AL1535" s="14"/>
      <c r="AN1535" s="14"/>
      <c r="AQ1535" s="0" t="s">
        <v>130</v>
      </c>
      <c r="AR1535" s="0" t="s">
        <v>130</v>
      </c>
      <c r="AS1535" s="0" t="s">
        <v>130</v>
      </c>
      <c r="AT1535" s="0" t="s">
        <v>130</v>
      </c>
      <c r="AU1535" s="0" t="s">
        <v>130</v>
      </c>
      <c r="AV1535" s="0" t="s">
        <v>130</v>
      </c>
      <c r="AW1535" s="0" t="s">
        <v>130</v>
      </c>
      <c r="AX1535" s="0" t="s">
        <v>130</v>
      </c>
      <c r="AY1535" s="0" t="s">
        <v>130</v>
      </c>
      <c r="AZ1535" s="0" t="s">
        <v>130</v>
      </c>
      <c r="BA1535" s="0" t="s">
        <v>130</v>
      </c>
      <c r="BB1535" s="0" t="s">
        <v>130</v>
      </c>
      <c r="BC1535" s="0" t="s">
        <v>130</v>
      </c>
      <c r="BD1535" s="0" t="s">
        <v>130</v>
      </c>
      <c r="BE1535" s="0" t="s">
        <v>130</v>
      </c>
      <c r="BF1535" s="0" t="s">
        <v>130</v>
      </c>
      <c r="BG1535" s="0" t="s">
        <v>130</v>
      </c>
      <c r="BH1535" s="0" t="s">
        <v>130</v>
      </c>
      <c r="BI1535" s="0" t="s">
        <v>130</v>
      </c>
      <c r="BJ1535" s="0" t="s">
        <v>130</v>
      </c>
      <c r="BK1535" s="0" t="s">
        <v>130</v>
      </c>
      <c r="BL1535" s="0" t="s">
        <v>130</v>
      </c>
      <c r="BM1535" s="0" t="s">
        <v>130</v>
      </c>
      <c r="BN1535" s="0" t="s">
        <v>130</v>
      </c>
      <c r="BO1535" s="0" t="s">
        <v>130</v>
      </c>
      <c r="BP1535" s="0" t="s">
        <v>130</v>
      </c>
      <c r="BQ1535" s="0" t="s">
        <v>130</v>
      </c>
      <c r="BR1535" s="0" t="s">
        <v>130</v>
      </c>
      <c r="BS1535" s="0" t="s">
        <v>130</v>
      </c>
      <c r="BT1535" s="0" t="s">
        <v>130</v>
      </c>
      <c r="BU1535" s="0" t="s">
        <v>130</v>
      </c>
      <c r="BV1535" s="0" t="s">
        <v>130</v>
      </c>
      <c r="BW1535" s="0" t="s">
        <v>130</v>
      </c>
      <c r="BX1535" s="0" t="s">
        <v>130</v>
      </c>
      <c r="BY1535" s="0" t="s">
        <v>130</v>
      </c>
      <c r="BZ1535" s="0" t="s">
        <v>130</v>
      </c>
      <c r="CA1535" s="0" t="s">
        <v>130</v>
      </c>
      <c r="CB1535" s="0" t="s">
        <v>130</v>
      </c>
      <c r="CC1535" s="0" t="s">
        <v>130</v>
      </c>
      <c r="CD1535" s="0" t="s">
        <v>130</v>
      </c>
      <c r="CE1535" s="0" t="s">
        <v>130</v>
      </c>
      <c r="CF1535" s="0" t="s">
        <v>130</v>
      </c>
      <c r="CG1535" s="0" t="s">
        <v>130</v>
      </c>
      <c r="CH1535" s="0" t="s">
        <v>130</v>
      </c>
      <c r="CI1535" s="0" t="s">
        <v>130</v>
      </c>
      <c r="CJ1535" s="0" t="s">
        <v>130</v>
      </c>
      <c r="CK1535" s="0" t="s">
        <v>130</v>
      </c>
      <c r="CL1535" s="0" t="s">
        <v>130</v>
      </c>
      <c r="CM1535" s="0" t="s">
        <v>130</v>
      </c>
      <c r="CN1535" s="0" t="s">
        <v>130</v>
      </c>
      <c r="CO1535" s="0" t="s">
        <v>130</v>
      </c>
      <c r="CP1535" s="0" t="s">
        <v>130</v>
      </c>
      <c r="CQ1535" s="0" t="s">
        <v>130</v>
      </c>
      <c r="CR1535" s="0" t="s">
        <v>130</v>
      </c>
      <c r="CS1535" s="0" t="s">
        <v>130</v>
      </c>
      <c r="CT1535" s="0" t="s">
        <v>4442</v>
      </c>
    </row>
    <row r="1536">
      <c r="A1536" s="14">
        <v>18302043</v>
      </c>
      <c r="B1536" s="0" t="s">
        <v>4424</v>
      </c>
      <c r="C1536" s="16">
        <f>HYPERLINK("https://eosportal.federatedhermes.com/companies/Q29tcGFueQppNTg5ODI=", "Kinder Morgan Inc")</f>
      </c>
      <c r="D1536" s="0" t="s">
        <v>25</v>
      </c>
      <c r="E1536" s="0" t="s">
        <v>4443</v>
      </c>
      <c r="F1536" s="16">
        <f>HYPERLINK("https://eosportal.federatedhermes.com/engagements/RW5nYWdlbWVudAppMjg1MzI=", "Scope 3 baseline")</f>
      </c>
      <c r="G1536" s="14" t="s">
        <v>4444</v>
      </c>
      <c r="H1536" s="0" t="s">
        <v>141</v>
      </c>
      <c r="I1536" s="14" t="s">
        <v>191</v>
      </c>
      <c r="J1536" s="0" t="s">
        <v>197</v>
      </c>
      <c r="K1536" s="0" t="s">
        <v>198</v>
      </c>
      <c r="L1536" s="0" t="s">
        <v>199</v>
      </c>
      <c r="M1536" s="0" t="s">
        <v>135</v>
      </c>
      <c r="N1536" s="0" t="s">
        <v>136</v>
      </c>
      <c r="O1536" s="0" t="s">
        <v>542</v>
      </c>
      <c r="Q1536" s="0" t="s">
        <v>130</v>
      </c>
      <c r="R1536" s="0" t="s">
        <v>138</v>
      </c>
      <c r="S1536" s="14">
        <v>0</v>
      </c>
      <c r="T1536" s="0" t="s">
        <v>394</v>
      </c>
      <c r="U1536" s="0" t="s">
        <v>138</v>
      </c>
      <c r="V1536" s="14" t="s">
        <v>138</v>
      </c>
      <c r="W1536" s="0" t="s">
        <v>138</v>
      </c>
      <c r="X1536" s="14" t="s">
        <v>138</v>
      </c>
      <c r="Y1536" s="0" t="s">
        <v>138</v>
      </c>
      <c r="Z1536" s="14" t="s">
        <v>138</v>
      </c>
      <c r="AA1536" s="0" t="s">
        <v>138</v>
      </c>
      <c r="AB1536" s="14" t="s">
        <v>138</v>
      </c>
      <c r="AD1536" s="0" t="s">
        <v>138</v>
      </c>
      <c r="AF1536" s="0">
        <v>0</v>
      </c>
      <c r="AG1536" s="0">
        <v>0</v>
      </c>
      <c r="AH1536" s="0" t="s">
        <v>140</v>
      </c>
      <c r="AI1536" s="0" t="s">
        <v>138</v>
      </c>
      <c r="AL1536" s="14"/>
      <c r="AN1536" s="14"/>
      <c r="AQ1536" s="0" t="s">
        <v>130</v>
      </c>
      <c r="AR1536" s="0" t="s">
        <v>130</v>
      </c>
      <c r="AS1536" s="0" t="s">
        <v>130</v>
      </c>
      <c r="AT1536" s="0" t="s">
        <v>130</v>
      </c>
      <c r="AU1536" s="0" t="s">
        <v>130</v>
      </c>
      <c r="AV1536" s="0" t="s">
        <v>130</v>
      </c>
      <c r="AW1536" s="0" t="s">
        <v>130</v>
      </c>
      <c r="AX1536" s="0" t="s">
        <v>130</v>
      </c>
      <c r="AY1536" s="0" t="s">
        <v>130</v>
      </c>
      <c r="AZ1536" s="0" t="s">
        <v>130</v>
      </c>
      <c r="BA1536" s="0" t="s">
        <v>130</v>
      </c>
      <c r="BB1536" s="0" t="s">
        <v>141</v>
      </c>
      <c r="BC1536" s="0" t="s">
        <v>130</v>
      </c>
      <c r="BD1536" s="0" t="s">
        <v>130</v>
      </c>
      <c r="BE1536" s="0" t="s">
        <v>130</v>
      </c>
      <c r="BF1536" s="0" t="s">
        <v>130</v>
      </c>
      <c r="BG1536" s="0" t="s">
        <v>130</v>
      </c>
      <c r="BH1536" s="0" t="s">
        <v>130</v>
      </c>
      <c r="BI1536" s="0" t="s">
        <v>130</v>
      </c>
      <c r="BJ1536" s="0" t="s">
        <v>130</v>
      </c>
      <c r="BK1536" s="0" t="s">
        <v>130</v>
      </c>
      <c r="BL1536" s="0" t="s">
        <v>130</v>
      </c>
      <c r="BM1536" s="0" t="s">
        <v>130</v>
      </c>
      <c r="BN1536" s="0" t="s">
        <v>130</v>
      </c>
      <c r="BO1536" s="0" t="s">
        <v>130</v>
      </c>
      <c r="BP1536" s="0" t="s">
        <v>130</v>
      </c>
      <c r="BQ1536" s="0" t="s">
        <v>130</v>
      </c>
      <c r="BR1536" s="0" t="s">
        <v>130</v>
      </c>
      <c r="BS1536" s="0" t="s">
        <v>130</v>
      </c>
      <c r="BT1536" s="0" t="s">
        <v>130</v>
      </c>
      <c r="BU1536" s="0" t="s">
        <v>130</v>
      </c>
      <c r="BV1536" s="0" t="s">
        <v>130</v>
      </c>
      <c r="BW1536" s="0" t="s">
        <v>130</v>
      </c>
      <c r="BX1536" s="0" t="s">
        <v>130</v>
      </c>
      <c r="BY1536" s="0" t="s">
        <v>130</v>
      </c>
      <c r="BZ1536" s="0" t="s">
        <v>130</v>
      </c>
      <c r="CA1536" s="0" t="s">
        <v>130</v>
      </c>
      <c r="CB1536" s="0" t="s">
        <v>130</v>
      </c>
      <c r="CC1536" s="0" t="s">
        <v>130</v>
      </c>
      <c r="CD1536" s="0" t="s">
        <v>130</v>
      </c>
      <c r="CE1536" s="0" t="s">
        <v>130</v>
      </c>
      <c r="CF1536" s="0" t="s">
        <v>130</v>
      </c>
      <c r="CG1536" s="0" t="s">
        <v>130</v>
      </c>
      <c r="CH1536" s="0" t="s">
        <v>130</v>
      </c>
      <c r="CI1536" s="0" t="s">
        <v>130</v>
      </c>
      <c r="CJ1536" s="0" t="s">
        <v>130</v>
      </c>
      <c r="CK1536" s="0" t="s">
        <v>130</v>
      </c>
      <c r="CL1536" s="0" t="s">
        <v>130</v>
      </c>
      <c r="CM1536" s="0" t="s">
        <v>130</v>
      </c>
      <c r="CN1536" s="0" t="s">
        <v>130</v>
      </c>
      <c r="CO1536" s="0" t="s">
        <v>130</v>
      </c>
      <c r="CP1536" s="0" t="s">
        <v>130</v>
      </c>
      <c r="CQ1536" s="0" t="s">
        <v>130</v>
      </c>
      <c r="CR1536" s="0" t="s">
        <v>130</v>
      </c>
      <c r="CS1536" s="0" t="s">
        <v>130</v>
      </c>
      <c r="CT1536" s="0" t="s">
        <v>4445</v>
      </c>
    </row>
    <row r="1537">
      <c r="A1537" s="14">
        <v>18302043</v>
      </c>
      <c r="B1537" s="0" t="s">
        <v>4424</v>
      </c>
      <c r="C1537" s="16">
        <f>HYPERLINK("https://eosportal.federatedhermes.com/companies/Q29tcGFueQppNTg5ODI=", "Kinder Morgan Inc")</f>
      </c>
      <c r="D1537" s="0" t="s">
        <v>25</v>
      </c>
      <c r="E1537" s="0" t="s">
        <v>4446</v>
      </c>
      <c r="F1537" s="16">
        <f>HYPERLINK("https://eosportal.federatedhermes.com/engagements/RW5nYWdlbWVudAppMjg1MzM=", "Climate change scenario reporting")</f>
      </c>
      <c r="G1537" s="14" t="s">
        <v>4447</v>
      </c>
      <c r="H1537" s="0" t="s">
        <v>141</v>
      </c>
      <c r="I1537" s="14" t="s">
        <v>191</v>
      </c>
      <c r="J1537" s="0" t="s">
        <v>197</v>
      </c>
      <c r="K1537" s="0" t="s">
        <v>198</v>
      </c>
      <c r="L1537" s="0" t="s">
        <v>199</v>
      </c>
      <c r="M1537" s="0" t="s">
        <v>135</v>
      </c>
      <c r="N1537" s="0" t="s">
        <v>136</v>
      </c>
      <c r="O1537" s="0" t="s">
        <v>542</v>
      </c>
      <c r="Q1537" s="0" t="s">
        <v>130</v>
      </c>
      <c r="R1537" s="0" t="s">
        <v>138</v>
      </c>
      <c r="S1537" s="14">
        <v>0</v>
      </c>
      <c r="T1537" s="0" t="s">
        <v>239</v>
      </c>
      <c r="U1537" s="0" t="s">
        <v>138</v>
      </c>
      <c r="V1537" s="14" t="s">
        <v>138</v>
      </c>
      <c r="W1537" s="0" t="s">
        <v>138</v>
      </c>
      <c r="X1537" s="14" t="s">
        <v>138</v>
      </c>
      <c r="Y1537" s="0" t="s">
        <v>138</v>
      </c>
      <c r="Z1537" s="14" t="s">
        <v>138</v>
      </c>
      <c r="AA1537" s="0" t="s">
        <v>138</v>
      </c>
      <c r="AB1537" s="14" t="s">
        <v>138</v>
      </c>
      <c r="AD1537" s="0" t="s">
        <v>138</v>
      </c>
      <c r="AF1537" s="0">
        <v>0</v>
      </c>
      <c r="AG1537" s="0">
        <v>0</v>
      </c>
      <c r="AH1537" s="0" t="s">
        <v>140</v>
      </c>
      <c r="AI1537" s="0" t="s">
        <v>138</v>
      </c>
      <c r="AL1537" s="14"/>
      <c r="AN1537" s="14"/>
      <c r="AQ1537" s="0" t="s">
        <v>130</v>
      </c>
      <c r="AR1537" s="0" t="s">
        <v>130</v>
      </c>
      <c r="AS1537" s="0" t="s">
        <v>130</v>
      </c>
      <c r="AT1537" s="0" t="s">
        <v>130</v>
      </c>
      <c r="AU1537" s="0" t="s">
        <v>130</v>
      </c>
      <c r="AV1537" s="0" t="s">
        <v>130</v>
      </c>
      <c r="AW1537" s="0" t="s">
        <v>130</v>
      </c>
      <c r="AX1537" s="0" t="s">
        <v>130</v>
      </c>
      <c r="AY1537" s="0" t="s">
        <v>130</v>
      </c>
      <c r="AZ1537" s="0" t="s">
        <v>130</v>
      </c>
      <c r="BA1537" s="0" t="s">
        <v>130</v>
      </c>
      <c r="BB1537" s="0" t="s">
        <v>141</v>
      </c>
      <c r="BC1537" s="0" t="s">
        <v>130</v>
      </c>
      <c r="BD1537" s="0" t="s">
        <v>130</v>
      </c>
      <c r="BE1537" s="0" t="s">
        <v>130</v>
      </c>
      <c r="BF1537" s="0" t="s">
        <v>130</v>
      </c>
      <c r="BG1537" s="0" t="s">
        <v>130</v>
      </c>
      <c r="BH1537" s="0" t="s">
        <v>130</v>
      </c>
      <c r="BI1537" s="0" t="s">
        <v>130</v>
      </c>
      <c r="BJ1537" s="0" t="s">
        <v>130</v>
      </c>
      <c r="BK1537" s="0" t="s">
        <v>130</v>
      </c>
      <c r="BL1537" s="0" t="s">
        <v>130</v>
      </c>
      <c r="BM1537" s="0" t="s">
        <v>130</v>
      </c>
      <c r="BN1537" s="0" t="s">
        <v>130</v>
      </c>
      <c r="BO1537" s="0" t="s">
        <v>130</v>
      </c>
      <c r="BP1537" s="0" t="s">
        <v>130</v>
      </c>
      <c r="BQ1537" s="0" t="s">
        <v>130</v>
      </c>
      <c r="BR1537" s="0" t="s">
        <v>130</v>
      </c>
      <c r="BS1537" s="0" t="s">
        <v>130</v>
      </c>
      <c r="BT1537" s="0" t="s">
        <v>130</v>
      </c>
      <c r="BU1537" s="0" t="s">
        <v>130</v>
      </c>
      <c r="BV1537" s="0" t="s">
        <v>130</v>
      </c>
      <c r="BW1537" s="0" t="s">
        <v>130</v>
      </c>
      <c r="BX1537" s="0" t="s">
        <v>130</v>
      </c>
      <c r="BY1537" s="0" t="s">
        <v>130</v>
      </c>
      <c r="BZ1537" s="0" t="s">
        <v>130</v>
      </c>
      <c r="CA1537" s="0" t="s">
        <v>130</v>
      </c>
      <c r="CB1537" s="0" t="s">
        <v>130</v>
      </c>
      <c r="CC1537" s="0" t="s">
        <v>130</v>
      </c>
      <c r="CD1537" s="0" t="s">
        <v>130</v>
      </c>
      <c r="CE1537" s="0" t="s">
        <v>130</v>
      </c>
      <c r="CF1537" s="0" t="s">
        <v>130</v>
      </c>
      <c r="CG1537" s="0" t="s">
        <v>130</v>
      </c>
      <c r="CH1537" s="0" t="s">
        <v>130</v>
      </c>
      <c r="CI1537" s="0" t="s">
        <v>130</v>
      </c>
      <c r="CJ1537" s="0" t="s">
        <v>130</v>
      </c>
      <c r="CK1537" s="0" t="s">
        <v>130</v>
      </c>
      <c r="CL1537" s="0" t="s">
        <v>130</v>
      </c>
      <c r="CM1537" s="0" t="s">
        <v>130</v>
      </c>
      <c r="CN1537" s="0" t="s">
        <v>130</v>
      </c>
      <c r="CO1537" s="0" t="s">
        <v>130</v>
      </c>
      <c r="CP1537" s="0" t="s">
        <v>130</v>
      </c>
      <c r="CQ1537" s="0" t="s">
        <v>130</v>
      </c>
      <c r="CR1537" s="0" t="s">
        <v>130</v>
      </c>
      <c r="CS1537" s="0" t="s">
        <v>130</v>
      </c>
      <c r="CT1537" s="0" t="s">
        <v>4448</v>
      </c>
    </row>
    <row r="1538">
      <c r="A1538" s="14">
        <v>18302043</v>
      </c>
      <c r="B1538" s="0" t="s">
        <v>4424</v>
      </c>
      <c r="C1538" s="16">
        <f>HYPERLINK("https://eosportal.federatedhermes.com/companies/Q29tcGFueQppNTg5ODI=", "Kinder Morgan Inc")</f>
      </c>
      <c r="D1538" s="0" t="s">
        <v>25</v>
      </c>
      <c r="E1538" s="0" t="s">
        <v>4449</v>
      </c>
      <c r="F1538" s="16">
        <f>HYPERLINK("https://eosportal.federatedhermes.com/engagements/RW5nYWdlbWVudAppMjg1MzQ=", "Obtain director level engagement")</f>
      </c>
      <c r="G1538" s="14" t="s">
        <v>4450</v>
      </c>
      <c r="H1538" s="0" t="s">
        <v>141</v>
      </c>
      <c r="I1538" s="14" t="s">
        <v>191</v>
      </c>
      <c r="J1538" s="0" t="s">
        <v>145</v>
      </c>
      <c r="K1538" s="0" t="s">
        <v>400</v>
      </c>
      <c r="L1538" s="0" t="s">
        <v>401</v>
      </c>
      <c r="M1538" s="0" t="s">
        <v>135</v>
      </c>
      <c r="N1538" s="0" t="s">
        <v>136</v>
      </c>
      <c r="O1538" s="0" t="s">
        <v>542</v>
      </c>
      <c r="Q1538" s="0" t="s">
        <v>130</v>
      </c>
      <c r="R1538" s="0" t="s">
        <v>138</v>
      </c>
      <c r="S1538" s="14">
        <v>0</v>
      </c>
      <c r="T1538" s="0" t="s">
        <v>394</v>
      </c>
      <c r="U1538" s="0" t="s">
        <v>138</v>
      </c>
      <c r="V1538" s="14" t="s">
        <v>138</v>
      </c>
      <c r="W1538" s="0" t="s">
        <v>138</v>
      </c>
      <c r="X1538" s="14" t="s">
        <v>138</v>
      </c>
      <c r="Y1538" s="0" t="s">
        <v>138</v>
      </c>
      <c r="Z1538" s="14" t="s">
        <v>138</v>
      </c>
      <c r="AA1538" s="0" t="s">
        <v>138</v>
      </c>
      <c r="AB1538" s="14" t="s">
        <v>138</v>
      </c>
      <c r="AD1538" s="0" t="s">
        <v>138</v>
      </c>
      <c r="AF1538" s="0">
        <v>0</v>
      </c>
      <c r="AG1538" s="0">
        <v>0</v>
      </c>
      <c r="AH1538" s="0" t="s">
        <v>140</v>
      </c>
      <c r="AI1538" s="0" t="s">
        <v>138</v>
      </c>
      <c r="AL1538" s="14"/>
      <c r="AN1538" s="14"/>
      <c r="AQ1538" s="0" t="s">
        <v>130</v>
      </c>
      <c r="AR1538" s="0" t="s">
        <v>130</v>
      </c>
      <c r="AS1538" s="0" t="s">
        <v>130</v>
      </c>
      <c r="AT1538" s="0" t="s">
        <v>130</v>
      </c>
      <c r="AU1538" s="0" t="s">
        <v>130</v>
      </c>
      <c r="AV1538" s="0" t="s">
        <v>130</v>
      </c>
      <c r="AW1538" s="0" t="s">
        <v>130</v>
      </c>
      <c r="AX1538" s="0" t="s">
        <v>130</v>
      </c>
      <c r="AY1538" s="0" t="s">
        <v>130</v>
      </c>
      <c r="AZ1538" s="0" t="s">
        <v>130</v>
      </c>
      <c r="BA1538" s="0" t="s">
        <v>130</v>
      </c>
      <c r="BB1538" s="0" t="s">
        <v>130</v>
      </c>
      <c r="BC1538" s="0" t="s">
        <v>130</v>
      </c>
      <c r="BD1538" s="0" t="s">
        <v>130</v>
      </c>
      <c r="BE1538" s="0" t="s">
        <v>130</v>
      </c>
      <c r="BF1538" s="0" t="s">
        <v>130</v>
      </c>
      <c r="BG1538" s="0" t="s">
        <v>130</v>
      </c>
      <c r="BH1538" s="0" t="s">
        <v>130</v>
      </c>
      <c r="BI1538" s="0" t="s">
        <v>130</v>
      </c>
      <c r="BJ1538" s="0" t="s">
        <v>130</v>
      </c>
      <c r="BK1538" s="0" t="s">
        <v>130</v>
      </c>
      <c r="BL1538" s="0" t="s">
        <v>130</v>
      </c>
      <c r="BM1538" s="0" t="s">
        <v>130</v>
      </c>
      <c r="BN1538" s="0" t="s">
        <v>130</v>
      </c>
      <c r="BO1538" s="0" t="s">
        <v>130</v>
      </c>
      <c r="BP1538" s="0" t="s">
        <v>130</v>
      </c>
      <c r="BQ1538" s="0" t="s">
        <v>130</v>
      </c>
      <c r="BR1538" s="0" t="s">
        <v>130</v>
      </c>
      <c r="BS1538" s="0" t="s">
        <v>130</v>
      </c>
      <c r="BT1538" s="0" t="s">
        <v>130</v>
      </c>
      <c r="BU1538" s="0" t="s">
        <v>130</v>
      </c>
      <c r="BV1538" s="0" t="s">
        <v>130</v>
      </c>
      <c r="BW1538" s="0" t="s">
        <v>130</v>
      </c>
      <c r="BX1538" s="0" t="s">
        <v>130</v>
      </c>
      <c r="BY1538" s="0" t="s">
        <v>130</v>
      </c>
      <c r="BZ1538" s="0" t="s">
        <v>130</v>
      </c>
      <c r="CA1538" s="0" t="s">
        <v>130</v>
      </c>
      <c r="CB1538" s="0" t="s">
        <v>130</v>
      </c>
      <c r="CC1538" s="0" t="s">
        <v>130</v>
      </c>
      <c r="CD1538" s="0" t="s">
        <v>130</v>
      </c>
      <c r="CE1538" s="0" t="s">
        <v>130</v>
      </c>
      <c r="CF1538" s="0" t="s">
        <v>130</v>
      </c>
      <c r="CG1538" s="0" t="s">
        <v>130</v>
      </c>
      <c r="CH1538" s="0" t="s">
        <v>130</v>
      </c>
      <c r="CI1538" s="0" t="s">
        <v>130</v>
      </c>
      <c r="CJ1538" s="0" t="s">
        <v>130</v>
      </c>
      <c r="CK1538" s="0" t="s">
        <v>130</v>
      </c>
      <c r="CL1538" s="0" t="s">
        <v>130</v>
      </c>
      <c r="CM1538" s="0" t="s">
        <v>130</v>
      </c>
      <c r="CN1538" s="0" t="s">
        <v>130</v>
      </c>
      <c r="CO1538" s="0" t="s">
        <v>130</v>
      </c>
      <c r="CP1538" s="0" t="s">
        <v>130</v>
      </c>
      <c r="CQ1538" s="0" t="s">
        <v>130</v>
      </c>
      <c r="CR1538" s="0" t="s">
        <v>130</v>
      </c>
      <c r="CS1538" s="0" t="s">
        <v>130</v>
      </c>
      <c r="CT1538" s="0" t="s">
        <v>4451</v>
      </c>
    </row>
    <row r="1539">
      <c r="A1539" s="14">
        <v>18302043</v>
      </c>
      <c r="B1539" s="0" t="s">
        <v>4424</v>
      </c>
      <c r="C1539" s="16">
        <f>HYPERLINK("https://eosportal.federatedhermes.com/companies/Q29tcGFueQppNTg5ODI=", "Kinder Morgan Inc")</f>
      </c>
      <c r="D1539" s="0" t="s">
        <v>25</v>
      </c>
      <c r="E1539" s="0" t="s">
        <v>4452</v>
      </c>
      <c r="F1539" s="16">
        <f>HYPERLINK("https://eosportal.federatedhermes.com/engagements/RW5nYWdlbWVudAppMjg1MzU=", "CCUS risk and diclosure")</f>
      </c>
      <c r="G1539" s="14" t="s">
        <v>4453</v>
      </c>
      <c r="H1539" s="0" t="s">
        <v>141</v>
      </c>
      <c r="I1539" s="14" t="s">
        <v>191</v>
      </c>
      <c r="J1539" s="0" t="s">
        <v>197</v>
      </c>
      <c r="K1539" s="0" t="s">
        <v>198</v>
      </c>
      <c r="L1539" s="0" t="s">
        <v>199</v>
      </c>
      <c r="M1539" s="0" t="s">
        <v>135</v>
      </c>
      <c r="N1539" s="0" t="s">
        <v>136</v>
      </c>
      <c r="O1539" s="0" t="s">
        <v>542</v>
      </c>
      <c r="Q1539" s="0" t="s">
        <v>130</v>
      </c>
      <c r="R1539" s="0" t="s">
        <v>138</v>
      </c>
      <c r="S1539" s="14">
        <v>0</v>
      </c>
      <c r="T1539" s="0" t="s">
        <v>583</v>
      </c>
      <c r="U1539" s="0" t="s">
        <v>138</v>
      </c>
      <c r="V1539" s="14" t="s">
        <v>138</v>
      </c>
      <c r="W1539" s="0" t="s">
        <v>138</v>
      </c>
      <c r="X1539" s="14" t="s">
        <v>138</v>
      </c>
      <c r="Y1539" s="0" t="s">
        <v>138</v>
      </c>
      <c r="Z1539" s="14" t="s">
        <v>138</v>
      </c>
      <c r="AA1539" s="0" t="s">
        <v>138</v>
      </c>
      <c r="AB1539" s="14" t="s">
        <v>138</v>
      </c>
      <c r="AD1539" s="0" t="s">
        <v>138</v>
      </c>
      <c r="AF1539" s="0">
        <v>0</v>
      </c>
      <c r="AG1539" s="0">
        <v>0</v>
      </c>
      <c r="AH1539" s="0" t="s">
        <v>140</v>
      </c>
      <c r="AI1539" s="0" t="s">
        <v>138</v>
      </c>
      <c r="AL1539" s="14"/>
      <c r="AN1539" s="14"/>
      <c r="AQ1539" s="0" t="s">
        <v>130</v>
      </c>
      <c r="AR1539" s="0" t="s">
        <v>130</v>
      </c>
      <c r="AS1539" s="0" t="s">
        <v>130</v>
      </c>
      <c r="AT1539" s="0" t="s">
        <v>130</v>
      </c>
      <c r="AU1539" s="0" t="s">
        <v>130</v>
      </c>
      <c r="AV1539" s="0" t="s">
        <v>130</v>
      </c>
      <c r="AW1539" s="0" t="s">
        <v>130</v>
      </c>
      <c r="AX1539" s="0" t="s">
        <v>130</v>
      </c>
      <c r="AY1539" s="0" t="s">
        <v>130</v>
      </c>
      <c r="AZ1539" s="0" t="s">
        <v>130</v>
      </c>
      <c r="BA1539" s="0" t="s">
        <v>130</v>
      </c>
      <c r="BB1539" s="0" t="s">
        <v>141</v>
      </c>
      <c r="BC1539" s="0" t="s">
        <v>130</v>
      </c>
      <c r="BD1539" s="0" t="s">
        <v>130</v>
      </c>
      <c r="BE1539" s="0" t="s">
        <v>130</v>
      </c>
      <c r="BF1539" s="0" t="s">
        <v>130</v>
      </c>
      <c r="BG1539" s="0" t="s">
        <v>130</v>
      </c>
      <c r="BH1539" s="0" t="s">
        <v>130</v>
      </c>
      <c r="BI1539" s="0" t="s">
        <v>130</v>
      </c>
      <c r="BJ1539" s="0" t="s">
        <v>130</v>
      </c>
      <c r="BK1539" s="0" t="s">
        <v>130</v>
      </c>
      <c r="BL1539" s="0" t="s">
        <v>130</v>
      </c>
      <c r="BM1539" s="0" t="s">
        <v>130</v>
      </c>
      <c r="BN1539" s="0" t="s">
        <v>130</v>
      </c>
      <c r="BO1539" s="0" t="s">
        <v>130</v>
      </c>
      <c r="BP1539" s="0" t="s">
        <v>130</v>
      </c>
      <c r="BQ1539" s="0" t="s">
        <v>130</v>
      </c>
      <c r="BR1539" s="0" t="s">
        <v>130</v>
      </c>
      <c r="BS1539" s="0" t="s">
        <v>130</v>
      </c>
      <c r="BT1539" s="0" t="s">
        <v>130</v>
      </c>
      <c r="BU1539" s="0" t="s">
        <v>130</v>
      </c>
      <c r="BV1539" s="0" t="s">
        <v>130</v>
      </c>
      <c r="BW1539" s="0" t="s">
        <v>130</v>
      </c>
      <c r="BX1539" s="0" t="s">
        <v>130</v>
      </c>
      <c r="BY1539" s="0" t="s">
        <v>130</v>
      </c>
      <c r="BZ1539" s="0" t="s">
        <v>130</v>
      </c>
      <c r="CA1539" s="0" t="s">
        <v>130</v>
      </c>
      <c r="CB1539" s="0" t="s">
        <v>130</v>
      </c>
      <c r="CC1539" s="0" t="s">
        <v>130</v>
      </c>
      <c r="CD1539" s="0" t="s">
        <v>130</v>
      </c>
      <c r="CE1539" s="0" t="s">
        <v>130</v>
      </c>
      <c r="CF1539" s="0" t="s">
        <v>130</v>
      </c>
      <c r="CG1539" s="0" t="s">
        <v>130</v>
      </c>
      <c r="CH1539" s="0" t="s">
        <v>130</v>
      </c>
      <c r="CI1539" s="0" t="s">
        <v>130</v>
      </c>
      <c r="CJ1539" s="0" t="s">
        <v>130</v>
      </c>
      <c r="CK1539" s="0" t="s">
        <v>130</v>
      </c>
      <c r="CL1539" s="0" t="s">
        <v>130</v>
      </c>
      <c r="CM1539" s="0" t="s">
        <v>130</v>
      </c>
      <c r="CN1539" s="0" t="s">
        <v>130</v>
      </c>
      <c r="CO1539" s="0" t="s">
        <v>130</v>
      </c>
      <c r="CP1539" s="0" t="s">
        <v>130</v>
      </c>
      <c r="CQ1539" s="0" t="s">
        <v>130</v>
      </c>
      <c r="CR1539" s="0" t="s">
        <v>130</v>
      </c>
      <c r="CS1539" s="0" t="s">
        <v>130</v>
      </c>
      <c r="CT1539" s="0" t="s">
        <v>4454</v>
      </c>
    </row>
    <row r="1540">
      <c r="A1540" s="14">
        <v>18302043</v>
      </c>
      <c r="B1540" s="0" t="s">
        <v>4424</v>
      </c>
      <c r="C1540" s="16">
        <f>HYPERLINK("https://eosportal.federatedhermes.com/companies/Q29tcGFueQppNTg5ODI=", "Kinder Morgan Inc")</f>
      </c>
      <c r="D1540" s="0" t="s">
        <v>25</v>
      </c>
      <c r="E1540" s="0" t="s">
        <v>4455</v>
      </c>
      <c r="F1540" s="16">
        <f>HYPERLINK("https://eosportal.federatedhermes.com/engagements/RW5nYWdlbWVudAppMjg1MzY=", "Methane reporting")</f>
      </c>
      <c r="G1540" s="14" t="s">
        <v>4456</v>
      </c>
      <c r="H1540" s="0" t="s">
        <v>141</v>
      </c>
      <c r="I1540" s="14" t="s">
        <v>191</v>
      </c>
      <c r="J1540" s="0" t="s">
        <v>197</v>
      </c>
      <c r="K1540" s="0" t="s">
        <v>198</v>
      </c>
      <c r="L1540" s="0" t="s">
        <v>199</v>
      </c>
      <c r="M1540" s="0" t="s">
        <v>135</v>
      </c>
      <c r="N1540" s="0" t="s">
        <v>136</v>
      </c>
      <c r="O1540" s="0" t="s">
        <v>542</v>
      </c>
      <c r="Q1540" s="0" t="s">
        <v>130</v>
      </c>
      <c r="R1540" s="0" t="s">
        <v>138</v>
      </c>
      <c r="S1540" s="14">
        <v>0</v>
      </c>
      <c r="T1540" s="0" t="s">
        <v>487</v>
      </c>
      <c r="U1540" s="0" t="s">
        <v>138</v>
      </c>
      <c r="V1540" s="14" t="s">
        <v>138</v>
      </c>
      <c r="W1540" s="0" t="s">
        <v>138</v>
      </c>
      <c r="X1540" s="14" t="s">
        <v>138</v>
      </c>
      <c r="Y1540" s="0" t="s">
        <v>138</v>
      </c>
      <c r="Z1540" s="14" t="s">
        <v>138</v>
      </c>
      <c r="AA1540" s="0" t="s">
        <v>138</v>
      </c>
      <c r="AB1540" s="14" t="s">
        <v>138</v>
      </c>
      <c r="AD1540" s="0" t="s">
        <v>138</v>
      </c>
      <c r="AF1540" s="0">
        <v>0</v>
      </c>
      <c r="AG1540" s="0">
        <v>0</v>
      </c>
      <c r="AH1540" s="0" t="s">
        <v>140</v>
      </c>
      <c r="AI1540" s="0" t="s">
        <v>138</v>
      </c>
      <c r="AL1540" s="14"/>
      <c r="AN1540" s="14"/>
      <c r="AQ1540" s="0" t="s">
        <v>130</v>
      </c>
      <c r="AR1540" s="0" t="s">
        <v>130</v>
      </c>
      <c r="AS1540" s="0" t="s">
        <v>130</v>
      </c>
      <c r="AT1540" s="0" t="s">
        <v>130</v>
      </c>
      <c r="AU1540" s="0" t="s">
        <v>130</v>
      </c>
      <c r="AV1540" s="0" t="s">
        <v>130</v>
      </c>
      <c r="AW1540" s="0" t="s">
        <v>130</v>
      </c>
      <c r="AX1540" s="0" t="s">
        <v>130</v>
      </c>
      <c r="AY1540" s="0" t="s">
        <v>130</v>
      </c>
      <c r="AZ1540" s="0" t="s">
        <v>130</v>
      </c>
      <c r="BA1540" s="0" t="s">
        <v>130</v>
      </c>
      <c r="BB1540" s="0" t="s">
        <v>141</v>
      </c>
      <c r="BC1540" s="0" t="s">
        <v>130</v>
      </c>
      <c r="BD1540" s="0" t="s">
        <v>130</v>
      </c>
      <c r="BE1540" s="0" t="s">
        <v>130</v>
      </c>
      <c r="BF1540" s="0" t="s">
        <v>130</v>
      </c>
      <c r="BG1540" s="0" t="s">
        <v>130</v>
      </c>
      <c r="BH1540" s="0" t="s">
        <v>130</v>
      </c>
      <c r="BI1540" s="0" t="s">
        <v>130</v>
      </c>
      <c r="BJ1540" s="0" t="s">
        <v>130</v>
      </c>
      <c r="BK1540" s="0" t="s">
        <v>130</v>
      </c>
      <c r="BL1540" s="0" t="s">
        <v>130</v>
      </c>
      <c r="BM1540" s="0" t="s">
        <v>130</v>
      </c>
      <c r="BN1540" s="0" t="s">
        <v>130</v>
      </c>
      <c r="BO1540" s="0" t="s">
        <v>130</v>
      </c>
      <c r="BP1540" s="0" t="s">
        <v>130</v>
      </c>
      <c r="BQ1540" s="0" t="s">
        <v>130</v>
      </c>
      <c r="BR1540" s="0" t="s">
        <v>130</v>
      </c>
      <c r="BS1540" s="0" t="s">
        <v>130</v>
      </c>
      <c r="BT1540" s="0" t="s">
        <v>130</v>
      </c>
      <c r="BU1540" s="0" t="s">
        <v>130</v>
      </c>
      <c r="BV1540" s="0" t="s">
        <v>130</v>
      </c>
      <c r="BW1540" s="0" t="s">
        <v>130</v>
      </c>
      <c r="BX1540" s="0" t="s">
        <v>130</v>
      </c>
      <c r="BY1540" s="0" t="s">
        <v>130</v>
      </c>
      <c r="BZ1540" s="0" t="s">
        <v>130</v>
      </c>
      <c r="CA1540" s="0" t="s">
        <v>130</v>
      </c>
      <c r="CB1540" s="0" t="s">
        <v>130</v>
      </c>
      <c r="CC1540" s="0" t="s">
        <v>130</v>
      </c>
      <c r="CD1540" s="0" t="s">
        <v>130</v>
      </c>
      <c r="CE1540" s="0" t="s">
        <v>130</v>
      </c>
      <c r="CF1540" s="0" t="s">
        <v>130</v>
      </c>
      <c r="CG1540" s="0" t="s">
        <v>130</v>
      </c>
      <c r="CH1540" s="0" t="s">
        <v>130</v>
      </c>
      <c r="CI1540" s="0" t="s">
        <v>130</v>
      </c>
      <c r="CJ1540" s="0" t="s">
        <v>130</v>
      </c>
      <c r="CK1540" s="0" t="s">
        <v>130</v>
      </c>
      <c r="CL1540" s="0" t="s">
        <v>130</v>
      </c>
      <c r="CM1540" s="0" t="s">
        <v>130</v>
      </c>
      <c r="CN1540" s="0" t="s">
        <v>130</v>
      </c>
      <c r="CO1540" s="0" t="s">
        <v>130</v>
      </c>
      <c r="CP1540" s="0" t="s">
        <v>130</v>
      </c>
      <c r="CQ1540" s="0" t="s">
        <v>130</v>
      </c>
      <c r="CR1540" s="0" t="s">
        <v>130</v>
      </c>
      <c r="CS1540" s="0" t="s">
        <v>130</v>
      </c>
      <c r="CT1540" s="0" t="s">
        <v>4457</v>
      </c>
    </row>
    <row r="1541">
      <c r="A1541" s="14">
        <v>32348903</v>
      </c>
      <c r="B1541" s="0" t="s">
        <v>4458</v>
      </c>
      <c r="C1541" s="16">
        <f>HYPERLINK("https://eosportal.federatedhermes.com/companies/Q29tcGFueQppNTg5Njk=", "Zoetis Inc")</f>
      </c>
      <c r="D1541" s="0" t="s">
        <v>25</v>
      </c>
      <c r="E1541" s="0" t="s">
        <v>1104</v>
      </c>
      <c r="F1541" s="16">
        <f>HYPERLINK("https://eosportal.federatedhermes.com/engagements/RW5nYWdlbWVudAppMjg1NjM=", "Executive Compensation")</f>
      </c>
      <c r="G1541" s="14" t="s">
        <v>4459</v>
      </c>
      <c r="H1541" s="0" t="s">
        <v>141</v>
      </c>
      <c r="I1541" s="14" t="s">
        <v>636</v>
      </c>
      <c r="J1541" s="0" t="s">
        <v>145</v>
      </c>
      <c r="K1541" s="0" t="s">
        <v>146</v>
      </c>
      <c r="L1541" s="0" t="s">
        <v>147</v>
      </c>
      <c r="M1541" s="0" t="s">
        <v>135</v>
      </c>
      <c r="N1541" s="0" t="s">
        <v>136</v>
      </c>
      <c r="O1541" s="0" t="s">
        <v>274</v>
      </c>
      <c r="Q1541" s="0" t="s">
        <v>130</v>
      </c>
      <c r="R1541" s="0" t="s">
        <v>138</v>
      </c>
      <c r="S1541" s="14">
        <v>0</v>
      </c>
      <c r="T1541" s="0" t="s">
        <v>148</v>
      </c>
      <c r="U1541" s="0" t="s">
        <v>138</v>
      </c>
      <c r="V1541" s="14" t="s">
        <v>138</v>
      </c>
      <c r="W1541" s="0" t="s">
        <v>138</v>
      </c>
      <c r="X1541" s="14" t="s">
        <v>138</v>
      </c>
      <c r="Y1541" s="0" t="s">
        <v>138</v>
      </c>
      <c r="Z1541" s="14" t="s">
        <v>138</v>
      </c>
      <c r="AA1541" s="0" t="s">
        <v>138</v>
      </c>
      <c r="AB1541" s="14" t="s">
        <v>138</v>
      </c>
      <c r="AD1541" s="0" t="s">
        <v>138</v>
      </c>
      <c r="AF1541" s="0">
        <v>0</v>
      </c>
      <c r="AG1541" s="0">
        <v>0</v>
      </c>
      <c r="AH1541" s="0" t="s">
        <v>140</v>
      </c>
      <c r="AI1541" s="0" t="s">
        <v>138</v>
      </c>
      <c r="AL1541" s="14"/>
      <c r="AN1541" s="14"/>
      <c r="AQ1541" s="0" t="s">
        <v>130</v>
      </c>
      <c r="AR1541" s="0" t="s">
        <v>130</v>
      </c>
      <c r="AS1541" s="0" t="s">
        <v>130</v>
      </c>
      <c r="AT1541" s="0" t="s">
        <v>130</v>
      </c>
      <c r="AU1541" s="0" t="s">
        <v>130</v>
      </c>
      <c r="AV1541" s="0" t="s">
        <v>130</v>
      </c>
      <c r="AW1541" s="0" t="s">
        <v>130</v>
      </c>
      <c r="AX1541" s="0" t="s">
        <v>130</v>
      </c>
      <c r="AY1541" s="0" t="s">
        <v>130</v>
      </c>
      <c r="AZ1541" s="0" t="s">
        <v>130</v>
      </c>
      <c r="BA1541" s="0" t="s">
        <v>130</v>
      </c>
      <c r="BB1541" s="0" t="s">
        <v>130</v>
      </c>
      <c r="BC1541" s="0" t="s">
        <v>130</v>
      </c>
      <c r="BD1541" s="0" t="s">
        <v>130</v>
      </c>
      <c r="BE1541" s="0" t="s">
        <v>130</v>
      </c>
      <c r="BF1541" s="0" t="s">
        <v>130</v>
      </c>
      <c r="BG1541" s="0" t="s">
        <v>130</v>
      </c>
      <c r="BH1541" s="0" t="s">
        <v>130</v>
      </c>
      <c r="BI1541" s="0" t="s">
        <v>130</v>
      </c>
      <c r="BJ1541" s="0" t="s">
        <v>130</v>
      </c>
      <c r="BK1541" s="0" t="s">
        <v>130</v>
      </c>
      <c r="BL1541" s="0" t="s">
        <v>130</v>
      </c>
      <c r="BM1541" s="0" t="s">
        <v>130</v>
      </c>
      <c r="BN1541" s="0" t="s">
        <v>130</v>
      </c>
      <c r="BO1541" s="0" t="s">
        <v>130</v>
      </c>
      <c r="BP1541" s="0" t="s">
        <v>130</v>
      </c>
      <c r="BQ1541" s="0" t="s">
        <v>130</v>
      </c>
      <c r="BR1541" s="0" t="s">
        <v>130</v>
      </c>
      <c r="BS1541" s="0" t="s">
        <v>130</v>
      </c>
      <c r="BT1541" s="0" t="s">
        <v>130</v>
      </c>
      <c r="BU1541" s="0" t="s">
        <v>130</v>
      </c>
      <c r="BV1541" s="0" t="s">
        <v>130</v>
      </c>
      <c r="BW1541" s="0" t="s">
        <v>130</v>
      </c>
      <c r="BX1541" s="0" t="s">
        <v>130</v>
      </c>
      <c r="BY1541" s="0" t="s">
        <v>130</v>
      </c>
      <c r="BZ1541" s="0" t="s">
        <v>130</v>
      </c>
      <c r="CA1541" s="0" t="s">
        <v>130</v>
      </c>
      <c r="CB1541" s="0" t="s">
        <v>130</v>
      </c>
      <c r="CC1541" s="0" t="s">
        <v>130</v>
      </c>
      <c r="CD1541" s="0" t="s">
        <v>130</v>
      </c>
      <c r="CE1541" s="0" t="s">
        <v>130</v>
      </c>
      <c r="CF1541" s="0" t="s">
        <v>130</v>
      </c>
      <c r="CG1541" s="0" t="s">
        <v>130</v>
      </c>
      <c r="CH1541" s="0" t="s">
        <v>130</v>
      </c>
      <c r="CI1541" s="0" t="s">
        <v>130</v>
      </c>
      <c r="CJ1541" s="0" t="s">
        <v>130</v>
      </c>
      <c r="CK1541" s="0" t="s">
        <v>130</v>
      </c>
      <c r="CL1541" s="0" t="s">
        <v>130</v>
      </c>
      <c r="CM1541" s="0" t="s">
        <v>130</v>
      </c>
      <c r="CN1541" s="0" t="s">
        <v>130</v>
      </c>
      <c r="CO1541" s="0" t="s">
        <v>130</v>
      </c>
      <c r="CP1541" s="0" t="s">
        <v>130</v>
      </c>
      <c r="CQ1541" s="0" t="s">
        <v>130</v>
      </c>
      <c r="CR1541" s="0" t="s">
        <v>130</v>
      </c>
      <c r="CS1541" s="0" t="s">
        <v>130</v>
      </c>
      <c r="CT1541" s="0" t="s">
        <v>4460</v>
      </c>
    </row>
    <row r="1542">
      <c r="A1542" s="14">
        <v>32348903</v>
      </c>
      <c r="B1542" s="0" t="s">
        <v>4458</v>
      </c>
      <c r="C1542" s="16">
        <f>HYPERLINK("https://eosportal.federatedhermes.com/companies/Q29tcGFueQppNTg5Njk=", "Zoetis Inc")</f>
      </c>
      <c r="D1542" s="0" t="s">
        <v>23</v>
      </c>
      <c r="E1542" s="0" t="s">
        <v>4461</v>
      </c>
      <c r="F1542" s="16">
        <f>HYPERLINK("https://eosportal.federatedhermes.com/engagements/RW5nYWdlbWVudAppMjg1Njc=", "Establish policy on antibiotic pollution")</f>
      </c>
      <c r="G1542" s="14" t="s">
        <v>4462</v>
      </c>
      <c r="H1542" s="0" t="s">
        <v>141</v>
      </c>
      <c r="I1542" s="14" t="s">
        <v>636</v>
      </c>
      <c r="J1542" s="0" t="s">
        <v>197</v>
      </c>
      <c r="K1542" s="0" t="s">
        <v>337</v>
      </c>
      <c r="L1542" s="0" t="s">
        <v>576</v>
      </c>
      <c r="M1542" s="0" t="s">
        <v>135</v>
      </c>
      <c r="N1542" s="0" t="s">
        <v>136</v>
      </c>
      <c r="O1542" s="0" t="s">
        <v>274</v>
      </c>
      <c r="Q1542" s="0" t="s">
        <v>130</v>
      </c>
      <c r="R1542" s="0" t="s">
        <v>130</v>
      </c>
      <c r="S1542" s="14">
        <v>0</v>
      </c>
      <c r="T1542" s="0" t="s">
        <v>1145</v>
      </c>
      <c r="U1542" s="0" t="s">
        <v>221</v>
      </c>
      <c r="V1542" s="14" t="s">
        <v>1145</v>
      </c>
      <c r="W1542" s="0" t="s">
        <v>221</v>
      </c>
      <c r="X1542" s="14" t="s">
        <v>193</v>
      </c>
      <c r="Y1542" s="0" t="s">
        <v>221</v>
      </c>
      <c r="Z1542" s="14" t="s">
        <v>222</v>
      </c>
      <c r="AA1542" s="0" t="s">
        <v>223</v>
      </c>
      <c r="AB1542" s="14" t="s">
        <v>138</v>
      </c>
      <c r="AD1542" s="0" t="s">
        <v>20</v>
      </c>
      <c r="AF1542" s="0">
        <v>0</v>
      </c>
      <c r="AG1542" s="0">
        <v>0</v>
      </c>
      <c r="AH1542" s="0" t="s">
        <v>140</v>
      </c>
      <c r="AI1542" s="0" t="s">
        <v>225</v>
      </c>
      <c r="AL1542" s="14"/>
      <c r="AN1542" s="14"/>
      <c r="AQ1542" s="0" t="s">
        <v>130</v>
      </c>
      <c r="AR1542" s="0" t="s">
        <v>130</v>
      </c>
      <c r="AS1542" s="0" t="s">
        <v>130</v>
      </c>
      <c r="AT1542" s="0" t="s">
        <v>130</v>
      </c>
      <c r="AU1542" s="0" t="s">
        <v>130</v>
      </c>
      <c r="AV1542" s="0" t="s">
        <v>130</v>
      </c>
      <c r="AW1542" s="0" t="s">
        <v>130</v>
      </c>
      <c r="AX1542" s="0" t="s">
        <v>130</v>
      </c>
      <c r="AY1542" s="0" t="s">
        <v>130</v>
      </c>
      <c r="AZ1542" s="0" t="s">
        <v>130</v>
      </c>
      <c r="BA1542" s="0" t="s">
        <v>130</v>
      </c>
      <c r="BB1542" s="0" t="s">
        <v>141</v>
      </c>
      <c r="BC1542" s="0" t="s">
        <v>130</v>
      </c>
      <c r="BD1542" s="0" t="s">
        <v>130</v>
      </c>
      <c r="BE1542" s="0" t="s">
        <v>141</v>
      </c>
      <c r="BF1542" s="0" t="s">
        <v>130</v>
      </c>
      <c r="BG1542" s="0" t="s">
        <v>130</v>
      </c>
      <c r="BH1542" s="0" t="s">
        <v>130</v>
      </c>
      <c r="BI1542" s="0" t="s">
        <v>130</v>
      </c>
      <c r="BJ1542" s="0" t="s">
        <v>130</v>
      </c>
      <c r="BK1542" s="0" t="s">
        <v>130</v>
      </c>
      <c r="BL1542" s="0" t="s">
        <v>130</v>
      </c>
      <c r="BM1542" s="0" t="s">
        <v>130</v>
      </c>
      <c r="BN1542" s="0" t="s">
        <v>130</v>
      </c>
      <c r="BO1542" s="0" t="s">
        <v>130</v>
      </c>
      <c r="BP1542" s="0" t="s">
        <v>130</v>
      </c>
      <c r="BQ1542" s="0" t="s">
        <v>130</v>
      </c>
      <c r="BR1542" s="0" t="s">
        <v>130</v>
      </c>
      <c r="BS1542" s="0" t="s">
        <v>130</v>
      </c>
      <c r="BT1542" s="0" t="s">
        <v>130</v>
      </c>
      <c r="BU1542" s="0" t="s">
        <v>130</v>
      </c>
      <c r="BV1542" s="0" t="s">
        <v>130</v>
      </c>
      <c r="BW1542" s="0" t="s">
        <v>130</v>
      </c>
      <c r="BX1542" s="0" t="s">
        <v>130</v>
      </c>
      <c r="BY1542" s="0" t="s">
        <v>130</v>
      </c>
      <c r="BZ1542" s="0" t="s">
        <v>130</v>
      </c>
      <c r="CA1542" s="0" t="s">
        <v>130</v>
      </c>
      <c r="CB1542" s="0" t="s">
        <v>130</v>
      </c>
      <c r="CC1542" s="0" t="s">
        <v>130</v>
      </c>
      <c r="CD1542" s="0" t="s">
        <v>130</v>
      </c>
      <c r="CE1542" s="0" t="s">
        <v>130</v>
      </c>
      <c r="CF1542" s="0" t="s">
        <v>130</v>
      </c>
      <c r="CG1542" s="0" t="s">
        <v>130</v>
      </c>
      <c r="CH1542" s="0" t="s">
        <v>130</v>
      </c>
      <c r="CI1542" s="0" t="s">
        <v>130</v>
      </c>
      <c r="CJ1542" s="0" t="s">
        <v>130</v>
      </c>
      <c r="CK1542" s="0" t="s">
        <v>130</v>
      </c>
      <c r="CL1542" s="0" t="s">
        <v>130</v>
      </c>
      <c r="CM1542" s="0" t="s">
        <v>130</v>
      </c>
      <c r="CN1542" s="0" t="s">
        <v>130</v>
      </c>
      <c r="CO1542" s="0" t="s">
        <v>130</v>
      </c>
      <c r="CP1542" s="0" t="s">
        <v>130</v>
      </c>
      <c r="CQ1542" s="0" t="s">
        <v>130</v>
      </c>
      <c r="CR1542" s="0" t="s">
        <v>130</v>
      </c>
      <c r="CS1542" s="0" t="s">
        <v>130</v>
      </c>
      <c r="CT1542" s="0" t="s">
        <v>4463</v>
      </c>
    </row>
    <row r="1543">
      <c r="A1543" s="14">
        <v>32348903</v>
      </c>
      <c r="B1543" s="0" t="s">
        <v>4458</v>
      </c>
      <c r="C1543" s="16">
        <f>HYPERLINK("https://eosportal.federatedhermes.com/companies/Q29tcGFueQppNTg5Njk=", "Zoetis Inc")</f>
      </c>
      <c r="D1543" s="0" t="s">
        <v>23</v>
      </c>
      <c r="E1543" s="0" t="s">
        <v>4464</v>
      </c>
      <c r="F1543" s="16">
        <f>HYPERLINK("https://eosportal.federatedhermes.com/engagements/RW5nYWdlbWVudAppMjg1Njg=", "Establish Robust Policies and Procedures on Use of Antibiotics in Animal Feed")</f>
      </c>
      <c r="G1543" s="14" t="s">
        <v>4465</v>
      </c>
      <c r="H1543" s="0" t="s">
        <v>141</v>
      </c>
      <c r="I1543" s="14" t="s">
        <v>636</v>
      </c>
      <c r="J1543" s="0" t="s">
        <v>197</v>
      </c>
      <c r="K1543" s="0" t="s">
        <v>337</v>
      </c>
      <c r="L1543" s="0" t="s">
        <v>1222</v>
      </c>
      <c r="M1543" s="0" t="s">
        <v>135</v>
      </c>
      <c r="N1543" s="0" t="s">
        <v>136</v>
      </c>
      <c r="O1543" s="0" t="s">
        <v>274</v>
      </c>
      <c r="Q1543" s="0" t="s">
        <v>130</v>
      </c>
      <c r="R1543" s="0" t="s">
        <v>130</v>
      </c>
      <c r="S1543" s="14">
        <v>0</v>
      </c>
      <c r="T1543" s="0" t="s">
        <v>1145</v>
      </c>
      <c r="U1543" s="0" t="s">
        <v>221</v>
      </c>
      <c r="V1543" s="14" t="s">
        <v>1145</v>
      </c>
      <c r="W1543" s="0" t="s">
        <v>221</v>
      </c>
      <c r="X1543" s="14" t="s">
        <v>193</v>
      </c>
      <c r="Y1543" s="0" t="s">
        <v>221</v>
      </c>
      <c r="Z1543" s="14" t="s">
        <v>206</v>
      </c>
      <c r="AA1543" s="0" t="s">
        <v>223</v>
      </c>
      <c r="AB1543" s="14" t="s">
        <v>138</v>
      </c>
      <c r="AD1543" s="0" t="s">
        <v>20</v>
      </c>
      <c r="AF1543" s="0">
        <v>0</v>
      </c>
      <c r="AG1543" s="0">
        <v>0</v>
      </c>
      <c r="AH1543" s="0" t="s">
        <v>140</v>
      </c>
      <c r="AI1543" s="0" t="s">
        <v>225</v>
      </c>
      <c r="AL1543" s="14"/>
      <c r="AN1543" s="14"/>
      <c r="AQ1543" s="0" t="s">
        <v>130</v>
      </c>
      <c r="AR1543" s="0" t="s">
        <v>130</v>
      </c>
      <c r="AS1543" s="0" t="s">
        <v>141</v>
      </c>
      <c r="AT1543" s="0" t="s">
        <v>130</v>
      </c>
      <c r="AU1543" s="0" t="s">
        <v>130</v>
      </c>
      <c r="AV1543" s="0" t="s">
        <v>130</v>
      </c>
      <c r="AW1543" s="0" t="s">
        <v>130</v>
      </c>
      <c r="AX1543" s="0" t="s">
        <v>130</v>
      </c>
      <c r="AY1543" s="0" t="s">
        <v>130</v>
      </c>
      <c r="AZ1543" s="0" t="s">
        <v>130</v>
      </c>
      <c r="BA1543" s="0" t="s">
        <v>130</v>
      </c>
      <c r="BB1543" s="0" t="s">
        <v>141</v>
      </c>
      <c r="BC1543" s="0" t="s">
        <v>130</v>
      </c>
      <c r="BD1543" s="0" t="s">
        <v>130</v>
      </c>
      <c r="BE1543" s="0" t="s">
        <v>130</v>
      </c>
      <c r="BF1543" s="0" t="s">
        <v>130</v>
      </c>
      <c r="BG1543" s="0" t="s">
        <v>130</v>
      </c>
      <c r="BH1543" s="0" t="s">
        <v>130</v>
      </c>
      <c r="BI1543" s="0" t="s">
        <v>130</v>
      </c>
      <c r="BJ1543" s="0" t="s">
        <v>130</v>
      </c>
      <c r="BK1543" s="0" t="s">
        <v>130</v>
      </c>
      <c r="BL1543" s="0" t="s">
        <v>130</v>
      </c>
      <c r="BM1543" s="0" t="s">
        <v>130</v>
      </c>
      <c r="BN1543" s="0" t="s">
        <v>130</v>
      </c>
      <c r="BO1543" s="0" t="s">
        <v>130</v>
      </c>
      <c r="BP1543" s="0" t="s">
        <v>130</v>
      </c>
      <c r="BQ1543" s="0" t="s">
        <v>130</v>
      </c>
      <c r="BR1543" s="0" t="s">
        <v>130</v>
      </c>
      <c r="BS1543" s="0" t="s">
        <v>130</v>
      </c>
      <c r="BT1543" s="0" t="s">
        <v>130</v>
      </c>
      <c r="BU1543" s="0" t="s">
        <v>130</v>
      </c>
      <c r="BV1543" s="0" t="s">
        <v>130</v>
      </c>
      <c r="BW1543" s="0" t="s">
        <v>130</v>
      </c>
      <c r="BX1543" s="0" t="s">
        <v>130</v>
      </c>
      <c r="BY1543" s="0" t="s">
        <v>130</v>
      </c>
      <c r="BZ1543" s="0" t="s">
        <v>130</v>
      </c>
      <c r="CA1543" s="0" t="s">
        <v>130</v>
      </c>
      <c r="CB1543" s="0" t="s">
        <v>130</v>
      </c>
      <c r="CC1543" s="0" t="s">
        <v>130</v>
      </c>
      <c r="CD1543" s="0" t="s">
        <v>130</v>
      </c>
      <c r="CE1543" s="0" t="s">
        <v>130</v>
      </c>
      <c r="CF1543" s="0" t="s">
        <v>130</v>
      </c>
      <c r="CG1543" s="0" t="s">
        <v>130</v>
      </c>
      <c r="CH1543" s="0" t="s">
        <v>130</v>
      </c>
      <c r="CI1543" s="0" t="s">
        <v>130</v>
      </c>
      <c r="CJ1543" s="0" t="s">
        <v>130</v>
      </c>
      <c r="CK1543" s="0" t="s">
        <v>130</v>
      </c>
      <c r="CL1543" s="0" t="s">
        <v>130</v>
      </c>
      <c r="CM1543" s="0" t="s">
        <v>130</v>
      </c>
      <c r="CN1543" s="0" t="s">
        <v>130</v>
      </c>
      <c r="CO1543" s="0" t="s">
        <v>130</v>
      </c>
      <c r="CP1543" s="0" t="s">
        <v>130</v>
      </c>
      <c r="CQ1543" s="0" t="s">
        <v>130</v>
      </c>
      <c r="CR1543" s="0" t="s">
        <v>130</v>
      </c>
      <c r="CS1543" s="0" t="s">
        <v>130</v>
      </c>
      <c r="CT1543" s="0" t="s">
        <v>4466</v>
      </c>
    </row>
    <row r="1544">
      <c r="A1544" s="14">
        <v>21445200</v>
      </c>
      <c r="B1544" s="0" t="s">
        <v>4467</v>
      </c>
      <c r="C1544" s="16">
        <f>HYPERLINK("https://eosportal.federatedhermes.com/companies/Q29tcGFueQppNzM3NjM=", "HCA Healthcare Inc")</f>
      </c>
      <c r="D1544" s="0" t="s">
        <v>25</v>
      </c>
      <c r="E1544" s="0" t="s">
        <v>2161</v>
      </c>
      <c r="F1544" s="16">
        <f>HYPERLINK("https://eosportal.federatedhermes.com/engagements/RW5nYWdlbWVudAppMjg2NTY=", "Statement of Purpose")</f>
      </c>
      <c r="G1544" s="14" t="s">
        <v>4468</v>
      </c>
      <c r="H1544" s="0" t="s">
        <v>141</v>
      </c>
      <c r="I1544" s="14" t="s">
        <v>131</v>
      </c>
      <c r="J1544" s="0" t="s">
        <v>132</v>
      </c>
      <c r="K1544" s="0" t="s">
        <v>133</v>
      </c>
      <c r="L1544" s="0" t="s">
        <v>134</v>
      </c>
      <c r="M1544" s="0" t="s">
        <v>135</v>
      </c>
      <c r="N1544" s="0" t="s">
        <v>136</v>
      </c>
      <c r="O1544" s="0" t="s">
        <v>274</v>
      </c>
      <c r="Q1544" s="0" t="s">
        <v>130</v>
      </c>
      <c r="R1544" s="0" t="s">
        <v>138</v>
      </c>
      <c r="S1544" s="14">
        <v>0</v>
      </c>
      <c r="T1544" s="0" t="s">
        <v>394</v>
      </c>
      <c r="U1544" s="0" t="s">
        <v>138</v>
      </c>
      <c r="V1544" s="14" t="s">
        <v>138</v>
      </c>
      <c r="W1544" s="0" t="s">
        <v>138</v>
      </c>
      <c r="X1544" s="14" t="s">
        <v>138</v>
      </c>
      <c r="Y1544" s="0" t="s">
        <v>138</v>
      </c>
      <c r="Z1544" s="14" t="s">
        <v>138</v>
      </c>
      <c r="AA1544" s="0" t="s">
        <v>138</v>
      </c>
      <c r="AB1544" s="14" t="s">
        <v>138</v>
      </c>
      <c r="AD1544" s="0" t="s">
        <v>138</v>
      </c>
      <c r="AF1544" s="0">
        <v>0</v>
      </c>
      <c r="AG1544" s="0">
        <v>0</v>
      </c>
      <c r="AH1544" s="0" t="s">
        <v>140</v>
      </c>
      <c r="AI1544" s="0" t="s">
        <v>138</v>
      </c>
      <c r="AL1544" s="14"/>
      <c r="AN1544" s="14"/>
      <c r="AQ1544" s="0" t="s">
        <v>130</v>
      </c>
      <c r="AR1544" s="0" t="s">
        <v>130</v>
      </c>
      <c r="AS1544" s="0" t="s">
        <v>130</v>
      </c>
      <c r="AT1544" s="0" t="s">
        <v>130</v>
      </c>
      <c r="AU1544" s="0" t="s">
        <v>130</v>
      </c>
      <c r="AV1544" s="0" t="s">
        <v>130</v>
      </c>
      <c r="AW1544" s="0" t="s">
        <v>130</v>
      </c>
      <c r="AX1544" s="0" t="s">
        <v>130</v>
      </c>
      <c r="AY1544" s="0" t="s">
        <v>130</v>
      </c>
      <c r="AZ1544" s="0" t="s">
        <v>130</v>
      </c>
      <c r="BA1544" s="0" t="s">
        <v>130</v>
      </c>
      <c r="BB1544" s="0" t="s">
        <v>130</v>
      </c>
      <c r="BC1544" s="0" t="s">
        <v>130</v>
      </c>
      <c r="BD1544" s="0" t="s">
        <v>130</v>
      </c>
      <c r="BE1544" s="0" t="s">
        <v>130</v>
      </c>
      <c r="BF1544" s="0" t="s">
        <v>130</v>
      </c>
      <c r="BG1544" s="0" t="s">
        <v>130</v>
      </c>
      <c r="BH1544" s="0" t="s">
        <v>130</v>
      </c>
      <c r="BI1544" s="0" t="s">
        <v>130</v>
      </c>
      <c r="BJ1544" s="0" t="s">
        <v>130</v>
      </c>
      <c r="BK1544" s="0" t="s">
        <v>130</v>
      </c>
      <c r="BL1544" s="0" t="s">
        <v>130</v>
      </c>
      <c r="BM1544" s="0" t="s">
        <v>130</v>
      </c>
      <c r="BN1544" s="0" t="s">
        <v>130</v>
      </c>
      <c r="BO1544" s="0" t="s">
        <v>130</v>
      </c>
      <c r="BP1544" s="0" t="s">
        <v>130</v>
      </c>
      <c r="BQ1544" s="0" t="s">
        <v>130</v>
      </c>
      <c r="BR1544" s="0" t="s">
        <v>130</v>
      </c>
      <c r="BS1544" s="0" t="s">
        <v>130</v>
      </c>
      <c r="BT1544" s="0" t="s">
        <v>130</v>
      </c>
      <c r="BU1544" s="0" t="s">
        <v>130</v>
      </c>
      <c r="BV1544" s="0" t="s">
        <v>130</v>
      </c>
      <c r="BW1544" s="0" t="s">
        <v>130</v>
      </c>
      <c r="BX1544" s="0" t="s">
        <v>130</v>
      </c>
      <c r="BY1544" s="0" t="s">
        <v>130</v>
      </c>
      <c r="BZ1544" s="0" t="s">
        <v>130</v>
      </c>
      <c r="CA1544" s="0" t="s">
        <v>130</v>
      </c>
      <c r="CB1544" s="0" t="s">
        <v>130</v>
      </c>
      <c r="CC1544" s="0" t="s">
        <v>130</v>
      </c>
      <c r="CD1544" s="0" t="s">
        <v>130</v>
      </c>
      <c r="CE1544" s="0" t="s">
        <v>130</v>
      </c>
      <c r="CF1544" s="0" t="s">
        <v>130</v>
      </c>
      <c r="CG1544" s="0" t="s">
        <v>130</v>
      </c>
      <c r="CH1544" s="0" t="s">
        <v>130</v>
      </c>
      <c r="CI1544" s="0" t="s">
        <v>130</v>
      </c>
      <c r="CJ1544" s="0" t="s">
        <v>130</v>
      </c>
      <c r="CK1544" s="0" t="s">
        <v>130</v>
      </c>
      <c r="CL1544" s="0" t="s">
        <v>130</v>
      </c>
      <c r="CM1544" s="0" t="s">
        <v>130</v>
      </c>
      <c r="CN1544" s="0" t="s">
        <v>130</v>
      </c>
      <c r="CO1544" s="0" t="s">
        <v>130</v>
      </c>
      <c r="CP1544" s="0" t="s">
        <v>130</v>
      </c>
      <c r="CQ1544" s="0" t="s">
        <v>130</v>
      </c>
      <c r="CR1544" s="0" t="s">
        <v>130</v>
      </c>
      <c r="CS1544" s="0" t="s">
        <v>130</v>
      </c>
      <c r="CT1544" s="0" t="s">
        <v>4469</v>
      </c>
    </row>
    <row r="1545">
      <c r="A1545" s="14">
        <v>21445200</v>
      </c>
      <c r="B1545" s="0" t="s">
        <v>4467</v>
      </c>
      <c r="C1545" s="16">
        <f>HYPERLINK("https://eosportal.federatedhermes.com/companies/Q29tcGFueQppNzM3NjM=", "HCA Healthcare Inc")</f>
      </c>
      <c r="D1545" s="0" t="s">
        <v>25</v>
      </c>
      <c r="E1545" s="0" t="s">
        <v>146</v>
      </c>
      <c r="F1545" s="16">
        <f>HYPERLINK("https://eosportal.federatedhermes.com/engagements/RW5nYWdlbWVudAppMjg2NTc=", "Executive Remuneration")</f>
      </c>
      <c r="G1545" s="14" t="s">
        <v>4470</v>
      </c>
      <c r="H1545" s="0" t="s">
        <v>141</v>
      </c>
      <c r="I1545" s="14" t="s">
        <v>131</v>
      </c>
      <c r="J1545" s="0" t="s">
        <v>145</v>
      </c>
      <c r="K1545" s="0" t="s">
        <v>146</v>
      </c>
      <c r="L1545" s="0" t="s">
        <v>147</v>
      </c>
      <c r="M1545" s="0" t="s">
        <v>135</v>
      </c>
      <c r="N1545" s="0" t="s">
        <v>136</v>
      </c>
      <c r="O1545" s="0" t="s">
        <v>274</v>
      </c>
      <c r="Q1545" s="0" t="s">
        <v>130</v>
      </c>
      <c r="R1545" s="0" t="s">
        <v>138</v>
      </c>
      <c r="S1545" s="14">
        <v>0</v>
      </c>
      <c r="T1545" s="0" t="s">
        <v>487</v>
      </c>
      <c r="U1545" s="0" t="s">
        <v>138</v>
      </c>
      <c r="V1545" s="14" t="s">
        <v>138</v>
      </c>
      <c r="W1545" s="0" t="s">
        <v>138</v>
      </c>
      <c r="X1545" s="14" t="s">
        <v>138</v>
      </c>
      <c r="Y1545" s="0" t="s">
        <v>138</v>
      </c>
      <c r="Z1545" s="14" t="s">
        <v>138</v>
      </c>
      <c r="AA1545" s="0" t="s">
        <v>138</v>
      </c>
      <c r="AB1545" s="14" t="s">
        <v>138</v>
      </c>
      <c r="AD1545" s="0" t="s">
        <v>138</v>
      </c>
      <c r="AF1545" s="0">
        <v>0</v>
      </c>
      <c r="AG1545" s="0">
        <v>0</v>
      </c>
      <c r="AH1545" s="0" t="s">
        <v>140</v>
      </c>
      <c r="AI1545" s="0" t="s">
        <v>138</v>
      </c>
      <c r="AL1545" s="14"/>
      <c r="AN1545" s="14"/>
      <c r="AQ1545" s="0" t="s">
        <v>130</v>
      </c>
      <c r="AR1545" s="0" t="s">
        <v>130</v>
      </c>
      <c r="AS1545" s="0" t="s">
        <v>130</v>
      </c>
      <c r="AT1545" s="0" t="s">
        <v>130</v>
      </c>
      <c r="AU1545" s="0" t="s">
        <v>130</v>
      </c>
      <c r="AV1545" s="0" t="s">
        <v>130</v>
      </c>
      <c r="AW1545" s="0" t="s">
        <v>130</v>
      </c>
      <c r="AX1545" s="0" t="s">
        <v>130</v>
      </c>
      <c r="AY1545" s="0" t="s">
        <v>130</v>
      </c>
      <c r="AZ1545" s="0" t="s">
        <v>130</v>
      </c>
      <c r="BA1545" s="0" t="s">
        <v>130</v>
      </c>
      <c r="BB1545" s="0" t="s">
        <v>130</v>
      </c>
      <c r="BC1545" s="0" t="s">
        <v>130</v>
      </c>
      <c r="BD1545" s="0" t="s">
        <v>130</v>
      </c>
      <c r="BE1545" s="0" t="s">
        <v>130</v>
      </c>
      <c r="BF1545" s="0" t="s">
        <v>130</v>
      </c>
      <c r="BG1545" s="0" t="s">
        <v>130</v>
      </c>
      <c r="BH1545" s="0" t="s">
        <v>130</v>
      </c>
      <c r="BI1545" s="0" t="s">
        <v>130</v>
      </c>
      <c r="BJ1545" s="0" t="s">
        <v>130</v>
      </c>
      <c r="BK1545" s="0" t="s">
        <v>130</v>
      </c>
      <c r="BL1545" s="0" t="s">
        <v>130</v>
      </c>
      <c r="BM1545" s="0" t="s">
        <v>130</v>
      </c>
      <c r="BN1545" s="0" t="s">
        <v>130</v>
      </c>
      <c r="BO1545" s="0" t="s">
        <v>130</v>
      </c>
      <c r="BP1545" s="0" t="s">
        <v>130</v>
      </c>
      <c r="BQ1545" s="0" t="s">
        <v>130</v>
      </c>
      <c r="BR1545" s="0" t="s">
        <v>130</v>
      </c>
      <c r="BS1545" s="0" t="s">
        <v>130</v>
      </c>
      <c r="BT1545" s="0" t="s">
        <v>130</v>
      </c>
      <c r="BU1545" s="0" t="s">
        <v>130</v>
      </c>
      <c r="BV1545" s="0" t="s">
        <v>130</v>
      </c>
      <c r="BW1545" s="0" t="s">
        <v>130</v>
      </c>
      <c r="BX1545" s="0" t="s">
        <v>130</v>
      </c>
      <c r="BY1545" s="0" t="s">
        <v>130</v>
      </c>
      <c r="BZ1545" s="0" t="s">
        <v>130</v>
      </c>
      <c r="CA1545" s="0" t="s">
        <v>130</v>
      </c>
      <c r="CB1545" s="0" t="s">
        <v>130</v>
      </c>
      <c r="CC1545" s="0" t="s">
        <v>130</v>
      </c>
      <c r="CD1545" s="0" t="s">
        <v>130</v>
      </c>
      <c r="CE1545" s="0" t="s">
        <v>130</v>
      </c>
      <c r="CF1545" s="0" t="s">
        <v>130</v>
      </c>
      <c r="CG1545" s="0" t="s">
        <v>130</v>
      </c>
      <c r="CH1545" s="0" t="s">
        <v>130</v>
      </c>
      <c r="CI1545" s="0" t="s">
        <v>130</v>
      </c>
      <c r="CJ1545" s="0" t="s">
        <v>130</v>
      </c>
      <c r="CK1545" s="0" t="s">
        <v>130</v>
      </c>
      <c r="CL1545" s="0" t="s">
        <v>130</v>
      </c>
      <c r="CM1545" s="0" t="s">
        <v>130</v>
      </c>
      <c r="CN1545" s="0" t="s">
        <v>130</v>
      </c>
      <c r="CO1545" s="0" t="s">
        <v>130</v>
      </c>
      <c r="CP1545" s="0" t="s">
        <v>130</v>
      </c>
      <c r="CQ1545" s="0" t="s">
        <v>130</v>
      </c>
      <c r="CR1545" s="0" t="s">
        <v>130</v>
      </c>
      <c r="CS1545" s="0" t="s">
        <v>130</v>
      </c>
      <c r="CT1545" s="0" t="s">
        <v>4471</v>
      </c>
    </row>
    <row r="1546">
      <c r="A1546" s="14">
        <v>21445200</v>
      </c>
      <c r="B1546" s="0" t="s">
        <v>4467</v>
      </c>
      <c r="C1546" s="16">
        <f>HYPERLINK("https://eosportal.federatedhermes.com/companies/Q29tcGFueQppNzM3NjM=", "HCA Healthcare Inc")</f>
      </c>
      <c r="D1546" s="0" t="s">
        <v>25</v>
      </c>
      <c r="E1546" s="0" t="s">
        <v>729</v>
      </c>
      <c r="F1546" s="16">
        <f>HYPERLINK("https://eosportal.federatedhermes.com/engagements/RW5nYWdlbWVudAppMjg2NTg=", "Board diversity")</f>
      </c>
      <c r="G1546" s="14" t="s">
        <v>729</v>
      </c>
      <c r="H1546" s="0" t="s">
        <v>141</v>
      </c>
      <c r="I1546" s="14" t="s">
        <v>131</v>
      </c>
      <c r="J1546" s="0" t="s">
        <v>145</v>
      </c>
      <c r="K1546" s="0" t="s">
        <v>164</v>
      </c>
      <c r="L1546" s="0" t="s">
        <v>165</v>
      </c>
      <c r="M1546" s="0" t="s">
        <v>135</v>
      </c>
      <c r="N1546" s="0" t="s">
        <v>136</v>
      </c>
      <c r="O1546" s="0" t="s">
        <v>274</v>
      </c>
      <c r="Q1546" s="0" t="s">
        <v>130</v>
      </c>
      <c r="R1546" s="0" t="s">
        <v>138</v>
      </c>
      <c r="S1546" s="14">
        <v>0</v>
      </c>
      <c r="T1546" s="0" t="s">
        <v>394</v>
      </c>
      <c r="U1546" s="0" t="s">
        <v>138</v>
      </c>
      <c r="V1546" s="14" t="s">
        <v>138</v>
      </c>
      <c r="W1546" s="0" t="s">
        <v>138</v>
      </c>
      <c r="X1546" s="14" t="s">
        <v>138</v>
      </c>
      <c r="Y1546" s="0" t="s">
        <v>138</v>
      </c>
      <c r="Z1546" s="14" t="s">
        <v>138</v>
      </c>
      <c r="AA1546" s="0" t="s">
        <v>138</v>
      </c>
      <c r="AB1546" s="14" t="s">
        <v>138</v>
      </c>
      <c r="AD1546" s="0" t="s">
        <v>138</v>
      </c>
      <c r="AF1546" s="0">
        <v>0</v>
      </c>
      <c r="AG1546" s="0">
        <v>0</v>
      </c>
      <c r="AH1546" s="0" t="s">
        <v>140</v>
      </c>
      <c r="AI1546" s="0" t="s">
        <v>138</v>
      </c>
      <c r="AL1546" s="14"/>
      <c r="AN1546" s="14"/>
      <c r="AQ1546" s="0" t="s">
        <v>130</v>
      </c>
      <c r="AR1546" s="0" t="s">
        <v>130</v>
      </c>
      <c r="AS1546" s="0" t="s">
        <v>130</v>
      </c>
      <c r="AT1546" s="0" t="s">
        <v>130</v>
      </c>
      <c r="AU1546" s="0" t="s">
        <v>141</v>
      </c>
      <c r="AV1546" s="0" t="s">
        <v>130</v>
      </c>
      <c r="AW1546" s="0" t="s">
        <v>130</v>
      </c>
      <c r="AX1546" s="0" t="s">
        <v>130</v>
      </c>
      <c r="AY1546" s="0" t="s">
        <v>130</v>
      </c>
      <c r="AZ1546" s="0" t="s">
        <v>141</v>
      </c>
      <c r="BA1546" s="0" t="s">
        <v>130</v>
      </c>
      <c r="BB1546" s="0" t="s">
        <v>130</v>
      </c>
      <c r="BC1546" s="0" t="s">
        <v>130</v>
      </c>
      <c r="BD1546" s="0" t="s">
        <v>130</v>
      </c>
      <c r="BE1546" s="0" t="s">
        <v>130</v>
      </c>
      <c r="BF1546" s="0" t="s">
        <v>130</v>
      </c>
      <c r="BG1546" s="0" t="s">
        <v>130</v>
      </c>
      <c r="BH1546" s="0" t="s">
        <v>130</v>
      </c>
      <c r="BI1546" s="0" t="s">
        <v>130</v>
      </c>
      <c r="BJ1546" s="0" t="s">
        <v>130</v>
      </c>
      <c r="BK1546" s="0" t="s">
        <v>130</v>
      </c>
      <c r="BL1546" s="0" t="s">
        <v>130</v>
      </c>
      <c r="BM1546" s="0" t="s">
        <v>130</v>
      </c>
      <c r="BN1546" s="0" t="s">
        <v>130</v>
      </c>
      <c r="BO1546" s="0" t="s">
        <v>130</v>
      </c>
      <c r="BP1546" s="0" t="s">
        <v>130</v>
      </c>
      <c r="BQ1546" s="0" t="s">
        <v>130</v>
      </c>
      <c r="BR1546" s="0" t="s">
        <v>130</v>
      </c>
      <c r="BS1546" s="0" t="s">
        <v>130</v>
      </c>
      <c r="BT1546" s="0" t="s">
        <v>130</v>
      </c>
      <c r="BU1546" s="0" t="s">
        <v>130</v>
      </c>
      <c r="BV1546" s="0" t="s">
        <v>130</v>
      </c>
      <c r="BW1546" s="0" t="s">
        <v>130</v>
      </c>
      <c r="BX1546" s="0" t="s">
        <v>130</v>
      </c>
      <c r="BY1546" s="0" t="s">
        <v>130</v>
      </c>
      <c r="BZ1546" s="0" t="s">
        <v>130</v>
      </c>
      <c r="CA1546" s="0" t="s">
        <v>130</v>
      </c>
      <c r="CB1546" s="0" t="s">
        <v>130</v>
      </c>
      <c r="CC1546" s="0" t="s">
        <v>130</v>
      </c>
      <c r="CD1546" s="0" t="s">
        <v>130</v>
      </c>
      <c r="CE1546" s="0" t="s">
        <v>130</v>
      </c>
      <c r="CF1546" s="0" t="s">
        <v>130</v>
      </c>
      <c r="CG1546" s="0" t="s">
        <v>130</v>
      </c>
      <c r="CH1546" s="0" t="s">
        <v>130</v>
      </c>
      <c r="CI1546" s="0" t="s">
        <v>130</v>
      </c>
      <c r="CJ1546" s="0" t="s">
        <v>130</v>
      </c>
      <c r="CK1546" s="0" t="s">
        <v>130</v>
      </c>
      <c r="CL1546" s="0" t="s">
        <v>130</v>
      </c>
      <c r="CM1546" s="0" t="s">
        <v>130</v>
      </c>
      <c r="CN1546" s="0" t="s">
        <v>130</v>
      </c>
      <c r="CO1546" s="0" t="s">
        <v>130</v>
      </c>
      <c r="CP1546" s="0" t="s">
        <v>130</v>
      </c>
      <c r="CQ1546" s="0" t="s">
        <v>130</v>
      </c>
      <c r="CR1546" s="0" t="s">
        <v>130</v>
      </c>
      <c r="CS1546" s="0" t="s">
        <v>130</v>
      </c>
      <c r="CT1546" s="0" t="s">
        <v>4472</v>
      </c>
    </row>
    <row r="1547">
      <c r="A1547" s="14">
        <v>21445200</v>
      </c>
      <c r="B1547" s="0" t="s">
        <v>4467</v>
      </c>
      <c r="C1547" s="16">
        <f>HYPERLINK("https://eosportal.federatedhermes.com/companies/Q29tcGFueQppNzM3NjM=", "HCA Healthcare Inc")</f>
      </c>
      <c r="D1547" s="0" t="s">
        <v>25</v>
      </c>
      <c r="E1547" s="0" t="s">
        <v>1939</v>
      </c>
      <c r="F1547" s="16">
        <f>HYPERLINK("https://eosportal.federatedhermes.com/engagements/RW5nYWdlbWVudAppMjg2NTk=", "TCFD disclosure")</f>
      </c>
      <c r="G1547" s="14" t="s">
        <v>4473</v>
      </c>
      <c r="H1547" s="0" t="s">
        <v>141</v>
      </c>
      <c r="I1547" s="14" t="s">
        <v>131</v>
      </c>
      <c r="J1547" s="0" t="s">
        <v>197</v>
      </c>
      <c r="K1547" s="0" t="s">
        <v>198</v>
      </c>
      <c r="L1547" s="0" t="s">
        <v>199</v>
      </c>
      <c r="M1547" s="0" t="s">
        <v>135</v>
      </c>
      <c r="N1547" s="0" t="s">
        <v>136</v>
      </c>
      <c r="O1547" s="0" t="s">
        <v>274</v>
      </c>
      <c r="Q1547" s="0" t="s">
        <v>130</v>
      </c>
      <c r="R1547" s="0" t="s">
        <v>138</v>
      </c>
      <c r="S1547" s="14">
        <v>0</v>
      </c>
      <c r="T1547" s="0" t="s">
        <v>394</v>
      </c>
      <c r="U1547" s="0" t="s">
        <v>138</v>
      </c>
      <c r="V1547" s="14" t="s">
        <v>138</v>
      </c>
      <c r="W1547" s="0" t="s">
        <v>138</v>
      </c>
      <c r="X1547" s="14" t="s">
        <v>138</v>
      </c>
      <c r="Y1547" s="0" t="s">
        <v>138</v>
      </c>
      <c r="Z1547" s="14" t="s">
        <v>138</v>
      </c>
      <c r="AA1547" s="0" t="s">
        <v>138</v>
      </c>
      <c r="AB1547" s="14" t="s">
        <v>138</v>
      </c>
      <c r="AD1547" s="0" t="s">
        <v>138</v>
      </c>
      <c r="AF1547" s="0">
        <v>0</v>
      </c>
      <c r="AG1547" s="0">
        <v>0</v>
      </c>
      <c r="AH1547" s="0" t="s">
        <v>140</v>
      </c>
      <c r="AI1547" s="0" t="s">
        <v>138</v>
      </c>
      <c r="AL1547" s="14"/>
      <c r="AN1547" s="14"/>
      <c r="AQ1547" s="0" t="s">
        <v>130</v>
      </c>
      <c r="AR1547" s="0" t="s">
        <v>130</v>
      </c>
      <c r="AS1547" s="0" t="s">
        <v>130</v>
      </c>
      <c r="AT1547" s="0" t="s">
        <v>130</v>
      </c>
      <c r="AU1547" s="0" t="s">
        <v>130</v>
      </c>
      <c r="AV1547" s="0" t="s">
        <v>130</v>
      </c>
      <c r="AW1547" s="0" t="s">
        <v>130</v>
      </c>
      <c r="AX1547" s="0" t="s">
        <v>130</v>
      </c>
      <c r="AY1547" s="0" t="s">
        <v>130</v>
      </c>
      <c r="AZ1547" s="0" t="s">
        <v>130</v>
      </c>
      <c r="BA1547" s="0" t="s">
        <v>130</v>
      </c>
      <c r="BB1547" s="0" t="s">
        <v>141</v>
      </c>
      <c r="BC1547" s="0" t="s">
        <v>141</v>
      </c>
      <c r="BD1547" s="0" t="s">
        <v>130</v>
      </c>
      <c r="BE1547" s="0" t="s">
        <v>130</v>
      </c>
      <c r="BF1547" s="0" t="s">
        <v>130</v>
      </c>
      <c r="BG1547" s="0" t="s">
        <v>130</v>
      </c>
      <c r="BH1547" s="0" t="s">
        <v>130</v>
      </c>
      <c r="BI1547" s="0" t="s">
        <v>130</v>
      </c>
      <c r="BJ1547" s="0" t="s">
        <v>130</v>
      </c>
      <c r="BK1547" s="0" t="s">
        <v>130</v>
      </c>
      <c r="BL1547" s="0" t="s">
        <v>130</v>
      </c>
      <c r="BM1547" s="0" t="s">
        <v>130</v>
      </c>
      <c r="BN1547" s="0" t="s">
        <v>130</v>
      </c>
      <c r="BO1547" s="0" t="s">
        <v>130</v>
      </c>
      <c r="BP1547" s="0" t="s">
        <v>130</v>
      </c>
      <c r="BQ1547" s="0" t="s">
        <v>130</v>
      </c>
      <c r="BR1547" s="0" t="s">
        <v>130</v>
      </c>
      <c r="BS1547" s="0" t="s">
        <v>130</v>
      </c>
      <c r="BT1547" s="0" t="s">
        <v>130</v>
      </c>
      <c r="BU1547" s="0" t="s">
        <v>130</v>
      </c>
      <c r="BV1547" s="0" t="s">
        <v>130</v>
      </c>
      <c r="BW1547" s="0" t="s">
        <v>130</v>
      </c>
      <c r="BX1547" s="0" t="s">
        <v>130</v>
      </c>
      <c r="BY1547" s="0" t="s">
        <v>130</v>
      </c>
      <c r="BZ1547" s="0" t="s">
        <v>130</v>
      </c>
      <c r="CA1547" s="0" t="s">
        <v>130</v>
      </c>
      <c r="CB1547" s="0" t="s">
        <v>130</v>
      </c>
      <c r="CC1547" s="0" t="s">
        <v>130</v>
      </c>
      <c r="CD1547" s="0" t="s">
        <v>130</v>
      </c>
      <c r="CE1547" s="0" t="s">
        <v>130</v>
      </c>
      <c r="CF1547" s="0" t="s">
        <v>130</v>
      </c>
      <c r="CG1547" s="0" t="s">
        <v>130</v>
      </c>
      <c r="CH1547" s="0" t="s">
        <v>130</v>
      </c>
      <c r="CI1547" s="0" t="s">
        <v>130</v>
      </c>
      <c r="CJ1547" s="0" t="s">
        <v>130</v>
      </c>
      <c r="CK1547" s="0" t="s">
        <v>130</v>
      </c>
      <c r="CL1547" s="0" t="s">
        <v>130</v>
      </c>
      <c r="CM1547" s="0" t="s">
        <v>130</v>
      </c>
      <c r="CN1547" s="0" t="s">
        <v>130</v>
      </c>
      <c r="CO1547" s="0" t="s">
        <v>130</v>
      </c>
      <c r="CP1547" s="0" t="s">
        <v>130</v>
      </c>
      <c r="CQ1547" s="0" t="s">
        <v>130</v>
      </c>
      <c r="CR1547" s="0" t="s">
        <v>130</v>
      </c>
      <c r="CS1547" s="0" t="s">
        <v>130</v>
      </c>
      <c r="CT1547" s="0" t="s">
        <v>4474</v>
      </c>
    </row>
    <row r="1548">
      <c r="A1548" s="14">
        <v>21445200</v>
      </c>
      <c r="B1548" s="0" t="s">
        <v>4467</v>
      </c>
      <c r="C1548" s="16">
        <f>HYPERLINK("https://eosportal.federatedhermes.com/companies/Q29tcGFueQppNzM3NjM=", "HCA Healthcare Inc")</f>
      </c>
      <c r="D1548" s="0" t="s">
        <v>25</v>
      </c>
      <c r="E1548" s="0" t="s">
        <v>1649</v>
      </c>
      <c r="F1548" s="16">
        <f>HYPERLINK("https://eosportal.federatedhermes.com/engagements/RW5nYWdlbWVudAppMjg2NjA=", "Minority shareholders rights")</f>
      </c>
      <c r="G1548" s="14" t="s">
        <v>4475</v>
      </c>
      <c r="H1548" s="0" t="s">
        <v>141</v>
      </c>
      <c r="I1548" s="14" t="s">
        <v>131</v>
      </c>
      <c r="J1548" s="0" t="s">
        <v>145</v>
      </c>
      <c r="K1548" s="0" t="s">
        <v>400</v>
      </c>
      <c r="L1548" s="0" t="s">
        <v>401</v>
      </c>
      <c r="M1548" s="0" t="s">
        <v>135</v>
      </c>
      <c r="N1548" s="0" t="s">
        <v>136</v>
      </c>
      <c r="O1548" s="0" t="s">
        <v>274</v>
      </c>
      <c r="Q1548" s="0" t="s">
        <v>130</v>
      </c>
      <c r="R1548" s="0" t="s">
        <v>138</v>
      </c>
      <c r="S1548" s="14">
        <v>0</v>
      </c>
      <c r="T1548" s="0" t="s">
        <v>239</v>
      </c>
      <c r="U1548" s="0" t="s">
        <v>138</v>
      </c>
      <c r="V1548" s="14" t="s">
        <v>138</v>
      </c>
      <c r="W1548" s="0" t="s">
        <v>138</v>
      </c>
      <c r="X1548" s="14" t="s">
        <v>138</v>
      </c>
      <c r="Y1548" s="0" t="s">
        <v>138</v>
      </c>
      <c r="Z1548" s="14" t="s">
        <v>138</v>
      </c>
      <c r="AA1548" s="0" t="s">
        <v>138</v>
      </c>
      <c r="AB1548" s="14" t="s">
        <v>138</v>
      </c>
      <c r="AD1548" s="0" t="s">
        <v>138</v>
      </c>
      <c r="AF1548" s="0">
        <v>0</v>
      </c>
      <c r="AG1548" s="0">
        <v>0</v>
      </c>
      <c r="AH1548" s="0" t="s">
        <v>140</v>
      </c>
      <c r="AI1548" s="0" t="s">
        <v>138</v>
      </c>
      <c r="AL1548" s="14"/>
      <c r="AN1548" s="14"/>
      <c r="AQ1548" s="0" t="s">
        <v>130</v>
      </c>
      <c r="AR1548" s="0" t="s">
        <v>130</v>
      </c>
      <c r="AS1548" s="0" t="s">
        <v>130</v>
      </c>
      <c r="AT1548" s="0" t="s">
        <v>130</v>
      </c>
      <c r="AU1548" s="0" t="s">
        <v>130</v>
      </c>
      <c r="AV1548" s="0" t="s">
        <v>130</v>
      </c>
      <c r="AW1548" s="0" t="s">
        <v>130</v>
      </c>
      <c r="AX1548" s="0" t="s">
        <v>130</v>
      </c>
      <c r="AY1548" s="0" t="s">
        <v>130</v>
      </c>
      <c r="AZ1548" s="0" t="s">
        <v>130</v>
      </c>
      <c r="BA1548" s="0" t="s">
        <v>130</v>
      </c>
      <c r="BB1548" s="0" t="s">
        <v>130</v>
      </c>
      <c r="BC1548" s="0" t="s">
        <v>130</v>
      </c>
      <c r="BD1548" s="0" t="s">
        <v>130</v>
      </c>
      <c r="BE1548" s="0" t="s">
        <v>130</v>
      </c>
      <c r="BF1548" s="0" t="s">
        <v>130</v>
      </c>
      <c r="BG1548" s="0" t="s">
        <v>130</v>
      </c>
      <c r="BH1548" s="0" t="s">
        <v>130</v>
      </c>
      <c r="BI1548" s="0" t="s">
        <v>130</v>
      </c>
      <c r="BJ1548" s="0" t="s">
        <v>130</v>
      </c>
      <c r="BK1548" s="0" t="s">
        <v>130</v>
      </c>
      <c r="BL1548" s="0" t="s">
        <v>130</v>
      </c>
      <c r="BM1548" s="0" t="s">
        <v>130</v>
      </c>
      <c r="BN1548" s="0" t="s">
        <v>130</v>
      </c>
      <c r="BO1548" s="0" t="s">
        <v>130</v>
      </c>
      <c r="BP1548" s="0" t="s">
        <v>130</v>
      </c>
      <c r="BQ1548" s="0" t="s">
        <v>130</v>
      </c>
      <c r="BR1548" s="0" t="s">
        <v>130</v>
      </c>
      <c r="BS1548" s="0" t="s">
        <v>130</v>
      </c>
      <c r="BT1548" s="0" t="s">
        <v>130</v>
      </c>
      <c r="BU1548" s="0" t="s">
        <v>130</v>
      </c>
      <c r="BV1548" s="0" t="s">
        <v>130</v>
      </c>
      <c r="BW1548" s="0" t="s">
        <v>130</v>
      </c>
      <c r="BX1548" s="0" t="s">
        <v>130</v>
      </c>
      <c r="BY1548" s="0" t="s">
        <v>130</v>
      </c>
      <c r="BZ1548" s="0" t="s">
        <v>130</v>
      </c>
      <c r="CA1548" s="0" t="s">
        <v>130</v>
      </c>
      <c r="CB1548" s="0" t="s">
        <v>130</v>
      </c>
      <c r="CC1548" s="0" t="s">
        <v>130</v>
      </c>
      <c r="CD1548" s="0" t="s">
        <v>130</v>
      </c>
      <c r="CE1548" s="0" t="s">
        <v>130</v>
      </c>
      <c r="CF1548" s="0" t="s">
        <v>130</v>
      </c>
      <c r="CG1548" s="0" t="s">
        <v>130</v>
      </c>
      <c r="CH1548" s="0" t="s">
        <v>130</v>
      </c>
      <c r="CI1548" s="0" t="s">
        <v>130</v>
      </c>
      <c r="CJ1548" s="0" t="s">
        <v>130</v>
      </c>
      <c r="CK1548" s="0" t="s">
        <v>130</v>
      </c>
      <c r="CL1548" s="0" t="s">
        <v>130</v>
      </c>
      <c r="CM1548" s="0" t="s">
        <v>130</v>
      </c>
      <c r="CN1548" s="0" t="s">
        <v>130</v>
      </c>
      <c r="CO1548" s="0" t="s">
        <v>130</v>
      </c>
      <c r="CP1548" s="0" t="s">
        <v>130</v>
      </c>
      <c r="CQ1548" s="0" t="s">
        <v>130</v>
      </c>
      <c r="CR1548" s="0" t="s">
        <v>130</v>
      </c>
      <c r="CS1548" s="0" t="s">
        <v>130</v>
      </c>
      <c r="CT1548" s="0" t="s">
        <v>4476</v>
      </c>
    </row>
    <row r="1549">
      <c r="A1549" s="14">
        <v>21445200</v>
      </c>
      <c r="B1549" s="0" t="s">
        <v>4467</v>
      </c>
      <c r="C1549" s="16">
        <f>HYPERLINK("https://eosportal.federatedhermes.com/companies/Q29tcGFueQppNzM3NjM=", "HCA Healthcare Inc")</f>
      </c>
      <c r="D1549" s="0" t="s">
        <v>25</v>
      </c>
      <c r="E1549" s="0" t="s">
        <v>2114</v>
      </c>
      <c r="F1549" s="16">
        <f>HYPERLINK("https://eosportal.federatedhermes.com/engagements/RW5nYWdlbWVudAppMjg2NjE=", "Diversity disclosure")</f>
      </c>
      <c r="G1549" s="14" t="s">
        <v>4477</v>
      </c>
      <c r="H1549" s="0" t="s">
        <v>141</v>
      </c>
      <c r="I1549" s="14" t="s">
        <v>131</v>
      </c>
      <c r="J1549" s="0" t="s">
        <v>153</v>
      </c>
      <c r="K1549" s="0" t="s">
        <v>154</v>
      </c>
      <c r="L1549" s="0" t="s">
        <v>268</v>
      </c>
      <c r="M1549" s="0" t="s">
        <v>135</v>
      </c>
      <c r="N1549" s="0" t="s">
        <v>136</v>
      </c>
      <c r="O1549" s="0" t="s">
        <v>274</v>
      </c>
      <c r="Q1549" s="0" t="s">
        <v>130</v>
      </c>
      <c r="R1549" s="0" t="s">
        <v>138</v>
      </c>
      <c r="S1549" s="14">
        <v>0</v>
      </c>
      <c r="T1549" s="0" t="s">
        <v>394</v>
      </c>
      <c r="U1549" s="0" t="s">
        <v>138</v>
      </c>
      <c r="V1549" s="14" t="s">
        <v>138</v>
      </c>
      <c r="W1549" s="0" t="s">
        <v>138</v>
      </c>
      <c r="X1549" s="14" t="s">
        <v>138</v>
      </c>
      <c r="Y1549" s="0" t="s">
        <v>138</v>
      </c>
      <c r="Z1549" s="14" t="s">
        <v>138</v>
      </c>
      <c r="AA1549" s="0" t="s">
        <v>138</v>
      </c>
      <c r="AB1549" s="14" t="s">
        <v>138</v>
      </c>
      <c r="AD1549" s="0" t="s">
        <v>138</v>
      </c>
      <c r="AF1549" s="0">
        <v>0</v>
      </c>
      <c r="AG1549" s="0">
        <v>0</v>
      </c>
      <c r="AH1549" s="0" t="s">
        <v>140</v>
      </c>
      <c r="AI1549" s="0" t="s">
        <v>138</v>
      </c>
      <c r="AL1549" s="14"/>
      <c r="AN1549" s="14"/>
      <c r="AQ1549" s="0" t="s">
        <v>130</v>
      </c>
      <c r="AR1549" s="0" t="s">
        <v>130</v>
      </c>
      <c r="AS1549" s="0" t="s">
        <v>130</v>
      </c>
      <c r="AT1549" s="0" t="s">
        <v>130</v>
      </c>
      <c r="AU1549" s="0" t="s">
        <v>130</v>
      </c>
      <c r="AV1549" s="0" t="s">
        <v>130</v>
      </c>
      <c r="AW1549" s="0" t="s">
        <v>130</v>
      </c>
      <c r="AX1549" s="0" t="s">
        <v>141</v>
      </c>
      <c r="AY1549" s="0" t="s">
        <v>130</v>
      </c>
      <c r="AZ1549" s="0" t="s">
        <v>130</v>
      </c>
      <c r="BA1549" s="0" t="s">
        <v>130</v>
      </c>
      <c r="BB1549" s="0" t="s">
        <v>130</v>
      </c>
      <c r="BC1549" s="0" t="s">
        <v>130</v>
      </c>
      <c r="BD1549" s="0" t="s">
        <v>130</v>
      </c>
      <c r="BE1549" s="0" t="s">
        <v>130</v>
      </c>
      <c r="BF1549" s="0" t="s">
        <v>130</v>
      </c>
      <c r="BG1549" s="0" t="s">
        <v>130</v>
      </c>
      <c r="BH1549" s="0" t="s">
        <v>130</v>
      </c>
      <c r="BI1549" s="0" t="s">
        <v>130</v>
      </c>
      <c r="BJ1549" s="0" t="s">
        <v>130</v>
      </c>
      <c r="BK1549" s="0" t="s">
        <v>130</v>
      </c>
      <c r="BL1549" s="0" t="s">
        <v>130</v>
      </c>
      <c r="BM1549" s="0" t="s">
        <v>130</v>
      </c>
      <c r="BN1549" s="0" t="s">
        <v>130</v>
      </c>
      <c r="BO1549" s="0" t="s">
        <v>130</v>
      </c>
      <c r="BP1549" s="0" t="s">
        <v>130</v>
      </c>
      <c r="BQ1549" s="0" t="s">
        <v>130</v>
      </c>
      <c r="BR1549" s="0" t="s">
        <v>130</v>
      </c>
      <c r="BS1549" s="0" t="s">
        <v>130</v>
      </c>
      <c r="BT1549" s="0" t="s">
        <v>130</v>
      </c>
      <c r="BU1549" s="0" t="s">
        <v>130</v>
      </c>
      <c r="BV1549" s="0" t="s">
        <v>130</v>
      </c>
      <c r="BW1549" s="0" t="s">
        <v>130</v>
      </c>
      <c r="BX1549" s="0" t="s">
        <v>130</v>
      </c>
      <c r="BY1549" s="0" t="s">
        <v>130</v>
      </c>
      <c r="BZ1549" s="0" t="s">
        <v>130</v>
      </c>
      <c r="CA1549" s="0" t="s">
        <v>130</v>
      </c>
      <c r="CB1549" s="0" t="s">
        <v>130</v>
      </c>
      <c r="CC1549" s="0" t="s">
        <v>130</v>
      </c>
      <c r="CD1549" s="0" t="s">
        <v>130</v>
      </c>
      <c r="CE1549" s="0" t="s">
        <v>130</v>
      </c>
      <c r="CF1549" s="0" t="s">
        <v>130</v>
      </c>
      <c r="CG1549" s="0" t="s">
        <v>130</v>
      </c>
      <c r="CH1549" s="0" t="s">
        <v>130</v>
      </c>
      <c r="CI1549" s="0" t="s">
        <v>130</v>
      </c>
      <c r="CJ1549" s="0" t="s">
        <v>130</v>
      </c>
      <c r="CK1549" s="0" t="s">
        <v>141</v>
      </c>
      <c r="CL1549" s="0" t="s">
        <v>130</v>
      </c>
      <c r="CM1549" s="0" t="s">
        <v>130</v>
      </c>
      <c r="CN1549" s="0" t="s">
        <v>130</v>
      </c>
      <c r="CO1549" s="0" t="s">
        <v>130</v>
      </c>
      <c r="CP1549" s="0" t="s">
        <v>130</v>
      </c>
      <c r="CQ1549" s="0" t="s">
        <v>130</v>
      </c>
      <c r="CR1549" s="0" t="s">
        <v>130</v>
      </c>
      <c r="CS1549" s="0" t="s">
        <v>130</v>
      </c>
      <c r="CT1549" s="0" t="s">
        <v>4478</v>
      </c>
    </row>
    <row r="1550">
      <c r="A1550" s="14">
        <v>36507453</v>
      </c>
      <c r="B1550" s="0" t="s">
        <v>4479</v>
      </c>
      <c r="C1550" s="16">
        <f>HYPERLINK("https://eosportal.federatedhermes.com/companies/Q29tcGFueQppNjI0Njg=", "CNH Industrial NV")</f>
      </c>
      <c r="D1550" s="0" t="s">
        <v>25</v>
      </c>
      <c r="E1550" s="0" t="s">
        <v>4480</v>
      </c>
      <c r="F1550" s="16">
        <f>HYPERLINK("https://eosportal.federatedhermes.com/engagements/RW5nYWdlbWVudAppMjg3MTM=", "The company was named in a Danwatch report alleging violating of human rights in")</f>
      </c>
      <c r="G1550" s="14" t="s">
        <v>4481</v>
      </c>
      <c r="H1550" s="0" t="s">
        <v>130</v>
      </c>
      <c r="I1550" s="14" t="s">
        <v>131</v>
      </c>
      <c r="J1550" s="0" t="s">
        <v>153</v>
      </c>
      <c r="K1550" s="0" t="s">
        <v>243</v>
      </c>
      <c r="L1550" s="0" t="s">
        <v>571</v>
      </c>
      <c r="M1550" s="0" t="s">
        <v>272</v>
      </c>
      <c r="N1550" s="0" t="s">
        <v>273</v>
      </c>
      <c r="O1550" s="0" t="s">
        <v>176</v>
      </c>
      <c r="Q1550" s="0" t="s">
        <v>130</v>
      </c>
      <c r="R1550" s="0" t="s">
        <v>138</v>
      </c>
      <c r="S1550" s="14">
        <v>0</v>
      </c>
      <c r="T1550" s="0" t="s">
        <v>343</v>
      </c>
      <c r="U1550" s="0" t="s">
        <v>138</v>
      </c>
      <c r="V1550" s="14" t="s">
        <v>138</v>
      </c>
      <c r="W1550" s="0" t="s">
        <v>138</v>
      </c>
      <c r="X1550" s="14" t="s">
        <v>138</v>
      </c>
      <c r="Y1550" s="0" t="s">
        <v>138</v>
      </c>
      <c r="Z1550" s="14" t="s">
        <v>138</v>
      </c>
      <c r="AA1550" s="0" t="s">
        <v>138</v>
      </c>
      <c r="AB1550" s="14" t="s">
        <v>138</v>
      </c>
      <c r="AD1550" s="0" t="s">
        <v>138</v>
      </c>
      <c r="AF1550" s="0">
        <v>0</v>
      </c>
      <c r="AG1550" s="0">
        <v>0</v>
      </c>
      <c r="AH1550" s="0" t="s">
        <v>140</v>
      </c>
      <c r="AI1550" s="0" t="s">
        <v>138</v>
      </c>
      <c r="AL1550" s="14"/>
      <c r="AN1550" s="14"/>
      <c r="AQ1550" s="0" t="s">
        <v>130</v>
      </c>
      <c r="AR1550" s="0" t="s">
        <v>130</v>
      </c>
      <c r="AS1550" s="0" t="s">
        <v>130</v>
      </c>
      <c r="AT1550" s="0" t="s">
        <v>130</v>
      </c>
      <c r="AU1550" s="0" t="s">
        <v>130</v>
      </c>
      <c r="AV1550" s="0" t="s">
        <v>130</v>
      </c>
      <c r="AW1550" s="0" t="s">
        <v>130</v>
      </c>
      <c r="AX1550" s="0" t="s">
        <v>130</v>
      </c>
      <c r="AY1550" s="0" t="s">
        <v>130</v>
      </c>
      <c r="AZ1550" s="0" t="s">
        <v>130</v>
      </c>
      <c r="BA1550" s="0" t="s">
        <v>130</v>
      </c>
      <c r="BB1550" s="0" t="s">
        <v>130</v>
      </c>
      <c r="BC1550" s="0" t="s">
        <v>130</v>
      </c>
      <c r="BD1550" s="0" t="s">
        <v>130</v>
      </c>
      <c r="BE1550" s="0" t="s">
        <v>130</v>
      </c>
      <c r="BF1550" s="0" t="s">
        <v>141</v>
      </c>
      <c r="BG1550" s="0" t="s">
        <v>130</v>
      </c>
      <c r="BH1550" s="0" t="s">
        <v>130</v>
      </c>
      <c r="BI1550" s="0" t="s">
        <v>130</v>
      </c>
      <c r="BJ1550" s="0" t="s">
        <v>130</v>
      </c>
      <c r="BK1550" s="0" t="s">
        <v>130</v>
      </c>
      <c r="BL1550" s="0" t="s">
        <v>130</v>
      </c>
      <c r="BM1550" s="0" t="s">
        <v>130</v>
      </c>
      <c r="BN1550" s="0" t="s">
        <v>130</v>
      </c>
      <c r="BO1550" s="0" t="s">
        <v>130</v>
      </c>
      <c r="BP1550" s="0" t="s">
        <v>130</v>
      </c>
      <c r="BQ1550" s="0" t="s">
        <v>130</v>
      </c>
      <c r="BR1550" s="0" t="s">
        <v>130</v>
      </c>
      <c r="BS1550" s="0" t="s">
        <v>130</v>
      </c>
      <c r="BT1550" s="0" t="s">
        <v>130</v>
      </c>
      <c r="BU1550" s="0" t="s">
        <v>130</v>
      </c>
      <c r="BV1550" s="0" t="s">
        <v>130</v>
      </c>
      <c r="BW1550" s="0" t="s">
        <v>130</v>
      </c>
      <c r="BX1550" s="0" t="s">
        <v>130</v>
      </c>
      <c r="BY1550" s="0" t="s">
        <v>130</v>
      </c>
      <c r="BZ1550" s="0" t="s">
        <v>130</v>
      </c>
      <c r="CA1550" s="0" t="s">
        <v>130</v>
      </c>
      <c r="CB1550" s="0" t="s">
        <v>130</v>
      </c>
      <c r="CC1550" s="0" t="s">
        <v>130</v>
      </c>
      <c r="CD1550" s="0" t="s">
        <v>130</v>
      </c>
      <c r="CE1550" s="0" t="s">
        <v>130</v>
      </c>
      <c r="CF1550" s="0" t="s">
        <v>130</v>
      </c>
      <c r="CG1550" s="0" t="s">
        <v>130</v>
      </c>
      <c r="CH1550" s="0" t="s">
        <v>130</v>
      </c>
      <c r="CI1550" s="0" t="s">
        <v>130</v>
      </c>
      <c r="CJ1550" s="0" t="s">
        <v>130</v>
      </c>
      <c r="CK1550" s="0" t="s">
        <v>130</v>
      </c>
      <c r="CL1550" s="0" t="s">
        <v>130</v>
      </c>
      <c r="CM1550" s="0" t="s">
        <v>130</v>
      </c>
      <c r="CN1550" s="0" t="s">
        <v>130</v>
      </c>
      <c r="CO1550" s="0" t="s">
        <v>130</v>
      </c>
      <c r="CP1550" s="0" t="s">
        <v>130</v>
      </c>
      <c r="CQ1550" s="0" t="s">
        <v>130</v>
      </c>
      <c r="CR1550" s="0" t="s">
        <v>130</v>
      </c>
      <c r="CS1550" s="0" t="s">
        <v>130</v>
      </c>
      <c r="CT1550" s="0" t="s">
        <v>4482</v>
      </c>
    </row>
    <row r="1551">
      <c r="A1551" s="14">
        <v>36507453</v>
      </c>
      <c r="B1551" s="0" t="s">
        <v>4479</v>
      </c>
      <c r="C1551" s="16">
        <f>HYPERLINK("https://eosportal.federatedhermes.com/companies/Q29tcGFueQppNjI0Njg=", "CNH Industrial NV")</f>
      </c>
      <c r="D1551" s="0" t="s">
        <v>25</v>
      </c>
      <c r="E1551" s="0" t="s">
        <v>4483</v>
      </c>
      <c r="F1551" s="16">
        <f>HYPERLINK("https://eosportal.federatedhermes.com/engagements/RW5nYWdlbWVudAppMjg3MTQ=", "Board composition - independence and commitments")</f>
      </c>
      <c r="G1551" s="14" t="s">
        <v>4484</v>
      </c>
      <c r="H1551" s="0" t="s">
        <v>130</v>
      </c>
      <c r="I1551" s="14" t="s">
        <v>131</v>
      </c>
      <c r="J1551" s="0" t="s">
        <v>145</v>
      </c>
      <c r="K1551" s="0" t="s">
        <v>164</v>
      </c>
      <c r="L1551" s="0" t="s">
        <v>165</v>
      </c>
      <c r="M1551" s="0" t="s">
        <v>272</v>
      </c>
      <c r="N1551" s="0" t="s">
        <v>273</v>
      </c>
      <c r="O1551" s="0" t="s">
        <v>176</v>
      </c>
      <c r="Q1551" s="0" t="s">
        <v>130</v>
      </c>
      <c r="R1551" s="0" t="s">
        <v>138</v>
      </c>
      <c r="S1551" s="14">
        <v>0</v>
      </c>
      <c r="T1551" s="0" t="s">
        <v>206</v>
      </c>
      <c r="U1551" s="0" t="s">
        <v>138</v>
      </c>
      <c r="V1551" s="14" t="s">
        <v>138</v>
      </c>
      <c r="W1551" s="0" t="s">
        <v>138</v>
      </c>
      <c r="X1551" s="14" t="s">
        <v>138</v>
      </c>
      <c r="Y1551" s="0" t="s">
        <v>138</v>
      </c>
      <c r="Z1551" s="14" t="s">
        <v>138</v>
      </c>
      <c r="AA1551" s="0" t="s">
        <v>138</v>
      </c>
      <c r="AB1551" s="14" t="s">
        <v>138</v>
      </c>
      <c r="AD1551" s="0" t="s">
        <v>138</v>
      </c>
      <c r="AF1551" s="0">
        <v>0</v>
      </c>
      <c r="AG1551" s="0">
        <v>0</v>
      </c>
      <c r="AH1551" s="0" t="s">
        <v>140</v>
      </c>
      <c r="AI1551" s="0" t="s">
        <v>138</v>
      </c>
      <c r="AL1551" s="14"/>
      <c r="AN1551" s="14"/>
      <c r="AQ1551" s="0" t="s">
        <v>130</v>
      </c>
      <c r="AR1551" s="0" t="s">
        <v>130</v>
      </c>
      <c r="AS1551" s="0" t="s">
        <v>130</v>
      </c>
      <c r="AT1551" s="0" t="s">
        <v>130</v>
      </c>
      <c r="AU1551" s="0" t="s">
        <v>130</v>
      </c>
      <c r="AV1551" s="0" t="s">
        <v>130</v>
      </c>
      <c r="AW1551" s="0" t="s">
        <v>130</v>
      </c>
      <c r="AX1551" s="0" t="s">
        <v>130</v>
      </c>
      <c r="AY1551" s="0" t="s">
        <v>130</v>
      </c>
      <c r="AZ1551" s="0" t="s">
        <v>130</v>
      </c>
      <c r="BA1551" s="0" t="s">
        <v>130</v>
      </c>
      <c r="BB1551" s="0" t="s">
        <v>130</v>
      </c>
      <c r="BC1551" s="0" t="s">
        <v>130</v>
      </c>
      <c r="BD1551" s="0" t="s">
        <v>130</v>
      </c>
      <c r="BE1551" s="0" t="s">
        <v>130</v>
      </c>
      <c r="BF1551" s="0" t="s">
        <v>130</v>
      </c>
      <c r="BG1551" s="0" t="s">
        <v>130</v>
      </c>
      <c r="BH1551" s="0" t="s">
        <v>130</v>
      </c>
      <c r="BI1551" s="0" t="s">
        <v>130</v>
      </c>
      <c r="BJ1551" s="0" t="s">
        <v>130</v>
      </c>
      <c r="BK1551" s="0" t="s">
        <v>130</v>
      </c>
      <c r="BL1551" s="0" t="s">
        <v>130</v>
      </c>
      <c r="BM1551" s="0" t="s">
        <v>130</v>
      </c>
      <c r="BN1551" s="0" t="s">
        <v>130</v>
      </c>
      <c r="BO1551" s="0" t="s">
        <v>130</v>
      </c>
      <c r="BP1551" s="0" t="s">
        <v>130</v>
      </c>
      <c r="BQ1551" s="0" t="s">
        <v>130</v>
      </c>
      <c r="BR1551" s="0" t="s">
        <v>130</v>
      </c>
      <c r="BS1551" s="0" t="s">
        <v>130</v>
      </c>
      <c r="BT1551" s="0" t="s">
        <v>130</v>
      </c>
      <c r="BU1551" s="0" t="s">
        <v>130</v>
      </c>
      <c r="BV1551" s="0" t="s">
        <v>130</v>
      </c>
      <c r="BW1551" s="0" t="s">
        <v>130</v>
      </c>
      <c r="BX1551" s="0" t="s">
        <v>130</v>
      </c>
      <c r="BY1551" s="0" t="s">
        <v>130</v>
      </c>
      <c r="BZ1551" s="0" t="s">
        <v>130</v>
      </c>
      <c r="CA1551" s="0" t="s">
        <v>130</v>
      </c>
      <c r="CB1551" s="0" t="s">
        <v>130</v>
      </c>
      <c r="CC1551" s="0" t="s">
        <v>130</v>
      </c>
      <c r="CD1551" s="0" t="s">
        <v>130</v>
      </c>
      <c r="CE1551" s="0" t="s">
        <v>130</v>
      </c>
      <c r="CF1551" s="0" t="s">
        <v>130</v>
      </c>
      <c r="CG1551" s="0" t="s">
        <v>130</v>
      </c>
      <c r="CH1551" s="0" t="s">
        <v>130</v>
      </c>
      <c r="CI1551" s="0" t="s">
        <v>130</v>
      </c>
      <c r="CJ1551" s="0" t="s">
        <v>130</v>
      </c>
      <c r="CK1551" s="0" t="s">
        <v>130</v>
      </c>
      <c r="CL1551" s="0" t="s">
        <v>130</v>
      </c>
      <c r="CM1551" s="0" t="s">
        <v>130</v>
      </c>
      <c r="CN1551" s="0" t="s">
        <v>130</v>
      </c>
      <c r="CO1551" s="0" t="s">
        <v>130</v>
      </c>
      <c r="CP1551" s="0" t="s">
        <v>130</v>
      </c>
      <c r="CQ1551" s="0" t="s">
        <v>130</v>
      </c>
      <c r="CR1551" s="0" t="s">
        <v>130</v>
      </c>
      <c r="CS1551" s="0" t="s">
        <v>130</v>
      </c>
      <c r="CT1551" s="0" t="s">
        <v>4485</v>
      </c>
    </row>
    <row r="1552">
      <c r="A1552" s="14">
        <v>36507453</v>
      </c>
      <c r="B1552" s="0" t="s">
        <v>4479</v>
      </c>
      <c r="C1552" s="16">
        <f>HYPERLINK("https://eosportal.federatedhermes.com/companies/Q29tcGFueQppNjI0Njg=", "CNH Industrial NV")</f>
      </c>
      <c r="D1552" s="0" t="s">
        <v>25</v>
      </c>
      <c r="E1552" s="0" t="s">
        <v>236</v>
      </c>
      <c r="F1552" s="16">
        <f>HYPERLINK("https://eosportal.federatedhermes.com/engagements/RW5nYWdlbWVudAppMjg3MTU=", "Executive pay")</f>
      </c>
      <c r="G1552" s="14" t="s">
        <v>4486</v>
      </c>
      <c r="H1552" s="0" t="s">
        <v>130</v>
      </c>
      <c r="I1552" s="14" t="s">
        <v>131</v>
      </c>
      <c r="J1552" s="0" t="s">
        <v>145</v>
      </c>
      <c r="K1552" s="0" t="s">
        <v>146</v>
      </c>
      <c r="L1552" s="0" t="s">
        <v>147</v>
      </c>
      <c r="M1552" s="0" t="s">
        <v>272</v>
      </c>
      <c r="N1552" s="0" t="s">
        <v>273</v>
      </c>
      <c r="O1552" s="0" t="s">
        <v>176</v>
      </c>
      <c r="Q1552" s="0" t="s">
        <v>130</v>
      </c>
      <c r="R1552" s="0" t="s">
        <v>138</v>
      </c>
      <c r="S1552" s="14">
        <v>0</v>
      </c>
      <c r="T1552" s="0" t="s">
        <v>206</v>
      </c>
      <c r="U1552" s="0" t="s">
        <v>138</v>
      </c>
      <c r="V1552" s="14" t="s">
        <v>138</v>
      </c>
      <c r="W1552" s="0" t="s">
        <v>138</v>
      </c>
      <c r="X1552" s="14" t="s">
        <v>138</v>
      </c>
      <c r="Y1552" s="0" t="s">
        <v>138</v>
      </c>
      <c r="Z1552" s="14" t="s">
        <v>138</v>
      </c>
      <c r="AA1552" s="0" t="s">
        <v>138</v>
      </c>
      <c r="AB1552" s="14" t="s">
        <v>138</v>
      </c>
      <c r="AD1552" s="0" t="s">
        <v>138</v>
      </c>
      <c r="AF1552" s="0">
        <v>0</v>
      </c>
      <c r="AG1552" s="0">
        <v>0</v>
      </c>
      <c r="AH1552" s="0" t="s">
        <v>140</v>
      </c>
      <c r="AI1552" s="0" t="s">
        <v>138</v>
      </c>
      <c r="AL1552" s="14"/>
      <c r="AN1552" s="14"/>
      <c r="AQ1552" s="0" t="s">
        <v>130</v>
      </c>
      <c r="AR1552" s="0" t="s">
        <v>130</v>
      </c>
      <c r="AS1552" s="0" t="s">
        <v>130</v>
      </c>
      <c r="AT1552" s="0" t="s">
        <v>130</v>
      </c>
      <c r="AU1552" s="0" t="s">
        <v>130</v>
      </c>
      <c r="AV1552" s="0" t="s">
        <v>130</v>
      </c>
      <c r="AW1552" s="0" t="s">
        <v>130</v>
      </c>
      <c r="AX1552" s="0" t="s">
        <v>130</v>
      </c>
      <c r="AY1552" s="0" t="s">
        <v>130</v>
      </c>
      <c r="AZ1552" s="0" t="s">
        <v>130</v>
      </c>
      <c r="BA1552" s="0" t="s">
        <v>130</v>
      </c>
      <c r="BB1552" s="0" t="s">
        <v>130</v>
      </c>
      <c r="BC1552" s="0" t="s">
        <v>130</v>
      </c>
      <c r="BD1552" s="0" t="s">
        <v>130</v>
      </c>
      <c r="BE1552" s="0" t="s">
        <v>130</v>
      </c>
      <c r="BF1552" s="0" t="s">
        <v>130</v>
      </c>
      <c r="BG1552" s="0" t="s">
        <v>130</v>
      </c>
      <c r="BH1552" s="0" t="s">
        <v>130</v>
      </c>
      <c r="BI1552" s="0" t="s">
        <v>130</v>
      </c>
      <c r="BJ1552" s="0" t="s">
        <v>130</v>
      </c>
      <c r="BK1552" s="0" t="s">
        <v>130</v>
      </c>
      <c r="BL1552" s="0" t="s">
        <v>130</v>
      </c>
      <c r="BM1552" s="0" t="s">
        <v>130</v>
      </c>
      <c r="BN1552" s="0" t="s">
        <v>130</v>
      </c>
      <c r="BO1552" s="0" t="s">
        <v>130</v>
      </c>
      <c r="BP1552" s="0" t="s">
        <v>130</v>
      </c>
      <c r="BQ1552" s="0" t="s">
        <v>130</v>
      </c>
      <c r="BR1552" s="0" t="s">
        <v>130</v>
      </c>
      <c r="BS1552" s="0" t="s">
        <v>130</v>
      </c>
      <c r="BT1552" s="0" t="s">
        <v>130</v>
      </c>
      <c r="BU1552" s="0" t="s">
        <v>130</v>
      </c>
      <c r="BV1552" s="0" t="s">
        <v>130</v>
      </c>
      <c r="BW1552" s="0" t="s">
        <v>130</v>
      </c>
      <c r="BX1552" s="0" t="s">
        <v>130</v>
      </c>
      <c r="BY1552" s="0" t="s">
        <v>130</v>
      </c>
      <c r="BZ1552" s="0" t="s">
        <v>130</v>
      </c>
      <c r="CA1552" s="0" t="s">
        <v>130</v>
      </c>
      <c r="CB1552" s="0" t="s">
        <v>130</v>
      </c>
      <c r="CC1552" s="0" t="s">
        <v>130</v>
      </c>
      <c r="CD1552" s="0" t="s">
        <v>130</v>
      </c>
      <c r="CE1552" s="0" t="s">
        <v>130</v>
      </c>
      <c r="CF1552" s="0" t="s">
        <v>130</v>
      </c>
      <c r="CG1552" s="0" t="s">
        <v>130</v>
      </c>
      <c r="CH1552" s="0" t="s">
        <v>130</v>
      </c>
      <c r="CI1552" s="0" t="s">
        <v>130</v>
      </c>
      <c r="CJ1552" s="0" t="s">
        <v>130</v>
      </c>
      <c r="CK1552" s="0" t="s">
        <v>130</v>
      </c>
      <c r="CL1552" s="0" t="s">
        <v>130</v>
      </c>
      <c r="CM1552" s="0" t="s">
        <v>130</v>
      </c>
      <c r="CN1552" s="0" t="s">
        <v>130</v>
      </c>
      <c r="CO1552" s="0" t="s">
        <v>130</v>
      </c>
      <c r="CP1552" s="0" t="s">
        <v>130</v>
      </c>
      <c r="CQ1552" s="0" t="s">
        <v>130</v>
      </c>
      <c r="CR1552" s="0" t="s">
        <v>130</v>
      </c>
      <c r="CS1552" s="0" t="s">
        <v>130</v>
      </c>
      <c r="CT1552" s="0" t="s">
        <v>4487</v>
      </c>
    </row>
    <row r="1553">
      <c r="A1553" s="14">
        <v>36507453</v>
      </c>
      <c r="B1553" s="0" t="s">
        <v>4479</v>
      </c>
      <c r="C1553" s="16">
        <f>HYPERLINK("https://eosportal.federatedhermes.com/companies/Q29tcGFueQppNjI0Njg=", "CNH Industrial NV")</f>
      </c>
      <c r="D1553" s="0" t="s">
        <v>25</v>
      </c>
      <c r="E1553" s="0" t="s">
        <v>2686</v>
      </c>
      <c r="F1553" s="16">
        <f>HYPERLINK("https://eosportal.federatedhermes.com/engagements/RW5nYWdlbWVudAppMjg3MTY=", "Covid-19 response")</f>
      </c>
      <c r="G1553" s="14" t="s">
        <v>3414</v>
      </c>
      <c r="H1553" s="0" t="s">
        <v>130</v>
      </c>
      <c r="I1553" s="14" t="s">
        <v>131</v>
      </c>
      <c r="J1553" s="0" t="s">
        <v>132</v>
      </c>
      <c r="K1553" s="0" t="s">
        <v>260</v>
      </c>
      <c r="L1553" s="0" t="s">
        <v>261</v>
      </c>
      <c r="M1553" s="0" t="s">
        <v>272</v>
      </c>
      <c r="N1553" s="0" t="s">
        <v>273</v>
      </c>
      <c r="O1553" s="0" t="s">
        <v>176</v>
      </c>
      <c r="Q1553" s="0" t="s">
        <v>130</v>
      </c>
      <c r="R1553" s="0" t="s">
        <v>138</v>
      </c>
      <c r="S1553" s="14">
        <v>0</v>
      </c>
      <c r="T1553" s="0" t="s">
        <v>139</v>
      </c>
      <c r="U1553" s="0" t="s">
        <v>138</v>
      </c>
      <c r="V1553" s="14" t="s">
        <v>138</v>
      </c>
      <c r="W1553" s="0" t="s">
        <v>138</v>
      </c>
      <c r="X1553" s="14" t="s">
        <v>138</v>
      </c>
      <c r="Y1553" s="0" t="s">
        <v>138</v>
      </c>
      <c r="Z1553" s="14" t="s">
        <v>138</v>
      </c>
      <c r="AA1553" s="0" t="s">
        <v>138</v>
      </c>
      <c r="AB1553" s="14" t="s">
        <v>138</v>
      </c>
      <c r="AD1553" s="0" t="s">
        <v>138</v>
      </c>
      <c r="AF1553" s="0">
        <v>0</v>
      </c>
      <c r="AG1553" s="0">
        <v>0</v>
      </c>
      <c r="AH1553" s="0" t="s">
        <v>140</v>
      </c>
      <c r="AI1553" s="0" t="s">
        <v>138</v>
      </c>
      <c r="AL1553" s="14"/>
      <c r="AN1553" s="14"/>
      <c r="AQ1553" s="0" t="s">
        <v>130</v>
      </c>
      <c r="AR1553" s="0" t="s">
        <v>130</v>
      </c>
      <c r="AS1553" s="0" t="s">
        <v>130</v>
      </c>
      <c r="AT1553" s="0" t="s">
        <v>130</v>
      </c>
      <c r="AU1553" s="0" t="s">
        <v>130</v>
      </c>
      <c r="AV1553" s="0" t="s">
        <v>130</v>
      </c>
      <c r="AW1553" s="0" t="s">
        <v>130</v>
      </c>
      <c r="AX1553" s="0" t="s">
        <v>130</v>
      </c>
      <c r="AY1553" s="0" t="s">
        <v>130</v>
      </c>
      <c r="AZ1553" s="0" t="s">
        <v>130</v>
      </c>
      <c r="BA1553" s="0" t="s">
        <v>130</v>
      </c>
      <c r="BB1553" s="0" t="s">
        <v>141</v>
      </c>
      <c r="BC1553" s="0" t="s">
        <v>130</v>
      </c>
      <c r="BD1553" s="0" t="s">
        <v>130</v>
      </c>
      <c r="BE1553" s="0" t="s">
        <v>130</v>
      </c>
      <c r="BF1553" s="0" t="s">
        <v>130</v>
      </c>
      <c r="BG1553" s="0" t="s">
        <v>130</v>
      </c>
      <c r="BH1553" s="0" t="s">
        <v>130</v>
      </c>
      <c r="BI1553" s="0" t="s">
        <v>130</v>
      </c>
      <c r="BJ1553" s="0" t="s">
        <v>130</v>
      </c>
      <c r="BK1553" s="0" t="s">
        <v>130</v>
      </c>
      <c r="BL1553" s="0" t="s">
        <v>130</v>
      </c>
      <c r="BM1553" s="0" t="s">
        <v>130</v>
      </c>
      <c r="BN1553" s="0" t="s">
        <v>130</v>
      </c>
      <c r="BO1553" s="0" t="s">
        <v>130</v>
      </c>
      <c r="BP1553" s="0" t="s">
        <v>130</v>
      </c>
      <c r="BQ1553" s="0" t="s">
        <v>130</v>
      </c>
      <c r="BR1553" s="0" t="s">
        <v>130</v>
      </c>
      <c r="BS1553" s="0" t="s">
        <v>130</v>
      </c>
      <c r="BT1553" s="0" t="s">
        <v>130</v>
      </c>
      <c r="BU1553" s="0" t="s">
        <v>130</v>
      </c>
      <c r="BV1553" s="0" t="s">
        <v>130</v>
      </c>
      <c r="BW1553" s="0" t="s">
        <v>130</v>
      </c>
      <c r="BX1553" s="0" t="s">
        <v>130</v>
      </c>
      <c r="BY1553" s="0" t="s">
        <v>130</v>
      </c>
      <c r="BZ1553" s="0" t="s">
        <v>130</v>
      </c>
      <c r="CA1553" s="0" t="s">
        <v>130</v>
      </c>
      <c r="CB1553" s="0" t="s">
        <v>130</v>
      </c>
      <c r="CC1553" s="0" t="s">
        <v>130</v>
      </c>
      <c r="CD1553" s="0" t="s">
        <v>130</v>
      </c>
      <c r="CE1553" s="0" t="s">
        <v>130</v>
      </c>
      <c r="CF1553" s="0" t="s">
        <v>130</v>
      </c>
      <c r="CG1553" s="0" t="s">
        <v>130</v>
      </c>
      <c r="CH1553" s="0" t="s">
        <v>130</v>
      </c>
      <c r="CI1553" s="0" t="s">
        <v>130</v>
      </c>
      <c r="CJ1553" s="0" t="s">
        <v>130</v>
      </c>
      <c r="CK1553" s="0" t="s">
        <v>130</v>
      </c>
      <c r="CL1553" s="0" t="s">
        <v>130</v>
      </c>
      <c r="CM1553" s="0" t="s">
        <v>130</v>
      </c>
      <c r="CN1553" s="0" t="s">
        <v>130</v>
      </c>
      <c r="CO1553" s="0" t="s">
        <v>130</v>
      </c>
      <c r="CP1553" s="0" t="s">
        <v>130</v>
      </c>
      <c r="CQ1553" s="0" t="s">
        <v>130</v>
      </c>
      <c r="CR1553" s="0" t="s">
        <v>130</v>
      </c>
      <c r="CS1553" s="0" t="s">
        <v>130</v>
      </c>
      <c r="CT1553" s="0" t="s">
        <v>4488</v>
      </c>
    </row>
    <row r="1554">
      <c r="A1554" s="14">
        <v>36507453</v>
      </c>
      <c r="B1554" s="0" t="s">
        <v>4479</v>
      </c>
      <c r="C1554" s="16">
        <f>HYPERLINK("https://eosportal.federatedhermes.com/companies/Q29tcGFueQppNjI0Njg=", "CNH Industrial NV")</f>
      </c>
      <c r="D1554" s="0" t="s">
        <v>25</v>
      </c>
      <c r="E1554" s="0" t="s">
        <v>4489</v>
      </c>
      <c r="F1554" s="16">
        <f>HYPERLINK("https://eosportal.federatedhermes.com/engagements/RW5nYWdlbWVudAppMjg3MTc=", "Board composition - diversity")</f>
      </c>
      <c r="G1554" s="14" t="s">
        <v>4490</v>
      </c>
      <c r="H1554" s="0" t="s">
        <v>130</v>
      </c>
      <c r="I1554" s="14" t="s">
        <v>131</v>
      </c>
      <c r="J1554" s="0" t="s">
        <v>145</v>
      </c>
      <c r="K1554" s="0" t="s">
        <v>164</v>
      </c>
      <c r="L1554" s="0" t="s">
        <v>165</v>
      </c>
      <c r="M1554" s="0" t="s">
        <v>272</v>
      </c>
      <c r="N1554" s="0" t="s">
        <v>273</v>
      </c>
      <c r="O1554" s="0" t="s">
        <v>176</v>
      </c>
      <c r="Q1554" s="0" t="s">
        <v>130</v>
      </c>
      <c r="R1554" s="0" t="s">
        <v>138</v>
      </c>
      <c r="S1554" s="14">
        <v>0</v>
      </c>
      <c r="T1554" s="0" t="s">
        <v>206</v>
      </c>
      <c r="U1554" s="0" t="s">
        <v>138</v>
      </c>
      <c r="V1554" s="14" t="s">
        <v>138</v>
      </c>
      <c r="W1554" s="0" t="s">
        <v>138</v>
      </c>
      <c r="X1554" s="14" t="s">
        <v>138</v>
      </c>
      <c r="Y1554" s="0" t="s">
        <v>138</v>
      </c>
      <c r="Z1554" s="14" t="s">
        <v>138</v>
      </c>
      <c r="AA1554" s="0" t="s">
        <v>138</v>
      </c>
      <c r="AB1554" s="14" t="s">
        <v>138</v>
      </c>
      <c r="AD1554" s="0" t="s">
        <v>138</v>
      </c>
      <c r="AF1554" s="0">
        <v>0</v>
      </c>
      <c r="AG1554" s="0">
        <v>0</v>
      </c>
      <c r="AH1554" s="0" t="s">
        <v>140</v>
      </c>
      <c r="AI1554" s="0" t="s">
        <v>138</v>
      </c>
      <c r="AL1554" s="14"/>
      <c r="AN1554" s="14"/>
      <c r="AQ1554" s="0" t="s">
        <v>130</v>
      </c>
      <c r="AR1554" s="0" t="s">
        <v>130</v>
      </c>
      <c r="AS1554" s="0" t="s">
        <v>130</v>
      </c>
      <c r="AT1554" s="0" t="s">
        <v>130</v>
      </c>
      <c r="AU1554" s="0" t="s">
        <v>141</v>
      </c>
      <c r="AV1554" s="0" t="s">
        <v>130</v>
      </c>
      <c r="AW1554" s="0" t="s">
        <v>130</v>
      </c>
      <c r="AX1554" s="0" t="s">
        <v>130</v>
      </c>
      <c r="AY1554" s="0" t="s">
        <v>130</v>
      </c>
      <c r="AZ1554" s="0" t="s">
        <v>130</v>
      </c>
      <c r="BA1554" s="0" t="s">
        <v>130</v>
      </c>
      <c r="BB1554" s="0" t="s">
        <v>130</v>
      </c>
      <c r="BC1554" s="0" t="s">
        <v>130</v>
      </c>
      <c r="BD1554" s="0" t="s">
        <v>130</v>
      </c>
      <c r="BE1554" s="0" t="s">
        <v>130</v>
      </c>
      <c r="BF1554" s="0" t="s">
        <v>130</v>
      </c>
      <c r="BG1554" s="0" t="s">
        <v>130</v>
      </c>
      <c r="BH1554" s="0" t="s">
        <v>130</v>
      </c>
      <c r="BI1554" s="0" t="s">
        <v>130</v>
      </c>
      <c r="BJ1554" s="0" t="s">
        <v>130</v>
      </c>
      <c r="BK1554" s="0" t="s">
        <v>130</v>
      </c>
      <c r="BL1554" s="0" t="s">
        <v>130</v>
      </c>
      <c r="BM1554" s="0" t="s">
        <v>130</v>
      </c>
      <c r="BN1554" s="0" t="s">
        <v>130</v>
      </c>
      <c r="BO1554" s="0" t="s">
        <v>130</v>
      </c>
      <c r="BP1554" s="0" t="s">
        <v>130</v>
      </c>
      <c r="BQ1554" s="0" t="s">
        <v>130</v>
      </c>
      <c r="BR1554" s="0" t="s">
        <v>130</v>
      </c>
      <c r="BS1554" s="0" t="s">
        <v>130</v>
      </c>
      <c r="BT1554" s="0" t="s">
        <v>130</v>
      </c>
      <c r="BU1554" s="0" t="s">
        <v>130</v>
      </c>
      <c r="BV1554" s="0" t="s">
        <v>130</v>
      </c>
      <c r="BW1554" s="0" t="s">
        <v>130</v>
      </c>
      <c r="BX1554" s="0" t="s">
        <v>130</v>
      </c>
      <c r="BY1554" s="0" t="s">
        <v>130</v>
      </c>
      <c r="BZ1554" s="0" t="s">
        <v>130</v>
      </c>
      <c r="CA1554" s="0" t="s">
        <v>130</v>
      </c>
      <c r="CB1554" s="0" t="s">
        <v>130</v>
      </c>
      <c r="CC1554" s="0" t="s">
        <v>130</v>
      </c>
      <c r="CD1554" s="0" t="s">
        <v>130</v>
      </c>
      <c r="CE1554" s="0" t="s">
        <v>130</v>
      </c>
      <c r="CF1554" s="0" t="s">
        <v>130</v>
      </c>
      <c r="CG1554" s="0" t="s">
        <v>130</v>
      </c>
      <c r="CH1554" s="0" t="s">
        <v>130</v>
      </c>
      <c r="CI1554" s="0" t="s">
        <v>130</v>
      </c>
      <c r="CJ1554" s="0" t="s">
        <v>130</v>
      </c>
      <c r="CK1554" s="0" t="s">
        <v>130</v>
      </c>
      <c r="CL1554" s="0" t="s">
        <v>130</v>
      </c>
      <c r="CM1554" s="0" t="s">
        <v>130</v>
      </c>
      <c r="CN1554" s="0" t="s">
        <v>130</v>
      </c>
      <c r="CO1554" s="0" t="s">
        <v>130</v>
      </c>
      <c r="CP1554" s="0" t="s">
        <v>130</v>
      </c>
      <c r="CQ1554" s="0" t="s">
        <v>130</v>
      </c>
      <c r="CR1554" s="0" t="s">
        <v>130</v>
      </c>
      <c r="CS1554" s="0" t="s">
        <v>130</v>
      </c>
      <c r="CT1554" s="0" t="s">
        <v>4491</v>
      </c>
    </row>
    <row r="1555">
      <c r="A1555" s="14">
        <v>38799931</v>
      </c>
      <c r="B1555" s="0" t="s">
        <v>4492</v>
      </c>
      <c r="C1555" s="16">
        <f>HYPERLINK("https://eosportal.federatedhermes.com/companies/Q29tcGFueQppNzM3OTk=", "JD.com Inc")</f>
      </c>
      <c r="D1555" s="0" t="s">
        <v>25</v>
      </c>
      <c r="E1555" s="0" t="s">
        <v>4493</v>
      </c>
      <c r="F1555" s="16">
        <f>HYPERLINK("https://eosportal.federatedhermes.com/engagements/RW5nYWdlbWVudAppMjg3NDg=", "Minority shareholder interest protection")</f>
      </c>
      <c r="G1555" s="14" t="s">
        <v>4494</v>
      </c>
      <c r="H1555" s="0" t="s">
        <v>141</v>
      </c>
      <c r="I1555" s="14" t="s">
        <v>191</v>
      </c>
      <c r="J1555" s="0" t="s">
        <v>145</v>
      </c>
      <c r="K1555" s="0" t="s">
        <v>400</v>
      </c>
      <c r="L1555" s="0" t="s">
        <v>507</v>
      </c>
      <c r="M1555" s="0" t="s">
        <v>2807</v>
      </c>
      <c r="N1555" s="0" t="s">
        <v>3272</v>
      </c>
      <c r="O1555" s="0" t="s">
        <v>643</v>
      </c>
      <c r="Q1555" s="0" t="s">
        <v>141</v>
      </c>
      <c r="R1555" s="0" t="s">
        <v>138</v>
      </c>
      <c r="S1555" s="14">
        <v>4</v>
      </c>
      <c r="T1555" s="0" t="s">
        <v>359</v>
      </c>
      <c r="U1555" s="0" t="s">
        <v>138</v>
      </c>
      <c r="V1555" s="14" t="s">
        <v>138</v>
      </c>
      <c r="W1555" s="0" t="s">
        <v>138</v>
      </c>
      <c r="X1555" s="14" t="s">
        <v>138</v>
      </c>
      <c r="Y1555" s="0" t="s">
        <v>138</v>
      </c>
      <c r="Z1555" s="14" t="s">
        <v>138</v>
      </c>
      <c r="AA1555" s="0" t="s">
        <v>138</v>
      </c>
      <c r="AB1555" s="14" t="s">
        <v>138</v>
      </c>
      <c r="AD1555" s="0" t="s">
        <v>138</v>
      </c>
      <c r="AF1555" s="0">
        <v>0</v>
      </c>
      <c r="AG1555" s="0">
        <v>0</v>
      </c>
      <c r="AH1555" s="0" t="s">
        <v>140</v>
      </c>
      <c r="AI1555" s="0" t="s">
        <v>138</v>
      </c>
      <c r="AK1555" s="0" t="s">
        <v>584</v>
      </c>
      <c r="AL1555" s="14"/>
      <c r="AN1555" s="14"/>
      <c r="AQ1555" s="0" t="s">
        <v>130</v>
      </c>
      <c r="AR1555" s="0" t="s">
        <v>130</v>
      </c>
      <c r="AS1555" s="0" t="s">
        <v>130</v>
      </c>
      <c r="AT1555" s="0" t="s">
        <v>130</v>
      </c>
      <c r="AU1555" s="0" t="s">
        <v>130</v>
      </c>
      <c r="AV1555" s="0" t="s">
        <v>130</v>
      </c>
      <c r="AW1555" s="0" t="s">
        <v>130</v>
      </c>
      <c r="AX1555" s="0" t="s">
        <v>130</v>
      </c>
      <c r="AY1555" s="0" t="s">
        <v>130</v>
      </c>
      <c r="AZ1555" s="0" t="s">
        <v>130</v>
      </c>
      <c r="BA1555" s="0" t="s">
        <v>130</v>
      </c>
      <c r="BB1555" s="0" t="s">
        <v>130</v>
      </c>
      <c r="BC1555" s="0" t="s">
        <v>130</v>
      </c>
      <c r="BD1555" s="0" t="s">
        <v>130</v>
      </c>
      <c r="BE1555" s="0" t="s">
        <v>130</v>
      </c>
      <c r="BF1555" s="0" t="s">
        <v>130</v>
      </c>
      <c r="BG1555" s="0" t="s">
        <v>130</v>
      </c>
      <c r="BH1555" s="0" t="s">
        <v>130</v>
      </c>
      <c r="BI1555" s="0" t="s">
        <v>130</v>
      </c>
      <c r="BJ1555" s="0" t="s">
        <v>130</v>
      </c>
      <c r="BK1555" s="0" t="s">
        <v>130</v>
      </c>
      <c r="BL1555" s="0" t="s">
        <v>130</v>
      </c>
      <c r="BM1555" s="0" t="s">
        <v>130</v>
      </c>
      <c r="BN1555" s="0" t="s">
        <v>130</v>
      </c>
      <c r="BO1555" s="0" t="s">
        <v>130</v>
      </c>
      <c r="BP1555" s="0" t="s">
        <v>130</v>
      </c>
      <c r="BQ1555" s="0" t="s">
        <v>130</v>
      </c>
      <c r="BR1555" s="0" t="s">
        <v>130</v>
      </c>
      <c r="BS1555" s="0" t="s">
        <v>130</v>
      </c>
      <c r="BT1555" s="0" t="s">
        <v>130</v>
      </c>
      <c r="BU1555" s="0" t="s">
        <v>130</v>
      </c>
      <c r="BV1555" s="0" t="s">
        <v>130</v>
      </c>
      <c r="BW1555" s="0" t="s">
        <v>130</v>
      </c>
      <c r="BX1555" s="0" t="s">
        <v>130</v>
      </c>
      <c r="BY1555" s="0" t="s">
        <v>130</v>
      </c>
      <c r="BZ1555" s="0" t="s">
        <v>130</v>
      </c>
      <c r="CA1555" s="0" t="s">
        <v>130</v>
      </c>
      <c r="CB1555" s="0" t="s">
        <v>130</v>
      </c>
      <c r="CC1555" s="0" t="s">
        <v>130</v>
      </c>
      <c r="CD1555" s="0" t="s">
        <v>130</v>
      </c>
      <c r="CE1555" s="0" t="s">
        <v>130</v>
      </c>
      <c r="CF1555" s="0" t="s">
        <v>130</v>
      </c>
      <c r="CG1555" s="0" t="s">
        <v>130</v>
      </c>
      <c r="CH1555" s="0" t="s">
        <v>130</v>
      </c>
      <c r="CI1555" s="0" t="s">
        <v>130</v>
      </c>
      <c r="CJ1555" s="0" t="s">
        <v>130</v>
      </c>
      <c r="CK1555" s="0" t="s">
        <v>130</v>
      </c>
      <c r="CL1555" s="0" t="s">
        <v>130</v>
      </c>
      <c r="CM1555" s="0" t="s">
        <v>130</v>
      </c>
      <c r="CN1555" s="0" t="s">
        <v>130</v>
      </c>
      <c r="CO1555" s="0" t="s">
        <v>130</v>
      </c>
      <c r="CP1555" s="0" t="s">
        <v>130</v>
      </c>
      <c r="CQ1555" s="0" t="s">
        <v>130</v>
      </c>
      <c r="CR1555" s="0" t="s">
        <v>130</v>
      </c>
      <c r="CS1555" s="0" t="s">
        <v>130</v>
      </c>
      <c r="CT1555" s="0" t="s">
        <v>4495</v>
      </c>
    </row>
    <row r="1556">
      <c r="A1556" s="14">
        <v>38799931</v>
      </c>
      <c r="B1556" s="0" t="s">
        <v>4492</v>
      </c>
      <c r="C1556" s="16">
        <f>HYPERLINK("https://eosportal.federatedhermes.com/companies/Q29tcGFueQppNzM3OTk=", "JD.com Inc")</f>
      </c>
      <c r="D1556" s="0" t="s">
        <v>25</v>
      </c>
      <c r="E1556" s="0" t="s">
        <v>4496</v>
      </c>
      <c r="F1556" s="16">
        <f>HYPERLINK("https://eosportal.federatedhermes.com/engagements/RW5nYWdlbWVudAppMjg3NDk=", "Multiple class share structure")</f>
      </c>
      <c r="G1556" s="14" t="s">
        <v>4497</v>
      </c>
      <c r="H1556" s="0" t="s">
        <v>141</v>
      </c>
      <c r="I1556" s="14" t="s">
        <v>191</v>
      </c>
      <c r="J1556" s="0" t="s">
        <v>145</v>
      </c>
      <c r="K1556" s="0" t="s">
        <v>400</v>
      </c>
      <c r="L1556" s="0" t="s">
        <v>507</v>
      </c>
      <c r="M1556" s="0" t="s">
        <v>2807</v>
      </c>
      <c r="N1556" s="0" t="s">
        <v>3272</v>
      </c>
      <c r="O1556" s="0" t="s">
        <v>643</v>
      </c>
      <c r="Q1556" s="0" t="s">
        <v>141</v>
      </c>
      <c r="R1556" s="0" t="s">
        <v>138</v>
      </c>
      <c r="S1556" s="14">
        <v>3</v>
      </c>
      <c r="T1556" s="0" t="s">
        <v>343</v>
      </c>
      <c r="U1556" s="0" t="s">
        <v>138</v>
      </c>
      <c r="V1556" s="14" t="s">
        <v>138</v>
      </c>
      <c r="W1556" s="0" t="s">
        <v>138</v>
      </c>
      <c r="X1556" s="14" t="s">
        <v>138</v>
      </c>
      <c r="Y1556" s="0" t="s">
        <v>138</v>
      </c>
      <c r="Z1556" s="14" t="s">
        <v>138</v>
      </c>
      <c r="AA1556" s="0" t="s">
        <v>138</v>
      </c>
      <c r="AB1556" s="14" t="s">
        <v>138</v>
      </c>
      <c r="AD1556" s="0" t="s">
        <v>138</v>
      </c>
      <c r="AF1556" s="0">
        <v>0</v>
      </c>
      <c r="AG1556" s="0">
        <v>0</v>
      </c>
      <c r="AH1556" s="0" t="s">
        <v>140</v>
      </c>
      <c r="AI1556" s="0" t="s">
        <v>138</v>
      </c>
      <c r="AK1556" s="0" t="s">
        <v>584</v>
      </c>
      <c r="AL1556" s="14"/>
      <c r="AN1556" s="14"/>
      <c r="AQ1556" s="0" t="s">
        <v>130</v>
      </c>
      <c r="AR1556" s="0" t="s">
        <v>130</v>
      </c>
      <c r="AS1556" s="0" t="s">
        <v>130</v>
      </c>
      <c r="AT1556" s="0" t="s">
        <v>130</v>
      </c>
      <c r="AU1556" s="0" t="s">
        <v>130</v>
      </c>
      <c r="AV1556" s="0" t="s">
        <v>130</v>
      </c>
      <c r="AW1556" s="0" t="s">
        <v>130</v>
      </c>
      <c r="AX1556" s="0" t="s">
        <v>130</v>
      </c>
      <c r="AY1556" s="0" t="s">
        <v>130</v>
      </c>
      <c r="AZ1556" s="0" t="s">
        <v>130</v>
      </c>
      <c r="BA1556" s="0" t="s">
        <v>130</v>
      </c>
      <c r="BB1556" s="0" t="s">
        <v>130</v>
      </c>
      <c r="BC1556" s="0" t="s">
        <v>130</v>
      </c>
      <c r="BD1556" s="0" t="s">
        <v>130</v>
      </c>
      <c r="BE1556" s="0" t="s">
        <v>130</v>
      </c>
      <c r="BF1556" s="0" t="s">
        <v>130</v>
      </c>
      <c r="BG1556" s="0" t="s">
        <v>130</v>
      </c>
      <c r="BH1556" s="0" t="s">
        <v>130</v>
      </c>
      <c r="BI1556" s="0" t="s">
        <v>130</v>
      </c>
      <c r="BJ1556" s="0" t="s">
        <v>130</v>
      </c>
      <c r="BK1556" s="0" t="s">
        <v>130</v>
      </c>
      <c r="BL1556" s="0" t="s">
        <v>130</v>
      </c>
      <c r="BM1556" s="0" t="s">
        <v>130</v>
      </c>
      <c r="BN1556" s="0" t="s">
        <v>130</v>
      </c>
      <c r="BO1556" s="0" t="s">
        <v>130</v>
      </c>
      <c r="BP1556" s="0" t="s">
        <v>130</v>
      </c>
      <c r="BQ1556" s="0" t="s">
        <v>130</v>
      </c>
      <c r="BR1556" s="0" t="s">
        <v>130</v>
      </c>
      <c r="BS1556" s="0" t="s">
        <v>130</v>
      </c>
      <c r="BT1556" s="0" t="s">
        <v>130</v>
      </c>
      <c r="BU1556" s="0" t="s">
        <v>130</v>
      </c>
      <c r="BV1556" s="0" t="s">
        <v>130</v>
      </c>
      <c r="BW1556" s="0" t="s">
        <v>130</v>
      </c>
      <c r="BX1556" s="0" t="s">
        <v>130</v>
      </c>
      <c r="BY1556" s="0" t="s">
        <v>130</v>
      </c>
      <c r="BZ1556" s="0" t="s">
        <v>130</v>
      </c>
      <c r="CA1556" s="0" t="s">
        <v>130</v>
      </c>
      <c r="CB1556" s="0" t="s">
        <v>130</v>
      </c>
      <c r="CC1556" s="0" t="s">
        <v>130</v>
      </c>
      <c r="CD1556" s="0" t="s">
        <v>130</v>
      </c>
      <c r="CE1556" s="0" t="s">
        <v>130</v>
      </c>
      <c r="CF1556" s="0" t="s">
        <v>130</v>
      </c>
      <c r="CG1556" s="0" t="s">
        <v>130</v>
      </c>
      <c r="CH1556" s="0" t="s">
        <v>130</v>
      </c>
      <c r="CI1556" s="0" t="s">
        <v>130</v>
      </c>
      <c r="CJ1556" s="0" t="s">
        <v>130</v>
      </c>
      <c r="CK1556" s="0" t="s">
        <v>130</v>
      </c>
      <c r="CL1556" s="0" t="s">
        <v>130</v>
      </c>
      <c r="CM1556" s="0" t="s">
        <v>130</v>
      </c>
      <c r="CN1556" s="0" t="s">
        <v>130</v>
      </c>
      <c r="CO1556" s="0" t="s">
        <v>130</v>
      </c>
      <c r="CP1556" s="0" t="s">
        <v>130</v>
      </c>
      <c r="CQ1556" s="0" t="s">
        <v>130</v>
      </c>
      <c r="CR1556" s="0" t="s">
        <v>130</v>
      </c>
      <c r="CS1556" s="0" t="s">
        <v>130</v>
      </c>
      <c r="CT1556" s="0" t="s">
        <v>4498</v>
      </c>
    </row>
    <row r="1557">
      <c r="A1557" s="14">
        <v>38799931</v>
      </c>
      <c r="B1557" s="0" t="s">
        <v>4492</v>
      </c>
      <c r="C1557" s="16">
        <f>HYPERLINK("https://eosportal.federatedhermes.com/companies/Q29tcGFueQppNzM3OTk=", "JD.com Inc")</f>
      </c>
      <c r="D1557" s="0" t="s">
        <v>23</v>
      </c>
      <c r="E1557" s="0" t="s">
        <v>4499</v>
      </c>
      <c r="F1557" s="16">
        <f>HYPERLINK("https://eosportal.federatedhermes.com/engagements/RW5nYWdlbWVudAppMjg3NTA=", "Company to add director election as agenda in AGM")</f>
      </c>
      <c r="G1557" s="14" t="s">
        <v>4500</v>
      </c>
      <c r="H1557" s="0" t="s">
        <v>141</v>
      </c>
      <c r="I1557" s="14" t="s">
        <v>191</v>
      </c>
      <c r="J1557" s="0" t="s">
        <v>145</v>
      </c>
      <c r="K1557" s="0" t="s">
        <v>400</v>
      </c>
      <c r="L1557" s="0" t="s">
        <v>401</v>
      </c>
      <c r="M1557" s="0" t="s">
        <v>2807</v>
      </c>
      <c r="N1557" s="0" t="s">
        <v>3272</v>
      </c>
      <c r="O1557" s="0" t="s">
        <v>643</v>
      </c>
      <c r="Q1557" s="0" t="s">
        <v>141</v>
      </c>
      <c r="R1557" s="0" t="s">
        <v>130</v>
      </c>
      <c r="S1557" s="14">
        <v>2</v>
      </c>
      <c r="T1557" s="0" t="s">
        <v>355</v>
      </c>
      <c r="U1557" s="0" t="s">
        <v>221</v>
      </c>
      <c r="V1557" s="14" t="s">
        <v>355</v>
      </c>
      <c r="W1557" s="0" t="s">
        <v>221</v>
      </c>
      <c r="X1557" s="14" t="s">
        <v>231</v>
      </c>
      <c r="Y1557" s="0" t="s">
        <v>223</v>
      </c>
      <c r="Z1557" s="14" t="s">
        <v>138</v>
      </c>
      <c r="AA1557" s="0" t="s">
        <v>224</v>
      </c>
      <c r="AB1557" s="14" t="s">
        <v>138</v>
      </c>
      <c r="AD1557" s="0" t="s">
        <v>17</v>
      </c>
      <c r="AF1557" s="0">
        <v>0</v>
      </c>
      <c r="AG1557" s="0">
        <v>0</v>
      </c>
      <c r="AH1557" s="0" t="s">
        <v>140</v>
      </c>
      <c r="AI1557" s="0" t="s">
        <v>479</v>
      </c>
      <c r="AK1557" s="0" t="s">
        <v>584</v>
      </c>
      <c r="AL1557" s="14"/>
      <c r="AN1557" s="14"/>
      <c r="AQ1557" s="0" t="s">
        <v>130</v>
      </c>
      <c r="AR1557" s="0" t="s">
        <v>130</v>
      </c>
      <c r="AS1557" s="0" t="s">
        <v>130</v>
      </c>
      <c r="AT1557" s="0" t="s">
        <v>130</v>
      </c>
      <c r="AU1557" s="0" t="s">
        <v>130</v>
      </c>
      <c r="AV1557" s="0" t="s">
        <v>130</v>
      </c>
      <c r="AW1557" s="0" t="s">
        <v>130</v>
      </c>
      <c r="AX1557" s="0" t="s">
        <v>130</v>
      </c>
      <c r="AY1557" s="0" t="s">
        <v>130</v>
      </c>
      <c r="AZ1557" s="0" t="s">
        <v>130</v>
      </c>
      <c r="BA1557" s="0" t="s">
        <v>130</v>
      </c>
      <c r="BB1557" s="0" t="s">
        <v>130</v>
      </c>
      <c r="BC1557" s="0" t="s">
        <v>130</v>
      </c>
      <c r="BD1557" s="0" t="s">
        <v>130</v>
      </c>
      <c r="BE1557" s="0" t="s">
        <v>130</v>
      </c>
      <c r="BF1557" s="0" t="s">
        <v>130</v>
      </c>
      <c r="BG1557" s="0" t="s">
        <v>130</v>
      </c>
      <c r="BH1557" s="0" t="s">
        <v>130</v>
      </c>
      <c r="BI1557" s="0" t="s">
        <v>130</v>
      </c>
      <c r="BJ1557" s="0" t="s">
        <v>130</v>
      </c>
      <c r="BK1557" s="0" t="s">
        <v>130</v>
      </c>
      <c r="BL1557" s="0" t="s">
        <v>130</v>
      </c>
      <c r="BM1557" s="0" t="s">
        <v>130</v>
      </c>
      <c r="BN1557" s="0" t="s">
        <v>130</v>
      </c>
      <c r="BO1557" s="0" t="s">
        <v>130</v>
      </c>
      <c r="BP1557" s="0" t="s">
        <v>130</v>
      </c>
      <c r="BQ1557" s="0" t="s">
        <v>130</v>
      </c>
      <c r="BR1557" s="0" t="s">
        <v>130</v>
      </c>
      <c r="BS1557" s="0" t="s">
        <v>130</v>
      </c>
      <c r="BT1557" s="0" t="s">
        <v>130</v>
      </c>
      <c r="BU1557" s="0" t="s">
        <v>130</v>
      </c>
      <c r="BV1557" s="0" t="s">
        <v>130</v>
      </c>
      <c r="BW1557" s="0" t="s">
        <v>130</v>
      </c>
      <c r="BX1557" s="0" t="s">
        <v>130</v>
      </c>
      <c r="BY1557" s="0" t="s">
        <v>130</v>
      </c>
      <c r="BZ1557" s="0" t="s">
        <v>130</v>
      </c>
      <c r="CA1557" s="0" t="s">
        <v>130</v>
      </c>
      <c r="CB1557" s="0" t="s">
        <v>130</v>
      </c>
      <c r="CC1557" s="0" t="s">
        <v>130</v>
      </c>
      <c r="CD1557" s="0" t="s">
        <v>130</v>
      </c>
      <c r="CE1557" s="0" t="s">
        <v>130</v>
      </c>
      <c r="CF1557" s="0" t="s">
        <v>130</v>
      </c>
      <c r="CG1557" s="0" t="s">
        <v>130</v>
      </c>
      <c r="CH1557" s="0" t="s">
        <v>130</v>
      </c>
      <c r="CI1557" s="0" t="s">
        <v>130</v>
      </c>
      <c r="CJ1557" s="0" t="s">
        <v>130</v>
      </c>
      <c r="CK1557" s="0" t="s">
        <v>130</v>
      </c>
      <c r="CL1557" s="0" t="s">
        <v>130</v>
      </c>
      <c r="CM1557" s="0" t="s">
        <v>130</v>
      </c>
      <c r="CN1557" s="0" t="s">
        <v>130</v>
      </c>
      <c r="CO1557" s="0" t="s">
        <v>130</v>
      </c>
      <c r="CP1557" s="0" t="s">
        <v>130</v>
      </c>
      <c r="CQ1557" s="0" t="s">
        <v>130</v>
      </c>
      <c r="CR1557" s="0" t="s">
        <v>130</v>
      </c>
      <c r="CS1557" s="0" t="s">
        <v>130</v>
      </c>
      <c r="CT1557" s="0" t="s">
        <v>4501</v>
      </c>
    </row>
    <row r="1558">
      <c r="A1558" s="14">
        <v>38799931</v>
      </c>
      <c r="B1558" s="0" t="s">
        <v>4492</v>
      </c>
      <c r="C1558" s="16">
        <f>HYPERLINK("https://eosportal.federatedhermes.com/companies/Q29tcGFueQppNzM3OTk=", "JD.com Inc")</f>
      </c>
      <c r="D1558" s="0" t="s">
        <v>25</v>
      </c>
      <c r="E1558" s="0" t="s">
        <v>4502</v>
      </c>
      <c r="F1558" s="16">
        <f>HYPERLINK("https://eosportal.federatedhermes.com/engagements/RW5nYWdlbWVudAppMjg3NTE=", "Xinjinag forced labour issue")</f>
      </c>
      <c r="G1558" s="14" t="s">
        <v>4503</v>
      </c>
      <c r="H1558" s="0" t="s">
        <v>141</v>
      </c>
      <c r="I1558" s="14" t="s">
        <v>191</v>
      </c>
      <c r="J1558" s="0" t="s">
        <v>153</v>
      </c>
      <c r="K1558" s="0" t="s">
        <v>243</v>
      </c>
      <c r="L1558" s="0" t="s">
        <v>244</v>
      </c>
      <c r="M1558" s="0" t="s">
        <v>2807</v>
      </c>
      <c r="N1558" s="0" t="s">
        <v>3272</v>
      </c>
      <c r="O1558" s="0" t="s">
        <v>643</v>
      </c>
      <c r="Q1558" s="0" t="s">
        <v>130</v>
      </c>
      <c r="R1558" s="0" t="s">
        <v>138</v>
      </c>
      <c r="S1558" s="14">
        <v>0</v>
      </c>
      <c r="T1558" s="0" t="s">
        <v>355</v>
      </c>
      <c r="U1558" s="0" t="s">
        <v>138</v>
      </c>
      <c r="V1558" s="14" t="s">
        <v>138</v>
      </c>
      <c r="W1558" s="0" t="s">
        <v>138</v>
      </c>
      <c r="X1558" s="14" t="s">
        <v>138</v>
      </c>
      <c r="Y1558" s="0" t="s">
        <v>138</v>
      </c>
      <c r="Z1558" s="14" t="s">
        <v>138</v>
      </c>
      <c r="AA1558" s="0" t="s">
        <v>138</v>
      </c>
      <c r="AB1558" s="14" t="s">
        <v>138</v>
      </c>
      <c r="AD1558" s="0" t="s">
        <v>138</v>
      </c>
      <c r="AF1558" s="0">
        <v>0</v>
      </c>
      <c r="AG1558" s="0">
        <v>0</v>
      </c>
      <c r="AH1558" s="0" t="s">
        <v>140</v>
      </c>
      <c r="AI1558" s="0" t="s">
        <v>138</v>
      </c>
      <c r="AL1558" s="14"/>
      <c r="AN1558" s="14"/>
      <c r="AQ1558" s="0" t="s">
        <v>130</v>
      </c>
      <c r="AR1558" s="0" t="s">
        <v>130</v>
      </c>
      <c r="AS1558" s="0" t="s">
        <v>130</v>
      </c>
      <c r="AT1558" s="0" t="s">
        <v>130</v>
      </c>
      <c r="AU1558" s="0" t="s">
        <v>130</v>
      </c>
      <c r="AV1558" s="0" t="s">
        <v>130</v>
      </c>
      <c r="AW1558" s="0" t="s">
        <v>130</v>
      </c>
      <c r="AX1558" s="0" t="s">
        <v>130</v>
      </c>
      <c r="AY1558" s="0" t="s">
        <v>130</v>
      </c>
      <c r="AZ1558" s="0" t="s">
        <v>130</v>
      </c>
      <c r="BA1558" s="0" t="s">
        <v>130</v>
      </c>
      <c r="BB1558" s="0" t="s">
        <v>130</v>
      </c>
      <c r="BC1558" s="0" t="s">
        <v>130</v>
      </c>
      <c r="BD1558" s="0" t="s">
        <v>130</v>
      </c>
      <c r="BE1558" s="0" t="s">
        <v>130</v>
      </c>
      <c r="BF1558" s="0" t="s">
        <v>141</v>
      </c>
      <c r="BG1558" s="0" t="s">
        <v>130</v>
      </c>
      <c r="BH1558" s="0" t="s">
        <v>130</v>
      </c>
      <c r="BI1558" s="0" t="s">
        <v>130</v>
      </c>
      <c r="BJ1558" s="0" t="s">
        <v>130</v>
      </c>
      <c r="BK1558" s="0" t="s">
        <v>130</v>
      </c>
      <c r="BL1558" s="0" t="s">
        <v>130</v>
      </c>
      <c r="BM1558" s="0" t="s">
        <v>130</v>
      </c>
      <c r="BN1558" s="0" t="s">
        <v>130</v>
      </c>
      <c r="BO1558" s="0" t="s">
        <v>130</v>
      </c>
      <c r="BP1558" s="0" t="s">
        <v>130</v>
      </c>
      <c r="BQ1558" s="0" t="s">
        <v>130</v>
      </c>
      <c r="BR1558" s="0" t="s">
        <v>130</v>
      </c>
      <c r="BS1558" s="0" t="s">
        <v>130</v>
      </c>
      <c r="BT1558" s="0" t="s">
        <v>130</v>
      </c>
      <c r="BU1558" s="0" t="s">
        <v>130</v>
      </c>
      <c r="BV1558" s="0" t="s">
        <v>130</v>
      </c>
      <c r="BW1558" s="0" t="s">
        <v>130</v>
      </c>
      <c r="BX1558" s="0" t="s">
        <v>130</v>
      </c>
      <c r="BY1558" s="0" t="s">
        <v>130</v>
      </c>
      <c r="BZ1558" s="0" t="s">
        <v>130</v>
      </c>
      <c r="CA1558" s="0" t="s">
        <v>130</v>
      </c>
      <c r="CB1558" s="0" t="s">
        <v>130</v>
      </c>
      <c r="CC1558" s="0" t="s">
        <v>130</v>
      </c>
      <c r="CD1558" s="0" t="s">
        <v>130</v>
      </c>
      <c r="CE1558" s="0" t="s">
        <v>130</v>
      </c>
      <c r="CF1558" s="0" t="s">
        <v>130</v>
      </c>
      <c r="CG1558" s="0" t="s">
        <v>130</v>
      </c>
      <c r="CH1558" s="0" t="s">
        <v>130</v>
      </c>
      <c r="CI1558" s="0" t="s">
        <v>130</v>
      </c>
      <c r="CJ1558" s="0" t="s">
        <v>130</v>
      </c>
      <c r="CK1558" s="0" t="s">
        <v>130</v>
      </c>
      <c r="CL1558" s="0" t="s">
        <v>130</v>
      </c>
      <c r="CM1558" s="0" t="s">
        <v>130</v>
      </c>
      <c r="CN1558" s="0" t="s">
        <v>130</v>
      </c>
      <c r="CO1558" s="0" t="s">
        <v>130</v>
      </c>
      <c r="CP1558" s="0" t="s">
        <v>130</v>
      </c>
      <c r="CQ1558" s="0" t="s">
        <v>130</v>
      </c>
      <c r="CR1558" s="0" t="s">
        <v>130</v>
      </c>
      <c r="CS1558" s="0" t="s">
        <v>130</v>
      </c>
      <c r="CT1558" s="0" t="s">
        <v>4504</v>
      </c>
    </row>
    <row r="1559">
      <c r="A1559" s="14">
        <v>38799931</v>
      </c>
      <c r="B1559" s="0" t="s">
        <v>4492</v>
      </c>
      <c r="C1559" s="16">
        <f>HYPERLINK("https://eosportal.federatedhermes.com/companies/Q29tcGFueQppNzM3OTk=", "JD.com Inc")</f>
      </c>
      <c r="D1559" s="0" t="s">
        <v>25</v>
      </c>
      <c r="E1559" s="0" t="s">
        <v>4505</v>
      </c>
      <c r="F1559" s="16">
        <f>HYPERLINK("https://eosportal.federatedhermes.com/engagements/RW5nYWdlbWVudAppMjg3NTI=", "Blockchain for supply chain management")</f>
      </c>
      <c r="G1559" s="14" t="s">
        <v>4506</v>
      </c>
      <c r="H1559" s="0" t="s">
        <v>141</v>
      </c>
      <c r="I1559" s="14" t="s">
        <v>191</v>
      </c>
      <c r="J1559" s="0" t="s">
        <v>153</v>
      </c>
      <c r="K1559" s="0" t="s">
        <v>243</v>
      </c>
      <c r="L1559" s="0" t="s">
        <v>244</v>
      </c>
      <c r="M1559" s="0" t="s">
        <v>2807</v>
      </c>
      <c r="N1559" s="0" t="s">
        <v>3272</v>
      </c>
      <c r="O1559" s="0" t="s">
        <v>643</v>
      </c>
      <c r="Q1559" s="0" t="s">
        <v>130</v>
      </c>
      <c r="R1559" s="0" t="s">
        <v>138</v>
      </c>
      <c r="S1559" s="14">
        <v>0</v>
      </c>
      <c r="T1559" s="0" t="s">
        <v>249</v>
      </c>
      <c r="U1559" s="0" t="s">
        <v>138</v>
      </c>
      <c r="V1559" s="14" t="s">
        <v>138</v>
      </c>
      <c r="W1559" s="0" t="s">
        <v>138</v>
      </c>
      <c r="X1559" s="14" t="s">
        <v>138</v>
      </c>
      <c r="Y1559" s="0" t="s">
        <v>138</v>
      </c>
      <c r="Z1559" s="14" t="s">
        <v>138</v>
      </c>
      <c r="AA1559" s="0" t="s">
        <v>138</v>
      </c>
      <c r="AB1559" s="14" t="s">
        <v>138</v>
      </c>
      <c r="AD1559" s="0" t="s">
        <v>138</v>
      </c>
      <c r="AF1559" s="0">
        <v>0</v>
      </c>
      <c r="AG1559" s="0">
        <v>0</v>
      </c>
      <c r="AH1559" s="0" t="s">
        <v>140</v>
      </c>
      <c r="AI1559" s="0" t="s">
        <v>138</v>
      </c>
      <c r="AL1559" s="14"/>
      <c r="AN1559" s="14"/>
      <c r="AQ1559" s="0" t="s">
        <v>130</v>
      </c>
      <c r="AR1559" s="0" t="s">
        <v>130</v>
      </c>
      <c r="AS1559" s="0" t="s">
        <v>130</v>
      </c>
      <c r="AT1559" s="0" t="s">
        <v>130</v>
      </c>
      <c r="AU1559" s="0" t="s">
        <v>130</v>
      </c>
      <c r="AV1559" s="0" t="s">
        <v>130</v>
      </c>
      <c r="AW1559" s="0" t="s">
        <v>130</v>
      </c>
      <c r="AX1559" s="0" t="s">
        <v>130</v>
      </c>
      <c r="AY1559" s="0" t="s">
        <v>130</v>
      </c>
      <c r="AZ1559" s="0" t="s">
        <v>130</v>
      </c>
      <c r="BA1559" s="0" t="s">
        <v>130</v>
      </c>
      <c r="BB1559" s="0" t="s">
        <v>130</v>
      </c>
      <c r="BC1559" s="0" t="s">
        <v>130</v>
      </c>
      <c r="BD1559" s="0" t="s">
        <v>130</v>
      </c>
      <c r="BE1559" s="0" t="s">
        <v>130</v>
      </c>
      <c r="BF1559" s="0" t="s">
        <v>130</v>
      </c>
      <c r="BG1559" s="0" t="s">
        <v>130</v>
      </c>
      <c r="BH1559" s="0" t="s">
        <v>130</v>
      </c>
      <c r="BI1559" s="0" t="s">
        <v>130</v>
      </c>
      <c r="BJ1559" s="0" t="s">
        <v>130</v>
      </c>
      <c r="BK1559" s="0" t="s">
        <v>130</v>
      </c>
      <c r="BL1559" s="0" t="s">
        <v>130</v>
      </c>
      <c r="BM1559" s="0" t="s">
        <v>130</v>
      </c>
      <c r="BN1559" s="0" t="s">
        <v>130</v>
      </c>
      <c r="BO1559" s="0" t="s">
        <v>130</v>
      </c>
      <c r="BP1559" s="0" t="s">
        <v>130</v>
      </c>
      <c r="BQ1559" s="0" t="s">
        <v>130</v>
      </c>
      <c r="BR1559" s="0" t="s">
        <v>130</v>
      </c>
      <c r="BS1559" s="0" t="s">
        <v>130</v>
      </c>
      <c r="BT1559" s="0" t="s">
        <v>130</v>
      </c>
      <c r="BU1559" s="0" t="s">
        <v>130</v>
      </c>
      <c r="BV1559" s="0" t="s">
        <v>130</v>
      </c>
      <c r="BW1559" s="0" t="s">
        <v>130</v>
      </c>
      <c r="BX1559" s="0" t="s">
        <v>130</v>
      </c>
      <c r="BY1559" s="0" t="s">
        <v>130</v>
      </c>
      <c r="BZ1559" s="0" t="s">
        <v>130</v>
      </c>
      <c r="CA1559" s="0" t="s">
        <v>130</v>
      </c>
      <c r="CB1559" s="0" t="s">
        <v>130</v>
      </c>
      <c r="CC1559" s="0" t="s">
        <v>130</v>
      </c>
      <c r="CD1559" s="0" t="s">
        <v>130</v>
      </c>
      <c r="CE1559" s="0" t="s">
        <v>130</v>
      </c>
      <c r="CF1559" s="0" t="s">
        <v>130</v>
      </c>
      <c r="CG1559" s="0" t="s">
        <v>130</v>
      </c>
      <c r="CH1559" s="0" t="s">
        <v>130</v>
      </c>
      <c r="CI1559" s="0" t="s">
        <v>130</v>
      </c>
      <c r="CJ1559" s="0" t="s">
        <v>130</v>
      </c>
      <c r="CK1559" s="0" t="s">
        <v>130</v>
      </c>
      <c r="CL1559" s="0" t="s">
        <v>130</v>
      </c>
      <c r="CM1559" s="0" t="s">
        <v>130</v>
      </c>
      <c r="CN1559" s="0" t="s">
        <v>130</v>
      </c>
      <c r="CO1559" s="0" t="s">
        <v>130</v>
      </c>
      <c r="CP1559" s="0" t="s">
        <v>130</v>
      </c>
      <c r="CQ1559" s="0" t="s">
        <v>130</v>
      </c>
      <c r="CR1559" s="0" t="s">
        <v>130</v>
      </c>
      <c r="CS1559" s="0" t="s">
        <v>130</v>
      </c>
      <c r="CT1559" s="0" t="s">
        <v>4507</v>
      </c>
    </row>
    <row r="1560">
      <c r="A1560" s="14">
        <v>38799931</v>
      </c>
      <c r="B1560" s="0" t="s">
        <v>4492</v>
      </c>
      <c r="C1560" s="16">
        <f>HYPERLINK("https://eosportal.federatedhermes.com/companies/Q29tcGFueQppNzM3OTk=", "JD.com Inc")</f>
      </c>
      <c r="D1560" s="0" t="s">
        <v>23</v>
      </c>
      <c r="E1560" s="0" t="s">
        <v>4508</v>
      </c>
      <c r="F1560" s="16">
        <f>HYPERLINK("https://eosportal.federatedhermes.com/engagements/RW5nYWdlbWVudAppMjg3NTc=", "Share Class Structure")</f>
      </c>
      <c r="G1560" s="14" t="s">
        <v>4509</v>
      </c>
      <c r="H1560" s="0" t="s">
        <v>141</v>
      </c>
      <c r="I1560" s="14" t="s">
        <v>191</v>
      </c>
      <c r="J1560" s="0" t="s">
        <v>145</v>
      </c>
      <c r="K1560" s="0" t="s">
        <v>400</v>
      </c>
      <c r="L1560" s="0" t="s">
        <v>507</v>
      </c>
      <c r="M1560" s="0" t="s">
        <v>2807</v>
      </c>
      <c r="N1560" s="0" t="s">
        <v>3272</v>
      </c>
      <c r="O1560" s="0" t="s">
        <v>643</v>
      </c>
      <c r="Q1560" s="0" t="s">
        <v>141</v>
      </c>
      <c r="R1560" s="0" t="s">
        <v>130</v>
      </c>
      <c r="S1560" s="14">
        <v>2</v>
      </c>
      <c r="T1560" s="0" t="s">
        <v>230</v>
      </c>
      <c r="U1560" s="0" t="s">
        <v>221</v>
      </c>
      <c r="V1560" s="14" t="s">
        <v>230</v>
      </c>
      <c r="W1560" s="0" t="s">
        <v>221</v>
      </c>
      <c r="X1560" s="14" t="s">
        <v>230</v>
      </c>
      <c r="Y1560" s="0" t="s">
        <v>223</v>
      </c>
      <c r="Z1560" s="14" t="s">
        <v>138</v>
      </c>
      <c r="AA1560" s="0" t="s">
        <v>224</v>
      </c>
      <c r="AB1560" s="14" t="s">
        <v>138</v>
      </c>
      <c r="AD1560" s="0" t="s">
        <v>17</v>
      </c>
      <c r="AF1560" s="0">
        <v>0</v>
      </c>
      <c r="AG1560" s="0">
        <v>0</v>
      </c>
      <c r="AH1560" s="0" t="s">
        <v>140</v>
      </c>
      <c r="AI1560" s="0" t="s">
        <v>232</v>
      </c>
      <c r="AK1560" s="0" t="s">
        <v>584</v>
      </c>
      <c r="AL1560" s="14"/>
      <c r="AN1560" s="14"/>
      <c r="AQ1560" s="0" t="s">
        <v>130</v>
      </c>
      <c r="AR1560" s="0" t="s">
        <v>130</v>
      </c>
      <c r="AS1560" s="0" t="s">
        <v>130</v>
      </c>
      <c r="AT1560" s="0" t="s">
        <v>130</v>
      </c>
      <c r="AU1560" s="0" t="s">
        <v>130</v>
      </c>
      <c r="AV1560" s="0" t="s">
        <v>130</v>
      </c>
      <c r="AW1560" s="0" t="s">
        <v>130</v>
      </c>
      <c r="AX1560" s="0" t="s">
        <v>130</v>
      </c>
      <c r="AY1560" s="0" t="s">
        <v>130</v>
      </c>
      <c r="AZ1560" s="0" t="s">
        <v>130</v>
      </c>
      <c r="BA1560" s="0" t="s">
        <v>130</v>
      </c>
      <c r="BB1560" s="0" t="s">
        <v>130</v>
      </c>
      <c r="BC1560" s="0" t="s">
        <v>130</v>
      </c>
      <c r="BD1560" s="0" t="s">
        <v>130</v>
      </c>
      <c r="BE1560" s="0" t="s">
        <v>130</v>
      </c>
      <c r="BF1560" s="0" t="s">
        <v>130</v>
      </c>
      <c r="BG1560" s="0" t="s">
        <v>130</v>
      </c>
      <c r="BH1560" s="0" t="s">
        <v>130</v>
      </c>
      <c r="BI1560" s="0" t="s">
        <v>130</v>
      </c>
      <c r="BJ1560" s="0" t="s">
        <v>130</v>
      </c>
      <c r="BK1560" s="0" t="s">
        <v>130</v>
      </c>
      <c r="BL1560" s="0" t="s">
        <v>130</v>
      </c>
      <c r="BM1560" s="0" t="s">
        <v>130</v>
      </c>
      <c r="BN1560" s="0" t="s">
        <v>130</v>
      </c>
      <c r="BO1560" s="0" t="s">
        <v>130</v>
      </c>
      <c r="BP1560" s="0" t="s">
        <v>130</v>
      </c>
      <c r="BQ1560" s="0" t="s">
        <v>130</v>
      </c>
      <c r="BR1560" s="0" t="s">
        <v>130</v>
      </c>
      <c r="BS1560" s="0" t="s">
        <v>130</v>
      </c>
      <c r="BT1560" s="0" t="s">
        <v>130</v>
      </c>
      <c r="BU1560" s="0" t="s">
        <v>130</v>
      </c>
      <c r="BV1560" s="0" t="s">
        <v>130</v>
      </c>
      <c r="BW1560" s="0" t="s">
        <v>130</v>
      </c>
      <c r="BX1560" s="0" t="s">
        <v>130</v>
      </c>
      <c r="BY1560" s="0" t="s">
        <v>130</v>
      </c>
      <c r="BZ1560" s="0" t="s">
        <v>130</v>
      </c>
      <c r="CA1560" s="0" t="s">
        <v>130</v>
      </c>
      <c r="CB1560" s="0" t="s">
        <v>130</v>
      </c>
      <c r="CC1560" s="0" t="s">
        <v>130</v>
      </c>
      <c r="CD1560" s="0" t="s">
        <v>130</v>
      </c>
      <c r="CE1560" s="0" t="s">
        <v>130</v>
      </c>
      <c r="CF1560" s="0" t="s">
        <v>130</v>
      </c>
      <c r="CG1560" s="0" t="s">
        <v>130</v>
      </c>
      <c r="CH1560" s="0" t="s">
        <v>130</v>
      </c>
      <c r="CI1560" s="0" t="s">
        <v>130</v>
      </c>
      <c r="CJ1560" s="0" t="s">
        <v>130</v>
      </c>
      <c r="CK1560" s="0" t="s">
        <v>130</v>
      </c>
      <c r="CL1560" s="0" t="s">
        <v>130</v>
      </c>
      <c r="CM1560" s="0" t="s">
        <v>130</v>
      </c>
      <c r="CN1560" s="0" t="s">
        <v>130</v>
      </c>
      <c r="CO1560" s="0" t="s">
        <v>130</v>
      </c>
      <c r="CP1560" s="0" t="s">
        <v>130</v>
      </c>
      <c r="CQ1560" s="0" t="s">
        <v>130</v>
      </c>
      <c r="CR1560" s="0" t="s">
        <v>130</v>
      </c>
      <c r="CS1560" s="0" t="s">
        <v>130</v>
      </c>
      <c r="CT1560" s="0" t="s">
        <v>4510</v>
      </c>
    </row>
    <row r="1561">
      <c r="A1561" s="14">
        <v>38799931</v>
      </c>
      <c r="B1561" s="0" t="s">
        <v>4492</v>
      </c>
      <c r="C1561" s="16">
        <f>HYPERLINK("https://eosportal.federatedhermes.com/companies/Q29tcGFueQppNzM3OTk=", "JD.com Inc")</f>
      </c>
      <c r="D1561" s="0" t="s">
        <v>25</v>
      </c>
      <c r="E1561" s="0" t="s">
        <v>1034</v>
      </c>
      <c r="F1561" s="16">
        <f>HYPERLINK("https://eosportal.federatedhermes.com/engagements/RW5nYWdlbWVudAppMjg3NjA=", "Board composition")</f>
      </c>
      <c r="G1561" s="14" t="s">
        <v>4511</v>
      </c>
      <c r="H1561" s="0" t="s">
        <v>141</v>
      </c>
      <c r="I1561" s="14" t="s">
        <v>191</v>
      </c>
      <c r="J1561" s="0" t="s">
        <v>145</v>
      </c>
      <c r="K1561" s="0" t="s">
        <v>164</v>
      </c>
      <c r="L1561" s="0" t="s">
        <v>165</v>
      </c>
      <c r="M1561" s="0" t="s">
        <v>2807</v>
      </c>
      <c r="N1561" s="0" t="s">
        <v>3272</v>
      </c>
      <c r="O1561" s="0" t="s">
        <v>643</v>
      </c>
      <c r="Q1561" s="0" t="s">
        <v>141</v>
      </c>
      <c r="R1561" s="0" t="s">
        <v>138</v>
      </c>
      <c r="S1561" s="14">
        <v>1</v>
      </c>
      <c r="T1561" s="0" t="s">
        <v>333</v>
      </c>
      <c r="U1561" s="0" t="s">
        <v>138</v>
      </c>
      <c r="V1561" s="14" t="s">
        <v>138</v>
      </c>
      <c r="W1561" s="0" t="s">
        <v>138</v>
      </c>
      <c r="X1561" s="14" t="s">
        <v>138</v>
      </c>
      <c r="Y1561" s="0" t="s">
        <v>138</v>
      </c>
      <c r="Z1561" s="14" t="s">
        <v>138</v>
      </c>
      <c r="AA1561" s="0" t="s">
        <v>138</v>
      </c>
      <c r="AB1561" s="14" t="s">
        <v>138</v>
      </c>
      <c r="AD1561" s="0" t="s">
        <v>138</v>
      </c>
      <c r="AF1561" s="0">
        <v>0</v>
      </c>
      <c r="AG1561" s="0">
        <v>0</v>
      </c>
      <c r="AH1561" s="0" t="s">
        <v>140</v>
      </c>
      <c r="AI1561" s="0" t="s">
        <v>138</v>
      </c>
      <c r="AK1561" s="0" t="s">
        <v>1853</v>
      </c>
      <c r="AL1561" s="14"/>
      <c r="AN1561" s="14"/>
      <c r="AQ1561" s="0" t="s">
        <v>130</v>
      </c>
      <c r="AR1561" s="0" t="s">
        <v>130</v>
      </c>
      <c r="AS1561" s="0" t="s">
        <v>130</v>
      </c>
      <c r="AT1561" s="0" t="s">
        <v>130</v>
      </c>
      <c r="AU1561" s="0" t="s">
        <v>130</v>
      </c>
      <c r="AV1561" s="0" t="s">
        <v>130</v>
      </c>
      <c r="AW1561" s="0" t="s">
        <v>130</v>
      </c>
      <c r="AX1561" s="0" t="s">
        <v>130</v>
      </c>
      <c r="AY1561" s="0" t="s">
        <v>130</v>
      </c>
      <c r="AZ1561" s="0" t="s">
        <v>130</v>
      </c>
      <c r="BA1561" s="0" t="s">
        <v>130</v>
      </c>
      <c r="BB1561" s="0" t="s">
        <v>130</v>
      </c>
      <c r="BC1561" s="0" t="s">
        <v>130</v>
      </c>
      <c r="BD1561" s="0" t="s">
        <v>130</v>
      </c>
      <c r="BE1561" s="0" t="s">
        <v>130</v>
      </c>
      <c r="BF1561" s="0" t="s">
        <v>130</v>
      </c>
      <c r="BG1561" s="0" t="s">
        <v>130</v>
      </c>
      <c r="BH1561" s="0" t="s">
        <v>130</v>
      </c>
      <c r="BI1561" s="0" t="s">
        <v>130</v>
      </c>
      <c r="BJ1561" s="0" t="s">
        <v>130</v>
      </c>
      <c r="BK1561" s="0" t="s">
        <v>130</v>
      </c>
      <c r="BL1561" s="0" t="s">
        <v>130</v>
      </c>
      <c r="BM1561" s="0" t="s">
        <v>130</v>
      </c>
      <c r="BN1561" s="0" t="s">
        <v>130</v>
      </c>
      <c r="BO1561" s="0" t="s">
        <v>130</v>
      </c>
      <c r="BP1561" s="0" t="s">
        <v>130</v>
      </c>
      <c r="BQ1561" s="0" t="s">
        <v>130</v>
      </c>
      <c r="BR1561" s="0" t="s">
        <v>130</v>
      </c>
      <c r="BS1561" s="0" t="s">
        <v>130</v>
      </c>
      <c r="BT1561" s="0" t="s">
        <v>130</v>
      </c>
      <c r="BU1561" s="0" t="s">
        <v>130</v>
      </c>
      <c r="BV1561" s="0" t="s">
        <v>130</v>
      </c>
      <c r="BW1561" s="0" t="s">
        <v>130</v>
      </c>
      <c r="BX1561" s="0" t="s">
        <v>130</v>
      </c>
      <c r="BY1561" s="0" t="s">
        <v>130</v>
      </c>
      <c r="BZ1561" s="0" t="s">
        <v>130</v>
      </c>
      <c r="CA1561" s="0" t="s">
        <v>130</v>
      </c>
      <c r="CB1561" s="0" t="s">
        <v>130</v>
      </c>
      <c r="CC1561" s="0" t="s">
        <v>130</v>
      </c>
      <c r="CD1561" s="0" t="s">
        <v>130</v>
      </c>
      <c r="CE1561" s="0" t="s">
        <v>130</v>
      </c>
      <c r="CF1561" s="0" t="s">
        <v>130</v>
      </c>
      <c r="CG1561" s="0" t="s">
        <v>130</v>
      </c>
      <c r="CH1561" s="0" t="s">
        <v>130</v>
      </c>
      <c r="CI1561" s="0" t="s">
        <v>130</v>
      </c>
      <c r="CJ1561" s="0" t="s">
        <v>130</v>
      </c>
      <c r="CK1561" s="0" t="s">
        <v>130</v>
      </c>
      <c r="CL1561" s="0" t="s">
        <v>130</v>
      </c>
      <c r="CM1561" s="0" t="s">
        <v>130</v>
      </c>
      <c r="CN1561" s="0" t="s">
        <v>130</v>
      </c>
      <c r="CO1561" s="0" t="s">
        <v>130</v>
      </c>
      <c r="CP1561" s="0" t="s">
        <v>130</v>
      </c>
      <c r="CQ1561" s="0" t="s">
        <v>130</v>
      </c>
      <c r="CR1561" s="0" t="s">
        <v>130</v>
      </c>
      <c r="CS1561" s="0" t="s">
        <v>130</v>
      </c>
      <c r="CT1561" s="0" t="s">
        <v>4512</v>
      </c>
    </row>
    <row r="1562">
      <c r="A1562" s="14">
        <v>38799931</v>
      </c>
      <c r="B1562" s="0" t="s">
        <v>4492</v>
      </c>
      <c r="C1562" s="16">
        <f>HYPERLINK("https://eosportal.federatedhermes.com/companies/Q29tcGFueQppNzM3OTk=", "JD.com Inc")</f>
      </c>
      <c r="D1562" s="0" t="s">
        <v>25</v>
      </c>
      <c r="E1562" s="0" t="s">
        <v>276</v>
      </c>
      <c r="F1562" s="16">
        <f>HYPERLINK("https://eosportal.federatedhermes.com/engagements/RW5nYWdlbWVudAppMjg3NjE=", "Succession planning")</f>
      </c>
      <c r="G1562" s="14" t="s">
        <v>4513</v>
      </c>
      <c r="H1562" s="0" t="s">
        <v>141</v>
      </c>
      <c r="I1562" s="14" t="s">
        <v>191</v>
      </c>
      <c r="J1562" s="0" t="s">
        <v>145</v>
      </c>
      <c r="K1562" s="0" t="s">
        <v>164</v>
      </c>
      <c r="L1562" s="0" t="s">
        <v>277</v>
      </c>
      <c r="M1562" s="0" t="s">
        <v>2807</v>
      </c>
      <c r="N1562" s="0" t="s">
        <v>3272</v>
      </c>
      <c r="O1562" s="0" t="s">
        <v>643</v>
      </c>
      <c r="Q1562" s="0" t="s">
        <v>141</v>
      </c>
      <c r="R1562" s="0" t="s">
        <v>138</v>
      </c>
      <c r="S1562" s="14">
        <v>1</v>
      </c>
      <c r="T1562" s="0" t="s">
        <v>333</v>
      </c>
      <c r="U1562" s="0" t="s">
        <v>138</v>
      </c>
      <c r="V1562" s="14" t="s">
        <v>138</v>
      </c>
      <c r="W1562" s="0" t="s">
        <v>138</v>
      </c>
      <c r="X1562" s="14" t="s">
        <v>138</v>
      </c>
      <c r="Y1562" s="0" t="s">
        <v>138</v>
      </c>
      <c r="Z1562" s="14" t="s">
        <v>138</v>
      </c>
      <c r="AA1562" s="0" t="s">
        <v>138</v>
      </c>
      <c r="AB1562" s="14" t="s">
        <v>138</v>
      </c>
      <c r="AD1562" s="0" t="s">
        <v>138</v>
      </c>
      <c r="AF1562" s="0">
        <v>0</v>
      </c>
      <c r="AG1562" s="0">
        <v>0</v>
      </c>
      <c r="AH1562" s="0" t="s">
        <v>140</v>
      </c>
      <c r="AI1562" s="0" t="s">
        <v>138</v>
      </c>
      <c r="AK1562" s="0" t="s">
        <v>1853</v>
      </c>
      <c r="AL1562" s="14"/>
      <c r="AN1562" s="14"/>
      <c r="AQ1562" s="0" t="s">
        <v>130</v>
      </c>
      <c r="AR1562" s="0" t="s">
        <v>130</v>
      </c>
      <c r="AS1562" s="0" t="s">
        <v>130</v>
      </c>
      <c r="AT1562" s="0" t="s">
        <v>130</v>
      </c>
      <c r="AU1562" s="0" t="s">
        <v>130</v>
      </c>
      <c r="AV1562" s="0" t="s">
        <v>130</v>
      </c>
      <c r="AW1562" s="0" t="s">
        <v>130</v>
      </c>
      <c r="AX1562" s="0" t="s">
        <v>130</v>
      </c>
      <c r="AY1562" s="0" t="s">
        <v>130</v>
      </c>
      <c r="AZ1562" s="0" t="s">
        <v>130</v>
      </c>
      <c r="BA1562" s="0" t="s">
        <v>130</v>
      </c>
      <c r="BB1562" s="0" t="s">
        <v>130</v>
      </c>
      <c r="BC1562" s="0" t="s">
        <v>130</v>
      </c>
      <c r="BD1562" s="0" t="s">
        <v>130</v>
      </c>
      <c r="BE1562" s="0" t="s">
        <v>130</v>
      </c>
      <c r="BF1562" s="0" t="s">
        <v>130</v>
      </c>
      <c r="BG1562" s="0" t="s">
        <v>130</v>
      </c>
      <c r="BH1562" s="0" t="s">
        <v>130</v>
      </c>
      <c r="BI1562" s="0" t="s">
        <v>130</v>
      </c>
      <c r="BJ1562" s="0" t="s">
        <v>130</v>
      </c>
      <c r="BK1562" s="0" t="s">
        <v>130</v>
      </c>
      <c r="BL1562" s="0" t="s">
        <v>130</v>
      </c>
      <c r="BM1562" s="0" t="s">
        <v>130</v>
      </c>
      <c r="BN1562" s="0" t="s">
        <v>130</v>
      </c>
      <c r="BO1562" s="0" t="s">
        <v>130</v>
      </c>
      <c r="BP1562" s="0" t="s">
        <v>130</v>
      </c>
      <c r="BQ1562" s="0" t="s">
        <v>130</v>
      </c>
      <c r="BR1562" s="0" t="s">
        <v>130</v>
      </c>
      <c r="BS1562" s="0" t="s">
        <v>130</v>
      </c>
      <c r="BT1562" s="0" t="s">
        <v>130</v>
      </c>
      <c r="BU1562" s="0" t="s">
        <v>130</v>
      </c>
      <c r="BV1562" s="0" t="s">
        <v>130</v>
      </c>
      <c r="BW1562" s="0" t="s">
        <v>130</v>
      </c>
      <c r="BX1562" s="0" t="s">
        <v>130</v>
      </c>
      <c r="BY1562" s="0" t="s">
        <v>130</v>
      </c>
      <c r="BZ1562" s="0" t="s">
        <v>130</v>
      </c>
      <c r="CA1562" s="0" t="s">
        <v>130</v>
      </c>
      <c r="CB1562" s="0" t="s">
        <v>130</v>
      </c>
      <c r="CC1562" s="0" t="s">
        <v>130</v>
      </c>
      <c r="CD1562" s="0" t="s">
        <v>130</v>
      </c>
      <c r="CE1562" s="0" t="s">
        <v>130</v>
      </c>
      <c r="CF1562" s="0" t="s">
        <v>130</v>
      </c>
      <c r="CG1562" s="0" t="s">
        <v>130</v>
      </c>
      <c r="CH1562" s="0" t="s">
        <v>130</v>
      </c>
      <c r="CI1562" s="0" t="s">
        <v>130</v>
      </c>
      <c r="CJ1562" s="0" t="s">
        <v>130</v>
      </c>
      <c r="CK1562" s="0" t="s">
        <v>130</v>
      </c>
      <c r="CL1562" s="0" t="s">
        <v>130</v>
      </c>
      <c r="CM1562" s="0" t="s">
        <v>130</v>
      </c>
      <c r="CN1562" s="0" t="s">
        <v>130</v>
      </c>
      <c r="CO1562" s="0" t="s">
        <v>130</v>
      </c>
      <c r="CP1562" s="0" t="s">
        <v>130</v>
      </c>
      <c r="CQ1562" s="0" t="s">
        <v>130</v>
      </c>
      <c r="CR1562" s="0" t="s">
        <v>130</v>
      </c>
      <c r="CS1562" s="0" t="s">
        <v>130</v>
      </c>
      <c r="CT1562" s="0" t="s">
        <v>4514</v>
      </c>
    </row>
    <row r="1563">
      <c r="A1563" s="14">
        <v>50856480</v>
      </c>
      <c r="B1563" s="0" t="s">
        <v>4515</v>
      </c>
      <c r="C1563" s="16">
        <f>HYPERLINK("https://eosportal.federatedhermes.com/companies/Q29tcGFueQppNDk3NzA=", "Anheuser-Busch InBev SA/NV")</f>
      </c>
      <c r="D1563" s="0" t="s">
        <v>25</v>
      </c>
      <c r="E1563" s="0" t="s">
        <v>4516</v>
      </c>
      <c r="F1563" s="16">
        <f>HYPERLINK("https://eosportal.federatedhermes.com/engagements/RW5nYWdlbWVudAppMjg4MTI=", "Anti-bribery and corruption approach")</f>
      </c>
      <c r="G1563" s="14" t="s">
        <v>4517</v>
      </c>
      <c r="H1563" s="0" t="s">
        <v>141</v>
      </c>
      <c r="I1563" s="14" t="s">
        <v>131</v>
      </c>
      <c r="J1563" s="0" t="s">
        <v>153</v>
      </c>
      <c r="K1563" s="0" t="s">
        <v>185</v>
      </c>
      <c r="L1563" s="0" t="s">
        <v>186</v>
      </c>
      <c r="M1563" s="0" t="s">
        <v>378</v>
      </c>
      <c r="N1563" s="0" t="s">
        <v>4518</v>
      </c>
      <c r="O1563" s="0" t="s">
        <v>332</v>
      </c>
      <c r="Q1563" s="0" t="s">
        <v>130</v>
      </c>
      <c r="R1563" s="0" t="s">
        <v>138</v>
      </c>
      <c r="S1563" s="14">
        <v>0</v>
      </c>
      <c r="T1563" s="0" t="s">
        <v>591</v>
      </c>
      <c r="U1563" s="0" t="s">
        <v>138</v>
      </c>
      <c r="V1563" s="14" t="s">
        <v>138</v>
      </c>
      <c r="W1563" s="0" t="s">
        <v>138</v>
      </c>
      <c r="X1563" s="14" t="s">
        <v>138</v>
      </c>
      <c r="Y1563" s="0" t="s">
        <v>138</v>
      </c>
      <c r="Z1563" s="14" t="s">
        <v>138</v>
      </c>
      <c r="AA1563" s="0" t="s">
        <v>138</v>
      </c>
      <c r="AB1563" s="14" t="s">
        <v>138</v>
      </c>
      <c r="AD1563" s="0" t="s">
        <v>138</v>
      </c>
      <c r="AF1563" s="0">
        <v>0</v>
      </c>
      <c r="AG1563" s="0">
        <v>0</v>
      </c>
      <c r="AH1563" s="0" t="s">
        <v>140</v>
      </c>
      <c r="AI1563" s="0" t="s">
        <v>138</v>
      </c>
      <c r="AL1563" s="14"/>
      <c r="AN1563" s="14"/>
      <c r="AQ1563" s="0" t="s">
        <v>130</v>
      </c>
      <c r="AR1563" s="0" t="s">
        <v>130</v>
      </c>
      <c r="AS1563" s="0" t="s">
        <v>130</v>
      </c>
      <c r="AT1563" s="0" t="s">
        <v>130</v>
      </c>
      <c r="AU1563" s="0" t="s">
        <v>130</v>
      </c>
      <c r="AV1563" s="0" t="s">
        <v>130</v>
      </c>
      <c r="AW1563" s="0" t="s">
        <v>130</v>
      </c>
      <c r="AX1563" s="0" t="s">
        <v>130</v>
      </c>
      <c r="AY1563" s="0" t="s">
        <v>130</v>
      </c>
      <c r="AZ1563" s="0" t="s">
        <v>130</v>
      </c>
      <c r="BA1563" s="0" t="s">
        <v>130</v>
      </c>
      <c r="BB1563" s="0" t="s">
        <v>130</v>
      </c>
      <c r="BC1563" s="0" t="s">
        <v>130</v>
      </c>
      <c r="BD1563" s="0" t="s">
        <v>130</v>
      </c>
      <c r="BE1563" s="0" t="s">
        <v>130</v>
      </c>
      <c r="BF1563" s="0" t="s">
        <v>130</v>
      </c>
      <c r="BG1563" s="0" t="s">
        <v>130</v>
      </c>
      <c r="BH1563" s="0" t="s">
        <v>130</v>
      </c>
      <c r="BI1563" s="0" t="s">
        <v>130</v>
      </c>
      <c r="BJ1563" s="0" t="s">
        <v>130</v>
      </c>
      <c r="BK1563" s="0" t="s">
        <v>130</v>
      </c>
      <c r="BL1563" s="0" t="s">
        <v>130</v>
      </c>
      <c r="BM1563" s="0" t="s">
        <v>130</v>
      </c>
      <c r="BN1563" s="0" t="s">
        <v>130</v>
      </c>
      <c r="BO1563" s="0" t="s">
        <v>130</v>
      </c>
      <c r="BP1563" s="0" t="s">
        <v>130</v>
      </c>
      <c r="BQ1563" s="0" t="s">
        <v>130</v>
      </c>
      <c r="BR1563" s="0" t="s">
        <v>130</v>
      </c>
      <c r="BS1563" s="0" t="s">
        <v>130</v>
      </c>
      <c r="BT1563" s="0" t="s">
        <v>130</v>
      </c>
      <c r="BU1563" s="0" t="s">
        <v>130</v>
      </c>
      <c r="BV1563" s="0" t="s">
        <v>130</v>
      </c>
      <c r="BW1563" s="0" t="s">
        <v>130</v>
      </c>
      <c r="BX1563" s="0" t="s">
        <v>130</v>
      </c>
      <c r="BY1563" s="0" t="s">
        <v>130</v>
      </c>
      <c r="BZ1563" s="0" t="s">
        <v>130</v>
      </c>
      <c r="CA1563" s="0" t="s">
        <v>130</v>
      </c>
      <c r="CB1563" s="0" t="s">
        <v>130</v>
      </c>
      <c r="CC1563" s="0" t="s">
        <v>130</v>
      </c>
      <c r="CD1563" s="0" t="s">
        <v>130</v>
      </c>
      <c r="CE1563" s="0" t="s">
        <v>130</v>
      </c>
      <c r="CF1563" s="0" t="s">
        <v>130</v>
      </c>
      <c r="CG1563" s="0" t="s">
        <v>130</v>
      </c>
      <c r="CH1563" s="0" t="s">
        <v>130</v>
      </c>
      <c r="CI1563" s="0" t="s">
        <v>130</v>
      </c>
      <c r="CJ1563" s="0" t="s">
        <v>130</v>
      </c>
      <c r="CK1563" s="0" t="s">
        <v>130</v>
      </c>
      <c r="CL1563" s="0" t="s">
        <v>130</v>
      </c>
      <c r="CM1563" s="0" t="s">
        <v>130</v>
      </c>
      <c r="CN1563" s="0" t="s">
        <v>130</v>
      </c>
      <c r="CO1563" s="0" t="s">
        <v>130</v>
      </c>
      <c r="CP1563" s="0" t="s">
        <v>130</v>
      </c>
      <c r="CQ1563" s="0" t="s">
        <v>130</v>
      </c>
      <c r="CR1563" s="0" t="s">
        <v>130</v>
      </c>
      <c r="CS1563" s="0" t="s">
        <v>130</v>
      </c>
      <c r="CT1563" s="0" t="s">
        <v>4519</v>
      </c>
    </row>
    <row r="1564">
      <c r="A1564" s="14">
        <v>50856480</v>
      </c>
      <c r="B1564" s="0" t="s">
        <v>4515</v>
      </c>
      <c r="C1564" s="16">
        <f>HYPERLINK("https://eosportal.federatedhermes.com/companies/Q29tcGFueQppNDk3NzA=", "Anheuser-Busch InBev SA/NV")</f>
      </c>
      <c r="D1564" s="0" t="s">
        <v>25</v>
      </c>
      <c r="E1564" s="0" t="s">
        <v>4520</v>
      </c>
      <c r="F1564" s="16">
        <f>HYPERLINK("https://eosportal.federatedhermes.com/engagements/RW5nYWdlbWVudAppMjg4MTM=", "Tax planning strategy")</f>
      </c>
      <c r="G1564" s="14" t="s">
        <v>4521</v>
      </c>
      <c r="H1564" s="0" t="s">
        <v>141</v>
      </c>
      <c r="I1564" s="14" t="s">
        <v>131</v>
      </c>
      <c r="J1564" s="0" t="s">
        <v>153</v>
      </c>
      <c r="K1564" s="0" t="s">
        <v>185</v>
      </c>
      <c r="L1564" s="0" t="s">
        <v>548</v>
      </c>
      <c r="M1564" s="0" t="s">
        <v>378</v>
      </c>
      <c r="N1564" s="0" t="s">
        <v>4518</v>
      </c>
      <c r="O1564" s="0" t="s">
        <v>332</v>
      </c>
      <c r="Q1564" s="0" t="s">
        <v>130</v>
      </c>
      <c r="R1564" s="0" t="s">
        <v>138</v>
      </c>
      <c r="S1564" s="14">
        <v>0</v>
      </c>
      <c r="T1564" s="0" t="s">
        <v>239</v>
      </c>
      <c r="U1564" s="0" t="s">
        <v>138</v>
      </c>
      <c r="V1564" s="14" t="s">
        <v>138</v>
      </c>
      <c r="W1564" s="0" t="s">
        <v>138</v>
      </c>
      <c r="X1564" s="14" t="s">
        <v>138</v>
      </c>
      <c r="Y1564" s="0" t="s">
        <v>138</v>
      </c>
      <c r="Z1564" s="14" t="s">
        <v>138</v>
      </c>
      <c r="AA1564" s="0" t="s">
        <v>138</v>
      </c>
      <c r="AB1564" s="14" t="s">
        <v>138</v>
      </c>
      <c r="AD1564" s="0" t="s">
        <v>138</v>
      </c>
      <c r="AF1564" s="0">
        <v>0</v>
      </c>
      <c r="AG1564" s="0">
        <v>0</v>
      </c>
      <c r="AH1564" s="0" t="s">
        <v>140</v>
      </c>
      <c r="AI1564" s="0" t="s">
        <v>138</v>
      </c>
      <c r="AL1564" s="14"/>
      <c r="AN1564" s="14"/>
      <c r="AQ1564" s="0" t="s">
        <v>130</v>
      </c>
      <c r="AR1564" s="0" t="s">
        <v>130</v>
      </c>
      <c r="AS1564" s="0" t="s">
        <v>130</v>
      </c>
      <c r="AT1564" s="0" t="s">
        <v>130</v>
      </c>
      <c r="AU1564" s="0" t="s">
        <v>130</v>
      </c>
      <c r="AV1564" s="0" t="s">
        <v>130</v>
      </c>
      <c r="AW1564" s="0" t="s">
        <v>130</v>
      </c>
      <c r="AX1564" s="0" t="s">
        <v>130</v>
      </c>
      <c r="AY1564" s="0" t="s">
        <v>130</v>
      </c>
      <c r="AZ1564" s="0" t="s">
        <v>130</v>
      </c>
      <c r="BA1564" s="0" t="s">
        <v>130</v>
      </c>
      <c r="BB1564" s="0" t="s">
        <v>130</v>
      </c>
      <c r="BC1564" s="0" t="s">
        <v>130</v>
      </c>
      <c r="BD1564" s="0" t="s">
        <v>130</v>
      </c>
      <c r="BE1564" s="0" t="s">
        <v>130</v>
      </c>
      <c r="BF1564" s="0" t="s">
        <v>130</v>
      </c>
      <c r="BG1564" s="0" t="s">
        <v>130</v>
      </c>
      <c r="BH1564" s="0" t="s">
        <v>130</v>
      </c>
      <c r="BI1564" s="0" t="s">
        <v>130</v>
      </c>
      <c r="BJ1564" s="0" t="s">
        <v>130</v>
      </c>
      <c r="BK1564" s="0" t="s">
        <v>130</v>
      </c>
      <c r="BL1564" s="0" t="s">
        <v>130</v>
      </c>
      <c r="BM1564" s="0" t="s">
        <v>130</v>
      </c>
      <c r="BN1564" s="0" t="s">
        <v>130</v>
      </c>
      <c r="BO1564" s="0" t="s">
        <v>130</v>
      </c>
      <c r="BP1564" s="0" t="s">
        <v>130</v>
      </c>
      <c r="BQ1564" s="0" t="s">
        <v>130</v>
      </c>
      <c r="BR1564" s="0" t="s">
        <v>130</v>
      </c>
      <c r="BS1564" s="0" t="s">
        <v>130</v>
      </c>
      <c r="BT1564" s="0" t="s">
        <v>130</v>
      </c>
      <c r="BU1564" s="0" t="s">
        <v>130</v>
      </c>
      <c r="BV1564" s="0" t="s">
        <v>130</v>
      </c>
      <c r="BW1564" s="0" t="s">
        <v>130</v>
      </c>
      <c r="BX1564" s="0" t="s">
        <v>130</v>
      </c>
      <c r="BY1564" s="0" t="s">
        <v>130</v>
      </c>
      <c r="BZ1564" s="0" t="s">
        <v>130</v>
      </c>
      <c r="CA1564" s="0" t="s">
        <v>130</v>
      </c>
      <c r="CB1564" s="0" t="s">
        <v>130</v>
      </c>
      <c r="CC1564" s="0" t="s">
        <v>130</v>
      </c>
      <c r="CD1564" s="0" t="s">
        <v>130</v>
      </c>
      <c r="CE1564" s="0" t="s">
        <v>130</v>
      </c>
      <c r="CF1564" s="0" t="s">
        <v>130</v>
      </c>
      <c r="CG1564" s="0" t="s">
        <v>130</v>
      </c>
      <c r="CH1564" s="0" t="s">
        <v>130</v>
      </c>
      <c r="CI1564" s="0" t="s">
        <v>130</v>
      </c>
      <c r="CJ1564" s="0" t="s">
        <v>130</v>
      </c>
      <c r="CK1564" s="0" t="s">
        <v>130</v>
      </c>
      <c r="CL1564" s="0" t="s">
        <v>130</v>
      </c>
      <c r="CM1564" s="0" t="s">
        <v>130</v>
      </c>
      <c r="CN1564" s="0" t="s">
        <v>130</v>
      </c>
      <c r="CO1564" s="0" t="s">
        <v>130</v>
      </c>
      <c r="CP1564" s="0" t="s">
        <v>130</v>
      </c>
      <c r="CQ1564" s="0" t="s">
        <v>130</v>
      </c>
      <c r="CR1564" s="0" t="s">
        <v>130</v>
      </c>
      <c r="CS1564" s="0" t="s">
        <v>130</v>
      </c>
      <c r="CT1564" s="0" t="s">
        <v>4522</v>
      </c>
    </row>
    <row r="1565">
      <c r="A1565" s="14">
        <v>50856480</v>
      </c>
      <c r="B1565" s="0" t="s">
        <v>4515</v>
      </c>
      <c r="C1565" s="16">
        <f>HYPERLINK("https://eosportal.federatedhermes.com/companies/Q29tcGFueQppNDk3NzA=", "Anheuser-Busch InBev SA/NV")</f>
      </c>
      <c r="D1565" s="0" t="s">
        <v>25</v>
      </c>
      <c r="E1565" s="0" t="s">
        <v>4523</v>
      </c>
      <c r="F1565" s="16">
        <f>HYPERLINK("https://eosportal.federatedhermes.com/engagements/RW5nYWdlbWVudAppMjg4MjE=", "Biodiveristy")</f>
      </c>
      <c r="G1565" s="14" t="s">
        <v>4524</v>
      </c>
      <c r="H1565" s="0" t="s">
        <v>141</v>
      </c>
      <c r="I1565" s="14" t="s">
        <v>131</v>
      </c>
      <c r="J1565" s="0" t="s">
        <v>197</v>
      </c>
      <c r="K1565" s="0" t="s">
        <v>337</v>
      </c>
      <c r="L1565" s="0" t="s">
        <v>576</v>
      </c>
      <c r="M1565" s="0" t="s">
        <v>378</v>
      </c>
      <c r="N1565" s="0" t="s">
        <v>4518</v>
      </c>
      <c r="O1565" s="0" t="s">
        <v>332</v>
      </c>
      <c r="Q1565" s="0" t="s">
        <v>130</v>
      </c>
      <c r="R1565" s="0" t="s">
        <v>138</v>
      </c>
      <c r="S1565" s="14">
        <v>0</v>
      </c>
      <c r="T1565" s="0" t="s">
        <v>139</v>
      </c>
      <c r="U1565" s="0" t="s">
        <v>138</v>
      </c>
      <c r="V1565" s="14" t="s">
        <v>138</v>
      </c>
      <c r="W1565" s="0" t="s">
        <v>138</v>
      </c>
      <c r="X1565" s="14" t="s">
        <v>138</v>
      </c>
      <c r="Y1565" s="0" t="s">
        <v>138</v>
      </c>
      <c r="Z1565" s="14" t="s">
        <v>138</v>
      </c>
      <c r="AA1565" s="0" t="s">
        <v>138</v>
      </c>
      <c r="AB1565" s="14" t="s">
        <v>138</v>
      </c>
      <c r="AD1565" s="0" t="s">
        <v>138</v>
      </c>
      <c r="AF1565" s="0">
        <v>0</v>
      </c>
      <c r="AG1565" s="0">
        <v>0</v>
      </c>
      <c r="AH1565" s="0" t="s">
        <v>140</v>
      </c>
      <c r="AI1565" s="0" t="s">
        <v>138</v>
      </c>
      <c r="AL1565" s="14"/>
      <c r="AN1565" s="14"/>
      <c r="AQ1565" s="0" t="s">
        <v>130</v>
      </c>
      <c r="AR1565" s="0" t="s">
        <v>130</v>
      </c>
      <c r="AS1565" s="0" t="s">
        <v>130</v>
      </c>
      <c r="AT1565" s="0" t="s">
        <v>130</v>
      </c>
      <c r="AU1565" s="0" t="s">
        <v>130</v>
      </c>
      <c r="AV1565" s="0" t="s">
        <v>130</v>
      </c>
      <c r="AW1565" s="0" t="s">
        <v>130</v>
      </c>
      <c r="AX1565" s="0" t="s">
        <v>130</v>
      </c>
      <c r="AY1565" s="0" t="s">
        <v>130</v>
      </c>
      <c r="AZ1565" s="0" t="s">
        <v>130</v>
      </c>
      <c r="BA1565" s="0" t="s">
        <v>130</v>
      </c>
      <c r="BB1565" s="0" t="s">
        <v>130</v>
      </c>
      <c r="BC1565" s="0" t="s">
        <v>130</v>
      </c>
      <c r="BD1565" s="0" t="s">
        <v>130</v>
      </c>
      <c r="BE1565" s="0" t="s">
        <v>141</v>
      </c>
      <c r="BF1565" s="0" t="s">
        <v>130</v>
      </c>
      <c r="BG1565" s="0" t="s">
        <v>130</v>
      </c>
      <c r="BH1565" s="0" t="s">
        <v>130</v>
      </c>
      <c r="BI1565" s="0" t="s">
        <v>130</v>
      </c>
      <c r="BJ1565" s="0" t="s">
        <v>130</v>
      </c>
      <c r="BK1565" s="0" t="s">
        <v>130</v>
      </c>
      <c r="BL1565" s="0" t="s">
        <v>130</v>
      </c>
      <c r="BM1565" s="0" t="s">
        <v>130</v>
      </c>
      <c r="BN1565" s="0" t="s">
        <v>130</v>
      </c>
      <c r="BO1565" s="0" t="s">
        <v>130</v>
      </c>
      <c r="BP1565" s="0" t="s">
        <v>130</v>
      </c>
      <c r="BQ1565" s="0" t="s">
        <v>130</v>
      </c>
      <c r="BR1565" s="0" t="s">
        <v>130</v>
      </c>
      <c r="BS1565" s="0" t="s">
        <v>130</v>
      </c>
      <c r="BT1565" s="0" t="s">
        <v>130</v>
      </c>
      <c r="BU1565" s="0" t="s">
        <v>130</v>
      </c>
      <c r="BV1565" s="0" t="s">
        <v>130</v>
      </c>
      <c r="BW1565" s="0" t="s">
        <v>130</v>
      </c>
      <c r="BX1565" s="0" t="s">
        <v>130</v>
      </c>
      <c r="BY1565" s="0" t="s">
        <v>130</v>
      </c>
      <c r="BZ1565" s="0" t="s">
        <v>130</v>
      </c>
      <c r="CA1565" s="0" t="s">
        <v>130</v>
      </c>
      <c r="CB1565" s="0" t="s">
        <v>130</v>
      </c>
      <c r="CC1565" s="0" t="s">
        <v>130</v>
      </c>
      <c r="CD1565" s="0" t="s">
        <v>130</v>
      </c>
      <c r="CE1565" s="0" t="s">
        <v>130</v>
      </c>
      <c r="CF1565" s="0" t="s">
        <v>130</v>
      </c>
      <c r="CG1565" s="0" t="s">
        <v>130</v>
      </c>
      <c r="CH1565" s="0" t="s">
        <v>130</v>
      </c>
      <c r="CI1565" s="0" t="s">
        <v>130</v>
      </c>
      <c r="CJ1565" s="0" t="s">
        <v>130</v>
      </c>
      <c r="CK1565" s="0" t="s">
        <v>130</v>
      </c>
      <c r="CL1565" s="0" t="s">
        <v>130</v>
      </c>
      <c r="CM1565" s="0" t="s">
        <v>130</v>
      </c>
      <c r="CN1565" s="0" t="s">
        <v>130</v>
      </c>
      <c r="CO1565" s="0" t="s">
        <v>130</v>
      </c>
      <c r="CP1565" s="0" t="s">
        <v>130</v>
      </c>
      <c r="CQ1565" s="0" t="s">
        <v>130</v>
      </c>
      <c r="CR1565" s="0" t="s">
        <v>130</v>
      </c>
      <c r="CS1565" s="0" t="s">
        <v>130</v>
      </c>
      <c r="CT1565" s="0" t="s">
        <v>4525</v>
      </c>
    </row>
    <row r="1566">
      <c r="A1566" s="14">
        <v>50856480</v>
      </c>
      <c r="B1566" s="0" t="s">
        <v>4515</v>
      </c>
      <c r="C1566" s="16">
        <f>HYPERLINK("https://eosportal.federatedhermes.com/companies/Q29tcGFueQppNDk3NzA=", "Anheuser-Busch InBev SA/NV")</f>
      </c>
      <c r="D1566" s="0" t="s">
        <v>25</v>
      </c>
      <c r="E1566" s="0" t="s">
        <v>4526</v>
      </c>
      <c r="F1566" s="16">
        <f>HYPERLINK("https://eosportal.federatedhermes.com/engagements/RW5nYWdlbWVudAppMjg4MjI=", "Moving material ESG factors to mainstream financial reporting")</f>
      </c>
      <c r="G1566" s="14" t="s">
        <v>4527</v>
      </c>
      <c r="H1566" s="0" t="s">
        <v>141</v>
      </c>
      <c r="I1566" s="14" t="s">
        <v>131</v>
      </c>
      <c r="J1566" s="0" t="s">
        <v>132</v>
      </c>
      <c r="K1566" s="0" t="s">
        <v>170</v>
      </c>
      <c r="L1566" s="0" t="s">
        <v>171</v>
      </c>
      <c r="M1566" s="0" t="s">
        <v>378</v>
      </c>
      <c r="N1566" s="0" t="s">
        <v>4518</v>
      </c>
      <c r="O1566" s="0" t="s">
        <v>332</v>
      </c>
      <c r="Q1566" s="0" t="s">
        <v>130</v>
      </c>
      <c r="R1566" s="0" t="s">
        <v>138</v>
      </c>
      <c r="S1566" s="14">
        <v>0</v>
      </c>
      <c r="T1566" s="0" t="s">
        <v>1145</v>
      </c>
      <c r="U1566" s="0" t="s">
        <v>138</v>
      </c>
      <c r="V1566" s="14" t="s">
        <v>138</v>
      </c>
      <c r="W1566" s="0" t="s">
        <v>138</v>
      </c>
      <c r="X1566" s="14" t="s">
        <v>138</v>
      </c>
      <c r="Y1566" s="0" t="s">
        <v>138</v>
      </c>
      <c r="Z1566" s="14" t="s">
        <v>138</v>
      </c>
      <c r="AA1566" s="0" t="s">
        <v>138</v>
      </c>
      <c r="AB1566" s="14" t="s">
        <v>138</v>
      </c>
      <c r="AD1566" s="0" t="s">
        <v>138</v>
      </c>
      <c r="AF1566" s="0">
        <v>0</v>
      </c>
      <c r="AG1566" s="0">
        <v>0</v>
      </c>
      <c r="AH1566" s="0" t="s">
        <v>140</v>
      </c>
      <c r="AI1566" s="0" t="s">
        <v>138</v>
      </c>
      <c r="AL1566" s="14"/>
      <c r="AN1566" s="14"/>
      <c r="AQ1566" s="0" t="s">
        <v>130</v>
      </c>
      <c r="AR1566" s="0" t="s">
        <v>130</v>
      </c>
      <c r="AS1566" s="0" t="s">
        <v>130</v>
      </c>
      <c r="AT1566" s="0" t="s">
        <v>130</v>
      </c>
      <c r="AU1566" s="0" t="s">
        <v>130</v>
      </c>
      <c r="AV1566" s="0" t="s">
        <v>130</v>
      </c>
      <c r="AW1566" s="0" t="s">
        <v>130</v>
      </c>
      <c r="AX1566" s="0" t="s">
        <v>130</v>
      </c>
      <c r="AY1566" s="0" t="s">
        <v>130</v>
      </c>
      <c r="AZ1566" s="0" t="s">
        <v>130</v>
      </c>
      <c r="BA1566" s="0" t="s">
        <v>130</v>
      </c>
      <c r="BB1566" s="0" t="s">
        <v>130</v>
      </c>
      <c r="BC1566" s="0" t="s">
        <v>130</v>
      </c>
      <c r="BD1566" s="0" t="s">
        <v>130</v>
      </c>
      <c r="BE1566" s="0" t="s">
        <v>130</v>
      </c>
      <c r="BF1566" s="0" t="s">
        <v>130</v>
      </c>
      <c r="BG1566" s="0" t="s">
        <v>130</v>
      </c>
      <c r="BH1566" s="0" t="s">
        <v>130</v>
      </c>
      <c r="BI1566" s="0" t="s">
        <v>130</v>
      </c>
      <c r="BJ1566" s="0" t="s">
        <v>130</v>
      </c>
      <c r="BK1566" s="0" t="s">
        <v>130</v>
      </c>
      <c r="BL1566" s="0" t="s">
        <v>130</v>
      </c>
      <c r="BM1566" s="0" t="s">
        <v>130</v>
      </c>
      <c r="BN1566" s="0" t="s">
        <v>130</v>
      </c>
      <c r="BO1566" s="0" t="s">
        <v>130</v>
      </c>
      <c r="BP1566" s="0" t="s">
        <v>130</v>
      </c>
      <c r="BQ1566" s="0" t="s">
        <v>130</v>
      </c>
      <c r="BR1566" s="0" t="s">
        <v>130</v>
      </c>
      <c r="BS1566" s="0" t="s">
        <v>130</v>
      </c>
      <c r="BT1566" s="0" t="s">
        <v>130</v>
      </c>
      <c r="BU1566" s="0" t="s">
        <v>130</v>
      </c>
      <c r="BV1566" s="0" t="s">
        <v>130</v>
      </c>
      <c r="BW1566" s="0" t="s">
        <v>130</v>
      </c>
      <c r="BX1566" s="0" t="s">
        <v>130</v>
      </c>
      <c r="BY1566" s="0" t="s">
        <v>130</v>
      </c>
      <c r="BZ1566" s="0" t="s">
        <v>130</v>
      </c>
      <c r="CA1566" s="0" t="s">
        <v>130</v>
      </c>
      <c r="CB1566" s="0" t="s">
        <v>130</v>
      </c>
      <c r="CC1566" s="0" t="s">
        <v>130</v>
      </c>
      <c r="CD1566" s="0" t="s">
        <v>130</v>
      </c>
      <c r="CE1566" s="0" t="s">
        <v>130</v>
      </c>
      <c r="CF1566" s="0" t="s">
        <v>130</v>
      </c>
      <c r="CG1566" s="0" t="s">
        <v>130</v>
      </c>
      <c r="CH1566" s="0" t="s">
        <v>130</v>
      </c>
      <c r="CI1566" s="0" t="s">
        <v>130</v>
      </c>
      <c r="CJ1566" s="0" t="s">
        <v>130</v>
      </c>
      <c r="CK1566" s="0" t="s">
        <v>130</v>
      </c>
      <c r="CL1566" s="0" t="s">
        <v>130</v>
      </c>
      <c r="CM1566" s="0" t="s">
        <v>130</v>
      </c>
      <c r="CN1566" s="0" t="s">
        <v>130</v>
      </c>
      <c r="CO1566" s="0" t="s">
        <v>130</v>
      </c>
      <c r="CP1566" s="0" t="s">
        <v>130</v>
      </c>
      <c r="CQ1566" s="0" t="s">
        <v>130</v>
      </c>
      <c r="CR1566" s="0" t="s">
        <v>130</v>
      </c>
      <c r="CS1566" s="0" t="s">
        <v>130</v>
      </c>
      <c r="CT1566" s="0" t="s">
        <v>4528</v>
      </c>
    </row>
    <row r="1567">
      <c r="A1567" s="14">
        <v>50856480</v>
      </c>
      <c r="B1567" s="0" t="s">
        <v>4515</v>
      </c>
      <c r="C1567" s="16">
        <f>HYPERLINK("https://eosportal.federatedhermes.com/companies/Q29tcGFueQppNDk3NzA=", "Anheuser-Busch InBev SA/NV")</f>
      </c>
      <c r="D1567" s="0" t="s">
        <v>25</v>
      </c>
      <c r="E1567" s="0" t="s">
        <v>4529</v>
      </c>
      <c r="F1567" s="16">
        <f>HYPERLINK("https://eosportal.federatedhermes.com/engagements/RW5nYWdlbWVudAppMjg4MjM=", "Water")</f>
      </c>
      <c r="G1567" s="14" t="s">
        <v>4530</v>
      </c>
      <c r="H1567" s="0" t="s">
        <v>141</v>
      </c>
      <c r="I1567" s="14" t="s">
        <v>131</v>
      </c>
      <c r="J1567" s="0" t="s">
        <v>197</v>
      </c>
      <c r="K1567" s="0" t="s">
        <v>337</v>
      </c>
      <c r="L1567" s="0" t="s">
        <v>338</v>
      </c>
      <c r="M1567" s="0" t="s">
        <v>378</v>
      </c>
      <c r="N1567" s="0" t="s">
        <v>4518</v>
      </c>
      <c r="O1567" s="0" t="s">
        <v>332</v>
      </c>
      <c r="Q1567" s="0" t="s">
        <v>141</v>
      </c>
      <c r="R1567" s="0" t="s">
        <v>138</v>
      </c>
      <c r="S1567" s="14">
        <v>1</v>
      </c>
      <c r="T1567" s="0" t="s">
        <v>288</v>
      </c>
      <c r="U1567" s="0" t="s">
        <v>138</v>
      </c>
      <c r="V1567" s="14" t="s">
        <v>138</v>
      </c>
      <c r="W1567" s="0" t="s">
        <v>138</v>
      </c>
      <c r="X1567" s="14" t="s">
        <v>138</v>
      </c>
      <c r="Y1567" s="0" t="s">
        <v>138</v>
      </c>
      <c r="Z1567" s="14" t="s">
        <v>138</v>
      </c>
      <c r="AA1567" s="0" t="s">
        <v>138</v>
      </c>
      <c r="AB1567" s="14" t="s">
        <v>138</v>
      </c>
      <c r="AD1567" s="0" t="s">
        <v>138</v>
      </c>
      <c r="AF1567" s="0">
        <v>0</v>
      </c>
      <c r="AG1567" s="0">
        <v>0</v>
      </c>
      <c r="AH1567" s="0" t="s">
        <v>140</v>
      </c>
      <c r="AI1567" s="0" t="s">
        <v>138</v>
      </c>
      <c r="AK1567" s="0" t="s">
        <v>3042</v>
      </c>
      <c r="AL1567" s="14"/>
      <c r="AN1567" s="14"/>
      <c r="AQ1567" s="0" t="s">
        <v>130</v>
      </c>
      <c r="AR1567" s="0" t="s">
        <v>130</v>
      </c>
      <c r="AS1567" s="0" t="s">
        <v>130</v>
      </c>
      <c r="AT1567" s="0" t="s">
        <v>130</v>
      </c>
      <c r="AU1567" s="0" t="s">
        <v>130</v>
      </c>
      <c r="AV1567" s="0" t="s">
        <v>141</v>
      </c>
      <c r="AW1567" s="0" t="s">
        <v>130</v>
      </c>
      <c r="AX1567" s="0" t="s">
        <v>130</v>
      </c>
      <c r="AY1567" s="0" t="s">
        <v>130</v>
      </c>
      <c r="AZ1567" s="0" t="s">
        <v>130</v>
      </c>
      <c r="BA1567" s="0" t="s">
        <v>130</v>
      </c>
      <c r="BB1567" s="0" t="s">
        <v>130</v>
      </c>
      <c r="BC1567" s="0" t="s">
        <v>130</v>
      </c>
      <c r="BD1567" s="0" t="s">
        <v>130</v>
      </c>
      <c r="BE1567" s="0" t="s">
        <v>130</v>
      </c>
      <c r="BF1567" s="0" t="s">
        <v>130</v>
      </c>
      <c r="BG1567" s="0" t="s">
        <v>130</v>
      </c>
      <c r="BH1567" s="0" t="s">
        <v>130</v>
      </c>
      <c r="BI1567" s="0" t="s">
        <v>130</v>
      </c>
      <c r="BJ1567" s="0" t="s">
        <v>130</v>
      </c>
      <c r="BK1567" s="0" t="s">
        <v>130</v>
      </c>
      <c r="BL1567" s="0" t="s">
        <v>130</v>
      </c>
      <c r="BM1567" s="0" t="s">
        <v>130</v>
      </c>
      <c r="BN1567" s="0" t="s">
        <v>130</v>
      </c>
      <c r="BO1567" s="0" t="s">
        <v>130</v>
      </c>
      <c r="BP1567" s="0" t="s">
        <v>130</v>
      </c>
      <c r="BQ1567" s="0" t="s">
        <v>130</v>
      </c>
      <c r="BR1567" s="0" t="s">
        <v>130</v>
      </c>
      <c r="BS1567" s="0" t="s">
        <v>130</v>
      </c>
      <c r="BT1567" s="0" t="s">
        <v>130</v>
      </c>
      <c r="BU1567" s="0" t="s">
        <v>130</v>
      </c>
      <c r="BV1567" s="0" t="s">
        <v>130</v>
      </c>
      <c r="BW1567" s="0" t="s">
        <v>130</v>
      </c>
      <c r="BX1567" s="0" t="s">
        <v>141</v>
      </c>
      <c r="BY1567" s="0" t="s">
        <v>130</v>
      </c>
      <c r="BZ1567" s="0" t="s">
        <v>130</v>
      </c>
      <c r="CA1567" s="0" t="s">
        <v>130</v>
      </c>
      <c r="CB1567" s="0" t="s">
        <v>130</v>
      </c>
      <c r="CC1567" s="0" t="s">
        <v>130</v>
      </c>
      <c r="CD1567" s="0" t="s">
        <v>130</v>
      </c>
      <c r="CE1567" s="0" t="s">
        <v>130</v>
      </c>
      <c r="CF1567" s="0" t="s">
        <v>130</v>
      </c>
      <c r="CG1567" s="0" t="s">
        <v>130</v>
      </c>
      <c r="CH1567" s="0" t="s">
        <v>130</v>
      </c>
      <c r="CI1567" s="0" t="s">
        <v>130</v>
      </c>
      <c r="CJ1567" s="0" t="s">
        <v>130</v>
      </c>
      <c r="CK1567" s="0" t="s">
        <v>130</v>
      </c>
      <c r="CL1567" s="0" t="s">
        <v>130</v>
      </c>
      <c r="CM1567" s="0" t="s">
        <v>130</v>
      </c>
      <c r="CN1567" s="0" t="s">
        <v>130</v>
      </c>
      <c r="CO1567" s="0" t="s">
        <v>130</v>
      </c>
      <c r="CP1567" s="0" t="s">
        <v>130</v>
      </c>
      <c r="CQ1567" s="0" t="s">
        <v>130</v>
      </c>
      <c r="CR1567" s="0" t="s">
        <v>130</v>
      </c>
      <c r="CS1567" s="0" t="s">
        <v>130</v>
      </c>
      <c r="CT1567" s="0" t="s">
        <v>4531</v>
      </c>
    </row>
    <row r="1568">
      <c r="A1568" s="14">
        <v>50856480</v>
      </c>
      <c r="B1568" s="0" t="s">
        <v>4515</v>
      </c>
      <c r="C1568" s="16">
        <f>HYPERLINK("https://eosportal.federatedhermes.com/companies/Q29tcGFueQppNDk3NzA=", "Anheuser-Busch InBev SA/NV")</f>
      </c>
      <c r="D1568" s="0" t="s">
        <v>25</v>
      </c>
      <c r="E1568" s="0" t="s">
        <v>4532</v>
      </c>
      <c r="F1568" s="16">
        <f>HYPERLINK("https://eosportal.federatedhermes.com/engagements/RW5nYWdlbWVudAppMjg4MjQ=", "Recyclable Packaging")</f>
      </c>
      <c r="G1568" s="14" t="s">
        <v>4533</v>
      </c>
      <c r="H1568" s="0" t="s">
        <v>141</v>
      </c>
      <c r="I1568" s="14" t="s">
        <v>131</v>
      </c>
      <c r="J1568" s="0" t="s">
        <v>132</v>
      </c>
      <c r="K1568" s="0" t="s">
        <v>133</v>
      </c>
      <c r="L1568" s="0" t="s">
        <v>160</v>
      </c>
      <c r="M1568" s="0" t="s">
        <v>378</v>
      </c>
      <c r="N1568" s="0" t="s">
        <v>4518</v>
      </c>
      <c r="O1568" s="0" t="s">
        <v>332</v>
      </c>
      <c r="Q1568" s="0" t="s">
        <v>130</v>
      </c>
      <c r="R1568" s="0" t="s">
        <v>138</v>
      </c>
      <c r="S1568" s="14">
        <v>0</v>
      </c>
      <c r="T1568" s="0" t="s">
        <v>288</v>
      </c>
      <c r="U1568" s="0" t="s">
        <v>138</v>
      </c>
      <c r="V1568" s="14" t="s">
        <v>138</v>
      </c>
      <c r="W1568" s="0" t="s">
        <v>138</v>
      </c>
      <c r="X1568" s="14" t="s">
        <v>138</v>
      </c>
      <c r="Y1568" s="0" t="s">
        <v>138</v>
      </c>
      <c r="Z1568" s="14" t="s">
        <v>138</v>
      </c>
      <c r="AA1568" s="0" t="s">
        <v>138</v>
      </c>
      <c r="AB1568" s="14" t="s">
        <v>138</v>
      </c>
      <c r="AD1568" s="0" t="s">
        <v>138</v>
      </c>
      <c r="AF1568" s="0">
        <v>0</v>
      </c>
      <c r="AG1568" s="0">
        <v>0</v>
      </c>
      <c r="AH1568" s="0" t="s">
        <v>140</v>
      </c>
      <c r="AI1568" s="0" t="s">
        <v>138</v>
      </c>
      <c r="AL1568" s="14"/>
      <c r="AN1568" s="14"/>
      <c r="AQ1568" s="0" t="s">
        <v>130</v>
      </c>
      <c r="AR1568" s="0" t="s">
        <v>130</v>
      </c>
      <c r="AS1568" s="0" t="s">
        <v>130</v>
      </c>
      <c r="AT1568" s="0" t="s">
        <v>130</v>
      </c>
      <c r="AU1568" s="0" t="s">
        <v>130</v>
      </c>
      <c r="AV1568" s="0" t="s">
        <v>130</v>
      </c>
      <c r="AW1568" s="0" t="s">
        <v>130</v>
      </c>
      <c r="AX1568" s="0" t="s">
        <v>130</v>
      </c>
      <c r="AY1568" s="0" t="s">
        <v>130</v>
      </c>
      <c r="AZ1568" s="0" t="s">
        <v>130</v>
      </c>
      <c r="BA1568" s="0" t="s">
        <v>130</v>
      </c>
      <c r="BB1568" s="0" t="s">
        <v>141</v>
      </c>
      <c r="BC1568" s="0" t="s">
        <v>130</v>
      </c>
      <c r="BD1568" s="0" t="s">
        <v>130</v>
      </c>
      <c r="BE1568" s="0" t="s">
        <v>130</v>
      </c>
      <c r="BF1568" s="0" t="s">
        <v>130</v>
      </c>
      <c r="BG1568" s="0" t="s">
        <v>130</v>
      </c>
      <c r="BH1568" s="0" t="s">
        <v>130</v>
      </c>
      <c r="BI1568" s="0" t="s">
        <v>130</v>
      </c>
      <c r="BJ1568" s="0" t="s">
        <v>130</v>
      </c>
      <c r="BK1568" s="0" t="s">
        <v>130</v>
      </c>
      <c r="BL1568" s="0" t="s">
        <v>130</v>
      </c>
      <c r="BM1568" s="0" t="s">
        <v>130</v>
      </c>
      <c r="BN1568" s="0" t="s">
        <v>130</v>
      </c>
      <c r="BO1568" s="0" t="s">
        <v>130</v>
      </c>
      <c r="BP1568" s="0" t="s">
        <v>130</v>
      </c>
      <c r="BQ1568" s="0" t="s">
        <v>130</v>
      </c>
      <c r="BR1568" s="0" t="s">
        <v>130</v>
      </c>
      <c r="BS1568" s="0" t="s">
        <v>130</v>
      </c>
      <c r="BT1568" s="0" t="s">
        <v>130</v>
      </c>
      <c r="BU1568" s="0" t="s">
        <v>130</v>
      </c>
      <c r="BV1568" s="0" t="s">
        <v>130</v>
      </c>
      <c r="BW1568" s="0" t="s">
        <v>130</v>
      </c>
      <c r="BX1568" s="0" t="s">
        <v>130</v>
      </c>
      <c r="BY1568" s="0" t="s">
        <v>130</v>
      </c>
      <c r="BZ1568" s="0" t="s">
        <v>130</v>
      </c>
      <c r="CA1568" s="0" t="s">
        <v>130</v>
      </c>
      <c r="CB1568" s="0" t="s">
        <v>130</v>
      </c>
      <c r="CC1568" s="0" t="s">
        <v>130</v>
      </c>
      <c r="CD1568" s="0" t="s">
        <v>130</v>
      </c>
      <c r="CE1568" s="0" t="s">
        <v>130</v>
      </c>
      <c r="CF1568" s="0" t="s">
        <v>130</v>
      </c>
      <c r="CG1568" s="0" t="s">
        <v>130</v>
      </c>
      <c r="CH1568" s="0" t="s">
        <v>130</v>
      </c>
      <c r="CI1568" s="0" t="s">
        <v>130</v>
      </c>
      <c r="CJ1568" s="0" t="s">
        <v>130</v>
      </c>
      <c r="CK1568" s="0" t="s">
        <v>130</v>
      </c>
      <c r="CL1568" s="0" t="s">
        <v>130</v>
      </c>
      <c r="CM1568" s="0" t="s">
        <v>130</v>
      </c>
      <c r="CN1568" s="0" t="s">
        <v>130</v>
      </c>
      <c r="CO1568" s="0" t="s">
        <v>130</v>
      </c>
      <c r="CP1568" s="0" t="s">
        <v>130</v>
      </c>
      <c r="CQ1568" s="0" t="s">
        <v>130</v>
      </c>
      <c r="CR1568" s="0" t="s">
        <v>130</v>
      </c>
      <c r="CS1568" s="0" t="s">
        <v>130</v>
      </c>
      <c r="CT1568" s="0" t="s">
        <v>4534</v>
      </c>
    </row>
    <row r="1569">
      <c r="A1569" s="14">
        <v>50856480</v>
      </c>
      <c r="B1569" s="0" t="s">
        <v>4515</v>
      </c>
      <c r="C1569" s="16">
        <f>HYPERLINK("https://eosportal.federatedhermes.com/companies/Q29tcGFueQppNDk3NzA=", "Anheuser-Busch InBev SA/NV")</f>
      </c>
      <c r="D1569" s="0" t="s">
        <v>25</v>
      </c>
      <c r="E1569" s="0" t="s">
        <v>341</v>
      </c>
      <c r="F1569" s="16">
        <f>HYPERLINK("https://eosportal.federatedhermes.com/engagements/RW5nYWdlbWVudAppMjg4MjU=", "Remuneration")</f>
      </c>
      <c r="G1569" s="14" t="s">
        <v>342</v>
      </c>
      <c r="H1569" s="0" t="s">
        <v>141</v>
      </c>
      <c r="I1569" s="14" t="s">
        <v>131</v>
      </c>
      <c r="J1569" s="0" t="s">
        <v>145</v>
      </c>
      <c r="K1569" s="0" t="s">
        <v>146</v>
      </c>
      <c r="L1569" s="0" t="s">
        <v>147</v>
      </c>
      <c r="M1569" s="0" t="s">
        <v>378</v>
      </c>
      <c r="N1569" s="0" t="s">
        <v>4518</v>
      </c>
      <c r="O1569" s="0" t="s">
        <v>332</v>
      </c>
      <c r="Q1569" s="0" t="s">
        <v>130</v>
      </c>
      <c r="R1569" s="0" t="s">
        <v>138</v>
      </c>
      <c r="S1569" s="14">
        <v>0</v>
      </c>
      <c r="T1569" s="0" t="s">
        <v>487</v>
      </c>
      <c r="U1569" s="0" t="s">
        <v>138</v>
      </c>
      <c r="V1569" s="14" t="s">
        <v>138</v>
      </c>
      <c r="W1569" s="0" t="s">
        <v>138</v>
      </c>
      <c r="X1569" s="14" t="s">
        <v>138</v>
      </c>
      <c r="Y1569" s="0" t="s">
        <v>138</v>
      </c>
      <c r="Z1569" s="14" t="s">
        <v>138</v>
      </c>
      <c r="AA1569" s="0" t="s">
        <v>138</v>
      </c>
      <c r="AB1569" s="14" t="s">
        <v>138</v>
      </c>
      <c r="AD1569" s="0" t="s">
        <v>138</v>
      </c>
      <c r="AF1569" s="0">
        <v>0</v>
      </c>
      <c r="AG1569" s="0">
        <v>0</v>
      </c>
      <c r="AH1569" s="0" t="s">
        <v>140</v>
      </c>
      <c r="AI1569" s="0" t="s">
        <v>138</v>
      </c>
      <c r="AL1569" s="14"/>
      <c r="AN1569" s="14"/>
      <c r="AQ1569" s="0" t="s">
        <v>130</v>
      </c>
      <c r="AR1569" s="0" t="s">
        <v>130</v>
      </c>
      <c r="AS1569" s="0" t="s">
        <v>130</v>
      </c>
      <c r="AT1569" s="0" t="s">
        <v>130</v>
      </c>
      <c r="AU1569" s="0" t="s">
        <v>130</v>
      </c>
      <c r="AV1569" s="0" t="s">
        <v>130</v>
      </c>
      <c r="AW1569" s="0" t="s">
        <v>130</v>
      </c>
      <c r="AX1569" s="0" t="s">
        <v>130</v>
      </c>
      <c r="AY1569" s="0" t="s">
        <v>130</v>
      </c>
      <c r="AZ1569" s="0" t="s">
        <v>130</v>
      </c>
      <c r="BA1569" s="0" t="s">
        <v>130</v>
      </c>
      <c r="BB1569" s="0" t="s">
        <v>130</v>
      </c>
      <c r="BC1569" s="0" t="s">
        <v>130</v>
      </c>
      <c r="BD1569" s="0" t="s">
        <v>130</v>
      </c>
      <c r="BE1569" s="0" t="s">
        <v>130</v>
      </c>
      <c r="BF1569" s="0" t="s">
        <v>130</v>
      </c>
      <c r="BG1569" s="0" t="s">
        <v>130</v>
      </c>
      <c r="BH1569" s="0" t="s">
        <v>130</v>
      </c>
      <c r="BI1569" s="0" t="s">
        <v>130</v>
      </c>
      <c r="BJ1569" s="0" t="s">
        <v>130</v>
      </c>
      <c r="BK1569" s="0" t="s">
        <v>130</v>
      </c>
      <c r="BL1569" s="0" t="s">
        <v>130</v>
      </c>
      <c r="BM1569" s="0" t="s">
        <v>130</v>
      </c>
      <c r="BN1569" s="0" t="s">
        <v>130</v>
      </c>
      <c r="BO1569" s="0" t="s">
        <v>130</v>
      </c>
      <c r="BP1569" s="0" t="s">
        <v>130</v>
      </c>
      <c r="BQ1569" s="0" t="s">
        <v>130</v>
      </c>
      <c r="BR1569" s="0" t="s">
        <v>130</v>
      </c>
      <c r="BS1569" s="0" t="s">
        <v>130</v>
      </c>
      <c r="BT1569" s="0" t="s">
        <v>130</v>
      </c>
      <c r="BU1569" s="0" t="s">
        <v>130</v>
      </c>
      <c r="BV1569" s="0" t="s">
        <v>130</v>
      </c>
      <c r="BW1569" s="0" t="s">
        <v>130</v>
      </c>
      <c r="BX1569" s="0" t="s">
        <v>130</v>
      </c>
      <c r="BY1569" s="0" t="s">
        <v>130</v>
      </c>
      <c r="BZ1569" s="0" t="s">
        <v>130</v>
      </c>
      <c r="CA1569" s="0" t="s">
        <v>130</v>
      </c>
      <c r="CB1569" s="0" t="s">
        <v>130</v>
      </c>
      <c r="CC1569" s="0" t="s">
        <v>130</v>
      </c>
      <c r="CD1569" s="0" t="s">
        <v>130</v>
      </c>
      <c r="CE1569" s="0" t="s">
        <v>130</v>
      </c>
      <c r="CF1569" s="0" t="s">
        <v>130</v>
      </c>
      <c r="CG1569" s="0" t="s">
        <v>130</v>
      </c>
      <c r="CH1569" s="0" t="s">
        <v>130</v>
      </c>
      <c r="CI1569" s="0" t="s">
        <v>130</v>
      </c>
      <c r="CJ1569" s="0" t="s">
        <v>130</v>
      </c>
      <c r="CK1569" s="0" t="s">
        <v>130</v>
      </c>
      <c r="CL1569" s="0" t="s">
        <v>130</v>
      </c>
      <c r="CM1569" s="0" t="s">
        <v>130</v>
      </c>
      <c r="CN1569" s="0" t="s">
        <v>130</v>
      </c>
      <c r="CO1569" s="0" t="s">
        <v>130</v>
      </c>
      <c r="CP1569" s="0" t="s">
        <v>130</v>
      </c>
      <c r="CQ1569" s="0" t="s">
        <v>130</v>
      </c>
      <c r="CR1569" s="0" t="s">
        <v>130</v>
      </c>
      <c r="CS1569" s="0" t="s">
        <v>130</v>
      </c>
      <c r="CT1569" s="0" t="s">
        <v>4535</v>
      </c>
    </row>
    <row r="1570">
      <c r="A1570" s="14">
        <v>50856480</v>
      </c>
      <c r="B1570" s="0" t="s">
        <v>4515</v>
      </c>
      <c r="C1570" s="16">
        <f>HYPERLINK("https://eosportal.federatedhermes.com/companies/Q29tcGFueQppNDk3NzA=", "Anheuser-Busch InBev SA/NV")</f>
      </c>
      <c r="D1570" s="0" t="s">
        <v>25</v>
      </c>
      <c r="E1570" s="0" t="s">
        <v>322</v>
      </c>
      <c r="F1570" s="16">
        <f>HYPERLINK("https://eosportal.federatedhermes.com/engagements/RW5nYWdlbWVudAppMjg4MjY=", "Gender diversity")</f>
      </c>
      <c r="G1570" s="14" t="s">
        <v>4536</v>
      </c>
      <c r="H1570" s="0" t="s">
        <v>141</v>
      </c>
      <c r="I1570" s="14" t="s">
        <v>131</v>
      </c>
      <c r="J1570" s="0" t="s">
        <v>153</v>
      </c>
      <c r="K1570" s="0" t="s">
        <v>154</v>
      </c>
      <c r="L1570" s="0" t="s">
        <v>268</v>
      </c>
      <c r="M1570" s="0" t="s">
        <v>378</v>
      </c>
      <c r="N1570" s="0" t="s">
        <v>4518</v>
      </c>
      <c r="O1570" s="0" t="s">
        <v>332</v>
      </c>
      <c r="Q1570" s="0" t="s">
        <v>130</v>
      </c>
      <c r="R1570" s="0" t="s">
        <v>138</v>
      </c>
      <c r="S1570" s="14">
        <v>0</v>
      </c>
      <c r="T1570" s="0" t="s">
        <v>239</v>
      </c>
      <c r="U1570" s="0" t="s">
        <v>138</v>
      </c>
      <c r="V1570" s="14" t="s">
        <v>138</v>
      </c>
      <c r="W1570" s="0" t="s">
        <v>138</v>
      </c>
      <c r="X1570" s="14" t="s">
        <v>138</v>
      </c>
      <c r="Y1570" s="0" t="s">
        <v>138</v>
      </c>
      <c r="Z1570" s="14" t="s">
        <v>138</v>
      </c>
      <c r="AA1570" s="0" t="s">
        <v>138</v>
      </c>
      <c r="AB1570" s="14" t="s">
        <v>138</v>
      </c>
      <c r="AD1570" s="0" t="s">
        <v>138</v>
      </c>
      <c r="AF1570" s="0">
        <v>0</v>
      </c>
      <c r="AG1570" s="0">
        <v>0</v>
      </c>
      <c r="AH1570" s="0" t="s">
        <v>140</v>
      </c>
      <c r="AI1570" s="0" t="s">
        <v>138</v>
      </c>
      <c r="AL1570" s="14"/>
      <c r="AN1570" s="14"/>
      <c r="AQ1570" s="0" t="s">
        <v>130</v>
      </c>
      <c r="AR1570" s="0" t="s">
        <v>130</v>
      </c>
      <c r="AS1570" s="0" t="s">
        <v>130</v>
      </c>
      <c r="AT1570" s="0" t="s">
        <v>130</v>
      </c>
      <c r="AU1570" s="0" t="s">
        <v>141</v>
      </c>
      <c r="AV1570" s="0" t="s">
        <v>130</v>
      </c>
      <c r="AW1570" s="0" t="s">
        <v>130</v>
      </c>
      <c r="AX1570" s="0" t="s">
        <v>130</v>
      </c>
      <c r="AY1570" s="0" t="s">
        <v>130</v>
      </c>
      <c r="AZ1570" s="0" t="s">
        <v>130</v>
      </c>
      <c r="BA1570" s="0" t="s">
        <v>130</v>
      </c>
      <c r="BB1570" s="0" t="s">
        <v>130</v>
      </c>
      <c r="BC1570" s="0" t="s">
        <v>130</v>
      </c>
      <c r="BD1570" s="0" t="s">
        <v>130</v>
      </c>
      <c r="BE1570" s="0" t="s">
        <v>130</v>
      </c>
      <c r="BF1570" s="0" t="s">
        <v>130</v>
      </c>
      <c r="BG1570" s="0" t="s">
        <v>130</v>
      </c>
      <c r="BH1570" s="0" t="s">
        <v>130</v>
      </c>
      <c r="BI1570" s="0" t="s">
        <v>130</v>
      </c>
      <c r="BJ1570" s="0" t="s">
        <v>130</v>
      </c>
      <c r="BK1570" s="0" t="s">
        <v>130</v>
      </c>
      <c r="BL1570" s="0" t="s">
        <v>130</v>
      </c>
      <c r="BM1570" s="0" t="s">
        <v>130</v>
      </c>
      <c r="BN1570" s="0" t="s">
        <v>130</v>
      </c>
      <c r="BO1570" s="0" t="s">
        <v>130</v>
      </c>
      <c r="BP1570" s="0" t="s">
        <v>130</v>
      </c>
      <c r="BQ1570" s="0" t="s">
        <v>130</v>
      </c>
      <c r="BR1570" s="0" t="s">
        <v>130</v>
      </c>
      <c r="BS1570" s="0" t="s">
        <v>130</v>
      </c>
      <c r="BT1570" s="0" t="s">
        <v>130</v>
      </c>
      <c r="BU1570" s="0" t="s">
        <v>130</v>
      </c>
      <c r="BV1570" s="0" t="s">
        <v>130</v>
      </c>
      <c r="BW1570" s="0" t="s">
        <v>130</v>
      </c>
      <c r="BX1570" s="0" t="s">
        <v>130</v>
      </c>
      <c r="BY1570" s="0" t="s">
        <v>130</v>
      </c>
      <c r="BZ1570" s="0" t="s">
        <v>130</v>
      </c>
      <c r="CA1570" s="0" t="s">
        <v>130</v>
      </c>
      <c r="CB1570" s="0" t="s">
        <v>130</v>
      </c>
      <c r="CC1570" s="0" t="s">
        <v>130</v>
      </c>
      <c r="CD1570" s="0" t="s">
        <v>130</v>
      </c>
      <c r="CE1570" s="0" t="s">
        <v>130</v>
      </c>
      <c r="CF1570" s="0" t="s">
        <v>130</v>
      </c>
      <c r="CG1570" s="0" t="s">
        <v>130</v>
      </c>
      <c r="CH1570" s="0" t="s">
        <v>130</v>
      </c>
      <c r="CI1570" s="0" t="s">
        <v>130</v>
      </c>
      <c r="CJ1570" s="0" t="s">
        <v>130</v>
      </c>
      <c r="CK1570" s="0" t="s">
        <v>141</v>
      </c>
      <c r="CL1570" s="0" t="s">
        <v>130</v>
      </c>
      <c r="CM1570" s="0" t="s">
        <v>130</v>
      </c>
      <c r="CN1570" s="0" t="s">
        <v>130</v>
      </c>
      <c r="CO1570" s="0" t="s">
        <v>130</v>
      </c>
      <c r="CP1570" s="0" t="s">
        <v>130</v>
      </c>
      <c r="CQ1570" s="0" t="s">
        <v>130</v>
      </c>
      <c r="CR1570" s="0" t="s">
        <v>130</v>
      </c>
      <c r="CS1570" s="0" t="s">
        <v>130</v>
      </c>
      <c r="CT1570" s="0" t="s">
        <v>4537</v>
      </c>
    </row>
    <row r="1571">
      <c r="A1571" s="14">
        <v>51257766</v>
      </c>
      <c r="B1571" s="0" t="s">
        <v>4538</v>
      </c>
      <c r="C1571" s="16">
        <f>HYPERLINK("https://eosportal.federatedhermes.com/companies/Q29tcGFueQppNTg5NzM=", "Vistra Corp")</f>
      </c>
      <c r="D1571" s="0" t="s">
        <v>25</v>
      </c>
      <c r="E1571" s="0" t="s">
        <v>4539</v>
      </c>
      <c r="F1571" s="16">
        <f>HYPERLINK("https://eosportal.federatedhermes.com/engagements/RW5nYWdlbWVudAppMjg4MzM=", "Climate change risk and opportunity management")</f>
      </c>
      <c r="G1571" s="14" t="s">
        <v>1696</v>
      </c>
      <c r="H1571" s="0" t="s">
        <v>141</v>
      </c>
      <c r="I1571" s="14" t="s">
        <v>131</v>
      </c>
      <c r="J1571" s="0" t="s">
        <v>197</v>
      </c>
      <c r="K1571" s="0" t="s">
        <v>198</v>
      </c>
      <c r="L1571" s="0" t="s">
        <v>199</v>
      </c>
      <c r="M1571" s="0" t="s">
        <v>135</v>
      </c>
      <c r="N1571" s="0" t="s">
        <v>136</v>
      </c>
      <c r="O1571" s="0" t="s">
        <v>192</v>
      </c>
      <c r="Q1571" s="0" t="s">
        <v>130</v>
      </c>
      <c r="R1571" s="0" t="s">
        <v>138</v>
      </c>
      <c r="S1571" s="14">
        <v>0</v>
      </c>
      <c r="T1571" s="0" t="s">
        <v>394</v>
      </c>
      <c r="U1571" s="0" t="s">
        <v>138</v>
      </c>
      <c r="V1571" s="14" t="s">
        <v>138</v>
      </c>
      <c r="W1571" s="0" t="s">
        <v>138</v>
      </c>
      <c r="X1571" s="14" t="s">
        <v>138</v>
      </c>
      <c r="Y1571" s="0" t="s">
        <v>138</v>
      </c>
      <c r="Z1571" s="14" t="s">
        <v>138</v>
      </c>
      <c r="AA1571" s="0" t="s">
        <v>138</v>
      </c>
      <c r="AB1571" s="14" t="s">
        <v>138</v>
      </c>
      <c r="AD1571" s="0" t="s">
        <v>138</v>
      </c>
      <c r="AF1571" s="0">
        <v>0</v>
      </c>
      <c r="AG1571" s="0">
        <v>0</v>
      </c>
      <c r="AH1571" s="0" t="s">
        <v>140</v>
      </c>
      <c r="AI1571" s="0" t="s">
        <v>138</v>
      </c>
      <c r="AL1571" s="14"/>
      <c r="AN1571" s="14"/>
      <c r="AQ1571" s="0" t="s">
        <v>130</v>
      </c>
      <c r="AR1571" s="0" t="s">
        <v>130</v>
      </c>
      <c r="AS1571" s="0" t="s">
        <v>130</v>
      </c>
      <c r="AT1571" s="0" t="s">
        <v>130</v>
      </c>
      <c r="AU1571" s="0" t="s">
        <v>130</v>
      </c>
      <c r="AV1571" s="0" t="s">
        <v>130</v>
      </c>
      <c r="AW1571" s="0" t="s">
        <v>130</v>
      </c>
      <c r="AX1571" s="0" t="s">
        <v>130</v>
      </c>
      <c r="AY1571" s="0" t="s">
        <v>130</v>
      </c>
      <c r="AZ1571" s="0" t="s">
        <v>130</v>
      </c>
      <c r="BA1571" s="0" t="s">
        <v>130</v>
      </c>
      <c r="BB1571" s="0" t="s">
        <v>141</v>
      </c>
      <c r="BC1571" s="0" t="s">
        <v>141</v>
      </c>
      <c r="BD1571" s="0" t="s">
        <v>130</v>
      </c>
      <c r="BE1571" s="0" t="s">
        <v>130</v>
      </c>
      <c r="BF1571" s="0" t="s">
        <v>130</v>
      </c>
      <c r="BG1571" s="0" t="s">
        <v>130</v>
      </c>
      <c r="BH1571" s="0" t="s">
        <v>130</v>
      </c>
      <c r="BI1571" s="0" t="s">
        <v>130</v>
      </c>
      <c r="BJ1571" s="0" t="s">
        <v>130</v>
      </c>
      <c r="BK1571" s="0" t="s">
        <v>130</v>
      </c>
      <c r="BL1571" s="0" t="s">
        <v>130</v>
      </c>
      <c r="BM1571" s="0" t="s">
        <v>130</v>
      </c>
      <c r="BN1571" s="0" t="s">
        <v>130</v>
      </c>
      <c r="BO1571" s="0" t="s">
        <v>130</v>
      </c>
      <c r="BP1571" s="0" t="s">
        <v>130</v>
      </c>
      <c r="BQ1571" s="0" t="s">
        <v>130</v>
      </c>
      <c r="BR1571" s="0" t="s">
        <v>130</v>
      </c>
      <c r="BS1571" s="0" t="s">
        <v>130</v>
      </c>
      <c r="BT1571" s="0" t="s">
        <v>130</v>
      </c>
      <c r="BU1571" s="0" t="s">
        <v>130</v>
      </c>
      <c r="BV1571" s="0" t="s">
        <v>130</v>
      </c>
      <c r="BW1571" s="0" t="s">
        <v>130</v>
      </c>
      <c r="BX1571" s="0" t="s">
        <v>130</v>
      </c>
      <c r="BY1571" s="0" t="s">
        <v>130</v>
      </c>
      <c r="BZ1571" s="0" t="s">
        <v>130</v>
      </c>
      <c r="CA1571" s="0" t="s">
        <v>130</v>
      </c>
      <c r="CB1571" s="0" t="s">
        <v>130</v>
      </c>
      <c r="CC1571" s="0" t="s">
        <v>130</v>
      </c>
      <c r="CD1571" s="0" t="s">
        <v>130</v>
      </c>
      <c r="CE1571" s="0" t="s">
        <v>130</v>
      </c>
      <c r="CF1571" s="0" t="s">
        <v>130</v>
      </c>
      <c r="CG1571" s="0" t="s">
        <v>130</v>
      </c>
      <c r="CH1571" s="0" t="s">
        <v>130</v>
      </c>
      <c r="CI1571" s="0" t="s">
        <v>130</v>
      </c>
      <c r="CJ1571" s="0" t="s">
        <v>130</v>
      </c>
      <c r="CK1571" s="0" t="s">
        <v>130</v>
      </c>
      <c r="CL1571" s="0" t="s">
        <v>130</v>
      </c>
      <c r="CM1571" s="0" t="s">
        <v>130</v>
      </c>
      <c r="CN1571" s="0" t="s">
        <v>130</v>
      </c>
      <c r="CO1571" s="0" t="s">
        <v>130</v>
      </c>
      <c r="CP1571" s="0" t="s">
        <v>130</v>
      </c>
      <c r="CQ1571" s="0" t="s">
        <v>130</v>
      </c>
      <c r="CR1571" s="0" t="s">
        <v>130</v>
      </c>
      <c r="CS1571" s="0" t="s">
        <v>130</v>
      </c>
      <c r="CT1571" s="0" t="s">
        <v>4540</v>
      </c>
    </row>
    <row r="1572">
      <c r="A1572" s="14">
        <v>51257766</v>
      </c>
      <c r="B1572" s="0" t="s">
        <v>4538</v>
      </c>
      <c r="C1572" s="16">
        <f>HYPERLINK("https://eosportal.federatedhermes.com/companies/Q29tcGFueQppNTg5NzM=", "Vistra Corp")</f>
      </c>
      <c r="D1572" s="0" t="s">
        <v>25</v>
      </c>
      <c r="E1572" s="0" t="s">
        <v>143</v>
      </c>
      <c r="F1572" s="16">
        <f>HYPERLINK("https://eosportal.federatedhermes.com/engagements/RW5nYWdlbWVudAppMjg4MzQ=", "Executive compensation")</f>
      </c>
      <c r="G1572" s="14" t="s">
        <v>4541</v>
      </c>
      <c r="H1572" s="0" t="s">
        <v>141</v>
      </c>
      <c r="I1572" s="14" t="s">
        <v>131</v>
      </c>
      <c r="J1572" s="0" t="s">
        <v>145</v>
      </c>
      <c r="K1572" s="0" t="s">
        <v>146</v>
      </c>
      <c r="L1572" s="0" t="s">
        <v>500</v>
      </c>
      <c r="M1572" s="0" t="s">
        <v>135</v>
      </c>
      <c r="N1572" s="0" t="s">
        <v>136</v>
      </c>
      <c r="O1572" s="0" t="s">
        <v>192</v>
      </c>
      <c r="Q1572" s="0" t="s">
        <v>141</v>
      </c>
      <c r="R1572" s="0" t="s">
        <v>138</v>
      </c>
      <c r="S1572" s="14">
        <v>1</v>
      </c>
      <c r="T1572" s="0" t="s">
        <v>166</v>
      </c>
      <c r="U1572" s="0" t="s">
        <v>138</v>
      </c>
      <c r="V1572" s="14" t="s">
        <v>138</v>
      </c>
      <c r="W1572" s="0" t="s">
        <v>138</v>
      </c>
      <c r="X1572" s="14" t="s">
        <v>138</v>
      </c>
      <c r="Y1572" s="0" t="s">
        <v>138</v>
      </c>
      <c r="Z1572" s="14" t="s">
        <v>138</v>
      </c>
      <c r="AA1572" s="0" t="s">
        <v>138</v>
      </c>
      <c r="AB1572" s="14" t="s">
        <v>138</v>
      </c>
      <c r="AD1572" s="0" t="s">
        <v>138</v>
      </c>
      <c r="AF1572" s="0">
        <v>0</v>
      </c>
      <c r="AG1572" s="0">
        <v>0</v>
      </c>
      <c r="AH1572" s="0" t="s">
        <v>140</v>
      </c>
      <c r="AI1572" s="0" t="s">
        <v>138</v>
      </c>
      <c r="AK1572" s="0" t="s">
        <v>749</v>
      </c>
      <c r="AL1572" s="14"/>
      <c r="AN1572" s="14"/>
      <c r="AQ1572" s="0" t="s">
        <v>130</v>
      </c>
      <c r="AR1572" s="0" t="s">
        <v>130</v>
      </c>
      <c r="AS1572" s="0" t="s">
        <v>130</v>
      </c>
      <c r="AT1572" s="0" t="s">
        <v>130</v>
      </c>
      <c r="AU1572" s="0" t="s">
        <v>130</v>
      </c>
      <c r="AV1572" s="0" t="s">
        <v>130</v>
      </c>
      <c r="AW1572" s="0" t="s">
        <v>130</v>
      </c>
      <c r="AX1572" s="0" t="s">
        <v>130</v>
      </c>
      <c r="AY1572" s="0" t="s">
        <v>130</v>
      </c>
      <c r="AZ1572" s="0" t="s">
        <v>130</v>
      </c>
      <c r="BA1572" s="0" t="s">
        <v>130</v>
      </c>
      <c r="BB1572" s="0" t="s">
        <v>130</v>
      </c>
      <c r="BC1572" s="0" t="s">
        <v>130</v>
      </c>
      <c r="BD1572" s="0" t="s">
        <v>130</v>
      </c>
      <c r="BE1572" s="0" t="s">
        <v>130</v>
      </c>
      <c r="BF1572" s="0" t="s">
        <v>130</v>
      </c>
      <c r="BG1572" s="0" t="s">
        <v>130</v>
      </c>
      <c r="BH1572" s="0" t="s">
        <v>130</v>
      </c>
      <c r="BI1572" s="0" t="s">
        <v>130</v>
      </c>
      <c r="BJ1572" s="0" t="s">
        <v>130</v>
      </c>
      <c r="BK1572" s="0" t="s">
        <v>130</v>
      </c>
      <c r="BL1572" s="0" t="s">
        <v>130</v>
      </c>
      <c r="BM1572" s="0" t="s">
        <v>130</v>
      </c>
      <c r="BN1572" s="0" t="s">
        <v>130</v>
      </c>
      <c r="BO1572" s="0" t="s">
        <v>130</v>
      </c>
      <c r="BP1572" s="0" t="s">
        <v>130</v>
      </c>
      <c r="BQ1572" s="0" t="s">
        <v>130</v>
      </c>
      <c r="BR1572" s="0" t="s">
        <v>130</v>
      </c>
      <c r="BS1572" s="0" t="s">
        <v>130</v>
      </c>
      <c r="BT1572" s="0" t="s">
        <v>130</v>
      </c>
      <c r="BU1572" s="0" t="s">
        <v>130</v>
      </c>
      <c r="BV1572" s="0" t="s">
        <v>130</v>
      </c>
      <c r="BW1572" s="0" t="s">
        <v>130</v>
      </c>
      <c r="BX1572" s="0" t="s">
        <v>130</v>
      </c>
      <c r="BY1572" s="0" t="s">
        <v>130</v>
      </c>
      <c r="BZ1572" s="0" t="s">
        <v>130</v>
      </c>
      <c r="CA1572" s="0" t="s">
        <v>130</v>
      </c>
      <c r="CB1572" s="0" t="s">
        <v>130</v>
      </c>
      <c r="CC1572" s="0" t="s">
        <v>130</v>
      </c>
      <c r="CD1572" s="0" t="s">
        <v>130</v>
      </c>
      <c r="CE1572" s="0" t="s">
        <v>130</v>
      </c>
      <c r="CF1572" s="0" t="s">
        <v>130</v>
      </c>
      <c r="CG1572" s="0" t="s">
        <v>130</v>
      </c>
      <c r="CH1572" s="0" t="s">
        <v>130</v>
      </c>
      <c r="CI1572" s="0" t="s">
        <v>130</v>
      </c>
      <c r="CJ1572" s="0" t="s">
        <v>130</v>
      </c>
      <c r="CK1572" s="0" t="s">
        <v>130</v>
      </c>
      <c r="CL1572" s="0" t="s">
        <v>130</v>
      </c>
      <c r="CM1572" s="0" t="s">
        <v>130</v>
      </c>
      <c r="CN1572" s="0" t="s">
        <v>130</v>
      </c>
      <c r="CO1572" s="0" t="s">
        <v>130</v>
      </c>
      <c r="CP1572" s="0" t="s">
        <v>130</v>
      </c>
      <c r="CQ1572" s="0" t="s">
        <v>130</v>
      </c>
      <c r="CR1572" s="0" t="s">
        <v>130</v>
      </c>
      <c r="CS1572" s="0" t="s">
        <v>130</v>
      </c>
      <c r="CT1572" s="0" t="s">
        <v>4542</v>
      </c>
    </row>
    <row r="1573">
      <c r="A1573" s="14">
        <v>51257766</v>
      </c>
      <c r="B1573" s="0" t="s">
        <v>4538</v>
      </c>
      <c r="C1573" s="16">
        <f>HYPERLINK("https://eosportal.federatedhermes.com/companies/Q29tcGFueQppNTg5NzM=", "Vistra Corp")</f>
      </c>
      <c r="D1573" s="0" t="s">
        <v>23</v>
      </c>
      <c r="E1573" s="0" t="s">
        <v>228</v>
      </c>
      <c r="F1573" s="16">
        <f>HYPERLINK("https://eosportal.federatedhermes.com/engagements/RW5nYWdlbWVudAppMjg4MzU=", "Climate strategy")</f>
      </c>
      <c r="G1573" s="14" t="s">
        <v>4543</v>
      </c>
      <c r="H1573" s="0" t="s">
        <v>141</v>
      </c>
      <c r="I1573" s="14" t="s">
        <v>131</v>
      </c>
      <c r="J1573" s="0" t="s">
        <v>197</v>
      </c>
      <c r="K1573" s="0" t="s">
        <v>198</v>
      </c>
      <c r="L1573" s="0" t="s">
        <v>220</v>
      </c>
      <c r="M1573" s="0" t="s">
        <v>135</v>
      </c>
      <c r="N1573" s="0" t="s">
        <v>136</v>
      </c>
      <c r="O1573" s="0" t="s">
        <v>192</v>
      </c>
      <c r="Q1573" s="0" t="s">
        <v>141</v>
      </c>
      <c r="R1573" s="0" t="s">
        <v>130</v>
      </c>
      <c r="S1573" s="14">
        <v>1</v>
      </c>
      <c r="T1573" s="0" t="s">
        <v>230</v>
      </c>
      <c r="U1573" s="0" t="s">
        <v>221</v>
      </c>
      <c r="V1573" s="14" t="s">
        <v>230</v>
      </c>
      <c r="W1573" s="0" t="s">
        <v>221</v>
      </c>
      <c r="X1573" s="14" t="s">
        <v>230</v>
      </c>
      <c r="Y1573" s="0" t="s">
        <v>221</v>
      </c>
      <c r="Z1573" s="14" t="s">
        <v>446</v>
      </c>
      <c r="AA1573" s="0" t="s">
        <v>223</v>
      </c>
      <c r="AB1573" s="14" t="s">
        <v>138</v>
      </c>
      <c r="AD1573" s="0" t="s">
        <v>20</v>
      </c>
      <c r="AF1573" s="0">
        <v>0</v>
      </c>
      <c r="AG1573" s="0">
        <v>0</v>
      </c>
      <c r="AH1573" s="0" t="s">
        <v>140</v>
      </c>
      <c r="AI1573" s="0" t="s">
        <v>479</v>
      </c>
      <c r="AK1573" s="0" t="s">
        <v>749</v>
      </c>
      <c r="AL1573" s="14"/>
      <c r="AN1573" s="14"/>
      <c r="AQ1573" s="0" t="s">
        <v>130</v>
      </c>
      <c r="AR1573" s="0" t="s">
        <v>130</v>
      </c>
      <c r="AS1573" s="0" t="s">
        <v>130</v>
      </c>
      <c r="AT1573" s="0" t="s">
        <v>130</v>
      </c>
      <c r="AU1573" s="0" t="s">
        <v>130</v>
      </c>
      <c r="AV1573" s="0" t="s">
        <v>130</v>
      </c>
      <c r="AW1573" s="0" t="s">
        <v>141</v>
      </c>
      <c r="AX1573" s="0" t="s">
        <v>130</v>
      </c>
      <c r="AY1573" s="0" t="s">
        <v>141</v>
      </c>
      <c r="AZ1573" s="0" t="s">
        <v>130</v>
      </c>
      <c r="BA1573" s="0" t="s">
        <v>130</v>
      </c>
      <c r="BB1573" s="0" t="s">
        <v>130</v>
      </c>
      <c r="BC1573" s="0" t="s">
        <v>141</v>
      </c>
      <c r="BD1573" s="0" t="s">
        <v>130</v>
      </c>
      <c r="BE1573" s="0" t="s">
        <v>130</v>
      </c>
      <c r="BF1573" s="0" t="s">
        <v>130</v>
      </c>
      <c r="BG1573" s="0" t="s">
        <v>130</v>
      </c>
      <c r="BH1573" s="0" t="s">
        <v>141</v>
      </c>
      <c r="BI1573" s="0" t="s">
        <v>141</v>
      </c>
      <c r="BJ1573" s="0" t="s">
        <v>141</v>
      </c>
      <c r="BK1573" s="0" t="s">
        <v>130</v>
      </c>
      <c r="BL1573" s="0" t="s">
        <v>130</v>
      </c>
      <c r="BM1573" s="0" t="s">
        <v>130</v>
      </c>
      <c r="BN1573" s="0" t="s">
        <v>130</v>
      </c>
      <c r="BO1573" s="0" t="s">
        <v>130</v>
      </c>
      <c r="BP1573" s="0" t="s">
        <v>130</v>
      </c>
      <c r="BQ1573" s="0" t="s">
        <v>130</v>
      </c>
      <c r="BR1573" s="0" t="s">
        <v>130</v>
      </c>
      <c r="BS1573" s="0" t="s">
        <v>130</v>
      </c>
      <c r="BT1573" s="0" t="s">
        <v>130</v>
      </c>
      <c r="BU1573" s="0" t="s">
        <v>130</v>
      </c>
      <c r="BV1573" s="0" t="s">
        <v>141</v>
      </c>
      <c r="BW1573" s="0" t="s">
        <v>141</v>
      </c>
      <c r="BX1573" s="0" t="s">
        <v>130</v>
      </c>
      <c r="BY1573" s="0" t="s">
        <v>130</v>
      </c>
      <c r="BZ1573" s="0" t="s">
        <v>130</v>
      </c>
      <c r="CA1573" s="0" t="s">
        <v>130</v>
      </c>
      <c r="CB1573" s="0" t="s">
        <v>130</v>
      </c>
      <c r="CC1573" s="0" t="s">
        <v>130</v>
      </c>
      <c r="CD1573" s="0" t="s">
        <v>130</v>
      </c>
      <c r="CE1573" s="0" t="s">
        <v>130</v>
      </c>
      <c r="CF1573" s="0" t="s">
        <v>130</v>
      </c>
      <c r="CG1573" s="0" t="s">
        <v>130</v>
      </c>
      <c r="CH1573" s="0" t="s">
        <v>130</v>
      </c>
      <c r="CI1573" s="0" t="s">
        <v>130</v>
      </c>
      <c r="CJ1573" s="0" t="s">
        <v>130</v>
      </c>
      <c r="CK1573" s="0" t="s">
        <v>130</v>
      </c>
      <c r="CL1573" s="0" t="s">
        <v>130</v>
      </c>
      <c r="CM1573" s="0" t="s">
        <v>130</v>
      </c>
      <c r="CN1573" s="0" t="s">
        <v>130</v>
      </c>
      <c r="CO1573" s="0" t="s">
        <v>130</v>
      </c>
      <c r="CP1573" s="0" t="s">
        <v>130</v>
      </c>
      <c r="CQ1573" s="0" t="s">
        <v>130</v>
      </c>
      <c r="CR1573" s="0" t="s">
        <v>130</v>
      </c>
      <c r="CS1573" s="0" t="s">
        <v>130</v>
      </c>
      <c r="CT1573" s="0" t="s">
        <v>4544</v>
      </c>
    </row>
    <row r="1574">
      <c r="A1574" s="14">
        <v>51257766</v>
      </c>
      <c r="B1574" s="0" t="s">
        <v>4538</v>
      </c>
      <c r="C1574" s="16">
        <f>HYPERLINK("https://eosportal.federatedhermes.com/companies/Q29tcGFueQppNTg5NzM=", "Vistra Corp")</f>
      </c>
      <c r="D1574" s="0" t="s">
        <v>23</v>
      </c>
      <c r="E1574" s="0" t="s">
        <v>1859</v>
      </c>
      <c r="F1574" s="16">
        <f>HYPERLINK("https://eosportal.federatedhermes.com/engagements/RW5nYWdlbWVudAppMjg4Mzc=", "Governance oversight of industry associations")</f>
      </c>
      <c r="G1574" s="14" t="s">
        <v>4545</v>
      </c>
      <c r="H1574" s="0" t="s">
        <v>141</v>
      </c>
      <c r="I1574" s="14" t="s">
        <v>131</v>
      </c>
      <c r="J1574" s="0" t="s">
        <v>197</v>
      </c>
      <c r="K1574" s="0" t="s">
        <v>198</v>
      </c>
      <c r="L1574" s="0" t="s">
        <v>199</v>
      </c>
      <c r="M1574" s="0" t="s">
        <v>135</v>
      </c>
      <c r="N1574" s="0" t="s">
        <v>136</v>
      </c>
      <c r="O1574" s="0" t="s">
        <v>192</v>
      </c>
      <c r="Q1574" s="0" t="s">
        <v>130</v>
      </c>
      <c r="R1574" s="0" t="s">
        <v>130</v>
      </c>
      <c r="S1574" s="14">
        <v>0</v>
      </c>
      <c r="T1574" s="0" t="s">
        <v>230</v>
      </c>
      <c r="U1574" s="0" t="s">
        <v>221</v>
      </c>
      <c r="V1574" s="14" t="s">
        <v>230</v>
      </c>
      <c r="W1574" s="0" t="s">
        <v>221</v>
      </c>
      <c r="X1574" s="14" t="s">
        <v>360</v>
      </c>
      <c r="Y1574" s="0" t="s">
        <v>223</v>
      </c>
      <c r="Z1574" s="14" t="s">
        <v>138</v>
      </c>
      <c r="AA1574" s="0" t="s">
        <v>224</v>
      </c>
      <c r="AB1574" s="14" t="s">
        <v>138</v>
      </c>
      <c r="AD1574" s="0" t="s">
        <v>17</v>
      </c>
      <c r="AF1574" s="0">
        <v>0</v>
      </c>
      <c r="AG1574" s="0">
        <v>0</v>
      </c>
      <c r="AH1574" s="0" t="s">
        <v>140</v>
      </c>
      <c r="AI1574" s="0" t="s">
        <v>232</v>
      </c>
      <c r="AL1574" s="14"/>
      <c r="AN1574" s="14"/>
      <c r="AQ1574" s="0" t="s">
        <v>130</v>
      </c>
      <c r="AR1574" s="0" t="s">
        <v>130</v>
      </c>
      <c r="AS1574" s="0" t="s">
        <v>130</v>
      </c>
      <c r="AT1574" s="0" t="s">
        <v>130</v>
      </c>
      <c r="AU1574" s="0" t="s">
        <v>130</v>
      </c>
      <c r="AV1574" s="0" t="s">
        <v>130</v>
      </c>
      <c r="AW1574" s="0" t="s">
        <v>130</v>
      </c>
      <c r="AX1574" s="0" t="s">
        <v>130</v>
      </c>
      <c r="AY1574" s="0" t="s">
        <v>130</v>
      </c>
      <c r="AZ1574" s="0" t="s">
        <v>130</v>
      </c>
      <c r="BA1574" s="0" t="s">
        <v>130</v>
      </c>
      <c r="BB1574" s="0" t="s">
        <v>141</v>
      </c>
      <c r="BC1574" s="0" t="s">
        <v>130</v>
      </c>
      <c r="BD1574" s="0" t="s">
        <v>130</v>
      </c>
      <c r="BE1574" s="0" t="s">
        <v>130</v>
      </c>
      <c r="BF1574" s="0" t="s">
        <v>130</v>
      </c>
      <c r="BG1574" s="0" t="s">
        <v>130</v>
      </c>
      <c r="BH1574" s="0" t="s">
        <v>130</v>
      </c>
      <c r="BI1574" s="0" t="s">
        <v>130</v>
      </c>
      <c r="BJ1574" s="0" t="s">
        <v>130</v>
      </c>
      <c r="BK1574" s="0" t="s">
        <v>130</v>
      </c>
      <c r="BL1574" s="0" t="s">
        <v>130</v>
      </c>
      <c r="BM1574" s="0" t="s">
        <v>130</v>
      </c>
      <c r="BN1574" s="0" t="s">
        <v>130</v>
      </c>
      <c r="BO1574" s="0" t="s">
        <v>130</v>
      </c>
      <c r="BP1574" s="0" t="s">
        <v>130</v>
      </c>
      <c r="BQ1574" s="0" t="s">
        <v>130</v>
      </c>
      <c r="BR1574" s="0" t="s">
        <v>130</v>
      </c>
      <c r="BS1574" s="0" t="s">
        <v>130</v>
      </c>
      <c r="BT1574" s="0" t="s">
        <v>130</v>
      </c>
      <c r="BU1574" s="0" t="s">
        <v>130</v>
      </c>
      <c r="BV1574" s="0" t="s">
        <v>130</v>
      </c>
      <c r="BW1574" s="0" t="s">
        <v>130</v>
      </c>
      <c r="BX1574" s="0" t="s">
        <v>130</v>
      </c>
      <c r="BY1574" s="0" t="s">
        <v>130</v>
      </c>
      <c r="BZ1574" s="0" t="s">
        <v>130</v>
      </c>
      <c r="CA1574" s="0" t="s">
        <v>130</v>
      </c>
      <c r="CB1574" s="0" t="s">
        <v>130</v>
      </c>
      <c r="CC1574" s="0" t="s">
        <v>130</v>
      </c>
      <c r="CD1574" s="0" t="s">
        <v>130</v>
      </c>
      <c r="CE1574" s="0" t="s">
        <v>130</v>
      </c>
      <c r="CF1574" s="0" t="s">
        <v>130</v>
      </c>
      <c r="CG1574" s="0" t="s">
        <v>130</v>
      </c>
      <c r="CH1574" s="0" t="s">
        <v>130</v>
      </c>
      <c r="CI1574" s="0" t="s">
        <v>130</v>
      </c>
      <c r="CJ1574" s="0" t="s">
        <v>130</v>
      </c>
      <c r="CK1574" s="0" t="s">
        <v>130</v>
      </c>
      <c r="CL1574" s="0" t="s">
        <v>130</v>
      </c>
      <c r="CM1574" s="0" t="s">
        <v>130</v>
      </c>
      <c r="CN1574" s="0" t="s">
        <v>130</v>
      </c>
      <c r="CO1574" s="0" t="s">
        <v>130</v>
      </c>
      <c r="CP1574" s="0" t="s">
        <v>130</v>
      </c>
      <c r="CQ1574" s="0" t="s">
        <v>130</v>
      </c>
      <c r="CR1574" s="0" t="s">
        <v>130</v>
      </c>
      <c r="CS1574" s="0" t="s">
        <v>130</v>
      </c>
      <c r="CT1574" s="0" t="s">
        <v>4546</v>
      </c>
    </row>
    <row r="1575">
      <c r="A1575" s="14">
        <v>41234897</v>
      </c>
      <c r="B1575" s="0" t="s">
        <v>4547</v>
      </c>
      <c r="C1575" s="16">
        <f>HYPERLINK("https://eosportal.federatedhermes.com/companies/Q29tcGFueQppNzkwOTY=", "UBS Group AG")</f>
      </c>
      <c r="D1575" s="0" t="s">
        <v>25</v>
      </c>
      <c r="E1575" s="0" t="s">
        <v>198</v>
      </c>
      <c r="F1575" s="16">
        <f>HYPERLINK("https://eosportal.federatedhermes.com/engagements/RW5nYWdlbWVudAppMjg4NjU=", "Climate Change")</f>
      </c>
      <c r="G1575" s="14" t="s">
        <v>4548</v>
      </c>
      <c r="H1575" s="0" t="s">
        <v>141</v>
      </c>
      <c r="I1575" s="14" t="s">
        <v>131</v>
      </c>
      <c r="J1575" s="0" t="s">
        <v>197</v>
      </c>
      <c r="K1575" s="0" t="s">
        <v>198</v>
      </c>
      <c r="L1575" s="0" t="s">
        <v>216</v>
      </c>
      <c r="M1575" s="0" t="s">
        <v>378</v>
      </c>
      <c r="N1575" s="0" t="s">
        <v>1059</v>
      </c>
      <c r="O1575" s="0" t="s">
        <v>238</v>
      </c>
      <c r="Q1575" s="0" t="s">
        <v>141</v>
      </c>
      <c r="R1575" s="0" t="s">
        <v>138</v>
      </c>
      <c r="S1575" s="14">
        <v>1</v>
      </c>
      <c r="T1575" s="0" t="s">
        <v>327</v>
      </c>
      <c r="U1575" s="0" t="s">
        <v>138</v>
      </c>
      <c r="V1575" s="14" t="s">
        <v>138</v>
      </c>
      <c r="W1575" s="0" t="s">
        <v>138</v>
      </c>
      <c r="X1575" s="14" t="s">
        <v>138</v>
      </c>
      <c r="Y1575" s="0" t="s">
        <v>138</v>
      </c>
      <c r="Z1575" s="14" t="s">
        <v>138</v>
      </c>
      <c r="AA1575" s="0" t="s">
        <v>138</v>
      </c>
      <c r="AB1575" s="14" t="s">
        <v>138</v>
      </c>
      <c r="AD1575" s="0" t="s">
        <v>138</v>
      </c>
      <c r="AF1575" s="0">
        <v>0</v>
      </c>
      <c r="AG1575" s="0">
        <v>0</v>
      </c>
      <c r="AH1575" s="0" t="s">
        <v>140</v>
      </c>
      <c r="AI1575" s="0" t="s">
        <v>138</v>
      </c>
      <c r="AK1575" s="0" t="s">
        <v>1834</v>
      </c>
      <c r="AL1575" s="14"/>
      <c r="AN1575" s="14"/>
      <c r="AQ1575" s="0" t="s">
        <v>130</v>
      </c>
      <c r="AR1575" s="0" t="s">
        <v>130</v>
      </c>
      <c r="AS1575" s="0" t="s">
        <v>130</v>
      </c>
      <c r="AT1575" s="0" t="s">
        <v>130</v>
      </c>
      <c r="AU1575" s="0" t="s">
        <v>130</v>
      </c>
      <c r="AV1575" s="0" t="s">
        <v>130</v>
      </c>
      <c r="AW1575" s="0" t="s">
        <v>141</v>
      </c>
      <c r="AX1575" s="0" t="s">
        <v>130</v>
      </c>
      <c r="AY1575" s="0" t="s">
        <v>130</v>
      </c>
      <c r="AZ1575" s="0" t="s">
        <v>130</v>
      </c>
      <c r="BA1575" s="0" t="s">
        <v>130</v>
      </c>
      <c r="BB1575" s="0" t="s">
        <v>130</v>
      </c>
      <c r="BC1575" s="0" t="s">
        <v>141</v>
      </c>
      <c r="BD1575" s="0" t="s">
        <v>130</v>
      </c>
      <c r="BE1575" s="0" t="s">
        <v>130</v>
      </c>
      <c r="BF1575" s="0" t="s">
        <v>130</v>
      </c>
      <c r="BG1575" s="0" t="s">
        <v>130</v>
      </c>
      <c r="BH1575" s="0" t="s">
        <v>141</v>
      </c>
      <c r="BI1575" s="0" t="s">
        <v>141</v>
      </c>
      <c r="BJ1575" s="0" t="s">
        <v>141</v>
      </c>
      <c r="BK1575" s="0" t="s">
        <v>130</v>
      </c>
      <c r="BL1575" s="0" t="s">
        <v>130</v>
      </c>
      <c r="BM1575" s="0" t="s">
        <v>130</v>
      </c>
      <c r="BN1575" s="0" t="s">
        <v>130</v>
      </c>
      <c r="BO1575" s="0" t="s">
        <v>130</v>
      </c>
      <c r="BP1575" s="0" t="s">
        <v>130</v>
      </c>
      <c r="BQ1575" s="0" t="s">
        <v>130</v>
      </c>
      <c r="BR1575" s="0" t="s">
        <v>130</v>
      </c>
      <c r="BS1575" s="0" t="s">
        <v>130</v>
      </c>
      <c r="BT1575" s="0" t="s">
        <v>130</v>
      </c>
      <c r="BU1575" s="0" t="s">
        <v>130</v>
      </c>
      <c r="BV1575" s="0" t="s">
        <v>141</v>
      </c>
      <c r="BW1575" s="0" t="s">
        <v>141</v>
      </c>
      <c r="BX1575" s="0" t="s">
        <v>130</v>
      </c>
      <c r="BY1575" s="0" t="s">
        <v>130</v>
      </c>
      <c r="BZ1575" s="0" t="s">
        <v>130</v>
      </c>
      <c r="CA1575" s="0" t="s">
        <v>130</v>
      </c>
      <c r="CB1575" s="0" t="s">
        <v>130</v>
      </c>
      <c r="CC1575" s="0" t="s">
        <v>130</v>
      </c>
      <c r="CD1575" s="0" t="s">
        <v>130</v>
      </c>
      <c r="CE1575" s="0" t="s">
        <v>130</v>
      </c>
      <c r="CF1575" s="0" t="s">
        <v>130</v>
      </c>
      <c r="CG1575" s="0" t="s">
        <v>130</v>
      </c>
      <c r="CH1575" s="0" t="s">
        <v>130</v>
      </c>
      <c r="CI1575" s="0" t="s">
        <v>130</v>
      </c>
      <c r="CJ1575" s="0" t="s">
        <v>130</v>
      </c>
      <c r="CK1575" s="0" t="s">
        <v>130</v>
      </c>
      <c r="CL1575" s="0" t="s">
        <v>130</v>
      </c>
      <c r="CM1575" s="0" t="s">
        <v>130</v>
      </c>
      <c r="CN1575" s="0" t="s">
        <v>130</v>
      </c>
      <c r="CO1575" s="0" t="s">
        <v>130</v>
      </c>
      <c r="CP1575" s="0" t="s">
        <v>130</v>
      </c>
      <c r="CQ1575" s="0" t="s">
        <v>130</v>
      </c>
      <c r="CR1575" s="0" t="s">
        <v>130</v>
      </c>
      <c r="CS1575" s="0" t="s">
        <v>130</v>
      </c>
      <c r="CT1575" s="0" t="s">
        <v>4549</v>
      </c>
    </row>
    <row r="1576">
      <c r="A1576" s="14">
        <v>41234897</v>
      </c>
      <c r="B1576" s="0" t="s">
        <v>4547</v>
      </c>
      <c r="C1576" s="16">
        <f>HYPERLINK("https://eosportal.federatedhermes.com/companies/Q29tcGFueQppNzkwOTY=", "UBS Group AG")</f>
      </c>
      <c r="D1576" s="0" t="s">
        <v>25</v>
      </c>
      <c r="E1576" s="0" t="s">
        <v>548</v>
      </c>
      <c r="F1576" s="16">
        <f>HYPERLINK("https://eosportal.federatedhermes.com/engagements/RW5nYWdlbWVudAppMjg4NjY=", "Responsible Tax Practices")</f>
      </c>
      <c r="G1576" s="14" t="s">
        <v>2373</v>
      </c>
      <c r="H1576" s="0" t="s">
        <v>141</v>
      </c>
      <c r="I1576" s="14" t="s">
        <v>131</v>
      </c>
      <c r="J1576" s="0" t="s">
        <v>153</v>
      </c>
      <c r="K1576" s="0" t="s">
        <v>185</v>
      </c>
      <c r="L1576" s="0" t="s">
        <v>548</v>
      </c>
      <c r="M1576" s="0" t="s">
        <v>378</v>
      </c>
      <c r="N1576" s="0" t="s">
        <v>1059</v>
      </c>
      <c r="O1576" s="0" t="s">
        <v>238</v>
      </c>
      <c r="Q1576" s="0" t="s">
        <v>130</v>
      </c>
      <c r="R1576" s="0" t="s">
        <v>138</v>
      </c>
      <c r="S1576" s="14">
        <v>0</v>
      </c>
      <c r="T1576" s="0" t="s">
        <v>288</v>
      </c>
      <c r="U1576" s="0" t="s">
        <v>138</v>
      </c>
      <c r="V1576" s="14" t="s">
        <v>138</v>
      </c>
      <c r="W1576" s="0" t="s">
        <v>138</v>
      </c>
      <c r="X1576" s="14" t="s">
        <v>138</v>
      </c>
      <c r="Y1576" s="0" t="s">
        <v>138</v>
      </c>
      <c r="Z1576" s="14" t="s">
        <v>138</v>
      </c>
      <c r="AA1576" s="0" t="s">
        <v>138</v>
      </c>
      <c r="AB1576" s="14" t="s">
        <v>138</v>
      </c>
      <c r="AD1576" s="0" t="s">
        <v>138</v>
      </c>
      <c r="AF1576" s="0">
        <v>0</v>
      </c>
      <c r="AG1576" s="0">
        <v>0</v>
      </c>
      <c r="AH1576" s="0" t="s">
        <v>140</v>
      </c>
      <c r="AI1576" s="0" t="s">
        <v>138</v>
      </c>
      <c r="AL1576" s="14"/>
      <c r="AN1576" s="14"/>
      <c r="AQ1576" s="0" t="s">
        <v>130</v>
      </c>
      <c r="AR1576" s="0" t="s">
        <v>130</v>
      </c>
      <c r="AS1576" s="0" t="s">
        <v>130</v>
      </c>
      <c r="AT1576" s="0" t="s">
        <v>130</v>
      </c>
      <c r="AU1576" s="0" t="s">
        <v>130</v>
      </c>
      <c r="AV1576" s="0" t="s">
        <v>130</v>
      </c>
      <c r="AW1576" s="0" t="s">
        <v>130</v>
      </c>
      <c r="AX1576" s="0" t="s">
        <v>130</v>
      </c>
      <c r="AY1576" s="0" t="s">
        <v>130</v>
      </c>
      <c r="AZ1576" s="0" t="s">
        <v>130</v>
      </c>
      <c r="BA1576" s="0" t="s">
        <v>130</v>
      </c>
      <c r="BB1576" s="0" t="s">
        <v>130</v>
      </c>
      <c r="BC1576" s="0" t="s">
        <v>130</v>
      </c>
      <c r="BD1576" s="0" t="s">
        <v>130</v>
      </c>
      <c r="BE1576" s="0" t="s">
        <v>130</v>
      </c>
      <c r="BF1576" s="0" t="s">
        <v>130</v>
      </c>
      <c r="BG1576" s="0" t="s">
        <v>130</v>
      </c>
      <c r="BH1576" s="0" t="s">
        <v>130</v>
      </c>
      <c r="BI1576" s="0" t="s">
        <v>130</v>
      </c>
      <c r="BJ1576" s="0" t="s">
        <v>130</v>
      </c>
      <c r="BK1576" s="0" t="s">
        <v>130</v>
      </c>
      <c r="BL1576" s="0" t="s">
        <v>130</v>
      </c>
      <c r="BM1576" s="0" t="s">
        <v>130</v>
      </c>
      <c r="BN1576" s="0" t="s">
        <v>130</v>
      </c>
      <c r="BO1576" s="0" t="s">
        <v>130</v>
      </c>
      <c r="BP1576" s="0" t="s">
        <v>130</v>
      </c>
      <c r="BQ1576" s="0" t="s">
        <v>130</v>
      </c>
      <c r="BR1576" s="0" t="s">
        <v>130</v>
      </c>
      <c r="BS1576" s="0" t="s">
        <v>130</v>
      </c>
      <c r="BT1576" s="0" t="s">
        <v>130</v>
      </c>
      <c r="BU1576" s="0" t="s">
        <v>130</v>
      </c>
      <c r="BV1576" s="0" t="s">
        <v>130</v>
      </c>
      <c r="BW1576" s="0" t="s">
        <v>130</v>
      </c>
      <c r="BX1576" s="0" t="s">
        <v>130</v>
      </c>
      <c r="BY1576" s="0" t="s">
        <v>130</v>
      </c>
      <c r="BZ1576" s="0" t="s">
        <v>130</v>
      </c>
      <c r="CA1576" s="0" t="s">
        <v>130</v>
      </c>
      <c r="CB1576" s="0" t="s">
        <v>130</v>
      </c>
      <c r="CC1576" s="0" t="s">
        <v>130</v>
      </c>
      <c r="CD1576" s="0" t="s">
        <v>130</v>
      </c>
      <c r="CE1576" s="0" t="s">
        <v>130</v>
      </c>
      <c r="CF1576" s="0" t="s">
        <v>130</v>
      </c>
      <c r="CG1576" s="0" t="s">
        <v>130</v>
      </c>
      <c r="CH1576" s="0" t="s">
        <v>130</v>
      </c>
      <c r="CI1576" s="0" t="s">
        <v>130</v>
      </c>
      <c r="CJ1576" s="0" t="s">
        <v>130</v>
      </c>
      <c r="CK1576" s="0" t="s">
        <v>130</v>
      </c>
      <c r="CL1576" s="0" t="s">
        <v>130</v>
      </c>
      <c r="CM1576" s="0" t="s">
        <v>130</v>
      </c>
      <c r="CN1576" s="0" t="s">
        <v>130</v>
      </c>
      <c r="CO1576" s="0" t="s">
        <v>130</v>
      </c>
      <c r="CP1576" s="0" t="s">
        <v>130</v>
      </c>
      <c r="CQ1576" s="0" t="s">
        <v>130</v>
      </c>
      <c r="CR1576" s="0" t="s">
        <v>130</v>
      </c>
      <c r="CS1576" s="0" t="s">
        <v>130</v>
      </c>
      <c r="CT1576" s="0" t="s">
        <v>4550</v>
      </c>
    </row>
    <row r="1577">
      <c r="A1577" s="14">
        <v>41234897</v>
      </c>
      <c r="B1577" s="0" t="s">
        <v>4547</v>
      </c>
      <c r="C1577" s="16">
        <f>HYPERLINK("https://eosportal.federatedhermes.com/companies/Q29tcGFueQppNzkwOTY=", "UBS Group AG")</f>
      </c>
      <c r="D1577" s="0" t="s">
        <v>25</v>
      </c>
      <c r="E1577" s="0" t="s">
        <v>4551</v>
      </c>
      <c r="F1577" s="16">
        <f>HYPERLINK("https://eosportal.federatedhermes.com/engagements/RW5nYWdlbWVudAppMjg4Njk=", "Artificial Intelligence (AI) governance")</f>
      </c>
      <c r="G1577" s="14" t="s">
        <v>4552</v>
      </c>
      <c r="H1577" s="0" t="s">
        <v>141</v>
      </c>
      <c r="I1577" s="14" t="s">
        <v>131</v>
      </c>
      <c r="J1577" s="0" t="s">
        <v>153</v>
      </c>
      <c r="K1577" s="0" t="s">
        <v>243</v>
      </c>
      <c r="L1577" s="0" t="s">
        <v>537</v>
      </c>
      <c r="M1577" s="0" t="s">
        <v>378</v>
      </c>
      <c r="N1577" s="0" t="s">
        <v>1059</v>
      </c>
      <c r="O1577" s="0" t="s">
        <v>238</v>
      </c>
      <c r="Q1577" s="0" t="s">
        <v>130</v>
      </c>
      <c r="R1577" s="0" t="s">
        <v>138</v>
      </c>
      <c r="S1577" s="14">
        <v>0</v>
      </c>
      <c r="T1577" s="0" t="s">
        <v>394</v>
      </c>
      <c r="U1577" s="0" t="s">
        <v>138</v>
      </c>
      <c r="V1577" s="14" t="s">
        <v>138</v>
      </c>
      <c r="W1577" s="0" t="s">
        <v>138</v>
      </c>
      <c r="X1577" s="14" t="s">
        <v>138</v>
      </c>
      <c r="Y1577" s="0" t="s">
        <v>138</v>
      </c>
      <c r="Z1577" s="14" t="s">
        <v>138</v>
      </c>
      <c r="AA1577" s="0" t="s">
        <v>138</v>
      </c>
      <c r="AB1577" s="14" t="s">
        <v>138</v>
      </c>
      <c r="AD1577" s="0" t="s">
        <v>138</v>
      </c>
      <c r="AF1577" s="0">
        <v>0</v>
      </c>
      <c r="AG1577" s="0">
        <v>0</v>
      </c>
      <c r="AH1577" s="0" t="s">
        <v>140</v>
      </c>
      <c r="AI1577" s="0" t="s">
        <v>138</v>
      </c>
      <c r="AL1577" s="14"/>
      <c r="AN1577" s="14"/>
      <c r="AQ1577" s="0" t="s">
        <v>130</v>
      </c>
      <c r="AR1577" s="0" t="s">
        <v>130</v>
      </c>
      <c r="AS1577" s="0" t="s">
        <v>130</v>
      </c>
      <c r="AT1577" s="0" t="s">
        <v>130</v>
      </c>
      <c r="AU1577" s="0" t="s">
        <v>130</v>
      </c>
      <c r="AV1577" s="0" t="s">
        <v>130</v>
      </c>
      <c r="AW1577" s="0" t="s">
        <v>130</v>
      </c>
      <c r="AX1577" s="0" t="s">
        <v>130</v>
      </c>
      <c r="AY1577" s="0" t="s">
        <v>130</v>
      </c>
      <c r="AZ1577" s="0" t="s">
        <v>130</v>
      </c>
      <c r="BA1577" s="0" t="s">
        <v>130</v>
      </c>
      <c r="BB1577" s="0" t="s">
        <v>130</v>
      </c>
      <c r="BC1577" s="0" t="s">
        <v>130</v>
      </c>
      <c r="BD1577" s="0" t="s">
        <v>130</v>
      </c>
      <c r="BE1577" s="0" t="s">
        <v>130</v>
      </c>
      <c r="BF1577" s="0" t="s">
        <v>130</v>
      </c>
      <c r="BG1577" s="0" t="s">
        <v>130</v>
      </c>
      <c r="BH1577" s="0" t="s">
        <v>130</v>
      </c>
      <c r="BI1577" s="0" t="s">
        <v>130</v>
      </c>
      <c r="BJ1577" s="0" t="s">
        <v>130</v>
      </c>
      <c r="BK1577" s="0" t="s">
        <v>130</v>
      </c>
      <c r="BL1577" s="0" t="s">
        <v>130</v>
      </c>
      <c r="BM1577" s="0" t="s">
        <v>130</v>
      </c>
      <c r="BN1577" s="0" t="s">
        <v>130</v>
      </c>
      <c r="BO1577" s="0" t="s">
        <v>130</v>
      </c>
      <c r="BP1577" s="0" t="s">
        <v>130</v>
      </c>
      <c r="BQ1577" s="0" t="s">
        <v>130</v>
      </c>
      <c r="BR1577" s="0" t="s">
        <v>130</v>
      </c>
      <c r="BS1577" s="0" t="s">
        <v>130</v>
      </c>
      <c r="BT1577" s="0" t="s">
        <v>130</v>
      </c>
      <c r="BU1577" s="0" t="s">
        <v>130</v>
      </c>
      <c r="BV1577" s="0" t="s">
        <v>130</v>
      </c>
      <c r="BW1577" s="0" t="s">
        <v>130</v>
      </c>
      <c r="BX1577" s="0" t="s">
        <v>130</v>
      </c>
      <c r="BY1577" s="0" t="s">
        <v>130</v>
      </c>
      <c r="BZ1577" s="0" t="s">
        <v>130</v>
      </c>
      <c r="CA1577" s="0" t="s">
        <v>130</v>
      </c>
      <c r="CB1577" s="0" t="s">
        <v>130</v>
      </c>
      <c r="CC1577" s="0" t="s">
        <v>130</v>
      </c>
      <c r="CD1577" s="0" t="s">
        <v>130</v>
      </c>
      <c r="CE1577" s="0" t="s">
        <v>130</v>
      </c>
      <c r="CF1577" s="0" t="s">
        <v>130</v>
      </c>
      <c r="CG1577" s="0" t="s">
        <v>130</v>
      </c>
      <c r="CH1577" s="0" t="s">
        <v>130</v>
      </c>
      <c r="CI1577" s="0" t="s">
        <v>130</v>
      </c>
      <c r="CJ1577" s="0" t="s">
        <v>130</v>
      </c>
      <c r="CK1577" s="0" t="s">
        <v>130</v>
      </c>
      <c r="CL1577" s="0" t="s">
        <v>130</v>
      </c>
      <c r="CM1577" s="0" t="s">
        <v>130</v>
      </c>
      <c r="CN1577" s="0" t="s">
        <v>130</v>
      </c>
      <c r="CO1577" s="0" t="s">
        <v>130</v>
      </c>
      <c r="CP1577" s="0" t="s">
        <v>130</v>
      </c>
      <c r="CQ1577" s="0" t="s">
        <v>130</v>
      </c>
      <c r="CR1577" s="0" t="s">
        <v>130</v>
      </c>
      <c r="CS1577" s="0" t="s">
        <v>130</v>
      </c>
      <c r="CT1577" s="0" t="s">
        <v>4553</v>
      </c>
    </row>
    <row r="1578">
      <c r="A1578" s="14">
        <v>41234897</v>
      </c>
      <c r="B1578" s="0" t="s">
        <v>4547</v>
      </c>
      <c r="C1578" s="16">
        <f>HYPERLINK("https://eosportal.federatedhermes.com/companies/Q29tcGFueQppNzkwOTY=", "UBS Group AG")</f>
      </c>
      <c r="D1578" s="0" t="s">
        <v>25</v>
      </c>
      <c r="E1578" s="0" t="s">
        <v>4554</v>
      </c>
      <c r="F1578" s="16">
        <f>HYPERLINK("https://eosportal.federatedhermes.com/engagements/RW5nYWdlbWVudAppMjg4NzA=", "Integrated Report")</f>
      </c>
      <c r="G1578" s="14" t="s">
        <v>4555</v>
      </c>
      <c r="H1578" s="0" t="s">
        <v>141</v>
      </c>
      <c r="I1578" s="14" t="s">
        <v>131</v>
      </c>
      <c r="J1578" s="0" t="s">
        <v>132</v>
      </c>
      <c r="K1578" s="0" t="s">
        <v>170</v>
      </c>
      <c r="L1578" s="0" t="s">
        <v>171</v>
      </c>
      <c r="M1578" s="0" t="s">
        <v>378</v>
      </c>
      <c r="N1578" s="0" t="s">
        <v>1059</v>
      </c>
      <c r="O1578" s="0" t="s">
        <v>238</v>
      </c>
      <c r="Q1578" s="0" t="s">
        <v>141</v>
      </c>
      <c r="R1578" s="0" t="s">
        <v>138</v>
      </c>
      <c r="S1578" s="14">
        <v>1</v>
      </c>
      <c r="T1578" s="0" t="s">
        <v>314</v>
      </c>
      <c r="U1578" s="0" t="s">
        <v>138</v>
      </c>
      <c r="V1578" s="14" t="s">
        <v>138</v>
      </c>
      <c r="W1578" s="0" t="s">
        <v>138</v>
      </c>
      <c r="X1578" s="14" t="s">
        <v>138</v>
      </c>
      <c r="Y1578" s="0" t="s">
        <v>138</v>
      </c>
      <c r="Z1578" s="14" t="s">
        <v>138</v>
      </c>
      <c r="AA1578" s="0" t="s">
        <v>138</v>
      </c>
      <c r="AB1578" s="14" t="s">
        <v>138</v>
      </c>
      <c r="AD1578" s="0" t="s">
        <v>138</v>
      </c>
      <c r="AF1578" s="0">
        <v>0</v>
      </c>
      <c r="AG1578" s="0">
        <v>0</v>
      </c>
      <c r="AH1578" s="0" t="s">
        <v>140</v>
      </c>
      <c r="AI1578" s="0" t="s">
        <v>138</v>
      </c>
      <c r="AK1578" s="0" t="s">
        <v>1834</v>
      </c>
      <c r="AL1578" s="14"/>
      <c r="AN1578" s="14"/>
      <c r="AQ1578" s="0" t="s">
        <v>130</v>
      </c>
      <c r="AR1578" s="0" t="s">
        <v>130</v>
      </c>
      <c r="AS1578" s="0" t="s">
        <v>130</v>
      </c>
      <c r="AT1578" s="0" t="s">
        <v>130</v>
      </c>
      <c r="AU1578" s="0" t="s">
        <v>130</v>
      </c>
      <c r="AV1578" s="0" t="s">
        <v>130</v>
      </c>
      <c r="AW1578" s="0" t="s">
        <v>130</v>
      </c>
      <c r="AX1578" s="0" t="s">
        <v>130</v>
      </c>
      <c r="AY1578" s="0" t="s">
        <v>130</v>
      </c>
      <c r="AZ1578" s="0" t="s">
        <v>130</v>
      </c>
      <c r="BA1578" s="0" t="s">
        <v>130</v>
      </c>
      <c r="BB1578" s="0" t="s">
        <v>130</v>
      </c>
      <c r="BC1578" s="0" t="s">
        <v>130</v>
      </c>
      <c r="BD1578" s="0" t="s">
        <v>130</v>
      </c>
      <c r="BE1578" s="0" t="s">
        <v>130</v>
      </c>
      <c r="BF1578" s="0" t="s">
        <v>130</v>
      </c>
      <c r="BG1578" s="0" t="s">
        <v>130</v>
      </c>
      <c r="BH1578" s="0" t="s">
        <v>130</v>
      </c>
      <c r="BI1578" s="0" t="s">
        <v>130</v>
      </c>
      <c r="BJ1578" s="0" t="s">
        <v>130</v>
      </c>
      <c r="BK1578" s="0" t="s">
        <v>130</v>
      </c>
      <c r="BL1578" s="0" t="s">
        <v>130</v>
      </c>
      <c r="BM1578" s="0" t="s">
        <v>130</v>
      </c>
      <c r="BN1578" s="0" t="s">
        <v>130</v>
      </c>
      <c r="BO1578" s="0" t="s">
        <v>130</v>
      </c>
      <c r="BP1578" s="0" t="s">
        <v>130</v>
      </c>
      <c r="BQ1578" s="0" t="s">
        <v>130</v>
      </c>
      <c r="BR1578" s="0" t="s">
        <v>130</v>
      </c>
      <c r="BS1578" s="0" t="s">
        <v>130</v>
      </c>
      <c r="BT1578" s="0" t="s">
        <v>130</v>
      </c>
      <c r="BU1578" s="0" t="s">
        <v>130</v>
      </c>
      <c r="BV1578" s="0" t="s">
        <v>130</v>
      </c>
      <c r="BW1578" s="0" t="s">
        <v>130</v>
      </c>
      <c r="BX1578" s="0" t="s">
        <v>130</v>
      </c>
      <c r="BY1578" s="0" t="s">
        <v>130</v>
      </c>
      <c r="BZ1578" s="0" t="s">
        <v>130</v>
      </c>
      <c r="CA1578" s="0" t="s">
        <v>130</v>
      </c>
      <c r="CB1578" s="0" t="s">
        <v>130</v>
      </c>
      <c r="CC1578" s="0" t="s">
        <v>130</v>
      </c>
      <c r="CD1578" s="0" t="s">
        <v>130</v>
      </c>
      <c r="CE1578" s="0" t="s">
        <v>130</v>
      </c>
      <c r="CF1578" s="0" t="s">
        <v>130</v>
      </c>
      <c r="CG1578" s="0" t="s">
        <v>130</v>
      </c>
      <c r="CH1578" s="0" t="s">
        <v>130</v>
      </c>
      <c r="CI1578" s="0" t="s">
        <v>130</v>
      </c>
      <c r="CJ1578" s="0" t="s">
        <v>130</v>
      </c>
      <c r="CK1578" s="0" t="s">
        <v>130</v>
      </c>
      <c r="CL1578" s="0" t="s">
        <v>130</v>
      </c>
      <c r="CM1578" s="0" t="s">
        <v>130</v>
      </c>
      <c r="CN1578" s="0" t="s">
        <v>130</v>
      </c>
      <c r="CO1578" s="0" t="s">
        <v>130</v>
      </c>
      <c r="CP1578" s="0" t="s">
        <v>130</v>
      </c>
      <c r="CQ1578" s="0" t="s">
        <v>130</v>
      </c>
      <c r="CR1578" s="0" t="s">
        <v>130</v>
      </c>
      <c r="CS1578" s="0" t="s">
        <v>130</v>
      </c>
      <c r="CT1578" s="0" t="s">
        <v>4556</v>
      </c>
    </row>
    <row r="1579">
      <c r="A1579" s="14">
        <v>41234897</v>
      </c>
      <c r="B1579" s="0" t="s">
        <v>4547</v>
      </c>
      <c r="C1579" s="16">
        <f>HYPERLINK("https://eosportal.federatedhermes.com/companies/Q29tcGFueQppNzkwOTY=", "UBS Group AG")</f>
      </c>
      <c r="D1579" s="0" t="s">
        <v>25</v>
      </c>
      <c r="E1579" s="0" t="s">
        <v>912</v>
      </c>
      <c r="F1579" s="16">
        <f>HYPERLINK("https://eosportal.federatedhermes.com/engagements/RW5nYWdlbWVudAppMjg4NzE=", "Executive remuneration")</f>
      </c>
      <c r="G1579" s="14" t="s">
        <v>4557</v>
      </c>
      <c r="H1579" s="0" t="s">
        <v>141</v>
      </c>
      <c r="I1579" s="14" t="s">
        <v>131</v>
      </c>
      <c r="J1579" s="0" t="s">
        <v>145</v>
      </c>
      <c r="K1579" s="0" t="s">
        <v>146</v>
      </c>
      <c r="L1579" s="0" t="s">
        <v>147</v>
      </c>
      <c r="M1579" s="0" t="s">
        <v>378</v>
      </c>
      <c r="N1579" s="0" t="s">
        <v>1059</v>
      </c>
      <c r="O1579" s="0" t="s">
        <v>238</v>
      </c>
      <c r="Q1579" s="0" t="s">
        <v>141</v>
      </c>
      <c r="R1579" s="0" t="s">
        <v>138</v>
      </c>
      <c r="S1579" s="14">
        <v>1</v>
      </c>
      <c r="T1579" s="0" t="s">
        <v>239</v>
      </c>
      <c r="U1579" s="0" t="s">
        <v>138</v>
      </c>
      <c r="V1579" s="14" t="s">
        <v>138</v>
      </c>
      <c r="W1579" s="0" t="s">
        <v>138</v>
      </c>
      <c r="X1579" s="14" t="s">
        <v>138</v>
      </c>
      <c r="Y1579" s="0" t="s">
        <v>138</v>
      </c>
      <c r="Z1579" s="14" t="s">
        <v>138</v>
      </c>
      <c r="AA1579" s="0" t="s">
        <v>138</v>
      </c>
      <c r="AB1579" s="14" t="s">
        <v>138</v>
      </c>
      <c r="AD1579" s="0" t="s">
        <v>138</v>
      </c>
      <c r="AF1579" s="0">
        <v>0</v>
      </c>
      <c r="AG1579" s="0">
        <v>0</v>
      </c>
      <c r="AH1579" s="0" t="s">
        <v>140</v>
      </c>
      <c r="AI1579" s="0" t="s">
        <v>138</v>
      </c>
      <c r="AK1579" s="0" t="s">
        <v>1834</v>
      </c>
      <c r="AL1579" s="14"/>
      <c r="AN1579" s="14"/>
      <c r="AQ1579" s="0" t="s">
        <v>130</v>
      </c>
      <c r="AR1579" s="0" t="s">
        <v>130</v>
      </c>
      <c r="AS1579" s="0" t="s">
        <v>130</v>
      </c>
      <c r="AT1579" s="0" t="s">
        <v>130</v>
      </c>
      <c r="AU1579" s="0" t="s">
        <v>130</v>
      </c>
      <c r="AV1579" s="0" t="s">
        <v>130</v>
      </c>
      <c r="AW1579" s="0" t="s">
        <v>130</v>
      </c>
      <c r="AX1579" s="0" t="s">
        <v>130</v>
      </c>
      <c r="AY1579" s="0" t="s">
        <v>130</v>
      </c>
      <c r="AZ1579" s="0" t="s">
        <v>130</v>
      </c>
      <c r="BA1579" s="0" t="s">
        <v>130</v>
      </c>
      <c r="BB1579" s="0" t="s">
        <v>130</v>
      </c>
      <c r="BC1579" s="0" t="s">
        <v>130</v>
      </c>
      <c r="BD1579" s="0" t="s">
        <v>130</v>
      </c>
      <c r="BE1579" s="0" t="s">
        <v>130</v>
      </c>
      <c r="BF1579" s="0" t="s">
        <v>130</v>
      </c>
      <c r="BG1579" s="0" t="s">
        <v>130</v>
      </c>
      <c r="BH1579" s="0" t="s">
        <v>130</v>
      </c>
      <c r="BI1579" s="0" t="s">
        <v>130</v>
      </c>
      <c r="BJ1579" s="0" t="s">
        <v>130</v>
      </c>
      <c r="BK1579" s="0" t="s">
        <v>130</v>
      </c>
      <c r="BL1579" s="0" t="s">
        <v>130</v>
      </c>
      <c r="BM1579" s="0" t="s">
        <v>130</v>
      </c>
      <c r="BN1579" s="0" t="s">
        <v>130</v>
      </c>
      <c r="BO1579" s="0" t="s">
        <v>130</v>
      </c>
      <c r="BP1579" s="0" t="s">
        <v>130</v>
      </c>
      <c r="BQ1579" s="0" t="s">
        <v>130</v>
      </c>
      <c r="BR1579" s="0" t="s">
        <v>130</v>
      </c>
      <c r="BS1579" s="0" t="s">
        <v>130</v>
      </c>
      <c r="BT1579" s="0" t="s">
        <v>130</v>
      </c>
      <c r="BU1579" s="0" t="s">
        <v>130</v>
      </c>
      <c r="BV1579" s="0" t="s">
        <v>130</v>
      </c>
      <c r="BW1579" s="0" t="s">
        <v>130</v>
      </c>
      <c r="BX1579" s="0" t="s">
        <v>130</v>
      </c>
      <c r="BY1579" s="0" t="s">
        <v>130</v>
      </c>
      <c r="BZ1579" s="0" t="s">
        <v>130</v>
      </c>
      <c r="CA1579" s="0" t="s">
        <v>130</v>
      </c>
      <c r="CB1579" s="0" t="s">
        <v>130</v>
      </c>
      <c r="CC1579" s="0" t="s">
        <v>130</v>
      </c>
      <c r="CD1579" s="0" t="s">
        <v>130</v>
      </c>
      <c r="CE1579" s="0" t="s">
        <v>130</v>
      </c>
      <c r="CF1579" s="0" t="s">
        <v>130</v>
      </c>
      <c r="CG1579" s="0" t="s">
        <v>130</v>
      </c>
      <c r="CH1579" s="0" t="s">
        <v>130</v>
      </c>
      <c r="CI1579" s="0" t="s">
        <v>130</v>
      </c>
      <c r="CJ1579" s="0" t="s">
        <v>130</v>
      </c>
      <c r="CK1579" s="0" t="s">
        <v>130</v>
      </c>
      <c r="CL1579" s="0" t="s">
        <v>130</v>
      </c>
      <c r="CM1579" s="0" t="s">
        <v>130</v>
      </c>
      <c r="CN1579" s="0" t="s">
        <v>130</v>
      </c>
      <c r="CO1579" s="0" t="s">
        <v>130</v>
      </c>
      <c r="CP1579" s="0" t="s">
        <v>130</v>
      </c>
      <c r="CQ1579" s="0" t="s">
        <v>130</v>
      </c>
      <c r="CR1579" s="0" t="s">
        <v>130</v>
      </c>
      <c r="CS1579" s="0" t="s">
        <v>130</v>
      </c>
      <c r="CT1579" s="0" t="s">
        <v>4558</v>
      </c>
    </row>
    <row r="1580">
      <c r="A1580" s="14">
        <v>41234897</v>
      </c>
      <c r="B1580" s="0" t="s">
        <v>4547</v>
      </c>
      <c r="C1580" s="16">
        <f>HYPERLINK("https://eosportal.federatedhermes.com/companies/Q29tcGFueQppNzkwOTY=", "UBS Group AG")</f>
      </c>
      <c r="D1580" s="0" t="s">
        <v>25</v>
      </c>
      <c r="E1580" s="0" t="s">
        <v>4559</v>
      </c>
      <c r="F1580" s="16">
        <f>HYPERLINK("https://eosportal.federatedhermes.com/engagements/RW5nYWdlbWVudAppMjg4NzI=", "Smaller investment banking operation")</f>
      </c>
      <c r="G1580" s="14" t="s">
        <v>4559</v>
      </c>
      <c r="H1580" s="0" t="s">
        <v>141</v>
      </c>
      <c r="I1580" s="14" t="s">
        <v>131</v>
      </c>
      <c r="J1580" s="0" t="s">
        <v>153</v>
      </c>
      <c r="K1580" s="0" t="s">
        <v>185</v>
      </c>
      <c r="L1580" s="0" t="s">
        <v>186</v>
      </c>
      <c r="M1580" s="0" t="s">
        <v>378</v>
      </c>
      <c r="N1580" s="0" t="s">
        <v>1059</v>
      </c>
      <c r="O1580" s="0" t="s">
        <v>238</v>
      </c>
      <c r="Q1580" s="0" t="s">
        <v>130</v>
      </c>
      <c r="R1580" s="0" t="s">
        <v>138</v>
      </c>
      <c r="S1580" s="14">
        <v>0</v>
      </c>
      <c r="T1580" s="0" t="s">
        <v>825</v>
      </c>
      <c r="U1580" s="0" t="s">
        <v>138</v>
      </c>
      <c r="V1580" s="14" t="s">
        <v>138</v>
      </c>
      <c r="W1580" s="0" t="s">
        <v>138</v>
      </c>
      <c r="X1580" s="14" t="s">
        <v>138</v>
      </c>
      <c r="Y1580" s="0" t="s">
        <v>138</v>
      </c>
      <c r="Z1580" s="14" t="s">
        <v>138</v>
      </c>
      <c r="AA1580" s="0" t="s">
        <v>138</v>
      </c>
      <c r="AB1580" s="14" t="s">
        <v>138</v>
      </c>
      <c r="AD1580" s="0" t="s">
        <v>138</v>
      </c>
      <c r="AF1580" s="0">
        <v>0</v>
      </c>
      <c r="AG1580" s="0">
        <v>0</v>
      </c>
      <c r="AH1580" s="0" t="s">
        <v>140</v>
      </c>
      <c r="AI1580" s="0" t="s">
        <v>138</v>
      </c>
      <c r="AL1580" s="14"/>
      <c r="AN1580" s="14"/>
      <c r="AQ1580" s="0" t="s">
        <v>130</v>
      </c>
      <c r="AR1580" s="0" t="s">
        <v>130</v>
      </c>
      <c r="AS1580" s="0" t="s">
        <v>130</v>
      </c>
      <c r="AT1580" s="0" t="s">
        <v>130</v>
      </c>
      <c r="AU1580" s="0" t="s">
        <v>130</v>
      </c>
      <c r="AV1580" s="0" t="s">
        <v>130</v>
      </c>
      <c r="AW1580" s="0" t="s">
        <v>130</v>
      </c>
      <c r="AX1580" s="0" t="s">
        <v>130</v>
      </c>
      <c r="AY1580" s="0" t="s">
        <v>130</v>
      </c>
      <c r="AZ1580" s="0" t="s">
        <v>130</v>
      </c>
      <c r="BA1580" s="0" t="s">
        <v>130</v>
      </c>
      <c r="BB1580" s="0" t="s">
        <v>130</v>
      </c>
      <c r="BC1580" s="0" t="s">
        <v>130</v>
      </c>
      <c r="BD1580" s="0" t="s">
        <v>130</v>
      </c>
      <c r="BE1580" s="0" t="s">
        <v>130</v>
      </c>
      <c r="BF1580" s="0" t="s">
        <v>130</v>
      </c>
      <c r="BG1580" s="0" t="s">
        <v>130</v>
      </c>
      <c r="BH1580" s="0" t="s">
        <v>130</v>
      </c>
      <c r="BI1580" s="0" t="s">
        <v>130</v>
      </c>
      <c r="BJ1580" s="0" t="s">
        <v>130</v>
      </c>
      <c r="BK1580" s="0" t="s">
        <v>130</v>
      </c>
      <c r="BL1580" s="0" t="s">
        <v>130</v>
      </c>
      <c r="BM1580" s="0" t="s">
        <v>130</v>
      </c>
      <c r="BN1580" s="0" t="s">
        <v>130</v>
      </c>
      <c r="BO1580" s="0" t="s">
        <v>130</v>
      </c>
      <c r="BP1580" s="0" t="s">
        <v>130</v>
      </c>
      <c r="BQ1580" s="0" t="s">
        <v>130</v>
      </c>
      <c r="BR1580" s="0" t="s">
        <v>130</v>
      </c>
      <c r="BS1580" s="0" t="s">
        <v>130</v>
      </c>
      <c r="BT1580" s="0" t="s">
        <v>130</v>
      </c>
      <c r="BU1580" s="0" t="s">
        <v>130</v>
      </c>
      <c r="BV1580" s="0" t="s">
        <v>130</v>
      </c>
      <c r="BW1580" s="0" t="s">
        <v>130</v>
      </c>
      <c r="BX1580" s="0" t="s">
        <v>130</v>
      </c>
      <c r="BY1580" s="0" t="s">
        <v>130</v>
      </c>
      <c r="BZ1580" s="0" t="s">
        <v>130</v>
      </c>
      <c r="CA1580" s="0" t="s">
        <v>130</v>
      </c>
      <c r="CB1580" s="0" t="s">
        <v>130</v>
      </c>
      <c r="CC1580" s="0" t="s">
        <v>130</v>
      </c>
      <c r="CD1580" s="0" t="s">
        <v>130</v>
      </c>
      <c r="CE1580" s="0" t="s">
        <v>130</v>
      </c>
      <c r="CF1580" s="0" t="s">
        <v>130</v>
      </c>
      <c r="CG1580" s="0" t="s">
        <v>130</v>
      </c>
      <c r="CH1580" s="0" t="s">
        <v>130</v>
      </c>
      <c r="CI1580" s="0" t="s">
        <v>130</v>
      </c>
      <c r="CJ1580" s="0" t="s">
        <v>130</v>
      </c>
      <c r="CK1580" s="0" t="s">
        <v>130</v>
      </c>
      <c r="CL1580" s="0" t="s">
        <v>130</v>
      </c>
      <c r="CM1580" s="0" t="s">
        <v>130</v>
      </c>
      <c r="CN1580" s="0" t="s">
        <v>130</v>
      </c>
      <c r="CO1580" s="0" t="s">
        <v>130</v>
      </c>
      <c r="CP1580" s="0" t="s">
        <v>130</v>
      </c>
      <c r="CQ1580" s="0" t="s">
        <v>130</v>
      </c>
      <c r="CR1580" s="0" t="s">
        <v>130</v>
      </c>
      <c r="CS1580" s="0" t="s">
        <v>130</v>
      </c>
      <c r="CT1580" s="0" t="s">
        <v>4560</v>
      </c>
    </row>
    <row r="1581">
      <c r="A1581" s="14">
        <v>41234897</v>
      </c>
      <c r="B1581" s="0" t="s">
        <v>4547</v>
      </c>
      <c r="C1581" s="16">
        <f>HYPERLINK("https://eosportal.federatedhermes.com/companies/Q29tcGFueQppNzkwOTY=", "UBS Group AG")</f>
      </c>
      <c r="D1581" s="0" t="s">
        <v>25</v>
      </c>
      <c r="E1581" s="0" t="s">
        <v>814</v>
      </c>
      <c r="F1581" s="16">
        <f>HYPERLINK("https://eosportal.federatedhermes.com/engagements/RW5nYWdlbWVudAppMjg4NzM=", "Portfolio structure")</f>
      </c>
      <c r="G1581" s="14" t="s">
        <v>814</v>
      </c>
      <c r="H1581" s="0" t="s">
        <v>141</v>
      </c>
      <c r="I1581" s="14" t="s">
        <v>131</v>
      </c>
      <c r="J1581" s="0" t="s">
        <v>153</v>
      </c>
      <c r="K1581" s="0" t="s">
        <v>185</v>
      </c>
      <c r="L1581" s="0" t="s">
        <v>186</v>
      </c>
      <c r="M1581" s="0" t="s">
        <v>378</v>
      </c>
      <c r="N1581" s="0" t="s">
        <v>1059</v>
      </c>
      <c r="O1581" s="0" t="s">
        <v>238</v>
      </c>
      <c r="Q1581" s="0" t="s">
        <v>130</v>
      </c>
      <c r="R1581" s="0" t="s">
        <v>138</v>
      </c>
      <c r="S1581" s="14">
        <v>0</v>
      </c>
      <c r="T1581" s="0" t="s">
        <v>710</v>
      </c>
      <c r="U1581" s="0" t="s">
        <v>138</v>
      </c>
      <c r="V1581" s="14" t="s">
        <v>138</v>
      </c>
      <c r="W1581" s="0" t="s">
        <v>138</v>
      </c>
      <c r="X1581" s="14" t="s">
        <v>138</v>
      </c>
      <c r="Y1581" s="0" t="s">
        <v>138</v>
      </c>
      <c r="Z1581" s="14" t="s">
        <v>138</v>
      </c>
      <c r="AA1581" s="0" t="s">
        <v>138</v>
      </c>
      <c r="AB1581" s="14" t="s">
        <v>138</v>
      </c>
      <c r="AD1581" s="0" t="s">
        <v>138</v>
      </c>
      <c r="AF1581" s="0">
        <v>0</v>
      </c>
      <c r="AG1581" s="0">
        <v>0</v>
      </c>
      <c r="AH1581" s="0" t="s">
        <v>140</v>
      </c>
      <c r="AI1581" s="0" t="s">
        <v>138</v>
      </c>
      <c r="AL1581" s="14"/>
      <c r="AN1581" s="14"/>
      <c r="AQ1581" s="0" t="s">
        <v>130</v>
      </c>
      <c r="AR1581" s="0" t="s">
        <v>130</v>
      </c>
      <c r="AS1581" s="0" t="s">
        <v>130</v>
      </c>
      <c r="AT1581" s="0" t="s">
        <v>130</v>
      </c>
      <c r="AU1581" s="0" t="s">
        <v>130</v>
      </c>
      <c r="AV1581" s="0" t="s">
        <v>130</v>
      </c>
      <c r="AW1581" s="0" t="s">
        <v>130</v>
      </c>
      <c r="AX1581" s="0" t="s">
        <v>130</v>
      </c>
      <c r="AY1581" s="0" t="s">
        <v>130</v>
      </c>
      <c r="AZ1581" s="0" t="s">
        <v>130</v>
      </c>
      <c r="BA1581" s="0" t="s">
        <v>130</v>
      </c>
      <c r="BB1581" s="0" t="s">
        <v>130</v>
      </c>
      <c r="BC1581" s="0" t="s">
        <v>130</v>
      </c>
      <c r="BD1581" s="0" t="s">
        <v>130</v>
      </c>
      <c r="BE1581" s="0" t="s">
        <v>130</v>
      </c>
      <c r="BF1581" s="0" t="s">
        <v>130</v>
      </c>
      <c r="BG1581" s="0" t="s">
        <v>130</v>
      </c>
      <c r="BH1581" s="0" t="s">
        <v>130</v>
      </c>
      <c r="BI1581" s="0" t="s">
        <v>130</v>
      </c>
      <c r="BJ1581" s="0" t="s">
        <v>130</v>
      </c>
      <c r="BK1581" s="0" t="s">
        <v>130</v>
      </c>
      <c r="BL1581" s="0" t="s">
        <v>130</v>
      </c>
      <c r="BM1581" s="0" t="s">
        <v>130</v>
      </c>
      <c r="BN1581" s="0" t="s">
        <v>130</v>
      </c>
      <c r="BO1581" s="0" t="s">
        <v>130</v>
      </c>
      <c r="BP1581" s="0" t="s">
        <v>130</v>
      </c>
      <c r="BQ1581" s="0" t="s">
        <v>130</v>
      </c>
      <c r="BR1581" s="0" t="s">
        <v>130</v>
      </c>
      <c r="BS1581" s="0" t="s">
        <v>130</v>
      </c>
      <c r="BT1581" s="0" t="s">
        <v>130</v>
      </c>
      <c r="BU1581" s="0" t="s">
        <v>130</v>
      </c>
      <c r="BV1581" s="0" t="s">
        <v>130</v>
      </c>
      <c r="BW1581" s="0" t="s">
        <v>130</v>
      </c>
      <c r="BX1581" s="0" t="s">
        <v>130</v>
      </c>
      <c r="BY1581" s="0" t="s">
        <v>130</v>
      </c>
      <c r="BZ1581" s="0" t="s">
        <v>130</v>
      </c>
      <c r="CA1581" s="0" t="s">
        <v>130</v>
      </c>
      <c r="CB1581" s="0" t="s">
        <v>130</v>
      </c>
      <c r="CC1581" s="0" t="s">
        <v>130</v>
      </c>
      <c r="CD1581" s="0" t="s">
        <v>130</v>
      </c>
      <c r="CE1581" s="0" t="s">
        <v>130</v>
      </c>
      <c r="CF1581" s="0" t="s">
        <v>130</v>
      </c>
      <c r="CG1581" s="0" t="s">
        <v>130</v>
      </c>
      <c r="CH1581" s="0" t="s">
        <v>130</v>
      </c>
      <c r="CI1581" s="0" t="s">
        <v>130</v>
      </c>
      <c r="CJ1581" s="0" t="s">
        <v>130</v>
      </c>
      <c r="CK1581" s="0" t="s">
        <v>130</v>
      </c>
      <c r="CL1581" s="0" t="s">
        <v>130</v>
      </c>
      <c r="CM1581" s="0" t="s">
        <v>130</v>
      </c>
      <c r="CN1581" s="0" t="s">
        <v>130</v>
      </c>
      <c r="CO1581" s="0" t="s">
        <v>130</v>
      </c>
      <c r="CP1581" s="0" t="s">
        <v>130</v>
      </c>
      <c r="CQ1581" s="0" t="s">
        <v>130</v>
      </c>
      <c r="CR1581" s="0" t="s">
        <v>130</v>
      </c>
      <c r="CS1581" s="0" t="s">
        <v>130</v>
      </c>
      <c r="CT1581" s="0" t="s">
        <v>4561</v>
      </c>
    </row>
    <row r="1582">
      <c r="A1582" s="14">
        <v>41234897</v>
      </c>
      <c r="B1582" s="0" t="s">
        <v>4547</v>
      </c>
      <c r="C1582" s="16">
        <f>HYPERLINK("https://eosportal.federatedhermes.com/companies/Q29tcGFueQppNzkwOTY=", "UBS Group AG")</f>
      </c>
      <c r="D1582" s="0" t="s">
        <v>25</v>
      </c>
      <c r="E1582" s="0" t="s">
        <v>4562</v>
      </c>
      <c r="F1582" s="16">
        <f>HYPERLINK("https://eosportal.federatedhermes.com/engagements/RW5nYWdlbWVudAppMjg4NzQ=", "Ensure appropriate transition to smaller investment banking operation")</f>
      </c>
      <c r="G1582" s="14" t="s">
        <v>4563</v>
      </c>
      <c r="H1582" s="0" t="s">
        <v>141</v>
      </c>
      <c r="I1582" s="14" t="s">
        <v>131</v>
      </c>
      <c r="J1582" s="0" t="s">
        <v>153</v>
      </c>
      <c r="K1582" s="0" t="s">
        <v>185</v>
      </c>
      <c r="L1582" s="0" t="s">
        <v>186</v>
      </c>
      <c r="M1582" s="0" t="s">
        <v>378</v>
      </c>
      <c r="N1582" s="0" t="s">
        <v>1059</v>
      </c>
      <c r="O1582" s="0" t="s">
        <v>238</v>
      </c>
      <c r="Q1582" s="0" t="s">
        <v>130</v>
      </c>
      <c r="R1582" s="0" t="s">
        <v>138</v>
      </c>
      <c r="S1582" s="14">
        <v>0</v>
      </c>
      <c r="T1582" s="0" t="s">
        <v>1011</v>
      </c>
      <c r="U1582" s="0" t="s">
        <v>138</v>
      </c>
      <c r="V1582" s="14" t="s">
        <v>138</v>
      </c>
      <c r="W1582" s="0" t="s">
        <v>138</v>
      </c>
      <c r="X1582" s="14" t="s">
        <v>138</v>
      </c>
      <c r="Y1582" s="0" t="s">
        <v>138</v>
      </c>
      <c r="Z1582" s="14" t="s">
        <v>138</v>
      </c>
      <c r="AA1582" s="0" t="s">
        <v>138</v>
      </c>
      <c r="AB1582" s="14" t="s">
        <v>138</v>
      </c>
      <c r="AD1582" s="0" t="s">
        <v>138</v>
      </c>
      <c r="AF1582" s="0">
        <v>0</v>
      </c>
      <c r="AG1582" s="0">
        <v>0</v>
      </c>
      <c r="AH1582" s="0" t="s">
        <v>140</v>
      </c>
      <c r="AI1582" s="0" t="s">
        <v>138</v>
      </c>
      <c r="AL1582" s="14"/>
      <c r="AN1582" s="14"/>
      <c r="AQ1582" s="0" t="s">
        <v>130</v>
      </c>
      <c r="AR1582" s="0" t="s">
        <v>130</v>
      </c>
      <c r="AS1582" s="0" t="s">
        <v>130</v>
      </c>
      <c r="AT1582" s="0" t="s">
        <v>130</v>
      </c>
      <c r="AU1582" s="0" t="s">
        <v>130</v>
      </c>
      <c r="AV1582" s="0" t="s">
        <v>130</v>
      </c>
      <c r="AW1582" s="0" t="s">
        <v>130</v>
      </c>
      <c r="AX1582" s="0" t="s">
        <v>130</v>
      </c>
      <c r="AY1582" s="0" t="s">
        <v>130</v>
      </c>
      <c r="AZ1582" s="0" t="s">
        <v>130</v>
      </c>
      <c r="BA1582" s="0" t="s">
        <v>130</v>
      </c>
      <c r="BB1582" s="0" t="s">
        <v>130</v>
      </c>
      <c r="BC1582" s="0" t="s">
        <v>130</v>
      </c>
      <c r="BD1582" s="0" t="s">
        <v>130</v>
      </c>
      <c r="BE1582" s="0" t="s">
        <v>130</v>
      </c>
      <c r="BF1582" s="0" t="s">
        <v>130</v>
      </c>
      <c r="BG1582" s="0" t="s">
        <v>130</v>
      </c>
      <c r="BH1582" s="0" t="s">
        <v>130</v>
      </c>
      <c r="BI1582" s="0" t="s">
        <v>130</v>
      </c>
      <c r="BJ1582" s="0" t="s">
        <v>130</v>
      </c>
      <c r="BK1582" s="0" t="s">
        <v>130</v>
      </c>
      <c r="BL1582" s="0" t="s">
        <v>130</v>
      </c>
      <c r="BM1582" s="0" t="s">
        <v>130</v>
      </c>
      <c r="BN1582" s="0" t="s">
        <v>130</v>
      </c>
      <c r="BO1582" s="0" t="s">
        <v>130</v>
      </c>
      <c r="BP1582" s="0" t="s">
        <v>130</v>
      </c>
      <c r="BQ1582" s="0" t="s">
        <v>130</v>
      </c>
      <c r="BR1582" s="0" t="s">
        <v>130</v>
      </c>
      <c r="BS1582" s="0" t="s">
        <v>130</v>
      </c>
      <c r="BT1582" s="0" t="s">
        <v>130</v>
      </c>
      <c r="BU1582" s="0" t="s">
        <v>130</v>
      </c>
      <c r="BV1582" s="0" t="s">
        <v>130</v>
      </c>
      <c r="BW1582" s="0" t="s">
        <v>130</v>
      </c>
      <c r="BX1582" s="0" t="s">
        <v>130</v>
      </c>
      <c r="BY1582" s="0" t="s">
        <v>130</v>
      </c>
      <c r="BZ1582" s="0" t="s">
        <v>130</v>
      </c>
      <c r="CA1582" s="0" t="s">
        <v>130</v>
      </c>
      <c r="CB1582" s="0" t="s">
        <v>130</v>
      </c>
      <c r="CC1582" s="0" t="s">
        <v>130</v>
      </c>
      <c r="CD1582" s="0" t="s">
        <v>130</v>
      </c>
      <c r="CE1582" s="0" t="s">
        <v>130</v>
      </c>
      <c r="CF1582" s="0" t="s">
        <v>130</v>
      </c>
      <c r="CG1582" s="0" t="s">
        <v>130</v>
      </c>
      <c r="CH1582" s="0" t="s">
        <v>130</v>
      </c>
      <c r="CI1582" s="0" t="s">
        <v>130</v>
      </c>
      <c r="CJ1582" s="0" t="s">
        <v>130</v>
      </c>
      <c r="CK1582" s="0" t="s">
        <v>130</v>
      </c>
      <c r="CL1582" s="0" t="s">
        <v>130</v>
      </c>
      <c r="CM1582" s="0" t="s">
        <v>130</v>
      </c>
      <c r="CN1582" s="0" t="s">
        <v>130</v>
      </c>
      <c r="CO1582" s="0" t="s">
        <v>130</v>
      </c>
      <c r="CP1582" s="0" t="s">
        <v>130</v>
      </c>
      <c r="CQ1582" s="0" t="s">
        <v>130</v>
      </c>
      <c r="CR1582" s="0" t="s">
        <v>130</v>
      </c>
      <c r="CS1582" s="0" t="s">
        <v>130</v>
      </c>
      <c r="CT1582" s="0" t="s">
        <v>4564</v>
      </c>
    </row>
    <row r="1583">
      <c r="A1583" s="14">
        <v>41234897</v>
      </c>
      <c r="B1583" s="0" t="s">
        <v>4547</v>
      </c>
      <c r="C1583" s="16">
        <f>HYPERLINK("https://eosportal.federatedhermes.com/companies/Q29tcGFueQppNzkwOTY=", "UBS Group AG")</f>
      </c>
      <c r="D1583" s="0" t="s">
        <v>25</v>
      </c>
      <c r="E1583" s="0" t="s">
        <v>1723</v>
      </c>
      <c r="F1583" s="16">
        <f>HYPERLINK("https://eosportal.federatedhermes.com/engagements/RW5nYWdlbWVudAppMjg4NzU=", "Participate in the Statement of Significant Audiences and Materiality campaign")</f>
      </c>
      <c r="G1583" s="14" t="s">
        <v>4565</v>
      </c>
      <c r="H1583" s="0" t="s">
        <v>141</v>
      </c>
      <c r="I1583" s="14" t="s">
        <v>131</v>
      </c>
      <c r="J1583" s="0" t="s">
        <v>132</v>
      </c>
      <c r="K1583" s="0" t="s">
        <v>170</v>
      </c>
      <c r="L1583" s="0" t="s">
        <v>171</v>
      </c>
      <c r="M1583" s="0" t="s">
        <v>378</v>
      </c>
      <c r="N1583" s="0" t="s">
        <v>1059</v>
      </c>
      <c r="O1583" s="0" t="s">
        <v>238</v>
      </c>
      <c r="Q1583" s="0" t="s">
        <v>130</v>
      </c>
      <c r="R1583" s="0" t="s">
        <v>138</v>
      </c>
      <c r="S1583" s="14">
        <v>0</v>
      </c>
      <c r="T1583" s="0" t="s">
        <v>457</v>
      </c>
      <c r="U1583" s="0" t="s">
        <v>138</v>
      </c>
      <c r="V1583" s="14" t="s">
        <v>138</v>
      </c>
      <c r="W1583" s="0" t="s">
        <v>138</v>
      </c>
      <c r="X1583" s="14" t="s">
        <v>138</v>
      </c>
      <c r="Y1583" s="0" t="s">
        <v>138</v>
      </c>
      <c r="Z1583" s="14" t="s">
        <v>138</v>
      </c>
      <c r="AA1583" s="0" t="s">
        <v>138</v>
      </c>
      <c r="AB1583" s="14" t="s">
        <v>138</v>
      </c>
      <c r="AD1583" s="0" t="s">
        <v>138</v>
      </c>
      <c r="AF1583" s="0">
        <v>0</v>
      </c>
      <c r="AG1583" s="0">
        <v>0</v>
      </c>
      <c r="AH1583" s="0" t="s">
        <v>140</v>
      </c>
      <c r="AI1583" s="0" t="s">
        <v>138</v>
      </c>
      <c r="AL1583" s="14"/>
      <c r="AN1583" s="14"/>
      <c r="AQ1583" s="0" t="s">
        <v>130</v>
      </c>
      <c r="AR1583" s="0" t="s">
        <v>130</v>
      </c>
      <c r="AS1583" s="0" t="s">
        <v>130</v>
      </c>
      <c r="AT1583" s="0" t="s">
        <v>130</v>
      </c>
      <c r="AU1583" s="0" t="s">
        <v>130</v>
      </c>
      <c r="AV1583" s="0" t="s">
        <v>130</v>
      </c>
      <c r="AW1583" s="0" t="s">
        <v>130</v>
      </c>
      <c r="AX1583" s="0" t="s">
        <v>130</v>
      </c>
      <c r="AY1583" s="0" t="s">
        <v>130</v>
      </c>
      <c r="AZ1583" s="0" t="s">
        <v>130</v>
      </c>
      <c r="BA1583" s="0" t="s">
        <v>130</v>
      </c>
      <c r="BB1583" s="0" t="s">
        <v>130</v>
      </c>
      <c r="BC1583" s="0" t="s">
        <v>130</v>
      </c>
      <c r="BD1583" s="0" t="s">
        <v>130</v>
      </c>
      <c r="BE1583" s="0" t="s">
        <v>130</v>
      </c>
      <c r="BF1583" s="0" t="s">
        <v>130</v>
      </c>
      <c r="BG1583" s="0" t="s">
        <v>130</v>
      </c>
      <c r="BH1583" s="0" t="s">
        <v>130</v>
      </c>
      <c r="BI1583" s="0" t="s">
        <v>130</v>
      </c>
      <c r="BJ1583" s="0" t="s">
        <v>130</v>
      </c>
      <c r="BK1583" s="0" t="s">
        <v>130</v>
      </c>
      <c r="BL1583" s="0" t="s">
        <v>130</v>
      </c>
      <c r="BM1583" s="0" t="s">
        <v>130</v>
      </c>
      <c r="BN1583" s="0" t="s">
        <v>130</v>
      </c>
      <c r="BO1583" s="0" t="s">
        <v>130</v>
      </c>
      <c r="BP1583" s="0" t="s">
        <v>130</v>
      </c>
      <c r="BQ1583" s="0" t="s">
        <v>130</v>
      </c>
      <c r="BR1583" s="0" t="s">
        <v>130</v>
      </c>
      <c r="BS1583" s="0" t="s">
        <v>130</v>
      </c>
      <c r="BT1583" s="0" t="s">
        <v>130</v>
      </c>
      <c r="BU1583" s="0" t="s">
        <v>130</v>
      </c>
      <c r="BV1583" s="0" t="s">
        <v>130</v>
      </c>
      <c r="BW1583" s="0" t="s">
        <v>130</v>
      </c>
      <c r="BX1583" s="0" t="s">
        <v>130</v>
      </c>
      <c r="BY1583" s="0" t="s">
        <v>130</v>
      </c>
      <c r="BZ1583" s="0" t="s">
        <v>130</v>
      </c>
      <c r="CA1583" s="0" t="s">
        <v>130</v>
      </c>
      <c r="CB1583" s="0" t="s">
        <v>130</v>
      </c>
      <c r="CC1583" s="0" t="s">
        <v>130</v>
      </c>
      <c r="CD1583" s="0" t="s">
        <v>130</v>
      </c>
      <c r="CE1583" s="0" t="s">
        <v>130</v>
      </c>
      <c r="CF1583" s="0" t="s">
        <v>130</v>
      </c>
      <c r="CG1583" s="0" t="s">
        <v>130</v>
      </c>
      <c r="CH1583" s="0" t="s">
        <v>130</v>
      </c>
      <c r="CI1583" s="0" t="s">
        <v>130</v>
      </c>
      <c r="CJ1583" s="0" t="s">
        <v>130</v>
      </c>
      <c r="CK1583" s="0" t="s">
        <v>130</v>
      </c>
      <c r="CL1583" s="0" t="s">
        <v>130</v>
      </c>
      <c r="CM1583" s="0" t="s">
        <v>130</v>
      </c>
      <c r="CN1583" s="0" t="s">
        <v>130</v>
      </c>
      <c r="CO1583" s="0" t="s">
        <v>130</v>
      </c>
      <c r="CP1583" s="0" t="s">
        <v>130</v>
      </c>
      <c r="CQ1583" s="0" t="s">
        <v>130</v>
      </c>
      <c r="CR1583" s="0" t="s">
        <v>130</v>
      </c>
      <c r="CS1583" s="0" t="s">
        <v>130</v>
      </c>
      <c r="CT1583" s="0" t="s">
        <v>4566</v>
      </c>
    </row>
    <row r="1584">
      <c r="A1584" s="14">
        <v>41234897</v>
      </c>
      <c r="B1584" s="0" t="s">
        <v>4547</v>
      </c>
      <c r="C1584" s="16">
        <f>HYPERLINK("https://eosportal.federatedhermes.com/companies/Q29tcGFueQppNzkwOTY=", "UBS Group AG")</f>
      </c>
      <c r="D1584" s="0" t="s">
        <v>25</v>
      </c>
      <c r="E1584" s="0" t="s">
        <v>276</v>
      </c>
      <c r="F1584" s="16">
        <f>HYPERLINK("https://eosportal.federatedhermes.com/engagements/RW5nYWdlbWVudAppMjg4NzY=", "Succession planning")</f>
      </c>
      <c r="G1584" s="14" t="s">
        <v>4567</v>
      </c>
      <c r="H1584" s="0" t="s">
        <v>141</v>
      </c>
      <c r="I1584" s="14" t="s">
        <v>131</v>
      </c>
      <c r="J1584" s="0" t="s">
        <v>145</v>
      </c>
      <c r="K1584" s="0" t="s">
        <v>164</v>
      </c>
      <c r="L1584" s="0" t="s">
        <v>277</v>
      </c>
      <c r="M1584" s="0" t="s">
        <v>378</v>
      </c>
      <c r="N1584" s="0" t="s">
        <v>1059</v>
      </c>
      <c r="O1584" s="0" t="s">
        <v>238</v>
      </c>
      <c r="Q1584" s="0" t="s">
        <v>130</v>
      </c>
      <c r="R1584" s="0" t="s">
        <v>138</v>
      </c>
      <c r="S1584" s="14">
        <v>0</v>
      </c>
      <c r="T1584" s="0" t="s">
        <v>1145</v>
      </c>
      <c r="U1584" s="0" t="s">
        <v>138</v>
      </c>
      <c r="V1584" s="14" t="s">
        <v>138</v>
      </c>
      <c r="W1584" s="0" t="s">
        <v>138</v>
      </c>
      <c r="X1584" s="14" t="s">
        <v>138</v>
      </c>
      <c r="Y1584" s="0" t="s">
        <v>138</v>
      </c>
      <c r="Z1584" s="14" t="s">
        <v>138</v>
      </c>
      <c r="AA1584" s="0" t="s">
        <v>138</v>
      </c>
      <c r="AB1584" s="14" t="s">
        <v>138</v>
      </c>
      <c r="AD1584" s="0" t="s">
        <v>138</v>
      </c>
      <c r="AF1584" s="0">
        <v>0</v>
      </c>
      <c r="AG1584" s="0">
        <v>0</v>
      </c>
      <c r="AH1584" s="0" t="s">
        <v>140</v>
      </c>
      <c r="AI1584" s="0" t="s">
        <v>138</v>
      </c>
      <c r="AL1584" s="14"/>
      <c r="AN1584" s="14"/>
      <c r="AQ1584" s="0" t="s">
        <v>130</v>
      </c>
      <c r="AR1584" s="0" t="s">
        <v>130</v>
      </c>
      <c r="AS1584" s="0" t="s">
        <v>130</v>
      </c>
      <c r="AT1584" s="0" t="s">
        <v>130</v>
      </c>
      <c r="AU1584" s="0" t="s">
        <v>130</v>
      </c>
      <c r="AV1584" s="0" t="s">
        <v>130</v>
      </c>
      <c r="AW1584" s="0" t="s">
        <v>130</v>
      </c>
      <c r="AX1584" s="0" t="s">
        <v>130</v>
      </c>
      <c r="AY1584" s="0" t="s">
        <v>130</v>
      </c>
      <c r="AZ1584" s="0" t="s">
        <v>130</v>
      </c>
      <c r="BA1584" s="0" t="s">
        <v>130</v>
      </c>
      <c r="BB1584" s="0" t="s">
        <v>130</v>
      </c>
      <c r="BC1584" s="0" t="s">
        <v>130</v>
      </c>
      <c r="BD1584" s="0" t="s">
        <v>130</v>
      </c>
      <c r="BE1584" s="0" t="s">
        <v>130</v>
      </c>
      <c r="BF1584" s="0" t="s">
        <v>130</v>
      </c>
      <c r="BG1584" s="0" t="s">
        <v>130</v>
      </c>
      <c r="BH1584" s="0" t="s">
        <v>130</v>
      </c>
      <c r="BI1584" s="0" t="s">
        <v>130</v>
      </c>
      <c r="BJ1584" s="0" t="s">
        <v>130</v>
      </c>
      <c r="BK1584" s="0" t="s">
        <v>130</v>
      </c>
      <c r="BL1584" s="0" t="s">
        <v>130</v>
      </c>
      <c r="BM1584" s="0" t="s">
        <v>130</v>
      </c>
      <c r="BN1584" s="0" t="s">
        <v>130</v>
      </c>
      <c r="BO1584" s="0" t="s">
        <v>130</v>
      </c>
      <c r="BP1584" s="0" t="s">
        <v>130</v>
      </c>
      <c r="BQ1584" s="0" t="s">
        <v>130</v>
      </c>
      <c r="BR1584" s="0" t="s">
        <v>130</v>
      </c>
      <c r="BS1584" s="0" t="s">
        <v>130</v>
      </c>
      <c r="BT1584" s="0" t="s">
        <v>130</v>
      </c>
      <c r="BU1584" s="0" t="s">
        <v>130</v>
      </c>
      <c r="BV1584" s="0" t="s">
        <v>130</v>
      </c>
      <c r="BW1584" s="0" t="s">
        <v>130</v>
      </c>
      <c r="BX1584" s="0" t="s">
        <v>130</v>
      </c>
      <c r="BY1584" s="0" t="s">
        <v>130</v>
      </c>
      <c r="BZ1584" s="0" t="s">
        <v>130</v>
      </c>
      <c r="CA1584" s="0" t="s">
        <v>130</v>
      </c>
      <c r="CB1584" s="0" t="s">
        <v>130</v>
      </c>
      <c r="CC1584" s="0" t="s">
        <v>130</v>
      </c>
      <c r="CD1584" s="0" t="s">
        <v>130</v>
      </c>
      <c r="CE1584" s="0" t="s">
        <v>130</v>
      </c>
      <c r="CF1584" s="0" t="s">
        <v>130</v>
      </c>
      <c r="CG1584" s="0" t="s">
        <v>130</v>
      </c>
      <c r="CH1584" s="0" t="s">
        <v>130</v>
      </c>
      <c r="CI1584" s="0" t="s">
        <v>130</v>
      </c>
      <c r="CJ1584" s="0" t="s">
        <v>130</v>
      </c>
      <c r="CK1584" s="0" t="s">
        <v>130</v>
      </c>
      <c r="CL1584" s="0" t="s">
        <v>130</v>
      </c>
      <c r="CM1584" s="0" t="s">
        <v>130</v>
      </c>
      <c r="CN1584" s="0" t="s">
        <v>130</v>
      </c>
      <c r="CO1584" s="0" t="s">
        <v>130</v>
      </c>
      <c r="CP1584" s="0" t="s">
        <v>130</v>
      </c>
      <c r="CQ1584" s="0" t="s">
        <v>130</v>
      </c>
      <c r="CR1584" s="0" t="s">
        <v>130</v>
      </c>
      <c r="CS1584" s="0" t="s">
        <v>130</v>
      </c>
      <c r="CT1584" s="0" t="s">
        <v>4568</v>
      </c>
    </row>
    <row r="1585">
      <c r="A1585" s="14">
        <v>41633927</v>
      </c>
      <c r="B1585" s="0" t="s">
        <v>4569</v>
      </c>
      <c r="C1585" s="16">
        <f>HYPERLINK("https://eosportal.federatedhermes.com/companies/Q29tcGFueQppNTIxODI=", "Stellantis NV")</f>
      </c>
      <c r="D1585" s="0" t="s">
        <v>23</v>
      </c>
      <c r="E1585" s="0" t="s">
        <v>228</v>
      </c>
      <c r="F1585" s="16">
        <f>HYPERLINK("https://eosportal.federatedhermes.com/engagements/RW5nYWdlbWVudAppMjg4ODc=", "Climate strategy")</f>
      </c>
      <c r="G1585" s="14" t="s">
        <v>4570</v>
      </c>
      <c r="H1585" s="0" t="s">
        <v>141</v>
      </c>
      <c r="I1585" s="14" t="s">
        <v>1645</v>
      </c>
      <c r="J1585" s="0" t="s">
        <v>197</v>
      </c>
      <c r="K1585" s="0" t="s">
        <v>198</v>
      </c>
      <c r="L1585" s="0" t="s">
        <v>220</v>
      </c>
      <c r="M1585" s="0" t="s">
        <v>378</v>
      </c>
      <c r="N1585" s="0" t="s">
        <v>2554</v>
      </c>
      <c r="O1585" s="0" t="s">
        <v>425</v>
      </c>
      <c r="Q1585" s="0" t="s">
        <v>130</v>
      </c>
      <c r="R1585" s="0" t="s">
        <v>141</v>
      </c>
      <c r="S1585" s="14">
        <v>0</v>
      </c>
      <c r="T1585" s="0" t="s">
        <v>148</v>
      </c>
      <c r="U1585" s="0" t="s">
        <v>221</v>
      </c>
      <c r="V1585" s="14" t="s">
        <v>148</v>
      </c>
      <c r="W1585" s="0" t="s">
        <v>221</v>
      </c>
      <c r="X1585" s="14" t="s">
        <v>583</v>
      </c>
      <c r="Y1585" s="0" t="s">
        <v>221</v>
      </c>
      <c r="Z1585" s="14" t="s">
        <v>583</v>
      </c>
      <c r="AA1585" s="0" t="s">
        <v>221</v>
      </c>
      <c r="AB1585" s="14" t="s">
        <v>361</v>
      </c>
      <c r="AC1585" s="0" t="s">
        <v>20</v>
      </c>
      <c r="AD1585" s="0" t="s">
        <v>362</v>
      </c>
      <c r="AE1585" s="0" t="s">
        <v>363</v>
      </c>
      <c r="AF1585" s="0">
        <v>1</v>
      </c>
      <c r="AG1585" s="0">
        <v>0</v>
      </c>
      <c r="AH1585" s="0" t="s">
        <v>140</v>
      </c>
      <c r="AI1585" s="0" t="s">
        <v>221</v>
      </c>
      <c r="AJ1585" s="0" t="s">
        <v>748</v>
      </c>
      <c r="AL1585" s="14" t="s">
        <v>291</v>
      </c>
      <c r="AM1585" s="0" t="s">
        <v>580</v>
      </c>
      <c r="AN1585" s="14"/>
      <c r="AP1585" s="0" t="s">
        <v>4571</v>
      </c>
      <c r="AQ1585" s="0" t="s">
        <v>130</v>
      </c>
      <c r="AR1585" s="0" t="s">
        <v>130</v>
      </c>
      <c r="AS1585" s="0" t="s">
        <v>130</v>
      </c>
      <c r="AT1585" s="0" t="s">
        <v>130</v>
      </c>
      <c r="AU1585" s="0" t="s">
        <v>130</v>
      </c>
      <c r="AV1585" s="0" t="s">
        <v>130</v>
      </c>
      <c r="AW1585" s="0" t="s">
        <v>141</v>
      </c>
      <c r="AX1585" s="0" t="s">
        <v>130</v>
      </c>
      <c r="AY1585" s="0" t="s">
        <v>141</v>
      </c>
      <c r="AZ1585" s="0" t="s">
        <v>130</v>
      </c>
      <c r="BA1585" s="0" t="s">
        <v>130</v>
      </c>
      <c r="BB1585" s="0" t="s">
        <v>130</v>
      </c>
      <c r="BC1585" s="0" t="s">
        <v>141</v>
      </c>
      <c r="BD1585" s="0" t="s">
        <v>130</v>
      </c>
      <c r="BE1585" s="0" t="s">
        <v>130</v>
      </c>
      <c r="BF1585" s="0" t="s">
        <v>130</v>
      </c>
      <c r="BG1585" s="0" t="s">
        <v>130</v>
      </c>
      <c r="BH1585" s="0" t="s">
        <v>141</v>
      </c>
      <c r="BI1585" s="0" t="s">
        <v>141</v>
      </c>
      <c r="BJ1585" s="0" t="s">
        <v>141</v>
      </c>
      <c r="BK1585" s="0" t="s">
        <v>130</v>
      </c>
      <c r="BL1585" s="0" t="s">
        <v>130</v>
      </c>
      <c r="BM1585" s="0" t="s">
        <v>130</v>
      </c>
      <c r="BN1585" s="0" t="s">
        <v>130</v>
      </c>
      <c r="BO1585" s="0" t="s">
        <v>130</v>
      </c>
      <c r="BP1585" s="0" t="s">
        <v>130</v>
      </c>
      <c r="BQ1585" s="0" t="s">
        <v>130</v>
      </c>
      <c r="BR1585" s="0" t="s">
        <v>130</v>
      </c>
      <c r="BS1585" s="0" t="s">
        <v>130</v>
      </c>
      <c r="BT1585" s="0" t="s">
        <v>130</v>
      </c>
      <c r="BU1585" s="0" t="s">
        <v>130</v>
      </c>
      <c r="BV1585" s="0" t="s">
        <v>141</v>
      </c>
      <c r="BW1585" s="0" t="s">
        <v>141</v>
      </c>
      <c r="BX1585" s="0" t="s">
        <v>130</v>
      </c>
      <c r="BY1585" s="0" t="s">
        <v>130</v>
      </c>
      <c r="BZ1585" s="0" t="s">
        <v>130</v>
      </c>
      <c r="CA1585" s="0" t="s">
        <v>130</v>
      </c>
      <c r="CB1585" s="0" t="s">
        <v>130</v>
      </c>
      <c r="CC1585" s="0" t="s">
        <v>130</v>
      </c>
      <c r="CD1585" s="0" t="s">
        <v>130</v>
      </c>
      <c r="CE1585" s="0" t="s">
        <v>130</v>
      </c>
      <c r="CF1585" s="0" t="s">
        <v>130</v>
      </c>
      <c r="CG1585" s="0" t="s">
        <v>130</v>
      </c>
      <c r="CH1585" s="0" t="s">
        <v>130</v>
      </c>
      <c r="CI1585" s="0" t="s">
        <v>130</v>
      </c>
      <c r="CJ1585" s="0" t="s">
        <v>130</v>
      </c>
      <c r="CK1585" s="0" t="s">
        <v>130</v>
      </c>
      <c r="CL1585" s="0" t="s">
        <v>130</v>
      </c>
      <c r="CM1585" s="0" t="s">
        <v>130</v>
      </c>
      <c r="CN1585" s="0" t="s">
        <v>130</v>
      </c>
      <c r="CO1585" s="0" t="s">
        <v>130</v>
      </c>
      <c r="CP1585" s="0" t="s">
        <v>130</v>
      </c>
      <c r="CQ1585" s="0" t="s">
        <v>130</v>
      </c>
      <c r="CR1585" s="0" t="s">
        <v>130</v>
      </c>
      <c r="CS1585" s="0" t="s">
        <v>130</v>
      </c>
      <c r="CT1585" s="0" t="s">
        <v>4572</v>
      </c>
    </row>
    <row r="1586">
      <c r="A1586" s="14">
        <v>41633927</v>
      </c>
      <c r="B1586" s="0" t="s">
        <v>4569</v>
      </c>
      <c r="C1586" s="16">
        <f>HYPERLINK("https://eosportal.federatedhermes.com/companies/Q29tcGFueQppNTIxODI=", "Stellantis NV")</f>
      </c>
      <c r="D1586" s="0" t="s">
        <v>25</v>
      </c>
      <c r="E1586" s="0" t="s">
        <v>3672</v>
      </c>
      <c r="F1586" s="16">
        <f>HYPERLINK("https://eosportal.federatedhermes.com/engagements/RW5nYWdlbWVudAppMjg4ODg=", "Emissions scandal")</f>
      </c>
      <c r="G1586" s="14" t="s">
        <v>4573</v>
      </c>
      <c r="H1586" s="0" t="s">
        <v>141</v>
      </c>
      <c r="I1586" s="14" t="s">
        <v>1645</v>
      </c>
      <c r="J1586" s="0" t="s">
        <v>197</v>
      </c>
      <c r="K1586" s="0" t="s">
        <v>348</v>
      </c>
      <c r="L1586" s="0" t="s">
        <v>650</v>
      </c>
      <c r="M1586" s="0" t="s">
        <v>378</v>
      </c>
      <c r="N1586" s="0" t="s">
        <v>2554</v>
      </c>
      <c r="O1586" s="0" t="s">
        <v>425</v>
      </c>
      <c r="Q1586" s="0" t="s">
        <v>130</v>
      </c>
      <c r="R1586" s="0" t="s">
        <v>138</v>
      </c>
      <c r="S1586" s="14">
        <v>0</v>
      </c>
      <c r="T1586" s="0" t="s">
        <v>457</v>
      </c>
      <c r="U1586" s="0" t="s">
        <v>138</v>
      </c>
      <c r="V1586" s="14" t="s">
        <v>138</v>
      </c>
      <c r="W1586" s="0" t="s">
        <v>138</v>
      </c>
      <c r="X1586" s="14" t="s">
        <v>138</v>
      </c>
      <c r="Y1586" s="0" t="s">
        <v>138</v>
      </c>
      <c r="Z1586" s="14" t="s">
        <v>138</v>
      </c>
      <c r="AA1586" s="0" t="s">
        <v>138</v>
      </c>
      <c r="AB1586" s="14" t="s">
        <v>138</v>
      </c>
      <c r="AD1586" s="0" t="s">
        <v>138</v>
      </c>
      <c r="AF1586" s="0">
        <v>0</v>
      </c>
      <c r="AG1586" s="0">
        <v>0</v>
      </c>
      <c r="AH1586" s="0" t="s">
        <v>140</v>
      </c>
      <c r="AI1586" s="0" t="s">
        <v>138</v>
      </c>
      <c r="AL1586" s="14"/>
      <c r="AN1586" s="14"/>
      <c r="AQ1586" s="0" t="s">
        <v>130</v>
      </c>
      <c r="AR1586" s="0" t="s">
        <v>130</v>
      </c>
      <c r="AS1586" s="0" t="s">
        <v>141</v>
      </c>
      <c r="AT1586" s="0" t="s">
        <v>130</v>
      </c>
      <c r="AU1586" s="0" t="s">
        <v>130</v>
      </c>
      <c r="AV1586" s="0" t="s">
        <v>130</v>
      </c>
      <c r="AW1586" s="0" t="s">
        <v>130</v>
      </c>
      <c r="AX1586" s="0" t="s">
        <v>130</v>
      </c>
      <c r="AY1586" s="0" t="s">
        <v>130</v>
      </c>
      <c r="AZ1586" s="0" t="s">
        <v>130</v>
      </c>
      <c r="BA1586" s="0" t="s">
        <v>130</v>
      </c>
      <c r="BB1586" s="0" t="s">
        <v>141</v>
      </c>
      <c r="BC1586" s="0" t="s">
        <v>130</v>
      </c>
      <c r="BD1586" s="0" t="s">
        <v>130</v>
      </c>
      <c r="BE1586" s="0" t="s">
        <v>130</v>
      </c>
      <c r="BF1586" s="0" t="s">
        <v>130</v>
      </c>
      <c r="BG1586" s="0" t="s">
        <v>130</v>
      </c>
      <c r="BH1586" s="0" t="s">
        <v>130</v>
      </c>
      <c r="BI1586" s="0" t="s">
        <v>130</v>
      </c>
      <c r="BJ1586" s="0" t="s">
        <v>130</v>
      </c>
      <c r="BK1586" s="0" t="s">
        <v>130</v>
      </c>
      <c r="BL1586" s="0" t="s">
        <v>130</v>
      </c>
      <c r="BM1586" s="0" t="s">
        <v>130</v>
      </c>
      <c r="BN1586" s="0" t="s">
        <v>130</v>
      </c>
      <c r="BO1586" s="0" t="s">
        <v>130</v>
      </c>
      <c r="BP1586" s="0" t="s">
        <v>130</v>
      </c>
      <c r="BQ1586" s="0" t="s">
        <v>130</v>
      </c>
      <c r="BR1586" s="0" t="s">
        <v>130</v>
      </c>
      <c r="BS1586" s="0" t="s">
        <v>130</v>
      </c>
      <c r="BT1586" s="0" t="s">
        <v>130</v>
      </c>
      <c r="BU1586" s="0" t="s">
        <v>130</v>
      </c>
      <c r="BV1586" s="0" t="s">
        <v>130</v>
      </c>
      <c r="BW1586" s="0" t="s">
        <v>130</v>
      </c>
      <c r="BX1586" s="0" t="s">
        <v>130</v>
      </c>
      <c r="BY1586" s="0" t="s">
        <v>130</v>
      </c>
      <c r="BZ1586" s="0" t="s">
        <v>130</v>
      </c>
      <c r="CA1586" s="0" t="s">
        <v>130</v>
      </c>
      <c r="CB1586" s="0" t="s">
        <v>130</v>
      </c>
      <c r="CC1586" s="0" t="s">
        <v>130</v>
      </c>
      <c r="CD1586" s="0" t="s">
        <v>130</v>
      </c>
      <c r="CE1586" s="0" t="s">
        <v>130</v>
      </c>
      <c r="CF1586" s="0" t="s">
        <v>130</v>
      </c>
      <c r="CG1586" s="0" t="s">
        <v>130</v>
      </c>
      <c r="CH1586" s="0" t="s">
        <v>130</v>
      </c>
      <c r="CI1586" s="0" t="s">
        <v>130</v>
      </c>
      <c r="CJ1586" s="0" t="s">
        <v>130</v>
      </c>
      <c r="CK1586" s="0" t="s">
        <v>130</v>
      </c>
      <c r="CL1586" s="0" t="s">
        <v>130</v>
      </c>
      <c r="CM1586" s="0" t="s">
        <v>130</v>
      </c>
      <c r="CN1586" s="0" t="s">
        <v>130</v>
      </c>
      <c r="CO1586" s="0" t="s">
        <v>130</v>
      </c>
      <c r="CP1586" s="0" t="s">
        <v>130</v>
      </c>
      <c r="CQ1586" s="0" t="s">
        <v>130</v>
      </c>
      <c r="CR1586" s="0" t="s">
        <v>130</v>
      </c>
      <c r="CS1586" s="0" t="s">
        <v>130</v>
      </c>
      <c r="CT1586" s="0" t="s">
        <v>4574</v>
      </c>
    </row>
    <row r="1587">
      <c r="A1587" s="14">
        <v>41633927</v>
      </c>
      <c r="B1587" s="0" t="s">
        <v>4569</v>
      </c>
      <c r="C1587" s="16">
        <f>HYPERLINK("https://eosportal.federatedhermes.com/companies/Q29tcGFueQppNTIxODI=", "Stellantis NV")</f>
      </c>
      <c r="D1587" s="0" t="s">
        <v>23</v>
      </c>
      <c r="E1587" s="0" t="s">
        <v>1859</v>
      </c>
      <c r="F1587" s="16">
        <f>HYPERLINK("https://eosportal.federatedhermes.com/engagements/RW5nYWdlbWVudAppMjg4ODk=", "Governance oversight of industry associations")</f>
      </c>
      <c r="G1587" s="14" t="s">
        <v>4575</v>
      </c>
      <c r="H1587" s="0" t="s">
        <v>141</v>
      </c>
      <c r="I1587" s="14" t="s">
        <v>1645</v>
      </c>
      <c r="J1587" s="0" t="s">
        <v>197</v>
      </c>
      <c r="K1587" s="0" t="s">
        <v>198</v>
      </c>
      <c r="L1587" s="0" t="s">
        <v>199</v>
      </c>
      <c r="M1587" s="0" t="s">
        <v>378</v>
      </c>
      <c r="N1587" s="0" t="s">
        <v>2554</v>
      </c>
      <c r="O1587" s="0" t="s">
        <v>425</v>
      </c>
      <c r="Q1587" s="0" t="s">
        <v>130</v>
      </c>
      <c r="R1587" s="0" t="s">
        <v>130</v>
      </c>
      <c r="S1587" s="14">
        <v>0</v>
      </c>
      <c r="T1587" s="0" t="s">
        <v>583</v>
      </c>
      <c r="U1587" s="0" t="s">
        <v>221</v>
      </c>
      <c r="V1587" s="14" t="s">
        <v>583</v>
      </c>
      <c r="W1587" s="0" t="s">
        <v>221</v>
      </c>
      <c r="X1587" s="14" t="s">
        <v>583</v>
      </c>
      <c r="Y1587" s="0" t="s">
        <v>221</v>
      </c>
      <c r="Z1587" s="14" t="s">
        <v>4412</v>
      </c>
      <c r="AA1587" s="0" t="s">
        <v>223</v>
      </c>
      <c r="AB1587" s="14" t="s">
        <v>138</v>
      </c>
      <c r="AD1587" s="0" t="s">
        <v>20</v>
      </c>
      <c r="AF1587" s="0">
        <v>0</v>
      </c>
      <c r="AG1587" s="0">
        <v>0</v>
      </c>
      <c r="AH1587" s="0" t="s">
        <v>140</v>
      </c>
      <c r="AI1587" s="0" t="s">
        <v>479</v>
      </c>
      <c r="AL1587" s="14"/>
      <c r="AN1587" s="14"/>
      <c r="AQ1587" s="0" t="s">
        <v>130</v>
      </c>
      <c r="AR1587" s="0" t="s">
        <v>130</v>
      </c>
      <c r="AS1587" s="0" t="s">
        <v>130</v>
      </c>
      <c r="AT1587" s="0" t="s">
        <v>130</v>
      </c>
      <c r="AU1587" s="0" t="s">
        <v>130</v>
      </c>
      <c r="AV1587" s="0" t="s">
        <v>130</v>
      </c>
      <c r="AW1587" s="0" t="s">
        <v>130</v>
      </c>
      <c r="AX1587" s="0" t="s">
        <v>130</v>
      </c>
      <c r="AY1587" s="0" t="s">
        <v>130</v>
      </c>
      <c r="AZ1587" s="0" t="s">
        <v>130</v>
      </c>
      <c r="BA1587" s="0" t="s">
        <v>130</v>
      </c>
      <c r="BB1587" s="0" t="s">
        <v>141</v>
      </c>
      <c r="BC1587" s="0" t="s">
        <v>130</v>
      </c>
      <c r="BD1587" s="0" t="s">
        <v>130</v>
      </c>
      <c r="BE1587" s="0" t="s">
        <v>130</v>
      </c>
      <c r="BF1587" s="0" t="s">
        <v>130</v>
      </c>
      <c r="BG1587" s="0" t="s">
        <v>130</v>
      </c>
      <c r="BH1587" s="0" t="s">
        <v>130</v>
      </c>
      <c r="BI1587" s="0" t="s">
        <v>130</v>
      </c>
      <c r="BJ1587" s="0" t="s">
        <v>130</v>
      </c>
      <c r="BK1587" s="0" t="s">
        <v>130</v>
      </c>
      <c r="BL1587" s="0" t="s">
        <v>130</v>
      </c>
      <c r="BM1587" s="0" t="s">
        <v>130</v>
      </c>
      <c r="BN1587" s="0" t="s">
        <v>130</v>
      </c>
      <c r="BO1587" s="0" t="s">
        <v>130</v>
      </c>
      <c r="BP1587" s="0" t="s">
        <v>130</v>
      </c>
      <c r="BQ1587" s="0" t="s">
        <v>130</v>
      </c>
      <c r="BR1587" s="0" t="s">
        <v>130</v>
      </c>
      <c r="BS1587" s="0" t="s">
        <v>130</v>
      </c>
      <c r="BT1587" s="0" t="s">
        <v>130</v>
      </c>
      <c r="BU1587" s="0" t="s">
        <v>130</v>
      </c>
      <c r="BV1587" s="0" t="s">
        <v>130</v>
      </c>
      <c r="BW1587" s="0" t="s">
        <v>130</v>
      </c>
      <c r="BX1587" s="0" t="s">
        <v>130</v>
      </c>
      <c r="BY1587" s="0" t="s">
        <v>130</v>
      </c>
      <c r="BZ1587" s="0" t="s">
        <v>130</v>
      </c>
      <c r="CA1587" s="0" t="s">
        <v>130</v>
      </c>
      <c r="CB1587" s="0" t="s">
        <v>130</v>
      </c>
      <c r="CC1587" s="0" t="s">
        <v>130</v>
      </c>
      <c r="CD1587" s="0" t="s">
        <v>130</v>
      </c>
      <c r="CE1587" s="0" t="s">
        <v>130</v>
      </c>
      <c r="CF1587" s="0" t="s">
        <v>130</v>
      </c>
      <c r="CG1587" s="0" t="s">
        <v>130</v>
      </c>
      <c r="CH1587" s="0" t="s">
        <v>130</v>
      </c>
      <c r="CI1587" s="0" t="s">
        <v>130</v>
      </c>
      <c r="CJ1587" s="0" t="s">
        <v>130</v>
      </c>
      <c r="CK1587" s="0" t="s">
        <v>130</v>
      </c>
      <c r="CL1587" s="0" t="s">
        <v>130</v>
      </c>
      <c r="CM1587" s="0" t="s">
        <v>130</v>
      </c>
      <c r="CN1587" s="0" t="s">
        <v>130</v>
      </c>
      <c r="CO1587" s="0" t="s">
        <v>130</v>
      </c>
      <c r="CP1587" s="0" t="s">
        <v>130</v>
      </c>
      <c r="CQ1587" s="0" t="s">
        <v>130</v>
      </c>
      <c r="CR1587" s="0" t="s">
        <v>130</v>
      </c>
      <c r="CS1587" s="0" t="s">
        <v>130</v>
      </c>
      <c r="CT1587" s="0" t="s">
        <v>4576</v>
      </c>
    </row>
    <row r="1588">
      <c r="A1588" s="14">
        <v>41633927</v>
      </c>
      <c r="B1588" s="0" t="s">
        <v>4569</v>
      </c>
      <c r="C1588" s="16">
        <f>HYPERLINK("https://eosportal.federatedhermes.com/companies/Q29tcGFueQppNTIxODI=", "Stellantis NV")</f>
      </c>
      <c r="D1588" s="0" t="s">
        <v>25</v>
      </c>
      <c r="E1588" s="0" t="s">
        <v>2686</v>
      </c>
      <c r="F1588" s="16">
        <f>HYPERLINK("https://eosportal.federatedhermes.com/engagements/RW5nYWdlbWVudAppMjg4OTA=", "Covid-19 response")</f>
      </c>
      <c r="G1588" s="14" t="s">
        <v>3414</v>
      </c>
      <c r="H1588" s="0" t="s">
        <v>141</v>
      </c>
      <c r="I1588" s="14" t="s">
        <v>1645</v>
      </c>
      <c r="J1588" s="0" t="s">
        <v>132</v>
      </c>
      <c r="K1588" s="0" t="s">
        <v>260</v>
      </c>
      <c r="L1588" s="0" t="s">
        <v>261</v>
      </c>
      <c r="M1588" s="0" t="s">
        <v>378</v>
      </c>
      <c r="N1588" s="0" t="s">
        <v>2554</v>
      </c>
      <c r="O1588" s="0" t="s">
        <v>425</v>
      </c>
      <c r="Q1588" s="0" t="s">
        <v>130</v>
      </c>
      <c r="R1588" s="0" t="s">
        <v>138</v>
      </c>
      <c r="S1588" s="14">
        <v>0</v>
      </c>
      <c r="T1588" s="0" t="s">
        <v>148</v>
      </c>
      <c r="U1588" s="0" t="s">
        <v>138</v>
      </c>
      <c r="V1588" s="14" t="s">
        <v>138</v>
      </c>
      <c r="W1588" s="0" t="s">
        <v>138</v>
      </c>
      <c r="X1588" s="14" t="s">
        <v>138</v>
      </c>
      <c r="Y1588" s="0" t="s">
        <v>138</v>
      </c>
      <c r="Z1588" s="14" t="s">
        <v>138</v>
      </c>
      <c r="AA1588" s="0" t="s">
        <v>138</v>
      </c>
      <c r="AB1588" s="14" t="s">
        <v>138</v>
      </c>
      <c r="AD1588" s="0" t="s">
        <v>138</v>
      </c>
      <c r="AF1588" s="0">
        <v>0</v>
      </c>
      <c r="AG1588" s="0">
        <v>0</v>
      </c>
      <c r="AH1588" s="0" t="s">
        <v>140</v>
      </c>
      <c r="AI1588" s="0" t="s">
        <v>138</v>
      </c>
      <c r="AL1588" s="14"/>
      <c r="AN1588" s="14"/>
      <c r="AQ1588" s="0" t="s">
        <v>130</v>
      </c>
      <c r="AR1588" s="0" t="s">
        <v>130</v>
      </c>
      <c r="AS1588" s="0" t="s">
        <v>130</v>
      </c>
      <c r="AT1588" s="0" t="s">
        <v>130</v>
      </c>
      <c r="AU1588" s="0" t="s">
        <v>130</v>
      </c>
      <c r="AV1588" s="0" t="s">
        <v>130</v>
      </c>
      <c r="AW1588" s="0" t="s">
        <v>130</v>
      </c>
      <c r="AX1588" s="0" t="s">
        <v>130</v>
      </c>
      <c r="AY1588" s="0" t="s">
        <v>130</v>
      </c>
      <c r="AZ1588" s="0" t="s">
        <v>130</v>
      </c>
      <c r="BA1588" s="0" t="s">
        <v>130</v>
      </c>
      <c r="BB1588" s="0" t="s">
        <v>130</v>
      </c>
      <c r="BC1588" s="0" t="s">
        <v>130</v>
      </c>
      <c r="BD1588" s="0" t="s">
        <v>130</v>
      </c>
      <c r="BE1588" s="0" t="s">
        <v>130</v>
      </c>
      <c r="BF1588" s="0" t="s">
        <v>130</v>
      </c>
      <c r="BG1588" s="0" t="s">
        <v>130</v>
      </c>
      <c r="BH1588" s="0" t="s">
        <v>130</v>
      </c>
      <c r="BI1588" s="0" t="s">
        <v>130</v>
      </c>
      <c r="BJ1588" s="0" t="s">
        <v>130</v>
      </c>
      <c r="BK1588" s="0" t="s">
        <v>130</v>
      </c>
      <c r="BL1588" s="0" t="s">
        <v>130</v>
      </c>
      <c r="BM1588" s="0" t="s">
        <v>130</v>
      </c>
      <c r="BN1588" s="0" t="s">
        <v>130</v>
      </c>
      <c r="BO1588" s="0" t="s">
        <v>130</v>
      </c>
      <c r="BP1588" s="0" t="s">
        <v>130</v>
      </c>
      <c r="BQ1588" s="0" t="s">
        <v>130</v>
      </c>
      <c r="BR1588" s="0" t="s">
        <v>130</v>
      </c>
      <c r="BS1588" s="0" t="s">
        <v>130</v>
      </c>
      <c r="BT1588" s="0" t="s">
        <v>130</v>
      </c>
      <c r="BU1588" s="0" t="s">
        <v>130</v>
      </c>
      <c r="BV1588" s="0" t="s">
        <v>130</v>
      </c>
      <c r="BW1588" s="0" t="s">
        <v>130</v>
      </c>
      <c r="BX1588" s="0" t="s">
        <v>130</v>
      </c>
      <c r="BY1588" s="0" t="s">
        <v>130</v>
      </c>
      <c r="BZ1588" s="0" t="s">
        <v>130</v>
      </c>
      <c r="CA1588" s="0" t="s">
        <v>130</v>
      </c>
      <c r="CB1588" s="0" t="s">
        <v>130</v>
      </c>
      <c r="CC1588" s="0" t="s">
        <v>130</v>
      </c>
      <c r="CD1588" s="0" t="s">
        <v>130</v>
      </c>
      <c r="CE1588" s="0" t="s">
        <v>130</v>
      </c>
      <c r="CF1588" s="0" t="s">
        <v>130</v>
      </c>
      <c r="CG1588" s="0" t="s">
        <v>130</v>
      </c>
      <c r="CH1588" s="0" t="s">
        <v>130</v>
      </c>
      <c r="CI1588" s="0" t="s">
        <v>130</v>
      </c>
      <c r="CJ1588" s="0" t="s">
        <v>130</v>
      </c>
      <c r="CK1588" s="0" t="s">
        <v>130</v>
      </c>
      <c r="CL1588" s="0" t="s">
        <v>130</v>
      </c>
      <c r="CM1588" s="0" t="s">
        <v>130</v>
      </c>
      <c r="CN1588" s="0" t="s">
        <v>130</v>
      </c>
      <c r="CO1588" s="0" t="s">
        <v>130</v>
      </c>
      <c r="CP1588" s="0" t="s">
        <v>130</v>
      </c>
      <c r="CQ1588" s="0" t="s">
        <v>130</v>
      </c>
      <c r="CR1588" s="0" t="s">
        <v>130</v>
      </c>
      <c r="CS1588" s="0" t="s">
        <v>130</v>
      </c>
      <c r="CT1588" s="0" t="s">
        <v>4577</v>
      </c>
    </row>
    <row r="1589">
      <c r="A1589" s="14">
        <v>41633927</v>
      </c>
      <c r="B1589" s="0" t="s">
        <v>4569</v>
      </c>
      <c r="C1589" s="16">
        <f>HYPERLINK("https://eosportal.federatedhermes.com/companies/Q29tcGFueQppNTIxODI=", "Stellantis NV")</f>
      </c>
      <c r="D1589" s="0" t="s">
        <v>25</v>
      </c>
      <c r="E1589" s="0" t="s">
        <v>4578</v>
      </c>
      <c r="F1589" s="16">
        <f>HYPERLINK("https://eosportal.federatedhermes.com/engagements/RW5nYWdlbWVudAppMjg4OTE=", "Special Voting Rights")</f>
      </c>
      <c r="G1589" s="14" t="s">
        <v>4579</v>
      </c>
      <c r="H1589" s="0" t="s">
        <v>141</v>
      </c>
      <c r="I1589" s="14" t="s">
        <v>1645</v>
      </c>
      <c r="J1589" s="0" t="s">
        <v>145</v>
      </c>
      <c r="K1589" s="0" t="s">
        <v>400</v>
      </c>
      <c r="L1589" s="0" t="s">
        <v>507</v>
      </c>
      <c r="M1589" s="0" t="s">
        <v>378</v>
      </c>
      <c r="N1589" s="0" t="s">
        <v>2554</v>
      </c>
      <c r="O1589" s="0" t="s">
        <v>425</v>
      </c>
      <c r="Q1589" s="0" t="s">
        <v>130</v>
      </c>
      <c r="R1589" s="0" t="s">
        <v>138</v>
      </c>
      <c r="S1589" s="14">
        <v>0</v>
      </c>
      <c r="T1589" s="0" t="s">
        <v>288</v>
      </c>
      <c r="U1589" s="0" t="s">
        <v>138</v>
      </c>
      <c r="V1589" s="14" t="s">
        <v>138</v>
      </c>
      <c r="W1589" s="0" t="s">
        <v>138</v>
      </c>
      <c r="X1589" s="14" t="s">
        <v>138</v>
      </c>
      <c r="Y1589" s="0" t="s">
        <v>138</v>
      </c>
      <c r="Z1589" s="14" t="s">
        <v>138</v>
      </c>
      <c r="AA1589" s="0" t="s">
        <v>138</v>
      </c>
      <c r="AB1589" s="14" t="s">
        <v>138</v>
      </c>
      <c r="AD1589" s="0" t="s">
        <v>138</v>
      </c>
      <c r="AF1589" s="0">
        <v>0</v>
      </c>
      <c r="AG1589" s="0">
        <v>0</v>
      </c>
      <c r="AH1589" s="0" t="s">
        <v>140</v>
      </c>
      <c r="AI1589" s="0" t="s">
        <v>138</v>
      </c>
      <c r="AL1589" s="14"/>
      <c r="AN1589" s="14"/>
      <c r="AQ1589" s="0" t="s">
        <v>130</v>
      </c>
      <c r="AR1589" s="0" t="s">
        <v>130</v>
      </c>
      <c r="AS1589" s="0" t="s">
        <v>130</v>
      </c>
      <c r="AT1589" s="0" t="s">
        <v>130</v>
      </c>
      <c r="AU1589" s="0" t="s">
        <v>130</v>
      </c>
      <c r="AV1589" s="0" t="s">
        <v>130</v>
      </c>
      <c r="AW1589" s="0" t="s">
        <v>130</v>
      </c>
      <c r="AX1589" s="0" t="s">
        <v>130</v>
      </c>
      <c r="AY1589" s="0" t="s">
        <v>130</v>
      </c>
      <c r="AZ1589" s="0" t="s">
        <v>130</v>
      </c>
      <c r="BA1589" s="0" t="s">
        <v>130</v>
      </c>
      <c r="BB1589" s="0" t="s">
        <v>130</v>
      </c>
      <c r="BC1589" s="0" t="s">
        <v>130</v>
      </c>
      <c r="BD1589" s="0" t="s">
        <v>130</v>
      </c>
      <c r="BE1589" s="0" t="s">
        <v>130</v>
      </c>
      <c r="BF1589" s="0" t="s">
        <v>130</v>
      </c>
      <c r="BG1589" s="0" t="s">
        <v>130</v>
      </c>
      <c r="BH1589" s="0" t="s">
        <v>130</v>
      </c>
      <c r="BI1589" s="0" t="s">
        <v>130</v>
      </c>
      <c r="BJ1589" s="0" t="s">
        <v>130</v>
      </c>
      <c r="BK1589" s="0" t="s">
        <v>130</v>
      </c>
      <c r="BL1589" s="0" t="s">
        <v>130</v>
      </c>
      <c r="BM1589" s="0" t="s">
        <v>130</v>
      </c>
      <c r="BN1589" s="0" t="s">
        <v>130</v>
      </c>
      <c r="BO1589" s="0" t="s">
        <v>130</v>
      </c>
      <c r="BP1589" s="0" t="s">
        <v>130</v>
      </c>
      <c r="BQ1589" s="0" t="s">
        <v>130</v>
      </c>
      <c r="BR1589" s="0" t="s">
        <v>130</v>
      </c>
      <c r="BS1589" s="0" t="s">
        <v>130</v>
      </c>
      <c r="BT1589" s="0" t="s">
        <v>130</v>
      </c>
      <c r="BU1589" s="0" t="s">
        <v>130</v>
      </c>
      <c r="BV1589" s="0" t="s">
        <v>130</v>
      </c>
      <c r="BW1589" s="0" t="s">
        <v>130</v>
      </c>
      <c r="BX1589" s="0" t="s">
        <v>130</v>
      </c>
      <c r="BY1589" s="0" t="s">
        <v>130</v>
      </c>
      <c r="BZ1589" s="0" t="s">
        <v>130</v>
      </c>
      <c r="CA1589" s="0" t="s">
        <v>130</v>
      </c>
      <c r="CB1589" s="0" t="s">
        <v>130</v>
      </c>
      <c r="CC1589" s="0" t="s">
        <v>130</v>
      </c>
      <c r="CD1589" s="0" t="s">
        <v>130</v>
      </c>
      <c r="CE1589" s="0" t="s">
        <v>130</v>
      </c>
      <c r="CF1589" s="0" t="s">
        <v>130</v>
      </c>
      <c r="CG1589" s="0" t="s">
        <v>130</v>
      </c>
      <c r="CH1589" s="0" t="s">
        <v>130</v>
      </c>
      <c r="CI1589" s="0" t="s">
        <v>130</v>
      </c>
      <c r="CJ1589" s="0" t="s">
        <v>130</v>
      </c>
      <c r="CK1589" s="0" t="s">
        <v>130</v>
      </c>
      <c r="CL1589" s="0" t="s">
        <v>130</v>
      </c>
      <c r="CM1589" s="0" t="s">
        <v>130</v>
      </c>
      <c r="CN1589" s="0" t="s">
        <v>130</v>
      </c>
      <c r="CO1589" s="0" t="s">
        <v>130</v>
      </c>
      <c r="CP1589" s="0" t="s">
        <v>130</v>
      </c>
      <c r="CQ1589" s="0" t="s">
        <v>130</v>
      </c>
      <c r="CR1589" s="0" t="s">
        <v>130</v>
      </c>
      <c r="CS1589" s="0" t="s">
        <v>130</v>
      </c>
      <c r="CT1589" s="0" t="s">
        <v>4580</v>
      </c>
    </row>
    <row r="1590">
      <c r="A1590" s="14">
        <v>41633927</v>
      </c>
      <c r="B1590" s="0" t="s">
        <v>4569</v>
      </c>
      <c r="C1590" s="16">
        <f>HYPERLINK("https://eosportal.federatedhermes.com/companies/Q29tcGFueQppNTIxODI=", "Stellantis NV")</f>
      </c>
      <c r="D1590" s="0" t="s">
        <v>25</v>
      </c>
      <c r="E1590" s="0" t="s">
        <v>146</v>
      </c>
      <c r="F1590" s="16">
        <f>HYPERLINK("https://eosportal.federatedhermes.com/engagements/RW5nYWdlbWVudAppMjg4OTI=", "Executive Remuneration")</f>
      </c>
      <c r="G1590" s="14" t="s">
        <v>4581</v>
      </c>
      <c r="H1590" s="0" t="s">
        <v>141</v>
      </c>
      <c r="I1590" s="14" t="s">
        <v>1645</v>
      </c>
      <c r="J1590" s="0" t="s">
        <v>145</v>
      </c>
      <c r="K1590" s="0" t="s">
        <v>146</v>
      </c>
      <c r="L1590" s="0" t="s">
        <v>147</v>
      </c>
      <c r="M1590" s="0" t="s">
        <v>378</v>
      </c>
      <c r="N1590" s="0" t="s">
        <v>2554</v>
      </c>
      <c r="O1590" s="0" t="s">
        <v>425</v>
      </c>
      <c r="Q1590" s="0" t="s">
        <v>130</v>
      </c>
      <c r="R1590" s="0" t="s">
        <v>138</v>
      </c>
      <c r="S1590" s="14">
        <v>0</v>
      </c>
      <c r="T1590" s="0" t="s">
        <v>288</v>
      </c>
      <c r="U1590" s="0" t="s">
        <v>138</v>
      </c>
      <c r="V1590" s="14" t="s">
        <v>138</v>
      </c>
      <c r="W1590" s="0" t="s">
        <v>138</v>
      </c>
      <c r="X1590" s="14" t="s">
        <v>138</v>
      </c>
      <c r="Y1590" s="0" t="s">
        <v>138</v>
      </c>
      <c r="Z1590" s="14" t="s">
        <v>138</v>
      </c>
      <c r="AA1590" s="0" t="s">
        <v>138</v>
      </c>
      <c r="AB1590" s="14" t="s">
        <v>138</v>
      </c>
      <c r="AD1590" s="0" t="s">
        <v>138</v>
      </c>
      <c r="AF1590" s="0">
        <v>0</v>
      </c>
      <c r="AG1590" s="0">
        <v>0</v>
      </c>
      <c r="AH1590" s="0" t="s">
        <v>140</v>
      </c>
      <c r="AI1590" s="0" t="s">
        <v>138</v>
      </c>
      <c r="AL1590" s="14"/>
      <c r="AN1590" s="14"/>
      <c r="AQ1590" s="0" t="s">
        <v>130</v>
      </c>
      <c r="AR1590" s="0" t="s">
        <v>130</v>
      </c>
      <c r="AS1590" s="0" t="s">
        <v>130</v>
      </c>
      <c r="AT1590" s="0" t="s">
        <v>130</v>
      </c>
      <c r="AU1590" s="0" t="s">
        <v>130</v>
      </c>
      <c r="AV1590" s="0" t="s">
        <v>130</v>
      </c>
      <c r="AW1590" s="0" t="s">
        <v>130</v>
      </c>
      <c r="AX1590" s="0" t="s">
        <v>130</v>
      </c>
      <c r="AY1590" s="0" t="s">
        <v>130</v>
      </c>
      <c r="AZ1590" s="0" t="s">
        <v>130</v>
      </c>
      <c r="BA1590" s="0" t="s">
        <v>130</v>
      </c>
      <c r="BB1590" s="0" t="s">
        <v>130</v>
      </c>
      <c r="BC1590" s="0" t="s">
        <v>130</v>
      </c>
      <c r="BD1590" s="0" t="s">
        <v>130</v>
      </c>
      <c r="BE1590" s="0" t="s">
        <v>130</v>
      </c>
      <c r="BF1590" s="0" t="s">
        <v>130</v>
      </c>
      <c r="BG1590" s="0" t="s">
        <v>130</v>
      </c>
      <c r="BH1590" s="0" t="s">
        <v>130</v>
      </c>
      <c r="BI1590" s="0" t="s">
        <v>130</v>
      </c>
      <c r="BJ1590" s="0" t="s">
        <v>130</v>
      </c>
      <c r="BK1590" s="0" t="s">
        <v>130</v>
      </c>
      <c r="BL1590" s="0" t="s">
        <v>130</v>
      </c>
      <c r="BM1590" s="0" t="s">
        <v>130</v>
      </c>
      <c r="BN1590" s="0" t="s">
        <v>130</v>
      </c>
      <c r="BO1590" s="0" t="s">
        <v>130</v>
      </c>
      <c r="BP1590" s="0" t="s">
        <v>130</v>
      </c>
      <c r="BQ1590" s="0" t="s">
        <v>130</v>
      </c>
      <c r="BR1590" s="0" t="s">
        <v>130</v>
      </c>
      <c r="BS1590" s="0" t="s">
        <v>130</v>
      </c>
      <c r="BT1590" s="0" t="s">
        <v>130</v>
      </c>
      <c r="BU1590" s="0" t="s">
        <v>130</v>
      </c>
      <c r="BV1590" s="0" t="s">
        <v>130</v>
      </c>
      <c r="BW1590" s="0" t="s">
        <v>130</v>
      </c>
      <c r="BX1590" s="0" t="s">
        <v>130</v>
      </c>
      <c r="BY1590" s="0" t="s">
        <v>130</v>
      </c>
      <c r="BZ1590" s="0" t="s">
        <v>130</v>
      </c>
      <c r="CA1590" s="0" t="s">
        <v>130</v>
      </c>
      <c r="CB1590" s="0" t="s">
        <v>130</v>
      </c>
      <c r="CC1590" s="0" t="s">
        <v>130</v>
      </c>
      <c r="CD1590" s="0" t="s">
        <v>130</v>
      </c>
      <c r="CE1590" s="0" t="s">
        <v>130</v>
      </c>
      <c r="CF1590" s="0" t="s">
        <v>130</v>
      </c>
      <c r="CG1590" s="0" t="s">
        <v>130</v>
      </c>
      <c r="CH1590" s="0" t="s">
        <v>130</v>
      </c>
      <c r="CI1590" s="0" t="s">
        <v>130</v>
      </c>
      <c r="CJ1590" s="0" t="s">
        <v>130</v>
      </c>
      <c r="CK1590" s="0" t="s">
        <v>130</v>
      </c>
      <c r="CL1590" s="0" t="s">
        <v>130</v>
      </c>
      <c r="CM1590" s="0" t="s">
        <v>130</v>
      </c>
      <c r="CN1590" s="0" t="s">
        <v>130</v>
      </c>
      <c r="CO1590" s="0" t="s">
        <v>130</v>
      </c>
      <c r="CP1590" s="0" t="s">
        <v>130</v>
      </c>
      <c r="CQ1590" s="0" t="s">
        <v>130</v>
      </c>
      <c r="CR1590" s="0" t="s">
        <v>130</v>
      </c>
      <c r="CS1590" s="0" t="s">
        <v>130</v>
      </c>
      <c r="CT1590" s="0" t="s">
        <v>4582</v>
      </c>
    </row>
    <row r="1591">
      <c r="A1591" s="14">
        <v>41633927</v>
      </c>
      <c r="B1591" s="0" t="s">
        <v>4569</v>
      </c>
      <c r="C1591" s="16">
        <f>HYPERLINK("https://eosportal.federatedhermes.com/companies/Q29tcGFueQppNTIxODI=", "Stellantis NV")</f>
      </c>
      <c r="D1591" s="0" t="s">
        <v>25</v>
      </c>
      <c r="E1591" s="0" t="s">
        <v>907</v>
      </c>
      <c r="F1591" s="16">
        <f>HYPERLINK("https://eosportal.federatedhermes.com/engagements/RW5nYWdlbWVudAppMjg4OTM=", "Climate change")</f>
      </c>
      <c r="G1591" s="14" t="s">
        <v>4583</v>
      </c>
      <c r="H1591" s="0" t="s">
        <v>141</v>
      </c>
      <c r="I1591" s="14" t="s">
        <v>1645</v>
      </c>
      <c r="J1591" s="0" t="s">
        <v>197</v>
      </c>
      <c r="K1591" s="0" t="s">
        <v>198</v>
      </c>
      <c r="L1591" s="0" t="s">
        <v>216</v>
      </c>
      <c r="M1591" s="0" t="s">
        <v>378</v>
      </c>
      <c r="N1591" s="0" t="s">
        <v>2554</v>
      </c>
      <c r="O1591" s="0" t="s">
        <v>425</v>
      </c>
      <c r="Q1591" s="0" t="s">
        <v>141</v>
      </c>
      <c r="R1591" s="0" t="s">
        <v>138</v>
      </c>
      <c r="S1591" s="14">
        <v>1</v>
      </c>
      <c r="T1591" s="0" t="s">
        <v>166</v>
      </c>
      <c r="U1591" s="0" t="s">
        <v>138</v>
      </c>
      <c r="V1591" s="14" t="s">
        <v>138</v>
      </c>
      <c r="W1591" s="0" t="s">
        <v>138</v>
      </c>
      <c r="X1591" s="14" t="s">
        <v>138</v>
      </c>
      <c r="Y1591" s="0" t="s">
        <v>138</v>
      </c>
      <c r="Z1591" s="14" t="s">
        <v>138</v>
      </c>
      <c r="AA1591" s="0" t="s">
        <v>138</v>
      </c>
      <c r="AB1591" s="14" t="s">
        <v>138</v>
      </c>
      <c r="AD1591" s="0" t="s">
        <v>138</v>
      </c>
      <c r="AF1591" s="0">
        <v>0</v>
      </c>
      <c r="AG1591" s="0">
        <v>0</v>
      </c>
      <c r="AH1591" s="0" t="s">
        <v>140</v>
      </c>
      <c r="AI1591" s="0" t="s">
        <v>138</v>
      </c>
      <c r="AK1591" s="0" t="s">
        <v>2044</v>
      </c>
      <c r="AL1591" s="14"/>
      <c r="AN1591" s="14"/>
      <c r="AQ1591" s="0" t="s">
        <v>130</v>
      </c>
      <c r="AR1591" s="0" t="s">
        <v>130</v>
      </c>
      <c r="AS1591" s="0" t="s">
        <v>130</v>
      </c>
      <c r="AT1591" s="0" t="s">
        <v>130</v>
      </c>
      <c r="AU1591" s="0" t="s">
        <v>130</v>
      </c>
      <c r="AV1591" s="0" t="s">
        <v>130</v>
      </c>
      <c r="AW1591" s="0" t="s">
        <v>141</v>
      </c>
      <c r="AX1591" s="0" t="s">
        <v>130</v>
      </c>
      <c r="AY1591" s="0" t="s">
        <v>130</v>
      </c>
      <c r="AZ1591" s="0" t="s">
        <v>130</v>
      </c>
      <c r="BA1591" s="0" t="s">
        <v>130</v>
      </c>
      <c r="BB1591" s="0" t="s">
        <v>130</v>
      </c>
      <c r="BC1591" s="0" t="s">
        <v>141</v>
      </c>
      <c r="BD1591" s="0" t="s">
        <v>130</v>
      </c>
      <c r="BE1591" s="0" t="s">
        <v>130</v>
      </c>
      <c r="BF1591" s="0" t="s">
        <v>130</v>
      </c>
      <c r="BG1591" s="0" t="s">
        <v>130</v>
      </c>
      <c r="BH1591" s="0" t="s">
        <v>141</v>
      </c>
      <c r="BI1591" s="0" t="s">
        <v>141</v>
      </c>
      <c r="BJ1591" s="0" t="s">
        <v>141</v>
      </c>
      <c r="BK1591" s="0" t="s">
        <v>130</v>
      </c>
      <c r="BL1591" s="0" t="s">
        <v>130</v>
      </c>
      <c r="BM1591" s="0" t="s">
        <v>130</v>
      </c>
      <c r="BN1591" s="0" t="s">
        <v>130</v>
      </c>
      <c r="BO1591" s="0" t="s">
        <v>130</v>
      </c>
      <c r="BP1591" s="0" t="s">
        <v>130</v>
      </c>
      <c r="BQ1591" s="0" t="s">
        <v>130</v>
      </c>
      <c r="BR1591" s="0" t="s">
        <v>130</v>
      </c>
      <c r="BS1591" s="0" t="s">
        <v>130</v>
      </c>
      <c r="BT1591" s="0" t="s">
        <v>130</v>
      </c>
      <c r="BU1591" s="0" t="s">
        <v>130</v>
      </c>
      <c r="BV1591" s="0" t="s">
        <v>141</v>
      </c>
      <c r="BW1591" s="0" t="s">
        <v>141</v>
      </c>
      <c r="BX1591" s="0" t="s">
        <v>130</v>
      </c>
      <c r="BY1591" s="0" t="s">
        <v>130</v>
      </c>
      <c r="BZ1591" s="0" t="s">
        <v>130</v>
      </c>
      <c r="CA1591" s="0" t="s">
        <v>130</v>
      </c>
      <c r="CB1591" s="0" t="s">
        <v>130</v>
      </c>
      <c r="CC1591" s="0" t="s">
        <v>130</v>
      </c>
      <c r="CD1591" s="0" t="s">
        <v>130</v>
      </c>
      <c r="CE1591" s="0" t="s">
        <v>130</v>
      </c>
      <c r="CF1591" s="0" t="s">
        <v>130</v>
      </c>
      <c r="CG1591" s="0" t="s">
        <v>130</v>
      </c>
      <c r="CH1591" s="0" t="s">
        <v>130</v>
      </c>
      <c r="CI1591" s="0" t="s">
        <v>130</v>
      </c>
      <c r="CJ1591" s="0" t="s">
        <v>130</v>
      </c>
      <c r="CK1591" s="0" t="s">
        <v>130</v>
      </c>
      <c r="CL1591" s="0" t="s">
        <v>130</v>
      </c>
      <c r="CM1591" s="0" t="s">
        <v>130</v>
      </c>
      <c r="CN1591" s="0" t="s">
        <v>130</v>
      </c>
      <c r="CO1591" s="0" t="s">
        <v>130</v>
      </c>
      <c r="CP1591" s="0" t="s">
        <v>130</v>
      </c>
      <c r="CQ1591" s="0" t="s">
        <v>130</v>
      </c>
      <c r="CR1591" s="0" t="s">
        <v>130</v>
      </c>
      <c r="CS1591" s="0" t="s">
        <v>130</v>
      </c>
      <c r="CT1591" s="0" t="s">
        <v>4584</v>
      </c>
    </row>
    <row r="1592">
      <c r="A1592" s="14">
        <v>41633927</v>
      </c>
      <c r="B1592" s="0" t="s">
        <v>4569</v>
      </c>
      <c r="C1592" s="16">
        <f>HYPERLINK("https://eosportal.federatedhermes.com/companies/Q29tcGFueQppNTIxODI=", "Stellantis NV")</f>
      </c>
      <c r="D1592" s="0" t="s">
        <v>25</v>
      </c>
      <c r="E1592" s="0" t="s">
        <v>322</v>
      </c>
      <c r="F1592" s="16">
        <f>HYPERLINK("https://eosportal.federatedhermes.com/engagements/RW5nYWdlbWVudAppMjg4OTQ=", "Gender diversity")</f>
      </c>
      <c r="G1592" s="14" t="s">
        <v>4585</v>
      </c>
      <c r="H1592" s="0" t="s">
        <v>141</v>
      </c>
      <c r="I1592" s="14" t="s">
        <v>1645</v>
      </c>
      <c r="J1592" s="0" t="s">
        <v>145</v>
      </c>
      <c r="K1592" s="0" t="s">
        <v>164</v>
      </c>
      <c r="L1592" s="0" t="s">
        <v>165</v>
      </c>
      <c r="M1592" s="0" t="s">
        <v>378</v>
      </c>
      <c r="N1592" s="0" t="s">
        <v>2554</v>
      </c>
      <c r="O1592" s="0" t="s">
        <v>425</v>
      </c>
      <c r="Q1592" s="0" t="s">
        <v>130</v>
      </c>
      <c r="R1592" s="0" t="s">
        <v>138</v>
      </c>
      <c r="S1592" s="14">
        <v>0</v>
      </c>
      <c r="T1592" s="0" t="s">
        <v>288</v>
      </c>
      <c r="U1592" s="0" t="s">
        <v>138</v>
      </c>
      <c r="V1592" s="14" t="s">
        <v>138</v>
      </c>
      <c r="W1592" s="0" t="s">
        <v>138</v>
      </c>
      <c r="X1592" s="14" t="s">
        <v>138</v>
      </c>
      <c r="Y1592" s="0" t="s">
        <v>138</v>
      </c>
      <c r="Z1592" s="14" t="s">
        <v>138</v>
      </c>
      <c r="AA1592" s="0" t="s">
        <v>138</v>
      </c>
      <c r="AB1592" s="14" t="s">
        <v>138</v>
      </c>
      <c r="AD1592" s="0" t="s">
        <v>138</v>
      </c>
      <c r="AF1592" s="0">
        <v>0</v>
      </c>
      <c r="AG1592" s="0">
        <v>0</v>
      </c>
      <c r="AH1592" s="0" t="s">
        <v>140</v>
      </c>
      <c r="AI1592" s="0" t="s">
        <v>138</v>
      </c>
      <c r="AL1592" s="14"/>
      <c r="AN1592" s="14"/>
      <c r="AQ1592" s="0" t="s">
        <v>130</v>
      </c>
      <c r="AR1592" s="0" t="s">
        <v>130</v>
      </c>
      <c r="AS1592" s="0" t="s">
        <v>130</v>
      </c>
      <c r="AT1592" s="0" t="s">
        <v>130</v>
      </c>
      <c r="AU1592" s="0" t="s">
        <v>141</v>
      </c>
      <c r="AV1592" s="0" t="s">
        <v>130</v>
      </c>
      <c r="AW1592" s="0" t="s">
        <v>130</v>
      </c>
      <c r="AX1592" s="0" t="s">
        <v>130</v>
      </c>
      <c r="AY1592" s="0" t="s">
        <v>130</v>
      </c>
      <c r="AZ1592" s="0" t="s">
        <v>130</v>
      </c>
      <c r="BA1592" s="0" t="s">
        <v>130</v>
      </c>
      <c r="BB1592" s="0" t="s">
        <v>130</v>
      </c>
      <c r="BC1592" s="0" t="s">
        <v>130</v>
      </c>
      <c r="BD1592" s="0" t="s">
        <v>130</v>
      </c>
      <c r="BE1592" s="0" t="s">
        <v>130</v>
      </c>
      <c r="BF1592" s="0" t="s">
        <v>130</v>
      </c>
      <c r="BG1592" s="0" t="s">
        <v>130</v>
      </c>
      <c r="BH1592" s="0" t="s">
        <v>130</v>
      </c>
      <c r="BI1592" s="0" t="s">
        <v>130</v>
      </c>
      <c r="BJ1592" s="0" t="s">
        <v>130</v>
      </c>
      <c r="BK1592" s="0" t="s">
        <v>130</v>
      </c>
      <c r="BL1592" s="0" t="s">
        <v>130</v>
      </c>
      <c r="BM1592" s="0" t="s">
        <v>130</v>
      </c>
      <c r="BN1592" s="0" t="s">
        <v>130</v>
      </c>
      <c r="BO1592" s="0" t="s">
        <v>130</v>
      </c>
      <c r="BP1592" s="0" t="s">
        <v>130</v>
      </c>
      <c r="BQ1592" s="0" t="s">
        <v>130</v>
      </c>
      <c r="BR1592" s="0" t="s">
        <v>130</v>
      </c>
      <c r="BS1592" s="0" t="s">
        <v>130</v>
      </c>
      <c r="BT1592" s="0" t="s">
        <v>130</v>
      </c>
      <c r="BU1592" s="0" t="s">
        <v>130</v>
      </c>
      <c r="BV1592" s="0" t="s">
        <v>130</v>
      </c>
      <c r="BW1592" s="0" t="s">
        <v>130</v>
      </c>
      <c r="BX1592" s="0" t="s">
        <v>130</v>
      </c>
      <c r="BY1592" s="0" t="s">
        <v>130</v>
      </c>
      <c r="BZ1592" s="0" t="s">
        <v>130</v>
      </c>
      <c r="CA1592" s="0" t="s">
        <v>130</v>
      </c>
      <c r="CB1592" s="0" t="s">
        <v>130</v>
      </c>
      <c r="CC1592" s="0" t="s">
        <v>130</v>
      </c>
      <c r="CD1592" s="0" t="s">
        <v>130</v>
      </c>
      <c r="CE1592" s="0" t="s">
        <v>130</v>
      </c>
      <c r="CF1592" s="0" t="s">
        <v>130</v>
      </c>
      <c r="CG1592" s="0" t="s">
        <v>130</v>
      </c>
      <c r="CH1592" s="0" t="s">
        <v>130</v>
      </c>
      <c r="CI1592" s="0" t="s">
        <v>130</v>
      </c>
      <c r="CJ1592" s="0" t="s">
        <v>130</v>
      </c>
      <c r="CK1592" s="0" t="s">
        <v>130</v>
      </c>
      <c r="CL1592" s="0" t="s">
        <v>130</v>
      </c>
      <c r="CM1592" s="0" t="s">
        <v>130</v>
      </c>
      <c r="CN1592" s="0" t="s">
        <v>130</v>
      </c>
      <c r="CO1592" s="0" t="s">
        <v>130</v>
      </c>
      <c r="CP1592" s="0" t="s">
        <v>130</v>
      </c>
      <c r="CQ1592" s="0" t="s">
        <v>130</v>
      </c>
      <c r="CR1592" s="0" t="s">
        <v>130</v>
      </c>
      <c r="CS1592" s="0" t="s">
        <v>130</v>
      </c>
      <c r="CT1592" s="0" t="s">
        <v>4586</v>
      </c>
    </row>
    <row r="1593">
      <c r="A1593" s="14">
        <v>42602315</v>
      </c>
      <c r="B1593" s="0" t="s">
        <v>4587</v>
      </c>
      <c r="C1593" s="16">
        <f>HYPERLINK("https://eosportal.federatedhermes.com/companies/Q29tcGFueQppNDc0MzI=", "Hewlett Packard Enterprise Co")</f>
      </c>
      <c r="D1593" s="0" t="s">
        <v>25</v>
      </c>
      <c r="E1593" s="0" t="s">
        <v>1756</v>
      </c>
      <c r="F1593" s="16">
        <f>HYPERLINK("https://eosportal.federatedhermes.com/engagements/RW5nYWdlbWVudAppMjg5Mzg=", "US Principles")</f>
      </c>
      <c r="G1593" s="14" t="s">
        <v>4588</v>
      </c>
      <c r="H1593" s="0" t="s">
        <v>130</v>
      </c>
      <c r="I1593" s="14" t="s">
        <v>131</v>
      </c>
      <c r="J1593" s="0" t="s">
        <v>145</v>
      </c>
      <c r="K1593" s="0" t="s">
        <v>146</v>
      </c>
      <c r="L1593" s="0" t="s">
        <v>147</v>
      </c>
      <c r="M1593" s="0" t="s">
        <v>135</v>
      </c>
      <c r="N1593" s="0" t="s">
        <v>136</v>
      </c>
      <c r="O1593" s="0" t="s">
        <v>1125</v>
      </c>
      <c r="Q1593" s="0" t="s">
        <v>130</v>
      </c>
      <c r="R1593" s="0" t="s">
        <v>138</v>
      </c>
      <c r="S1593" s="14">
        <v>0</v>
      </c>
      <c r="T1593" s="0" t="s">
        <v>583</v>
      </c>
      <c r="U1593" s="0" t="s">
        <v>138</v>
      </c>
      <c r="V1593" s="14" t="s">
        <v>138</v>
      </c>
      <c r="W1593" s="0" t="s">
        <v>138</v>
      </c>
      <c r="X1593" s="14" t="s">
        <v>138</v>
      </c>
      <c r="Y1593" s="0" t="s">
        <v>138</v>
      </c>
      <c r="Z1593" s="14" t="s">
        <v>138</v>
      </c>
      <c r="AA1593" s="0" t="s">
        <v>138</v>
      </c>
      <c r="AB1593" s="14" t="s">
        <v>138</v>
      </c>
      <c r="AD1593" s="0" t="s">
        <v>138</v>
      </c>
      <c r="AF1593" s="0">
        <v>0</v>
      </c>
      <c r="AG1593" s="0">
        <v>0</v>
      </c>
      <c r="AH1593" s="0" t="s">
        <v>140</v>
      </c>
      <c r="AI1593" s="0" t="s">
        <v>138</v>
      </c>
      <c r="AL1593" s="14"/>
      <c r="AN1593" s="14"/>
      <c r="AQ1593" s="0" t="s">
        <v>130</v>
      </c>
      <c r="AR1593" s="0" t="s">
        <v>130</v>
      </c>
      <c r="AS1593" s="0" t="s">
        <v>130</v>
      </c>
      <c r="AT1593" s="0" t="s">
        <v>130</v>
      </c>
      <c r="AU1593" s="0" t="s">
        <v>130</v>
      </c>
      <c r="AV1593" s="0" t="s">
        <v>130</v>
      </c>
      <c r="AW1593" s="0" t="s">
        <v>130</v>
      </c>
      <c r="AX1593" s="0" t="s">
        <v>130</v>
      </c>
      <c r="AY1593" s="0" t="s">
        <v>130</v>
      </c>
      <c r="AZ1593" s="0" t="s">
        <v>130</v>
      </c>
      <c r="BA1593" s="0" t="s">
        <v>130</v>
      </c>
      <c r="BB1593" s="0" t="s">
        <v>130</v>
      </c>
      <c r="BC1593" s="0" t="s">
        <v>130</v>
      </c>
      <c r="BD1593" s="0" t="s">
        <v>130</v>
      </c>
      <c r="BE1593" s="0" t="s">
        <v>130</v>
      </c>
      <c r="BF1593" s="0" t="s">
        <v>130</v>
      </c>
      <c r="BG1593" s="0" t="s">
        <v>130</v>
      </c>
      <c r="BH1593" s="0" t="s">
        <v>130</v>
      </c>
      <c r="BI1593" s="0" t="s">
        <v>130</v>
      </c>
      <c r="BJ1593" s="0" t="s">
        <v>130</v>
      </c>
      <c r="BK1593" s="0" t="s">
        <v>130</v>
      </c>
      <c r="BL1593" s="0" t="s">
        <v>130</v>
      </c>
      <c r="BM1593" s="0" t="s">
        <v>130</v>
      </c>
      <c r="BN1593" s="0" t="s">
        <v>130</v>
      </c>
      <c r="BO1593" s="0" t="s">
        <v>130</v>
      </c>
      <c r="BP1593" s="0" t="s">
        <v>130</v>
      </c>
      <c r="BQ1593" s="0" t="s">
        <v>130</v>
      </c>
      <c r="BR1593" s="0" t="s">
        <v>130</v>
      </c>
      <c r="BS1593" s="0" t="s">
        <v>130</v>
      </c>
      <c r="BT1593" s="0" t="s">
        <v>130</v>
      </c>
      <c r="BU1593" s="0" t="s">
        <v>130</v>
      </c>
      <c r="BV1593" s="0" t="s">
        <v>130</v>
      </c>
      <c r="BW1593" s="0" t="s">
        <v>130</v>
      </c>
      <c r="BX1593" s="0" t="s">
        <v>130</v>
      </c>
      <c r="BY1593" s="0" t="s">
        <v>130</v>
      </c>
      <c r="BZ1593" s="0" t="s">
        <v>130</v>
      </c>
      <c r="CA1593" s="0" t="s">
        <v>130</v>
      </c>
      <c r="CB1593" s="0" t="s">
        <v>130</v>
      </c>
      <c r="CC1593" s="0" t="s">
        <v>130</v>
      </c>
      <c r="CD1593" s="0" t="s">
        <v>130</v>
      </c>
      <c r="CE1593" s="0" t="s">
        <v>130</v>
      </c>
      <c r="CF1593" s="0" t="s">
        <v>130</v>
      </c>
      <c r="CG1593" s="0" t="s">
        <v>130</v>
      </c>
      <c r="CH1593" s="0" t="s">
        <v>130</v>
      </c>
      <c r="CI1593" s="0" t="s">
        <v>130</v>
      </c>
      <c r="CJ1593" s="0" t="s">
        <v>130</v>
      </c>
      <c r="CK1593" s="0" t="s">
        <v>130</v>
      </c>
      <c r="CL1593" s="0" t="s">
        <v>130</v>
      </c>
      <c r="CM1593" s="0" t="s">
        <v>130</v>
      </c>
      <c r="CN1593" s="0" t="s">
        <v>130</v>
      </c>
      <c r="CO1593" s="0" t="s">
        <v>130</v>
      </c>
      <c r="CP1593" s="0" t="s">
        <v>130</v>
      </c>
      <c r="CQ1593" s="0" t="s">
        <v>130</v>
      </c>
      <c r="CR1593" s="0" t="s">
        <v>130</v>
      </c>
      <c r="CS1593" s="0" t="s">
        <v>130</v>
      </c>
      <c r="CT1593" s="0" t="s">
        <v>4589</v>
      </c>
    </row>
    <row r="1594">
      <c r="A1594" s="14">
        <v>70940270</v>
      </c>
      <c r="B1594" s="0" t="s">
        <v>4590</v>
      </c>
      <c r="C1594" s="16">
        <f>HYPERLINK("https://eosportal.federatedhermes.com/companies/Q29tcGFueQppODU0MTY=", "Linde PLC")</f>
      </c>
      <c r="D1594" s="0" t="s">
        <v>25</v>
      </c>
      <c r="E1594" s="0" t="s">
        <v>4591</v>
      </c>
      <c r="F1594" s="16">
        <f>HYPERLINK("https://eosportal.federatedhermes.com/engagements/RW5nYWdlbWVudAppMjg5NzE=", "Board racial and gender diversity")</f>
      </c>
      <c r="G1594" s="14" t="s">
        <v>4592</v>
      </c>
      <c r="H1594" s="0" t="s">
        <v>141</v>
      </c>
      <c r="I1594" s="14" t="s">
        <v>191</v>
      </c>
      <c r="J1594" s="0" t="s">
        <v>145</v>
      </c>
      <c r="K1594" s="0" t="s">
        <v>164</v>
      </c>
      <c r="L1594" s="0" t="s">
        <v>165</v>
      </c>
      <c r="M1594" s="0" t="s">
        <v>135</v>
      </c>
      <c r="N1594" s="0" t="s">
        <v>136</v>
      </c>
      <c r="O1594" s="0" t="s">
        <v>706</v>
      </c>
      <c r="Q1594" s="0" t="s">
        <v>130</v>
      </c>
      <c r="R1594" s="0" t="s">
        <v>138</v>
      </c>
      <c r="S1594" s="14">
        <v>0</v>
      </c>
      <c r="T1594" s="0" t="s">
        <v>327</v>
      </c>
      <c r="U1594" s="0" t="s">
        <v>138</v>
      </c>
      <c r="V1594" s="14" t="s">
        <v>138</v>
      </c>
      <c r="W1594" s="0" t="s">
        <v>138</v>
      </c>
      <c r="X1594" s="14" t="s">
        <v>138</v>
      </c>
      <c r="Y1594" s="0" t="s">
        <v>138</v>
      </c>
      <c r="Z1594" s="14" t="s">
        <v>138</v>
      </c>
      <c r="AA1594" s="0" t="s">
        <v>138</v>
      </c>
      <c r="AB1594" s="14" t="s">
        <v>138</v>
      </c>
      <c r="AD1594" s="0" t="s">
        <v>138</v>
      </c>
      <c r="AF1594" s="0">
        <v>0</v>
      </c>
      <c r="AG1594" s="0">
        <v>0</v>
      </c>
      <c r="AH1594" s="0" t="s">
        <v>140</v>
      </c>
      <c r="AI1594" s="0" t="s">
        <v>138</v>
      </c>
      <c r="AL1594" s="14"/>
      <c r="AN1594" s="14"/>
      <c r="AQ1594" s="0" t="s">
        <v>130</v>
      </c>
      <c r="AR1594" s="0" t="s">
        <v>130</v>
      </c>
      <c r="AS1594" s="0" t="s">
        <v>130</v>
      </c>
      <c r="AT1594" s="0" t="s">
        <v>130</v>
      </c>
      <c r="AU1594" s="0" t="s">
        <v>141</v>
      </c>
      <c r="AV1594" s="0" t="s">
        <v>130</v>
      </c>
      <c r="AW1594" s="0" t="s">
        <v>130</v>
      </c>
      <c r="AX1594" s="0" t="s">
        <v>130</v>
      </c>
      <c r="AY1594" s="0" t="s">
        <v>130</v>
      </c>
      <c r="AZ1594" s="0" t="s">
        <v>141</v>
      </c>
      <c r="BA1594" s="0" t="s">
        <v>130</v>
      </c>
      <c r="BB1594" s="0" t="s">
        <v>130</v>
      </c>
      <c r="BC1594" s="0" t="s">
        <v>130</v>
      </c>
      <c r="BD1594" s="0" t="s">
        <v>130</v>
      </c>
      <c r="BE1594" s="0" t="s">
        <v>130</v>
      </c>
      <c r="BF1594" s="0" t="s">
        <v>130</v>
      </c>
      <c r="BG1594" s="0" t="s">
        <v>130</v>
      </c>
      <c r="BH1594" s="0" t="s">
        <v>130</v>
      </c>
      <c r="BI1594" s="0" t="s">
        <v>130</v>
      </c>
      <c r="BJ1594" s="0" t="s">
        <v>130</v>
      </c>
      <c r="BK1594" s="0" t="s">
        <v>130</v>
      </c>
      <c r="BL1594" s="0" t="s">
        <v>130</v>
      </c>
      <c r="BM1594" s="0" t="s">
        <v>130</v>
      </c>
      <c r="BN1594" s="0" t="s">
        <v>130</v>
      </c>
      <c r="BO1594" s="0" t="s">
        <v>130</v>
      </c>
      <c r="BP1594" s="0" t="s">
        <v>130</v>
      </c>
      <c r="BQ1594" s="0" t="s">
        <v>130</v>
      </c>
      <c r="BR1594" s="0" t="s">
        <v>130</v>
      </c>
      <c r="BS1594" s="0" t="s">
        <v>130</v>
      </c>
      <c r="BT1594" s="0" t="s">
        <v>130</v>
      </c>
      <c r="BU1594" s="0" t="s">
        <v>130</v>
      </c>
      <c r="BV1594" s="0" t="s">
        <v>130</v>
      </c>
      <c r="BW1594" s="0" t="s">
        <v>130</v>
      </c>
      <c r="BX1594" s="0" t="s">
        <v>130</v>
      </c>
      <c r="BY1594" s="0" t="s">
        <v>130</v>
      </c>
      <c r="BZ1594" s="0" t="s">
        <v>130</v>
      </c>
      <c r="CA1594" s="0" t="s">
        <v>130</v>
      </c>
      <c r="CB1594" s="0" t="s">
        <v>130</v>
      </c>
      <c r="CC1594" s="0" t="s">
        <v>130</v>
      </c>
      <c r="CD1594" s="0" t="s">
        <v>130</v>
      </c>
      <c r="CE1594" s="0" t="s">
        <v>130</v>
      </c>
      <c r="CF1594" s="0" t="s">
        <v>130</v>
      </c>
      <c r="CG1594" s="0" t="s">
        <v>130</v>
      </c>
      <c r="CH1594" s="0" t="s">
        <v>130</v>
      </c>
      <c r="CI1594" s="0" t="s">
        <v>130</v>
      </c>
      <c r="CJ1594" s="0" t="s">
        <v>130</v>
      </c>
      <c r="CK1594" s="0" t="s">
        <v>130</v>
      </c>
      <c r="CL1594" s="0" t="s">
        <v>130</v>
      </c>
      <c r="CM1594" s="0" t="s">
        <v>130</v>
      </c>
      <c r="CN1594" s="0" t="s">
        <v>130</v>
      </c>
      <c r="CO1594" s="0" t="s">
        <v>130</v>
      </c>
      <c r="CP1594" s="0" t="s">
        <v>130</v>
      </c>
      <c r="CQ1594" s="0" t="s">
        <v>130</v>
      </c>
      <c r="CR1594" s="0" t="s">
        <v>130</v>
      </c>
      <c r="CS1594" s="0" t="s">
        <v>130</v>
      </c>
      <c r="CT1594" s="0" t="s">
        <v>4593</v>
      </c>
    </row>
    <row r="1595">
      <c r="A1595" s="14">
        <v>70940270</v>
      </c>
      <c r="B1595" s="0" t="s">
        <v>4590</v>
      </c>
      <c r="C1595" s="16">
        <f>HYPERLINK("https://eosportal.federatedhermes.com/companies/Q29tcGFueQppODU0MTY=", "Linde PLC")</f>
      </c>
      <c r="D1595" s="0" t="s">
        <v>25</v>
      </c>
      <c r="E1595" s="0" t="s">
        <v>1527</v>
      </c>
      <c r="F1595" s="16">
        <f>HYPERLINK("https://eosportal.federatedhermes.com/engagements/RW5nYWdlbWVudAppMjg5NzI=", "Sustainability strategy")</f>
      </c>
      <c r="G1595" s="14" t="s">
        <v>4594</v>
      </c>
      <c r="H1595" s="0" t="s">
        <v>141</v>
      </c>
      <c r="I1595" s="14" t="s">
        <v>191</v>
      </c>
      <c r="J1595" s="0" t="s">
        <v>132</v>
      </c>
      <c r="K1595" s="0" t="s">
        <v>133</v>
      </c>
      <c r="L1595" s="0" t="s">
        <v>160</v>
      </c>
      <c r="M1595" s="0" t="s">
        <v>135</v>
      </c>
      <c r="N1595" s="0" t="s">
        <v>136</v>
      </c>
      <c r="O1595" s="0" t="s">
        <v>706</v>
      </c>
      <c r="Q1595" s="0" t="s">
        <v>130</v>
      </c>
      <c r="R1595" s="0" t="s">
        <v>138</v>
      </c>
      <c r="S1595" s="14">
        <v>0</v>
      </c>
      <c r="T1595" s="0" t="s">
        <v>804</v>
      </c>
      <c r="U1595" s="0" t="s">
        <v>138</v>
      </c>
      <c r="V1595" s="14" t="s">
        <v>138</v>
      </c>
      <c r="W1595" s="0" t="s">
        <v>138</v>
      </c>
      <c r="X1595" s="14" t="s">
        <v>138</v>
      </c>
      <c r="Y1595" s="0" t="s">
        <v>138</v>
      </c>
      <c r="Z1595" s="14" t="s">
        <v>138</v>
      </c>
      <c r="AA1595" s="0" t="s">
        <v>138</v>
      </c>
      <c r="AB1595" s="14" t="s">
        <v>138</v>
      </c>
      <c r="AD1595" s="0" t="s">
        <v>138</v>
      </c>
      <c r="AF1595" s="0">
        <v>0</v>
      </c>
      <c r="AG1595" s="0">
        <v>0</v>
      </c>
      <c r="AH1595" s="0" t="s">
        <v>140</v>
      </c>
      <c r="AI1595" s="0" t="s">
        <v>138</v>
      </c>
      <c r="AL1595" s="14"/>
      <c r="AN1595" s="14"/>
      <c r="AQ1595" s="0" t="s">
        <v>130</v>
      </c>
      <c r="AR1595" s="0" t="s">
        <v>130</v>
      </c>
      <c r="AS1595" s="0" t="s">
        <v>130</v>
      </c>
      <c r="AT1595" s="0" t="s">
        <v>130</v>
      </c>
      <c r="AU1595" s="0" t="s">
        <v>130</v>
      </c>
      <c r="AV1595" s="0" t="s">
        <v>130</v>
      </c>
      <c r="AW1595" s="0" t="s">
        <v>130</v>
      </c>
      <c r="AX1595" s="0" t="s">
        <v>130</v>
      </c>
      <c r="AY1595" s="0" t="s">
        <v>130</v>
      </c>
      <c r="AZ1595" s="0" t="s">
        <v>130</v>
      </c>
      <c r="BA1595" s="0" t="s">
        <v>130</v>
      </c>
      <c r="BB1595" s="0" t="s">
        <v>130</v>
      </c>
      <c r="BC1595" s="0" t="s">
        <v>130</v>
      </c>
      <c r="BD1595" s="0" t="s">
        <v>130</v>
      </c>
      <c r="BE1595" s="0" t="s">
        <v>130</v>
      </c>
      <c r="BF1595" s="0" t="s">
        <v>130</v>
      </c>
      <c r="BG1595" s="0" t="s">
        <v>130</v>
      </c>
      <c r="BH1595" s="0" t="s">
        <v>130</v>
      </c>
      <c r="BI1595" s="0" t="s">
        <v>130</v>
      </c>
      <c r="BJ1595" s="0" t="s">
        <v>130</v>
      </c>
      <c r="BK1595" s="0" t="s">
        <v>130</v>
      </c>
      <c r="BL1595" s="0" t="s">
        <v>130</v>
      </c>
      <c r="BM1595" s="0" t="s">
        <v>130</v>
      </c>
      <c r="BN1595" s="0" t="s">
        <v>130</v>
      </c>
      <c r="BO1595" s="0" t="s">
        <v>130</v>
      </c>
      <c r="BP1595" s="0" t="s">
        <v>130</v>
      </c>
      <c r="BQ1595" s="0" t="s">
        <v>130</v>
      </c>
      <c r="BR1595" s="0" t="s">
        <v>130</v>
      </c>
      <c r="BS1595" s="0" t="s">
        <v>130</v>
      </c>
      <c r="BT1595" s="0" t="s">
        <v>130</v>
      </c>
      <c r="BU1595" s="0" t="s">
        <v>130</v>
      </c>
      <c r="BV1595" s="0" t="s">
        <v>130</v>
      </c>
      <c r="BW1595" s="0" t="s">
        <v>130</v>
      </c>
      <c r="BX1595" s="0" t="s">
        <v>130</v>
      </c>
      <c r="BY1595" s="0" t="s">
        <v>130</v>
      </c>
      <c r="BZ1595" s="0" t="s">
        <v>130</v>
      </c>
      <c r="CA1595" s="0" t="s">
        <v>130</v>
      </c>
      <c r="CB1595" s="0" t="s">
        <v>130</v>
      </c>
      <c r="CC1595" s="0" t="s">
        <v>130</v>
      </c>
      <c r="CD1595" s="0" t="s">
        <v>130</v>
      </c>
      <c r="CE1595" s="0" t="s">
        <v>130</v>
      </c>
      <c r="CF1595" s="0" t="s">
        <v>130</v>
      </c>
      <c r="CG1595" s="0" t="s">
        <v>130</v>
      </c>
      <c r="CH1595" s="0" t="s">
        <v>130</v>
      </c>
      <c r="CI1595" s="0" t="s">
        <v>130</v>
      </c>
      <c r="CJ1595" s="0" t="s">
        <v>130</v>
      </c>
      <c r="CK1595" s="0" t="s">
        <v>130</v>
      </c>
      <c r="CL1595" s="0" t="s">
        <v>130</v>
      </c>
      <c r="CM1595" s="0" t="s">
        <v>130</v>
      </c>
      <c r="CN1595" s="0" t="s">
        <v>130</v>
      </c>
      <c r="CO1595" s="0" t="s">
        <v>130</v>
      </c>
      <c r="CP1595" s="0" t="s">
        <v>130</v>
      </c>
      <c r="CQ1595" s="0" t="s">
        <v>130</v>
      </c>
      <c r="CR1595" s="0" t="s">
        <v>130</v>
      </c>
      <c r="CS1595" s="0" t="s">
        <v>130</v>
      </c>
      <c r="CT1595" s="0" t="s">
        <v>4595</v>
      </c>
    </row>
    <row r="1596">
      <c r="A1596" s="14">
        <v>70940270</v>
      </c>
      <c r="B1596" s="0" t="s">
        <v>4590</v>
      </c>
      <c r="C1596" s="16">
        <f>HYPERLINK("https://eosportal.federatedhermes.com/companies/Q29tcGFueQppODU0MTY=", "Linde PLC")</f>
      </c>
      <c r="D1596" s="0" t="s">
        <v>25</v>
      </c>
      <c r="E1596" s="0" t="s">
        <v>4596</v>
      </c>
      <c r="F1596" s="16">
        <f>HYPERLINK("https://eosportal.federatedhermes.com/engagements/RW5nYWdlbWVudAppMjg5NzQ=", "Envisaged merger with Praxair")</f>
      </c>
      <c r="G1596" s="14" t="s">
        <v>4597</v>
      </c>
      <c r="H1596" s="0" t="s">
        <v>141</v>
      </c>
      <c r="I1596" s="14" t="s">
        <v>191</v>
      </c>
      <c r="J1596" s="0" t="s">
        <v>153</v>
      </c>
      <c r="K1596" s="0" t="s">
        <v>243</v>
      </c>
      <c r="L1596" s="0" t="s">
        <v>244</v>
      </c>
      <c r="M1596" s="0" t="s">
        <v>135</v>
      </c>
      <c r="N1596" s="0" t="s">
        <v>136</v>
      </c>
      <c r="O1596" s="0" t="s">
        <v>706</v>
      </c>
      <c r="Q1596" s="0" t="s">
        <v>130</v>
      </c>
      <c r="R1596" s="0" t="s">
        <v>138</v>
      </c>
      <c r="S1596" s="14">
        <v>0</v>
      </c>
      <c r="T1596" s="0" t="s">
        <v>457</v>
      </c>
      <c r="U1596" s="0" t="s">
        <v>138</v>
      </c>
      <c r="V1596" s="14" t="s">
        <v>138</v>
      </c>
      <c r="W1596" s="0" t="s">
        <v>138</v>
      </c>
      <c r="X1596" s="14" t="s">
        <v>138</v>
      </c>
      <c r="Y1596" s="0" t="s">
        <v>138</v>
      </c>
      <c r="Z1596" s="14" t="s">
        <v>138</v>
      </c>
      <c r="AA1596" s="0" t="s">
        <v>138</v>
      </c>
      <c r="AB1596" s="14" t="s">
        <v>138</v>
      </c>
      <c r="AD1596" s="0" t="s">
        <v>138</v>
      </c>
      <c r="AF1596" s="0">
        <v>0</v>
      </c>
      <c r="AG1596" s="0">
        <v>0</v>
      </c>
      <c r="AH1596" s="0" t="s">
        <v>140</v>
      </c>
      <c r="AI1596" s="0" t="s">
        <v>138</v>
      </c>
      <c r="AL1596" s="14"/>
      <c r="AN1596" s="14"/>
      <c r="AQ1596" s="0" t="s">
        <v>130</v>
      </c>
      <c r="AR1596" s="0" t="s">
        <v>130</v>
      </c>
      <c r="AS1596" s="0" t="s">
        <v>130</v>
      </c>
      <c r="AT1596" s="0" t="s">
        <v>130</v>
      </c>
      <c r="AU1596" s="0" t="s">
        <v>130</v>
      </c>
      <c r="AV1596" s="0" t="s">
        <v>130</v>
      </c>
      <c r="AW1596" s="0" t="s">
        <v>130</v>
      </c>
      <c r="AX1596" s="0" t="s">
        <v>130</v>
      </c>
      <c r="AY1596" s="0" t="s">
        <v>130</v>
      </c>
      <c r="AZ1596" s="0" t="s">
        <v>130</v>
      </c>
      <c r="BA1596" s="0" t="s">
        <v>130</v>
      </c>
      <c r="BB1596" s="0" t="s">
        <v>130</v>
      </c>
      <c r="BC1596" s="0" t="s">
        <v>130</v>
      </c>
      <c r="BD1596" s="0" t="s">
        <v>130</v>
      </c>
      <c r="BE1596" s="0" t="s">
        <v>130</v>
      </c>
      <c r="BF1596" s="0" t="s">
        <v>130</v>
      </c>
      <c r="BG1596" s="0" t="s">
        <v>130</v>
      </c>
      <c r="BH1596" s="0" t="s">
        <v>130</v>
      </c>
      <c r="BI1596" s="0" t="s">
        <v>130</v>
      </c>
      <c r="BJ1596" s="0" t="s">
        <v>130</v>
      </c>
      <c r="BK1596" s="0" t="s">
        <v>130</v>
      </c>
      <c r="BL1596" s="0" t="s">
        <v>130</v>
      </c>
      <c r="BM1596" s="0" t="s">
        <v>130</v>
      </c>
      <c r="BN1596" s="0" t="s">
        <v>130</v>
      </c>
      <c r="BO1596" s="0" t="s">
        <v>130</v>
      </c>
      <c r="BP1596" s="0" t="s">
        <v>130</v>
      </c>
      <c r="BQ1596" s="0" t="s">
        <v>130</v>
      </c>
      <c r="BR1596" s="0" t="s">
        <v>130</v>
      </c>
      <c r="BS1596" s="0" t="s">
        <v>130</v>
      </c>
      <c r="BT1596" s="0" t="s">
        <v>130</v>
      </c>
      <c r="BU1596" s="0" t="s">
        <v>130</v>
      </c>
      <c r="BV1596" s="0" t="s">
        <v>130</v>
      </c>
      <c r="BW1596" s="0" t="s">
        <v>130</v>
      </c>
      <c r="BX1596" s="0" t="s">
        <v>130</v>
      </c>
      <c r="BY1596" s="0" t="s">
        <v>130</v>
      </c>
      <c r="BZ1596" s="0" t="s">
        <v>130</v>
      </c>
      <c r="CA1596" s="0" t="s">
        <v>130</v>
      </c>
      <c r="CB1596" s="0" t="s">
        <v>130</v>
      </c>
      <c r="CC1596" s="0" t="s">
        <v>130</v>
      </c>
      <c r="CD1596" s="0" t="s">
        <v>130</v>
      </c>
      <c r="CE1596" s="0" t="s">
        <v>130</v>
      </c>
      <c r="CF1596" s="0" t="s">
        <v>130</v>
      </c>
      <c r="CG1596" s="0" t="s">
        <v>130</v>
      </c>
      <c r="CH1596" s="0" t="s">
        <v>130</v>
      </c>
      <c r="CI1596" s="0" t="s">
        <v>130</v>
      </c>
      <c r="CJ1596" s="0" t="s">
        <v>130</v>
      </c>
      <c r="CK1596" s="0" t="s">
        <v>130</v>
      </c>
      <c r="CL1596" s="0" t="s">
        <v>130</v>
      </c>
      <c r="CM1596" s="0" t="s">
        <v>130</v>
      </c>
      <c r="CN1596" s="0" t="s">
        <v>130</v>
      </c>
      <c r="CO1596" s="0" t="s">
        <v>130</v>
      </c>
      <c r="CP1596" s="0" t="s">
        <v>130</v>
      </c>
      <c r="CQ1596" s="0" t="s">
        <v>130</v>
      </c>
      <c r="CR1596" s="0" t="s">
        <v>130</v>
      </c>
      <c r="CS1596" s="0" t="s">
        <v>130</v>
      </c>
      <c r="CT1596" s="0" t="s">
        <v>4598</v>
      </c>
    </row>
    <row r="1597">
      <c r="A1597" s="14">
        <v>70940270</v>
      </c>
      <c r="B1597" s="0" t="s">
        <v>4590</v>
      </c>
      <c r="C1597" s="16">
        <f>HYPERLINK("https://eosportal.federatedhermes.com/companies/Q29tcGFueQppODU0MTY=", "Linde PLC")</f>
      </c>
      <c r="D1597" s="0" t="s">
        <v>25</v>
      </c>
      <c r="E1597" s="0" t="s">
        <v>4599</v>
      </c>
      <c r="F1597" s="16">
        <f>HYPERLINK("https://eosportal.federatedhermes.com/engagements/RW5nYWdlbWVudAppMjg5NzY=", "Merger with Praxair Inc")</f>
      </c>
      <c r="G1597" s="14" t="s">
        <v>4600</v>
      </c>
      <c r="H1597" s="0" t="s">
        <v>141</v>
      </c>
      <c r="I1597" s="14" t="s">
        <v>191</v>
      </c>
      <c r="J1597" s="0" t="s">
        <v>132</v>
      </c>
      <c r="K1597" s="0" t="s">
        <v>133</v>
      </c>
      <c r="L1597" s="0" t="s">
        <v>160</v>
      </c>
      <c r="M1597" s="0" t="s">
        <v>135</v>
      </c>
      <c r="N1597" s="0" t="s">
        <v>136</v>
      </c>
      <c r="O1597" s="0" t="s">
        <v>706</v>
      </c>
      <c r="Q1597" s="0" t="s">
        <v>130</v>
      </c>
      <c r="R1597" s="0" t="s">
        <v>138</v>
      </c>
      <c r="S1597" s="14">
        <v>0</v>
      </c>
      <c r="T1597" s="0" t="s">
        <v>457</v>
      </c>
      <c r="U1597" s="0" t="s">
        <v>138</v>
      </c>
      <c r="V1597" s="14" t="s">
        <v>138</v>
      </c>
      <c r="W1597" s="0" t="s">
        <v>138</v>
      </c>
      <c r="X1597" s="14" t="s">
        <v>138</v>
      </c>
      <c r="Y1597" s="0" t="s">
        <v>138</v>
      </c>
      <c r="Z1597" s="14" t="s">
        <v>138</v>
      </c>
      <c r="AA1597" s="0" t="s">
        <v>138</v>
      </c>
      <c r="AB1597" s="14" t="s">
        <v>138</v>
      </c>
      <c r="AD1597" s="0" t="s">
        <v>138</v>
      </c>
      <c r="AF1597" s="0">
        <v>0</v>
      </c>
      <c r="AG1597" s="0">
        <v>0</v>
      </c>
      <c r="AH1597" s="0" t="s">
        <v>140</v>
      </c>
      <c r="AI1597" s="0" t="s">
        <v>138</v>
      </c>
      <c r="AL1597" s="14"/>
      <c r="AN1597" s="14"/>
      <c r="AQ1597" s="0" t="s">
        <v>130</v>
      </c>
      <c r="AR1597" s="0" t="s">
        <v>130</v>
      </c>
      <c r="AS1597" s="0" t="s">
        <v>130</v>
      </c>
      <c r="AT1597" s="0" t="s">
        <v>130</v>
      </c>
      <c r="AU1597" s="0" t="s">
        <v>130</v>
      </c>
      <c r="AV1597" s="0" t="s">
        <v>130</v>
      </c>
      <c r="AW1597" s="0" t="s">
        <v>130</v>
      </c>
      <c r="AX1597" s="0" t="s">
        <v>130</v>
      </c>
      <c r="AY1597" s="0" t="s">
        <v>130</v>
      </c>
      <c r="AZ1597" s="0" t="s">
        <v>130</v>
      </c>
      <c r="BA1597" s="0" t="s">
        <v>130</v>
      </c>
      <c r="BB1597" s="0" t="s">
        <v>130</v>
      </c>
      <c r="BC1597" s="0" t="s">
        <v>130</v>
      </c>
      <c r="BD1597" s="0" t="s">
        <v>130</v>
      </c>
      <c r="BE1597" s="0" t="s">
        <v>130</v>
      </c>
      <c r="BF1597" s="0" t="s">
        <v>130</v>
      </c>
      <c r="BG1597" s="0" t="s">
        <v>130</v>
      </c>
      <c r="BH1597" s="0" t="s">
        <v>130</v>
      </c>
      <c r="BI1597" s="0" t="s">
        <v>130</v>
      </c>
      <c r="BJ1597" s="0" t="s">
        <v>130</v>
      </c>
      <c r="BK1597" s="0" t="s">
        <v>130</v>
      </c>
      <c r="BL1597" s="0" t="s">
        <v>130</v>
      </c>
      <c r="BM1597" s="0" t="s">
        <v>130</v>
      </c>
      <c r="BN1597" s="0" t="s">
        <v>130</v>
      </c>
      <c r="BO1597" s="0" t="s">
        <v>130</v>
      </c>
      <c r="BP1597" s="0" t="s">
        <v>130</v>
      </c>
      <c r="BQ1597" s="0" t="s">
        <v>130</v>
      </c>
      <c r="BR1597" s="0" t="s">
        <v>130</v>
      </c>
      <c r="BS1597" s="0" t="s">
        <v>130</v>
      </c>
      <c r="BT1597" s="0" t="s">
        <v>130</v>
      </c>
      <c r="BU1597" s="0" t="s">
        <v>130</v>
      </c>
      <c r="BV1597" s="0" t="s">
        <v>130</v>
      </c>
      <c r="BW1597" s="0" t="s">
        <v>130</v>
      </c>
      <c r="BX1597" s="0" t="s">
        <v>130</v>
      </c>
      <c r="BY1597" s="0" t="s">
        <v>130</v>
      </c>
      <c r="BZ1597" s="0" t="s">
        <v>130</v>
      </c>
      <c r="CA1597" s="0" t="s">
        <v>130</v>
      </c>
      <c r="CB1597" s="0" t="s">
        <v>130</v>
      </c>
      <c r="CC1597" s="0" t="s">
        <v>130</v>
      </c>
      <c r="CD1597" s="0" t="s">
        <v>130</v>
      </c>
      <c r="CE1597" s="0" t="s">
        <v>130</v>
      </c>
      <c r="CF1597" s="0" t="s">
        <v>130</v>
      </c>
      <c r="CG1597" s="0" t="s">
        <v>130</v>
      </c>
      <c r="CH1597" s="0" t="s">
        <v>130</v>
      </c>
      <c r="CI1597" s="0" t="s">
        <v>130</v>
      </c>
      <c r="CJ1597" s="0" t="s">
        <v>130</v>
      </c>
      <c r="CK1597" s="0" t="s">
        <v>130</v>
      </c>
      <c r="CL1597" s="0" t="s">
        <v>130</v>
      </c>
      <c r="CM1597" s="0" t="s">
        <v>130</v>
      </c>
      <c r="CN1597" s="0" t="s">
        <v>130</v>
      </c>
      <c r="CO1597" s="0" t="s">
        <v>130</v>
      </c>
      <c r="CP1597" s="0" t="s">
        <v>130</v>
      </c>
      <c r="CQ1597" s="0" t="s">
        <v>130</v>
      </c>
      <c r="CR1597" s="0" t="s">
        <v>130</v>
      </c>
      <c r="CS1597" s="0" t="s">
        <v>130</v>
      </c>
      <c r="CT1597" s="0" t="s">
        <v>4601</v>
      </c>
    </row>
    <row r="1598">
      <c r="A1598" s="14">
        <v>70940270</v>
      </c>
      <c r="B1598" s="0" t="s">
        <v>4590</v>
      </c>
      <c r="C1598" s="16">
        <f>HYPERLINK("https://eosportal.federatedhermes.com/companies/Q29tcGFueQppODU0MTY=", "Linde PLC")</f>
      </c>
      <c r="D1598" s="0" t="s">
        <v>23</v>
      </c>
      <c r="E1598" s="0" t="s">
        <v>4602</v>
      </c>
      <c r="F1598" s="16">
        <f>HYPERLINK("https://eosportal.federatedhermes.com/engagements/RW5nYWdlbWVudAppMjg5Nzg=", "Talent management strategy focused on Senior Management")</f>
      </c>
      <c r="G1598" s="14" t="s">
        <v>4603</v>
      </c>
      <c r="H1598" s="0" t="s">
        <v>141</v>
      </c>
      <c r="I1598" s="14" t="s">
        <v>191</v>
      </c>
      <c r="J1598" s="0" t="s">
        <v>153</v>
      </c>
      <c r="K1598" s="0" t="s">
        <v>154</v>
      </c>
      <c r="L1598" s="0" t="s">
        <v>268</v>
      </c>
      <c r="M1598" s="0" t="s">
        <v>135</v>
      </c>
      <c r="N1598" s="0" t="s">
        <v>136</v>
      </c>
      <c r="O1598" s="0" t="s">
        <v>706</v>
      </c>
      <c r="Q1598" s="0" t="s">
        <v>141</v>
      </c>
      <c r="R1598" s="0" t="s">
        <v>141</v>
      </c>
      <c r="S1598" s="14">
        <v>1</v>
      </c>
      <c r="T1598" s="0" t="s">
        <v>327</v>
      </c>
      <c r="U1598" s="0" t="s">
        <v>221</v>
      </c>
      <c r="V1598" s="14" t="s">
        <v>327</v>
      </c>
      <c r="W1598" s="0" t="s">
        <v>221</v>
      </c>
      <c r="X1598" s="14" t="s">
        <v>327</v>
      </c>
      <c r="Y1598" s="0" t="s">
        <v>221</v>
      </c>
      <c r="Z1598" s="14" t="s">
        <v>4412</v>
      </c>
      <c r="AA1598" s="0" t="s">
        <v>221</v>
      </c>
      <c r="AB1598" s="14" t="s">
        <v>361</v>
      </c>
      <c r="AC1598" s="0" t="s">
        <v>20</v>
      </c>
      <c r="AD1598" s="0" t="s">
        <v>362</v>
      </c>
      <c r="AE1598" s="0" t="s">
        <v>363</v>
      </c>
      <c r="AF1598" s="0">
        <v>1</v>
      </c>
      <c r="AG1598" s="0">
        <v>0</v>
      </c>
      <c r="AH1598" s="0" t="s">
        <v>140</v>
      </c>
      <c r="AI1598" s="0" t="s">
        <v>221</v>
      </c>
      <c r="AJ1598" s="0" t="s">
        <v>577</v>
      </c>
      <c r="AK1598" s="0" t="s">
        <v>2290</v>
      </c>
      <c r="AL1598" s="14"/>
      <c r="AM1598" s="0" t="s">
        <v>580</v>
      </c>
      <c r="AN1598" s="14"/>
      <c r="AQ1598" s="0" t="s">
        <v>130</v>
      </c>
      <c r="AR1598" s="0" t="s">
        <v>130</v>
      </c>
      <c r="AS1598" s="0" t="s">
        <v>130</v>
      </c>
      <c r="AT1598" s="0" t="s">
        <v>130</v>
      </c>
      <c r="AU1598" s="0" t="s">
        <v>141</v>
      </c>
      <c r="AV1598" s="0" t="s">
        <v>130</v>
      </c>
      <c r="AW1598" s="0" t="s">
        <v>130</v>
      </c>
      <c r="AX1598" s="0" t="s">
        <v>130</v>
      </c>
      <c r="AY1598" s="0" t="s">
        <v>130</v>
      </c>
      <c r="AZ1598" s="0" t="s">
        <v>130</v>
      </c>
      <c r="BA1598" s="0" t="s">
        <v>130</v>
      </c>
      <c r="BB1598" s="0" t="s">
        <v>130</v>
      </c>
      <c r="BC1598" s="0" t="s">
        <v>130</v>
      </c>
      <c r="BD1598" s="0" t="s">
        <v>130</v>
      </c>
      <c r="BE1598" s="0" t="s">
        <v>130</v>
      </c>
      <c r="BF1598" s="0" t="s">
        <v>130</v>
      </c>
      <c r="BG1598" s="0" t="s">
        <v>130</v>
      </c>
      <c r="BH1598" s="0" t="s">
        <v>130</v>
      </c>
      <c r="BI1598" s="0" t="s">
        <v>130</v>
      </c>
      <c r="BJ1598" s="0" t="s">
        <v>130</v>
      </c>
      <c r="BK1598" s="0" t="s">
        <v>130</v>
      </c>
      <c r="BL1598" s="0" t="s">
        <v>130</v>
      </c>
      <c r="BM1598" s="0" t="s">
        <v>130</v>
      </c>
      <c r="BN1598" s="0" t="s">
        <v>130</v>
      </c>
      <c r="BO1598" s="0" t="s">
        <v>130</v>
      </c>
      <c r="BP1598" s="0" t="s">
        <v>130</v>
      </c>
      <c r="BQ1598" s="0" t="s">
        <v>130</v>
      </c>
      <c r="BR1598" s="0" t="s">
        <v>130</v>
      </c>
      <c r="BS1598" s="0" t="s">
        <v>130</v>
      </c>
      <c r="BT1598" s="0" t="s">
        <v>130</v>
      </c>
      <c r="BU1598" s="0" t="s">
        <v>130</v>
      </c>
      <c r="BV1598" s="0" t="s">
        <v>130</v>
      </c>
      <c r="BW1598" s="0" t="s">
        <v>130</v>
      </c>
      <c r="BX1598" s="0" t="s">
        <v>130</v>
      </c>
      <c r="BY1598" s="0" t="s">
        <v>130</v>
      </c>
      <c r="BZ1598" s="0" t="s">
        <v>130</v>
      </c>
      <c r="CA1598" s="0" t="s">
        <v>130</v>
      </c>
      <c r="CB1598" s="0" t="s">
        <v>130</v>
      </c>
      <c r="CC1598" s="0" t="s">
        <v>130</v>
      </c>
      <c r="CD1598" s="0" t="s">
        <v>130</v>
      </c>
      <c r="CE1598" s="0" t="s">
        <v>130</v>
      </c>
      <c r="CF1598" s="0" t="s">
        <v>130</v>
      </c>
      <c r="CG1598" s="0" t="s">
        <v>130</v>
      </c>
      <c r="CH1598" s="0" t="s">
        <v>130</v>
      </c>
      <c r="CI1598" s="0" t="s">
        <v>130</v>
      </c>
      <c r="CJ1598" s="0" t="s">
        <v>130</v>
      </c>
      <c r="CK1598" s="0" t="s">
        <v>141</v>
      </c>
      <c r="CL1598" s="0" t="s">
        <v>130</v>
      </c>
      <c r="CM1598" s="0" t="s">
        <v>130</v>
      </c>
      <c r="CN1598" s="0" t="s">
        <v>130</v>
      </c>
      <c r="CO1598" s="0" t="s">
        <v>130</v>
      </c>
      <c r="CP1598" s="0" t="s">
        <v>130</v>
      </c>
      <c r="CQ1598" s="0" t="s">
        <v>130</v>
      </c>
      <c r="CR1598" s="0" t="s">
        <v>130</v>
      </c>
      <c r="CS1598" s="0" t="s">
        <v>130</v>
      </c>
      <c r="CT1598" s="0" t="s">
        <v>4604</v>
      </c>
    </row>
    <row r="1599">
      <c r="A1599" s="14">
        <v>70940270</v>
      </c>
      <c r="B1599" s="0" t="s">
        <v>4590</v>
      </c>
      <c r="C1599" s="16">
        <f>HYPERLINK("https://eosportal.federatedhermes.com/companies/Q29tcGFueQppODU0MTY=", "Linde PLC")</f>
      </c>
      <c r="D1599" s="0" t="s">
        <v>25</v>
      </c>
      <c r="E1599" s="0" t="s">
        <v>4605</v>
      </c>
      <c r="F1599" s="16">
        <f>HYPERLINK("https://eosportal.federatedhermes.com/engagements/RW5nYWdlbWVudAppMjg5Nzk=", "Remuneration of CEO")</f>
      </c>
      <c r="G1599" s="14" t="s">
        <v>4606</v>
      </c>
      <c r="H1599" s="0" t="s">
        <v>141</v>
      </c>
      <c r="I1599" s="14" t="s">
        <v>191</v>
      </c>
      <c r="J1599" s="0" t="s">
        <v>145</v>
      </c>
      <c r="K1599" s="0" t="s">
        <v>146</v>
      </c>
      <c r="L1599" s="0" t="s">
        <v>147</v>
      </c>
      <c r="M1599" s="0" t="s">
        <v>135</v>
      </c>
      <c r="N1599" s="0" t="s">
        <v>136</v>
      </c>
      <c r="O1599" s="0" t="s">
        <v>706</v>
      </c>
      <c r="Q1599" s="0" t="s">
        <v>130</v>
      </c>
      <c r="R1599" s="0" t="s">
        <v>138</v>
      </c>
      <c r="S1599" s="14">
        <v>0</v>
      </c>
      <c r="T1599" s="0" t="s">
        <v>435</v>
      </c>
      <c r="U1599" s="0" t="s">
        <v>138</v>
      </c>
      <c r="V1599" s="14" t="s">
        <v>138</v>
      </c>
      <c r="W1599" s="0" t="s">
        <v>138</v>
      </c>
      <c r="X1599" s="14" t="s">
        <v>138</v>
      </c>
      <c r="Y1599" s="0" t="s">
        <v>138</v>
      </c>
      <c r="Z1599" s="14" t="s">
        <v>138</v>
      </c>
      <c r="AA1599" s="0" t="s">
        <v>138</v>
      </c>
      <c r="AB1599" s="14" t="s">
        <v>138</v>
      </c>
      <c r="AD1599" s="0" t="s">
        <v>138</v>
      </c>
      <c r="AF1599" s="0">
        <v>0</v>
      </c>
      <c r="AG1599" s="0">
        <v>0</v>
      </c>
      <c r="AH1599" s="0" t="s">
        <v>140</v>
      </c>
      <c r="AI1599" s="0" t="s">
        <v>138</v>
      </c>
      <c r="AL1599" s="14"/>
      <c r="AN1599" s="14"/>
      <c r="AQ1599" s="0" t="s">
        <v>130</v>
      </c>
      <c r="AR1599" s="0" t="s">
        <v>130</v>
      </c>
      <c r="AS1599" s="0" t="s">
        <v>130</v>
      </c>
      <c r="AT1599" s="0" t="s">
        <v>130</v>
      </c>
      <c r="AU1599" s="0" t="s">
        <v>130</v>
      </c>
      <c r="AV1599" s="0" t="s">
        <v>130</v>
      </c>
      <c r="AW1599" s="0" t="s">
        <v>130</v>
      </c>
      <c r="AX1599" s="0" t="s">
        <v>130</v>
      </c>
      <c r="AY1599" s="0" t="s">
        <v>130</v>
      </c>
      <c r="AZ1599" s="0" t="s">
        <v>130</v>
      </c>
      <c r="BA1599" s="0" t="s">
        <v>130</v>
      </c>
      <c r="BB1599" s="0" t="s">
        <v>130</v>
      </c>
      <c r="BC1599" s="0" t="s">
        <v>130</v>
      </c>
      <c r="BD1599" s="0" t="s">
        <v>130</v>
      </c>
      <c r="BE1599" s="0" t="s">
        <v>130</v>
      </c>
      <c r="BF1599" s="0" t="s">
        <v>130</v>
      </c>
      <c r="BG1599" s="0" t="s">
        <v>130</v>
      </c>
      <c r="BH1599" s="0" t="s">
        <v>130</v>
      </c>
      <c r="BI1599" s="0" t="s">
        <v>130</v>
      </c>
      <c r="BJ1599" s="0" t="s">
        <v>130</v>
      </c>
      <c r="BK1599" s="0" t="s">
        <v>130</v>
      </c>
      <c r="BL1599" s="0" t="s">
        <v>130</v>
      </c>
      <c r="BM1599" s="0" t="s">
        <v>130</v>
      </c>
      <c r="BN1599" s="0" t="s">
        <v>130</v>
      </c>
      <c r="BO1599" s="0" t="s">
        <v>130</v>
      </c>
      <c r="BP1599" s="0" t="s">
        <v>130</v>
      </c>
      <c r="BQ1599" s="0" t="s">
        <v>130</v>
      </c>
      <c r="BR1599" s="0" t="s">
        <v>130</v>
      </c>
      <c r="BS1599" s="0" t="s">
        <v>130</v>
      </c>
      <c r="BT1599" s="0" t="s">
        <v>130</v>
      </c>
      <c r="BU1599" s="0" t="s">
        <v>130</v>
      </c>
      <c r="BV1599" s="0" t="s">
        <v>130</v>
      </c>
      <c r="BW1599" s="0" t="s">
        <v>130</v>
      </c>
      <c r="BX1599" s="0" t="s">
        <v>130</v>
      </c>
      <c r="BY1599" s="0" t="s">
        <v>130</v>
      </c>
      <c r="BZ1599" s="0" t="s">
        <v>130</v>
      </c>
      <c r="CA1599" s="0" t="s">
        <v>130</v>
      </c>
      <c r="CB1599" s="0" t="s">
        <v>130</v>
      </c>
      <c r="CC1599" s="0" t="s">
        <v>130</v>
      </c>
      <c r="CD1599" s="0" t="s">
        <v>130</v>
      </c>
      <c r="CE1599" s="0" t="s">
        <v>130</v>
      </c>
      <c r="CF1599" s="0" t="s">
        <v>130</v>
      </c>
      <c r="CG1599" s="0" t="s">
        <v>130</v>
      </c>
      <c r="CH1599" s="0" t="s">
        <v>130</v>
      </c>
      <c r="CI1599" s="0" t="s">
        <v>130</v>
      </c>
      <c r="CJ1599" s="0" t="s">
        <v>130</v>
      </c>
      <c r="CK1599" s="0" t="s">
        <v>130</v>
      </c>
      <c r="CL1599" s="0" t="s">
        <v>130</v>
      </c>
      <c r="CM1599" s="0" t="s">
        <v>130</v>
      </c>
      <c r="CN1599" s="0" t="s">
        <v>130</v>
      </c>
      <c r="CO1599" s="0" t="s">
        <v>130</v>
      </c>
      <c r="CP1599" s="0" t="s">
        <v>130</v>
      </c>
      <c r="CQ1599" s="0" t="s">
        <v>130</v>
      </c>
      <c r="CR1599" s="0" t="s">
        <v>130</v>
      </c>
      <c r="CS1599" s="0" t="s">
        <v>130</v>
      </c>
      <c r="CT1599" s="0" t="s">
        <v>4607</v>
      </c>
    </row>
    <row r="1600">
      <c r="A1600" s="14">
        <v>70940270</v>
      </c>
      <c r="B1600" s="0" t="s">
        <v>4590</v>
      </c>
      <c r="C1600" s="16">
        <f>HYPERLINK("https://eosportal.federatedhermes.com/companies/Q29tcGFueQppODU0MTY=", "Linde PLC")</f>
      </c>
      <c r="D1600" s="0" t="s">
        <v>25</v>
      </c>
      <c r="E1600" s="0" t="s">
        <v>4608</v>
      </c>
      <c r="F1600" s="16">
        <f>HYPERLINK("https://eosportal.federatedhermes.com/engagements/RW5nYWdlbWVudAppMjg5ODA=", "Hydrogen Strategy")</f>
      </c>
      <c r="G1600" s="14" t="s">
        <v>4609</v>
      </c>
      <c r="H1600" s="0" t="s">
        <v>141</v>
      </c>
      <c r="I1600" s="14" t="s">
        <v>191</v>
      </c>
      <c r="J1600" s="0" t="s">
        <v>197</v>
      </c>
      <c r="K1600" s="0" t="s">
        <v>198</v>
      </c>
      <c r="L1600" s="0" t="s">
        <v>220</v>
      </c>
      <c r="M1600" s="0" t="s">
        <v>135</v>
      </c>
      <c r="N1600" s="0" t="s">
        <v>136</v>
      </c>
      <c r="O1600" s="0" t="s">
        <v>706</v>
      </c>
      <c r="Q1600" s="0" t="s">
        <v>130</v>
      </c>
      <c r="R1600" s="0" t="s">
        <v>138</v>
      </c>
      <c r="S1600" s="14">
        <v>0</v>
      </c>
      <c r="T1600" s="0" t="s">
        <v>156</v>
      </c>
      <c r="U1600" s="0" t="s">
        <v>138</v>
      </c>
      <c r="V1600" s="14" t="s">
        <v>138</v>
      </c>
      <c r="W1600" s="0" t="s">
        <v>138</v>
      </c>
      <c r="X1600" s="14" t="s">
        <v>138</v>
      </c>
      <c r="Y1600" s="0" t="s">
        <v>138</v>
      </c>
      <c r="Z1600" s="14" t="s">
        <v>138</v>
      </c>
      <c r="AA1600" s="0" t="s">
        <v>138</v>
      </c>
      <c r="AB1600" s="14" t="s">
        <v>138</v>
      </c>
      <c r="AD1600" s="0" t="s">
        <v>138</v>
      </c>
      <c r="AF1600" s="0">
        <v>0</v>
      </c>
      <c r="AG1600" s="0">
        <v>0</v>
      </c>
      <c r="AH1600" s="0" t="s">
        <v>140</v>
      </c>
      <c r="AI1600" s="0" t="s">
        <v>138</v>
      </c>
      <c r="AL1600" s="14"/>
      <c r="AN1600" s="14"/>
      <c r="AQ1600" s="0" t="s">
        <v>130</v>
      </c>
      <c r="AR1600" s="0" t="s">
        <v>130</v>
      </c>
      <c r="AS1600" s="0" t="s">
        <v>130</v>
      </c>
      <c r="AT1600" s="0" t="s">
        <v>130</v>
      </c>
      <c r="AU1600" s="0" t="s">
        <v>130</v>
      </c>
      <c r="AV1600" s="0" t="s">
        <v>130</v>
      </c>
      <c r="AW1600" s="0" t="s">
        <v>141</v>
      </c>
      <c r="AX1600" s="0" t="s">
        <v>130</v>
      </c>
      <c r="AY1600" s="0" t="s">
        <v>141</v>
      </c>
      <c r="AZ1600" s="0" t="s">
        <v>130</v>
      </c>
      <c r="BA1600" s="0" t="s">
        <v>130</v>
      </c>
      <c r="BB1600" s="0" t="s">
        <v>130</v>
      </c>
      <c r="BC1600" s="0" t="s">
        <v>141</v>
      </c>
      <c r="BD1600" s="0" t="s">
        <v>130</v>
      </c>
      <c r="BE1600" s="0" t="s">
        <v>130</v>
      </c>
      <c r="BF1600" s="0" t="s">
        <v>130</v>
      </c>
      <c r="BG1600" s="0" t="s">
        <v>130</v>
      </c>
      <c r="BH1600" s="0" t="s">
        <v>130</v>
      </c>
      <c r="BI1600" s="0" t="s">
        <v>130</v>
      </c>
      <c r="BJ1600" s="0" t="s">
        <v>130</v>
      </c>
      <c r="BK1600" s="0" t="s">
        <v>130</v>
      </c>
      <c r="BL1600" s="0" t="s">
        <v>130</v>
      </c>
      <c r="BM1600" s="0" t="s">
        <v>130</v>
      </c>
      <c r="BN1600" s="0" t="s">
        <v>130</v>
      </c>
      <c r="BO1600" s="0" t="s">
        <v>130</v>
      </c>
      <c r="BP1600" s="0" t="s">
        <v>130</v>
      </c>
      <c r="BQ1600" s="0" t="s">
        <v>130</v>
      </c>
      <c r="BR1600" s="0" t="s">
        <v>130</v>
      </c>
      <c r="BS1600" s="0" t="s">
        <v>130</v>
      </c>
      <c r="BT1600" s="0" t="s">
        <v>130</v>
      </c>
      <c r="BU1600" s="0" t="s">
        <v>130</v>
      </c>
      <c r="BV1600" s="0" t="s">
        <v>130</v>
      </c>
      <c r="BW1600" s="0" t="s">
        <v>130</v>
      </c>
      <c r="BX1600" s="0" t="s">
        <v>130</v>
      </c>
      <c r="BY1600" s="0" t="s">
        <v>130</v>
      </c>
      <c r="BZ1600" s="0" t="s">
        <v>130</v>
      </c>
      <c r="CA1600" s="0" t="s">
        <v>130</v>
      </c>
      <c r="CB1600" s="0" t="s">
        <v>130</v>
      </c>
      <c r="CC1600" s="0" t="s">
        <v>130</v>
      </c>
      <c r="CD1600" s="0" t="s">
        <v>130</v>
      </c>
      <c r="CE1600" s="0" t="s">
        <v>130</v>
      </c>
      <c r="CF1600" s="0" t="s">
        <v>130</v>
      </c>
      <c r="CG1600" s="0" t="s">
        <v>130</v>
      </c>
      <c r="CH1600" s="0" t="s">
        <v>130</v>
      </c>
      <c r="CI1600" s="0" t="s">
        <v>130</v>
      </c>
      <c r="CJ1600" s="0" t="s">
        <v>130</v>
      </c>
      <c r="CK1600" s="0" t="s">
        <v>130</v>
      </c>
      <c r="CL1600" s="0" t="s">
        <v>130</v>
      </c>
      <c r="CM1600" s="0" t="s">
        <v>130</v>
      </c>
      <c r="CN1600" s="0" t="s">
        <v>130</v>
      </c>
      <c r="CO1600" s="0" t="s">
        <v>130</v>
      </c>
      <c r="CP1600" s="0" t="s">
        <v>130</v>
      </c>
      <c r="CQ1600" s="0" t="s">
        <v>130</v>
      </c>
      <c r="CR1600" s="0" t="s">
        <v>130</v>
      </c>
      <c r="CS1600" s="0" t="s">
        <v>130</v>
      </c>
      <c r="CT1600" s="0" t="s">
        <v>4610</v>
      </c>
    </row>
    <row r="1601">
      <c r="A1601" s="14">
        <v>70940270</v>
      </c>
      <c r="B1601" s="0" t="s">
        <v>4590</v>
      </c>
      <c r="C1601" s="16">
        <f>HYPERLINK("https://eosportal.federatedhermes.com/companies/Q29tcGFueQppODU0MTY=", "Linde PLC")</f>
      </c>
      <c r="D1601" s="0" t="s">
        <v>25</v>
      </c>
      <c r="E1601" s="0" t="s">
        <v>550</v>
      </c>
      <c r="F1601" s="16">
        <f>HYPERLINK("https://eosportal.federatedhermes.com/engagements/RW5nYWdlbWVudAppMjg5ODI=", "Independent chair")</f>
      </c>
      <c r="G1601" s="14" t="s">
        <v>4611</v>
      </c>
      <c r="H1601" s="0" t="s">
        <v>141</v>
      </c>
      <c r="I1601" s="14" t="s">
        <v>191</v>
      </c>
      <c r="J1601" s="0" t="s">
        <v>145</v>
      </c>
      <c r="K1601" s="0" t="s">
        <v>164</v>
      </c>
      <c r="L1601" s="0" t="s">
        <v>165</v>
      </c>
      <c r="M1601" s="0" t="s">
        <v>135</v>
      </c>
      <c r="N1601" s="0" t="s">
        <v>136</v>
      </c>
      <c r="O1601" s="0" t="s">
        <v>706</v>
      </c>
      <c r="Q1601" s="0" t="s">
        <v>130</v>
      </c>
      <c r="R1601" s="0" t="s">
        <v>138</v>
      </c>
      <c r="S1601" s="14">
        <v>0</v>
      </c>
      <c r="T1601" s="0" t="s">
        <v>435</v>
      </c>
      <c r="U1601" s="0" t="s">
        <v>138</v>
      </c>
      <c r="V1601" s="14" t="s">
        <v>138</v>
      </c>
      <c r="W1601" s="0" t="s">
        <v>138</v>
      </c>
      <c r="X1601" s="14" t="s">
        <v>138</v>
      </c>
      <c r="Y1601" s="0" t="s">
        <v>138</v>
      </c>
      <c r="Z1601" s="14" t="s">
        <v>138</v>
      </c>
      <c r="AA1601" s="0" t="s">
        <v>138</v>
      </c>
      <c r="AB1601" s="14" t="s">
        <v>138</v>
      </c>
      <c r="AD1601" s="0" t="s">
        <v>138</v>
      </c>
      <c r="AF1601" s="0">
        <v>0</v>
      </c>
      <c r="AG1601" s="0">
        <v>0</v>
      </c>
      <c r="AH1601" s="0" t="s">
        <v>140</v>
      </c>
      <c r="AI1601" s="0" t="s">
        <v>138</v>
      </c>
      <c r="AL1601" s="14"/>
      <c r="AN1601" s="14"/>
      <c r="AQ1601" s="0" t="s">
        <v>130</v>
      </c>
      <c r="AR1601" s="0" t="s">
        <v>130</v>
      </c>
      <c r="AS1601" s="0" t="s">
        <v>130</v>
      </c>
      <c r="AT1601" s="0" t="s">
        <v>130</v>
      </c>
      <c r="AU1601" s="0" t="s">
        <v>130</v>
      </c>
      <c r="AV1601" s="0" t="s">
        <v>130</v>
      </c>
      <c r="AW1601" s="0" t="s">
        <v>130</v>
      </c>
      <c r="AX1601" s="0" t="s">
        <v>130</v>
      </c>
      <c r="AY1601" s="0" t="s">
        <v>130</v>
      </c>
      <c r="AZ1601" s="0" t="s">
        <v>130</v>
      </c>
      <c r="BA1601" s="0" t="s">
        <v>130</v>
      </c>
      <c r="BB1601" s="0" t="s">
        <v>130</v>
      </c>
      <c r="BC1601" s="0" t="s">
        <v>130</v>
      </c>
      <c r="BD1601" s="0" t="s">
        <v>130</v>
      </c>
      <c r="BE1601" s="0" t="s">
        <v>130</v>
      </c>
      <c r="BF1601" s="0" t="s">
        <v>130</v>
      </c>
      <c r="BG1601" s="0" t="s">
        <v>130</v>
      </c>
      <c r="BH1601" s="0" t="s">
        <v>130</v>
      </c>
      <c r="BI1601" s="0" t="s">
        <v>130</v>
      </c>
      <c r="BJ1601" s="0" t="s">
        <v>130</v>
      </c>
      <c r="BK1601" s="0" t="s">
        <v>130</v>
      </c>
      <c r="BL1601" s="0" t="s">
        <v>130</v>
      </c>
      <c r="BM1601" s="0" t="s">
        <v>130</v>
      </c>
      <c r="BN1601" s="0" t="s">
        <v>130</v>
      </c>
      <c r="BO1601" s="0" t="s">
        <v>130</v>
      </c>
      <c r="BP1601" s="0" t="s">
        <v>130</v>
      </c>
      <c r="BQ1601" s="0" t="s">
        <v>130</v>
      </c>
      <c r="BR1601" s="0" t="s">
        <v>130</v>
      </c>
      <c r="BS1601" s="0" t="s">
        <v>130</v>
      </c>
      <c r="BT1601" s="0" t="s">
        <v>130</v>
      </c>
      <c r="BU1601" s="0" t="s">
        <v>130</v>
      </c>
      <c r="BV1601" s="0" t="s">
        <v>130</v>
      </c>
      <c r="BW1601" s="0" t="s">
        <v>130</v>
      </c>
      <c r="BX1601" s="0" t="s">
        <v>130</v>
      </c>
      <c r="BY1601" s="0" t="s">
        <v>130</v>
      </c>
      <c r="BZ1601" s="0" t="s">
        <v>130</v>
      </c>
      <c r="CA1601" s="0" t="s">
        <v>130</v>
      </c>
      <c r="CB1601" s="0" t="s">
        <v>130</v>
      </c>
      <c r="CC1601" s="0" t="s">
        <v>130</v>
      </c>
      <c r="CD1601" s="0" t="s">
        <v>130</v>
      </c>
      <c r="CE1601" s="0" t="s">
        <v>130</v>
      </c>
      <c r="CF1601" s="0" t="s">
        <v>130</v>
      </c>
      <c r="CG1601" s="0" t="s">
        <v>130</v>
      </c>
      <c r="CH1601" s="0" t="s">
        <v>130</v>
      </c>
      <c r="CI1601" s="0" t="s">
        <v>130</v>
      </c>
      <c r="CJ1601" s="0" t="s">
        <v>130</v>
      </c>
      <c r="CK1601" s="0" t="s">
        <v>130</v>
      </c>
      <c r="CL1601" s="0" t="s">
        <v>130</v>
      </c>
      <c r="CM1601" s="0" t="s">
        <v>130</v>
      </c>
      <c r="CN1601" s="0" t="s">
        <v>130</v>
      </c>
      <c r="CO1601" s="0" t="s">
        <v>130</v>
      </c>
      <c r="CP1601" s="0" t="s">
        <v>130</v>
      </c>
      <c r="CQ1601" s="0" t="s">
        <v>130</v>
      </c>
      <c r="CR1601" s="0" t="s">
        <v>130</v>
      </c>
      <c r="CS1601" s="0" t="s">
        <v>130</v>
      </c>
      <c r="CT1601" s="0" t="s">
        <v>4612</v>
      </c>
    </row>
    <row r="1602">
      <c r="A1602" s="14">
        <v>70940270</v>
      </c>
      <c r="B1602" s="0" t="s">
        <v>4590</v>
      </c>
      <c r="C1602" s="16">
        <f>HYPERLINK("https://eosportal.federatedhermes.com/companies/Q29tcGFueQppODU0MTY=", "Linde PLC")</f>
      </c>
      <c r="D1602" s="0" t="s">
        <v>25</v>
      </c>
      <c r="E1602" s="0" t="s">
        <v>3060</v>
      </c>
      <c r="F1602" s="16">
        <f>HYPERLINK("https://eosportal.federatedhermes.com/engagements/RW5nYWdlbWVudAppMjg5ODM=", "Board composition and succession")</f>
      </c>
      <c r="G1602" s="14" t="s">
        <v>4613</v>
      </c>
      <c r="H1602" s="0" t="s">
        <v>141</v>
      </c>
      <c r="I1602" s="14" t="s">
        <v>191</v>
      </c>
      <c r="J1602" s="0" t="s">
        <v>145</v>
      </c>
      <c r="K1602" s="0" t="s">
        <v>164</v>
      </c>
      <c r="L1602" s="0" t="s">
        <v>165</v>
      </c>
      <c r="M1602" s="0" t="s">
        <v>135</v>
      </c>
      <c r="N1602" s="0" t="s">
        <v>136</v>
      </c>
      <c r="O1602" s="0" t="s">
        <v>706</v>
      </c>
      <c r="Q1602" s="0" t="s">
        <v>130</v>
      </c>
      <c r="R1602" s="0" t="s">
        <v>138</v>
      </c>
      <c r="S1602" s="14">
        <v>0</v>
      </c>
      <c r="T1602" s="0" t="s">
        <v>245</v>
      </c>
      <c r="U1602" s="0" t="s">
        <v>138</v>
      </c>
      <c r="V1602" s="14" t="s">
        <v>138</v>
      </c>
      <c r="W1602" s="0" t="s">
        <v>138</v>
      </c>
      <c r="X1602" s="14" t="s">
        <v>138</v>
      </c>
      <c r="Y1602" s="0" t="s">
        <v>138</v>
      </c>
      <c r="Z1602" s="14" t="s">
        <v>138</v>
      </c>
      <c r="AA1602" s="0" t="s">
        <v>138</v>
      </c>
      <c r="AB1602" s="14" t="s">
        <v>138</v>
      </c>
      <c r="AD1602" s="0" t="s">
        <v>138</v>
      </c>
      <c r="AF1602" s="0">
        <v>0</v>
      </c>
      <c r="AG1602" s="0">
        <v>0</v>
      </c>
      <c r="AH1602" s="0" t="s">
        <v>140</v>
      </c>
      <c r="AI1602" s="0" t="s">
        <v>138</v>
      </c>
      <c r="AL1602" s="14"/>
      <c r="AN1602" s="14"/>
      <c r="AQ1602" s="0" t="s">
        <v>130</v>
      </c>
      <c r="AR1602" s="0" t="s">
        <v>130</v>
      </c>
      <c r="AS1602" s="0" t="s">
        <v>130</v>
      </c>
      <c r="AT1602" s="0" t="s">
        <v>130</v>
      </c>
      <c r="AU1602" s="0" t="s">
        <v>130</v>
      </c>
      <c r="AV1602" s="0" t="s">
        <v>130</v>
      </c>
      <c r="AW1602" s="0" t="s">
        <v>130</v>
      </c>
      <c r="AX1602" s="0" t="s">
        <v>130</v>
      </c>
      <c r="AY1602" s="0" t="s">
        <v>130</v>
      </c>
      <c r="AZ1602" s="0" t="s">
        <v>130</v>
      </c>
      <c r="BA1602" s="0" t="s">
        <v>130</v>
      </c>
      <c r="BB1602" s="0" t="s">
        <v>130</v>
      </c>
      <c r="BC1602" s="0" t="s">
        <v>130</v>
      </c>
      <c r="BD1602" s="0" t="s">
        <v>130</v>
      </c>
      <c r="BE1602" s="0" t="s">
        <v>130</v>
      </c>
      <c r="BF1602" s="0" t="s">
        <v>130</v>
      </c>
      <c r="BG1602" s="0" t="s">
        <v>130</v>
      </c>
      <c r="BH1602" s="0" t="s">
        <v>130</v>
      </c>
      <c r="BI1602" s="0" t="s">
        <v>130</v>
      </c>
      <c r="BJ1602" s="0" t="s">
        <v>130</v>
      </c>
      <c r="BK1602" s="0" t="s">
        <v>130</v>
      </c>
      <c r="BL1602" s="0" t="s">
        <v>130</v>
      </c>
      <c r="BM1602" s="0" t="s">
        <v>130</v>
      </c>
      <c r="BN1602" s="0" t="s">
        <v>130</v>
      </c>
      <c r="BO1602" s="0" t="s">
        <v>130</v>
      </c>
      <c r="BP1602" s="0" t="s">
        <v>130</v>
      </c>
      <c r="BQ1602" s="0" t="s">
        <v>130</v>
      </c>
      <c r="BR1602" s="0" t="s">
        <v>130</v>
      </c>
      <c r="BS1602" s="0" t="s">
        <v>130</v>
      </c>
      <c r="BT1602" s="0" t="s">
        <v>130</v>
      </c>
      <c r="BU1602" s="0" t="s">
        <v>130</v>
      </c>
      <c r="BV1602" s="0" t="s">
        <v>130</v>
      </c>
      <c r="BW1602" s="0" t="s">
        <v>130</v>
      </c>
      <c r="BX1602" s="0" t="s">
        <v>130</v>
      </c>
      <c r="BY1602" s="0" t="s">
        <v>130</v>
      </c>
      <c r="BZ1602" s="0" t="s">
        <v>130</v>
      </c>
      <c r="CA1602" s="0" t="s">
        <v>130</v>
      </c>
      <c r="CB1602" s="0" t="s">
        <v>130</v>
      </c>
      <c r="CC1602" s="0" t="s">
        <v>130</v>
      </c>
      <c r="CD1602" s="0" t="s">
        <v>130</v>
      </c>
      <c r="CE1602" s="0" t="s">
        <v>130</v>
      </c>
      <c r="CF1602" s="0" t="s">
        <v>130</v>
      </c>
      <c r="CG1602" s="0" t="s">
        <v>130</v>
      </c>
      <c r="CH1602" s="0" t="s">
        <v>130</v>
      </c>
      <c r="CI1602" s="0" t="s">
        <v>130</v>
      </c>
      <c r="CJ1602" s="0" t="s">
        <v>130</v>
      </c>
      <c r="CK1602" s="0" t="s">
        <v>130</v>
      </c>
      <c r="CL1602" s="0" t="s">
        <v>130</v>
      </c>
      <c r="CM1602" s="0" t="s">
        <v>130</v>
      </c>
      <c r="CN1602" s="0" t="s">
        <v>130</v>
      </c>
      <c r="CO1602" s="0" t="s">
        <v>130</v>
      </c>
      <c r="CP1602" s="0" t="s">
        <v>130</v>
      </c>
      <c r="CQ1602" s="0" t="s">
        <v>130</v>
      </c>
      <c r="CR1602" s="0" t="s">
        <v>130</v>
      </c>
      <c r="CS1602" s="0" t="s">
        <v>130</v>
      </c>
      <c r="CT1602" s="0" t="s">
        <v>4614</v>
      </c>
    </row>
    <row r="1603">
      <c r="A1603" s="14">
        <v>44569911</v>
      </c>
      <c r="B1603" s="0" t="s">
        <v>4615</v>
      </c>
      <c r="C1603" s="16">
        <f>HYPERLINK("https://eosportal.federatedhermes.com/companies/Q29tcGFueQppNTE2MzY=", "CK Hutchison Holdings Ltd")</f>
      </c>
      <c r="D1603" s="0" t="s">
        <v>25</v>
      </c>
      <c r="E1603" s="0" t="s">
        <v>4616</v>
      </c>
      <c r="F1603" s="16">
        <f>HYPERLINK("https://eosportal.federatedhermes.com/engagements/RW5nYWdlbWVudAppMjkwMDE=", "Board director access")</f>
      </c>
      <c r="G1603" s="14" t="s">
        <v>4617</v>
      </c>
      <c r="H1603" s="0" t="s">
        <v>141</v>
      </c>
      <c r="I1603" s="14" t="s">
        <v>191</v>
      </c>
      <c r="J1603" s="0" t="s">
        <v>145</v>
      </c>
      <c r="K1603" s="0" t="s">
        <v>400</v>
      </c>
      <c r="L1603" s="0" t="s">
        <v>401</v>
      </c>
      <c r="M1603" s="0" t="s">
        <v>802</v>
      </c>
      <c r="N1603" s="0" t="s">
        <v>803</v>
      </c>
      <c r="O1603" s="0" t="s">
        <v>176</v>
      </c>
      <c r="Q1603" s="0" t="s">
        <v>130</v>
      </c>
      <c r="R1603" s="0" t="s">
        <v>138</v>
      </c>
      <c r="S1603" s="14">
        <v>0</v>
      </c>
      <c r="T1603" s="0" t="s">
        <v>320</v>
      </c>
      <c r="U1603" s="0" t="s">
        <v>138</v>
      </c>
      <c r="V1603" s="14" t="s">
        <v>138</v>
      </c>
      <c r="W1603" s="0" t="s">
        <v>138</v>
      </c>
      <c r="X1603" s="14" t="s">
        <v>138</v>
      </c>
      <c r="Y1603" s="0" t="s">
        <v>138</v>
      </c>
      <c r="Z1603" s="14" t="s">
        <v>138</v>
      </c>
      <c r="AA1603" s="0" t="s">
        <v>138</v>
      </c>
      <c r="AB1603" s="14" t="s">
        <v>138</v>
      </c>
      <c r="AD1603" s="0" t="s">
        <v>138</v>
      </c>
      <c r="AF1603" s="0">
        <v>0</v>
      </c>
      <c r="AG1603" s="0">
        <v>0</v>
      </c>
      <c r="AH1603" s="0" t="s">
        <v>140</v>
      </c>
      <c r="AI1603" s="0" t="s">
        <v>138</v>
      </c>
      <c r="AL1603" s="14"/>
      <c r="AN1603" s="14"/>
      <c r="AQ1603" s="0" t="s">
        <v>130</v>
      </c>
      <c r="AR1603" s="0" t="s">
        <v>130</v>
      </c>
      <c r="AS1603" s="0" t="s">
        <v>130</v>
      </c>
      <c r="AT1603" s="0" t="s">
        <v>130</v>
      </c>
      <c r="AU1603" s="0" t="s">
        <v>130</v>
      </c>
      <c r="AV1603" s="0" t="s">
        <v>130</v>
      </c>
      <c r="AW1603" s="0" t="s">
        <v>130</v>
      </c>
      <c r="AX1603" s="0" t="s">
        <v>130</v>
      </c>
      <c r="AY1603" s="0" t="s">
        <v>130</v>
      </c>
      <c r="AZ1603" s="0" t="s">
        <v>130</v>
      </c>
      <c r="BA1603" s="0" t="s">
        <v>130</v>
      </c>
      <c r="BB1603" s="0" t="s">
        <v>130</v>
      </c>
      <c r="BC1603" s="0" t="s">
        <v>130</v>
      </c>
      <c r="BD1603" s="0" t="s">
        <v>130</v>
      </c>
      <c r="BE1603" s="0" t="s">
        <v>130</v>
      </c>
      <c r="BF1603" s="0" t="s">
        <v>130</v>
      </c>
      <c r="BG1603" s="0" t="s">
        <v>130</v>
      </c>
      <c r="BH1603" s="0" t="s">
        <v>130</v>
      </c>
      <c r="BI1603" s="0" t="s">
        <v>130</v>
      </c>
      <c r="BJ1603" s="0" t="s">
        <v>130</v>
      </c>
      <c r="BK1603" s="0" t="s">
        <v>130</v>
      </c>
      <c r="BL1603" s="0" t="s">
        <v>130</v>
      </c>
      <c r="BM1603" s="0" t="s">
        <v>130</v>
      </c>
      <c r="BN1603" s="0" t="s">
        <v>130</v>
      </c>
      <c r="BO1603" s="0" t="s">
        <v>130</v>
      </c>
      <c r="BP1603" s="0" t="s">
        <v>130</v>
      </c>
      <c r="BQ1603" s="0" t="s">
        <v>130</v>
      </c>
      <c r="BR1603" s="0" t="s">
        <v>130</v>
      </c>
      <c r="BS1603" s="0" t="s">
        <v>130</v>
      </c>
      <c r="BT1603" s="0" t="s">
        <v>130</v>
      </c>
      <c r="BU1603" s="0" t="s">
        <v>130</v>
      </c>
      <c r="BV1603" s="0" t="s">
        <v>130</v>
      </c>
      <c r="BW1603" s="0" t="s">
        <v>130</v>
      </c>
      <c r="BX1603" s="0" t="s">
        <v>130</v>
      </c>
      <c r="BY1603" s="0" t="s">
        <v>130</v>
      </c>
      <c r="BZ1603" s="0" t="s">
        <v>130</v>
      </c>
      <c r="CA1603" s="0" t="s">
        <v>130</v>
      </c>
      <c r="CB1603" s="0" t="s">
        <v>130</v>
      </c>
      <c r="CC1603" s="0" t="s">
        <v>130</v>
      </c>
      <c r="CD1603" s="0" t="s">
        <v>130</v>
      </c>
      <c r="CE1603" s="0" t="s">
        <v>130</v>
      </c>
      <c r="CF1603" s="0" t="s">
        <v>130</v>
      </c>
      <c r="CG1603" s="0" t="s">
        <v>130</v>
      </c>
      <c r="CH1603" s="0" t="s">
        <v>130</v>
      </c>
      <c r="CI1603" s="0" t="s">
        <v>130</v>
      </c>
      <c r="CJ1603" s="0" t="s">
        <v>130</v>
      </c>
      <c r="CK1603" s="0" t="s">
        <v>130</v>
      </c>
      <c r="CL1603" s="0" t="s">
        <v>130</v>
      </c>
      <c r="CM1603" s="0" t="s">
        <v>130</v>
      </c>
      <c r="CN1603" s="0" t="s">
        <v>130</v>
      </c>
      <c r="CO1603" s="0" t="s">
        <v>130</v>
      </c>
      <c r="CP1603" s="0" t="s">
        <v>130</v>
      </c>
      <c r="CQ1603" s="0" t="s">
        <v>130</v>
      </c>
      <c r="CR1603" s="0" t="s">
        <v>130</v>
      </c>
      <c r="CS1603" s="0" t="s">
        <v>130</v>
      </c>
      <c r="CT1603" s="0" t="s">
        <v>4618</v>
      </c>
    </row>
    <row r="1604">
      <c r="A1604" s="14">
        <v>44569911</v>
      </c>
      <c r="B1604" s="0" t="s">
        <v>4615</v>
      </c>
      <c r="C1604" s="16">
        <f>HYPERLINK("https://eosportal.federatedhermes.com/companies/Q29tcGFueQppNTE2MzY=", "CK Hutchison Holdings Ltd")</f>
      </c>
      <c r="D1604" s="0" t="s">
        <v>23</v>
      </c>
      <c r="E1604" s="0" t="s">
        <v>4539</v>
      </c>
      <c r="F1604" s="16">
        <f>HYPERLINK("https://eosportal.federatedhermes.com/engagements/RW5nYWdlbWVudAppMjkwMDI=", "Climate change risk and opportunity management")</f>
      </c>
      <c r="G1604" s="14" t="s">
        <v>4619</v>
      </c>
      <c r="H1604" s="0" t="s">
        <v>141</v>
      </c>
      <c r="I1604" s="14" t="s">
        <v>191</v>
      </c>
      <c r="J1604" s="0" t="s">
        <v>197</v>
      </c>
      <c r="K1604" s="0" t="s">
        <v>198</v>
      </c>
      <c r="L1604" s="0" t="s">
        <v>199</v>
      </c>
      <c r="M1604" s="0" t="s">
        <v>802</v>
      </c>
      <c r="N1604" s="0" t="s">
        <v>803</v>
      </c>
      <c r="O1604" s="0" t="s">
        <v>176</v>
      </c>
      <c r="Q1604" s="0" t="s">
        <v>141</v>
      </c>
      <c r="R1604" s="0" t="s">
        <v>130</v>
      </c>
      <c r="S1604" s="14">
        <v>1</v>
      </c>
      <c r="T1604" s="0" t="s">
        <v>394</v>
      </c>
      <c r="U1604" s="0" t="s">
        <v>221</v>
      </c>
      <c r="V1604" s="14" t="s">
        <v>394</v>
      </c>
      <c r="W1604" s="0" t="s">
        <v>221</v>
      </c>
      <c r="X1604" s="14" t="s">
        <v>139</v>
      </c>
      <c r="Y1604" s="0" t="s">
        <v>221</v>
      </c>
      <c r="Z1604" s="14" t="s">
        <v>222</v>
      </c>
      <c r="AA1604" s="0" t="s">
        <v>223</v>
      </c>
      <c r="AB1604" s="14" t="s">
        <v>138</v>
      </c>
      <c r="AD1604" s="0" t="s">
        <v>20</v>
      </c>
      <c r="AF1604" s="0">
        <v>0</v>
      </c>
      <c r="AG1604" s="0">
        <v>0</v>
      </c>
      <c r="AH1604" s="0" t="s">
        <v>140</v>
      </c>
      <c r="AI1604" s="0" t="s">
        <v>479</v>
      </c>
      <c r="AK1604" s="0" t="s">
        <v>4274</v>
      </c>
      <c r="AL1604" s="14"/>
      <c r="AN1604" s="14"/>
      <c r="AQ1604" s="0" t="s">
        <v>130</v>
      </c>
      <c r="AR1604" s="0" t="s">
        <v>130</v>
      </c>
      <c r="AS1604" s="0" t="s">
        <v>130</v>
      </c>
      <c r="AT1604" s="0" t="s">
        <v>130</v>
      </c>
      <c r="AU1604" s="0" t="s">
        <v>130</v>
      </c>
      <c r="AV1604" s="0" t="s">
        <v>130</v>
      </c>
      <c r="AW1604" s="0" t="s">
        <v>130</v>
      </c>
      <c r="AX1604" s="0" t="s">
        <v>130</v>
      </c>
      <c r="AY1604" s="0" t="s">
        <v>130</v>
      </c>
      <c r="AZ1604" s="0" t="s">
        <v>130</v>
      </c>
      <c r="BA1604" s="0" t="s">
        <v>130</v>
      </c>
      <c r="BB1604" s="0" t="s">
        <v>141</v>
      </c>
      <c r="BC1604" s="0" t="s">
        <v>141</v>
      </c>
      <c r="BD1604" s="0" t="s">
        <v>130</v>
      </c>
      <c r="BE1604" s="0" t="s">
        <v>130</v>
      </c>
      <c r="BF1604" s="0" t="s">
        <v>130</v>
      </c>
      <c r="BG1604" s="0" t="s">
        <v>130</v>
      </c>
      <c r="BH1604" s="0" t="s">
        <v>130</v>
      </c>
      <c r="BI1604" s="0" t="s">
        <v>130</v>
      </c>
      <c r="BJ1604" s="0" t="s">
        <v>130</v>
      </c>
      <c r="BK1604" s="0" t="s">
        <v>130</v>
      </c>
      <c r="BL1604" s="0" t="s">
        <v>130</v>
      </c>
      <c r="BM1604" s="0" t="s">
        <v>130</v>
      </c>
      <c r="BN1604" s="0" t="s">
        <v>130</v>
      </c>
      <c r="BO1604" s="0" t="s">
        <v>130</v>
      </c>
      <c r="BP1604" s="0" t="s">
        <v>130</v>
      </c>
      <c r="BQ1604" s="0" t="s">
        <v>130</v>
      </c>
      <c r="BR1604" s="0" t="s">
        <v>130</v>
      </c>
      <c r="BS1604" s="0" t="s">
        <v>130</v>
      </c>
      <c r="BT1604" s="0" t="s">
        <v>130</v>
      </c>
      <c r="BU1604" s="0" t="s">
        <v>130</v>
      </c>
      <c r="BV1604" s="0" t="s">
        <v>130</v>
      </c>
      <c r="BW1604" s="0" t="s">
        <v>130</v>
      </c>
      <c r="BX1604" s="0" t="s">
        <v>130</v>
      </c>
      <c r="BY1604" s="0" t="s">
        <v>130</v>
      </c>
      <c r="BZ1604" s="0" t="s">
        <v>130</v>
      </c>
      <c r="CA1604" s="0" t="s">
        <v>130</v>
      </c>
      <c r="CB1604" s="0" t="s">
        <v>130</v>
      </c>
      <c r="CC1604" s="0" t="s">
        <v>130</v>
      </c>
      <c r="CD1604" s="0" t="s">
        <v>130</v>
      </c>
      <c r="CE1604" s="0" t="s">
        <v>130</v>
      </c>
      <c r="CF1604" s="0" t="s">
        <v>130</v>
      </c>
      <c r="CG1604" s="0" t="s">
        <v>130</v>
      </c>
      <c r="CH1604" s="0" t="s">
        <v>130</v>
      </c>
      <c r="CI1604" s="0" t="s">
        <v>130</v>
      </c>
      <c r="CJ1604" s="0" t="s">
        <v>130</v>
      </c>
      <c r="CK1604" s="0" t="s">
        <v>130</v>
      </c>
      <c r="CL1604" s="0" t="s">
        <v>130</v>
      </c>
      <c r="CM1604" s="0" t="s">
        <v>130</v>
      </c>
      <c r="CN1604" s="0" t="s">
        <v>130</v>
      </c>
      <c r="CO1604" s="0" t="s">
        <v>130</v>
      </c>
      <c r="CP1604" s="0" t="s">
        <v>130</v>
      </c>
      <c r="CQ1604" s="0" t="s">
        <v>130</v>
      </c>
      <c r="CR1604" s="0" t="s">
        <v>130</v>
      </c>
      <c r="CS1604" s="0" t="s">
        <v>130</v>
      </c>
      <c r="CT1604" s="0" t="s">
        <v>4620</v>
      </c>
    </row>
    <row r="1605">
      <c r="A1605" s="14">
        <v>44569911</v>
      </c>
      <c r="B1605" s="0" t="s">
        <v>4615</v>
      </c>
      <c r="C1605" s="16">
        <f>HYPERLINK("https://eosportal.federatedhermes.com/companies/Q29tcGFueQppNTE2MzY=", "CK Hutchison Holdings Ltd")</f>
      </c>
      <c r="D1605" s="0" t="s">
        <v>23</v>
      </c>
      <c r="E1605" s="0" t="s">
        <v>1394</v>
      </c>
      <c r="F1605" s="16">
        <f>HYPERLINK("https://eosportal.federatedhermes.com/engagements/RW5nYWdlbWVudAppMjkwMDQ=", "Biodiversity impact and dependence assessment")</f>
      </c>
      <c r="G1605" s="14" t="s">
        <v>4621</v>
      </c>
      <c r="H1605" s="0" t="s">
        <v>141</v>
      </c>
      <c r="I1605" s="14" t="s">
        <v>191</v>
      </c>
      <c r="J1605" s="0" t="s">
        <v>197</v>
      </c>
      <c r="K1605" s="0" t="s">
        <v>337</v>
      </c>
      <c r="L1605" s="0" t="s">
        <v>576</v>
      </c>
      <c r="M1605" s="0" t="s">
        <v>802</v>
      </c>
      <c r="N1605" s="0" t="s">
        <v>803</v>
      </c>
      <c r="O1605" s="0" t="s">
        <v>176</v>
      </c>
      <c r="Q1605" s="0" t="s">
        <v>141</v>
      </c>
      <c r="R1605" s="0" t="s">
        <v>130</v>
      </c>
      <c r="S1605" s="14">
        <v>1</v>
      </c>
      <c r="T1605" s="0" t="s">
        <v>139</v>
      </c>
      <c r="U1605" s="0" t="s">
        <v>221</v>
      </c>
      <c r="V1605" s="14" t="s">
        <v>139</v>
      </c>
      <c r="W1605" s="0" t="s">
        <v>221</v>
      </c>
      <c r="X1605" s="14" t="s">
        <v>139</v>
      </c>
      <c r="Y1605" s="0" t="s">
        <v>221</v>
      </c>
      <c r="Z1605" s="14" t="s">
        <v>4412</v>
      </c>
      <c r="AA1605" s="0" t="s">
        <v>223</v>
      </c>
      <c r="AB1605" s="14" t="s">
        <v>138</v>
      </c>
      <c r="AD1605" s="0" t="s">
        <v>20</v>
      </c>
      <c r="AF1605" s="0">
        <v>0</v>
      </c>
      <c r="AG1605" s="0">
        <v>0</v>
      </c>
      <c r="AH1605" s="0" t="s">
        <v>140</v>
      </c>
      <c r="AI1605" s="0" t="s">
        <v>598</v>
      </c>
      <c r="AK1605" s="0" t="s">
        <v>4274</v>
      </c>
      <c r="AL1605" s="14"/>
      <c r="AN1605" s="14"/>
      <c r="AQ1605" s="0" t="s">
        <v>130</v>
      </c>
      <c r="AR1605" s="0" t="s">
        <v>141</v>
      </c>
      <c r="AS1605" s="0" t="s">
        <v>130</v>
      </c>
      <c r="AT1605" s="0" t="s">
        <v>130</v>
      </c>
      <c r="AU1605" s="0" t="s">
        <v>130</v>
      </c>
      <c r="AV1605" s="0" t="s">
        <v>141</v>
      </c>
      <c r="AW1605" s="0" t="s">
        <v>130</v>
      </c>
      <c r="AX1605" s="0" t="s">
        <v>130</v>
      </c>
      <c r="AY1605" s="0" t="s">
        <v>130</v>
      </c>
      <c r="AZ1605" s="0" t="s">
        <v>130</v>
      </c>
      <c r="BA1605" s="0" t="s">
        <v>141</v>
      </c>
      <c r="BB1605" s="0" t="s">
        <v>141</v>
      </c>
      <c r="BC1605" s="0" t="s">
        <v>130</v>
      </c>
      <c r="BD1605" s="0" t="s">
        <v>141</v>
      </c>
      <c r="BE1605" s="0" t="s">
        <v>141</v>
      </c>
      <c r="BF1605" s="0" t="s">
        <v>130</v>
      </c>
      <c r="BG1605" s="0" t="s">
        <v>130</v>
      </c>
      <c r="BH1605" s="0" t="s">
        <v>130</v>
      </c>
      <c r="BI1605" s="0" t="s">
        <v>130</v>
      </c>
      <c r="BJ1605" s="0" t="s">
        <v>130</v>
      </c>
      <c r="BK1605" s="0" t="s">
        <v>130</v>
      </c>
      <c r="BL1605" s="0" t="s">
        <v>130</v>
      </c>
      <c r="BM1605" s="0" t="s">
        <v>141</v>
      </c>
      <c r="BN1605" s="0" t="s">
        <v>130</v>
      </c>
      <c r="BO1605" s="0" t="s">
        <v>130</v>
      </c>
      <c r="BP1605" s="0" t="s">
        <v>130</v>
      </c>
      <c r="BQ1605" s="0" t="s">
        <v>130</v>
      </c>
      <c r="BR1605" s="0" t="s">
        <v>130</v>
      </c>
      <c r="BS1605" s="0" t="s">
        <v>130</v>
      </c>
      <c r="BT1605" s="0" t="s">
        <v>130</v>
      </c>
      <c r="BU1605" s="0" t="s">
        <v>130</v>
      </c>
      <c r="BV1605" s="0" t="s">
        <v>130</v>
      </c>
      <c r="BW1605" s="0" t="s">
        <v>130</v>
      </c>
      <c r="BX1605" s="0" t="s">
        <v>130</v>
      </c>
      <c r="BY1605" s="0" t="s">
        <v>130</v>
      </c>
      <c r="BZ1605" s="0" t="s">
        <v>130</v>
      </c>
      <c r="CA1605" s="0" t="s">
        <v>130</v>
      </c>
      <c r="CB1605" s="0" t="s">
        <v>130</v>
      </c>
      <c r="CC1605" s="0" t="s">
        <v>141</v>
      </c>
      <c r="CD1605" s="0" t="s">
        <v>130</v>
      </c>
      <c r="CE1605" s="0" t="s">
        <v>130</v>
      </c>
      <c r="CF1605" s="0" t="s">
        <v>130</v>
      </c>
      <c r="CG1605" s="0" t="s">
        <v>130</v>
      </c>
      <c r="CH1605" s="0" t="s">
        <v>130</v>
      </c>
      <c r="CI1605" s="0" t="s">
        <v>130</v>
      </c>
      <c r="CJ1605" s="0" t="s">
        <v>130</v>
      </c>
      <c r="CK1605" s="0" t="s">
        <v>130</v>
      </c>
      <c r="CL1605" s="0" t="s">
        <v>130</v>
      </c>
      <c r="CM1605" s="0" t="s">
        <v>130</v>
      </c>
      <c r="CN1605" s="0" t="s">
        <v>130</v>
      </c>
      <c r="CO1605" s="0" t="s">
        <v>130</v>
      </c>
      <c r="CP1605" s="0" t="s">
        <v>130</v>
      </c>
      <c r="CQ1605" s="0" t="s">
        <v>130</v>
      </c>
      <c r="CR1605" s="0" t="s">
        <v>130</v>
      </c>
      <c r="CS1605" s="0" t="s">
        <v>130</v>
      </c>
      <c r="CT1605" s="0" t="s">
        <v>4622</v>
      </c>
    </row>
    <row r="1606">
      <c r="A1606" s="14">
        <v>44569911</v>
      </c>
      <c r="B1606" s="0" t="s">
        <v>4615</v>
      </c>
      <c r="C1606" s="16">
        <f>HYPERLINK("https://eosportal.federatedhermes.com/companies/Q29tcGFueQppNTE2MzY=", "CK Hutchison Holdings Ltd")</f>
      </c>
      <c r="D1606" s="0" t="s">
        <v>23</v>
      </c>
      <c r="E1606" s="0" t="s">
        <v>4623</v>
      </c>
      <c r="F1606" s="16">
        <f>HYPERLINK("https://eosportal.federatedhermes.com/engagements/RW5nYWdlbWVudAppMjkwMDU=", "Improve board composition and effectiveness")</f>
      </c>
      <c r="G1606" s="14" t="s">
        <v>4624</v>
      </c>
      <c r="H1606" s="0" t="s">
        <v>141</v>
      </c>
      <c r="I1606" s="14" t="s">
        <v>191</v>
      </c>
      <c r="J1606" s="0" t="s">
        <v>145</v>
      </c>
      <c r="K1606" s="0" t="s">
        <v>164</v>
      </c>
      <c r="L1606" s="0" t="s">
        <v>165</v>
      </c>
      <c r="M1606" s="0" t="s">
        <v>802</v>
      </c>
      <c r="N1606" s="0" t="s">
        <v>803</v>
      </c>
      <c r="O1606" s="0" t="s">
        <v>176</v>
      </c>
      <c r="Q1606" s="0" t="s">
        <v>130</v>
      </c>
      <c r="R1606" s="0" t="s">
        <v>130</v>
      </c>
      <c r="S1606" s="14">
        <v>0</v>
      </c>
      <c r="T1606" s="0" t="s">
        <v>583</v>
      </c>
      <c r="U1606" s="0" t="s">
        <v>221</v>
      </c>
      <c r="V1606" s="14" t="s">
        <v>583</v>
      </c>
      <c r="W1606" s="0" t="s">
        <v>221</v>
      </c>
      <c r="X1606" s="14" t="s">
        <v>4412</v>
      </c>
      <c r="Y1606" s="0" t="s">
        <v>223</v>
      </c>
      <c r="Z1606" s="14" t="s">
        <v>138</v>
      </c>
      <c r="AA1606" s="0" t="s">
        <v>224</v>
      </c>
      <c r="AB1606" s="14" t="s">
        <v>138</v>
      </c>
      <c r="AD1606" s="0" t="s">
        <v>17</v>
      </c>
      <c r="AF1606" s="0">
        <v>0</v>
      </c>
      <c r="AG1606" s="0">
        <v>0</v>
      </c>
      <c r="AH1606" s="0" t="s">
        <v>140</v>
      </c>
      <c r="AI1606" s="0" t="s">
        <v>598</v>
      </c>
      <c r="AL1606" s="14"/>
      <c r="AN1606" s="14"/>
      <c r="AQ1606" s="0" t="s">
        <v>130</v>
      </c>
      <c r="AR1606" s="0" t="s">
        <v>130</v>
      </c>
      <c r="AS1606" s="0" t="s">
        <v>130</v>
      </c>
      <c r="AT1606" s="0" t="s">
        <v>130</v>
      </c>
      <c r="AU1606" s="0" t="s">
        <v>130</v>
      </c>
      <c r="AV1606" s="0" t="s">
        <v>130</v>
      </c>
      <c r="AW1606" s="0" t="s">
        <v>130</v>
      </c>
      <c r="AX1606" s="0" t="s">
        <v>130</v>
      </c>
      <c r="AY1606" s="0" t="s">
        <v>130</v>
      </c>
      <c r="AZ1606" s="0" t="s">
        <v>130</v>
      </c>
      <c r="BA1606" s="0" t="s">
        <v>130</v>
      </c>
      <c r="BB1606" s="0" t="s">
        <v>130</v>
      </c>
      <c r="BC1606" s="0" t="s">
        <v>130</v>
      </c>
      <c r="BD1606" s="0" t="s">
        <v>130</v>
      </c>
      <c r="BE1606" s="0" t="s">
        <v>130</v>
      </c>
      <c r="BF1606" s="0" t="s">
        <v>130</v>
      </c>
      <c r="BG1606" s="0" t="s">
        <v>130</v>
      </c>
      <c r="BH1606" s="0" t="s">
        <v>130</v>
      </c>
      <c r="BI1606" s="0" t="s">
        <v>130</v>
      </c>
      <c r="BJ1606" s="0" t="s">
        <v>130</v>
      </c>
      <c r="BK1606" s="0" t="s">
        <v>130</v>
      </c>
      <c r="BL1606" s="0" t="s">
        <v>130</v>
      </c>
      <c r="BM1606" s="0" t="s">
        <v>130</v>
      </c>
      <c r="BN1606" s="0" t="s">
        <v>130</v>
      </c>
      <c r="BO1606" s="0" t="s">
        <v>130</v>
      </c>
      <c r="BP1606" s="0" t="s">
        <v>130</v>
      </c>
      <c r="BQ1606" s="0" t="s">
        <v>130</v>
      </c>
      <c r="BR1606" s="0" t="s">
        <v>130</v>
      </c>
      <c r="BS1606" s="0" t="s">
        <v>130</v>
      </c>
      <c r="BT1606" s="0" t="s">
        <v>130</v>
      </c>
      <c r="BU1606" s="0" t="s">
        <v>130</v>
      </c>
      <c r="BV1606" s="0" t="s">
        <v>130</v>
      </c>
      <c r="BW1606" s="0" t="s">
        <v>130</v>
      </c>
      <c r="BX1606" s="0" t="s">
        <v>130</v>
      </c>
      <c r="BY1606" s="0" t="s">
        <v>130</v>
      </c>
      <c r="BZ1606" s="0" t="s">
        <v>130</v>
      </c>
      <c r="CA1606" s="0" t="s">
        <v>130</v>
      </c>
      <c r="CB1606" s="0" t="s">
        <v>130</v>
      </c>
      <c r="CC1606" s="0" t="s">
        <v>130</v>
      </c>
      <c r="CD1606" s="0" t="s">
        <v>130</v>
      </c>
      <c r="CE1606" s="0" t="s">
        <v>130</v>
      </c>
      <c r="CF1606" s="0" t="s">
        <v>130</v>
      </c>
      <c r="CG1606" s="0" t="s">
        <v>130</v>
      </c>
      <c r="CH1606" s="0" t="s">
        <v>130</v>
      </c>
      <c r="CI1606" s="0" t="s">
        <v>130</v>
      </c>
      <c r="CJ1606" s="0" t="s">
        <v>130</v>
      </c>
      <c r="CK1606" s="0" t="s">
        <v>130</v>
      </c>
      <c r="CL1606" s="0" t="s">
        <v>130</v>
      </c>
      <c r="CM1606" s="0" t="s">
        <v>130</v>
      </c>
      <c r="CN1606" s="0" t="s">
        <v>130</v>
      </c>
      <c r="CO1606" s="0" t="s">
        <v>130</v>
      </c>
      <c r="CP1606" s="0" t="s">
        <v>130</v>
      </c>
      <c r="CQ1606" s="0" t="s">
        <v>130</v>
      </c>
      <c r="CR1606" s="0" t="s">
        <v>130</v>
      </c>
      <c r="CS1606" s="0" t="s">
        <v>130</v>
      </c>
      <c r="CT1606" s="0" t="s">
        <v>4625</v>
      </c>
    </row>
    <row r="1607">
      <c r="A1607" s="14">
        <v>44569911</v>
      </c>
      <c r="B1607" s="0" t="s">
        <v>4615</v>
      </c>
      <c r="C1607" s="16">
        <f>HYPERLINK("https://eosportal.federatedhermes.com/companies/Q29tcGFueQppNTE2MzY=", "CK Hutchison Holdings Ltd")</f>
      </c>
      <c r="D1607" s="0" t="s">
        <v>25</v>
      </c>
      <c r="E1607" s="0" t="s">
        <v>4626</v>
      </c>
      <c r="F1607" s="16">
        <f>HYPERLINK("https://eosportal.federatedhermes.com/engagements/RW5nYWdlbWVudAppMjkwMDk=", "Deforestation in the supply chain - Forest 500")</f>
      </c>
      <c r="G1607" s="14" t="s">
        <v>4627</v>
      </c>
      <c r="H1607" s="0" t="s">
        <v>141</v>
      </c>
      <c r="I1607" s="14" t="s">
        <v>191</v>
      </c>
      <c r="J1607" s="0" t="s">
        <v>197</v>
      </c>
      <c r="K1607" s="0" t="s">
        <v>337</v>
      </c>
      <c r="L1607" s="0" t="s">
        <v>576</v>
      </c>
      <c r="M1607" s="0" t="s">
        <v>802</v>
      </c>
      <c r="N1607" s="0" t="s">
        <v>803</v>
      </c>
      <c r="O1607" s="0" t="s">
        <v>176</v>
      </c>
      <c r="Q1607" s="0" t="s">
        <v>141</v>
      </c>
      <c r="R1607" s="0" t="s">
        <v>138</v>
      </c>
      <c r="S1607" s="14">
        <v>1</v>
      </c>
      <c r="T1607" s="0" t="s">
        <v>206</v>
      </c>
      <c r="U1607" s="0" t="s">
        <v>138</v>
      </c>
      <c r="V1607" s="14" t="s">
        <v>138</v>
      </c>
      <c r="W1607" s="0" t="s">
        <v>138</v>
      </c>
      <c r="X1607" s="14" t="s">
        <v>138</v>
      </c>
      <c r="Y1607" s="0" t="s">
        <v>138</v>
      </c>
      <c r="Z1607" s="14" t="s">
        <v>138</v>
      </c>
      <c r="AA1607" s="0" t="s">
        <v>138</v>
      </c>
      <c r="AB1607" s="14" t="s">
        <v>138</v>
      </c>
      <c r="AD1607" s="0" t="s">
        <v>138</v>
      </c>
      <c r="AF1607" s="0">
        <v>0</v>
      </c>
      <c r="AG1607" s="0">
        <v>0</v>
      </c>
      <c r="AH1607" s="0" t="s">
        <v>140</v>
      </c>
      <c r="AI1607" s="0" t="s">
        <v>138</v>
      </c>
      <c r="AK1607" s="0" t="s">
        <v>4274</v>
      </c>
      <c r="AL1607" s="14"/>
      <c r="AN1607" s="14"/>
      <c r="AQ1607" s="0" t="s">
        <v>130</v>
      </c>
      <c r="AR1607" s="0" t="s">
        <v>141</v>
      </c>
      <c r="AS1607" s="0" t="s">
        <v>130</v>
      </c>
      <c r="AT1607" s="0" t="s">
        <v>130</v>
      </c>
      <c r="AU1607" s="0" t="s">
        <v>130</v>
      </c>
      <c r="AV1607" s="0" t="s">
        <v>130</v>
      </c>
      <c r="AW1607" s="0" t="s">
        <v>130</v>
      </c>
      <c r="AX1607" s="0" t="s">
        <v>130</v>
      </c>
      <c r="AY1607" s="0" t="s">
        <v>130</v>
      </c>
      <c r="AZ1607" s="0" t="s">
        <v>130</v>
      </c>
      <c r="BA1607" s="0" t="s">
        <v>130</v>
      </c>
      <c r="BB1607" s="0" t="s">
        <v>141</v>
      </c>
      <c r="BC1607" s="0" t="s">
        <v>130</v>
      </c>
      <c r="BD1607" s="0" t="s">
        <v>130</v>
      </c>
      <c r="BE1607" s="0" t="s">
        <v>141</v>
      </c>
      <c r="BF1607" s="0" t="s">
        <v>130</v>
      </c>
      <c r="BG1607" s="0" t="s">
        <v>130</v>
      </c>
      <c r="BH1607" s="0" t="s">
        <v>130</v>
      </c>
      <c r="BI1607" s="0" t="s">
        <v>130</v>
      </c>
      <c r="BJ1607" s="0" t="s">
        <v>130</v>
      </c>
      <c r="BK1607" s="0" t="s">
        <v>130</v>
      </c>
      <c r="BL1607" s="0" t="s">
        <v>130</v>
      </c>
      <c r="BM1607" s="0" t="s">
        <v>130</v>
      </c>
      <c r="BN1607" s="0" t="s">
        <v>130</v>
      </c>
      <c r="BO1607" s="0" t="s">
        <v>130</v>
      </c>
      <c r="BP1607" s="0" t="s">
        <v>130</v>
      </c>
      <c r="BQ1607" s="0" t="s">
        <v>130</v>
      </c>
      <c r="BR1607" s="0" t="s">
        <v>130</v>
      </c>
      <c r="BS1607" s="0" t="s">
        <v>130</v>
      </c>
      <c r="BT1607" s="0" t="s">
        <v>130</v>
      </c>
      <c r="BU1607" s="0" t="s">
        <v>130</v>
      </c>
      <c r="BV1607" s="0" t="s">
        <v>130</v>
      </c>
      <c r="BW1607" s="0" t="s">
        <v>130</v>
      </c>
      <c r="BX1607" s="0" t="s">
        <v>130</v>
      </c>
      <c r="BY1607" s="0" t="s">
        <v>130</v>
      </c>
      <c r="BZ1607" s="0" t="s">
        <v>130</v>
      </c>
      <c r="CA1607" s="0" t="s">
        <v>130</v>
      </c>
      <c r="CB1607" s="0" t="s">
        <v>130</v>
      </c>
      <c r="CC1607" s="0" t="s">
        <v>130</v>
      </c>
      <c r="CD1607" s="0" t="s">
        <v>130</v>
      </c>
      <c r="CE1607" s="0" t="s">
        <v>130</v>
      </c>
      <c r="CF1607" s="0" t="s">
        <v>130</v>
      </c>
      <c r="CG1607" s="0" t="s">
        <v>130</v>
      </c>
      <c r="CH1607" s="0" t="s">
        <v>130</v>
      </c>
      <c r="CI1607" s="0" t="s">
        <v>130</v>
      </c>
      <c r="CJ1607" s="0" t="s">
        <v>130</v>
      </c>
      <c r="CK1607" s="0" t="s">
        <v>130</v>
      </c>
      <c r="CL1607" s="0" t="s">
        <v>130</v>
      </c>
      <c r="CM1607" s="0" t="s">
        <v>130</v>
      </c>
      <c r="CN1607" s="0" t="s">
        <v>130</v>
      </c>
      <c r="CO1607" s="0" t="s">
        <v>130</v>
      </c>
      <c r="CP1607" s="0" t="s">
        <v>130</v>
      </c>
      <c r="CQ1607" s="0" t="s">
        <v>130</v>
      </c>
      <c r="CR1607" s="0" t="s">
        <v>130</v>
      </c>
      <c r="CS1607" s="0" t="s">
        <v>130</v>
      </c>
      <c r="CT1607" s="0" t="s">
        <v>4628</v>
      </c>
    </row>
    <row r="1608">
      <c r="A1608" s="14">
        <v>58121995</v>
      </c>
      <c r="B1608" s="0" t="s">
        <v>4629</v>
      </c>
      <c r="C1608" s="16">
        <f>HYPERLINK("https://eosportal.federatedhermes.com/companies/Q29tcGFueQppNzM3OTU=", "Nutrien Ltd")</f>
      </c>
      <c r="D1608" s="0" t="s">
        <v>25</v>
      </c>
      <c r="E1608" s="0" t="s">
        <v>4630</v>
      </c>
      <c r="F1608" s="16">
        <f>HYPERLINK("https://eosportal.federatedhermes.com/engagements/RW5nYWdlbWVudAppMjkxMTQ=", "Sourcing phosphates in Western Sahara")</f>
      </c>
      <c r="G1608" s="14" t="s">
        <v>4630</v>
      </c>
      <c r="H1608" s="0" t="s">
        <v>141</v>
      </c>
      <c r="I1608" s="14" t="s">
        <v>131</v>
      </c>
      <c r="J1608" s="0" t="s">
        <v>153</v>
      </c>
      <c r="K1608" s="0" t="s">
        <v>243</v>
      </c>
      <c r="L1608" s="0" t="s">
        <v>456</v>
      </c>
      <c r="M1608" s="0" t="s">
        <v>135</v>
      </c>
      <c r="N1608" s="0" t="s">
        <v>1678</v>
      </c>
      <c r="O1608" s="0" t="s">
        <v>706</v>
      </c>
      <c r="Q1608" s="0" t="s">
        <v>130</v>
      </c>
      <c r="R1608" s="0" t="s">
        <v>138</v>
      </c>
      <c r="S1608" s="14">
        <v>0</v>
      </c>
      <c r="T1608" s="0" t="s">
        <v>710</v>
      </c>
      <c r="U1608" s="0" t="s">
        <v>138</v>
      </c>
      <c r="V1608" s="14" t="s">
        <v>138</v>
      </c>
      <c r="W1608" s="0" t="s">
        <v>138</v>
      </c>
      <c r="X1608" s="14" t="s">
        <v>138</v>
      </c>
      <c r="Y1608" s="0" t="s">
        <v>138</v>
      </c>
      <c r="Z1608" s="14" t="s">
        <v>138</v>
      </c>
      <c r="AA1608" s="0" t="s">
        <v>138</v>
      </c>
      <c r="AB1608" s="14" t="s">
        <v>138</v>
      </c>
      <c r="AD1608" s="0" t="s">
        <v>138</v>
      </c>
      <c r="AF1608" s="0">
        <v>0</v>
      </c>
      <c r="AG1608" s="0">
        <v>0</v>
      </c>
      <c r="AH1608" s="0" t="s">
        <v>140</v>
      </c>
      <c r="AI1608" s="0" t="s">
        <v>138</v>
      </c>
      <c r="AL1608" s="14"/>
      <c r="AN1608" s="14"/>
      <c r="AQ1608" s="0" t="s">
        <v>130</v>
      </c>
      <c r="AR1608" s="0" t="s">
        <v>130</v>
      </c>
      <c r="AS1608" s="0" t="s">
        <v>130</v>
      </c>
      <c r="AT1608" s="0" t="s">
        <v>130</v>
      </c>
      <c r="AU1608" s="0" t="s">
        <v>130</v>
      </c>
      <c r="AV1608" s="0" t="s">
        <v>130</v>
      </c>
      <c r="AW1608" s="0" t="s">
        <v>130</v>
      </c>
      <c r="AX1608" s="0" t="s">
        <v>141</v>
      </c>
      <c r="AY1608" s="0" t="s">
        <v>130</v>
      </c>
      <c r="AZ1608" s="0" t="s">
        <v>130</v>
      </c>
      <c r="BA1608" s="0" t="s">
        <v>130</v>
      </c>
      <c r="BB1608" s="0" t="s">
        <v>130</v>
      </c>
      <c r="BC1608" s="0" t="s">
        <v>130</v>
      </c>
      <c r="BD1608" s="0" t="s">
        <v>130</v>
      </c>
      <c r="BE1608" s="0" t="s">
        <v>130</v>
      </c>
      <c r="BF1608" s="0" t="s">
        <v>141</v>
      </c>
      <c r="BG1608" s="0" t="s">
        <v>130</v>
      </c>
      <c r="BH1608" s="0" t="s">
        <v>130</v>
      </c>
      <c r="BI1608" s="0" t="s">
        <v>130</v>
      </c>
      <c r="BJ1608" s="0" t="s">
        <v>130</v>
      </c>
      <c r="BK1608" s="0" t="s">
        <v>130</v>
      </c>
      <c r="BL1608" s="0" t="s">
        <v>130</v>
      </c>
      <c r="BM1608" s="0" t="s">
        <v>130</v>
      </c>
      <c r="BN1608" s="0" t="s">
        <v>130</v>
      </c>
      <c r="BO1608" s="0" t="s">
        <v>130</v>
      </c>
      <c r="BP1608" s="0" t="s">
        <v>130</v>
      </c>
      <c r="BQ1608" s="0" t="s">
        <v>130</v>
      </c>
      <c r="BR1608" s="0" t="s">
        <v>130</v>
      </c>
      <c r="BS1608" s="0" t="s">
        <v>130</v>
      </c>
      <c r="BT1608" s="0" t="s">
        <v>130</v>
      </c>
      <c r="BU1608" s="0" t="s">
        <v>130</v>
      </c>
      <c r="BV1608" s="0" t="s">
        <v>130</v>
      </c>
      <c r="BW1608" s="0" t="s">
        <v>130</v>
      </c>
      <c r="BX1608" s="0" t="s">
        <v>130</v>
      </c>
      <c r="BY1608" s="0" t="s">
        <v>130</v>
      </c>
      <c r="BZ1608" s="0" t="s">
        <v>130</v>
      </c>
      <c r="CA1608" s="0" t="s">
        <v>130</v>
      </c>
      <c r="CB1608" s="0" t="s">
        <v>130</v>
      </c>
      <c r="CC1608" s="0" t="s">
        <v>130</v>
      </c>
      <c r="CD1608" s="0" t="s">
        <v>130</v>
      </c>
      <c r="CE1608" s="0" t="s">
        <v>130</v>
      </c>
      <c r="CF1608" s="0" t="s">
        <v>130</v>
      </c>
      <c r="CG1608" s="0" t="s">
        <v>130</v>
      </c>
      <c r="CH1608" s="0" t="s">
        <v>130</v>
      </c>
      <c r="CI1608" s="0" t="s">
        <v>130</v>
      </c>
      <c r="CJ1608" s="0" t="s">
        <v>130</v>
      </c>
      <c r="CK1608" s="0" t="s">
        <v>130</v>
      </c>
      <c r="CL1608" s="0" t="s">
        <v>130</v>
      </c>
      <c r="CM1608" s="0" t="s">
        <v>130</v>
      </c>
      <c r="CN1608" s="0" t="s">
        <v>130</v>
      </c>
      <c r="CO1608" s="0" t="s">
        <v>130</v>
      </c>
      <c r="CP1608" s="0" t="s">
        <v>130</v>
      </c>
      <c r="CQ1608" s="0" t="s">
        <v>130</v>
      </c>
      <c r="CR1608" s="0" t="s">
        <v>130</v>
      </c>
      <c r="CS1608" s="0" t="s">
        <v>130</v>
      </c>
      <c r="CT1608" s="0" t="s">
        <v>4631</v>
      </c>
    </row>
    <row r="1609">
      <c r="A1609" s="14">
        <v>58121995</v>
      </c>
      <c r="B1609" s="0" t="s">
        <v>4629</v>
      </c>
      <c r="C1609" s="16">
        <f>HYPERLINK("https://eosportal.federatedhermes.com/companies/Q29tcGFueQppNzM3OTU=", "Nutrien Ltd")</f>
      </c>
      <c r="D1609" s="0" t="s">
        <v>25</v>
      </c>
      <c r="E1609" s="0" t="s">
        <v>143</v>
      </c>
      <c r="F1609" s="16">
        <f>HYPERLINK("https://eosportal.federatedhermes.com/engagements/RW5nYWdlbWVudAppMjkxMTY=", "Executive compensation")</f>
      </c>
      <c r="G1609" s="14" t="s">
        <v>4632</v>
      </c>
      <c r="H1609" s="0" t="s">
        <v>141</v>
      </c>
      <c r="I1609" s="14" t="s">
        <v>131</v>
      </c>
      <c r="J1609" s="0" t="s">
        <v>145</v>
      </c>
      <c r="K1609" s="0" t="s">
        <v>146</v>
      </c>
      <c r="L1609" s="0" t="s">
        <v>147</v>
      </c>
      <c r="M1609" s="0" t="s">
        <v>135</v>
      </c>
      <c r="N1609" s="0" t="s">
        <v>1678</v>
      </c>
      <c r="O1609" s="0" t="s">
        <v>706</v>
      </c>
      <c r="Q1609" s="0" t="s">
        <v>130</v>
      </c>
      <c r="R1609" s="0" t="s">
        <v>138</v>
      </c>
      <c r="S1609" s="14">
        <v>0</v>
      </c>
      <c r="T1609" s="0" t="s">
        <v>148</v>
      </c>
      <c r="U1609" s="0" t="s">
        <v>138</v>
      </c>
      <c r="V1609" s="14" t="s">
        <v>138</v>
      </c>
      <c r="W1609" s="0" t="s">
        <v>138</v>
      </c>
      <c r="X1609" s="14" t="s">
        <v>138</v>
      </c>
      <c r="Y1609" s="0" t="s">
        <v>138</v>
      </c>
      <c r="Z1609" s="14" t="s">
        <v>138</v>
      </c>
      <c r="AA1609" s="0" t="s">
        <v>138</v>
      </c>
      <c r="AB1609" s="14" t="s">
        <v>138</v>
      </c>
      <c r="AD1609" s="0" t="s">
        <v>138</v>
      </c>
      <c r="AF1609" s="0">
        <v>0</v>
      </c>
      <c r="AG1609" s="0">
        <v>0</v>
      </c>
      <c r="AH1609" s="0" t="s">
        <v>140</v>
      </c>
      <c r="AI1609" s="0" t="s">
        <v>138</v>
      </c>
      <c r="AL1609" s="14"/>
      <c r="AN1609" s="14"/>
      <c r="AQ1609" s="0" t="s">
        <v>130</v>
      </c>
      <c r="AR1609" s="0" t="s">
        <v>130</v>
      </c>
      <c r="AS1609" s="0" t="s">
        <v>130</v>
      </c>
      <c r="AT1609" s="0" t="s">
        <v>130</v>
      </c>
      <c r="AU1609" s="0" t="s">
        <v>130</v>
      </c>
      <c r="AV1609" s="0" t="s">
        <v>130</v>
      </c>
      <c r="AW1609" s="0" t="s">
        <v>130</v>
      </c>
      <c r="AX1609" s="0" t="s">
        <v>130</v>
      </c>
      <c r="AY1609" s="0" t="s">
        <v>130</v>
      </c>
      <c r="AZ1609" s="0" t="s">
        <v>130</v>
      </c>
      <c r="BA1609" s="0" t="s">
        <v>130</v>
      </c>
      <c r="BB1609" s="0" t="s">
        <v>130</v>
      </c>
      <c r="BC1609" s="0" t="s">
        <v>130</v>
      </c>
      <c r="BD1609" s="0" t="s">
        <v>130</v>
      </c>
      <c r="BE1609" s="0" t="s">
        <v>130</v>
      </c>
      <c r="BF1609" s="0" t="s">
        <v>130</v>
      </c>
      <c r="BG1609" s="0" t="s">
        <v>130</v>
      </c>
      <c r="BH1609" s="0" t="s">
        <v>130</v>
      </c>
      <c r="BI1609" s="0" t="s">
        <v>130</v>
      </c>
      <c r="BJ1609" s="0" t="s">
        <v>130</v>
      </c>
      <c r="BK1609" s="0" t="s">
        <v>130</v>
      </c>
      <c r="BL1609" s="0" t="s">
        <v>130</v>
      </c>
      <c r="BM1609" s="0" t="s">
        <v>130</v>
      </c>
      <c r="BN1609" s="0" t="s">
        <v>130</v>
      </c>
      <c r="BO1609" s="0" t="s">
        <v>130</v>
      </c>
      <c r="BP1609" s="0" t="s">
        <v>130</v>
      </c>
      <c r="BQ1609" s="0" t="s">
        <v>130</v>
      </c>
      <c r="BR1609" s="0" t="s">
        <v>130</v>
      </c>
      <c r="BS1609" s="0" t="s">
        <v>130</v>
      </c>
      <c r="BT1609" s="0" t="s">
        <v>130</v>
      </c>
      <c r="BU1609" s="0" t="s">
        <v>130</v>
      </c>
      <c r="BV1609" s="0" t="s">
        <v>130</v>
      </c>
      <c r="BW1609" s="0" t="s">
        <v>130</v>
      </c>
      <c r="BX1609" s="0" t="s">
        <v>130</v>
      </c>
      <c r="BY1609" s="0" t="s">
        <v>130</v>
      </c>
      <c r="BZ1609" s="0" t="s">
        <v>130</v>
      </c>
      <c r="CA1609" s="0" t="s">
        <v>130</v>
      </c>
      <c r="CB1609" s="0" t="s">
        <v>130</v>
      </c>
      <c r="CC1609" s="0" t="s">
        <v>130</v>
      </c>
      <c r="CD1609" s="0" t="s">
        <v>130</v>
      </c>
      <c r="CE1609" s="0" t="s">
        <v>130</v>
      </c>
      <c r="CF1609" s="0" t="s">
        <v>130</v>
      </c>
      <c r="CG1609" s="0" t="s">
        <v>130</v>
      </c>
      <c r="CH1609" s="0" t="s">
        <v>130</v>
      </c>
      <c r="CI1609" s="0" t="s">
        <v>130</v>
      </c>
      <c r="CJ1609" s="0" t="s">
        <v>130</v>
      </c>
      <c r="CK1609" s="0" t="s">
        <v>130</v>
      </c>
      <c r="CL1609" s="0" t="s">
        <v>130</v>
      </c>
      <c r="CM1609" s="0" t="s">
        <v>130</v>
      </c>
      <c r="CN1609" s="0" t="s">
        <v>130</v>
      </c>
      <c r="CO1609" s="0" t="s">
        <v>130</v>
      </c>
      <c r="CP1609" s="0" t="s">
        <v>130</v>
      </c>
      <c r="CQ1609" s="0" t="s">
        <v>130</v>
      </c>
      <c r="CR1609" s="0" t="s">
        <v>130</v>
      </c>
      <c r="CS1609" s="0" t="s">
        <v>130</v>
      </c>
      <c r="CT1609" s="0" t="s">
        <v>4633</v>
      </c>
    </row>
    <row r="1610">
      <c r="A1610" s="14">
        <v>58121995</v>
      </c>
      <c r="B1610" s="0" t="s">
        <v>4629</v>
      </c>
      <c r="C1610" s="16">
        <f>HYPERLINK("https://eosportal.federatedhermes.com/companies/Q29tcGFueQppNzM3OTU=", "Nutrien Ltd")</f>
      </c>
      <c r="D1610" s="0" t="s">
        <v>25</v>
      </c>
      <c r="E1610" s="0" t="s">
        <v>4634</v>
      </c>
      <c r="F1610" s="16">
        <f>HYPERLINK("https://eosportal.federatedhermes.com/engagements/RW5nYWdlbWVudAppMjkxMjg=", "Strengthen Board Skills, Diversity &amp; Independence")</f>
      </c>
      <c r="G1610" s="14" t="s">
        <v>4635</v>
      </c>
      <c r="H1610" s="0" t="s">
        <v>141</v>
      </c>
      <c r="I1610" s="14" t="s">
        <v>131</v>
      </c>
      <c r="J1610" s="0" t="s">
        <v>145</v>
      </c>
      <c r="K1610" s="0" t="s">
        <v>164</v>
      </c>
      <c r="L1610" s="0" t="s">
        <v>165</v>
      </c>
      <c r="M1610" s="0" t="s">
        <v>135</v>
      </c>
      <c r="N1610" s="0" t="s">
        <v>1678</v>
      </c>
      <c r="O1610" s="0" t="s">
        <v>706</v>
      </c>
      <c r="Q1610" s="0" t="s">
        <v>130</v>
      </c>
      <c r="R1610" s="0" t="s">
        <v>138</v>
      </c>
      <c r="S1610" s="14">
        <v>0</v>
      </c>
      <c r="T1610" s="0" t="s">
        <v>193</v>
      </c>
      <c r="U1610" s="0" t="s">
        <v>138</v>
      </c>
      <c r="V1610" s="14" t="s">
        <v>138</v>
      </c>
      <c r="W1610" s="0" t="s">
        <v>138</v>
      </c>
      <c r="X1610" s="14" t="s">
        <v>138</v>
      </c>
      <c r="Y1610" s="0" t="s">
        <v>138</v>
      </c>
      <c r="Z1610" s="14" t="s">
        <v>138</v>
      </c>
      <c r="AA1610" s="0" t="s">
        <v>138</v>
      </c>
      <c r="AB1610" s="14" t="s">
        <v>138</v>
      </c>
      <c r="AD1610" s="0" t="s">
        <v>138</v>
      </c>
      <c r="AF1610" s="0">
        <v>0</v>
      </c>
      <c r="AG1610" s="0">
        <v>0</v>
      </c>
      <c r="AH1610" s="0" t="s">
        <v>140</v>
      </c>
      <c r="AI1610" s="0" t="s">
        <v>138</v>
      </c>
      <c r="AL1610" s="14"/>
      <c r="AN1610" s="14"/>
      <c r="AQ1610" s="0" t="s">
        <v>130</v>
      </c>
      <c r="AR1610" s="0" t="s">
        <v>130</v>
      </c>
      <c r="AS1610" s="0" t="s">
        <v>130</v>
      </c>
      <c r="AT1610" s="0" t="s">
        <v>130</v>
      </c>
      <c r="AU1610" s="0" t="s">
        <v>141</v>
      </c>
      <c r="AV1610" s="0" t="s">
        <v>130</v>
      </c>
      <c r="AW1610" s="0" t="s">
        <v>130</v>
      </c>
      <c r="AX1610" s="0" t="s">
        <v>130</v>
      </c>
      <c r="AY1610" s="0" t="s">
        <v>130</v>
      </c>
      <c r="AZ1610" s="0" t="s">
        <v>141</v>
      </c>
      <c r="BA1610" s="0" t="s">
        <v>130</v>
      </c>
      <c r="BB1610" s="0" t="s">
        <v>130</v>
      </c>
      <c r="BC1610" s="0" t="s">
        <v>130</v>
      </c>
      <c r="BD1610" s="0" t="s">
        <v>130</v>
      </c>
      <c r="BE1610" s="0" t="s">
        <v>130</v>
      </c>
      <c r="BF1610" s="0" t="s">
        <v>130</v>
      </c>
      <c r="BG1610" s="0" t="s">
        <v>130</v>
      </c>
      <c r="BH1610" s="0" t="s">
        <v>130</v>
      </c>
      <c r="BI1610" s="0" t="s">
        <v>130</v>
      </c>
      <c r="BJ1610" s="0" t="s">
        <v>130</v>
      </c>
      <c r="BK1610" s="0" t="s">
        <v>130</v>
      </c>
      <c r="BL1610" s="0" t="s">
        <v>130</v>
      </c>
      <c r="BM1610" s="0" t="s">
        <v>130</v>
      </c>
      <c r="BN1610" s="0" t="s">
        <v>130</v>
      </c>
      <c r="BO1610" s="0" t="s">
        <v>130</v>
      </c>
      <c r="BP1610" s="0" t="s">
        <v>130</v>
      </c>
      <c r="BQ1610" s="0" t="s">
        <v>130</v>
      </c>
      <c r="BR1610" s="0" t="s">
        <v>130</v>
      </c>
      <c r="BS1610" s="0" t="s">
        <v>130</v>
      </c>
      <c r="BT1610" s="0" t="s">
        <v>130</v>
      </c>
      <c r="BU1610" s="0" t="s">
        <v>130</v>
      </c>
      <c r="BV1610" s="0" t="s">
        <v>130</v>
      </c>
      <c r="BW1610" s="0" t="s">
        <v>130</v>
      </c>
      <c r="BX1610" s="0" t="s">
        <v>130</v>
      </c>
      <c r="BY1610" s="0" t="s">
        <v>130</v>
      </c>
      <c r="BZ1610" s="0" t="s">
        <v>130</v>
      </c>
      <c r="CA1610" s="0" t="s">
        <v>130</v>
      </c>
      <c r="CB1610" s="0" t="s">
        <v>130</v>
      </c>
      <c r="CC1610" s="0" t="s">
        <v>130</v>
      </c>
      <c r="CD1610" s="0" t="s">
        <v>130</v>
      </c>
      <c r="CE1610" s="0" t="s">
        <v>130</v>
      </c>
      <c r="CF1610" s="0" t="s">
        <v>130</v>
      </c>
      <c r="CG1610" s="0" t="s">
        <v>130</v>
      </c>
      <c r="CH1610" s="0" t="s">
        <v>130</v>
      </c>
      <c r="CI1610" s="0" t="s">
        <v>130</v>
      </c>
      <c r="CJ1610" s="0" t="s">
        <v>130</v>
      </c>
      <c r="CK1610" s="0" t="s">
        <v>130</v>
      </c>
      <c r="CL1610" s="0" t="s">
        <v>130</v>
      </c>
      <c r="CM1610" s="0" t="s">
        <v>130</v>
      </c>
      <c r="CN1610" s="0" t="s">
        <v>130</v>
      </c>
      <c r="CO1610" s="0" t="s">
        <v>130</v>
      </c>
      <c r="CP1610" s="0" t="s">
        <v>130</v>
      </c>
      <c r="CQ1610" s="0" t="s">
        <v>130</v>
      </c>
      <c r="CR1610" s="0" t="s">
        <v>130</v>
      </c>
      <c r="CS1610" s="0" t="s">
        <v>130</v>
      </c>
      <c r="CT1610" s="0" t="s">
        <v>4636</v>
      </c>
    </row>
    <row r="1611">
      <c r="A1611" s="14">
        <v>58121995</v>
      </c>
      <c r="B1611" s="0" t="s">
        <v>4629</v>
      </c>
      <c r="C1611" s="16">
        <f>HYPERLINK("https://eosportal.federatedhermes.com/companies/Q29tcGFueQppNzM3OTU=", "Nutrien Ltd")</f>
      </c>
      <c r="D1611" s="0" t="s">
        <v>25</v>
      </c>
      <c r="E1611" s="0" t="s">
        <v>3604</v>
      </c>
      <c r="F1611" s="16">
        <f>HYPERLINK("https://eosportal.federatedhermes.com/engagements/RW5nYWdlbWVudAppMjkxMjk=", "Human Capital Performance &amp; Disclosure")</f>
      </c>
      <c r="G1611" s="14" t="s">
        <v>4637</v>
      </c>
      <c r="H1611" s="0" t="s">
        <v>141</v>
      </c>
      <c r="I1611" s="14" t="s">
        <v>131</v>
      </c>
      <c r="J1611" s="0" t="s">
        <v>153</v>
      </c>
      <c r="K1611" s="0" t="s">
        <v>154</v>
      </c>
      <c r="L1611" s="0" t="s">
        <v>268</v>
      </c>
      <c r="M1611" s="0" t="s">
        <v>135</v>
      </c>
      <c r="N1611" s="0" t="s">
        <v>1678</v>
      </c>
      <c r="O1611" s="0" t="s">
        <v>706</v>
      </c>
      <c r="Q1611" s="0" t="s">
        <v>130</v>
      </c>
      <c r="R1611" s="0" t="s">
        <v>138</v>
      </c>
      <c r="S1611" s="14">
        <v>0</v>
      </c>
      <c r="T1611" s="0" t="s">
        <v>288</v>
      </c>
      <c r="U1611" s="0" t="s">
        <v>138</v>
      </c>
      <c r="V1611" s="14" t="s">
        <v>138</v>
      </c>
      <c r="W1611" s="0" t="s">
        <v>138</v>
      </c>
      <c r="X1611" s="14" t="s">
        <v>138</v>
      </c>
      <c r="Y1611" s="0" t="s">
        <v>138</v>
      </c>
      <c r="Z1611" s="14" t="s">
        <v>138</v>
      </c>
      <c r="AA1611" s="0" t="s">
        <v>138</v>
      </c>
      <c r="AB1611" s="14" t="s">
        <v>138</v>
      </c>
      <c r="AD1611" s="0" t="s">
        <v>138</v>
      </c>
      <c r="AF1611" s="0">
        <v>0</v>
      </c>
      <c r="AG1611" s="0">
        <v>0</v>
      </c>
      <c r="AH1611" s="0" t="s">
        <v>140</v>
      </c>
      <c r="AI1611" s="0" t="s">
        <v>138</v>
      </c>
      <c r="AL1611" s="14"/>
      <c r="AN1611" s="14"/>
      <c r="AQ1611" s="0" t="s">
        <v>130</v>
      </c>
      <c r="AR1611" s="0" t="s">
        <v>130</v>
      </c>
      <c r="AS1611" s="0" t="s">
        <v>130</v>
      </c>
      <c r="AT1611" s="0" t="s">
        <v>130</v>
      </c>
      <c r="AU1611" s="0" t="s">
        <v>130</v>
      </c>
      <c r="AV1611" s="0" t="s">
        <v>130</v>
      </c>
      <c r="AW1611" s="0" t="s">
        <v>130</v>
      </c>
      <c r="AX1611" s="0" t="s">
        <v>130</v>
      </c>
      <c r="AY1611" s="0" t="s">
        <v>130</v>
      </c>
      <c r="AZ1611" s="0" t="s">
        <v>130</v>
      </c>
      <c r="BA1611" s="0" t="s">
        <v>130</v>
      </c>
      <c r="BB1611" s="0" t="s">
        <v>130</v>
      </c>
      <c r="BC1611" s="0" t="s">
        <v>130</v>
      </c>
      <c r="BD1611" s="0" t="s">
        <v>130</v>
      </c>
      <c r="BE1611" s="0" t="s">
        <v>130</v>
      </c>
      <c r="BF1611" s="0" t="s">
        <v>130</v>
      </c>
      <c r="BG1611" s="0" t="s">
        <v>130</v>
      </c>
      <c r="BH1611" s="0" t="s">
        <v>130</v>
      </c>
      <c r="BI1611" s="0" t="s">
        <v>130</v>
      </c>
      <c r="BJ1611" s="0" t="s">
        <v>130</v>
      </c>
      <c r="BK1611" s="0" t="s">
        <v>130</v>
      </c>
      <c r="BL1611" s="0" t="s">
        <v>130</v>
      </c>
      <c r="BM1611" s="0" t="s">
        <v>130</v>
      </c>
      <c r="BN1611" s="0" t="s">
        <v>130</v>
      </c>
      <c r="BO1611" s="0" t="s">
        <v>130</v>
      </c>
      <c r="BP1611" s="0" t="s">
        <v>130</v>
      </c>
      <c r="BQ1611" s="0" t="s">
        <v>130</v>
      </c>
      <c r="BR1611" s="0" t="s">
        <v>130</v>
      </c>
      <c r="BS1611" s="0" t="s">
        <v>130</v>
      </c>
      <c r="BT1611" s="0" t="s">
        <v>130</v>
      </c>
      <c r="BU1611" s="0" t="s">
        <v>130</v>
      </c>
      <c r="BV1611" s="0" t="s">
        <v>130</v>
      </c>
      <c r="BW1611" s="0" t="s">
        <v>130</v>
      </c>
      <c r="BX1611" s="0" t="s">
        <v>130</v>
      </c>
      <c r="BY1611" s="0" t="s">
        <v>130</v>
      </c>
      <c r="BZ1611" s="0" t="s">
        <v>130</v>
      </c>
      <c r="CA1611" s="0" t="s">
        <v>130</v>
      </c>
      <c r="CB1611" s="0" t="s">
        <v>130</v>
      </c>
      <c r="CC1611" s="0" t="s">
        <v>130</v>
      </c>
      <c r="CD1611" s="0" t="s">
        <v>130</v>
      </c>
      <c r="CE1611" s="0" t="s">
        <v>130</v>
      </c>
      <c r="CF1611" s="0" t="s">
        <v>130</v>
      </c>
      <c r="CG1611" s="0" t="s">
        <v>130</v>
      </c>
      <c r="CH1611" s="0" t="s">
        <v>130</v>
      </c>
      <c r="CI1611" s="0" t="s">
        <v>130</v>
      </c>
      <c r="CJ1611" s="0" t="s">
        <v>130</v>
      </c>
      <c r="CK1611" s="0" t="s">
        <v>141</v>
      </c>
      <c r="CL1611" s="0" t="s">
        <v>130</v>
      </c>
      <c r="CM1611" s="0" t="s">
        <v>130</v>
      </c>
      <c r="CN1611" s="0" t="s">
        <v>130</v>
      </c>
      <c r="CO1611" s="0" t="s">
        <v>130</v>
      </c>
      <c r="CP1611" s="0" t="s">
        <v>130</v>
      </c>
      <c r="CQ1611" s="0" t="s">
        <v>130</v>
      </c>
      <c r="CR1611" s="0" t="s">
        <v>130</v>
      </c>
      <c r="CS1611" s="0" t="s">
        <v>130</v>
      </c>
      <c r="CT1611" s="0" t="s">
        <v>4638</v>
      </c>
    </row>
    <row r="1612">
      <c r="A1612" s="14">
        <v>58244711</v>
      </c>
      <c r="B1612" s="0" t="s">
        <v>4639</v>
      </c>
      <c r="C1612" s="16">
        <f>HYPERLINK("https://eosportal.federatedhermes.com/companies/Q29tcGFueQppNzU2NjQ=", "ASE Technology Holding Co Ltd")</f>
      </c>
      <c r="D1612" s="0" t="s">
        <v>25</v>
      </c>
      <c r="E1612" s="0" t="s">
        <v>4640</v>
      </c>
      <c r="F1612" s="16">
        <f>HYPERLINK("https://eosportal.federatedhermes.com/engagements/RW5nYWdlbWVudAppMjkxMzA=", "Cash dividends")</f>
      </c>
      <c r="G1612" s="14" t="s">
        <v>4641</v>
      </c>
      <c r="H1612" s="0" t="s">
        <v>130</v>
      </c>
      <c r="I1612" s="14" t="s">
        <v>131</v>
      </c>
      <c r="J1612" s="0" t="s">
        <v>145</v>
      </c>
      <c r="K1612" s="0" t="s">
        <v>400</v>
      </c>
      <c r="L1612" s="0" t="s">
        <v>507</v>
      </c>
      <c r="M1612" s="0" t="s">
        <v>802</v>
      </c>
      <c r="N1612" s="0" t="s">
        <v>2941</v>
      </c>
      <c r="O1612" s="0" t="s">
        <v>1125</v>
      </c>
      <c r="Q1612" s="0" t="s">
        <v>130</v>
      </c>
      <c r="R1612" s="0" t="s">
        <v>138</v>
      </c>
      <c r="S1612" s="14">
        <v>0</v>
      </c>
      <c r="T1612" s="0" t="s">
        <v>355</v>
      </c>
      <c r="U1612" s="0" t="s">
        <v>138</v>
      </c>
      <c r="V1612" s="14" t="s">
        <v>138</v>
      </c>
      <c r="W1612" s="0" t="s">
        <v>138</v>
      </c>
      <c r="X1612" s="14" t="s">
        <v>138</v>
      </c>
      <c r="Y1612" s="0" t="s">
        <v>138</v>
      </c>
      <c r="Z1612" s="14" t="s">
        <v>138</v>
      </c>
      <c r="AA1612" s="0" t="s">
        <v>138</v>
      </c>
      <c r="AB1612" s="14" t="s">
        <v>138</v>
      </c>
      <c r="AD1612" s="0" t="s">
        <v>138</v>
      </c>
      <c r="AF1612" s="0">
        <v>0</v>
      </c>
      <c r="AG1612" s="0">
        <v>0</v>
      </c>
      <c r="AH1612" s="0" t="s">
        <v>140</v>
      </c>
      <c r="AI1612" s="0" t="s">
        <v>138</v>
      </c>
      <c r="AL1612" s="14"/>
      <c r="AN1612" s="14"/>
      <c r="AQ1612" s="0" t="s">
        <v>130</v>
      </c>
      <c r="AR1612" s="0" t="s">
        <v>130</v>
      </c>
      <c r="AS1612" s="0" t="s">
        <v>130</v>
      </c>
      <c r="AT1612" s="0" t="s">
        <v>130</v>
      </c>
      <c r="AU1612" s="0" t="s">
        <v>130</v>
      </c>
      <c r="AV1612" s="0" t="s">
        <v>130</v>
      </c>
      <c r="AW1612" s="0" t="s">
        <v>130</v>
      </c>
      <c r="AX1612" s="0" t="s">
        <v>130</v>
      </c>
      <c r="AY1612" s="0" t="s">
        <v>141</v>
      </c>
      <c r="AZ1612" s="0" t="s">
        <v>130</v>
      </c>
      <c r="BA1612" s="0" t="s">
        <v>130</v>
      </c>
      <c r="BB1612" s="0" t="s">
        <v>130</v>
      </c>
      <c r="BC1612" s="0" t="s">
        <v>130</v>
      </c>
      <c r="BD1612" s="0" t="s">
        <v>130</v>
      </c>
      <c r="BE1612" s="0" t="s">
        <v>130</v>
      </c>
      <c r="BF1612" s="0" t="s">
        <v>130</v>
      </c>
      <c r="BG1612" s="0" t="s">
        <v>130</v>
      </c>
      <c r="BH1612" s="0" t="s">
        <v>130</v>
      </c>
      <c r="BI1612" s="0" t="s">
        <v>130</v>
      </c>
      <c r="BJ1612" s="0" t="s">
        <v>130</v>
      </c>
      <c r="BK1612" s="0" t="s">
        <v>130</v>
      </c>
      <c r="BL1612" s="0" t="s">
        <v>130</v>
      </c>
      <c r="BM1612" s="0" t="s">
        <v>130</v>
      </c>
      <c r="BN1612" s="0" t="s">
        <v>130</v>
      </c>
      <c r="BO1612" s="0" t="s">
        <v>130</v>
      </c>
      <c r="BP1612" s="0" t="s">
        <v>130</v>
      </c>
      <c r="BQ1612" s="0" t="s">
        <v>130</v>
      </c>
      <c r="BR1612" s="0" t="s">
        <v>130</v>
      </c>
      <c r="BS1612" s="0" t="s">
        <v>130</v>
      </c>
      <c r="BT1612" s="0" t="s">
        <v>130</v>
      </c>
      <c r="BU1612" s="0" t="s">
        <v>130</v>
      </c>
      <c r="BV1612" s="0" t="s">
        <v>130</v>
      </c>
      <c r="BW1612" s="0" t="s">
        <v>130</v>
      </c>
      <c r="BX1612" s="0" t="s">
        <v>130</v>
      </c>
      <c r="BY1612" s="0" t="s">
        <v>130</v>
      </c>
      <c r="BZ1612" s="0" t="s">
        <v>130</v>
      </c>
      <c r="CA1612" s="0" t="s">
        <v>130</v>
      </c>
      <c r="CB1612" s="0" t="s">
        <v>130</v>
      </c>
      <c r="CC1612" s="0" t="s">
        <v>130</v>
      </c>
      <c r="CD1612" s="0" t="s">
        <v>130</v>
      </c>
      <c r="CE1612" s="0" t="s">
        <v>130</v>
      </c>
      <c r="CF1612" s="0" t="s">
        <v>130</v>
      </c>
      <c r="CG1612" s="0" t="s">
        <v>130</v>
      </c>
      <c r="CH1612" s="0" t="s">
        <v>130</v>
      </c>
      <c r="CI1612" s="0" t="s">
        <v>130</v>
      </c>
      <c r="CJ1612" s="0" t="s">
        <v>130</v>
      </c>
      <c r="CK1612" s="0" t="s">
        <v>130</v>
      </c>
      <c r="CL1612" s="0" t="s">
        <v>130</v>
      </c>
      <c r="CM1612" s="0" t="s">
        <v>130</v>
      </c>
      <c r="CN1612" s="0" t="s">
        <v>130</v>
      </c>
      <c r="CO1612" s="0" t="s">
        <v>130</v>
      </c>
      <c r="CP1612" s="0" t="s">
        <v>130</v>
      </c>
      <c r="CQ1612" s="0" t="s">
        <v>130</v>
      </c>
      <c r="CR1612" s="0" t="s">
        <v>130</v>
      </c>
      <c r="CS1612" s="0" t="s">
        <v>130</v>
      </c>
      <c r="CT1612" s="0" t="s">
        <v>4642</v>
      </c>
    </row>
    <row r="1613">
      <c r="A1613" s="14">
        <v>58244711</v>
      </c>
      <c r="B1613" s="0" t="s">
        <v>4639</v>
      </c>
      <c r="C1613" s="16">
        <f>HYPERLINK("https://eosportal.federatedhermes.com/companies/Q29tcGFueQppNzU2NjQ=", "ASE Technology Holding Co Ltd")</f>
      </c>
      <c r="D1613" s="0" t="s">
        <v>25</v>
      </c>
      <c r="E1613" s="0" t="s">
        <v>4643</v>
      </c>
      <c r="F1613" s="16">
        <f>HYPERLINK("https://eosportal.federatedhermes.com/engagements/RW5nYWdlbWVudAppMjkxMzE=", "Non-compete restrictions")</f>
      </c>
      <c r="G1613" s="14" t="s">
        <v>4644</v>
      </c>
      <c r="H1613" s="0" t="s">
        <v>130</v>
      </c>
      <c r="I1613" s="14" t="s">
        <v>131</v>
      </c>
      <c r="J1613" s="0" t="s">
        <v>145</v>
      </c>
      <c r="K1613" s="0" t="s">
        <v>400</v>
      </c>
      <c r="L1613" s="0" t="s">
        <v>507</v>
      </c>
      <c r="M1613" s="0" t="s">
        <v>802</v>
      </c>
      <c r="N1613" s="0" t="s">
        <v>2941</v>
      </c>
      <c r="O1613" s="0" t="s">
        <v>1125</v>
      </c>
      <c r="Q1613" s="0" t="s">
        <v>130</v>
      </c>
      <c r="R1613" s="0" t="s">
        <v>138</v>
      </c>
      <c r="S1613" s="14">
        <v>0</v>
      </c>
      <c r="T1613" s="0" t="s">
        <v>355</v>
      </c>
      <c r="U1613" s="0" t="s">
        <v>138</v>
      </c>
      <c r="V1613" s="14" t="s">
        <v>138</v>
      </c>
      <c r="W1613" s="0" t="s">
        <v>138</v>
      </c>
      <c r="X1613" s="14" t="s">
        <v>138</v>
      </c>
      <c r="Y1613" s="0" t="s">
        <v>138</v>
      </c>
      <c r="Z1613" s="14" t="s">
        <v>138</v>
      </c>
      <c r="AA1613" s="0" t="s">
        <v>138</v>
      </c>
      <c r="AB1613" s="14" t="s">
        <v>138</v>
      </c>
      <c r="AD1613" s="0" t="s">
        <v>138</v>
      </c>
      <c r="AF1613" s="0">
        <v>0</v>
      </c>
      <c r="AG1613" s="0">
        <v>0</v>
      </c>
      <c r="AH1613" s="0" t="s">
        <v>140</v>
      </c>
      <c r="AI1613" s="0" t="s">
        <v>138</v>
      </c>
      <c r="AL1613" s="14"/>
      <c r="AN1613" s="14"/>
      <c r="AQ1613" s="0" t="s">
        <v>130</v>
      </c>
      <c r="AR1613" s="0" t="s">
        <v>130</v>
      </c>
      <c r="AS1613" s="0" t="s">
        <v>130</v>
      </c>
      <c r="AT1613" s="0" t="s">
        <v>130</v>
      </c>
      <c r="AU1613" s="0" t="s">
        <v>130</v>
      </c>
      <c r="AV1613" s="0" t="s">
        <v>130</v>
      </c>
      <c r="AW1613" s="0" t="s">
        <v>130</v>
      </c>
      <c r="AX1613" s="0" t="s">
        <v>130</v>
      </c>
      <c r="AY1613" s="0" t="s">
        <v>141</v>
      </c>
      <c r="AZ1613" s="0" t="s">
        <v>130</v>
      </c>
      <c r="BA1613" s="0" t="s">
        <v>130</v>
      </c>
      <c r="BB1613" s="0" t="s">
        <v>130</v>
      </c>
      <c r="BC1613" s="0" t="s">
        <v>130</v>
      </c>
      <c r="BD1613" s="0" t="s">
        <v>130</v>
      </c>
      <c r="BE1613" s="0" t="s">
        <v>130</v>
      </c>
      <c r="BF1613" s="0" t="s">
        <v>130</v>
      </c>
      <c r="BG1613" s="0" t="s">
        <v>130</v>
      </c>
      <c r="BH1613" s="0" t="s">
        <v>130</v>
      </c>
      <c r="BI1613" s="0" t="s">
        <v>130</v>
      </c>
      <c r="BJ1613" s="0" t="s">
        <v>130</v>
      </c>
      <c r="BK1613" s="0" t="s">
        <v>130</v>
      </c>
      <c r="BL1613" s="0" t="s">
        <v>130</v>
      </c>
      <c r="BM1613" s="0" t="s">
        <v>130</v>
      </c>
      <c r="BN1613" s="0" t="s">
        <v>130</v>
      </c>
      <c r="BO1613" s="0" t="s">
        <v>130</v>
      </c>
      <c r="BP1613" s="0" t="s">
        <v>130</v>
      </c>
      <c r="BQ1613" s="0" t="s">
        <v>130</v>
      </c>
      <c r="BR1613" s="0" t="s">
        <v>130</v>
      </c>
      <c r="BS1613" s="0" t="s">
        <v>130</v>
      </c>
      <c r="BT1613" s="0" t="s">
        <v>130</v>
      </c>
      <c r="BU1613" s="0" t="s">
        <v>130</v>
      </c>
      <c r="BV1613" s="0" t="s">
        <v>130</v>
      </c>
      <c r="BW1613" s="0" t="s">
        <v>130</v>
      </c>
      <c r="BX1613" s="0" t="s">
        <v>130</v>
      </c>
      <c r="BY1613" s="0" t="s">
        <v>130</v>
      </c>
      <c r="BZ1613" s="0" t="s">
        <v>130</v>
      </c>
      <c r="CA1613" s="0" t="s">
        <v>130</v>
      </c>
      <c r="CB1613" s="0" t="s">
        <v>130</v>
      </c>
      <c r="CC1613" s="0" t="s">
        <v>130</v>
      </c>
      <c r="CD1613" s="0" t="s">
        <v>130</v>
      </c>
      <c r="CE1613" s="0" t="s">
        <v>130</v>
      </c>
      <c r="CF1613" s="0" t="s">
        <v>130</v>
      </c>
      <c r="CG1613" s="0" t="s">
        <v>130</v>
      </c>
      <c r="CH1613" s="0" t="s">
        <v>130</v>
      </c>
      <c r="CI1613" s="0" t="s">
        <v>130</v>
      </c>
      <c r="CJ1613" s="0" t="s">
        <v>130</v>
      </c>
      <c r="CK1613" s="0" t="s">
        <v>130</v>
      </c>
      <c r="CL1613" s="0" t="s">
        <v>130</v>
      </c>
      <c r="CM1613" s="0" t="s">
        <v>130</v>
      </c>
      <c r="CN1613" s="0" t="s">
        <v>130</v>
      </c>
      <c r="CO1613" s="0" t="s">
        <v>130</v>
      </c>
      <c r="CP1613" s="0" t="s">
        <v>130</v>
      </c>
      <c r="CQ1613" s="0" t="s">
        <v>130</v>
      </c>
      <c r="CR1613" s="0" t="s">
        <v>130</v>
      </c>
      <c r="CS1613" s="0" t="s">
        <v>130</v>
      </c>
      <c r="CT1613" s="0" t="s">
        <v>4645</v>
      </c>
    </row>
    <row r="1614">
      <c r="A1614" s="14">
        <v>58244711</v>
      </c>
      <c r="B1614" s="0" t="s">
        <v>4639</v>
      </c>
      <c r="C1614" s="16">
        <f>HYPERLINK("https://eosportal.federatedhermes.com/companies/Q29tcGFueQppNzU2NjQ=", "ASE Technology Holding Co Ltd")</f>
      </c>
      <c r="D1614" s="0" t="s">
        <v>25</v>
      </c>
      <c r="E1614" s="0" t="s">
        <v>4646</v>
      </c>
      <c r="F1614" s="16">
        <f>HYPERLINK("https://eosportal.federatedhermes.com/engagements/RW5nYWdlbWVudAppMjkxMzI=", "Nominations committee")</f>
      </c>
      <c r="G1614" s="14" t="s">
        <v>4647</v>
      </c>
      <c r="H1614" s="0" t="s">
        <v>130</v>
      </c>
      <c r="I1614" s="14" t="s">
        <v>131</v>
      </c>
      <c r="J1614" s="0" t="s">
        <v>145</v>
      </c>
      <c r="K1614" s="0" t="s">
        <v>164</v>
      </c>
      <c r="L1614" s="0" t="s">
        <v>165</v>
      </c>
      <c r="M1614" s="0" t="s">
        <v>802</v>
      </c>
      <c r="N1614" s="0" t="s">
        <v>2941</v>
      </c>
      <c r="O1614" s="0" t="s">
        <v>1125</v>
      </c>
      <c r="Q1614" s="0" t="s">
        <v>130</v>
      </c>
      <c r="R1614" s="0" t="s">
        <v>138</v>
      </c>
      <c r="S1614" s="14">
        <v>0</v>
      </c>
      <c r="T1614" s="0" t="s">
        <v>487</v>
      </c>
      <c r="U1614" s="0" t="s">
        <v>138</v>
      </c>
      <c r="V1614" s="14" t="s">
        <v>138</v>
      </c>
      <c r="W1614" s="0" t="s">
        <v>138</v>
      </c>
      <c r="X1614" s="14" t="s">
        <v>138</v>
      </c>
      <c r="Y1614" s="0" t="s">
        <v>138</v>
      </c>
      <c r="Z1614" s="14" t="s">
        <v>138</v>
      </c>
      <c r="AA1614" s="0" t="s">
        <v>138</v>
      </c>
      <c r="AB1614" s="14" t="s">
        <v>138</v>
      </c>
      <c r="AD1614" s="0" t="s">
        <v>138</v>
      </c>
      <c r="AF1614" s="0">
        <v>0</v>
      </c>
      <c r="AG1614" s="0">
        <v>0</v>
      </c>
      <c r="AH1614" s="0" t="s">
        <v>140</v>
      </c>
      <c r="AI1614" s="0" t="s">
        <v>138</v>
      </c>
      <c r="AL1614" s="14"/>
      <c r="AN1614" s="14"/>
      <c r="AQ1614" s="0" t="s">
        <v>130</v>
      </c>
      <c r="AR1614" s="0" t="s">
        <v>130</v>
      </c>
      <c r="AS1614" s="0" t="s">
        <v>130</v>
      </c>
      <c r="AT1614" s="0" t="s">
        <v>130</v>
      </c>
      <c r="AU1614" s="0" t="s">
        <v>130</v>
      </c>
      <c r="AV1614" s="0" t="s">
        <v>130</v>
      </c>
      <c r="AW1614" s="0" t="s">
        <v>130</v>
      </c>
      <c r="AX1614" s="0" t="s">
        <v>130</v>
      </c>
      <c r="AY1614" s="0" t="s">
        <v>130</v>
      </c>
      <c r="AZ1614" s="0" t="s">
        <v>130</v>
      </c>
      <c r="BA1614" s="0" t="s">
        <v>130</v>
      </c>
      <c r="BB1614" s="0" t="s">
        <v>130</v>
      </c>
      <c r="BC1614" s="0" t="s">
        <v>130</v>
      </c>
      <c r="BD1614" s="0" t="s">
        <v>130</v>
      </c>
      <c r="BE1614" s="0" t="s">
        <v>130</v>
      </c>
      <c r="BF1614" s="0" t="s">
        <v>130</v>
      </c>
      <c r="BG1614" s="0" t="s">
        <v>130</v>
      </c>
      <c r="BH1614" s="0" t="s">
        <v>130</v>
      </c>
      <c r="BI1614" s="0" t="s">
        <v>130</v>
      </c>
      <c r="BJ1614" s="0" t="s">
        <v>130</v>
      </c>
      <c r="BK1614" s="0" t="s">
        <v>130</v>
      </c>
      <c r="BL1614" s="0" t="s">
        <v>130</v>
      </c>
      <c r="BM1614" s="0" t="s">
        <v>130</v>
      </c>
      <c r="BN1614" s="0" t="s">
        <v>130</v>
      </c>
      <c r="BO1614" s="0" t="s">
        <v>130</v>
      </c>
      <c r="BP1614" s="0" t="s">
        <v>130</v>
      </c>
      <c r="BQ1614" s="0" t="s">
        <v>130</v>
      </c>
      <c r="BR1614" s="0" t="s">
        <v>130</v>
      </c>
      <c r="BS1614" s="0" t="s">
        <v>130</v>
      </c>
      <c r="BT1614" s="0" t="s">
        <v>130</v>
      </c>
      <c r="BU1614" s="0" t="s">
        <v>130</v>
      </c>
      <c r="BV1614" s="0" t="s">
        <v>130</v>
      </c>
      <c r="BW1614" s="0" t="s">
        <v>130</v>
      </c>
      <c r="BX1614" s="0" t="s">
        <v>130</v>
      </c>
      <c r="BY1614" s="0" t="s">
        <v>130</v>
      </c>
      <c r="BZ1614" s="0" t="s">
        <v>130</v>
      </c>
      <c r="CA1614" s="0" t="s">
        <v>130</v>
      </c>
      <c r="CB1614" s="0" t="s">
        <v>130</v>
      </c>
      <c r="CC1614" s="0" t="s">
        <v>130</v>
      </c>
      <c r="CD1614" s="0" t="s">
        <v>130</v>
      </c>
      <c r="CE1614" s="0" t="s">
        <v>130</v>
      </c>
      <c r="CF1614" s="0" t="s">
        <v>130</v>
      </c>
      <c r="CG1614" s="0" t="s">
        <v>130</v>
      </c>
      <c r="CH1614" s="0" t="s">
        <v>130</v>
      </c>
      <c r="CI1614" s="0" t="s">
        <v>130</v>
      </c>
      <c r="CJ1614" s="0" t="s">
        <v>130</v>
      </c>
      <c r="CK1614" s="0" t="s">
        <v>130</v>
      </c>
      <c r="CL1614" s="0" t="s">
        <v>130</v>
      </c>
      <c r="CM1614" s="0" t="s">
        <v>130</v>
      </c>
      <c r="CN1614" s="0" t="s">
        <v>130</v>
      </c>
      <c r="CO1614" s="0" t="s">
        <v>130</v>
      </c>
      <c r="CP1614" s="0" t="s">
        <v>130</v>
      </c>
      <c r="CQ1614" s="0" t="s">
        <v>130</v>
      </c>
      <c r="CR1614" s="0" t="s">
        <v>130</v>
      </c>
      <c r="CS1614" s="0" t="s">
        <v>130</v>
      </c>
      <c r="CT1614" s="0" t="s">
        <v>4648</v>
      </c>
    </row>
    <row r="1615">
      <c r="A1615" s="14">
        <v>58244711</v>
      </c>
      <c r="B1615" s="0" t="s">
        <v>4639</v>
      </c>
      <c r="C1615" s="16">
        <f>HYPERLINK("https://eosportal.federatedhermes.com/companies/Q29tcGFueQppNzU2NjQ=", "ASE Technology Holding Co Ltd")</f>
      </c>
      <c r="D1615" s="0" t="s">
        <v>23</v>
      </c>
      <c r="E1615" s="0" t="s">
        <v>4649</v>
      </c>
      <c r="F1615" s="16">
        <f>HYPERLINK("https://eosportal.federatedhermes.com/engagements/RW5nYWdlbWVudAppMjkxMzM=", "Supply chain emissions")</f>
      </c>
      <c r="G1615" s="14" t="s">
        <v>4650</v>
      </c>
      <c r="H1615" s="0" t="s">
        <v>130</v>
      </c>
      <c r="I1615" s="14" t="s">
        <v>131</v>
      </c>
      <c r="J1615" s="0" t="s">
        <v>197</v>
      </c>
      <c r="K1615" s="0" t="s">
        <v>198</v>
      </c>
      <c r="L1615" s="0" t="s">
        <v>216</v>
      </c>
      <c r="M1615" s="0" t="s">
        <v>802</v>
      </c>
      <c r="N1615" s="0" t="s">
        <v>2941</v>
      </c>
      <c r="O1615" s="0" t="s">
        <v>1125</v>
      </c>
      <c r="Q1615" s="0" t="s">
        <v>130</v>
      </c>
      <c r="R1615" s="0" t="s">
        <v>141</v>
      </c>
      <c r="S1615" s="14">
        <v>0</v>
      </c>
      <c r="T1615" s="0" t="s">
        <v>231</v>
      </c>
      <c r="U1615" s="0" t="s">
        <v>221</v>
      </c>
      <c r="V1615" s="14" t="s">
        <v>231</v>
      </c>
      <c r="W1615" s="0" t="s">
        <v>221</v>
      </c>
      <c r="X1615" s="14" t="s">
        <v>231</v>
      </c>
      <c r="Y1615" s="0" t="s">
        <v>221</v>
      </c>
      <c r="Z1615" s="14" t="s">
        <v>222</v>
      </c>
      <c r="AA1615" s="0" t="s">
        <v>221</v>
      </c>
      <c r="AB1615" s="14" t="s">
        <v>361</v>
      </c>
      <c r="AC1615" s="0" t="s">
        <v>20</v>
      </c>
      <c r="AD1615" s="0" t="s">
        <v>362</v>
      </c>
      <c r="AE1615" s="0" t="s">
        <v>363</v>
      </c>
      <c r="AF1615" s="0">
        <v>1</v>
      </c>
      <c r="AG1615" s="0">
        <v>0</v>
      </c>
      <c r="AH1615" s="0" t="s">
        <v>140</v>
      </c>
      <c r="AI1615" s="0" t="s">
        <v>221</v>
      </c>
      <c r="AJ1615" s="0" t="s">
        <v>577</v>
      </c>
      <c r="AL1615" s="14" t="s">
        <v>4651</v>
      </c>
      <c r="AM1615" s="0" t="s">
        <v>580</v>
      </c>
      <c r="AN1615" s="14"/>
      <c r="AP1615" s="0" t="s">
        <v>2976</v>
      </c>
      <c r="AQ1615" s="0" t="s">
        <v>130</v>
      </c>
      <c r="AR1615" s="0" t="s">
        <v>130</v>
      </c>
      <c r="AS1615" s="0" t="s">
        <v>130</v>
      </c>
      <c r="AT1615" s="0" t="s">
        <v>130</v>
      </c>
      <c r="AU1615" s="0" t="s">
        <v>130</v>
      </c>
      <c r="AV1615" s="0" t="s">
        <v>130</v>
      </c>
      <c r="AW1615" s="0" t="s">
        <v>141</v>
      </c>
      <c r="AX1615" s="0" t="s">
        <v>130</v>
      </c>
      <c r="AY1615" s="0" t="s">
        <v>141</v>
      </c>
      <c r="AZ1615" s="0" t="s">
        <v>130</v>
      </c>
      <c r="BA1615" s="0" t="s">
        <v>130</v>
      </c>
      <c r="BB1615" s="0" t="s">
        <v>130</v>
      </c>
      <c r="BC1615" s="0" t="s">
        <v>141</v>
      </c>
      <c r="BD1615" s="0" t="s">
        <v>130</v>
      </c>
      <c r="BE1615" s="0" t="s">
        <v>130</v>
      </c>
      <c r="BF1615" s="0" t="s">
        <v>130</v>
      </c>
      <c r="BG1615" s="0" t="s">
        <v>130</v>
      </c>
      <c r="BH1615" s="0" t="s">
        <v>141</v>
      </c>
      <c r="BI1615" s="0" t="s">
        <v>141</v>
      </c>
      <c r="BJ1615" s="0" t="s">
        <v>141</v>
      </c>
      <c r="BK1615" s="0" t="s">
        <v>141</v>
      </c>
      <c r="BL1615" s="0" t="s">
        <v>141</v>
      </c>
      <c r="BM1615" s="0" t="s">
        <v>130</v>
      </c>
      <c r="BN1615" s="0" t="s">
        <v>130</v>
      </c>
      <c r="BO1615" s="0" t="s">
        <v>130</v>
      </c>
      <c r="BP1615" s="0" t="s">
        <v>130</v>
      </c>
      <c r="BQ1615" s="0" t="s">
        <v>130</v>
      </c>
      <c r="BR1615" s="0" t="s">
        <v>130</v>
      </c>
      <c r="BS1615" s="0" t="s">
        <v>130</v>
      </c>
      <c r="BT1615" s="0" t="s">
        <v>130</v>
      </c>
      <c r="BU1615" s="0" t="s">
        <v>130</v>
      </c>
      <c r="BV1615" s="0" t="s">
        <v>141</v>
      </c>
      <c r="BW1615" s="0" t="s">
        <v>141</v>
      </c>
      <c r="BX1615" s="0" t="s">
        <v>130</v>
      </c>
      <c r="BY1615" s="0" t="s">
        <v>130</v>
      </c>
      <c r="BZ1615" s="0" t="s">
        <v>130</v>
      </c>
      <c r="CA1615" s="0" t="s">
        <v>130</v>
      </c>
      <c r="CB1615" s="0" t="s">
        <v>130</v>
      </c>
      <c r="CC1615" s="0" t="s">
        <v>130</v>
      </c>
      <c r="CD1615" s="0" t="s">
        <v>130</v>
      </c>
      <c r="CE1615" s="0" t="s">
        <v>130</v>
      </c>
      <c r="CF1615" s="0" t="s">
        <v>130</v>
      </c>
      <c r="CG1615" s="0" t="s">
        <v>130</v>
      </c>
      <c r="CH1615" s="0" t="s">
        <v>130</v>
      </c>
      <c r="CI1615" s="0" t="s">
        <v>130</v>
      </c>
      <c r="CJ1615" s="0" t="s">
        <v>130</v>
      </c>
      <c r="CK1615" s="0" t="s">
        <v>130</v>
      </c>
      <c r="CL1615" s="0" t="s">
        <v>130</v>
      </c>
      <c r="CM1615" s="0" t="s">
        <v>130</v>
      </c>
      <c r="CN1615" s="0" t="s">
        <v>130</v>
      </c>
      <c r="CO1615" s="0" t="s">
        <v>130</v>
      </c>
      <c r="CP1615" s="0" t="s">
        <v>130</v>
      </c>
      <c r="CQ1615" s="0" t="s">
        <v>130</v>
      </c>
      <c r="CR1615" s="0" t="s">
        <v>130</v>
      </c>
      <c r="CS1615" s="0" t="s">
        <v>130</v>
      </c>
      <c r="CT1615" s="0" t="s">
        <v>4652</v>
      </c>
    </row>
    <row r="1616">
      <c r="A1616" s="14">
        <v>58244711</v>
      </c>
      <c r="B1616" s="0" t="s">
        <v>4639</v>
      </c>
      <c r="C1616" s="16">
        <f>HYPERLINK("https://eosportal.federatedhermes.com/companies/Q29tcGFueQppNzU2NjQ=", "ASE Technology Holding Co Ltd")</f>
      </c>
      <c r="D1616" s="0" t="s">
        <v>23</v>
      </c>
      <c r="E1616" s="0" t="s">
        <v>3027</v>
      </c>
      <c r="F1616" s="16">
        <f>HYPERLINK("https://eosportal.federatedhermes.com/engagements/RW5nYWdlbWVudAppMjkxMzY=", "Board gender diversity")</f>
      </c>
      <c r="G1616" s="14" t="s">
        <v>4653</v>
      </c>
      <c r="H1616" s="0" t="s">
        <v>130</v>
      </c>
      <c r="I1616" s="14" t="s">
        <v>131</v>
      </c>
      <c r="J1616" s="0" t="s">
        <v>145</v>
      </c>
      <c r="K1616" s="0" t="s">
        <v>164</v>
      </c>
      <c r="L1616" s="0" t="s">
        <v>165</v>
      </c>
      <c r="M1616" s="0" t="s">
        <v>802</v>
      </c>
      <c r="N1616" s="0" t="s">
        <v>2941</v>
      </c>
      <c r="O1616" s="0" t="s">
        <v>1125</v>
      </c>
      <c r="Q1616" s="0" t="s">
        <v>130</v>
      </c>
      <c r="R1616" s="0" t="s">
        <v>130</v>
      </c>
      <c r="S1616" s="14">
        <v>0</v>
      </c>
      <c r="T1616" s="0" t="s">
        <v>231</v>
      </c>
      <c r="U1616" s="0" t="s">
        <v>221</v>
      </c>
      <c r="V1616" s="14" t="s">
        <v>231</v>
      </c>
      <c r="W1616" s="0" t="s">
        <v>221</v>
      </c>
      <c r="X1616" s="14" t="s">
        <v>231</v>
      </c>
      <c r="Y1616" s="0" t="s">
        <v>221</v>
      </c>
      <c r="Z1616" s="14" t="s">
        <v>446</v>
      </c>
      <c r="AA1616" s="0" t="s">
        <v>223</v>
      </c>
      <c r="AB1616" s="14" t="s">
        <v>138</v>
      </c>
      <c r="AD1616" s="0" t="s">
        <v>20</v>
      </c>
      <c r="AF1616" s="0">
        <v>0</v>
      </c>
      <c r="AG1616" s="0">
        <v>0</v>
      </c>
      <c r="AH1616" s="0" t="s">
        <v>140</v>
      </c>
      <c r="AI1616" s="0" t="s">
        <v>479</v>
      </c>
      <c r="AL1616" s="14"/>
      <c r="AN1616" s="14"/>
      <c r="AQ1616" s="0" t="s">
        <v>130</v>
      </c>
      <c r="AR1616" s="0" t="s">
        <v>130</v>
      </c>
      <c r="AS1616" s="0" t="s">
        <v>130</v>
      </c>
      <c r="AT1616" s="0" t="s">
        <v>130</v>
      </c>
      <c r="AU1616" s="0" t="s">
        <v>141</v>
      </c>
      <c r="AV1616" s="0" t="s">
        <v>130</v>
      </c>
      <c r="AW1616" s="0" t="s">
        <v>130</v>
      </c>
      <c r="AX1616" s="0" t="s">
        <v>130</v>
      </c>
      <c r="AY1616" s="0" t="s">
        <v>130</v>
      </c>
      <c r="AZ1616" s="0" t="s">
        <v>130</v>
      </c>
      <c r="BA1616" s="0" t="s">
        <v>130</v>
      </c>
      <c r="BB1616" s="0" t="s">
        <v>130</v>
      </c>
      <c r="BC1616" s="0" t="s">
        <v>130</v>
      </c>
      <c r="BD1616" s="0" t="s">
        <v>130</v>
      </c>
      <c r="BE1616" s="0" t="s">
        <v>130</v>
      </c>
      <c r="BF1616" s="0" t="s">
        <v>130</v>
      </c>
      <c r="BG1616" s="0" t="s">
        <v>130</v>
      </c>
      <c r="BH1616" s="0" t="s">
        <v>130</v>
      </c>
      <c r="BI1616" s="0" t="s">
        <v>130</v>
      </c>
      <c r="BJ1616" s="0" t="s">
        <v>130</v>
      </c>
      <c r="BK1616" s="0" t="s">
        <v>130</v>
      </c>
      <c r="BL1616" s="0" t="s">
        <v>130</v>
      </c>
      <c r="BM1616" s="0" t="s">
        <v>130</v>
      </c>
      <c r="BN1616" s="0" t="s">
        <v>130</v>
      </c>
      <c r="BO1616" s="0" t="s">
        <v>130</v>
      </c>
      <c r="BP1616" s="0" t="s">
        <v>130</v>
      </c>
      <c r="BQ1616" s="0" t="s">
        <v>130</v>
      </c>
      <c r="BR1616" s="0" t="s">
        <v>130</v>
      </c>
      <c r="BS1616" s="0" t="s">
        <v>130</v>
      </c>
      <c r="BT1616" s="0" t="s">
        <v>130</v>
      </c>
      <c r="BU1616" s="0" t="s">
        <v>130</v>
      </c>
      <c r="BV1616" s="0" t="s">
        <v>130</v>
      </c>
      <c r="BW1616" s="0" t="s">
        <v>130</v>
      </c>
      <c r="BX1616" s="0" t="s">
        <v>130</v>
      </c>
      <c r="BY1616" s="0" t="s">
        <v>130</v>
      </c>
      <c r="BZ1616" s="0" t="s">
        <v>130</v>
      </c>
      <c r="CA1616" s="0" t="s">
        <v>130</v>
      </c>
      <c r="CB1616" s="0" t="s">
        <v>130</v>
      </c>
      <c r="CC1616" s="0" t="s">
        <v>130</v>
      </c>
      <c r="CD1616" s="0" t="s">
        <v>130</v>
      </c>
      <c r="CE1616" s="0" t="s">
        <v>130</v>
      </c>
      <c r="CF1616" s="0" t="s">
        <v>130</v>
      </c>
      <c r="CG1616" s="0" t="s">
        <v>130</v>
      </c>
      <c r="CH1616" s="0" t="s">
        <v>130</v>
      </c>
      <c r="CI1616" s="0" t="s">
        <v>130</v>
      </c>
      <c r="CJ1616" s="0" t="s">
        <v>130</v>
      </c>
      <c r="CK1616" s="0" t="s">
        <v>130</v>
      </c>
      <c r="CL1616" s="0" t="s">
        <v>130</v>
      </c>
      <c r="CM1616" s="0" t="s">
        <v>130</v>
      </c>
      <c r="CN1616" s="0" t="s">
        <v>130</v>
      </c>
      <c r="CO1616" s="0" t="s">
        <v>130</v>
      </c>
      <c r="CP1616" s="0" t="s">
        <v>130</v>
      </c>
      <c r="CQ1616" s="0" t="s">
        <v>130</v>
      </c>
      <c r="CR1616" s="0" t="s">
        <v>130</v>
      </c>
      <c r="CS1616" s="0" t="s">
        <v>130</v>
      </c>
      <c r="CT1616" s="0" t="s">
        <v>4654</v>
      </c>
    </row>
    <row r="1617">
      <c r="A1617" s="14">
        <v>58244711</v>
      </c>
      <c r="B1617" s="0" t="s">
        <v>4639</v>
      </c>
      <c r="C1617" s="16">
        <f>HYPERLINK("https://eosportal.federatedhermes.com/companies/Q29tcGFueQppNzU2NjQ=", "ASE Technology Holding Co Ltd")</f>
      </c>
      <c r="D1617" s="0" t="s">
        <v>23</v>
      </c>
      <c r="E1617" s="0" t="s">
        <v>4655</v>
      </c>
      <c r="F1617" s="16">
        <f>HYPERLINK("https://eosportal.federatedhermes.com/engagements/RW5nYWdlbWVudAppMjkxMzc=", "Migrant workers disclosure")</f>
      </c>
      <c r="G1617" s="14" t="s">
        <v>4656</v>
      </c>
      <c r="H1617" s="0" t="s">
        <v>130</v>
      </c>
      <c r="I1617" s="14" t="s">
        <v>131</v>
      </c>
      <c r="J1617" s="0" t="s">
        <v>153</v>
      </c>
      <c r="K1617" s="0" t="s">
        <v>154</v>
      </c>
      <c r="L1617" s="0" t="s">
        <v>155</v>
      </c>
      <c r="M1617" s="0" t="s">
        <v>802</v>
      </c>
      <c r="N1617" s="0" t="s">
        <v>2941</v>
      </c>
      <c r="O1617" s="0" t="s">
        <v>1125</v>
      </c>
      <c r="Q1617" s="0" t="s">
        <v>130</v>
      </c>
      <c r="R1617" s="0" t="s">
        <v>141</v>
      </c>
      <c r="S1617" s="14">
        <v>0</v>
      </c>
      <c r="T1617" s="0" t="s">
        <v>231</v>
      </c>
      <c r="U1617" s="0" t="s">
        <v>221</v>
      </c>
      <c r="V1617" s="14" t="s">
        <v>231</v>
      </c>
      <c r="W1617" s="0" t="s">
        <v>221</v>
      </c>
      <c r="X1617" s="14" t="s">
        <v>231</v>
      </c>
      <c r="Y1617" s="0" t="s">
        <v>221</v>
      </c>
      <c r="Z1617" s="14" t="s">
        <v>446</v>
      </c>
      <c r="AA1617" s="0" t="s">
        <v>221</v>
      </c>
      <c r="AB1617" s="14" t="s">
        <v>361</v>
      </c>
      <c r="AC1617" s="0" t="s">
        <v>20</v>
      </c>
      <c r="AD1617" s="0" t="s">
        <v>362</v>
      </c>
      <c r="AE1617" s="0" t="s">
        <v>363</v>
      </c>
      <c r="AF1617" s="0">
        <v>1</v>
      </c>
      <c r="AG1617" s="0">
        <v>0</v>
      </c>
      <c r="AH1617" s="0" t="s">
        <v>140</v>
      </c>
      <c r="AI1617" s="0" t="s">
        <v>221</v>
      </c>
      <c r="AJ1617" s="0" t="s">
        <v>364</v>
      </c>
      <c r="AL1617" s="14" t="s">
        <v>4657</v>
      </c>
      <c r="AM1617" s="0" t="s">
        <v>580</v>
      </c>
      <c r="AN1617" s="14"/>
      <c r="AQ1617" s="0" t="s">
        <v>130</v>
      </c>
      <c r="AR1617" s="0" t="s">
        <v>130</v>
      </c>
      <c r="AS1617" s="0" t="s">
        <v>130</v>
      </c>
      <c r="AT1617" s="0" t="s">
        <v>130</v>
      </c>
      <c r="AU1617" s="0" t="s">
        <v>130</v>
      </c>
      <c r="AV1617" s="0" t="s">
        <v>130</v>
      </c>
      <c r="AW1617" s="0" t="s">
        <v>130</v>
      </c>
      <c r="AX1617" s="0" t="s">
        <v>141</v>
      </c>
      <c r="AY1617" s="0" t="s">
        <v>130</v>
      </c>
      <c r="AZ1617" s="0" t="s">
        <v>130</v>
      </c>
      <c r="BA1617" s="0" t="s">
        <v>130</v>
      </c>
      <c r="BB1617" s="0" t="s">
        <v>130</v>
      </c>
      <c r="BC1617" s="0" t="s">
        <v>130</v>
      </c>
      <c r="BD1617" s="0" t="s">
        <v>130</v>
      </c>
      <c r="BE1617" s="0" t="s">
        <v>130</v>
      </c>
      <c r="BF1617" s="0" t="s">
        <v>130</v>
      </c>
      <c r="BG1617" s="0" t="s">
        <v>130</v>
      </c>
      <c r="BH1617" s="0" t="s">
        <v>130</v>
      </c>
      <c r="BI1617" s="0" t="s">
        <v>130</v>
      </c>
      <c r="BJ1617" s="0" t="s">
        <v>130</v>
      </c>
      <c r="BK1617" s="0" t="s">
        <v>130</v>
      </c>
      <c r="BL1617" s="0" t="s">
        <v>130</v>
      </c>
      <c r="BM1617" s="0" t="s">
        <v>130</v>
      </c>
      <c r="BN1617" s="0" t="s">
        <v>130</v>
      </c>
      <c r="BO1617" s="0" t="s">
        <v>130</v>
      </c>
      <c r="BP1617" s="0" t="s">
        <v>130</v>
      </c>
      <c r="BQ1617" s="0" t="s">
        <v>130</v>
      </c>
      <c r="BR1617" s="0" t="s">
        <v>130</v>
      </c>
      <c r="BS1617" s="0" t="s">
        <v>130</v>
      </c>
      <c r="BT1617" s="0" t="s">
        <v>130</v>
      </c>
      <c r="BU1617" s="0" t="s">
        <v>130</v>
      </c>
      <c r="BV1617" s="0" t="s">
        <v>130</v>
      </c>
      <c r="BW1617" s="0" t="s">
        <v>130</v>
      </c>
      <c r="BX1617" s="0" t="s">
        <v>130</v>
      </c>
      <c r="BY1617" s="0" t="s">
        <v>130</v>
      </c>
      <c r="BZ1617" s="0" t="s">
        <v>130</v>
      </c>
      <c r="CA1617" s="0" t="s">
        <v>130</v>
      </c>
      <c r="CB1617" s="0" t="s">
        <v>130</v>
      </c>
      <c r="CC1617" s="0" t="s">
        <v>130</v>
      </c>
      <c r="CD1617" s="0" t="s">
        <v>130</v>
      </c>
      <c r="CE1617" s="0" t="s">
        <v>130</v>
      </c>
      <c r="CF1617" s="0" t="s">
        <v>130</v>
      </c>
      <c r="CG1617" s="0" t="s">
        <v>130</v>
      </c>
      <c r="CH1617" s="0" t="s">
        <v>130</v>
      </c>
      <c r="CI1617" s="0" t="s">
        <v>141</v>
      </c>
      <c r="CJ1617" s="0" t="s">
        <v>130</v>
      </c>
      <c r="CK1617" s="0" t="s">
        <v>130</v>
      </c>
      <c r="CL1617" s="0" t="s">
        <v>130</v>
      </c>
      <c r="CM1617" s="0" t="s">
        <v>130</v>
      </c>
      <c r="CN1617" s="0" t="s">
        <v>130</v>
      </c>
      <c r="CO1617" s="0" t="s">
        <v>130</v>
      </c>
      <c r="CP1617" s="0" t="s">
        <v>130</v>
      </c>
      <c r="CQ1617" s="0" t="s">
        <v>130</v>
      </c>
      <c r="CR1617" s="0" t="s">
        <v>130</v>
      </c>
      <c r="CS1617" s="0" t="s">
        <v>130</v>
      </c>
      <c r="CT1617" s="0" t="s">
        <v>4658</v>
      </c>
    </row>
    <row r="1618">
      <c r="A1618" s="14">
        <v>58244711</v>
      </c>
      <c r="B1618" s="0" t="s">
        <v>4639</v>
      </c>
      <c r="C1618" s="16">
        <f>HYPERLINK("https://eosportal.federatedhermes.com/companies/Q29tcGFueQppNzU2NjQ=", "ASE Technology Holding Co Ltd")</f>
      </c>
      <c r="D1618" s="0" t="s">
        <v>23</v>
      </c>
      <c r="E1618" s="0" t="s">
        <v>386</v>
      </c>
      <c r="F1618" s="16">
        <f>HYPERLINK("https://eosportal.federatedhermes.com/engagements/RW5nYWdlbWVudAppMjkxMzg=", "Board independence")</f>
      </c>
      <c r="G1618" s="14" t="s">
        <v>4659</v>
      </c>
      <c r="H1618" s="0" t="s">
        <v>130</v>
      </c>
      <c r="I1618" s="14" t="s">
        <v>131</v>
      </c>
      <c r="J1618" s="0" t="s">
        <v>145</v>
      </c>
      <c r="K1618" s="0" t="s">
        <v>164</v>
      </c>
      <c r="L1618" s="0" t="s">
        <v>165</v>
      </c>
      <c r="M1618" s="0" t="s">
        <v>802</v>
      </c>
      <c r="N1618" s="0" t="s">
        <v>2941</v>
      </c>
      <c r="O1618" s="0" t="s">
        <v>1125</v>
      </c>
      <c r="Q1618" s="0" t="s">
        <v>130</v>
      </c>
      <c r="R1618" s="0" t="s">
        <v>130</v>
      </c>
      <c r="S1618" s="14">
        <v>0</v>
      </c>
      <c r="T1618" s="0" t="s">
        <v>231</v>
      </c>
      <c r="U1618" s="0" t="s">
        <v>221</v>
      </c>
      <c r="V1618" s="14" t="s">
        <v>231</v>
      </c>
      <c r="W1618" s="0" t="s">
        <v>221</v>
      </c>
      <c r="X1618" s="14" t="s">
        <v>231</v>
      </c>
      <c r="Y1618" s="0" t="s">
        <v>221</v>
      </c>
      <c r="Z1618" s="14" t="s">
        <v>231</v>
      </c>
      <c r="AA1618" s="0" t="s">
        <v>223</v>
      </c>
      <c r="AB1618" s="14" t="s">
        <v>138</v>
      </c>
      <c r="AD1618" s="0" t="s">
        <v>20</v>
      </c>
      <c r="AF1618" s="0">
        <v>0</v>
      </c>
      <c r="AG1618" s="0">
        <v>0</v>
      </c>
      <c r="AH1618" s="0" t="s">
        <v>140</v>
      </c>
      <c r="AI1618" s="0" t="s">
        <v>479</v>
      </c>
      <c r="AL1618" s="14"/>
      <c r="AN1618" s="14"/>
      <c r="AQ1618" s="0" t="s">
        <v>130</v>
      </c>
      <c r="AR1618" s="0" t="s">
        <v>130</v>
      </c>
      <c r="AS1618" s="0" t="s">
        <v>130</v>
      </c>
      <c r="AT1618" s="0" t="s">
        <v>130</v>
      </c>
      <c r="AU1618" s="0" t="s">
        <v>130</v>
      </c>
      <c r="AV1618" s="0" t="s">
        <v>130</v>
      </c>
      <c r="AW1618" s="0" t="s">
        <v>130</v>
      </c>
      <c r="AX1618" s="0" t="s">
        <v>130</v>
      </c>
      <c r="AY1618" s="0" t="s">
        <v>130</v>
      </c>
      <c r="AZ1618" s="0" t="s">
        <v>130</v>
      </c>
      <c r="BA1618" s="0" t="s">
        <v>130</v>
      </c>
      <c r="BB1618" s="0" t="s">
        <v>130</v>
      </c>
      <c r="BC1618" s="0" t="s">
        <v>130</v>
      </c>
      <c r="BD1618" s="0" t="s">
        <v>130</v>
      </c>
      <c r="BE1618" s="0" t="s">
        <v>130</v>
      </c>
      <c r="BF1618" s="0" t="s">
        <v>130</v>
      </c>
      <c r="BG1618" s="0" t="s">
        <v>130</v>
      </c>
      <c r="BH1618" s="0" t="s">
        <v>130</v>
      </c>
      <c r="BI1618" s="0" t="s">
        <v>130</v>
      </c>
      <c r="BJ1618" s="0" t="s">
        <v>130</v>
      </c>
      <c r="BK1618" s="0" t="s">
        <v>130</v>
      </c>
      <c r="BL1618" s="0" t="s">
        <v>130</v>
      </c>
      <c r="BM1618" s="0" t="s">
        <v>130</v>
      </c>
      <c r="BN1618" s="0" t="s">
        <v>130</v>
      </c>
      <c r="BO1618" s="0" t="s">
        <v>130</v>
      </c>
      <c r="BP1618" s="0" t="s">
        <v>130</v>
      </c>
      <c r="BQ1618" s="0" t="s">
        <v>130</v>
      </c>
      <c r="BR1618" s="0" t="s">
        <v>130</v>
      </c>
      <c r="BS1618" s="0" t="s">
        <v>130</v>
      </c>
      <c r="BT1618" s="0" t="s">
        <v>130</v>
      </c>
      <c r="BU1618" s="0" t="s">
        <v>130</v>
      </c>
      <c r="BV1618" s="0" t="s">
        <v>130</v>
      </c>
      <c r="BW1618" s="0" t="s">
        <v>130</v>
      </c>
      <c r="BX1618" s="0" t="s">
        <v>130</v>
      </c>
      <c r="BY1618" s="0" t="s">
        <v>130</v>
      </c>
      <c r="BZ1618" s="0" t="s">
        <v>130</v>
      </c>
      <c r="CA1618" s="0" t="s">
        <v>130</v>
      </c>
      <c r="CB1618" s="0" t="s">
        <v>130</v>
      </c>
      <c r="CC1618" s="0" t="s">
        <v>130</v>
      </c>
      <c r="CD1618" s="0" t="s">
        <v>130</v>
      </c>
      <c r="CE1618" s="0" t="s">
        <v>130</v>
      </c>
      <c r="CF1618" s="0" t="s">
        <v>130</v>
      </c>
      <c r="CG1618" s="0" t="s">
        <v>130</v>
      </c>
      <c r="CH1618" s="0" t="s">
        <v>130</v>
      </c>
      <c r="CI1618" s="0" t="s">
        <v>130</v>
      </c>
      <c r="CJ1618" s="0" t="s">
        <v>130</v>
      </c>
      <c r="CK1618" s="0" t="s">
        <v>130</v>
      </c>
      <c r="CL1618" s="0" t="s">
        <v>130</v>
      </c>
      <c r="CM1618" s="0" t="s">
        <v>130</v>
      </c>
      <c r="CN1618" s="0" t="s">
        <v>130</v>
      </c>
      <c r="CO1618" s="0" t="s">
        <v>130</v>
      </c>
      <c r="CP1618" s="0" t="s">
        <v>130</v>
      </c>
      <c r="CQ1618" s="0" t="s">
        <v>130</v>
      </c>
      <c r="CR1618" s="0" t="s">
        <v>130</v>
      </c>
      <c r="CS1618" s="0" t="s">
        <v>130</v>
      </c>
      <c r="CT1618" s="0" t="s">
        <v>4660</v>
      </c>
    </row>
    <row r="1619">
      <c r="A1619" s="14">
        <v>58244711</v>
      </c>
      <c r="B1619" s="0" t="s">
        <v>4639</v>
      </c>
      <c r="C1619" s="16">
        <f>HYPERLINK("https://eosportal.federatedhermes.com/companies/Q29tcGFueQppNzU2NjQ=", "ASE Technology Holding Co Ltd")</f>
      </c>
      <c r="D1619" s="0" t="s">
        <v>25</v>
      </c>
      <c r="E1619" s="0" t="s">
        <v>386</v>
      </c>
      <c r="F1619" s="16">
        <f>HYPERLINK("https://eosportal.federatedhermes.com/engagements/RW5nYWdlbWVudAppMjkxMzk=", "Board independence")</f>
      </c>
      <c r="G1619" s="14" t="s">
        <v>4661</v>
      </c>
      <c r="H1619" s="0" t="s">
        <v>130</v>
      </c>
      <c r="I1619" s="14" t="s">
        <v>131</v>
      </c>
      <c r="J1619" s="0" t="s">
        <v>145</v>
      </c>
      <c r="K1619" s="0" t="s">
        <v>164</v>
      </c>
      <c r="L1619" s="0" t="s">
        <v>165</v>
      </c>
      <c r="M1619" s="0" t="s">
        <v>802</v>
      </c>
      <c r="N1619" s="0" t="s">
        <v>2941</v>
      </c>
      <c r="O1619" s="0" t="s">
        <v>1125</v>
      </c>
      <c r="Q1619" s="0" t="s">
        <v>130</v>
      </c>
      <c r="R1619" s="0" t="s">
        <v>138</v>
      </c>
      <c r="S1619" s="14">
        <v>0</v>
      </c>
      <c r="T1619" s="0" t="s">
        <v>355</v>
      </c>
      <c r="U1619" s="0" t="s">
        <v>138</v>
      </c>
      <c r="V1619" s="14" t="s">
        <v>138</v>
      </c>
      <c r="W1619" s="0" t="s">
        <v>138</v>
      </c>
      <c r="X1619" s="14" t="s">
        <v>138</v>
      </c>
      <c r="Y1619" s="0" t="s">
        <v>138</v>
      </c>
      <c r="Z1619" s="14" t="s">
        <v>138</v>
      </c>
      <c r="AA1619" s="0" t="s">
        <v>138</v>
      </c>
      <c r="AB1619" s="14" t="s">
        <v>138</v>
      </c>
      <c r="AD1619" s="0" t="s">
        <v>138</v>
      </c>
      <c r="AF1619" s="0">
        <v>0</v>
      </c>
      <c r="AG1619" s="0">
        <v>0</v>
      </c>
      <c r="AH1619" s="0" t="s">
        <v>140</v>
      </c>
      <c r="AI1619" s="0" t="s">
        <v>138</v>
      </c>
      <c r="AL1619" s="14"/>
      <c r="AN1619" s="14"/>
      <c r="AQ1619" s="0" t="s">
        <v>130</v>
      </c>
      <c r="AR1619" s="0" t="s">
        <v>130</v>
      </c>
      <c r="AS1619" s="0" t="s">
        <v>130</v>
      </c>
      <c r="AT1619" s="0" t="s">
        <v>130</v>
      </c>
      <c r="AU1619" s="0" t="s">
        <v>130</v>
      </c>
      <c r="AV1619" s="0" t="s">
        <v>130</v>
      </c>
      <c r="AW1619" s="0" t="s">
        <v>130</v>
      </c>
      <c r="AX1619" s="0" t="s">
        <v>130</v>
      </c>
      <c r="AY1619" s="0" t="s">
        <v>130</v>
      </c>
      <c r="AZ1619" s="0" t="s">
        <v>130</v>
      </c>
      <c r="BA1619" s="0" t="s">
        <v>130</v>
      </c>
      <c r="BB1619" s="0" t="s">
        <v>130</v>
      </c>
      <c r="BC1619" s="0" t="s">
        <v>130</v>
      </c>
      <c r="BD1619" s="0" t="s">
        <v>130</v>
      </c>
      <c r="BE1619" s="0" t="s">
        <v>130</v>
      </c>
      <c r="BF1619" s="0" t="s">
        <v>130</v>
      </c>
      <c r="BG1619" s="0" t="s">
        <v>130</v>
      </c>
      <c r="BH1619" s="0" t="s">
        <v>130</v>
      </c>
      <c r="BI1619" s="0" t="s">
        <v>130</v>
      </c>
      <c r="BJ1619" s="0" t="s">
        <v>130</v>
      </c>
      <c r="BK1619" s="0" t="s">
        <v>130</v>
      </c>
      <c r="BL1619" s="0" t="s">
        <v>130</v>
      </c>
      <c r="BM1619" s="0" t="s">
        <v>130</v>
      </c>
      <c r="BN1619" s="0" t="s">
        <v>130</v>
      </c>
      <c r="BO1619" s="0" t="s">
        <v>130</v>
      </c>
      <c r="BP1619" s="0" t="s">
        <v>130</v>
      </c>
      <c r="BQ1619" s="0" t="s">
        <v>130</v>
      </c>
      <c r="BR1619" s="0" t="s">
        <v>130</v>
      </c>
      <c r="BS1619" s="0" t="s">
        <v>130</v>
      </c>
      <c r="BT1619" s="0" t="s">
        <v>130</v>
      </c>
      <c r="BU1619" s="0" t="s">
        <v>130</v>
      </c>
      <c r="BV1619" s="0" t="s">
        <v>130</v>
      </c>
      <c r="BW1619" s="0" t="s">
        <v>130</v>
      </c>
      <c r="BX1619" s="0" t="s">
        <v>130</v>
      </c>
      <c r="BY1619" s="0" t="s">
        <v>130</v>
      </c>
      <c r="BZ1619" s="0" t="s">
        <v>130</v>
      </c>
      <c r="CA1619" s="0" t="s">
        <v>130</v>
      </c>
      <c r="CB1619" s="0" t="s">
        <v>130</v>
      </c>
      <c r="CC1619" s="0" t="s">
        <v>130</v>
      </c>
      <c r="CD1619" s="0" t="s">
        <v>130</v>
      </c>
      <c r="CE1619" s="0" t="s">
        <v>130</v>
      </c>
      <c r="CF1619" s="0" t="s">
        <v>130</v>
      </c>
      <c r="CG1619" s="0" t="s">
        <v>130</v>
      </c>
      <c r="CH1619" s="0" t="s">
        <v>130</v>
      </c>
      <c r="CI1619" s="0" t="s">
        <v>130</v>
      </c>
      <c r="CJ1619" s="0" t="s">
        <v>130</v>
      </c>
      <c r="CK1619" s="0" t="s">
        <v>130</v>
      </c>
      <c r="CL1619" s="0" t="s">
        <v>130</v>
      </c>
      <c r="CM1619" s="0" t="s">
        <v>130</v>
      </c>
      <c r="CN1619" s="0" t="s">
        <v>130</v>
      </c>
      <c r="CO1619" s="0" t="s">
        <v>130</v>
      </c>
      <c r="CP1619" s="0" t="s">
        <v>130</v>
      </c>
      <c r="CQ1619" s="0" t="s">
        <v>130</v>
      </c>
      <c r="CR1619" s="0" t="s">
        <v>130</v>
      </c>
      <c r="CS1619" s="0" t="s">
        <v>130</v>
      </c>
      <c r="CT1619" s="0" t="s">
        <v>4662</v>
      </c>
    </row>
    <row r="1620">
      <c r="A1620" s="14">
        <v>46946968</v>
      </c>
      <c r="B1620" s="0" t="s">
        <v>4663</v>
      </c>
      <c r="C1620" s="16">
        <f>HYPERLINK("https://eosportal.federatedhermes.com/companies/Q29tcGFueQppNTE1MjI=", "Alphabet Inc")</f>
      </c>
      <c r="D1620" s="0" t="s">
        <v>25</v>
      </c>
      <c r="E1620" s="0" t="s">
        <v>4664</v>
      </c>
      <c r="F1620" s="16">
        <f>HYPERLINK("https://eosportal.federatedhermes.com/engagements/RW5nYWdlbWVudAppMjkxNTA=", "Climate")</f>
      </c>
      <c r="G1620" s="14" t="s">
        <v>4665</v>
      </c>
      <c r="H1620" s="0" t="s">
        <v>141</v>
      </c>
      <c r="I1620" s="14" t="s">
        <v>191</v>
      </c>
      <c r="J1620" s="0" t="s">
        <v>197</v>
      </c>
      <c r="K1620" s="0" t="s">
        <v>198</v>
      </c>
      <c r="L1620" s="0" t="s">
        <v>199</v>
      </c>
      <c r="M1620" s="0" t="s">
        <v>135</v>
      </c>
      <c r="N1620" s="0" t="s">
        <v>136</v>
      </c>
      <c r="O1620" s="0" t="s">
        <v>137</v>
      </c>
      <c r="Q1620" s="0" t="s">
        <v>141</v>
      </c>
      <c r="R1620" s="0" t="s">
        <v>138</v>
      </c>
      <c r="S1620" s="14">
        <v>2</v>
      </c>
      <c r="T1620" s="0" t="s">
        <v>394</v>
      </c>
      <c r="U1620" s="0" t="s">
        <v>138</v>
      </c>
      <c r="V1620" s="14" t="s">
        <v>138</v>
      </c>
      <c r="W1620" s="0" t="s">
        <v>138</v>
      </c>
      <c r="X1620" s="14" t="s">
        <v>138</v>
      </c>
      <c r="Y1620" s="0" t="s">
        <v>138</v>
      </c>
      <c r="Z1620" s="14" t="s">
        <v>138</v>
      </c>
      <c r="AA1620" s="0" t="s">
        <v>138</v>
      </c>
      <c r="AB1620" s="14" t="s">
        <v>138</v>
      </c>
      <c r="AD1620" s="0" t="s">
        <v>138</v>
      </c>
      <c r="AF1620" s="0">
        <v>0</v>
      </c>
      <c r="AG1620" s="0">
        <v>0</v>
      </c>
      <c r="AH1620" s="0" t="s">
        <v>140</v>
      </c>
      <c r="AI1620" s="0" t="s">
        <v>138</v>
      </c>
      <c r="AK1620" s="0" t="s">
        <v>4274</v>
      </c>
      <c r="AL1620" s="14"/>
      <c r="AN1620" s="14"/>
      <c r="AQ1620" s="0" t="s">
        <v>130</v>
      </c>
      <c r="AR1620" s="0" t="s">
        <v>130</v>
      </c>
      <c r="AS1620" s="0" t="s">
        <v>130</v>
      </c>
      <c r="AT1620" s="0" t="s">
        <v>130</v>
      </c>
      <c r="AU1620" s="0" t="s">
        <v>130</v>
      </c>
      <c r="AV1620" s="0" t="s">
        <v>130</v>
      </c>
      <c r="AW1620" s="0" t="s">
        <v>130</v>
      </c>
      <c r="AX1620" s="0" t="s">
        <v>130</v>
      </c>
      <c r="AY1620" s="0" t="s">
        <v>130</v>
      </c>
      <c r="AZ1620" s="0" t="s">
        <v>130</v>
      </c>
      <c r="BA1620" s="0" t="s">
        <v>130</v>
      </c>
      <c r="BB1620" s="0" t="s">
        <v>141</v>
      </c>
      <c r="BC1620" s="0" t="s">
        <v>141</v>
      </c>
      <c r="BD1620" s="0" t="s">
        <v>130</v>
      </c>
      <c r="BE1620" s="0" t="s">
        <v>130</v>
      </c>
      <c r="BF1620" s="0" t="s">
        <v>130</v>
      </c>
      <c r="BG1620" s="0" t="s">
        <v>130</v>
      </c>
      <c r="BH1620" s="0" t="s">
        <v>130</v>
      </c>
      <c r="BI1620" s="0" t="s">
        <v>130</v>
      </c>
      <c r="BJ1620" s="0" t="s">
        <v>130</v>
      </c>
      <c r="BK1620" s="0" t="s">
        <v>130</v>
      </c>
      <c r="BL1620" s="0" t="s">
        <v>130</v>
      </c>
      <c r="BM1620" s="0" t="s">
        <v>130</v>
      </c>
      <c r="BN1620" s="0" t="s">
        <v>130</v>
      </c>
      <c r="BO1620" s="0" t="s">
        <v>130</v>
      </c>
      <c r="BP1620" s="0" t="s">
        <v>130</v>
      </c>
      <c r="BQ1620" s="0" t="s">
        <v>130</v>
      </c>
      <c r="BR1620" s="0" t="s">
        <v>130</v>
      </c>
      <c r="BS1620" s="0" t="s">
        <v>130</v>
      </c>
      <c r="BT1620" s="0" t="s">
        <v>130</v>
      </c>
      <c r="BU1620" s="0" t="s">
        <v>130</v>
      </c>
      <c r="BV1620" s="0" t="s">
        <v>130</v>
      </c>
      <c r="BW1620" s="0" t="s">
        <v>130</v>
      </c>
      <c r="BX1620" s="0" t="s">
        <v>130</v>
      </c>
      <c r="BY1620" s="0" t="s">
        <v>130</v>
      </c>
      <c r="BZ1620" s="0" t="s">
        <v>130</v>
      </c>
      <c r="CA1620" s="0" t="s">
        <v>130</v>
      </c>
      <c r="CB1620" s="0" t="s">
        <v>130</v>
      </c>
      <c r="CC1620" s="0" t="s">
        <v>130</v>
      </c>
      <c r="CD1620" s="0" t="s">
        <v>130</v>
      </c>
      <c r="CE1620" s="0" t="s">
        <v>130</v>
      </c>
      <c r="CF1620" s="0" t="s">
        <v>130</v>
      </c>
      <c r="CG1620" s="0" t="s">
        <v>130</v>
      </c>
      <c r="CH1620" s="0" t="s">
        <v>130</v>
      </c>
      <c r="CI1620" s="0" t="s">
        <v>130</v>
      </c>
      <c r="CJ1620" s="0" t="s">
        <v>130</v>
      </c>
      <c r="CK1620" s="0" t="s">
        <v>130</v>
      </c>
      <c r="CL1620" s="0" t="s">
        <v>130</v>
      </c>
      <c r="CM1620" s="0" t="s">
        <v>130</v>
      </c>
      <c r="CN1620" s="0" t="s">
        <v>130</v>
      </c>
      <c r="CO1620" s="0" t="s">
        <v>130</v>
      </c>
      <c r="CP1620" s="0" t="s">
        <v>130</v>
      </c>
      <c r="CQ1620" s="0" t="s">
        <v>130</v>
      </c>
      <c r="CR1620" s="0" t="s">
        <v>130</v>
      </c>
      <c r="CS1620" s="0" t="s">
        <v>130</v>
      </c>
      <c r="CT1620" s="0" t="s">
        <v>4666</v>
      </c>
    </row>
    <row r="1621">
      <c r="A1621" s="14">
        <v>46946968</v>
      </c>
      <c r="B1621" s="0" t="s">
        <v>4663</v>
      </c>
      <c r="C1621" s="16">
        <f>HYPERLINK("https://eosportal.federatedhermes.com/companies/Q29tcGFueQppNTE1MjI=", "Alphabet Inc")</f>
      </c>
      <c r="D1621" s="0" t="s">
        <v>25</v>
      </c>
      <c r="E1621" s="0" t="s">
        <v>1034</v>
      </c>
      <c r="F1621" s="16">
        <f>HYPERLINK("https://eosportal.federatedhermes.com/engagements/RW5nYWdlbWVudAppMjkxNTE=", "Board composition")</f>
      </c>
      <c r="G1621" s="14" t="s">
        <v>4667</v>
      </c>
      <c r="H1621" s="0" t="s">
        <v>141</v>
      </c>
      <c r="I1621" s="14" t="s">
        <v>191</v>
      </c>
      <c r="J1621" s="0" t="s">
        <v>145</v>
      </c>
      <c r="K1621" s="0" t="s">
        <v>164</v>
      </c>
      <c r="L1621" s="0" t="s">
        <v>165</v>
      </c>
      <c r="M1621" s="0" t="s">
        <v>135</v>
      </c>
      <c r="N1621" s="0" t="s">
        <v>136</v>
      </c>
      <c r="O1621" s="0" t="s">
        <v>137</v>
      </c>
      <c r="Q1621" s="0" t="s">
        <v>130</v>
      </c>
      <c r="R1621" s="0" t="s">
        <v>138</v>
      </c>
      <c r="S1621" s="14">
        <v>0</v>
      </c>
      <c r="T1621" s="0" t="s">
        <v>343</v>
      </c>
      <c r="U1621" s="0" t="s">
        <v>138</v>
      </c>
      <c r="V1621" s="14" t="s">
        <v>138</v>
      </c>
      <c r="W1621" s="0" t="s">
        <v>138</v>
      </c>
      <c r="X1621" s="14" t="s">
        <v>138</v>
      </c>
      <c r="Y1621" s="0" t="s">
        <v>138</v>
      </c>
      <c r="Z1621" s="14" t="s">
        <v>138</v>
      </c>
      <c r="AA1621" s="0" t="s">
        <v>138</v>
      </c>
      <c r="AB1621" s="14" t="s">
        <v>138</v>
      </c>
      <c r="AD1621" s="0" t="s">
        <v>138</v>
      </c>
      <c r="AF1621" s="0">
        <v>0</v>
      </c>
      <c r="AG1621" s="0">
        <v>0</v>
      </c>
      <c r="AH1621" s="0" t="s">
        <v>140</v>
      </c>
      <c r="AI1621" s="0" t="s">
        <v>138</v>
      </c>
      <c r="AL1621" s="14"/>
      <c r="AN1621" s="14"/>
      <c r="AQ1621" s="0" t="s">
        <v>130</v>
      </c>
      <c r="AR1621" s="0" t="s">
        <v>130</v>
      </c>
      <c r="AS1621" s="0" t="s">
        <v>130</v>
      </c>
      <c r="AT1621" s="0" t="s">
        <v>130</v>
      </c>
      <c r="AU1621" s="0" t="s">
        <v>130</v>
      </c>
      <c r="AV1621" s="0" t="s">
        <v>130</v>
      </c>
      <c r="AW1621" s="0" t="s">
        <v>130</v>
      </c>
      <c r="AX1621" s="0" t="s">
        <v>130</v>
      </c>
      <c r="AY1621" s="0" t="s">
        <v>130</v>
      </c>
      <c r="AZ1621" s="0" t="s">
        <v>130</v>
      </c>
      <c r="BA1621" s="0" t="s">
        <v>130</v>
      </c>
      <c r="BB1621" s="0" t="s">
        <v>130</v>
      </c>
      <c r="BC1621" s="0" t="s">
        <v>130</v>
      </c>
      <c r="BD1621" s="0" t="s">
        <v>130</v>
      </c>
      <c r="BE1621" s="0" t="s">
        <v>130</v>
      </c>
      <c r="BF1621" s="0" t="s">
        <v>130</v>
      </c>
      <c r="BG1621" s="0" t="s">
        <v>130</v>
      </c>
      <c r="BH1621" s="0" t="s">
        <v>130</v>
      </c>
      <c r="BI1621" s="0" t="s">
        <v>130</v>
      </c>
      <c r="BJ1621" s="0" t="s">
        <v>130</v>
      </c>
      <c r="BK1621" s="0" t="s">
        <v>130</v>
      </c>
      <c r="BL1621" s="0" t="s">
        <v>130</v>
      </c>
      <c r="BM1621" s="0" t="s">
        <v>130</v>
      </c>
      <c r="BN1621" s="0" t="s">
        <v>130</v>
      </c>
      <c r="BO1621" s="0" t="s">
        <v>130</v>
      </c>
      <c r="BP1621" s="0" t="s">
        <v>130</v>
      </c>
      <c r="BQ1621" s="0" t="s">
        <v>130</v>
      </c>
      <c r="BR1621" s="0" t="s">
        <v>130</v>
      </c>
      <c r="BS1621" s="0" t="s">
        <v>130</v>
      </c>
      <c r="BT1621" s="0" t="s">
        <v>130</v>
      </c>
      <c r="BU1621" s="0" t="s">
        <v>130</v>
      </c>
      <c r="BV1621" s="0" t="s">
        <v>130</v>
      </c>
      <c r="BW1621" s="0" t="s">
        <v>130</v>
      </c>
      <c r="BX1621" s="0" t="s">
        <v>130</v>
      </c>
      <c r="BY1621" s="0" t="s">
        <v>130</v>
      </c>
      <c r="BZ1621" s="0" t="s">
        <v>130</v>
      </c>
      <c r="CA1621" s="0" t="s">
        <v>130</v>
      </c>
      <c r="CB1621" s="0" t="s">
        <v>130</v>
      </c>
      <c r="CC1621" s="0" t="s">
        <v>130</v>
      </c>
      <c r="CD1621" s="0" t="s">
        <v>130</v>
      </c>
      <c r="CE1621" s="0" t="s">
        <v>130</v>
      </c>
      <c r="CF1621" s="0" t="s">
        <v>130</v>
      </c>
      <c r="CG1621" s="0" t="s">
        <v>130</v>
      </c>
      <c r="CH1621" s="0" t="s">
        <v>130</v>
      </c>
      <c r="CI1621" s="0" t="s">
        <v>130</v>
      </c>
      <c r="CJ1621" s="0" t="s">
        <v>130</v>
      </c>
      <c r="CK1621" s="0" t="s">
        <v>130</v>
      </c>
      <c r="CL1621" s="0" t="s">
        <v>130</v>
      </c>
      <c r="CM1621" s="0" t="s">
        <v>130</v>
      </c>
      <c r="CN1621" s="0" t="s">
        <v>130</v>
      </c>
      <c r="CO1621" s="0" t="s">
        <v>130</v>
      </c>
      <c r="CP1621" s="0" t="s">
        <v>130</v>
      </c>
      <c r="CQ1621" s="0" t="s">
        <v>130</v>
      </c>
      <c r="CR1621" s="0" t="s">
        <v>130</v>
      </c>
      <c r="CS1621" s="0" t="s">
        <v>130</v>
      </c>
      <c r="CT1621" s="0" t="s">
        <v>4668</v>
      </c>
    </row>
    <row r="1622">
      <c r="A1622" s="14">
        <v>46946968</v>
      </c>
      <c r="B1622" s="0" t="s">
        <v>4663</v>
      </c>
      <c r="C1622" s="16">
        <f>HYPERLINK("https://eosportal.federatedhermes.com/companies/Q29tcGFueQppNTE1MjI=", "Alphabet Inc")</f>
      </c>
      <c r="D1622" s="0" t="s">
        <v>25</v>
      </c>
      <c r="E1622" s="0" t="s">
        <v>912</v>
      </c>
      <c r="F1622" s="16">
        <f>HYPERLINK("https://eosportal.federatedhermes.com/engagements/RW5nYWdlbWVudAppMjkxNTI=", "Executive remuneration")</f>
      </c>
      <c r="G1622" s="14" t="s">
        <v>4669</v>
      </c>
      <c r="H1622" s="0" t="s">
        <v>141</v>
      </c>
      <c r="I1622" s="14" t="s">
        <v>191</v>
      </c>
      <c r="J1622" s="0" t="s">
        <v>145</v>
      </c>
      <c r="K1622" s="0" t="s">
        <v>146</v>
      </c>
      <c r="L1622" s="0" t="s">
        <v>147</v>
      </c>
      <c r="M1622" s="0" t="s">
        <v>135</v>
      </c>
      <c r="N1622" s="0" t="s">
        <v>136</v>
      </c>
      <c r="O1622" s="0" t="s">
        <v>137</v>
      </c>
      <c r="Q1622" s="0" t="s">
        <v>130</v>
      </c>
      <c r="R1622" s="0" t="s">
        <v>138</v>
      </c>
      <c r="S1622" s="14">
        <v>0</v>
      </c>
      <c r="T1622" s="0" t="s">
        <v>239</v>
      </c>
      <c r="U1622" s="0" t="s">
        <v>138</v>
      </c>
      <c r="V1622" s="14" t="s">
        <v>138</v>
      </c>
      <c r="W1622" s="0" t="s">
        <v>138</v>
      </c>
      <c r="X1622" s="14" t="s">
        <v>138</v>
      </c>
      <c r="Y1622" s="0" t="s">
        <v>138</v>
      </c>
      <c r="Z1622" s="14" t="s">
        <v>138</v>
      </c>
      <c r="AA1622" s="0" t="s">
        <v>138</v>
      </c>
      <c r="AB1622" s="14" t="s">
        <v>138</v>
      </c>
      <c r="AD1622" s="0" t="s">
        <v>138</v>
      </c>
      <c r="AF1622" s="0">
        <v>0</v>
      </c>
      <c r="AG1622" s="0">
        <v>0</v>
      </c>
      <c r="AH1622" s="0" t="s">
        <v>140</v>
      </c>
      <c r="AI1622" s="0" t="s">
        <v>138</v>
      </c>
      <c r="AL1622" s="14"/>
      <c r="AN1622" s="14"/>
      <c r="AQ1622" s="0" t="s">
        <v>130</v>
      </c>
      <c r="AR1622" s="0" t="s">
        <v>130</v>
      </c>
      <c r="AS1622" s="0" t="s">
        <v>130</v>
      </c>
      <c r="AT1622" s="0" t="s">
        <v>130</v>
      </c>
      <c r="AU1622" s="0" t="s">
        <v>130</v>
      </c>
      <c r="AV1622" s="0" t="s">
        <v>130</v>
      </c>
      <c r="AW1622" s="0" t="s">
        <v>130</v>
      </c>
      <c r="AX1622" s="0" t="s">
        <v>130</v>
      </c>
      <c r="AY1622" s="0" t="s">
        <v>130</v>
      </c>
      <c r="AZ1622" s="0" t="s">
        <v>130</v>
      </c>
      <c r="BA1622" s="0" t="s">
        <v>130</v>
      </c>
      <c r="BB1622" s="0" t="s">
        <v>130</v>
      </c>
      <c r="BC1622" s="0" t="s">
        <v>130</v>
      </c>
      <c r="BD1622" s="0" t="s">
        <v>130</v>
      </c>
      <c r="BE1622" s="0" t="s">
        <v>130</v>
      </c>
      <c r="BF1622" s="0" t="s">
        <v>130</v>
      </c>
      <c r="BG1622" s="0" t="s">
        <v>130</v>
      </c>
      <c r="BH1622" s="0" t="s">
        <v>130</v>
      </c>
      <c r="BI1622" s="0" t="s">
        <v>130</v>
      </c>
      <c r="BJ1622" s="0" t="s">
        <v>130</v>
      </c>
      <c r="BK1622" s="0" t="s">
        <v>130</v>
      </c>
      <c r="BL1622" s="0" t="s">
        <v>130</v>
      </c>
      <c r="BM1622" s="0" t="s">
        <v>130</v>
      </c>
      <c r="BN1622" s="0" t="s">
        <v>130</v>
      </c>
      <c r="BO1622" s="0" t="s">
        <v>130</v>
      </c>
      <c r="BP1622" s="0" t="s">
        <v>130</v>
      </c>
      <c r="BQ1622" s="0" t="s">
        <v>130</v>
      </c>
      <c r="BR1622" s="0" t="s">
        <v>130</v>
      </c>
      <c r="BS1622" s="0" t="s">
        <v>130</v>
      </c>
      <c r="BT1622" s="0" t="s">
        <v>130</v>
      </c>
      <c r="BU1622" s="0" t="s">
        <v>130</v>
      </c>
      <c r="BV1622" s="0" t="s">
        <v>130</v>
      </c>
      <c r="BW1622" s="0" t="s">
        <v>130</v>
      </c>
      <c r="BX1622" s="0" t="s">
        <v>130</v>
      </c>
      <c r="BY1622" s="0" t="s">
        <v>130</v>
      </c>
      <c r="BZ1622" s="0" t="s">
        <v>130</v>
      </c>
      <c r="CA1622" s="0" t="s">
        <v>130</v>
      </c>
      <c r="CB1622" s="0" t="s">
        <v>130</v>
      </c>
      <c r="CC1622" s="0" t="s">
        <v>130</v>
      </c>
      <c r="CD1622" s="0" t="s">
        <v>130</v>
      </c>
      <c r="CE1622" s="0" t="s">
        <v>130</v>
      </c>
      <c r="CF1622" s="0" t="s">
        <v>130</v>
      </c>
      <c r="CG1622" s="0" t="s">
        <v>130</v>
      </c>
      <c r="CH1622" s="0" t="s">
        <v>130</v>
      </c>
      <c r="CI1622" s="0" t="s">
        <v>130</v>
      </c>
      <c r="CJ1622" s="0" t="s">
        <v>130</v>
      </c>
      <c r="CK1622" s="0" t="s">
        <v>130</v>
      </c>
      <c r="CL1622" s="0" t="s">
        <v>130</v>
      </c>
      <c r="CM1622" s="0" t="s">
        <v>130</v>
      </c>
      <c r="CN1622" s="0" t="s">
        <v>130</v>
      </c>
      <c r="CO1622" s="0" t="s">
        <v>130</v>
      </c>
      <c r="CP1622" s="0" t="s">
        <v>130</v>
      </c>
      <c r="CQ1622" s="0" t="s">
        <v>130</v>
      </c>
      <c r="CR1622" s="0" t="s">
        <v>130</v>
      </c>
      <c r="CS1622" s="0" t="s">
        <v>130</v>
      </c>
      <c r="CT1622" s="0" t="s">
        <v>4670</v>
      </c>
    </row>
    <row r="1623">
      <c r="A1623" s="14">
        <v>46946968</v>
      </c>
      <c r="B1623" s="0" t="s">
        <v>4663</v>
      </c>
      <c r="C1623" s="16">
        <f>HYPERLINK("https://eosportal.federatedhermes.com/companies/Q29tcGFueQppNTE1MjI=", "Alphabet Inc")</f>
      </c>
      <c r="D1623" s="0" t="s">
        <v>25</v>
      </c>
      <c r="E1623" s="0" t="s">
        <v>4671</v>
      </c>
      <c r="F1623" s="16">
        <f>HYPERLINK("https://eosportal.federatedhermes.com/engagements/RW5nYWdlbWVudAppMjkxNTM=", "Children")</f>
      </c>
      <c r="G1623" s="14" t="s">
        <v>4672</v>
      </c>
      <c r="H1623" s="0" t="s">
        <v>141</v>
      </c>
      <c r="I1623" s="14" t="s">
        <v>191</v>
      </c>
      <c r="J1623" s="0" t="s">
        <v>153</v>
      </c>
      <c r="K1623" s="0" t="s">
        <v>243</v>
      </c>
      <c r="L1623" s="0" t="s">
        <v>537</v>
      </c>
      <c r="M1623" s="0" t="s">
        <v>135</v>
      </c>
      <c r="N1623" s="0" t="s">
        <v>136</v>
      </c>
      <c r="O1623" s="0" t="s">
        <v>137</v>
      </c>
      <c r="Q1623" s="0" t="s">
        <v>141</v>
      </c>
      <c r="R1623" s="0" t="s">
        <v>138</v>
      </c>
      <c r="S1623" s="14">
        <v>1</v>
      </c>
      <c r="T1623" s="0" t="s">
        <v>230</v>
      </c>
      <c r="U1623" s="0" t="s">
        <v>138</v>
      </c>
      <c r="V1623" s="14" t="s">
        <v>138</v>
      </c>
      <c r="W1623" s="0" t="s">
        <v>138</v>
      </c>
      <c r="X1623" s="14" t="s">
        <v>138</v>
      </c>
      <c r="Y1623" s="0" t="s">
        <v>138</v>
      </c>
      <c r="Z1623" s="14" t="s">
        <v>138</v>
      </c>
      <c r="AA1623" s="0" t="s">
        <v>138</v>
      </c>
      <c r="AB1623" s="14" t="s">
        <v>138</v>
      </c>
      <c r="AD1623" s="0" t="s">
        <v>138</v>
      </c>
      <c r="AF1623" s="0">
        <v>0</v>
      </c>
      <c r="AG1623" s="0">
        <v>0</v>
      </c>
      <c r="AH1623" s="0" t="s">
        <v>140</v>
      </c>
      <c r="AI1623" s="0" t="s">
        <v>138</v>
      </c>
      <c r="AK1623" s="0" t="s">
        <v>4274</v>
      </c>
      <c r="AL1623" s="14"/>
      <c r="AN1623" s="14"/>
      <c r="AQ1623" s="0" t="s">
        <v>130</v>
      </c>
      <c r="AR1623" s="0" t="s">
        <v>130</v>
      </c>
      <c r="AS1623" s="0" t="s">
        <v>130</v>
      </c>
      <c r="AT1623" s="0" t="s">
        <v>130</v>
      </c>
      <c r="AU1623" s="0" t="s">
        <v>130</v>
      </c>
      <c r="AV1623" s="0" t="s">
        <v>130</v>
      </c>
      <c r="AW1623" s="0" t="s">
        <v>130</v>
      </c>
      <c r="AX1623" s="0" t="s">
        <v>130</v>
      </c>
      <c r="AY1623" s="0" t="s">
        <v>130</v>
      </c>
      <c r="AZ1623" s="0" t="s">
        <v>130</v>
      </c>
      <c r="BA1623" s="0" t="s">
        <v>130</v>
      </c>
      <c r="BB1623" s="0" t="s">
        <v>141</v>
      </c>
      <c r="BC1623" s="0" t="s">
        <v>130</v>
      </c>
      <c r="BD1623" s="0" t="s">
        <v>130</v>
      </c>
      <c r="BE1623" s="0" t="s">
        <v>130</v>
      </c>
      <c r="BF1623" s="0" t="s">
        <v>141</v>
      </c>
      <c r="BG1623" s="0" t="s">
        <v>130</v>
      </c>
      <c r="BH1623" s="0" t="s">
        <v>130</v>
      </c>
      <c r="BI1623" s="0" t="s">
        <v>130</v>
      </c>
      <c r="BJ1623" s="0" t="s">
        <v>130</v>
      </c>
      <c r="BK1623" s="0" t="s">
        <v>130</v>
      </c>
      <c r="BL1623" s="0" t="s">
        <v>130</v>
      </c>
      <c r="BM1623" s="0" t="s">
        <v>130</v>
      </c>
      <c r="BN1623" s="0" t="s">
        <v>130</v>
      </c>
      <c r="BO1623" s="0" t="s">
        <v>130</v>
      </c>
      <c r="BP1623" s="0" t="s">
        <v>130</v>
      </c>
      <c r="BQ1623" s="0" t="s">
        <v>130</v>
      </c>
      <c r="BR1623" s="0" t="s">
        <v>130</v>
      </c>
      <c r="BS1623" s="0" t="s">
        <v>130</v>
      </c>
      <c r="BT1623" s="0" t="s">
        <v>130</v>
      </c>
      <c r="BU1623" s="0" t="s">
        <v>130</v>
      </c>
      <c r="BV1623" s="0" t="s">
        <v>130</v>
      </c>
      <c r="BW1623" s="0" t="s">
        <v>130</v>
      </c>
      <c r="BX1623" s="0" t="s">
        <v>130</v>
      </c>
      <c r="BY1623" s="0" t="s">
        <v>130</v>
      </c>
      <c r="BZ1623" s="0" t="s">
        <v>130</v>
      </c>
      <c r="CA1623" s="0" t="s">
        <v>130</v>
      </c>
      <c r="CB1623" s="0" t="s">
        <v>130</v>
      </c>
      <c r="CC1623" s="0" t="s">
        <v>130</v>
      </c>
      <c r="CD1623" s="0" t="s">
        <v>130</v>
      </c>
      <c r="CE1623" s="0" t="s">
        <v>130</v>
      </c>
      <c r="CF1623" s="0" t="s">
        <v>130</v>
      </c>
      <c r="CG1623" s="0" t="s">
        <v>130</v>
      </c>
      <c r="CH1623" s="0" t="s">
        <v>130</v>
      </c>
      <c r="CI1623" s="0" t="s">
        <v>130</v>
      </c>
      <c r="CJ1623" s="0" t="s">
        <v>130</v>
      </c>
      <c r="CK1623" s="0" t="s">
        <v>130</v>
      </c>
      <c r="CL1623" s="0" t="s">
        <v>130</v>
      </c>
      <c r="CM1623" s="0" t="s">
        <v>130</v>
      </c>
      <c r="CN1623" s="0" t="s">
        <v>130</v>
      </c>
      <c r="CO1623" s="0" t="s">
        <v>130</v>
      </c>
      <c r="CP1623" s="0" t="s">
        <v>130</v>
      </c>
      <c r="CQ1623" s="0" t="s">
        <v>130</v>
      </c>
      <c r="CR1623" s="0" t="s">
        <v>130</v>
      </c>
      <c r="CS1623" s="0" t="s">
        <v>130</v>
      </c>
      <c r="CT1623" s="0" t="s">
        <v>4673</v>
      </c>
    </row>
    <row r="1624">
      <c r="A1624" s="14">
        <v>46946968</v>
      </c>
      <c r="B1624" s="0" t="s">
        <v>4663</v>
      </c>
      <c r="C1624" s="16">
        <f>HYPERLINK("https://eosportal.federatedhermes.com/companies/Q29tcGFueQppNTE1MjI=", "Alphabet Inc")</f>
      </c>
      <c r="D1624" s="0" t="s">
        <v>25</v>
      </c>
      <c r="E1624" s="0" t="s">
        <v>4674</v>
      </c>
      <c r="F1624" s="16">
        <f>HYPERLINK("https://eosportal.federatedhermes.com/engagements/RW5nYWdlbWVudAppMjkxNTQ=", "FPIC/Video privacy terms")</f>
      </c>
      <c r="G1624" s="14" t="s">
        <v>4675</v>
      </c>
      <c r="H1624" s="0" t="s">
        <v>141</v>
      </c>
      <c r="I1624" s="14" t="s">
        <v>191</v>
      </c>
      <c r="J1624" s="0" t="s">
        <v>153</v>
      </c>
      <c r="K1624" s="0" t="s">
        <v>243</v>
      </c>
      <c r="L1624" s="0" t="s">
        <v>537</v>
      </c>
      <c r="M1624" s="0" t="s">
        <v>135</v>
      </c>
      <c r="N1624" s="0" t="s">
        <v>136</v>
      </c>
      <c r="O1624" s="0" t="s">
        <v>137</v>
      </c>
      <c r="Q1624" s="0" t="s">
        <v>130</v>
      </c>
      <c r="R1624" s="0" t="s">
        <v>138</v>
      </c>
      <c r="S1624" s="14">
        <v>0</v>
      </c>
      <c r="T1624" s="0" t="s">
        <v>230</v>
      </c>
      <c r="U1624" s="0" t="s">
        <v>138</v>
      </c>
      <c r="V1624" s="14" t="s">
        <v>138</v>
      </c>
      <c r="W1624" s="0" t="s">
        <v>138</v>
      </c>
      <c r="X1624" s="14" t="s">
        <v>138</v>
      </c>
      <c r="Y1624" s="0" t="s">
        <v>138</v>
      </c>
      <c r="Z1624" s="14" t="s">
        <v>138</v>
      </c>
      <c r="AA1624" s="0" t="s">
        <v>138</v>
      </c>
      <c r="AB1624" s="14" t="s">
        <v>138</v>
      </c>
      <c r="AD1624" s="0" t="s">
        <v>138</v>
      </c>
      <c r="AF1624" s="0">
        <v>0</v>
      </c>
      <c r="AG1624" s="0">
        <v>0</v>
      </c>
      <c r="AH1624" s="0" t="s">
        <v>140</v>
      </c>
      <c r="AI1624" s="0" t="s">
        <v>138</v>
      </c>
      <c r="AL1624" s="14"/>
      <c r="AN1624" s="14"/>
      <c r="AQ1624" s="0" t="s">
        <v>130</v>
      </c>
      <c r="AR1624" s="0" t="s">
        <v>130</v>
      </c>
      <c r="AS1624" s="0" t="s">
        <v>130</v>
      </c>
      <c r="AT1624" s="0" t="s">
        <v>130</v>
      </c>
      <c r="AU1624" s="0" t="s">
        <v>130</v>
      </c>
      <c r="AV1624" s="0" t="s">
        <v>130</v>
      </c>
      <c r="AW1624" s="0" t="s">
        <v>130</v>
      </c>
      <c r="AX1624" s="0" t="s">
        <v>130</v>
      </c>
      <c r="AY1624" s="0" t="s">
        <v>130</v>
      </c>
      <c r="AZ1624" s="0" t="s">
        <v>130</v>
      </c>
      <c r="BA1624" s="0" t="s">
        <v>130</v>
      </c>
      <c r="BB1624" s="0" t="s">
        <v>141</v>
      </c>
      <c r="BC1624" s="0" t="s">
        <v>130</v>
      </c>
      <c r="BD1624" s="0" t="s">
        <v>130</v>
      </c>
      <c r="BE1624" s="0" t="s">
        <v>130</v>
      </c>
      <c r="BF1624" s="0" t="s">
        <v>141</v>
      </c>
      <c r="BG1624" s="0" t="s">
        <v>130</v>
      </c>
      <c r="BH1624" s="0" t="s">
        <v>130</v>
      </c>
      <c r="BI1624" s="0" t="s">
        <v>130</v>
      </c>
      <c r="BJ1624" s="0" t="s">
        <v>130</v>
      </c>
      <c r="BK1624" s="0" t="s">
        <v>130</v>
      </c>
      <c r="BL1624" s="0" t="s">
        <v>130</v>
      </c>
      <c r="BM1624" s="0" t="s">
        <v>130</v>
      </c>
      <c r="BN1624" s="0" t="s">
        <v>130</v>
      </c>
      <c r="BO1624" s="0" t="s">
        <v>130</v>
      </c>
      <c r="BP1624" s="0" t="s">
        <v>130</v>
      </c>
      <c r="BQ1624" s="0" t="s">
        <v>130</v>
      </c>
      <c r="BR1624" s="0" t="s">
        <v>130</v>
      </c>
      <c r="BS1624" s="0" t="s">
        <v>130</v>
      </c>
      <c r="BT1624" s="0" t="s">
        <v>130</v>
      </c>
      <c r="BU1624" s="0" t="s">
        <v>130</v>
      </c>
      <c r="BV1624" s="0" t="s">
        <v>130</v>
      </c>
      <c r="BW1624" s="0" t="s">
        <v>130</v>
      </c>
      <c r="BX1624" s="0" t="s">
        <v>130</v>
      </c>
      <c r="BY1624" s="0" t="s">
        <v>130</v>
      </c>
      <c r="BZ1624" s="0" t="s">
        <v>130</v>
      </c>
      <c r="CA1624" s="0" t="s">
        <v>130</v>
      </c>
      <c r="CB1624" s="0" t="s">
        <v>130</v>
      </c>
      <c r="CC1624" s="0" t="s">
        <v>130</v>
      </c>
      <c r="CD1624" s="0" t="s">
        <v>130</v>
      </c>
      <c r="CE1624" s="0" t="s">
        <v>130</v>
      </c>
      <c r="CF1624" s="0" t="s">
        <v>130</v>
      </c>
      <c r="CG1624" s="0" t="s">
        <v>130</v>
      </c>
      <c r="CH1624" s="0" t="s">
        <v>130</v>
      </c>
      <c r="CI1624" s="0" t="s">
        <v>130</v>
      </c>
      <c r="CJ1624" s="0" t="s">
        <v>130</v>
      </c>
      <c r="CK1624" s="0" t="s">
        <v>130</v>
      </c>
      <c r="CL1624" s="0" t="s">
        <v>130</v>
      </c>
      <c r="CM1624" s="0" t="s">
        <v>130</v>
      </c>
      <c r="CN1624" s="0" t="s">
        <v>130</v>
      </c>
      <c r="CO1624" s="0" t="s">
        <v>130</v>
      </c>
      <c r="CP1624" s="0" t="s">
        <v>130</v>
      </c>
      <c r="CQ1624" s="0" t="s">
        <v>130</v>
      </c>
      <c r="CR1624" s="0" t="s">
        <v>130</v>
      </c>
      <c r="CS1624" s="0" t="s">
        <v>130</v>
      </c>
      <c r="CT1624" s="0" t="s">
        <v>4676</v>
      </c>
    </row>
    <row r="1625">
      <c r="A1625" s="14">
        <v>46946968</v>
      </c>
      <c r="B1625" s="0" t="s">
        <v>4663</v>
      </c>
      <c r="C1625" s="16">
        <f>HYPERLINK("https://eosportal.federatedhermes.com/companies/Q29tcGFueQppNTE1MjI=", "Alphabet Inc")</f>
      </c>
      <c r="D1625" s="0" t="s">
        <v>25</v>
      </c>
      <c r="E1625" s="0" t="s">
        <v>4677</v>
      </c>
      <c r="F1625" s="16">
        <f>HYPERLINK("https://eosportal.federatedhermes.com/engagements/RW5nYWdlbWVudAppMjkxNjA=", "intellectual property infringement")</f>
      </c>
      <c r="G1625" s="14" t="s">
        <v>4678</v>
      </c>
      <c r="H1625" s="0" t="s">
        <v>141</v>
      </c>
      <c r="I1625" s="14" t="s">
        <v>191</v>
      </c>
      <c r="J1625" s="0" t="s">
        <v>132</v>
      </c>
      <c r="K1625" s="0" t="s">
        <v>260</v>
      </c>
      <c r="L1625" s="0" t="s">
        <v>261</v>
      </c>
      <c r="M1625" s="0" t="s">
        <v>135</v>
      </c>
      <c r="N1625" s="0" t="s">
        <v>136</v>
      </c>
      <c r="O1625" s="0" t="s">
        <v>137</v>
      </c>
      <c r="Q1625" s="0" t="s">
        <v>130</v>
      </c>
      <c r="R1625" s="0" t="s">
        <v>138</v>
      </c>
      <c r="S1625" s="14">
        <v>0</v>
      </c>
      <c r="T1625" s="0" t="s">
        <v>920</v>
      </c>
      <c r="U1625" s="0" t="s">
        <v>138</v>
      </c>
      <c r="V1625" s="14" t="s">
        <v>138</v>
      </c>
      <c r="W1625" s="0" t="s">
        <v>138</v>
      </c>
      <c r="X1625" s="14" t="s">
        <v>138</v>
      </c>
      <c r="Y1625" s="0" t="s">
        <v>138</v>
      </c>
      <c r="Z1625" s="14" t="s">
        <v>138</v>
      </c>
      <c r="AA1625" s="0" t="s">
        <v>138</v>
      </c>
      <c r="AB1625" s="14" t="s">
        <v>138</v>
      </c>
      <c r="AD1625" s="0" t="s">
        <v>138</v>
      </c>
      <c r="AF1625" s="0">
        <v>0</v>
      </c>
      <c r="AG1625" s="0">
        <v>0</v>
      </c>
      <c r="AH1625" s="0" t="s">
        <v>140</v>
      </c>
      <c r="AI1625" s="0" t="s">
        <v>138</v>
      </c>
      <c r="AL1625" s="14"/>
      <c r="AN1625" s="14"/>
      <c r="AQ1625" s="0" t="s">
        <v>130</v>
      </c>
      <c r="AR1625" s="0" t="s">
        <v>130</v>
      </c>
      <c r="AS1625" s="0" t="s">
        <v>130</v>
      </c>
      <c r="AT1625" s="0" t="s">
        <v>130</v>
      </c>
      <c r="AU1625" s="0" t="s">
        <v>130</v>
      </c>
      <c r="AV1625" s="0" t="s">
        <v>130</v>
      </c>
      <c r="AW1625" s="0" t="s">
        <v>130</v>
      </c>
      <c r="AX1625" s="0" t="s">
        <v>130</v>
      </c>
      <c r="AY1625" s="0" t="s">
        <v>130</v>
      </c>
      <c r="AZ1625" s="0" t="s">
        <v>130</v>
      </c>
      <c r="BA1625" s="0" t="s">
        <v>130</v>
      </c>
      <c r="BB1625" s="0" t="s">
        <v>130</v>
      </c>
      <c r="BC1625" s="0" t="s">
        <v>130</v>
      </c>
      <c r="BD1625" s="0" t="s">
        <v>130</v>
      </c>
      <c r="BE1625" s="0" t="s">
        <v>130</v>
      </c>
      <c r="BF1625" s="0" t="s">
        <v>130</v>
      </c>
      <c r="BG1625" s="0" t="s">
        <v>130</v>
      </c>
      <c r="BH1625" s="0" t="s">
        <v>130</v>
      </c>
      <c r="BI1625" s="0" t="s">
        <v>130</v>
      </c>
      <c r="BJ1625" s="0" t="s">
        <v>130</v>
      </c>
      <c r="BK1625" s="0" t="s">
        <v>130</v>
      </c>
      <c r="BL1625" s="0" t="s">
        <v>130</v>
      </c>
      <c r="BM1625" s="0" t="s">
        <v>130</v>
      </c>
      <c r="BN1625" s="0" t="s">
        <v>130</v>
      </c>
      <c r="BO1625" s="0" t="s">
        <v>130</v>
      </c>
      <c r="BP1625" s="0" t="s">
        <v>130</v>
      </c>
      <c r="BQ1625" s="0" t="s">
        <v>130</v>
      </c>
      <c r="BR1625" s="0" t="s">
        <v>130</v>
      </c>
      <c r="BS1625" s="0" t="s">
        <v>130</v>
      </c>
      <c r="BT1625" s="0" t="s">
        <v>130</v>
      </c>
      <c r="BU1625" s="0" t="s">
        <v>130</v>
      </c>
      <c r="BV1625" s="0" t="s">
        <v>130</v>
      </c>
      <c r="BW1625" s="0" t="s">
        <v>130</v>
      </c>
      <c r="BX1625" s="0" t="s">
        <v>130</v>
      </c>
      <c r="BY1625" s="0" t="s">
        <v>130</v>
      </c>
      <c r="BZ1625" s="0" t="s">
        <v>130</v>
      </c>
      <c r="CA1625" s="0" t="s">
        <v>130</v>
      </c>
      <c r="CB1625" s="0" t="s">
        <v>130</v>
      </c>
      <c r="CC1625" s="0" t="s">
        <v>130</v>
      </c>
      <c r="CD1625" s="0" t="s">
        <v>130</v>
      </c>
      <c r="CE1625" s="0" t="s">
        <v>130</v>
      </c>
      <c r="CF1625" s="0" t="s">
        <v>130</v>
      </c>
      <c r="CG1625" s="0" t="s">
        <v>130</v>
      </c>
      <c r="CH1625" s="0" t="s">
        <v>130</v>
      </c>
      <c r="CI1625" s="0" t="s">
        <v>130</v>
      </c>
      <c r="CJ1625" s="0" t="s">
        <v>130</v>
      </c>
      <c r="CK1625" s="0" t="s">
        <v>130</v>
      </c>
      <c r="CL1625" s="0" t="s">
        <v>130</v>
      </c>
      <c r="CM1625" s="0" t="s">
        <v>130</v>
      </c>
      <c r="CN1625" s="0" t="s">
        <v>130</v>
      </c>
      <c r="CO1625" s="0" t="s">
        <v>130</v>
      </c>
      <c r="CP1625" s="0" t="s">
        <v>130</v>
      </c>
      <c r="CQ1625" s="0" t="s">
        <v>130</v>
      </c>
      <c r="CR1625" s="0" t="s">
        <v>130</v>
      </c>
      <c r="CS1625" s="0" t="s">
        <v>130</v>
      </c>
      <c r="CT1625" s="0" t="s">
        <v>4679</v>
      </c>
    </row>
    <row r="1626">
      <c r="A1626" s="14">
        <v>46946968</v>
      </c>
      <c r="B1626" s="0" t="s">
        <v>4663</v>
      </c>
      <c r="C1626" s="16">
        <f>HYPERLINK("https://eosportal.federatedhermes.com/companies/Q29tcGFueQppNTE1MjI=", "Alphabet Inc")</f>
      </c>
      <c r="D1626" s="0" t="s">
        <v>25</v>
      </c>
      <c r="E1626" s="0" t="s">
        <v>1922</v>
      </c>
      <c r="F1626" s="16">
        <f>HYPERLINK("https://eosportal.federatedhermes.com/engagements/RW5nYWdlbWVudAppMjkxNjE=", "Tax")</f>
      </c>
      <c r="G1626" s="14" t="s">
        <v>4680</v>
      </c>
      <c r="H1626" s="0" t="s">
        <v>141</v>
      </c>
      <c r="I1626" s="14" t="s">
        <v>191</v>
      </c>
      <c r="J1626" s="0" t="s">
        <v>153</v>
      </c>
      <c r="K1626" s="0" t="s">
        <v>185</v>
      </c>
      <c r="L1626" s="0" t="s">
        <v>548</v>
      </c>
      <c r="M1626" s="0" t="s">
        <v>135</v>
      </c>
      <c r="N1626" s="0" t="s">
        <v>136</v>
      </c>
      <c r="O1626" s="0" t="s">
        <v>137</v>
      </c>
      <c r="Q1626" s="0" t="s">
        <v>141</v>
      </c>
      <c r="R1626" s="0" t="s">
        <v>138</v>
      </c>
      <c r="S1626" s="14">
        <v>1</v>
      </c>
      <c r="T1626" s="0" t="s">
        <v>384</v>
      </c>
      <c r="U1626" s="0" t="s">
        <v>138</v>
      </c>
      <c r="V1626" s="14" t="s">
        <v>138</v>
      </c>
      <c r="W1626" s="0" t="s">
        <v>138</v>
      </c>
      <c r="X1626" s="14" t="s">
        <v>138</v>
      </c>
      <c r="Y1626" s="0" t="s">
        <v>138</v>
      </c>
      <c r="Z1626" s="14" t="s">
        <v>138</v>
      </c>
      <c r="AA1626" s="0" t="s">
        <v>138</v>
      </c>
      <c r="AB1626" s="14" t="s">
        <v>138</v>
      </c>
      <c r="AD1626" s="0" t="s">
        <v>138</v>
      </c>
      <c r="AF1626" s="0">
        <v>0</v>
      </c>
      <c r="AG1626" s="0">
        <v>0</v>
      </c>
      <c r="AH1626" s="0" t="s">
        <v>140</v>
      </c>
      <c r="AI1626" s="0" t="s">
        <v>138</v>
      </c>
      <c r="AK1626" s="0" t="s">
        <v>4274</v>
      </c>
      <c r="AL1626" s="14"/>
      <c r="AN1626" s="14"/>
      <c r="AQ1626" s="0" t="s">
        <v>130</v>
      </c>
      <c r="AR1626" s="0" t="s">
        <v>130</v>
      </c>
      <c r="AS1626" s="0" t="s">
        <v>130</v>
      </c>
      <c r="AT1626" s="0" t="s">
        <v>130</v>
      </c>
      <c r="AU1626" s="0" t="s">
        <v>130</v>
      </c>
      <c r="AV1626" s="0" t="s">
        <v>130</v>
      </c>
      <c r="AW1626" s="0" t="s">
        <v>130</v>
      </c>
      <c r="AX1626" s="0" t="s">
        <v>130</v>
      </c>
      <c r="AY1626" s="0" t="s">
        <v>130</v>
      </c>
      <c r="AZ1626" s="0" t="s">
        <v>130</v>
      </c>
      <c r="BA1626" s="0" t="s">
        <v>130</v>
      </c>
      <c r="BB1626" s="0" t="s">
        <v>130</v>
      </c>
      <c r="BC1626" s="0" t="s">
        <v>130</v>
      </c>
      <c r="BD1626" s="0" t="s">
        <v>130</v>
      </c>
      <c r="BE1626" s="0" t="s">
        <v>130</v>
      </c>
      <c r="BF1626" s="0" t="s">
        <v>130</v>
      </c>
      <c r="BG1626" s="0" t="s">
        <v>141</v>
      </c>
      <c r="BH1626" s="0" t="s">
        <v>130</v>
      </c>
      <c r="BI1626" s="0" t="s">
        <v>130</v>
      </c>
      <c r="BJ1626" s="0" t="s">
        <v>130</v>
      </c>
      <c r="BK1626" s="0" t="s">
        <v>130</v>
      </c>
      <c r="BL1626" s="0" t="s">
        <v>130</v>
      </c>
      <c r="BM1626" s="0" t="s">
        <v>130</v>
      </c>
      <c r="BN1626" s="0" t="s">
        <v>130</v>
      </c>
      <c r="BO1626" s="0" t="s">
        <v>130</v>
      </c>
      <c r="BP1626" s="0" t="s">
        <v>130</v>
      </c>
      <c r="BQ1626" s="0" t="s">
        <v>130</v>
      </c>
      <c r="BR1626" s="0" t="s">
        <v>130</v>
      </c>
      <c r="BS1626" s="0" t="s">
        <v>130</v>
      </c>
      <c r="BT1626" s="0" t="s">
        <v>130</v>
      </c>
      <c r="BU1626" s="0" t="s">
        <v>130</v>
      </c>
      <c r="BV1626" s="0" t="s">
        <v>130</v>
      </c>
      <c r="BW1626" s="0" t="s">
        <v>130</v>
      </c>
      <c r="BX1626" s="0" t="s">
        <v>130</v>
      </c>
      <c r="BY1626" s="0" t="s">
        <v>130</v>
      </c>
      <c r="BZ1626" s="0" t="s">
        <v>130</v>
      </c>
      <c r="CA1626" s="0" t="s">
        <v>130</v>
      </c>
      <c r="CB1626" s="0" t="s">
        <v>130</v>
      </c>
      <c r="CC1626" s="0" t="s">
        <v>130</v>
      </c>
      <c r="CD1626" s="0" t="s">
        <v>130</v>
      </c>
      <c r="CE1626" s="0" t="s">
        <v>130</v>
      </c>
      <c r="CF1626" s="0" t="s">
        <v>130</v>
      </c>
      <c r="CG1626" s="0" t="s">
        <v>130</v>
      </c>
      <c r="CH1626" s="0" t="s">
        <v>130</v>
      </c>
      <c r="CI1626" s="0" t="s">
        <v>130</v>
      </c>
      <c r="CJ1626" s="0" t="s">
        <v>130</v>
      </c>
      <c r="CK1626" s="0" t="s">
        <v>130</v>
      </c>
      <c r="CL1626" s="0" t="s">
        <v>130</v>
      </c>
      <c r="CM1626" s="0" t="s">
        <v>130</v>
      </c>
      <c r="CN1626" s="0" t="s">
        <v>130</v>
      </c>
      <c r="CO1626" s="0" t="s">
        <v>130</v>
      </c>
      <c r="CP1626" s="0" t="s">
        <v>130</v>
      </c>
      <c r="CQ1626" s="0" t="s">
        <v>130</v>
      </c>
      <c r="CR1626" s="0" t="s">
        <v>130</v>
      </c>
      <c r="CS1626" s="0" t="s">
        <v>130</v>
      </c>
      <c r="CT1626" s="0" t="s">
        <v>4681</v>
      </c>
    </row>
    <row r="1627">
      <c r="A1627" s="14">
        <v>46946968</v>
      </c>
      <c r="B1627" s="0" t="s">
        <v>4663</v>
      </c>
      <c r="C1627" s="16">
        <f>HYPERLINK("https://eosportal.federatedhermes.com/companies/Q29tcGFueQppNTE1MjI=", "Alphabet Inc")</f>
      </c>
      <c r="D1627" s="0" t="s">
        <v>25</v>
      </c>
      <c r="E1627" s="0" t="s">
        <v>4508</v>
      </c>
      <c r="F1627" s="16">
        <f>HYPERLINK("https://eosportal.federatedhermes.com/engagements/RW5nYWdlbWVudAppMjkxNjI=", "Share Class Structure")</f>
      </c>
      <c r="G1627" s="14" t="s">
        <v>4682</v>
      </c>
      <c r="H1627" s="0" t="s">
        <v>141</v>
      </c>
      <c r="I1627" s="14" t="s">
        <v>191</v>
      </c>
      <c r="J1627" s="0" t="s">
        <v>145</v>
      </c>
      <c r="K1627" s="0" t="s">
        <v>400</v>
      </c>
      <c r="L1627" s="0" t="s">
        <v>507</v>
      </c>
      <c r="M1627" s="0" t="s">
        <v>135</v>
      </c>
      <c r="N1627" s="0" t="s">
        <v>136</v>
      </c>
      <c r="O1627" s="0" t="s">
        <v>137</v>
      </c>
      <c r="Q1627" s="0" t="s">
        <v>130</v>
      </c>
      <c r="R1627" s="0" t="s">
        <v>138</v>
      </c>
      <c r="S1627" s="14">
        <v>0</v>
      </c>
      <c r="T1627" s="0" t="s">
        <v>278</v>
      </c>
      <c r="U1627" s="0" t="s">
        <v>138</v>
      </c>
      <c r="V1627" s="14" t="s">
        <v>138</v>
      </c>
      <c r="W1627" s="0" t="s">
        <v>138</v>
      </c>
      <c r="X1627" s="14" t="s">
        <v>138</v>
      </c>
      <c r="Y1627" s="0" t="s">
        <v>138</v>
      </c>
      <c r="Z1627" s="14" t="s">
        <v>138</v>
      </c>
      <c r="AA1627" s="0" t="s">
        <v>138</v>
      </c>
      <c r="AB1627" s="14" t="s">
        <v>138</v>
      </c>
      <c r="AD1627" s="0" t="s">
        <v>138</v>
      </c>
      <c r="AF1627" s="0">
        <v>0</v>
      </c>
      <c r="AG1627" s="0">
        <v>0</v>
      </c>
      <c r="AH1627" s="0" t="s">
        <v>140</v>
      </c>
      <c r="AI1627" s="0" t="s">
        <v>138</v>
      </c>
      <c r="AL1627" s="14"/>
      <c r="AN1627" s="14"/>
      <c r="AQ1627" s="0" t="s">
        <v>130</v>
      </c>
      <c r="AR1627" s="0" t="s">
        <v>130</v>
      </c>
      <c r="AS1627" s="0" t="s">
        <v>130</v>
      </c>
      <c r="AT1627" s="0" t="s">
        <v>130</v>
      </c>
      <c r="AU1627" s="0" t="s">
        <v>130</v>
      </c>
      <c r="AV1627" s="0" t="s">
        <v>130</v>
      </c>
      <c r="AW1627" s="0" t="s">
        <v>130</v>
      </c>
      <c r="AX1627" s="0" t="s">
        <v>130</v>
      </c>
      <c r="AY1627" s="0" t="s">
        <v>130</v>
      </c>
      <c r="AZ1627" s="0" t="s">
        <v>130</v>
      </c>
      <c r="BA1627" s="0" t="s">
        <v>130</v>
      </c>
      <c r="BB1627" s="0" t="s">
        <v>130</v>
      </c>
      <c r="BC1627" s="0" t="s">
        <v>130</v>
      </c>
      <c r="BD1627" s="0" t="s">
        <v>130</v>
      </c>
      <c r="BE1627" s="0" t="s">
        <v>130</v>
      </c>
      <c r="BF1627" s="0" t="s">
        <v>130</v>
      </c>
      <c r="BG1627" s="0" t="s">
        <v>130</v>
      </c>
      <c r="BH1627" s="0" t="s">
        <v>130</v>
      </c>
      <c r="BI1627" s="0" t="s">
        <v>130</v>
      </c>
      <c r="BJ1627" s="0" t="s">
        <v>130</v>
      </c>
      <c r="BK1627" s="0" t="s">
        <v>130</v>
      </c>
      <c r="BL1627" s="0" t="s">
        <v>130</v>
      </c>
      <c r="BM1627" s="0" t="s">
        <v>130</v>
      </c>
      <c r="BN1627" s="0" t="s">
        <v>130</v>
      </c>
      <c r="BO1627" s="0" t="s">
        <v>130</v>
      </c>
      <c r="BP1627" s="0" t="s">
        <v>130</v>
      </c>
      <c r="BQ1627" s="0" t="s">
        <v>130</v>
      </c>
      <c r="BR1627" s="0" t="s">
        <v>130</v>
      </c>
      <c r="BS1627" s="0" t="s">
        <v>130</v>
      </c>
      <c r="BT1627" s="0" t="s">
        <v>130</v>
      </c>
      <c r="BU1627" s="0" t="s">
        <v>130</v>
      </c>
      <c r="BV1627" s="0" t="s">
        <v>130</v>
      </c>
      <c r="BW1627" s="0" t="s">
        <v>130</v>
      </c>
      <c r="BX1627" s="0" t="s">
        <v>130</v>
      </c>
      <c r="BY1627" s="0" t="s">
        <v>130</v>
      </c>
      <c r="BZ1627" s="0" t="s">
        <v>130</v>
      </c>
      <c r="CA1627" s="0" t="s">
        <v>130</v>
      </c>
      <c r="CB1627" s="0" t="s">
        <v>130</v>
      </c>
      <c r="CC1627" s="0" t="s">
        <v>130</v>
      </c>
      <c r="CD1627" s="0" t="s">
        <v>130</v>
      </c>
      <c r="CE1627" s="0" t="s">
        <v>130</v>
      </c>
      <c r="CF1627" s="0" t="s">
        <v>130</v>
      </c>
      <c r="CG1627" s="0" t="s">
        <v>130</v>
      </c>
      <c r="CH1627" s="0" t="s">
        <v>130</v>
      </c>
      <c r="CI1627" s="0" t="s">
        <v>130</v>
      </c>
      <c r="CJ1627" s="0" t="s">
        <v>130</v>
      </c>
      <c r="CK1627" s="0" t="s">
        <v>130</v>
      </c>
      <c r="CL1627" s="0" t="s">
        <v>130</v>
      </c>
      <c r="CM1627" s="0" t="s">
        <v>130</v>
      </c>
      <c r="CN1627" s="0" t="s">
        <v>130</v>
      </c>
      <c r="CO1627" s="0" t="s">
        <v>130</v>
      </c>
      <c r="CP1627" s="0" t="s">
        <v>130</v>
      </c>
      <c r="CQ1627" s="0" t="s">
        <v>130</v>
      </c>
      <c r="CR1627" s="0" t="s">
        <v>130</v>
      </c>
      <c r="CS1627" s="0" t="s">
        <v>130</v>
      </c>
      <c r="CT1627" s="0" t="s">
        <v>4683</v>
      </c>
    </row>
    <row r="1628">
      <c r="A1628" s="14">
        <v>46946968</v>
      </c>
      <c r="B1628" s="0" t="s">
        <v>4663</v>
      </c>
      <c r="C1628" s="16">
        <f>HYPERLINK("https://eosportal.federatedhermes.com/companies/Q29tcGFueQppNTE1MjI=", "Alphabet Inc")</f>
      </c>
      <c r="D1628" s="0" t="s">
        <v>25</v>
      </c>
      <c r="E1628" s="0" t="s">
        <v>4684</v>
      </c>
      <c r="F1628" s="16">
        <f>HYPERLINK("https://eosportal.federatedhermes.com/engagements/RW5nYWdlbWVudAppMjkxNjM=", "Lobbying and political disclosure")</f>
      </c>
      <c r="G1628" s="14" t="s">
        <v>4685</v>
      </c>
      <c r="H1628" s="0" t="s">
        <v>141</v>
      </c>
      <c r="I1628" s="14" t="s">
        <v>191</v>
      </c>
      <c r="J1628" s="0" t="s">
        <v>153</v>
      </c>
      <c r="K1628" s="0" t="s">
        <v>185</v>
      </c>
      <c r="L1628" s="0" t="s">
        <v>186</v>
      </c>
      <c r="M1628" s="0" t="s">
        <v>135</v>
      </c>
      <c r="N1628" s="0" t="s">
        <v>136</v>
      </c>
      <c r="O1628" s="0" t="s">
        <v>137</v>
      </c>
      <c r="Q1628" s="0" t="s">
        <v>130</v>
      </c>
      <c r="R1628" s="0" t="s">
        <v>138</v>
      </c>
      <c r="S1628" s="14">
        <v>0</v>
      </c>
      <c r="T1628" s="0" t="s">
        <v>239</v>
      </c>
      <c r="U1628" s="0" t="s">
        <v>138</v>
      </c>
      <c r="V1628" s="14" t="s">
        <v>138</v>
      </c>
      <c r="W1628" s="0" t="s">
        <v>138</v>
      </c>
      <c r="X1628" s="14" t="s">
        <v>138</v>
      </c>
      <c r="Y1628" s="0" t="s">
        <v>138</v>
      </c>
      <c r="Z1628" s="14" t="s">
        <v>138</v>
      </c>
      <c r="AA1628" s="0" t="s">
        <v>138</v>
      </c>
      <c r="AB1628" s="14" t="s">
        <v>138</v>
      </c>
      <c r="AD1628" s="0" t="s">
        <v>138</v>
      </c>
      <c r="AF1628" s="0">
        <v>0</v>
      </c>
      <c r="AG1628" s="0">
        <v>0</v>
      </c>
      <c r="AH1628" s="0" t="s">
        <v>140</v>
      </c>
      <c r="AI1628" s="0" t="s">
        <v>138</v>
      </c>
      <c r="AL1628" s="14"/>
      <c r="AN1628" s="14"/>
      <c r="AQ1628" s="0" t="s">
        <v>130</v>
      </c>
      <c r="AR1628" s="0" t="s">
        <v>130</v>
      </c>
      <c r="AS1628" s="0" t="s">
        <v>130</v>
      </c>
      <c r="AT1628" s="0" t="s">
        <v>130</v>
      </c>
      <c r="AU1628" s="0" t="s">
        <v>130</v>
      </c>
      <c r="AV1628" s="0" t="s">
        <v>130</v>
      </c>
      <c r="AW1628" s="0" t="s">
        <v>130</v>
      </c>
      <c r="AX1628" s="0" t="s">
        <v>130</v>
      </c>
      <c r="AY1628" s="0" t="s">
        <v>130</v>
      </c>
      <c r="AZ1628" s="0" t="s">
        <v>130</v>
      </c>
      <c r="BA1628" s="0" t="s">
        <v>130</v>
      </c>
      <c r="BB1628" s="0" t="s">
        <v>130</v>
      </c>
      <c r="BC1628" s="0" t="s">
        <v>130</v>
      </c>
      <c r="BD1628" s="0" t="s">
        <v>130</v>
      </c>
      <c r="BE1628" s="0" t="s">
        <v>130</v>
      </c>
      <c r="BF1628" s="0" t="s">
        <v>141</v>
      </c>
      <c r="BG1628" s="0" t="s">
        <v>130</v>
      </c>
      <c r="BH1628" s="0" t="s">
        <v>130</v>
      </c>
      <c r="BI1628" s="0" t="s">
        <v>130</v>
      </c>
      <c r="BJ1628" s="0" t="s">
        <v>130</v>
      </c>
      <c r="BK1628" s="0" t="s">
        <v>130</v>
      </c>
      <c r="BL1628" s="0" t="s">
        <v>130</v>
      </c>
      <c r="BM1628" s="0" t="s">
        <v>130</v>
      </c>
      <c r="BN1628" s="0" t="s">
        <v>130</v>
      </c>
      <c r="BO1628" s="0" t="s">
        <v>130</v>
      </c>
      <c r="BP1628" s="0" t="s">
        <v>130</v>
      </c>
      <c r="BQ1628" s="0" t="s">
        <v>130</v>
      </c>
      <c r="BR1628" s="0" t="s">
        <v>130</v>
      </c>
      <c r="BS1628" s="0" t="s">
        <v>130</v>
      </c>
      <c r="BT1628" s="0" t="s">
        <v>130</v>
      </c>
      <c r="BU1628" s="0" t="s">
        <v>130</v>
      </c>
      <c r="BV1628" s="0" t="s">
        <v>130</v>
      </c>
      <c r="BW1628" s="0" t="s">
        <v>130</v>
      </c>
      <c r="BX1628" s="0" t="s">
        <v>130</v>
      </c>
      <c r="BY1628" s="0" t="s">
        <v>130</v>
      </c>
      <c r="BZ1628" s="0" t="s">
        <v>130</v>
      </c>
      <c r="CA1628" s="0" t="s">
        <v>130</v>
      </c>
      <c r="CB1628" s="0" t="s">
        <v>130</v>
      </c>
      <c r="CC1628" s="0" t="s">
        <v>130</v>
      </c>
      <c r="CD1628" s="0" t="s">
        <v>130</v>
      </c>
      <c r="CE1628" s="0" t="s">
        <v>130</v>
      </c>
      <c r="CF1628" s="0" t="s">
        <v>130</v>
      </c>
      <c r="CG1628" s="0" t="s">
        <v>130</v>
      </c>
      <c r="CH1628" s="0" t="s">
        <v>130</v>
      </c>
      <c r="CI1628" s="0" t="s">
        <v>130</v>
      </c>
      <c r="CJ1628" s="0" t="s">
        <v>130</v>
      </c>
      <c r="CK1628" s="0" t="s">
        <v>130</v>
      </c>
      <c r="CL1628" s="0" t="s">
        <v>130</v>
      </c>
      <c r="CM1628" s="0" t="s">
        <v>130</v>
      </c>
      <c r="CN1628" s="0" t="s">
        <v>130</v>
      </c>
      <c r="CO1628" s="0" t="s">
        <v>130</v>
      </c>
      <c r="CP1628" s="0" t="s">
        <v>130</v>
      </c>
      <c r="CQ1628" s="0" t="s">
        <v>130</v>
      </c>
      <c r="CR1628" s="0" t="s">
        <v>130</v>
      </c>
      <c r="CS1628" s="0" t="s">
        <v>130</v>
      </c>
      <c r="CT1628" s="0" t="s">
        <v>4686</v>
      </c>
    </row>
    <row r="1629">
      <c r="A1629" s="14">
        <v>46946968</v>
      </c>
      <c r="B1629" s="0" t="s">
        <v>4663</v>
      </c>
      <c r="C1629" s="16">
        <f>HYPERLINK("https://eosportal.federatedhermes.com/companies/Q29tcGFueQppNTE1MjI=", "Alphabet Inc")</f>
      </c>
      <c r="D1629" s="0" t="s">
        <v>25</v>
      </c>
      <c r="E1629" s="0" t="s">
        <v>4687</v>
      </c>
      <c r="F1629" s="16">
        <f>HYPERLINK("https://eosportal.federatedhermes.com/engagements/RW5nYWdlbWVudAppMjkxNjQ=", "AI bias")</f>
      </c>
      <c r="G1629" s="14" t="s">
        <v>4688</v>
      </c>
      <c r="H1629" s="0" t="s">
        <v>141</v>
      </c>
      <c r="I1629" s="14" t="s">
        <v>191</v>
      </c>
      <c r="J1629" s="0" t="s">
        <v>153</v>
      </c>
      <c r="K1629" s="0" t="s">
        <v>243</v>
      </c>
      <c r="L1629" s="0" t="s">
        <v>537</v>
      </c>
      <c r="M1629" s="0" t="s">
        <v>135</v>
      </c>
      <c r="N1629" s="0" t="s">
        <v>136</v>
      </c>
      <c r="O1629" s="0" t="s">
        <v>137</v>
      </c>
      <c r="Q1629" s="0" t="s">
        <v>130</v>
      </c>
      <c r="R1629" s="0" t="s">
        <v>138</v>
      </c>
      <c r="S1629" s="14">
        <v>0</v>
      </c>
      <c r="T1629" s="0" t="s">
        <v>230</v>
      </c>
      <c r="U1629" s="0" t="s">
        <v>138</v>
      </c>
      <c r="V1629" s="14" t="s">
        <v>138</v>
      </c>
      <c r="W1629" s="0" t="s">
        <v>138</v>
      </c>
      <c r="X1629" s="14" t="s">
        <v>138</v>
      </c>
      <c r="Y1629" s="0" t="s">
        <v>138</v>
      </c>
      <c r="Z1629" s="14" t="s">
        <v>138</v>
      </c>
      <c r="AA1629" s="0" t="s">
        <v>138</v>
      </c>
      <c r="AB1629" s="14" t="s">
        <v>138</v>
      </c>
      <c r="AD1629" s="0" t="s">
        <v>138</v>
      </c>
      <c r="AF1629" s="0">
        <v>0</v>
      </c>
      <c r="AG1629" s="0">
        <v>0</v>
      </c>
      <c r="AH1629" s="0" t="s">
        <v>140</v>
      </c>
      <c r="AI1629" s="0" t="s">
        <v>138</v>
      </c>
      <c r="AL1629" s="14"/>
      <c r="AN1629" s="14"/>
      <c r="AQ1629" s="0" t="s">
        <v>130</v>
      </c>
      <c r="AR1629" s="0" t="s">
        <v>130</v>
      </c>
      <c r="AS1629" s="0" t="s">
        <v>130</v>
      </c>
      <c r="AT1629" s="0" t="s">
        <v>130</v>
      </c>
      <c r="AU1629" s="0" t="s">
        <v>130</v>
      </c>
      <c r="AV1629" s="0" t="s">
        <v>130</v>
      </c>
      <c r="AW1629" s="0" t="s">
        <v>130</v>
      </c>
      <c r="AX1629" s="0" t="s">
        <v>130</v>
      </c>
      <c r="AY1629" s="0" t="s">
        <v>130</v>
      </c>
      <c r="AZ1629" s="0" t="s">
        <v>130</v>
      </c>
      <c r="BA1629" s="0" t="s">
        <v>130</v>
      </c>
      <c r="BB1629" s="0" t="s">
        <v>130</v>
      </c>
      <c r="BC1629" s="0" t="s">
        <v>130</v>
      </c>
      <c r="BD1629" s="0" t="s">
        <v>130</v>
      </c>
      <c r="BE1629" s="0" t="s">
        <v>130</v>
      </c>
      <c r="BF1629" s="0" t="s">
        <v>141</v>
      </c>
      <c r="BG1629" s="0" t="s">
        <v>130</v>
      </c>
      <c r="BH1629" s="0" t="s">
        <v>130</v>
      </c>
      <c r="BI1629" s="0" t="s">
        <v>130</v>
      </c>
      <c r="BJ1629" s="0" t="s">
        <v>130</v>
      </c>
      <c r="BK1629" s="0" t="s">
        <v>130</v>
      </c>
      <c r="BL1629" s="0" t="s">
        <v>130</v>
      </c>
      <c r="BM1629" s="0" t="s">
        <v>130</v>
      </c>
      <c r="BN1629" s="0" t="s">
        <v>130</v>
      </c>
      <c r="BO1629" s="0" t="s">
        <v>130</v>
      </c>
      <c r="BP1629" s="0" t="s">
        <v>130</v>
      </c>
      <c r="BQ1629" s="0" t="s">
        <v>130</v>
      </c>
      <c r="BR1629" s="0" t="s">
        <v>130</v>
      </c>
      <c r="BS1629" s="0" t="s">
        <v>130</v>
      </c>
      <c r="BT1629" s="0" t="s">
        <v>130</v>
      </c>
      <c r="BU1629" s="0" t="s">
        <v>130</v>
      </c>
      <c r="BV1629" s="0" t="s">
        <v>130</v>
      </c>
      <c r="BW1629" s="0" t="s">
        <v>130</v>
      </c>
      <c r="BX1629" s="0" t="s">
        <v>130</v>
      </c>
      <c r="BY1629" s="0" t="s">
        <v>130</v>
      </c>
      <c r="BZ1629" s="0" t="s">
        <v>130</v>
      </c>
      <c r="CA1629" s="0" t="s">
        <v>130</v>
      </c>
      <c r="CB1629" s="0" t="s">
        <v>130</v>
      </c>
      <c r="CC1629" s="0" t="s">
        <v>130</v>
      </c>
      <c r="CD1629" s="0" t="s">
        <v>130</v>
      </c>
      <c r="CE1629" s="0" t="s">
        <v>130</v>
      </c>
      <c r="CF1629" s="0" t="s">
        <v>130</v>
      </c>
      <c r="CG1629" s="0" t="s">
        <v>130</v>
      </c>
      <c r="CH1629" s="0" t="s">
        <v>130</v>
      </c>
      <c r="CI1629" s="0" t="s">
        <v>130</v>
      </c>
      <c r="CJ1629" s="0" t="s">
        <v>130</v>
      </c>
      <c r="CK1629" s="0" t="s">
        <v>130</v>
      </c>
      <c r="CL1629" s="0" t="s">
        <v>130</v>
      </c>
      <c r="CM1629" s="0" t="s">
        <v>130</v>
      </c>
      <c r="CN1629" s="0" t="s">
        <v>130</v>
      </c>
      <c r="CO1629" s="0" t="s">
        <v>130</v>
      </c>
      <c r="CP1629" s="0" t="s">
        <v>130</v>
      </c>
      <c r="CQ1629" s="0" t="s">
        <v>130</v>
      </c>
      <c r="CR1629" s="0" t="s">
        <v>130</v>
      </c>
      <c r="CS1629" s="0" t="s">
        <v>130</v>
      </c>
      <c r="CT1629" s="0" t="s">
        <v>4689</v>
      </c>
    </row>
    <row r="1630">
      <c r="A1630" s="14">
        <v>46946968</v>
      </c>
      <c r="B1630" s="0" t="s">
        <v>4663</v>
      </c>
      <c r="C1630" s="16">
        <f>HYPERLINK("https://eosportal.federatedhermes.com/companies/Q29tcGFueQppNTE1MjI=", "Alphabet Inc")</f>
      </c>
      <c r="D1630" s="0" t="s">
        <v>25</v>
      </c>
      <c r="E1630" s="0" t="s">
        <v>4690</v>
      </c>
      <c r="F1630" s="16">
        <f>HYPERLINK("https://eosportal.federatedhermes.com/engagements/RW5nYWdlbWVudAppMjkxNjY=", "Misinformation")</f>
      </c>
      <c r="G1630" s="14" t="s">
        <v>4691</v>
      </c>
      <c r="H1630" s="0" t="s">
        <v>141</v>
      </c>
      <c r="I1630" s="14" t="s">
        <v>191</v>
      </c>
      <c r="J1630" s="0" t="s">
        <v>153</v>
      </c>
      <c r="K1630" s="0" t="s">
        <v>243</v>
      </c>
      <c r="L1630" s="0" t="s">
        <v>537</v>
      </c>
      <c r="M1630" s="0" t="s">
        <v>135</v>
      </c>
      <c r="N1630" s="0" t="s">
        <v>136</v>
      </c>
      <c r="O1630" s="0" t="s">
        <v>137</v>
      </c>
      <c r="Q1630" s="0" t="s">
        <v>141</v>
      </c>
      <c r="R1630" s="0" t="s">
        <v>138</v>
      </c>
      <c r="S1630" s="14">
        <v>1</v>
      </c>
      <c r="T1630" s="0" t="s">
        <v>230</v>
      </c>
      <c r="U1630" s="0" t="s">
        <v>138</v>
      </c>
      <c r="V1630" s="14" t="s">
        <v>138</v>
      </c>
      <c r="W1630" s="0" t="s">
        <v>138</v>
      </c>
      <c r="X1630" s="14" t="s">
        <v>138</v>
      </c>
      <c r="Y1630" s="0" t="s">
        <v>138</v>
      </c>
      <c r="Z1630" s="14" t="s">
        <v>138</v>
      </c>
      <c r="AA1630" s="0" t="s">
        <v>138</v>
      </c>
      <c r="AB1630" s="14" t="s">
        <v>138</v>
      </c>
      <c r="AD1630" s="0" t="s">
        <v>138</v>
      </c>
      <c r="AF1630" s="0">
        <v>0</v>
      </c>
      <c r="AG1630" s="0">
        <v>0</v>
      </c>
      <c r="AH1630" s="0" t="s">
        <v>140</v>
      </c>
      <c r="AI1630" s="0" t="s">
        <v>138</v>
      </c>
      <c r="AK1630" s="0" t="s">
        <v>4274</v>
      </c>
      <c r="AL1630" s="14"/>
      <c r="AN1630" s="14"/>
      <c r="AQ1630" s="0" t="s">
        <v>130</v>
      </c>
      <c r="AR1630" s="0" t="s">
        <v>130</v>
      </c>
      <c r="AS1630" s="0" t="s">
        <v>130</v>
      </c>
      <c r="AT1630" s="0" t="s">
        <v>130</v>
      </c>
      <c r="AU1630" s="0" t="s">
        <v>130</v>
      </c>
      <c r="AV1630" s="0" t="s">
        <v>130</v>
      </c>
      <c r="AW1630" s="0" t="s">
        <v>130</v>
      </c>
      <c r="AX1630" s="0" t="s">
        <v>130</v>
      </c>
      <c r="AY1630" s="0" t="s">
        <v>130</v>
      </c>
      <c r="AZ1630" s="0" t="s">
        <v>130</v>
      </c>
      <c r="BA1630" s="0" t="s">
        <v>130</v>
      </c>
      <c r="BB1630" s="0" t="s">
        <v>130</v>
      </c>
      <c r="BC1630" s="0" t="s">
        <v>130</v>
      </c>
      <c r="BD1630" s="0" t="s">
        <v>130</v>
      </c>
      <c r="BE1630" s="0" t="s">
        <v>130</v>
      </c>
      <c r="BF1630" s="0" t="s">
        <v>141</v>
      </c>
      <c r="BG1630" s="0" t="s">
        <v>130</v>
      </c>
      <c r="BH1630" s="0" t="s">
        <v>130</v>
      </c>
      <c r="BI1630" s="0" t="s">
        <v>130</v>
      </c>
      <c r="BJ1630" s="0" t="s">
        <v>130</v>
      </c>
      <c r="BK1630" s="0" t="s">
        <v>130</v>
      </c>
      <c r="BL1630" s="0" t="s">
        <v>130</v>
      </c>
      <c r="BM1630" s="0" t="s">
        <v>130</v>
      </c>
      <c r="BN1630" s="0" t="s">
        <v>130</v>
      </c>
      <c r="BO1630" s="0" t="s">
        <v>130</v>
      </c>
      <c r="BP1630" s="0" t="s">
        <v>130</v>
      </c>
      <c r="BQ1630" s="0" t="s">
        <v>130</v>
      </c>
      <c r="BR1630" s="0" t="s">
        <v>130</v>
      </c>
      <c r="BS1630" s="0" t="s">
        <v>130</v>
      </c>
      <c r="BT1630" s="0" t="s">
        <v>130</v>
      </c>
      <c r="BU1630" s="0" t="s">
        <v>130</v>
      </c>
      <c r="BV1630" s="0" t="s">
        <v>130</v>
      </c>
      <c r="BW1630" s="0" t="s">
        <v>130</v>
      </c>
      <c r="BX1630" s="0" t="s">
        <v>130</v>
      </c>
      <c r="BY1630" s="0" t="s">
        <v>130</v>
      </c>
      <c r="BZ1630" s="0" t="s">
        <v>130</v>
      </c>
      <c r="CA1630" s="0" t="s">
        <v>130</v>
      </c>
      <c r="CB1630" s="0" t="s">
        <v>130</v>
      </c>
      <c r="CC1630" s="0" t="s">
        <v>130</v>
      </c>
      <c r="CD1630" s="0" t="s">
        <v>130</v>
      </c>
      <c r="CE1630" s="0" t="s">
        <v>130</v>
      </c>
      <c r="CF1630" s="0" t="s">
        <v>130</v>
      </c>
      <c r="CG1630" s="0" t="s">
        <v>130</v>
      </c>
      <c r="CH1630" s="0" t="s">
        <v>130</v>
      </c>
      <c r="CI1630" s="0" t="s">
        <v>130</v>
      </c>
      <c r="CJ1630" s="0" t="s">
        <v>130</v>
      </c>
      <c r="CK1630" s="0" t="s">
        <v>130</v>
      </c>
      <c r="CL1630" s="0" t="s">
        <v>130</v>
      </c>
      <c r="CM1630" s="0" t="s">
        <v>130</v>
      </c>
      <c r="CN1630" s="0" t="s">
        <v>130</v>
      </c>
      <c r="CO1630" s="0" t="s">
        <v>130</v>
      </c>
      <c r="CP1630" s="0" t="s">
        <v>130</v>
      </c>
      <c r="CQ1630" s="0" t="s">
        <v>130</v>
      </c>
      <c r="CR1630" s="0" t="s">
        <v>130</v>
      </c>
      <c r="CS1630" s="0" t="s">
        <v>130</v>
      </c>
      <c r="CT1630" s="0" t="s">
        <v>4692</v>
      </c>
    </row>
    <row r="1631">
      <c r="A1631" s="14">
        <v>46946968</v>
      </c>
      <c r="B1631" s="0" t="s">
        <v>4663</v>
      </c>
      <c r="C1631" s="16">
        <f>HYPERLINK("https://eosportal.federatedhermes.com/companies/Q29tcGFueQppNTE1MjI=", "Alphabet Inc")</f>
      </c>
      <c r="D1631" s="0" t="s">
        <v>25</v>
      </c>
      <c r="E1631" s="0" t="s">
        <v>4693</v>
      </c>
      <c r="F1631" s="16">
        <f>HYPERLINK("https://eosportal.federatedhermes.com/engagements/RW5nYWdlbWVudAppMjkxNjc=", "Compliance with own terms of service")</f>
      </c>
      <c r="G1631" s="14" t="s">
        <v>4694</v>
      </c>
      <c r="H1631" s="0" t="s">
        <v>141</v>
      </c>
      <c r="I1631" s="14" t="s">
        <v>191</v>
      </c>
      <c r="J1631" s="0" t="s">
        <v>153</v>
      </c>
      <c r="K1631" s="0" t="s">
        <v>243</v>
      </c>
      <c r="L1631" s="0" t="s">
        <v>244</v>
      </c>
      <c r="M1631" s="0" t="s">
        <v>135</v>
      </c>
      <c r="N1631" s="0" t="s">
        <v>136</v>
      </c>
      <c r="O1631" s="0" t="s">
        <v>137</v>
      </c>
      <c r="Q1631" s="0" t="s">
        <v>141</v>
      </c>
      <c r="R1631" s="0" t="s">
        <v>138</v>
      </c>
      <c r="S1631" s="14">
        <v>1</v>
      </c>
      <c r="T1631" s="0" t="s">
        <v>230</v>
      </c>
      <c r="U1631" s="0" t="s">
        <v>138</v>
      </c>
      <c r="V1631" s="14" t="s">
        <v>138</v>
      </c>
      <c r="W1631" s="0" t="s">
        <v>138</v>
      </c>
      <c r="X1631" s="14" t="s">
        <v>138</v>
      </c>
      <c r="Y1631" s="0" t="s">
        <v>138</v>
      </c>
      <c r="Z1631" s="14" t="s">
        <v>138</v>
      </c>
      <c r="AA1631" s="0" t="s">
        <v>138</v>
      </c>
      <c r="AB1631" s="14" t="s">
        <v>138</v>
      </c>
      <c r="AD1631" s="0" t="s">
        <v>138</v>
      </c>
      <c r="AF1631" s="0">
        <v>0</v>
      </c>
      <c r="AG1631" s="0">
        <v>0</v>
      </c>
      <c r="AH1631" s="0" t="s">
        <v>140</v>
      </c>
      <c r="AI1631" s="0" t="s">
        <v>138</v>
      </c>
      <c r="AK1631" s="0" t="s">
        <v>4274</v>
      </c>
      <c r="AL1631" s="14"/>
      <c r="AN1631" s="14"/>
      <c r="AQ1631" s="0" t="s">
        <v>130</v>
      </c>
      <c r="AR1631" s="0" t="s">
        <v>130</v>
      </c>
      <c r="AS1631" s="0" t="s">
        <v>130</v>
      </c>
      <c r="AT1631" s="0" t="s">
        <v>130</v>
      </c>
      <c r="AU1631" s="0" t="s">
        <v>130</v>
      </c>
      <c r="AV1631" s="0" t="s">
        <v>130</v>
      </c>
      <c r="AW1631" s="0" t="s">
        <v>130</v>
      </c>
      <c r="AX1631" s="0" t="s">
        <v>141</v>
      </c>
      <c r="AY1631" s="0" t="s">
        <v>130</v>
      </c>
      <c r="AZ1631" s="0" t="s">
        <v>130</v>
      </c>
      <c r="BA1631" s="0" t="s">
        <v>130</v>
      </c>
      <c r="BB1631" s="0" t="s">
        <v>130</v>
      </c>
      <c r="BC1631" s="0" t="s">
        <v>130</v>
      </c>
      <c r="BD1631" s="0" t="s">
        <v>130</v>
      </c>
      <c r="BE1631" s="0" t="s">
        <v>130</v>
      </c>
      <c r="BF1631" s="0" t="s">
        <v>130</v>
      </c>
      <c r="BG1631" s="0" t="s">
        <v>130</v>
      </c>
      <c r="BH1631" s="0" t="s">
        <v>130</v>
      </c>
      <c r="BI1631" s="0" t="s">
        <v>130</v>
      </c>
      <c r="BJ1631" s="0" t="s">
        <v>130</v>
      </c>
      <c r="BK1631" s="0" t="s">
        <v>130</v>
      </c>
      <c r="BL1631" s="0" t="s">
        <v>130</v>
      </c>
      <c r="BM1631" s="0" t="s">
        <v>130</v>
      </c>
      <c r="BN1631" s="0" t="s">
        <v>130</v>
      </c>
      <c r="BO1631" s="0" t="s">
        <v>130</v>
      </c>
      <c r="BP1631" s="0" t="s">
        <v>130</v>
      </c>
      <c r="BQ1631" s="0" t="s">
        <v>130</v>
      </c>
      <c r="BR1631" s="0" t="s">
        <v>130</v>
      </c>
      <c r="BS1631" s="0" t="s">
        <v>130</v>
      </c>
      <c r="BT1631" s="0" t="s">
        <v>130</v>
      </c>
      <c r="BU1631" s="0" t="s">
        <v>130</v>
      </c>
      <c r="BV1631" s="0" t="s">
        <v>130</v>
      </c>
      <c r="BW1631" s="0" t="s">
        <v>130</v>
      </c>
      <c r="BX1631" s="0" t="s">
        <v>130</v>
      </c>
      <c r="BY1631" s="0" t="s">
        <v>130</v>
      </c>
      <c r="BZ1631" s="0" t="s">
        <v>130</v>
      </c>
      <c r="CA1631" s="0" t="s">
        <v>130</v>
      </c>
      <c r="CB1631" s="0" t="s">
        <v>130</v>
      </c>
      <c r="CC1631" s="0" t="s">
        <v>130</v>
      </c>
      <c r="CD1631" s="0" t="s">
        <v>130</v>
      </c>
      <c r="CE1631" s="0" t="s">
        <v>130</v>
      </c>
      <c r="CF1631" s="0" t="s">
        <v>130</v>
      </c>
      <c r="CG1631" s="0" t="s">
        <v>130</v>
      </c>
      <c r="CH1631" s="0" t="s">
        <v>130</v>
      </c>
      <c r="CI1631" s="0" t="s">
        <v>130</v>
      </c>
      <c r="CJ1631" s="0" t="s">
        <v>130</v>
      </c>
      <c r="CK1631" s="0" t="s">
        <v>130</v>
      </c>
      <c r="CL1631" s="0" t="s">
        <v>130</v>
      </c>
      <c r="CM1631" s="0" t="s">
        <v>130</v>
      </c>
      <c r="CN1631" s="0" t="s">
        <v>130</v>
      </c>
      <c r="CO1631" s="0" t="s">
        <v>130</v>
      </c>
      <c r="CP1631" s="0" t="s">
        <v>130</v>
      </c>
      <c r="CQ1631" s="0" t="s">
        <v>130</v>
      </c>
      <c r="CR1631" s="0" t="s">
        <v>130</v>
      </c>
      <c r="CS1631" s="0" t="s">
        <v>130</v>
      </c>
      <c r="CT1631" s="0" t="s">
        <v>4695</v>
      </c>
    </row>
    <row r="1632">
      <c r="A1632" s="14">
        <v>46946968</v>
      </c>
      <c r="B1632" s="0" t="s">
        <v>4663</v>
      </c>
      <c r="C1632" s="16">
        <f>HYPERLINK("https://eosportal.federatedhermes.com/companies/Q29tcGFueQppNTE1MjI=", "Alphabet Inc")</f>
      </c>
      <c r="D1632" s="0" t="s">
        <v>25</v>
      </c>
      <c r="E1632" s="0" t="s">
        <v>4696</v>
      </c>
      <c r="F1632" s="16">
        <f>HYPERLINK("https://eosportal.federatedhermes.com/engagements/RW5nYWdlbWVudAppMjkxNjg=", "Human rights and business model")</f>
      </c>
      <c r="G1632" s="14" t="s">
        <v>4697</v>
      </c>
      <c r="H1632" s="0" t="s">
        <v>141</v>
      </c>
      <c r="I1632" s="14" t="s">
        <v>191</v>
      </c>
      <c r="J1632" s="0" t="s">
        <v>153</v>
      </c>
      <c r="K1632" s="0" t="s">
        <v>243</v>
      </c>
      <c r="L1632" s="0" t="s">
        <v>244</v>
      </c>
      <c r="M1632" s="0" t="s">
        <v>135</v>
      </c>
      <c r="N1632" s="0" t="s">
        <v>136</v>
      </c>
      <c r="O1632" s="0" t="s">
        <v>137</v>
      </c>
      <c r="Q1632" s="0" t="s">
        <v>141</v>
      </c>
      <c r="R1632" s="0" t="s">
        <v>138</v>
      </c>
      <c r="S1632" s="14">
        <v>1</v>
      </c>
      <c r="T1632" s="0" t="s">
        <v>239</v>
      </c>
      <c r="U1632" s="0" t="s">
        <v>138</v>
      </c>
      <c r="V1632" s="14" t="s">
        <v>138</v>
      </c>
      <c r="W1632" s="0" t="s">
        <v>138</v>
      </c>
      <c r="X1632" s="14" t="s">
        <v>138</v>
      </c>
      <c r="Y1632" s="0" t="s">
        <v>138</v>
      </c>
      <c r="Z1632" s="14" t="s">
        <v>138</v>
      </c>
      <c r="AA1632" s="0" t="s">
        <v>138</v>
      </c>
      <c r="AB1632" s="14" t="s">
        <v>138</v>
      </c>
      <c r="AD1632" s="0" t="s">
        <v>138</v>
      </c>
      <c r="AF1632" s="0">
        <v>0</v>
      </c>
      <c r="AG1632" s="0">
        <v>0</v>
      </c>
      <c r="AH1632" s="0" t="s">
        <v>140</v>
      </c>
      <c r="AI1632" s="0" t="s">
        <v>138</v>
      </c>
      <c r="AK1632" s="0" t="s">
        <v>4274</v>
      </c>
      <c r="AL1632" s="14"/>
      <c r="AN1632" s="14"/>
      <c r="AQ1632" s="0" t="s">
        <v>130</v>
      </c>
      <c r="AR1632" s="0" t="s">
        <v>130</v>
      </c>
      <c r="AS1632" s="0" t="s">
        <v>130</v>
      </c>
      <c r="AT1632" s="0" t="s">
        <v>130</v>
      </c>
      <c r="AU1632" s="0" t="s">
        <v>130</v>
      </c>
      <c r="AV1632" s="0" t="s">
        <v>130</v>
      </c>
      <c r="AW1632" s="0" t="s">
        <v>130</v>
      </c>
      <c r="AX1632" s="0" t="s">
        <v>141</v>
      </c>
      <c r="AY1632" s="0" t="s">
        <v>130</v>
      </c>
      <c r="AZ1632" s="0" t="s">
        <v>130</v>
      </c>
      <c r="BA1632" s="0" t="s">
        <v>130</v>
      </c>
      <c r="BB1632" s="0" t="s">
        <v>130</v>
      </c>
      <c r="BC1632" s="0" t="s">
        <v>130</v>
      </c>
      <c r="BD1632" s="0" t="s">
        <v>130</v>
      </c>
      <c r="BE1632" s="0" t="s">
        <v>130</v>
      </c>
      <c r="BF1632" s="0" t="s">
        <v>130</v>
      </c>
      <c r="BG1632" s="0" t="s">
        <v>130</v>
      </c>
      <c r="BH1632" s="0" t="s">
        <v>130</v>
      </c>
      <c r="BI1632" s="0" t="s">
        <v>130</v>
      </c>
      <c r="BJ1632" s="0" t="s">
        <v>130</v>
      </c>
      <c r="BK1632" s="0" t="s">
        <v>130</v>
      </c>
      <c r="BL1632" s="0" t="s">
        <v>130</v>
      </c>
      <c r="BM1632" s="0" t="s">
        <v>130</v>
      </c>
      <c r="BN1632" s="0" t="s">
        <v>130</v>
      </c>
      <c r="BO1632" s="0" t="s">
        <v>130</v>
      </c>
      <c r="BP1632" s="0" t="s">
        <v>130</v>
      </c>
      <c r="BQ1632" s="0" t="s">
        <v>130</v>
      </c>
      <c r="BR1632" s="0" t="s">
        <v>130</v>
      </c>
      <c r="BS1632" s="0" t="s">
        <v>130</v>
      </c>
      <c r="BT1632" s="0" t="s">
        <v>130</v>
      </c>
      <c r="BU1632" s="0" t="s">
        <v>130</v>
      </c>
      <c r="BV1632" s="0" t="s">
        <v>130</v>
      </c>
      <c r="BW1632" s="0" t="s">
        <v>130</v>
      </c>
      <c r="BX1632" s="0" t="s">
        <v>130</v>
      </c>
      <c r="BY1632" s="0" t="s">
        <v>130</v>
      </c>
      <c r="BZ1632" s="0" t="s">
        <v>130</v>
      </c>
      <c r="CA1632" s="0" t="s">
        <v>130</v>
      </c>
      <c r="CB1632" s="0" t="s">
        <v>130</v>
      </c>
      <c r="CC1632" s="0" t="s">
        <v>130</v>
      </c>
      <c r="CD1632" s="0" t="s">
        <v>130</v>
      </c>
      <c r="CE1632" s="0" t="s">
        <v>130</v>
      </c>
      <c r="CF1632" s="0" t="s">
        <v>130</v>
      </c>
      <c r="CG1632" s="0" t="s">
        <v>130</v>
      </c>
      <c r="CH1632" s="0" t="s">
        <v>130</v>
      </c>
      <c r="CI1632" s="0" t="s">
        <v>130</v>
      </c>
      <c r="CJ1632" s="0" t="s">
        <v>130</v>
      </c>
      <c r="CK1632" s="0" t="s">
        <v>130</v>
      </c>
      <c r="CL1632" s="0" t="s">
        <v>130</v>
      </c>
      <c r="CM1632" s="0" t="s">
        <v>130</v>
      </c>
      <c r="CN1632" s="0" t="s">
        <v>130</v>
      </c>
      <c r="CO1632" s="0" t="s">
        <v>130</v>
      </c>
      <c r="CP1632" s="0" t="s">
        <v>130</v>
      </c>
      <c r="CQ1632" s="0" t="s">
        <v>130</v>
      </c>
      <c r="CR1632" s="0" t="s">
        <v>130</v>
      </c>
      <c r="CS1632" s="0" t="s">
        <v>130</v>
      </c>
      <c r="CT1632" s="0" t="s">
        <v>4698</v>
      </c>
    </row>
    <row r="1633">
      <c r="A1633" s="14">
        <v>46946968</v>
      </c>
      <c r="B1633" s="0" t="s">
        <v>4663</v>
      </c>
      <c r="C1633" s="16">
        <f>HYPERLINK("https://eosportal.federatedhermes.com/companies/Q29tcGFueQppNTE1MjI=", "Alphabet Inc")</f>
      </c>
      <c r="D1633" s="0" t="s">
        <v>25</v>
      </c>
      <c r="E1633" s="0" t="s">
        <v>4699</v>
      </c>
      <c r="F1633" s="16">
        <f>HYPERLINK("https://eosportal.federatedhermes.com/engagements/RW5nYWdlbWVudAppMjkxNjk=", "Diversity and inclusion disclosure")</f>
      </c>
      <c r="G1633" s="14" t="s">
        <v>4700</v>
      </c>
      <c r="H1633" s="0" t="s">
        <v>141</v>
      </c>
      <c r="I1633" s="14" t="s">
        <v>191</v>
      </c>
      <c r="J1633" s="0" t="s">
        <v>153</v>
      </c>
      <c r="K1633" s="0" t="s">
        <v>154</v>
      </c>
      <c r="L1633" s="0" t="s">
        <v>268</v>
      </c>
      <c r="M1633" s="0" t="s">
        <v>135</v>
      </c>
      <c r="N1633" s="0" t="s">
        <v>136</v>
      </c>
      <c r="O1633" s="0" t="s">
        <v>137</v>
      </c>
      <c r="Q1633" s="0" t="s">
        <v>130</v>
      </c>
      <c r="R1633" s="0" t="s">
        <v>138</v>
      </c>
      <c r="S1633" s="14">
        <v>0</v>
      </c>
      <c r="T1633" s="0" t="s">
        <v>239</v>
      </c>
      <c r="U1633" s="0" t="s">
        <v>138</v>
      </c>
      <c r="V1633" s="14" t="s">
        <v>138</v>
      </c>
      <c r="W1633" s="0" t="s">
        <v>138</v>
      </c>
      <c r="X1633" s="14" t="s">
        <v>138</v>
      </c>
      <c r="Y1633" s="0" t="s">
        <v>138</v>
      </c>
      <c r="Z1633" s="14" t="s">
        <v>138</v>
      </c>
      <c r="AA1633" s="0" t="s">
        <v>138</v>
      </c>
      <c r="AB1633" s="14" t="s">
        <v>138</v>
      </c>
      <c r="AD1633" s="0" t="s">
        <v>138</v>
      </c>
      <c r="AF1633" s="0">
        <v>0</v>
      </c>
      <c r="AG1633" s="0">
        <v>0</v>
      </c>
      <c r="AH1633" s="0" t="s">
        <v>140</v>
      </c>
      <c r="AI1633" s="0" t="s">
        <v>138</v>
      </c>
      <c r="AL1633" s="14"/>
      <c r="AN1633" s="14"/>
      <c r="AQ1633" s="0" t="s">
        <v>130</v>
      </c>
      <c r="AR1633" s="0" t="s">
        <v>130</v>
      </c>
      <c r="AS1633" s="0" t="s">
        <v>130</v>
      </c>
      <c r="AT1633" s="0" t="s">
        <v>130</v>
      </c>
      <c r="AU1633" s="0" t="s">
        <v>130</v>
      </c>
      <c r="AV1633" s="0" t="s">
        <v>130</v>
      </c>
      <c r="AW1633" s="0" t="s">
        <v>130</v>
      </c>
      <c r="AX1633" s="0" t="s">
        <v>141</v>
      </c>
      <c r="AY1633" s="0" t="s">
        <v>130</v>
      </c>
      <c r="AZ1633" s="0" t="s">
        <v>130</v>
      </c>
      <c r="BA1633" s="0" t="s">
        <v>130</v>
      </c>
      <c r="BB1633" s="0" t="s">
        <v>130</v>
      </c>
      <c r="BC1633" s="0" t="s">
        <v>130</v>
      </c>
      <c r="BD1633" s="0" t="s">
        <v>130</v>
      </c>
      <c r="BE1633" s="0" t="s">
        <v>130</v>
      </c>
      <c r="BF1633" s="0" t="s">
        <v>130</v>
      </c>
      <c r="BG1633" s="0" t="s">
        <v>130</v>
      </c>
      <c r="BH1633" s="0" t="s">
        <v>130</v>
      </c>
      <c r="BI1633" s="0" t="s">
        <v>130</v>
      </c>
      <c r="BJ1633" s="0" t="s">
        <v>130</v>
      </c>
      <c r="BK1633" s="0" t="s">
        <v>130</v>
      </c>
      <c r="BL1633" s="0" t="s">
        <v>130</v>
      </c>
      <c r="BM1633" s="0" t="s">
        <v>130</v>
      </c>
      <c r="BN1633" s="0" t="s">
        <v>130</v>
      </c>
      <c r="BO1633" s="0" t="s">
        <v>130</v>
      </c>
      <c r="BP1633" s="0" t="s">
        <v>130</v>
      </c>
      <c r="BQ1633" s="0" t="s">
        <v>130</v>
      </c>
      <c r="BR1633" s="0" t="s">
        <v>130</v>
      </c>
      <c r="BS1633" s="0" t="s">
        <v>130</v>
      </c>
      <c r="BT1633" s="0" t="s">
        <v>130</v>
      </c>
      <c r="BU1633" s="0" t="s">
        <v>130</v>
      </c>
      <c r="BV1633" s="0" t="s">
        <v>130</v>
      </c>
      <c r="BW1633" s="0" t="s">
        <v>130</v>
      </c>
      <c r="BX1633" s="0" t="s">
        <v>130</v>
      </c>
      <c r="BY1633" s="0" t="s">
        <v>130</v>
      </c>
      <c r="BZ1633" s="0" t="s">
        <v>130</v>
      </c>
      <c r="CA1633" s="0" t="s">
        <v>130</v>
      </c>
      <c r="CB1633" s="0" t="s">
        <v>130</v>
      </c>
      <c r="CC1633" s="0" t="s">
        <v>130</v>
      </c>
      <c r="CD1633" s="0" t="s">
        <v>130</v>
      </c>
      <c r="CE1633" s="0" t="s">
        <v>130</v>
      </c>
      <c r="CF1633" s="0" t="s">
        <v>130</v>
      </c>
      <c r="CG1633" s="0" t="s">
        <v>130</v>
      </c>
      <c r="CH1633" s="0" t="s">
        <v>130</v>
      </c>
      <c r="CI1633" s="0" t="s">
        <v>130</v>
      </c>
      <c r="CJ1633" s="0" t="s">
        <v>130</v>
      </c>
      <c r="CK1633" s="0" t="s">
        <v>141</v>
      </c>
      <c r="CL1633" s="0" t="s">
        <v>130</v>
      </c>
      <c r="CM1633" s="0" t="s">
        <v>130</v>
      </c>
      <c r="CN1633" s="0" t="s">
        <v>130</v>
      </c>
      <c r="CO1633" s="0" t="s">
        <v>130</v>
      </c>
      <c r="CP1633" s="0" t="s">
        <v>130</v>
      </c>
      <c r="CQ1633" s="0" t="s">
        <v>130</v>
      </c>
      <c r="CR1633" s="0" t="s">
        <v>130</v>
      </c>
      <c r="CS1633" s="0" t="s">
        <v>130</v>
      </c>
      <c r="CT1633" s="0" t="s">
        <v>4701</v>
      </c>
    </row>
    <row r="1634">
      <c r="A1634" s="14">
        <v>46946968</v>
      </c>
      <c r="B1634" s="0" t="s">
        <v>4663</v>
      </c>
      <c r="C1634" s="16">
        <f>HYPERLINK("https://eosportal.federatedhermes.com/companies/Q29tcGFueQppNTE1MjI=", "Alphabet Inc")</f>
      </c>
      <c r="D1634" s="0" t="s">
        <v>25</v>
      </c>
      <c r="E1634" s="0" t="s">
        <v>3711</v>
      </c>
      <c r="F1634" s="16">
        <f>HYPERLINK("https://eosportal.federatedhermes.com/engagements/RW5nYWdlbWVudAppMjkxNzY=", "Controversy linked to General OECD Issue - Anti Competitive Practices")</f>
      </c>
      <c r="G1634" s="14" t="s">
        <v>4702</v>
      </c>
      <c r="H1634" s="0" t="s">
        <v>141</v>
      </c>
      <c r="I1634" s="14" t="s">
        <v>191</v>
      </c>
      <c r="J1634" s="0" t="s">
        <v>153</v>
      </c>
      <c r="K1634" s="0" t="s">
        <v>154</v>
      </c>
      <c r="L1634" s="0" t="s">
        <v>306</v>
      </c>
      <c r="M1634" s="0" t="s">
        <v>135</v>
      </c>
      <c r="N1634" s="0" t="s">
        <v>136</v>
      </c>
      <c r="O1634" s="0" t="s">
        <v>137</v>
      </c>
      <c r="Q1634" s="0" t="s">
        <v>141</v>
      </c>
      <c r="R1634" s="0" t="s">
        <v>138</v>
      </c>
      <c r="S1634" s="14">
        <v>1</v>
      </c>
      <c r="T1634" s="0" t="s">
        <v>359</v>
      </c>
      <c r="U1634" s="0" t="s">
        <v>138</v>
      </c>
      <c r="V1634" s="14" t="s">
        <v>138</v>
      </c>
      <c r="W1634" s="0" t="s">
        <v>138</v>
      </c>
      <c r="X1634" s="14" t="s">
        <v>138</v>
      </c>
      <c r="Y1634" s="0" t="s">
        <v>138</v>
      </c>
      <c r="Z1634" s="14" t="s">
        <v>138</v>
      </c>
      <c r="AA1634" s="0" t="s">
        <v>138</v>
      </c>
      <c r="AB1634" s="14" t="s">
        <v>138</v>
      </c>
      <c r="AD1634" s="0" t="s">
        <v>138</v>
      </c>
      <c r="AF1634" s="0">
        <v>0</v>
      </c>
      <c r="AG1634" s="0">
        <v>0</v>
      </c>
      <c r="AH1634" s="0" t="s">
        <v>140</v>
      </c>
      <c r="AI1634" s="0" t="s">
        <v>138</v>
      </c>
      <c r="AK1634" s="0" t="s">
        <v>4274</v>
      </c>
      <c r="AL1634" s="14"/>
      <c r="AN1634" s="14"/>
      <c r="AQ1634" s="0" t="s">
        <v>130</v>
      </c>
      <c r="AR1634" s="0" t="s">
        <v>130</v>
      </c>
      <c r="AS1634" s="0" t="s">
        <v>130</v>
      </c>
      <c r="AT1634" s="0" t="s">
        <v>130</v>
      </c>
      <c r="AU1634" s="0" t="s">
        <v>130</v>
      </c>
      <c r="AV1634" s="0" t="s">
        <v>130</v>
      </c>
      <c r="AW1634" s="0" t="s">
        <v>130</v>
      </c>
      <c r="AX1634" s="0" t="s">
        <v>130</v>
      </c>
      <c r="AY1634" s="0" t="s">
        <v>130</v>
      </c>
      <c r="AZ1634" s="0" t="s">
        <v>130</v>
      </c>
      <c r="BA1634" s="0" t="s">
        <v>130</v>
      </c>
      <c r="BB1634" s="0" t="s">
        <v>130</v>
      </c>
      <c r="BC1634" s="0" t="s">
        <v>130</v>
      </c>
      <c r="BD1634" s="0" t="s">
        <v>130</v>
      </c>
      <c r="BE1634" s="0" t="s">
        <v>130</v>
      </c>
      <c r="BF1634" s="0" t="s">
        <v>130</v>
      </c>
      <c r="BG1634" s="0" t="s">
        <v>130</v>
      </c>
      <c r="BH1634" s="0" t="s">
        <v>130</v>
      </c>
      <c r="BI1634" s="0" t="s">
        <v>130</v>
      </c>
      <c r="BJ1634" s="0" t="s">
        <v>130</v>
      </c>
      <c r="BK1634" s="0" t="s">
        <v>130</v>
      </c>
      <c r="BL1634" s="0" t="s">
        <v>130</v>
      </c>
      <c r="BM1634" s="0" t="s">
        <v>130</v>
      </c>
      <c r="BN1634" s="0" t="s">
        <v>130</v>
      </c>
      <c r="BO1634" s="0" t="s">
        <v>130</v>
      </c>
      <c r="BP1634" s="0" t="s">
        <v>141</v>
      </c>
      <c r="BQ1634" s="0" t="s">
        <v>130</v>
      </c>
      <c r="BR1634" s="0" t="s">
        <v>130</v>
      </c>
      <c r="BS1634" s="0" t="s">
        <v>130</v>
      </c>
      <c r="BT1634" s="0" t="s">
        <v>130</v>
      </c>
      <c r="BU1634" s="0" t="s">
        <v>130</v>
      </c>
      <c r="BV1634" s="0" t="s">
        <v>130</v>
      </c>
      <c r="BW1634" s="0" t="s">
        <v>130</v>
      </c>
      <c r="BX1634" s="0" t="s">
        <v>130</v>
      </c>
      <c r="BY1634" s="0" t="s">
        <v>130</v>
      </c>
      <c r="BZ1634" s="0" t="s">
        <v>130</v>
      </c>
      <c r="CA1634" s="0" t="s">
        <v>130</v>
      </c>
      <c r="CB1634" s="0" t="s">
        <v>130</v>
      </c>
      <c r="CC1634" s="0" t="s">
        <v>130</v>
      </c>
      <c r="CD1634" s="0" t="s">
        <v>130</v>
      </c>
      <c r="CE1634" s="0" t="s">
        <v>130</v>
      </c>
      <c r="CF1634" s="0" t="s">
        <v>130</v>
      </c>
      <c r="CG1634" s="0" t="s">
        <v>130</v>
      </c>
      <c r="CH1634" s="0" t="s">
        <v>130</v>
      </c>
      <c r="CI1634" s="0" t="s">
        <v>130</v>
      </c>
      <c r="CJ1634" s="0" t="s">
        <v>130</v>
      </c>
      <c r="CK1634" s="0" t="s">
        <v>130</v>
      </c>
      <c r="CL1634" s="0" t="s">
        <v>130</v>
      </c>
      <c r="CM1634" s="0" t="s">
        <v>130</v>
      </c>
      <c r="CN1634" s="0" t="s">
        <v>130</v>
      </c>
      <c r="CO1634" s="0" t="s">
        <v>130</v>
      </c>
      <c r="CP1634" s="0" t="s">
        <v>130</v>
      </c>
      <c r="CQ1634" s="0" t="s">
        <v>130</v>
      </c>
      <c r="CR1634" s="0" t="s">
        <v>130</v>
      </c>
      <c r="CS1634" s="0" t="s">
        <v>130</v>
      </c>
      <c r="CT1634" s="0" t="s">
        <v>4703</v>
      </c>
    </row>
    <row r="1635">
      <c r="A1635" s="14">
        <v>58890738</v>
      </c>
      <c r="B1635" s="0" t="s">
        <v>4704</v>
      </c>
      <c r="C1635" s="16">
        <f>HYPERLINK("https://eosportal.federatedhermes.com/companies/Q29tcGFueQppNjE1MTM=", "Epiroc AB")</f>
      </c>
      <c r="D1635" s="0" t="s">
        <v>25</v>
      </c>
      <c r="E1635" s="0" t="s">
        <v>341</v>
      </c>
      <c r="F1635" s="16">
        <f>HYPERLINK("https://eosportal.federatedhermes.com/engagements/RW5nYWdlbWVudAppMjkxODI=", "Remuneration")</f>
      </c>
      <c r="G1635" s="14" t="s">
        <v>4705</v>
      </c>
      <c r="H1635" s="0" t="s">
        <v>130</v>
      </c>
      <c r="I1635" s="14" t="s">
        <v>131</v>
      </c>
      <c r="J1635" s="0" t="s">
        <v>145</v>
      </c>
      <c r="K1635" s="0" t="s">
        <v>146</v>
      </c>
      <c r="L1635" s="0" t="s">
        <v>147</v>
      </c>
      <c r="M1635" s="0" t="s">
        <v>378</v>
      </c>
      <c r="N1635" s="0" t="s">
        <v>4706</v>
      </c>
      <c r="O1635" s="0" t="s">
        <v>425</v>
      </c>
      <c r="Q1635" s="0" t="s">
        <v>130</v>
      </c>
      <c r="R1635" s="0" t="s">
        <v>138</v>
      </c>
      <c r="S1635" s="14">
        <v>0</v>
      </c>
      <c r="T1635" s="0" t="s">
        <v>355</v>
      </c>
      <c r="U1635" s="0" t="s">
        <v>138</v>
      </c>
      <c r="V1635" s="14" t="s">
        <v>138</v>
      </c>
      <c r="W1635" s="0" t="s">
        <v>138</v>
      </c>
      <c r="X1635" s="14" t="s">
        <v>138</v>
      </c>
      <c r="Y1635" s="0" t="s">
        <v>138</v>
      </c>
      <c r="Z1635" s="14" t="s">
        <v>138</v>
      </c>
      <c r="AA1635" s="0" t="s">
        <v>138</v>
      </c>
      <c r="AB1635" s="14" t="s">
        <v>138</v>
      </c>
      <c r="AD1635" s="0" t="s">
        <v>138</v>
      </c>
      <c r="AF1635" s="0">
        <v>0</v>
      </c>
      <c r="AG1635" s="0">
        <v>0</v>
      </c>
      <c r="AH1635" s="0" t="s">
        <v>140</v>
      </c>
      <c r="AI1635" s="0" t="s">
        <v>138</v>
      </c>
      <c r="AL1635" s="14"/>
      <c r="AN1635" s="14"/>
      <c r="AQ1635" s="0" t="s">
        <v>130</v>
      </c>
      <c r="AR1635" s="0" t="s">
        <v>130</v>
      </c>
      <c r="AS1635" s="0" t="s">
        <v>130</v>
      </c>
      <c r="AT1635" s="0" t="s">
        <v>130</v>
      </c>
      <c r="AU1635" s="0" t="s">
        <v>130</v>
      </c>
      <c r="AV1635" s="0" t="s">
        <v>130</v>
      </c>
      <c r="AW1635" s="0" t="s">
        <v>130</v>
      </c>
      <c r="AX1635" s="0" t="s">
        <v>130</v>
      </c>
      <c r="AY1635" s="0" t="s">
        <v>130</v>
      </c>
      <c r="AZ1635" s="0" t="s">
        <v>130</v>
      </c>
      <c r="BA1635" s="0" t="s">
        <v>130</v>
      </c>
      <c r="BB1635" s="0" t="s">
        <v>130</v>
      </c>
      <c r="BC1635" s="0" t="s">
        <v>130</v>
      </c>
      <c r="BD1635" s="0" t="s">
        <v>130</v>
      </c>
      <c r="BE1635" s="0" t="s">
        <v>130</v>
      </c>
      <c r="BF1635" s="0" t="s">
        <v>130</v>
      </c>
      <c r="BG1635" s="0" t="s">
        <v>130</v>
      </c>
      <c r="BH1635" s="0" t="s">
        <v>130</v>
      </c>
      <c r="BI1635" s="0" t="s">
        <v>130</v>
      </c>
      <c r="BJ1635" s="0" t="s">
        <v>130</v>
      </c>
      <c r="BK1635" s="0" t="s">
        <v>130</v>
      </c>
      <c r="BL1635" s="0" t="s">
        <v>130</v>
      </c>
      <c r="BM1635" s="0" t="s">
        <v>130</v>
      </c>
      <c r="BN1635" s="0" t="s">
        <v>130</v>
      </c>
      <c r="BO1635" s="0" t="s">
        <v>130</v>
      </c>
      <c r="BP1635" s="0" t="s">
        <v>130</v>
      </c>
      <c r="BQ1635" s="0" t="s">
        <v>130</v>
      </c>
      <c r="BR1635" s="0" t="s">
        <v>130</v>
      </c>
      <c r="BS1635" s="0" t="s">
        <v>130</v>
      </c>
      <c r="BT1635" s="0" t="s">
        <v>130</v>
      </c>
      <c r="BU1635" s="0" t="s">
        <v>130</v>
      </c>
      <c r="BV1635" s="0" t="s">
        <v>130</v>
      </c>
      <c r="BW1635" s="0" t="s">
        <v>130</v>
      </c>
      <c r="BX1635" s="0" t="s">
        <v>130</v>
      </c>
      <c r="BY1635" s="0" t="s">
        <v>130</v>
      </c>
      <c r="BZ1635" s="0" t="s">
        <v>130</v>
      </c>
      <c r="CA1635" s="0" t="s">
        <v>130</v>
      </c>
      <c r="CB1635" s="0" t="s">
        <v>130</v>
      </c>
      <c r="CC1635" s="0" t="s">
        <v>130</v>
      </c>
      <c r="CD1635" s="0" t="s">
        <v>130</v>
      </c>
      <c r="CE1635" s="0" t="s">
        <v>130</v>
      </c>
      <c r="CF1635" s="0" t="s">
        <v>130</v>
      </c>
      <c r="CG1635" s="0" t="s">
        <v>130</v>
      </c>
      <c r="CH1635" s="0" t="s">
        <v>130</v>
      </c>
      <c r="CI1635" s="0" t="s">
        <v>130</v>
      </c>
      <c r="CJ1635" s="0" t="s">
        <v>130</v>
      </c>
      <c r="CK1635" s="0" t="s">
        <v>130</v>
      </c>
      <c r="CL1635" s="0" t="s">
        <v>130</v>
      </c>
      <c r="CM1635" s="0" t="s">
        <v>130</v>
      </c>
      <c r="CN1635" s="0" t="s">
        <v>130</v>
      </c>
      <c r="CO1635" s="0" t="s">
        <v>130</v>
      </c>
      <c r="CP1635" s="0" t="s">
        <v>130</v>
      </c>
      <c r="CQ1635" s="0" t="s">
        <v>130</v>
      </c>
      <c r="CR1635" s="0" t="s">
        <v>130</v>
      </c>
      <c r="CS1635" s="0" t="s">
        <v>130</v>
      </c>
      <c r="CT1635" s="0" t="s">
        <v>4707</v>
      </c>
    </row>
    <row r="1636">
      <c r="A1636" s="14">
        <v>59907412</v>
      </c>
      <c r="B1636" s="0" t="s">
        <v>4708</v>
      </c>
      <c r="C1636" s="16">
        <f>HYPERLINK("https://eosportal.federatedhermes.com/companies/Q29tcGFueQppNTg5NjM=", "Broadcom Inc")</f>
      </c>
      <c r="D1636" s="0" t="s">
        <v>25</v>
      </c>
      <c r="E1636" s="0" t="s">
        <v>4709</v>
      </c>
      <c r="F1636" s="16">
        <f>HYPERLINK("https://eosportal.federatedhermes.com/engagements/RW5nYWdlbWVudAppMjkyMzM=", "Disclosure of CEO compensation KPI")</f>
      </c>
      <c r="G1636" s="14" t="s">
        <v>4710</v>
      </c>
      <c r="H1636" s="0" t="s">
        <v>141</v>
      </c>
      <c r="I1636" s="14" t="s">
        <v>131</v>
      </c>
      <c r="J1636" s="0" t="s">
        <v>145</v>
      </c>
      <c r="K1636" s="0" t="s">
        <v>146</v>
      </c>
      <c r="L1636" s="0" t="s">
        <v>147</v>
      </c>
      <c r="M1636" s="0" t="s">
        <v>135</v>
      </c>
      <c r="N1636" s="0" t="s">
        <v>136</v>
      </c>
      <c r="O1636" s="0" t="s">
        <v>1125</v>
      </c>
      <c r="Q1636" s="0" t="s">
        <v>130</v>
      </c>
      <c r="R1636" s="0" t="s">
        <v>138</v>
      </c>
      <c r="S1636" s="14">
        <v>0</v>
      </c>
      <c r="T1636" s="0" t="s">
        <v>249</v>
      </c>
      <c r="U1636" s="0" t="s">
        <v>138</v>
      </c>
      <c r="V1636" s="14" t="s">
        <v>138</v>
      </c>
      <c r="W1636" s="0" t="s">
        <v>138</v>
      </c>
      <c r="X1636" s="14" t="s">
        <v>138</v>
      </c>
      <c r="Y1636" s="0" t="s">
        <v>138</v>
      </c>
      <c r="Z1636" s="14" t="s">
        <v>138</v>
      </c>
      <c r="AA1636" s="0" t="s">
        <v>138</v>
      </c>
      <c r="AB1636" s="14" t="s">
        <v>138</v>
      </c>
      <c r="AD1636" s="0" t="s">
        <v>138</v>
      </c>
      <c r="AF1636" s="0">
        <v>0</v>
      </c>
      <c r="AG1636" s="0">
        <v>0</v>
      </c>
      <c r="AH1636" s="0" t="s">
        <v>140</v>
      </c>
      <c r="AI1636" s="0" t="s">
        <v>138</v>
      </c>
      <c r="AL1636" s="14"/>
      <c r="AN1636" s="14"/>
      <c r="AQ1636" s="0" t="s">
        <v>130</v>
      </c>
      <c r="AR1636" s="0" t="s">
        <v>130</v>
      </c>
      <c r="AS1636" s="0" t="s">
        <v>130</v>
      </c>
      <c r="AT1636" s="0" t="s">
        <v>130</v>
      </c>
      <c r="AU1636" s="0" t="s">
        <v>130</v>
      </c>
      <c r="AV1636" s="0" t="s">
        <v>130</v>
      </c>
      <c r="AW1636" s="0" t="s">
        <v>130</v>
      </c>
      <c r="AX1636" s="0" t="s">
        <v>130</v>
      </c>
      <c r="AY1636" s="0" t="s">
        <v>130</v>
      </c>
      <c r="AZ1636" s="0" t="s">
        <v>130</v>
      </c>
      <c r="BA1636" s="0" t="s">
        <v>130</v>
      </c>
      <c r="BB1636" s="0" t="s">
        <v>130</v>
      </c>
      <c r="BC1636" s="0" t="s">
        <v>130</v>
      </c>
      <c r="BD1636" s="0" t="s">
        <v>130</v>
      </c>
      <c r="BE1636" s="0" t="s">
        <v>130</v>
      </c>
      <c r="BF1636" s="0" t="s">
        <v>130</v>
      </c>
      <c r="BG1636" s="0" t="s">
        <v>130</v>
      </c>
      <c r="BH1636" s="0" t="s">
        <v>130</v>
      </c>
      <c r="BI1636" s="0" t="s">
        <v>130</v>
      </c>
      <c r="BJ1636" s="0" t="s">
        <v>130</v>
      </c>
      <c r="BK1636" s="0" t="s">
        <v>130</v>
      </c>
      <c r="BL1636" s="0" t="s">
        <v>130</v>
      </c>
      <c r="BM1636" s="0" t="s">
        <v>130</v>
      </c>
      <c r="BN1636" s="0" t="s">
        <v>130</v>
      </c>
      <c r="BO1636" s="0" t="s">
        <v>130</v>
      </c>
      <c r="BP1636" s="0" t="s">
        <v>130</v>
      </c>
      <c r="BQ1636" s="0" t="s">
        <v>130</v>
      </c>
      <c r="BR1636" s="0" t="s">
        <v>130</v>
      </c>
      <c r="BS1636" s="0" t="s">
        <v>130</v>
      </c>
      <c r="BT1636" s="0" t="s">
        <v>130</v>
      </c>
      <c r="BU1636" s="0" t="s">
        <v>130</v>
      </c>
      <c r="BV1636" s="0" t="s">
        <v>130</v>
      </c>
      <c r="BW1636" s="0" t="s">
        <v>130</v>
      </c>
      <c r="BX1636" s="0" t="s">
        <v>130</v>
      </c>
      <c r="BY1636" s="0" t="s">
        <v>130</v>
      </c>
      <c r="BZ1636" s="0" t="s">
        <v>130</v>
      </c>
      <c r="CA1636" s="0" t="s">
        <v>130</v>
      </c>
      <c r="CB1636" s="0" t="s">
        <v>130</v>
      </c>
      <c r="CC1636" s="0" t="s">
        <v>130</v>
      </c>
      <c r="CD1636" s="0" t="s">
        <v>130</v>
      </c>
      <c r="CE1636" s="0" t="s">
        <v>130</v>
      </c>
      <c r="CF1636" s="0" t="s">
        <v>130</v>
      </c>
      <c r="CG1636" s="0" t="s">
        <v>130</v>
      </c>
      <c r="CH1636" s="0" t="s">
        <v>130</v>
      </c>
      <c r="CI1636" s="0" t="s">
        <v>130</v>
      </c>
      <c r="CJ1636" s="0" t="s">
        <v>130</v>
      </c>
      <c r="CK1636" s="0" t="s">
        <v>130</v>
      </c>
      <c r="CL1636" s="0" t="s">
        <v>130</v>
      </c>
      <c r="CM1636" s="0" t="s">
        <v>130</v>
      </c>
      <c r="CN1636" s="0" t="s">
        <v>130</v>
      </c>
      <c r="CO1636" s="0" t="s">
        <v>130</v>
      </c>
      <c r="CP1636" s="0" t="s">
        <v>130</v>
      </c>
      <c r="CQ1636" s="0" t="s">
        <v>130</v>
      </c>
      <c r="CR1636" s="0" t="s">
        <v>130</v>
      </c>
      <c r="CS1636" s="0" t="s">
        <v>130</v>
      </c>
      <c r="CT1636" s="0" t="s">
        <v>4711</v>
      </c>
    </row>
    <row r="1637">
      <c r="A1637" s="14">
        <v>59907412</v>
      </c>
      <c r="B1637" s="0" t="s">
        <v>4708</v>
      </c>
      <c r="C1637" s="16">
        <f>HYPERLINK("https://eosportal.federatedhermes.com/companies/Q29tcGFueQppNTg5NjM=", "Broadcom Inc")</f>
      </c>
      <c r="D1637" s="0" t="s">
        <v>25</v>
      </c>
      <c r="E1637" s="0" t="s">
        <v>4712</v>
      </c>
      <c r="F1637" s="16">
        <f>HYPERLINK("https://eosportal.federatedhermes.com/engagements/RW5nYWdlbWVudAppMjkyMzQ=", "workforce gender/racial/ethnic diversity -- DEI targets and plan incl training")</f>
      </c>
      <c r="G1637" s="14" t="s">
        <v>4713</v>
      </c>
      <c r="H1637" s="0" t="s">
        <v>141</v>
      </c>
      <c r="I1637" s="14" t="s">
        <v>131</v>
      </c>
      <c r="J1637" s="0" t="s">
        <v>153</v>
      </c>
      <c r="K1637" s="0" t="s">
        <v>154</v>
      </c>
      <c r="L1637" s="0" t="s">
        <v>268</v>
      </c>
      <c r="M1637" s="0" t="s">
        <v>135</v>
      </c>
      <c r="N1637" s="0" t="s">
        <v>136</v>
      </c>
      <c r="O1637" s="0" t="s">
        <v>1125</v>
      </c>
      <c r="Q1637" s="0" t="s">
        <v>130</v>
      </c>
      <c r="R1637" s="0" t="s">
        <v>138</v>
      </c>
      <c r="S1637" s="14">
        <v>0</v>
      </c>
      <c r="T1637" s="0" t="s">
        <v>230</v>
      </c>
      <c r="U1637" s="0" t="s">
        <v>138</v>
      </c>
      <c r="V1637" s="14" t="s">
        <v>138</v>
      </c>
      <c r="W1637" s="0" t="s">
        <v>138</v>
      </c>
      <c r="X1637" s="14" t="s">
        <v>138</v>
      </c>
      <c r="Y1637" s="0" t="s">
        <v>138</v>
      </c>
      <c r="Z1637" s="14" t="s">
        <v>138</v>
      </c>
      <c r="AA1637" s="0" t="s">
        <v>138</v>
      </c>
      <c r="AB1637" s="14" t="s">
        <v>138</v>
      </c>
      <c r="AD1637" s="0" t="s">
        <v>138</v>
      </c>
      <c r="AF1637" s="0">
        <v>0</v>
      </c>
      <c r="AG1637" s="0">
        <v>0</v>
      </c>
      <c r="AH1637" s="0" t="s">
        <v>140</v>
      </c>
      <c r="AI1637" s="0" t="s">
        <v>138</v>
      </c>
      <c r="AL1637" s="14"/>
      <c r="AN1637" s="14"/>
      <c r="AQ1637" s="0" t="s">
        <v>130</v>
      </c>
      <c r="AR1637" s="0" t="s">
        <v>130</v>
      </c>
      <c r="AS1637" s="0" t="s">
        <v>130</v>
      </c>
      <c r="AT1637" s="0" t="s">
        <v>141</v>
      </c>
      <c r="AU1637" s="0" t="s">
        <v>130</v>
      </c>
      <c r="AV1637" s="0" t="s">
        <v>130</v>
      </c>
      <c r="AW1637" s="0" t="s">
        <v>130</v>
      </c>
      <c r="AX1637" s="0" t="s">
        <v>130</v>
      </c>
      <c r="AY1637" s="0" t="s">
        <v>130</v>
      </c>
      <c r="AZ1637" s="0" t="s">
        <v>130</v>
      </c>
      <c r="BA1637" s="0" t="s">
        <v>130</v>
      </c>
      <c r="BB1637" s="0" t="s">
        <v>130</v>
      </c>
      <c r="BC1637" s="0" t="s">
        <v>130</v>
      </c>
      <c r="BD1637" s="0" t="s">
        <v>130</v>
      </c>
      <c r="BE1637" s="0" t="s">
        <v>130</v>
      </c>
      <c r="BF1637" s="0" t="s">
        <v>130</v>
      </c>
      <c r="BG1637" s="0" t="s">
        <v>130</v>
      </c>
      <c r="BH1637" s="0" t="s">
        <v>130</v>
      </c>
      <c r="BI1637" s="0" t="s">
        <v>130</v>
      </c>
      <c r="BJ1637" s="0" t="s">
        <v>130</v>
      </c>
      <c r="BK1637" s="0" t="s">
        <v>130</v>
      </c>
      <c r="BL1637" s="0" t="s">
        <v>130</v>
      </c>
      <c r="BM1637" s="0" t="s">
        <v>130</v>
      </c>
      <c r="BN1637" s="0" t="s">
        <v>130</v>
      </c>
      <c r="BO1637" s="0" t="s">
        <v>130</v>
      </c>
      <c r="BP1637" s="0" t="s">
        <v>130</v>
      </c>
      <c r="BQ1637" s="0" t="s">
        <v>130</v>
      </c>
      <c r="BR1637" s="0" t="s">
        <v>130</v>
      </c>
      <c r="BS1637" s="0" t="s">
        <v>130</v>
      </c>
      <c r="BT1637" s="0" t="s">
        <v>130</v>
      </c>
      <c r="BU1637" s="0" t="s">
        <v>130</v>
      </c>
      <c r="BV1637" s="0" t="s">
        <v>130</v>
      </c>
      <c r="BW1637" s="0" t="s">
        <v>130</v>
      </c>
      <c r="BX1637" s="0" t="s">
        <v>130</v>
      </c>
      <c r="BY1637" s="0" t="s">
        <v>130</v>
      </c>
      <c r="BZ1637" s="0" t="s">
        <v>130</v>
      </c>
      <c r="CA1637" s="0" t="s">
        <v>130</v>
      </c>
      <c r="CB1637" s="0" t="s">
        <v>130</v>
      </c>
      <c r="CC1637" s="0" t="s">
        <v>130</v>
      </c>
      <c r="CD1637" s="0" t="s">
        <v>130</v>
      </c>
      <c r="CE1637" s="0" t="s">
        <v>130</v>
      </c>
      <c r="CF1637" s="0" t="s">
        <v>130</v>
      </c>
      <c r="CG1637" s="0" t="s">
        <v>130</v>
      </c>
      <c r="CH1637" s="0" t="s">
        <v>130</v>
      </c>
      <c r="CI1637" s="0" t="s">
        <v>130</v>
      </c>
      <c r="CJ1637" s="0" t="s">
        <v>130</v>
      </c>
      <c r="CK1637" s="0" t="s">
        <v>141</v>
      </c>
      <c r="CL1637" s="0" t="s">
        <v>130</v>
      </c>
      <c r="CM1637" s="0" t="s">
        <v>130</v>
      </c>
      <c r="CN1637" s="0" t="s">
        <v>130</v>
      </c>
      <c r="CO1637" s="0" t="s">
        <v>130</v>
      </c>
      <c r="CP1637" s="0" t="s">
        <v>130</v>
      </c>
      <c r="CQ1637" s="0" t="s">
        <v>130</v>
      </c>
      <c r="CR1637" s="0" t="s">
        <v>130</v>
      </c>
      <c r="CS1637" s="0" t="s">
        <v>130</v>
      </c>
      <c r="CT1637" s="0" t="s">
        <v>4714</v>
      </c>
    </row>
    <row r="1638">
      <c r="A1638" s="14">
        <v>59907412</v>
      </c>
      <c r="B1638" s="0" t="s">
        <v>4708</v>
      </c>
      <c r="C1638" s="16">
        <f>HYPERLINK("https://eosportal.federatedhermes.com/companies/Q29tcGFueQppNTg5NjM=", "Broadcom Inc")</f>
      </c>
      <c r="D1638" s="0" t="s">
        <v>25</v>
      </c>
      <c r="E1638" s="0" t="s">
        <v>4715</v>
      </c>
      <c r="F1638" s="16">
        <f>HYPERLINK("https://eosportal.federatedhermes.com/engagements/RW5nYWdlbWVudAppMjkyMzU=", "Anti-competiive practices")</f>
      </c>
      <c r="G1638" s="14" t="s">
        <v>4716</v>
      </c>
      <c r="H1638" s="0" t="s">
        <v>141</v>
      </c>
      <c r="I1638" s="14" t="s">
        <v>131</v>
      </c>
      <c r="J1638" s="0" t="s">
        <v>132</v>
      </c>
      <c r="K1638" s="0" t="s">
        <v>260</v>
      </c>
      <c r="L1638" s="0" t="s">
        <v>261</v>
      </c>
      <c r="M1638" s="0" t="s">
        <v>135</v>
      </c>
      <c r="N1638" s="0" t="s">
        <v>136</v>
      </c>
      <c r="O1638" s="0" t="s">
        <v>1125</v>
      </c>
      <c r="Q1638" s="0" t="s">
        <v>130</v>
      </c>
      <c r="R1638" s="0" t="s">
        <v>138</v>
      </c>
      <c r="S1638" s="14">
        <v>0</v>
      </c>
      <c r="T1638" s="0" t="s">
        <v>249</v>
      </c>
      <c r="U1638" s="0" t="s">
        <v>138</v>
      </c>
      <c r="V1638" s="14" t="s">
        <v>138</v>
      </c>
      <c r="W1638" s="0" t="s">
        <v>138</v>
      </c>
      <c r="X1638" s="14" t="s">
        <v>138</v>
      </c>
      <c r="Y1638" s="0" t="s">
        <v>138</v>
      </c>
      <c r="Z1638" s="14" t="s">
        <v>138</v>
      </c>
      <c r="AA1638" s="0" t="s">
        <v>138</v>
      </c>
      <c r="AB1638" s="14" t="s">
        <v>138</v>
      </c>
      <c r="AD1638" s="0" t="s">
        <v>138</v>
      </c>
      <c r="AF1638" s="0">
        <v>0</v>
      </c>
      <c r="AG1638" s="0">
        <v>0</v>
      </c>
      <c r="AH1638" s="0" t="s">
        <v>140</v>
      </c>
      <c r="AI1638" s="0" t="s">
        <v>138</v>
      </c>
      <c r="AL1638" s="14"/>
      <c r="AN1638" s="14"/>
      <c r="AQ1638" s="0" t="s">
        <v>130</v>
      </c>
      <c r="AR1638" s="0" t="s">
        <v>130</v>
      </c>
      <c r="AS1638" s="0" t="s">
        <v>130</v>
      </c>
      <c r="AT1638" s="0" t="s">
        <v>130</v>
      </c>
      <c r="AU1638" s="0" t="s">
        <v>130</v>
      </c>
      <c r="AV1638" s="0" t="s">
        <v>130</v>
      </c>
      <c r="AW1638" s="0" t="s">
        <v>130</v>
      </c>
      <c r="AX1638" s="0" t="s">
        <v>130</v>
      </c>
      <c r="AY1638" s="0" t="s">
        <v>141</v>
      </c>
      <c r="AZ1638" s="0" t="s">
        <v>130</v>
      </c>
      <c r="BA1638" s="0" t="s">
        <v>130</v>
      </c>
      <c r="BB1638" s="0" t="s">
        <v>130</v>
      </c>
      <c r="BC1638" s="0" t="s">
        <v>130</v>
      </c>
      <c r="BD1638" s="0" t="s">
        <v>130</v>
      </c>
      <c r="BE1638" s="0" t="s">
        <v>130</v>
      </c>
      <c r="BF1638" s="0" t="s">
        <v>130</v>
      </c>
      <c r="BG1638" s="0" t="s">
        <v>130</v>
      </c>
      <c r="BH1638" s="0" t="s">
        <v>130</v>
      </c>
      <c r="BI1638" s="0" t="s">
        <v>130</v>
      </c>
      <c r="BJ1638" s="0" t="s">
        <v>130</v>
      </c>
      <c r="BK1638" s="0" t="s">
        <v>130</v>
      </c>
      <c r="BL1638" s="0" t="s">
        <v>130</v>
      </c>
      <c r="BM1638" s="0" t="s">
        <v>130</v>
      </c>
      <c r="BN1638" s="0" t="s">
        <v>130</v>
      </c>
      <c r="BO1638" s="0" t="s">
        <v>130</v>
      </c>
      <c r="BP1638" s="0" t="s">
        <v>130</v>
      </c>
      <c r="BQ1638" s="0" t="s">
        <v>130</v>
      </c>
      <c r="BR1638" s="0" t="s">
        <v>130</v>
      </c>
      <c r="BS1638" s="0" t="s">
        <v>130</v>
      </c>
      <c r="BT1638" s="0" t="s">
        <v>130</v>
      </c>
      <c r="BU1638" s="0" t="s">
        <v>130</v>
      </c>
      <c r="BV1638" s="0" t="s">
        <v>130</v>
      </c>
      <c r="BW1638" s="0" t="s">
        <v>130</v>
      </c>
      <c r="BX1638" s="0" t="s">
        <v>130</v>
      </c>
      <c r="BY1638" s="0" t="s">
        <v>130</v>
      </c>
      <c r="BZ1638" s="0" t="s">
        <v>130</v>
      </c>
      <c r="CA1638" s="0" t="s">
        <v>130</v>
      </c>
      <c r="CB1638" s="0" t="s">
        <v>130</v>
      </c>
      <c r="CC1638" s="0" t="s">
        <v>130</v>
      </c>
      <c r="CD1638" s="0" t="s">
        <v>130</v>
      </c>
      <c r="CE1638" s="0" t="s">
        <v>130</v>
      </c>
      <c r="CF1638" s="0" t="s">
        <v>130</v>
      </c>
      <c r="CG1638" s="0" t="s">
        <v>130</v>
      </c>
      <c r="CH1638" s="0" t="s">
        <v>130</v>
      </c>
      <c r="CI1638" s="0" t="s">
        <v>130</v>
      </c>
      <c r="CJ1638" s="0" t="s">
        <v>130</v>
      </c>
      <c r="CK1638" s="0" t="s">
        <v>130</v>
      </c>
      <c r="CL1638" s="0" t="s">
        <v>130</v>
      </c>
      <c r="CM1638" s="0" t="s">
        <v>130</v>
      </c>
      <c r="CN1638" s="0" t="s">
        <v>130</v>
      </c>
      <c r="CO1638" s="0" t="s">
        <v>130</v>
      </c>
      <c r="CP1638" s="0" t="s">
        <v>130</v>
      </c>
      <c r="CQ1638" s="0" t="s">
        <v>130</v>
      </c>
      <c r="CR1638" s="0" t="s">
        <v>130</v>
      </c>
      <c r="CS1638" s="0" t="s">
        <v>130</v>
      </c>
      <c r="CT1638" s="0" t="s">
        <v>4717</v>
      </c>
    </row>
    <row r="1639">
      <c r="A1639" s="14">
        <v>48364393</v>
      </c>
      <c r="B1639" s="0" t="s">
        <v>4718</v>
      </c>
      <c r="C1639" s="16">
        <f>HYPERLINK("https://eosportal.federatedhermes.com/companies/Q29tcGFueQppNTg5OTY=", "DuPont de Nemours Inc")</f>
      </c>
      <c r="D1639" s="0" t="s">
        <v>25</v>
      </c>
      <c r="E1639" s="0" t="s">
        <v>4719</v>
      </c>
      <c r="F1639" s="16">
        <f>HYPERLINK("https://eosportal.federatedhermes.com/engagements/RW5nYWdlbWVudAppMjkyNDM=", "Circlular economy, waste and pollution reduction")</f>
      </c>
      <c r="G1639" s="14" t="s">
        <v>4720</v>
      </c>
      <c r="H1639" s="0" t="s">
        <v>141</v>
      </c>
      <c r="I1639" s="14" t="s">
        <v>191</v>
      </c>
      <c r="J1639" s="0" t="s">
        <v>197</v>
      </c>
      <c r="K1639" s="0" t="s">
        <v>348</v>
      </c>
      <c r="L1639" s="0" t="s">
        <v>650</v>
      </c>
      <c r="M1639" s="0" t="s">
        <v>135</v>
      </c>
      <c r="N1639" s="0" t="s">
        <v>136</v>
      </c>
      <c r="O1639" s="0" t="s">
        <v>706</v>
      </c>
      <c r="Q1639" s="0" t="s">
        <v>141</v>
      </c>
      <c r="R1639" s="0" t="s">
        <v>138</v>
      </c>
      <c r="S1639" s="14">
        <v>1</v>
      </c>
      <c r="T1639" s="0" t="s">
        <v>394</v>
      </c>
      <c r="U1639" s="0" t="s">
        <v>138</v>
      </c>
      <c r="V1639" s="14" t="s">
        <v>138</v>
      </c>
      <c r="W1639" s="0" t="s">
        <v>138</v>
      </c>
      <c r="X1639" s="14" t="s">
        <v>138</v>
      </c>
      <c r="Y1639" s="0" t="s">
        <v>138</v>
      </c>
      <c r="Z1639" s="14" t="s">
        <v>138</v>
      </c>
      <c r="AA1639" s="0" t="s">
        <v>138</v>
      </c>
      <c r="AB1639" s="14" t="s">
        <v>138</v>
      </c>
      <c r="AD1639" s="0" t="s">
        <v>138</v>
      </c>
      <c r="AF1639" s="0">
        <v>0</v>
      </c>
      <c r="AG1639" s="0">
        <v>0</v>
      </c>
      <c r="AH1639" s="0" t="s">
        <v>140</v>
      </c>
      <c r="AI1639" s="0" t="s">
        <v>138</v>
      </c>
      <c r="AK1639" s="0" t="s">
        <v>714</v>
      </c>
      <c r="AL1639" s="14"/>
      <c r="AN1639" s="14"/>
      <c r="AQ1639" s="0" t="s">
        <v>130</v>
      </c>
      <c r="AR1639" s="0" t="s">
        <v>130</v>
      </c>
      <c r="AS1639" s="0" t="s">
        <v>141</v>
      </c>
      <c r="AT1639" s="0" t="s">
        <v>130</v>
      </c>
      <c r="AU1639" s="0" t="s">
        <v>130</v>
      </c>
      <c r="AV1639" s="0" t="s">
        <v>130</v>
      </c>
      <c r="AW1639" s="0" t="s">
        <v>130</v>
      </c>
      <c r="AX1639" s="0" t="s">
        <v>130</v>
      </c>
      <c r="AY1639" s="0" t="s">
        <v>130</v>
      </c>
      <c r="AZ1639" s="0" t="s">
        <v>130</v>
      </c>
      <c r="BA1639" s="0" t="s">
        <v>130</v>
      </c>
      <c r="BB1639" s="0" t="s">
        <v>141</v>
      </c>
      <c r="BC1639" s="0" t="s">
        <v>130</v>
      </c>
      <c r="BD1639" s="0" t="s">
        <v>130</v>
      </c>
      <c r="BE1639" s="0" t="s">
        <v>130</v>
      </c>
      <c r="BF1639" s="0" t="s">
        <v>130</v>
      </c>
      <c r="BG1639" s="0" t="s">
        <v>130</v>
      </c>
      <c r="BH1639" s="0" t="s">
        <v>130</v>
      </c>
      <c r="BI1639" s="0" t="s">
        <v>130</v>
      </c>
      <c r="BJ1639" s="0" t="s">
        <v>130</v>
      </c>
      <c r="BK1639" s="0" t="s">
        <v>130</v>
      </c>
      <c r="BL1639" s="0" t="s">
        <v>130</v>
      </c>
      <c r="BM1639" s="0" t="s">
        <v>130</v>
      </c>
      <c r="BN1639" s="0" t="s">
        <v>130</v>
      </c>
      <c r="BO1639" s="0" t="s">
        <v>130</v>
      </c>
      <c r="BP1639" s="0" t="s">
        <v>130</v>
      </c>
      <c r="BQ1639" s="0" t="s">
        <v>130</v>
      </c>
      <c r="BR1639" s="0" t="s">
        <v>130</v>
      </c>
      <c r="BS1639" s="0" t="s">
        <v>130</v>
      </c>
      <c r="BT1639" s="0" t="s">
        <v>130</v>
      </c>
      <c r="BU1639" s="0" t="s">
        <v>130</v>
      </c>
      <c r="BV1639" s="0" t="s">
        <v>130</v>
      </c>
      <c r="BW1639" s="0" t="s">
        <v>130</v>
      </c>
      <c r="BX1639" s="0" t="s">
        <v>130</v>
      </c>
      <c r="BY1639" s="0" t="s">
        <v>130</v>
      </c>
      <c r="BZ1639" s="0" t="s">
        <v>130</v>
      </c>
      <c r="CA1639" s="0" t="s">
        <v>130</v>
      </c>
      <c r="CB1639" s="0" t="s">
        <v>130</v>
      </c>
      <c r="CC1639" s="0" t="s">
        <v>130</v>
      </c>
      <c r="CD1639" s="0" t="s">
        <v>130</v>
      </c>
      <c r="CE1639" s="0" t="s">
        <v>130</v>
      </c>
      <c r="CF1639" s="0" t="s">
        <v>130</v>
      </c>
      <c r="CG1639" s="0" t="s">
        <v>130</v>
      </c>
      <c r="CH1639" s="0" t="s">
        <v>130</v>
      </c>
      <c r="CI1639" s="0" t="s">
        <v>130</v>
      </c>
      <c r="CJ1639" s="0" t="s">
        <v>130</v>
      </c>
      <c r="CK1639" s="0" t="s">
        <v>130</v>
      </c>
      <c r="CL1639" s="0" t="s">
        <v>130</v>
      </c>
      <c r="CM1639" s="0" t="s">
        <v>130</v>
      </c>
      <c r="CN1639" s="0" t="s">
        <v>130</v>
      </c>
      <c r="CO1639" s="0" t="s">
        <v>130</v>
      </c>
      <c r="CP1639" s="0" t="s">
        <v>130</v>
      </c>
      <c r="CQ1639" s="0" t="s">
        <v>130</v>
      </c>
      <c r="CR1639" s="0" t="s">
        <v>130</v>
      </c>
      <c r="CS1639" s="0" t="s">
        <v>130</v>
      </c>
      <c r="CT1639" s="0" t="s">
        <v>4721</v>
      </c>
    </row>
    <row r="1640">
      <c r="A1640" s="14">
        <v>48364393</v>
      </c>
      <c r="B1640" s="0" t="s">
        <v>4718</v>
      </c>
      <c r="C1640" s="16">
        <f>HYPERLINK("https://eosportal.federatedhermes.com/companies/Q29tcGFueQppNTg5OTY=", "DuPont de Nemours Inc")</f>
      </c>
      <c r="D1640" s="0" t="s">
        <v>25</v>
      </c>
      <c r="E1640" s="0" t="s">
        <v>4722</v>
      </c>
      <c r="F1640" s="16">
        <f>HYPERLINK("https://eosportal.federatedhermes.com/engagements/RW5nYWdlbWVudAppMjkyNDQ=", "Long-term sustainable business strategy targets")</f>
      </c>
      <c r="G1640" s="14" t="s">
        <v>4723</v>
      </c>
      <c r="H1640" s="0" t="s">
        <v>141</v>
      </c>
      <c r="I1640" s="14" t="s">
        <v>191</v>
      </c>
      <c r="J1640" s="0" t="s">
        <v>132</v>
      </c>
      <c r="K1640" s="0" t="s">
        <v>133</v>
      </c>
      <c r="L1640" s="0" t="s">
        <v>160</v>
      </c>
      <c r="M1640" s="0" t="s">
        <v>135</v>
      </c>
      <c r="N1640" s="0" t="s">
        <v>136</v>
      </c>
      <c r="O1640" s="0" t="s">
        <v>706</v>
      </c>
      <c r="Q1640" s="0" t="s">
        <v>130</v>
      </c>
      <c r="R1640" s="0" t="s">
        <v>138</v>
      </c>
      <c r="S1640" s="14">
        <v>0</v>
      </c>
      <c r="T1640" s="0" t="s">
        <v>1145</v>
      </c>
      <c r="U1640" s="0" t="s">
        <v>138</v>
      </c>
      <c r="V1640" s="14" t="s">
        <v>138</v>
      </c>
      <c r="W1640" s="0" t="s">
        <v>138</v>
      </c>
      <c r="X1640" s="14" t="s">
        <v>138</v>
      </c>
      <c r="Y1640" s="0" t="s">
        <v>138</v>
      </c>
      <c r="Z1640" s="14" t="s">
        <v>138</v>
      </c>
      <c r="AA1640" s="0" t="s">
        <v>138</v>
      </c>
      <c r="AB1640" s="14" t="s">
        <v>138</v>
      </c>
      <c r="AD1640" s="0" t="s">
        <v>138</v>
      </c>
      <c r="AF1640" s="0">
        <v>0</v>
      </c>
      <c r="AG1640" s="0">
        <v>0</v>
      </c>
      <c r="AH1640" s="0" t="s">
        <v>140</v>
      </c>
      <c r="AI1640" s="0" t="s">
        <v>138</v>
      </c>
      <c r="AL1640" s="14"/>
      <c r="AN1640" s="14"/>
      <c r="AQ1640" s="0" t="s">
        <v>130</v>
      </c>
      <c r="AR1640" s="0" t="s">
        <v>130</v>
      </c>
      <c r="AS1640" s="0" t="s">
        <v>130</v>
      </c>
      <c r="AT1640" s="0" t="s">
        <v>130</v>
      </c>
      <c r="AU1640" s="0" t="s">
        <v>130</v>
      </c>
      <c r="AV1640" s="0" t="s">
        <v>130</v>
      </c>
      <c r="AW1640" s="0" t="s">
        <v>130</v>
      </c>
      <c r="AX1640" s="0" t="s">
        <v>130</v>
      </c>
      <c r="AY1640" s="0" t="s">
        <v>130</v>
      </c>
      <c r="AZ1640" s="0" t="s">
        <v>130</v>
      </c>
      <c r="BA1640" s="0" t="s">
        <v>130</v>
      </c>
      <c r="BB1640" s="0" t="s">
        <v>130</v>
      </c>
      <c r="BC1640" s="0" t="s">
        <v>130</v>
      </c>
      <c r="BD1640" s="0" t="s">
        <v>130</v>
      </c>
      <c r="BE1640" s="0" t="s">
        <v>130</v>
      </c>
      <c r="BF1640" s="0" t="s">
        <v>130</v>
      </c>
      <c r="BG1640" s="0" t="s">
        <v>130</v>
      </c>
      <c r="BH1640" s="0" t="s">
        <v>130</v>
      </c>
      <c r="BI1640" s="0" t="s">
        <v>130</v>
      </c>
      <c r="BJ1640" s="0" t="s">
        <v>130</v>
      </c>
      <c r="BK1640" s="0" t="s">
        <v>130</v>
      </c>
      <c r="BL1640" s="0" t="s">
        <v>130</v>
      </c>
      <c r="BM1640" s="0" t="s">
        <v>130</v>
      </c>
      <c r="BN1640" s="0" t="s">
        <v>130</v>
      </c>
      <c r="BO1640" s="0" t="s">
        <v>130</v>
      </c>
      <c r="BP1640" s="0" t="s">
        <v>130</v>
      </c>
      <c r="BQ1640" s="0" t="s">
        <v>130</v>
      </c>
      <c r="BR1640" s="0" t="s">
        <v>130</v>
      </c>
      <c r="BS1640" s="0" t="s">
        <v>130</v>
      </c>
      <c r="BT1640" s="0" t="s">
        <v>130</v>
      </c>
      <c r="BU1640" s="0" t="s">
        <v>130</v>
      </c>
      <c r="BV1640" s="0" t="s">
        <v>130</v>
      </c>
      <c r="BW1640" s="0" t="s">
        <v>130</v>
      </c>
      <c r="BX1640" s="0" t="s">
        <v>130</v>
      </c>
      <c r="BY1640" s="0" t="s">
        <v>130</v>
      </c>
      <c r="BZ1640" s="0" t="s">
        <v>130</v>
      </c>
      <c r="CA1640" s="0" t="s">
        <v>130</v>
      </c>
      <c r="CB1640" s="0" t="s">
        <v>130</v>
      </c>
      <c r="CC1640" s="0" t="s">
        <v>130</v>
      </c>
      <c r="CD1640" s="0" t="s">
        <v>130</v>
      </c>
      <c r="CE1640" s="0" t="s">
        <v>130</v>
      </c>
      <c r="CF1640" s="0" t="s">
        <v>130</v>
      </c>
      <c r="CG1640" s="0" t="s">
        <v>130</v>
      </c>
      <c r="CH1640" s="0" t="s">
        <v>130</v>
      </c>
      <c r="CI1640" s="0" t="s">
        <v>130</v>
      </c>
      <c r="CJ1640" s="0" t="s">
        <v>130</v>
      </c>
      <c r="CK1640" s="0" t="s">
        <v>130</v>
      </c>
      <c r="CL1640" s="0" t="s">
        <v>130</v>
      </c>
      <c r="CM1640" s="0" t="s">
        <v>130</v>
      </c>
      <c r="CN1640" s="0" t="s">
        <v>130</v>
      </c>
      <c r="CO1640" s="0" t="s">
        <v>130</v>
      </c>
      <c r="CP1640" s="0" t="s">
        <v>130</v>
      </c>
      <c r="CQ1640" s="0" t="s">
        <v>130</v>
      </c>
      <c r="CR1640" s="0" t="s">
        <v>130</v>
      </c>
      <c r="CS1640" s="0" t="s">
        <v>130</v>
      </c>
      <c r="CT1640" s="0" t="s">
        <v>4724</v>
      </c>
    </row>
    <row r="1641">
      <c r="A1641" s="14">
        <v>48364393</v>
      </c>
      <c r="B1641" s="0" t="s">
        <v>4718</v>
      </c>
      <c r="C1641" s="16">
        <f>HYPERLINK("https://eosportal.federatedhermes.com/companies/Q29tcGFueQppNTg5OTY=", "DuPont de Nemours Inc")</f>
      </c>
      <c r="D1641" s="0" t="s">
        <v>25</v>
      </c>
      <c r="E1641" s="0" t="s">
        <v>4725</v>
      </c>
      <c r="F1641" s="16">
        <f>HYPERLINK("https://eosportal.federatedhermes.com/engagements/RW5nYWdlbWVudAppMjkyNDU=", "Moving material ESG issues to mainstream financial disclosures")</f>
      </c>
      <c r="G1641" s="14" t="s">
        <v>4726</v>
      </c>
      <c r="H1641" s="0" t="s">
        <v>141</v>
      </c>
      <c r="I1641" s="14" t="s">
        <v>191</v>
      </c>
      <c r="J1641" s="0" t="s">
        <v>132</v>
      </c>
      <c r="K1641" s="0" t="s">
        <v>170</v>
      </c>
      <c r="L1641" s="0" t="s">
        <v>310</v>
      </c>
      <c r="M1641" s="0" t="s">
        <v>135</v>
      </c>
      <c r="N1641" s="0" t="s">
        <v>136</v>
      </c>
      <c r="O1641" s="0" t="s">
        <v>706</v>
      </c>
      <c r="Q1641" s="0" t="s">
        <v>130</v>
      </c>
      <c r="R1641" s="0" t="s">
        <v>138</v>
      </c>
      <c r="S1641" s="14">
        <v>0</v>
      </c>
      <c r="T1641" s="0" t="s">
        <v>1145</v>
      </c>
      <c r="U1641" s="0" t="s">
        <v>138</v>
      </c>
      <c r="V1641" s="14" t="s">
        <v>138</v>
      </c>
      <c r="W1641" s="0" t="s">
        <v>138</v>
      </c>
      <c r="X1641" s="14" t="s">
        <v>138</v>
      </c>
      <c r="Y1641" s="0" t="s">
        <v>138</v>
      </c>
      <c r="Z1641" s="14" t="s">
        <v>138</v>
      </c>
      <c r="AA1641" s="0" t="s">
        <v>138</v>
      </c>
      <c r="AB1641" s="14" t="s">
        <v>138</v>
      </c>
      <c r="AD1641" s="0" t="s">
        <v>138</v>
      </c>
      <c r="AF1641" s="0">
        <v>0</v>
      </c>
      <c r="AG1641" s="0">
        <v>0</v>
      </c>
      <c r="AH1641" s="0" t="s">
        <v>140</v>
      </c>
      <c r="AI1641" s="0" t="s">
        <v>138</v>
      </c>
      <c r="AL1641" s="14"/>
      <c r="AN1641" s="14"/>
      <c r="AQ1641" s="0" t="s">
        <v>130</v>
      </c>
      <c r="AR1641" s="0" t="s">
        <v>130</v>
      </c>
      <c r="AS1641" s="0" t="s">
        <v>130</v>
      </c>
      <c r="AT1641" s="0" t="s">
        <v>130</v>
      </c>
      <c r="AU1641" s="0" t="s">
        <v>130</v>
      </c>
      <c r="AV1641" s="0" t="s">
        <v>130</v>
      </c>
      <c r="AW1641" s="0" t="s">
        <v>130</v>
      </c>
      <c r="AX1641" s="0" t="s">
        <v>130</v>
      </c>
      <c r="AY1641" s="0" t="s">
        <v>130</v>
      </c>
      <c r="AZ1641" s="0" t="s">
        <v>130</v>
      </c>
      <c r="BA1641" s="0" t="s">
        <v>130</v>
      </c>
      <c r="BB1641" s="0" t="s">
        <v>130</v>
      </c>
      <c r="BC1641" s="0" t="s">
        <v>130</v>
      </c>
      <c r="BD1641" s="0" t="s">
        <v>130</v>
      </c>
      <c r="BE1641" s="0" t="s">
        <v>130</v>
      </c>
      <c r="BF1641" s="0" t="s">
        <v>130</v>
      </c>
      <c r="BG1641" s="0" t="s">
        <v>130</v>
      </c>
      <c r="BH1641" s="0" t="s">
        <v>130</v>
      </c>
      <c r="BI1641" s="0" t="s">
        <v>130</v>
      </c>
      <c r="BJ1641" s="0" t="s">
        <v>130</v>
      </c>
      <c r="BK1641" s="0" t="s">
        <v>130</v>
      </c>
      <c r="BL1641" s="0" t="s">
        <v>130</v>
      </c>
      <c r="BM1641" s="0" t="s">
        <v>130</v>
      </c>
      <c r="BN1641" s="0" t="s">
        <v>130</v>
      </c>
      <c r="BO1641" s="0" t="s">
        <v>130</v>
      </c>
      <c r="BP1641" s="0" t="s">
        <v>130</v>
      </c>
      <c r="BQ1641" s="0" t="s">
        <v>130</v>
      </c>
      <c r="BR1641" s="0" t="s">
        <v>130</v>
      </c>
      <c r="BS1641" s="0" t="s">
        <v>130</v>
      </c>
      <c r="BT1641" s="0" t="s">
        <v>130</v>
      </c>
      <c r="BU1641" s="0" t="s">
        <v>130</v>
      </c>
      <c r="BV1641" s="0" t="s">
        <v>130</v>
      </c>
      <c r="BW1641" s="0" t="s">
        <v>130</v>
      </c>
      <c r="BX1641" s="0" t="s">
        <v>130</v>
      </c>
      <c r="BY1641" s="0" t="s">
        <v>130</v>
      </c>
      <c r="BZ1641" s="0" t="s">
        <v>130</v>
      </c>
      <c r="CA1641" s="0" t="s">
        <v>130</v>
      </c>
      <c r="CB1641" s="0" t="s">
        <v>130</v>
      </c>
      <c r="CC1641" s="0" t="s">
        <v>130</v>
      </c>
      <c r="CD1641" s="0" t="s">
        <v>130</v>
      </c>
      <c r="CE1641" s="0" t="s">
        <v>130</v>
      </c>
      <c r="CF1641" s="0" t="s">
        <v>130</v>
      </c>
      <c r="CG1641" s="0" t="s">
        <v>130</v>
      </c>
      <c r="CH1641" s="0" t="s">
        <v>130</v>
      </c>
      <c r="CI1641" s="0" t="s">
        <v>130</v>
      </c>
      <c r="CJ1641" s="0" t="s">
        <v>130</v>
      </c>
      <c r="CK1641" s="0" t="s">
        <v>130</v>
      </c>
      <c r="CL1641" s="0" t="s">
        <v>130</v>
      </c>
      <c r="CM1641" s="0" t="s">
        <v>130</v>
      </c>
      <c r="CN1641" s="0" t="s">
        <v>130</v>
      </c>
      <c r="CO1641" s="0" t="s">
        <v>130</v>
      </c>
      <c r="CP1641" s="0" t="s">
        <v>130</v>
      </c>
      <c r="CQ1641" s="0" t="s">
        <v>130</v>
      </c>
      <c r="CR1641" s="0" t="s">
        <v>130</v>
      </c>
      <c r="CS1641" s="0" t="s">
        <v>130</v>
      </c>
      <c r="CT1641" s="0" t="s">
        <v>4727</v>
      </c>
    </row>
    <row r="1642">
      <c r="A1642" s="14">
        <v>48364393</v>
      </c>
      <c r="B1642" s="0" t="s">
        <v>4718</v>
      </c>
      <c r="C1642" s="16">
        <f>HYPERLINK("https://eosportal.federatedhermes.com/companies/Q29tcGFueQppNTg5OTY=", "DuPont de Nemours Inc")</f>
      </c>
      <c r="D1642" s="0" t="s">
        <v>25</v>
      </c>
      <c r="E1642" s="0" t="s">
        <v>3802</v>
      </c>
      <c r="F1642" s="16">
        <f>HYPERLINK("https://eosportal.federatedhermes.com/engagements/RW5nYWdlbWVudAppMjkyNDY=", "Merger integration")</f>
      </c>
      <c r="G1642" s="14" t="s">
        <v>4728</v>
      </c>
      <c r="H1642" s="0" t="s">
        <v>141</v>
      </c>
      <c r="I1642" s="14" t="s">
        <v>191</v>
      </c>
      <c r="J1642" s="0" t="s">
        <v>153</v>
      </c>
      <c r="K1642" s="0" t="s">
        <v>154</v>
      </c>
      <c r="L1642" s="0" t="s">
        <v>306</v>
      </c>
      <c r="M1642" s="0" t="s">
        <v>135</v>
      </c>
      <c r="N1642" s="0" t="s">
        <v>136</v>
      </c>
      <c r="O1642" s="0" t="s">
        <v>706</v>
      </c>
      <c r="Q1642" s="0" t="s">
        <v>130</v>
      </c>
      <c r="R1642" s="0" t="s">
        <v>138</v>
      </c>
      <c r="S1642" s="14">
        <v>0</v>
      </c>
      <c r="T1642" s="0" t="s">
        <v>394</v>
      </c>
      <c r="U1642" s="0" t="s">
        <v>138</v>
      </c>
      <c r="V1642" s="14" t="s">
        <v>138</v>
      </c>
      <c r="W1642" s="0" t="s">
        <v>138</v>
      </c>
      <c r="X1642" s="14" t="s">
        <v>138</v>
      </c>
      <c r="Y1642" s="0" t="s">
        <v>138</v>
      </c>
      <c r="Z1642" s="14" t="s">
        <v>138</v>
      </c>
      <c r="AA1642" s="0" t="s">
        <v>138</v>
      </c>
      <c r="AB1642" s="14" t="s">
        <v>138</v>
      </c>
      <c r="AD1642" s="0" t="s">
        <v>138</v>
      </c>
      <c r="AF1642" s="0">
        <v>0</v>
      </c>
      <c r="AG1642" s="0">
        <v>0</v>
      </c>
      <c r="AH1642" s="0" t="s">
        <v>140</v>
      </c>
      <c r="AI1642" s="0" t="s">
        <v>138</v>
      </c>
      <c r="AL1642" s="14"/>
      <c r="AN1642" s="14"/>
      <c r="AQ1642" s="0" t="s">
        <v>130</v>
      </c>
      <c r="AR1642" s="0" t="s">
        <v>130</v>
      </c>
      <c r="AS1642" s="0" t="s">
        <v>130</v>
      </c>
      <c r="AT1642" s="0" t="s">
        <v>130</v>
      </c>
      <c r="AU1642" s="0" t="s">
        <v>130</v>
      </c>
      <c r="AV1642" s="0" t="s">
        <v>130</v>
      </c>
      <c r="AW1642" s="0" t="s">
        <v>130</v>
      </c>
      <c r="AX1642" s="0" t="s">
        <v>130</v>
      </c>
      <c r="AY1642" s="0" t="s">
        <v>130</v>
      </c>
      <c r="AZ1642" s="0" t="s">
        <v>130</v>
      </c>
      <c r="BA1642" s="0" t="s">
        <v>130</v>
      </c>
      <c r="BB1642" s="0" t="s">
        <v>130</v>
      </c>
      <c r="BC1642" s="0" t="s">
        <v>130</v>
      </c>
      <c r="BD1642" s="0" t="s">
        <v>130</v>
      </c>
      <c r="BE1642" s="0" t="s">
        <v>130</v>
      </c>
      <c r="BF1642" s="0" t="s">
        <v>130</v>
      </c>
      <c r="BG1642" s="0" t="s">
        <v>130</v>
      </c>
      <c r="BH1642" s="0" t="s">
        <v>130</v>
      </c>
      <c r="BI1642" s="0" t="s">
        <v>130</v>
      </c>
      <c r="BJ1642" s="0" t="s">
        <v>130</v>
      </c>
      <c r="BK1642" s="0" t="s">
        <v>130</v>
      </c>
      <c r="BL1642" s="0" t="s">
        <v>130</v>
      </c>
      <c r="BM1642" s="0" t="s">
        <v>130</v>
      </c>
      <c r="BN1642" s="0" t="s">
        <v>130</v>
      </c>
      <c r="BO1642" s="0" t="s">
        <v>130</v>
      </c>
      <c r="BP1642" s="0" t="s">
        <v>130</v>
      </c>
      <c r="BQ1642" s="0" t="s">
        <v>130</v>
      </c>
      <c r="BR1642" s="0" t="s">
        <v>130</v>
      </c>
      <c r="BS1642" s="0" t="s">
        <v>130</v>
      </c>
      <c r="BT1642" s="0" t="s">
        <v>130</v>
      </c>
      <c r="BU1642" s="0" t="s">
        <v>130</v>
      </c>
      <c r="BV1642" s="0" t="s">
        <v>130</v>
      </c>
      <c r="BW1642" s="0" t="s">
        <v>130</v>
      </c>
      <c r="BX1642" s="0" t="s">
        <v>130</v>
      </c>
      <c r="BY1642" s="0" t="s">
        <v>130</v>
      </c>
      <c r="BZ1642" s="0" t="s">
        <v>130</v>
      </c>
      <c r="CA1642" s="0" t="s">
        <v>130</v>
      </c>
      <c r="CB1642" s="0" t="s">
        <v>130</v>
      </c>
      <c r="CC1642" s="0" t="s">
        <v>130</v>
      </c>
      <c r="CD1642" s="0" t="s">
        <v>130</v>
      </c>
      <c r="CE1642" s="0" t="s">
        <v>130</v>
      </c>
      <c r="CF1642" s="0" t="s">
        <v>130</v>
      </c>
      <c r="CG1642" s="0" t="s">
        <v>130</v>
      </c>
      <c r="CH1642" s="0" t="s">
        <v>130</v>
      </c>
      <c r="CI1642" s="0" t="s">
        <v>130</v>
      </c>
      <c r="CJ1642" s="0" t="s">
        <v>130</v>
      </c>
      <c r="CK1642" s="0" t="s">
        <v>130</v>
      </c>
      <c r="CL1642" s="0" t="s">
        <v>130</v>
      </c>
      <c r="CM1642" s="0" t="s">
        <v>130</v>
      </c>
      <c r="CN1642" s="0" t="s">
        <v>130</v>
      </c>
      <c r="CO1642" s="0" t="s">
        <v>130</v>
      </c>
      <c r="CP1642" s="0" t="s">
        <v>130</v>
      </c>
      <c r="CQ1642" s="0" t="s">
        <v>130</v>
      </c>
      <c r="CR1642" s="0" t="s">
        <v>130</v>
      </c>
      <c r="CS1642" s="0" t="s">
        <v>130</v>
      </c>
      <c r="CT1642" s="0" t="s">
        <v>4729</v>
      </c>
    </row>
    <row r="1643">
      <c r="A1643" s="14">
        <v>48364393</v>
      </c>
      <c r="B1643" s="0" t="s">
        <v>4718</v>
      </c>
      <c r="C1643" s="16">
        <f>HYPERLINK("https://eosportal.federatedhermes.com/companies/Q29tcGFueQppNTg5OTY=", "DuPont de Nemours Inc")</f>
      </c>
      <c r="D1643" s="0" t="s">
        <v>25</v>
      </c>
      <c r="E1643" s="0" t="s">
        <v>943</v>
      </c>
      <c r="F1643" s="16">
        <f>HYPERLINK("https://eosportal.federatedhermes.com/engagements/RW5nYWdlbWVudAppMjkyNDc=", "Diversity")</f>
      </c>
      <c r="G1643" s="14" t="s">
        <v>4730</v>
      </c>
      <c r="H1643" s="0" t="s">
        <v>141</v>
      </c>
      <c r="I1643" s="14" t="s">
        <v>191</v>
      </c>
      <c r="J1643" s="0" t="s">
        <v>153</v>
      </c>
      <c r="K1643" s="0" t="s">
        <v>154</v>
      </c>
      <c r="L1643" s="0" t="s">
        <v>268</v>
      </c>
      <c r="M1643" s="0" t="s">
        <v>135</v>
      </c>
      <c r="N1643" s="0" t="s">
        <v>136</v>
      </c>
      <c r="O1643" s="0" t="s">
        <v>706</v>
      </c>
      <c r="Q1643" s="0" t="s">
        <v>130</v>
      </c>
      <c r="R1643" s="0" t="s">
        <v>138</v>
      </c>
      <c r="S1643" s="14">
        <v>0</v>
      </c>
      <c r="T1643" s="0" t="s">
        <v>394</v>
      </c>
      <c r="U1643" s="0" t="s">
        <v>138</v>
      </c>
      <c r="V1643" s="14" t="s">
        <v>138</v>
      </c>
      <c r="W1643" s="0" t="s">
        <v>138</v>
      </c>
      <c r="X1643" s="14" t="s">
        <v>138</v>
      </c>
      <c r="Y1643" s="0" t="s">
        <v>138</v>
      </c>
      <c r="Z1643" s="14" t="s">
        <v>138</v>
      </c>
      <c r="AA1643" s="0" t="s">
        <v>138</v>
      </c>
      <c r="AB1643" s="14" t="s">
        <v>138</v>
      </c>
      <c r="AD1643" s="0" t="s">
        <v>138</v>
      </c>
      <c r="AF1643" s="0">
        <v>0</v>
      </c>
      <c r="AG1643" s="0">
        <v>0</v>
      </c>
      <c r="AH1643" s="0" t="s">
        <v>140</v>
      </c>
      <c r="AI1643" s="0" t="s">
        <v>138</v>
      </c>
      <c r="AL1643" s="14"/>
      <c r="AN1643" s="14"/>
      <c r="AQ1643" s="0" t="s">
        <v>130</v>
      </c>
      <c r="AR1643" s="0" t="s">
        <v>130</v>
      </c>
      <c r="AS1643" s="0" t="s">
        <v>130</v>
      </c>
      <c r="AT1643" s="0" t="s">
        <v>130</v>
      </c>
      <c r="AU1643" s="0" t="s">
        <v>141</v>
      </c>
      <c r="AV1643" s="0" t="s">
        <v>130</v>
      </c>
      <c r="AW1643" s="0" t="s">
        <v>130</v>
      </c>
      <c r="AX1643" s="0" t="s">
        <v>130</v>
      </c>
      <c r="AY1643" s="0" t="s">
        <v>130</v>
      </c>
      <c r="AZ1643" s="0" t="s">
        <v>130</v>
      </c>
      <c r="BA1643" s="0" t="s">
        <v>130</v>
      </c>
      <c r="BB1643" s="0" t="s">
        <v>130</v>
      </c>
      <c r="BC1643" s="0" t="s">
        <v>130</v>
      </c>
      <c r="BD1643" s="0" t="s">
        <v>130</v>
      </c>
      <c r="BE1643" s="0" t="s">
        <v>130</v>
      </c>
      <c r="BF1643" s="0" t="s">
        <v>130</v>
      </c>
      <c r="BG1643" s="0" t="s">
        <v>130</v>
      </c>
      <c r="BH1643" s="0" t="s">
        <v>130</v>
      </c>
      <c r="BI1643" s="0" t="s">
        <v>130</v>
      </c>
      <c r="BJ1643" s="0" t="s">
        <v>130</v>
      </c>
      <c r="BK1643" s="0" t="s">
        <v>130</v>
      </c>
      <c r="BL1643" s="0" t="s">
        <v>130</v>
      </c>
      <c r="BM1643" s="0" t="s">
        <v>130</v>
      </c>
      <c r="BN1643" s="0" t="s">
        <v>130</v>
      </c>
      <c r="BO1643" s="0" t="s">
        <v>130</v>
      </c>
      <c r="BP1643" s="0" t="s">
        <v>130</v>
      </c>
      <c r="BQ1643" s="0" t="s">
        <v>130</v>
      </c>
      <c r="BR1643" s="0" t="s">
        <v>130</v>
      </c>
      <c r="BS1643" s="0" t="s">
        <v>130</v>
      </c>
      <c r="BT1643" s="0" t="s">
        <v>130</v>
      </c>
      <c r="BU1643" s="0" t="s">
        <v>130</v>
      </c>
      <c r="BV1643" s="0" t="s">
        <v>130</v>
      </c>
      <c r="BW1643" s="0" t="s">
        <v>130</v>
      </c>
      <c r="BX1643" s="0" t="s">
        <v>130</v>
      </c>
      <c r="BY1643" s="0" t="s">
        <v>130</v>
      </c>
      <c r="BZ1643" s="0" t="s">
        <v>130</v>
      </c>
      <c r="CA1643" s="0" t="s">
        <v>130</v>
      </c>
      <c r="CB1643" s="0" t="s">
        <v>130</v>
      </c>
      <c r="CC1643" s="0" t="s">
        <v>130</v>
      </c>
      <c r="CD1643" s="0" t="s">
        <v>130</v>
      </c>
      <c r="CE1643" s="0" t="s">
        <v>130</v>
      </c>
      <c r="CF1643" s="0" t="s">
        <v>130</v>
      </c>
      <c r="CG1643" s="0" t="s">
        <v>130</v>
      </c>
      <c r="CH1643" s="0" t="s">
        <v>130</v>
      </c>
      <c r="CI1643" s="0" t="s">
        <v>130</v>
      </c>
      <c r="CJ1643" s="0" t="s">
        <v>130</v>
      </c>
      <c r="CK1643" s="0" t="s">
        <v>141</v>
      </c>
      <c r="CL1643" s="0" t="s">
        <v>130</v>
      </c>
      <c r="CM1643" s="0" t="s">
        <v>130</v>
      </c>
      <c r="CN1643" s="0" t="s">
        <v>130</v>
      </c>
      <c r="CO1643" s="0" t="s">
        <v>130</v>
      </c>
      <c r="CP1643" s="0" t="s">
        <v>130</v>
      </c>
      <c r="CQ1643" s="0" t="s">
        <v>130</v>
      </c>
      <c r="CR1643" s="0" t="s">
        <v>130</v>
      </c>
      <c r="CS1643" s="0" t="s">
        <v>130</v>
      </c>
      <c r="CT1643" s="0" t="s">
        <v>4731</v>
      </c>
    </row>
    <row r="1644">
      <c r="A1644" s="14">
        <v>48364393</v>
      </c>
      <c r="B1644" s="0" t="s">
        <v>4718</v>
      </c>
      <c r="C1644" s="16">
        <f>HYPERLINK("https://eosportal.federatedhermes.com/companies/Q29tcGFueQppNTg5OTY=", "DuPont de Nemours Inc")</f>
      </c>
      <c r="D1644" s="0" t="s">
        <v>25</v>
      </c>
      <c r="E1644" s="0" t="s">
        <v>2154</v>
      </c>
      <c r="F1644" s="16">
        <f>HYPERLINK("https://eosportal.federatedhermes.com/engagements/RW5nYWdlbWVudAppMjkyNDg=", "Pro-rating of incentive awards in the event of change of control")</f>
      </c>
      <c r="G1644" s="14" t="s">
        <v>4732</v>
      </c>
      <c r="H1644" s="0" t="s">
        <v>141</v>
      </c>
      <c r="I1644" s="14" t="s">
        <v>191</v>
      </c>
      <c r="J1644" s="0" t="s">
        <v>145</v>
      </c>
      <c r="K1644" s="0" t="s">
        <v>146</v>
      </c>
      <c r="L1644" s="0" t="s">
        <v>147</v>
      </c>
      <c r="M1644" s="0" t="s">
        <v>135</v>
      </c>
      <c r="N1644" s="0" t="s">
        <v>136</v>
      </c>
      <c r="O1644" s="0" t="s">
        <v>706</v>
      </c>
      <c r="Q1644" s="0" t="s">
        <v>130</v>
      </c>
      <c r="R1644" s="0" t="s">
        <v>138</v>
      </c>
      <c r="S1644" s="14">
        <v>0</v>
      </c>
      <c r="T1644" s="0" t="s">
        <v>435</v>
      </c>
      <c r="U1644" s="0" t="s">
        <v>138</v>
      </c>
      <c r="V1644" s="14" t="s">
        <v>138</v>
      </c>
      <c r="W1644" s="0" t="s">
        <v>138</v>
      </c>
      <c r="X1644" s="14" t="s">
        <v>138</v>
      </c>
      <c r="Y1644" s="0" t="s">
        <v>138</v>
      </c>
      <c r="Z1644" s="14" t="s">
        <v>138</v>
      </c>
      <c r="AA1644" s="0" t="s">
        <v>138</v>
      </c>
      <c r="AB1644" s="14" t="s">
        <v>138</v>
      </c>
      <c r="AD1644" s="0" t="s">
        <v>138</v>
      </c>
      <c r="AF1644" s="0">
        <v>0</v>
      </c>
      <c r="AG1644" s="0">
        <v>0</v>
      </c>
      <c r="AH1644" s="0" t="s">
        <v>140</v>
      </c>
      <c r="AI1644" s="0" t="s">
        <v>138</v>
      </c>
      <c r="AL1644" s="14"/>
      <c r="AN1644" s="14"/>
      <c r="AQ1644" s="0" t="s">
        <v>130</v>
      </c>
      <c r="AR1644" s="0" t="s">
        <v>130</v>
      </c>
      <c r="AS1644" s="0" t="s">
        <v>130</v>
      </c>
      <c r="AT1644" s="0" t="s">
        <v>130</v>
      </c>
      <c r="AU1644" s="0" t="s">
        <v>130</v>
      </c>
      <c r="AV1644" s="0" t="s">
        <v>130</v>
      </c>
      <c r="AW1644" s="0" t="s">
        <v>130</v>
      </c>
      <c r="AX1644" s="0" t="s">
        <v>130</v>
      </c>
      <c r="AY1644" s="0" t="s">
        <v>130</v>
      </c>
      <c r="AZ1644" s="0" t="s">
        <v>130</v>
      </c>
      <c r="BA1644" s="0" t="s">
        <v>130</v>
      </c>
      <c r="BB1644" s="0" t="s">
        <v>130</v>
      </c>
      <c r="BC1644" s="0" t="s">
        <v>130</v>
      </c>
      <c r="BD1644" s="0" t="s">
        <v>130</v>
      </c>
      <c r="BE1644" s="0" t="s">
        <v>130</v>
      </c>
      <c r="BF1644" s="0" t="s">
        <v>130</v>
      </c>
      <c r="BG1644" s="0" t="s">
        <v>130</v>
      </c>
      <c r="BH1644" s="0" t="s">
        <v>130</v>
      </c>
      <c r="BI1644" s="0" t="s">
        <v>130</v>
      </c>
      <c r="BJ1644" s="0" t="s">
        <v>130</v>
      </c>
      <c r="BK1644" s="0" t="s">
        <v>130</v>
      </c>
      <c r="BL1644" s="0" t="s">
        <v>130</v>
      </c>
      <c r="BM1644" s="0" t="s">
        <v>130</v>
      </c>
      <c r="BN1644" s="0" t="s">
        <v>130</v>
      </c>
      <c r="BO1644" s="0" t="s">
        <v>130</v>
      </c>
      <c r="BP1644" s="0" t="s">
        <v>130</v>
      </c>
      <c r="BQ1644" s="0" t="s">
        <v>130</v>
      </c>
      <c r="BR1644" s="0" t="s">
        <v>130</v>
      </c>
      <c r="BS1644" s="0" t="s">
        <v>130</v>
      </c>
      <c r="BT1644" s="0" t="s">
        <v>130</v>
      </c>
      <c r="BU1644" s="0" t="s">
        <v>130</v>
      </c>
      <c r="BV1644" s="0" t="s">
        <v>130</v>
      </c>
      <c r="BW1644" s="0" t="s">
        <v>130</v>
      </c>
      <c r="BX1644" s="0" t="s">
        <v>130</v>
      </c>
      <c r="BY1644" s="0" t="s">
        <v>130</v>
      </c>
      <c r="BZ1644" s="0" t="s">
        <v>130</v>
      </c>
      <c r="CA1644" s="0" t="s">
        <v>130</v>
      </c>
      <c r="CB1644" s="0" t="s">
        <v>130</v>
      </c>
      <c r="CC1644" s="0" t="s">
        <v>130</v>
      </c>
      <c r="CD1644" s="0" t="s">
        <v>130</v>
      </c>
      <c r="CE1644" s="0" t="s">
        <v>130</v>
      </c>
      <c r="CF1644" s="0" t="s">
        <v>130</v>
      </c>
      <c r="CG1644" s="0" t="s">
        <v>130</v>
      </c>
      <c r="CH1644" s="0" t="s">
        <v>130</v>
      </c>
      <c r="CI1644" s="0" t="s">
        <v>130</v>
      </c>
      <c r="CJ1644" s="0" t="s">
        <v>130</v>
      </c>
      <c r="CK1644" s="0" t="s">
        <v>130</v>
      </c>
      <c r="CL1644" s="0" t="s">
        <v>130</v>
      </c>
      <c r="CM1644" s="0" t="s">
        <v>130</v>
      </c>
      <c r="CN1644" s="0" t="s">
        <v>130</v>
      </c>
      <c r="CO1644" s="0" t="s">
        <v>130</v>
      </c>
      <c r="CP1644" s="0" t="s">
        <v>130</v>
      </c>
      <c r="CQ1644" s="0" t="s">
        <v>130</v>
      </c>
      <c r="CR1644" s="0" t="s">
        <v>130</v>
      </c>
      <c r="CS1644" s="0" t="s">
        <v>130</v>
      </c>
      <c r="CT1644" s="0" t="s">
        <v>4733</v>
      </c>
    </row>
    <row r="1645">
      <c r="A1645" s="14">
        <v>48364393</v>
      </c>
      <c r="B1645" s="0" t="s">
        <v>4718</v>
      </c>
      <c r="C1645" s="16">
        <f>HYPERLINK("https://eosportal.federatedhermes.com/companies/Q29tcGFueQppNTg5OTY=", "DuPont de Nemours Inc")</f>
      </c>
      <c r="D1645" s="0" t="s">
        <v>25</v>
      </c>
      <c r="E1645" s="0" t="s">
        <v>4734</v>
      </c>
      <c r="F1645" s="16">
        <f>HYPERLINK("https://eosportal.federatedhermes.com/engagements/RW5nYWdlbWVudAppMjkyNDk=", "Golden parachutes")</f>
      </c>
      <c r="G1645" s="14" t="s">
        <v>4735</v>
      </c>
      <c r="H1645" s="0" t="s">
        <v>141</v>
      </c>
      <c r="I1645" s="14" t="s">
        <v>191</v>
      </c>
      <c r="J1645" s="0" t="s">
        <v>145</v>
      </c>
      <c r="K1645" s="0" t="s">
        <v>146</v>
      </c>
      <c r="L1645" s="0" t="s">
        <v>147</v>
      </c>
      <c r="M1645" s="0" t="s">
        <v>135</v>
      </c>
      <c r="N1645" s="0" t="s">
        <v>136</v>
      </c>
      <c r="O1645" s="0" t="s">
        <v>706</v>
      </c>
      <c r="Q1645" s="0" t="s">
        <v>130</v>
      </c>
      <c r="R1645" s="0" t="s">
        <v>138</v>
      </c>
      <c r="S1645" s="14">
        <v>0</v>
      </c>
      <c r="T1645" s="0" t="s">
        <v>320</v>
      </c>
      <c r="U1645" s="0" t="s">
        <v>138</v>
      </c>
      <c r="V1645" s="14" t="s">
        <v>138</v>
      </c>
      <c r="W1645" s="0" t="s">
        <v>138</v>
      </c>
      <c r="X1645" s="14" t="s">
        <v>138</v>
      </c>
      <c r="Y1645" s="0" t="s">
        <v>138</v>
      </c>
      <c r="Z1645" s="14" t="s">
        <v>138</v>
      </c>
      <c r="AA1645" s="0" t="s">
        <v>138</v>
      </c>
      <c r="AB1645" s="14" t="s">
        <v>138</v>
      </c>
      <c r="AD1645" s="0" t="s">
        <v>138</v>
      </c>
      <c r="AF1645" s="0">
        <v>0</v>
      </c>
      <c r="AG1645" s="0">
        <v>0</v>
      </c>
      <c r="AH1645" s="0" t="s">
        <v>140</v>
      </c>
      <c r="AI1645" s="0" t="s">
        <v>138</v>
      </c>
      <c r="AL1645" s="14"/>
      <c r="AN1645" s="14"/>
      <c r="AQ1645" s="0" t="s">
        <v>130</v>
      </c>
      <c r="AR1645" s="0" t="s">
        <v>130</v>
      </c>
      <c r="AS1645" s="0" t="s">
        <v>130</v>
      </c>
      <c r="AT1645" s="0" t="s">
        <v>130</v>
      </c>
      <c r="AU1645" s="0" t="s">
        <v>130</v>
      </c>
      <c r="AV1645" s="0" t="s">
        <v>130</v>
      </c>
      <c r="AW1645" s="0" t="s">
        <v>130</v>
      </c>
      <c r="AX1645" s="0" t="s">
        <v>130</v>
      </c>
      <c r="AY1645" s="0" t="s">
        <v>130</v>
      </c>
      <c r="AZ1645" s="0" t="s">
        <v>130</v>
      </c>
      <c r="BA1645" s="0" t="s">
        <v>130</v>
      </c>
      <c r="BB1645" s="0" t="s">
        <v>130</v>
      </c>
      <c r="BC1645" s="0" t="s">
        <v>130</v>
      </c>
      <c r="BD1645" s="0" t="s">
        <v>130</v>
      </c>
      <c r="BE1645" s="0" t="s">
        <v>130</v>
      </c>
      <c r="BF1645" s="0" t="s">
        <v>130</v>
      </c>
      <c r="BG1645" s="0" t="s">
        <v>130</v>
      </c>
      <c r="BH1645" s="0" t="s">
        <v>130</v>
      </c>
      <c r="BI1645" s="0" t="s">
        <v>130</v>
      </c>
      <c r="BJ1645" s="0" t="s">
        <v>130</v>
      </c>
      <c r="BK1645" s="0" t="s">
        <v>130</v>
      </c>
      <c r="BL1645" s="0" t="s">
        <v>130</v>
      </c>
      <c r="BM1645" s="0" t="s">
        <v>130</v>
      </c>
      <c r="BN1645" s="0" t="s">
        <v>130</v>
      </c>
      <c r="BO1645" s="0" t="s">
        <v>130</v>
      </c>
      <c r="BP1645" s="0" t="s">
        <v>130</v>
      </c>
      <c r="BQ1645" s="0" t="s">
        <v>130</v>
      </c>
      <c r="BR1645" s="0" t="s">
        <v>130</v>
      </c>
      <c r="BS1645" s="0" t="s">
        <v>130</v>
      </c>
      <c r="BT1645" s="0" t="s">
        <v>130</v>
      </c>
      <c r="BU1645" s="0" t="s">
        <v>130</v>
      </c>
      <c r="BV1645" s="0" t="s">
        <v>130</v>
      </c>
      <c r="BW1645" s="0" t="s">
        <v>130</v>
      </c>
      <c r="BX1645" s="0" t="s">
        <v>130</v>
      </c>
      <c r="BY1645" s="0" t="s">
        <v>130</v>
      </c>
      <c r="BZ1645" s="0" t="s">
        <v>130</v>
      </c>
      <c r="CA1645" s="0" t="s">
        <v>130</v>
      </c>
      <c r="CB1645" s="0" t="s">
        <v>130</v>
      </c>
      <c r="CC1645" s="0" t="s">
        <v>130</v>
      </c>
      <c r="CD1645" s="0" t="s">
        <v>130</v>
      </c>
      <c r="CE1645" s="0" t="s">
        <v>130</v>
      </c>
      <c r="CF1645" s="0" t="s">
        <v>130</v>
      </c>
      <c r="CG1645" s="0" t="s">
        <v>130</v>
      </c>
      <c r="CH1645" s="0" t="s">
        <v>130</v>
      </c>
      <c r="CI1645" s="0" t="s">
        <v>130</v>
      </c>
      <c r="CJ1645" s="0" t="s">
        <v>130</v>
      </c>
      <c r="CK1645" s="0" t="s">
        <v>130</v>
      </c>
      <c r="CL1645" s="0" t="s">
        <v>130</v>
      </c>
      <c r="CM1645" s="0" t="s">
        <v>130</v>
      </c>
      <c r="CN1645" s="0" t="s">
        <v>130</v>
      </c>
      <c r="CO1645" s="0" t="s">
        <v>130</v>
      </c>
      <c r="CP1645" s="0" t="s">
        <v>130</v>
      </c>
      <c r="CQ1645" s="0" t="s">
        <v>130</v>
      </c>
      <c r="CR1645" s="0" t="s">
        <v>130</v>
      </c>
      <c r="CS1645" s="0" t="s">
        <v>130</v>
      </c>
      <c r="CT1645" s="0" t="s">
        <v>4736</v>
      </c>
    </row>
    <row r="1646">
      <c r="A1646" s="14">
        <v>48364393</v>
      </c>
      <c r="B1646" s="0" t="s">
        <v>4718</v>
      </c>
      <c r="C1646" s="16">
        <f>HYPERLINK("https://eosportal.federatedhermes.com/companies/Q29tcGFueQppNTg5OTY=", "DuPont de Nemours Inc")</f>
      </c>
      <c r="D1646" s="0" t="s">
        <v>25</v>
      </c>
      <c r="E1646" s="0" t="s">
        <v>4737</v>
      </c>
      <c r="F1646" s="16">
        <f>HYPERLINK("https://eosportal.federatedhermes.com/engagements/RW5nYWdlbWVudAppMjkyNTA=", "Break up of merged company")</f>
      </c>
      <c r="G1646" s="14" t="s">
        <v>4738</v>
      </c>
      <c r="H1646" s="0" t="s">
        <v>141</v>
      </c>
      <c r="I1646" s="14" t="s">
        <v>191</v>
      </c>
      <c r="J1646" s="0" t="s">
        <v>153</v>
      </c>
      <c r="K1646" s="0" t="s">
        <v>154</v>
      </c>
      <c r="L1646" s="0" t="s">
        <v>306</v>
      </c>
      <c r="M1646" s="0" t="s">
        <v>135</v>
      </c>
      <c r="N1646" s="0" t="s">
        <v>136</v>
      </c>
      <c r="O1646" s="0" t="s">
        <v>706</v>
      </c>
      <c r="Q1646" s="0" t="s">
        <v>130</v>
      </c>
      <c r="R1646" s="0" t="s">
        <v>138</v>
      </c>
      <c r="S1646" s="14">
        <v>0</v>
      </c>
      <c r="T1646" s="0" t="s">
        <v>314</v>
      </c>
      <c r="U1646" s="0" t="s">
        <v>138</v>
      </c>
      <c r="V1646" s="14" t="s">
        <v>138</v>
      </c>
      <c r="W1646" s="0" t="s">
        <v>138</v>
      </c>
      <c r="X1646" s="14" t="s">
        <v>138</v>
      </c>
      <c r="Y1646" s="0" t="s">
        <v>138</v>
      </c>
      <c r="Z1646" s="14" t="s">
        <v>138</v>
      </c>
      <c r="AA1646" s="0" t="s">
        <v>138</v>
      </c>
      <c r="AB1646" s="14" t="s">
        <v>138</v>
      </c>
      <c r="AD1646" s="0" t="s">
        <v>138</v>
      </c>
      <c r="AF1646" s="0">
        <v>0</v>
      </c>
      <c r="AG1646" s="0">
        <v>0</v>
      </c>
      <c r="AH1646" s="0" t="s">
        <v>140</v>
      </c>
      <c r="AI1646" s="0" t="s">
        <v>138</v>
      </c>
      <c r="AL1646" s="14"/>
      <c r="AN1646" s="14"/>
      <c r="AQ1646" s="0" t="s">
        <v>130</v>
      </c>
      <c r="AR1646" s="0" t="s">
        <v>130</v>
      </c>
      <c r="AS1646" s="0" t="s">
        <v>130</v>
      </c>
      <c r="AT1646" s="0" t="s">
        <v>130</v>
      </c>
      <c r="AU1646" s="0" t="s">
        <v>130</v>
      </c>
      <c r="AV1646" s="0" t="s">
        <v>130</v>
      </c>
      <c r="AW1646" s="0" t="s">
        <v>130</v>
      </c>
      <c r="AX1646" s="0" t="s">
        <v>130</v>
      </c>
      <c r="AY1646" s="0" t="s">
        <v>130</v>
      </c>
      <c r="AZ1646" s="0" t="s">
        <v>130</v>
      </c>
      <c r="BA1646" s="0" t="s">
        <v>130</v>
      </c>
      <c r="BB1646" s="0" t="s">
        <v>130</v>
      </c>
      <c r="BC1646" s="0" t="s">
        <v>130</v>
      </c>
      <c r="BD1646" s="0" t="s">
        <v>130</v>
      </c>
      <c r="BE1646" s="0" t="s">
        <v>130</v>
      </c>
      <c r="BF1646" s="0" t="s">
        <v>130</v>
      </c>
      <c r="BG1646" s="0" t="s">
        <v>130</v>
      </c>
      <c r="BH1646" s="0" t="s">
        <v>130</v>
      </c>
      <c r="BI1646" s="0" t="s">
        <v>130</v>
      </c>
      <c r="BJ1646" s="0" t="s">
        <v>130</v>
      </c>
      <c r="BK1646" s="0" t="s">
        <v>130</v>
      </c>
      <c r="BL1646" s="0" t="s">
        <v>130</v>
      </c>
      <c r="BM1646" s="0" t="s">
        <v>130</v>
      </c>
      <c r="BN1646" s="0" t="s">
        <v>130</v>
      </c>
      <c r="BO1646" s="0" t="s">
        <v>130</v>
      </c>
      <c r="BP1646" s="0" t="s">
        <v>130</v>
      </c>
      <c r="BQ1646" s="0" t="s">
        <v>130</v>
      </c>
      <c r="BR1646" s="0" t="s">
        <v>130</v>
      </c>
      <c r="BS1646" s="0" t="s">
        <v>130</v>
      </c>
      <c r="BT1646" s="0" t="s">
        <v>130</v>
      </c>
      <c r="BU1646" s="0" t="s">
        <v>130</v>
      </c>
      <c r="BV1646" s="0" t="s">
        <v>130</v>
      </c>
      <c r="BW1646" s="0" t="s">
        <v>130</v>
      </c>
      <c r="BX1646" s="0" t="s">
        <v>130</v>
      </c>
      <c r="BY1646" s="0" t="s">
        <v>130</v>
      </c>
      <c r="BZ1646" s="0" t="s">
        <v>130</v>
      </c>
      <c r="CA1646" s="0" t="s">
        <v>130</v>
      </c>
      <c r="CB1646" s="0" t="s">
        <v>130</v>
      </c>
      <c r="CC1646" s="0" t="s">
        <v>130</v>
      </c>
      <c r="CD1646" s="0" t="s">
        <v>130</v>
      </c>
      <c r="CE1646" s="0" t="s">
        <v>130</v>
      </c>
      <c r="CF1646" s="0" t="s">
        <v>130</v>
      </c>
      <c r="CG1646" s="0" t="s">
        <v>130</v>
      </c>
      <c r="CH1646" s="0" t="s">
        <v>130</v>
      </c>
      <c r="CI1646" s="0" t="s">
        <v>130</v>
      </c>
      <c r="CJ1646" s="0" t="s">
        <v>130</v>
      </c>
      <c r="CK1646" s="0" t="s">
        <v>130</v>
      </c>
      <c r="CL1646" s="0" t="s">
        <v>130</v>
      </c>
      <c r="CM1646" s="0" t="s">
        <v>130</v>
      </c>
      <c r="CN1646" s="0" t="s">
        <v>130</v>
      </c>
      <c r="CO1646" s="0" t="s">
        <v>130</v>
      </c>
      <c r="CP1646" s="0" t="s">
        <v>130</v>
      </c>
      <c r="CQ1646" s="0" t="s">
        <v>130</v>
      </c>
      <c r="CR1646" s="0" t="s">
        <v>130</v>
      </c>
      <c r="CS1646" s="0" t="s">
        <v>130</v>
      </c>
      <c r="CT1646" s="0" t="s">
        <v>4739</v>
      </c>
    </row>
    <row r="1647">
      <c r="A1647" s="14">
        <v>48364393</v>
      </c>
      <c r="B1647" s="0" t="s">
        <v>4718</v>
      </c>
      <c r="C1647" s="16">
        <f>HYPERLINK("https://eosportal.federatedhermes.com/companies/Q29tcGFueQppNTg5OTY=", "DuPont de Nemours Inc")</f>
      </c>
      <c r="D1647" s="0" t="s">
        <v>25</v>
      </c>
      <c r="E1647" s="0" t="s">
        <v>4740</v>
      </c>
      <c r="F1647" s="16">
        <f>HYPERLINK("https://eosportal.federatedhermes.com/engagements/RW5nYWdlbWVudAppMjkyNTE=", "Quality of board leadership and risk governance")</f>
      </c>
      <c r="G1647" s="14" t="s">
        <v>4741</v>
      </c>
      <c r="H1647" s="0" t="s">
        <v>141</v>
      </c>
      <c r="I1647" s="14" t="s">
        <v>191</v>
      </c>
      <c r="J1647" s="0" t="s">
        <v>145</v>
      </c>
      <c r="K1647" s="0" t="s">
        <v>164</v>
      </c>
      <c r="L1647" s="0" t="s">
        <v>165</v>
      </c>
      <c r="M1647" s="0" t="s">
        <v>135</v>
      </c>
      <c r="N1647" s="0" t="s">
        <v>136</v>
      </c>
      <c r="O1647" s="0" t="s">
        <v>706</v>
      </c>
      <c r="Q1647" s="0" t="s">
        <v>130</v>
      </c>
      <c r="R1647" s="0" t="s">
        <v>138</v>
      </c>
      <c r="S1647" s="14">
        <v>0</v>
      </c>
      <c r="T1647" s="0" t="s">
        <v>1145</v>
      </c>
      <c r="U1647" s="0" t="s">
        <v>138</v>
      </c>
      <c r="V1647" s="14" t="s">
        <v>138</v>
      </c>
      <c r="W1647" s="0" t="s">
        <v>138</v>
      </c>
      <c r="X1647" s="14" t="s">
        <v>138</v>
      </c>
      <c r="Y1647" s="0" t="s">
        <v>138</v>
      </c>
      <c r="Z1647" s="14" t="s">
        <v>138</v>
      </c>
      <c r="AA1647" s="0" t="s">
        <v>138</v>
      </c>
      <c r="AB1647" s="14" t="s">
        <v>138</v>
      </c>
      <c r="AD1647" s="0" t="s">
        <v>138</v>
      </c>
      <c r="AF1647" s="0">
        <v>0</v>
      </c>
      <c r="AG1647" s="0">
        <v>0</v>
      </c>
      <c r="AH1647" s="0" t="s">
        <v>140</v>
      </c>
      <c r="AI1647" s="0" t="s">
        <v>138</v>
      </c>
      <c r="AL1647" s="14"/>
      <c r="AN1647" s="14"/>
      <c r="AQ1647" s="0" t="s">
        <v>130</v>
      </c>
      <c r="AR1647" s="0" t="s">
        <v>130</v>
      </c>
      <c r="AS1647" s="0" t="s">
        <v>130</v>
      </c>
      <c r="AT1647" s="0" t="s">
        <v>130</v>
      </c>
      <c r="AU1647" s="0" t="s">
        <v>130</v>
      </c>
      <c r="AV1647" s="0" t="s">
        <v>130</v>
      </c>
      <c r="AW1647" s="0" t="s">
        <v>130</v>
      </c>
      <c r="AX1647" s="0" t="s">
        <v>130</v>
      </c>
      <c r="AY1647" s="0" t="s">
        <v>130</v>
      </c>
      <c r="AZ1647" s="0" t="s">
        <v>130</v>
      </c>
      <c r="BA1647" s="0" t="s">
        <v>130</v>
      </c>
      <c r="BB1647" s="0" t="s">
        <v>130</v>
      </c>
      <c r="BC1647" s="0" t="s">
        <v>130</v>
      </c>
      <c r="BD1647" s="0" t="s">
        <v>130</v>
      </c>
      <c r="BE1647" s="0" t="s">
        <v>130</v>
      </c>
      <c r="BF1647" s="0" t="s">
        <v>130</v>
      </c>
      <c r="BG1647" s="0" t="s">
        <v>130</v>
      </c>
      <c r="BH1647" s="0" t="s">
        <v>130</v>
      </c>
      <c r="BI1647" s="0" t="s">
        <v>130</v>
      </c>
      <c r="BJ1647" s="0" t="s">
        <v>130</v>
      </c>
      <c r="BK1647" s="0" t="s">
        <v>130</v>
      </c>
      <c r="BL1647" s="0" t="s">
        <v>130</v>
      </c>
      <c r="BM1647" s="0" t="s">
        <v>130</v>
      </c>
      <c r="BN1647" s="0" t="s">
        <v>130</v>
      </c>
      <c r="BO1647" s="0" t="s">
        <v>130</v>
      </c>
      <c r="BP1647" s="0" t="s">
        <v>130</v>
      </c>
      <c r="BQ1647" s="0" t="s">
        <v>130</v>
      </c>
      <c r="BR1647" s="0" t="s">
        <v>130</v>
      </c>
      <c r="BS1647" s="0" t="s">
        <v>130</v>
      </c>
      <c r="BT1647" s="0" t="s">
        <v>130</v>
      </c>
      <c r="BU1647" s="0" t="s">
        <v>130</v>
      </c>
      <c r="BV1647" s="0" t="s">
        <v>130</v>
      </c>
      <c r="BW1647" s="0" t="s">
        <v>130</v>
      </c>
      <c r="BX1647" s="0" t="s">
        <v>130</v>
      </c>
      <c r="BY1647" s="0" t="s">
        <v>130</v>
      </c>
      <c r="BZ1647" s="0" t="s">
        <v>130</v>
      </c>
      <c r="CA1647" s="0" t="s">
        <v>130</v>
      </c>
      <c r="CB1647" s="0" t="s">
        <v>130</v>
      </c>
      <c r="CC1647" s="0" t="s">
        <v>130</v>
      </c>
      <c r="CD1647" s="0" t="s">
        <v>130</v>
      </c>
      <c r="CE1647" s="0" t="s">
        <v>130</v>
      </c>
      <c r="CF1647" s="0" t="s">
        <v>130</v>
      </c>
      <c r="CG1647" s="0" t="s">
        <v>130</v>
      </c>
      <c r="CH1647" s="0" t="s">
        <v>130</v>
      </c>
      <c r="CI1647" s="0" t="s">
        <v>130</v>
      </c>
      <c r="CJ1647" s="0" t="s">
        <v>130</v>
      </c>
      <c r="CK1647" s="0" t="s">
        <v>130</v>
      </c>
      <c r="CL1647" s="0" t="s">
        <v>130</v>
      </c>
      <c r="CM1647" s="0" t="s">
        <v>130</v>
      </c>
      <c r="CN1647" s="0" t="s">
        <v>130</v>
      </c>
      <c r="CO1647" s="0" t="s">
        <v>130</v>
      </c>
      <c r="CP1647" s="0" t="s">
        <v>130</v>
      </c>
      <c r="CQ1647" s="0" t="s">
        <v>130</v>
      </c>
      <c r="CR1647" s="0" t="s">
        <v>130</v>
      </c>
      <c r="CS1647" s="0" t="s">
        <v>130</v>
      </c>
      <c r="CT1647" s="0" t="s">
        <v>4742</v>
      </c>
    </row>
    <row r="1648">
      <c r="A1648" s="14">
        <v>48364393</v>
      </c>
      <c r="B1648" s="0" t="s">
        <v>4718</v>
      </c>
      <c r="C1648" s="16">
        <f>HYPERLINK("https://eosportal.federatedhermes.com/companies/Q29tcGFueQppNTg5OTY=", "DuPont de Nemours Inc")</f>
      </c>
      <c r="D1648" s="0" t="s">
        <v>25</v>
      </c>
      <c r="E1648" s="0" t="s">
        <v>1939</v>
      </c>
      <c r="F1648" s="16">
        <f>HYPERLINK("https://eosportal.federatedhermes.com/engagements/RW5nYWdlbWVudAppMjkyNTI=", "TCFD disclosure")</f>
      </c>
      <c r="G1648" s="14" t="s">
        <v>4743</v>
      </c>
      <c r="H1648" s="0" t="s">
        <v>141</v>
      </c>
      <c r="I1648" s="14" t="s">
        <v>191</v>
      </c>
      <c r="J1648" s="0" t="s">
        <v>197</v>
      </c>
      <c r="K1648" s="0" t="s">
        <v>198</v>
      </c>
      <c r="L1648" s="0" t="s">
        <v>199</v>
      </c>
      <c r="M1648" s="0" t="s">
        <v>135</v>
      </c>
      <c r="N1648" s="0" t="s">
        <v>136</v>
      </c>
      <c r="O1648" s="0" t="s">
        <v>706</v>
      </c>
      <c r="Q1648" s="0" t="s">
        <v>130</v>
      </c>
      <c r="R1648" s="0" t="s">
        <v>138</v>
      </c>
      <c r="S1648" s="14">
        <v>0</v>
      </c>
      <c r="T1648" s="0" t="s">
        <v>394</v>
      </c>
      <c r="U1648" s="0" t="s">
        <v>138</v>
      </c>
      <c r="V1648" s="14" t="s">
        <v>138</v>
      </c>
      <c r="W1648" s="0" t="s">
        <v>138</v>
      </c>
      <c r="X1648" s="14" t="s">
        <v>138</v>
      </c>
      <c r="Y1648" s="0" t="s">
        <v>138</v>
      </c>
      <c r="Z1648" s="14" t="s">
        <v>138</v>
      </c>
      <c r="AA1648" s="0" t="s">
        <v>138</v>
      </c>
      <c r="AB1648" s="14" t="s">
        <v>138</v>
      </c>
      <c r="AD1648" s="0" t="s">
        <v>138</v>
      </c>
      <c r="AF1648" s="0">
        <v>0</v>
      </c>
      <c r="AG1648" s="0">
        <v>0</v>
      </c>
      <c r="AH1648" s="0" t="s">
        <v>140</v>
      </c>
      <c r="AI1648" s="0" t="s">
        <v>138</v>
      </c>
      <c r="AL1648" s="14"/>
      <c r="AN1648" s="14"/>
      <c r="AQ1648" s="0" t="s">
        <v>130</v>
      </c>
      <c r="AR1648" s="0" t="s">
        <v>130</v>
      </c>
      <c r="AS1648" s="0" t="s">
        <v>130</v>
      </c>
      <c r="AT1648" s="0" t="s">
        <v>130</v>
      </c>
      <c r="AU1648" s="0" t="s">
        <v>130</v>
      </c>
      <c r="AV1648" s="0" t="s">
        <v>130</v>
      </c>
      <c r="AW1648" s="0" t="s">
        <v>130</v>
      </c>
      <c r="AX1648" s="0" t="s">
        <v>130</v>
      </c>
      <c r="AY1648" s="0" t="s">
        <v>130</v>
      </c>
      <c r="AZ1648" s="0" t="s">
        <v>130</v>
      </c>
      <c r="BA1648" s="0" t="s">
        <v>130</v>
      </c>
      <c r="BB1648" s="0" t="s">
        <v>141</v>
      </c>
      <c r="BC1648" s="0" t="s">
        <v>141</v>
      </c>
      <c r="BD1648" s="0" t="s">
        <v>130</v>
      </c>
      <c r="BE1648" s="0" t="s">
        <v>130</v>
      </c>
      <c r="BF1648" s="0" t="s">
        <v>130</v>
      </c>
      <c r="BG1648" s="0" t="s">
        <v>130</v>
      </c>
      <c r="BH1648" s="0" t="s">
        <v>130</v>
      </c>
      <c r="BI1648" s="0" t="s">
        <v>130</v>
      </c>
      <c r="BJ1648" s="0" t="s">
        <v>130</v>
      </c>
      <c r="BK1648" s="0" t="s">
        <v>130</v>
      </c>
      <c r="BL1648" s="0" t="s">
        <v>130</v>
      </c>
      <c r="BM1648" s="0" t="s">
        <v>130</v>
      </c>
      <c r="BN1648" s="0" t="s">
        <v>130</v>
      </c>
      <c r="BO1648" s="0" t="s">
        <v>130</v>
      </c>
      <c r="BP1648" s="0" t="s">
        <v>130</v>
      </c>
      <c r="BQ1648" s="0" t="s">
        <v>130</v>
      </c>
      <c r="BR1648" s="0" t="s">
        <v>130</v>
      </c>
      <c r="BS1648" s="0" t="s">
        <v>130</v>
      </c>
      <c r="BT1648" s="0" t="s">
        <v>130</v>
      </c>
      <c r="BU1648" s="0" t="s">
        <v>130</v>
      </c>
      <c r="BV1648" s="0" t="s">
        <v>130</v>
      </c>
      <c r="BW1648" s="0" t="s">
        <v>130</v>
      </c>
      <c r="BX1648" s="0" t="s">
        <v>130</v>
      </c>
      <c r="BY1648" s="0" t="s">
        <v>130</v>
      </c>
      <c r="BZ1648" s="0" t="s">
        <v>130</v>
      </c>
      <c r="CA1648" s="0" t="s">
        <v>130</v>
      </c>
      <c r="CB1648" s="0" t="s">
        <v>130</v>
      </c>
      <c r="CC1648" s="0" t="s">
        <v>130</v>
      </c>
      <c r="CD1648" s="0" t="s">
        <v>130</v>
      </c>
      <c r="CE1648" s="0" t="s">
        <v>130</v>
      </c>
      <c r="CF1648" s="0" t="s">
        <v>130</v>
      </c>
      <c r="CG1648" s="0" t="s">
        <v>130</v>
      </c>
      <c r="CH1648" s="0" t="s">
        <v>130</v>
      </c>
      <c r="CI1648" s="0" t="s">
        <v>130</v>
      </c>
      <c r="CJ1648" s="0" t="s">
        <v>130</v>
      </c>
      <c r="CK1648" s="0" t="s">
        <v>130</v>
      </c>
      <c r="CL1648" s="0" t="s">
        <v>130</v>
      </c>
      <c r="CM1648" s="0" t="s">
        <v>130</v>
      </c>
      <c r="CN1648" s="0" t="s">
        <v>130</v>
      </c>
      <c r="CO1648" s="0" t="s">
        <v>130</v>
      </c>
      <c r="CP1648" s="0" t="s">
        <v>130</v>
      </c>
      <c r="CQ1648" s="0" t="s">
        <v>130</v>
      </c>
      <c r="CR1648" s="0" t="s">
        <v>130</v>
      </c>
      <c r="CS1648" s="0" t="s">
        <v>130</v>
      </c>
      <c r="CT1648" s="0" t="s">
        <v>4744</v>
      </c>
    </row>
    <row r="1649">
      <c r="A1649" s="14">
        <v>48364393</v>
      </c>
      <c r="B1649" s="0" t="s">
        <v>4718</v>
      </c>
      <c r="C1649" s="16">
        <f>HYPERLINK("https://eosportal.federatedhermes.com/companies/Q29tcGFueQppNTg5OTY=", "DuPont de Nemours Inc")</f>
      </c>
      <c r="D1649" s="0" t="s">
        <v>25</v>
      </c>
      <c r="E1649" s="0" t="s">
        <v>709</v>
      </c>
      <c r="F1649" s="16">
        <f>HYPERLINK("https://eosportal.federatedhermes.com/engagements/RW5nYWdlbWVudAppMjkyNTM=", "Proxy access")</f>
      </c>
      <c r="G1649" s="14" t="s">
        <v>4745</v>
      </c>
      <c r="H1649" s="0" t="s">
        <v>141</v>
      </c>
      <c r="I1649" s="14" t="s">
        <v>191</v>
      </c>
      <c r="J1649" s="0" t="s">
        <v>145</v>
      </c>
      <c r="K1649" s="0" t="s">
        <v>400</v>
      </c>
      <c r="L1649" s="0" t="s">
        <v>507</v>
      </c>
      <c r="M1649" s="0" t="s">
        <v>135</v>
      </c>
      <c r="N1649" s="0" t="s">
        <v>136</v>
      </c>
      <c r="O1649" s="0" t="s">
        <v>706</v>
      </c>
      <c r="Q1649" s="0" t="s">
        <v>130</v>
      </c>
      <c r="R1649" s="0" t="s">
        <v>138</v>
      </c>
      <c r="S1649" s="14">
        <v>0</v>
      </c>
      <c r="T1649" s="0" t="s">
        <v>416</v>
      </c>
      <c r="U1649" s="0" t="s">
        <v>138</v>
      </c>
      <c r="V1649" s="14" t="s">
        <v>138</v>
      </c>
      <c r="W1649" s="0" t="s">
        <v>138</v>
      </c>
      <c r="X1649" s="14" t="s">
        <v>138</v>
      </c>
      <c r="Y1649" s="0" t="s">
        <v>138</v>
      </c>
      <c r="Z1649" s="14" t="s">
        <v>138</v>
      </c>
      <c r="AA1649" s="0" t="s">
        <v>138</v>
      </c>
      <c r="AB1649" s="14" t="s">
        <v>138</v>
      </c>
      <c r="AD1649" s="0" t="s">
        <v>138</v>
      </c>
      <c r="AF1649" s="0">
        <v>0</v>
      </c>
      <c r="AG1649" s="0">
        <v>0</v>
      </c>
      <c r="AH1649" s="0" t="s">
        <v>140</v>
      </c>
      <c r="AI1649" s="0" t="s">
        <v>138</v>
      </c>
      <c r="AL1649" s="14"/>
      <c r="AN1649" s="14"/>
      <c r="AQ1649" s="0" t="s">
        <v>130</v>
      </c>
      <c r="AR1649" s="0" t="s">
        <v>130</v>
      </c>
      <c r="AS1649" s="0" t="s">
        <v>130</v>
      </c>
      <c r="AT1649" s="0" t="s">
        <v>130</v>
      </c>
      <c r="AU1649" s="0" t="s">
        <v>130</v>
      </c>
      <c r="AV1649" s="0" t="s">
        <v>130</v>
      </c>
      <c r="AW1649" s="0" t="s">
        <v>130</v>
      </c>
      <c r="AX1649" s="0" t="s">
        <v>130</v>
      </c>
      <c r="AY1649" s="0" t="s">
        <v>130</v>
      </c>
      <c r="AZ1649" s="0" t="s">
        <v>130</v>
      </c>
      <c r="BA1649" s="0" t="s">
        <v>130</v>
      </c>
      <c r="BB1649" s="0" t="s">
        <v>130</v>
      </c>
      <c r="BC1649" s="0" t="s">
        <v>130</v>
      </c>
      <c r="BD1649" s="0" t="s">
        <v>130</v>
      </c>
      <c r="BE1649" s="0" t="s">
        <v>130</v>
      </c>
      <c r="BF1649" s="0" t="s">
        <v>130</v>
      </c>
      <c r="BG1649" s="0" t="s">
        <v>130</v>
      </c>
      <c r="BH1649" s="0" t="s">
        <v>130</v>
      </c>
      <c r="BI1649" s="0" t="s">
        <v>130</v>
      </c>
      <c r="BJ1649" s="0" t="s">
        <v>130</v>
      </c>
      <c r="BK1649" s="0" t="s">
        <v>130</v>
      </c>
      <c r="BL1649" s="0" t="s">
        <v>130</v>
      </c>
      <c r="BM1649" s="0" t="s">
        <v>130</v>
      </c>
      <c r="BN1649" s="0" t="s">
        <v>130</v>
      </c>
      <c r="BO1649" s="0" t="s">
        <v>130</v>
      </c>
      <c r="BP1649" s="0" t="s">
        <v>130</v>
      </c>
      <c r="BQ1649" s="0" t="s">
        <v>130</v>
      </c>
      <c r="BR1649" s="0" t="s">
        <v>130</v>
      </c>
      <c r="BS1649" s="0" t="s">
        <v>130</v>
      </c>
      <c r="BT1649" s="0" t="s">
        <v>130</v>
      </c>
      <c r="BU1649" s="0" t="s">
        <v>130</v>
      </c>
      <c r="BV1649" s="0" t="s">
        <v>130</v>
      </c>
      <c r="BW1649" s="0" t="s">
        <v>130</v>
      </c>
      <c r="BX1649" s="0" t="s">
        <v>130</v>
      </c>
      <c r="BY1649" s="0" t="s">
        <v>130</v>
      </c>
      <c r="BZ1649" s="0" t="s">
        <v>130</v>
      </c>
      <c r="CA1649" s="0" t="s">
        <v>130</v>
      </c>
      <c r="CB1649" s="0" t="s">
        <v>130</v>
      </c>
      <c r="CC1649" s="0" t="s">
        <v>130</v>
      </c>
      <c r="CD1649" s="0" t="s">
        <v>130</v>
      </c>
      <c r="CE1649" s="0" t="s">
        <v>130</v>
      </c>
      <c r="CF1649" s="0" t="s">
        <v>130</v>
      </c>
      <c r="CG1649" s="0" t="s">
        <v>130</v>
      </c>
      <c r="CH1649" s="0" t="s">
        <v>130</v>
      </c>
      <c r="CI1649" s="0" t="s">
        <v>130</v>
      </c>
      <c r="CJ1649" s="0" t="s">
        <v>130</v>
      </c>
      <c r="CK1649" s="0" t="s">
        <v>130</v>
      </c>
      <c r="CL1649" s="0" t="s">
        <v>130</v>
      </c>
      <c r="CM1649" s="0" t="s">
        <v>130</v>
      </c>
      <c r="CN1649" s="0" t="s">
        <v>130</v>
      </c>
      <c r="CO1649" s="0" t="s">
        <v>130</v>
      </c>
      <c r="CP1649" s="0" t="s">
        <v>130</v>
      </c>
      <c r="CQ1649" s="0" t="s">
        <v>130</v>
      </c>
      <c r="CR1649" s="0" t="s">
        <v>130</v>
      </c>
      <c r="CS1649" s="0" t="s">
        <v>130</v>
      </c>
      <c r="CT1649" s="0" t="s">
        <v>4746</v>
      </c>
    </row>
    <row r="1650">
      <c r="A1650" s="14">
        <v>48364393</v>
      </c>
      <c r="B1650" s="0" t="s">
        <v>4718</v>
      </c>
      <c r="C1650" s="16">
        <f>HYPERLINK("https://eosportal.federatedhermes.com/companies/Q29tcGFueQppNTg5OTY=", "DuPont de Nemours Inc")</f>
      </c>
      <c r="D1650" s="0" t="s">
        <v>25</v>
      </c>
      <c r="E1650" s="0" t="s">
        <v>4747</v>
      </c>
      <c r="F1650" s="16">
        <f>HYPERLINK("https://eosportal.federatedhermes.com/engagements/RW5nYWdlbWVudAppMjkyNTg=", "Engagement initiation")</f>
      </c>
      <c r="G1650" s="14" t="s">
        <v>4748</v>
      </c>
      <c r="H1650" s="0" t="s">
        <v>141</v>
      </c>
      <c r="I1650" s="14" t="s">
        <v>191</v>
      </c>
      <c r="J1650" s="0" t="s">
        <v>153</v>
      </c>
      <c r="K1650" s="0" t="s">
        <v>243</v>
      </c>
      <c r="L1650" s="0" t="s">
        <v>244</v>
      </c>
      <c r="M1650" s="0" t="s">
        <v>135</v>
      </c>
      <c r="N1650" s="0" t="s">
        <v>136</v>
      </c>
      <c r="O1650" s="0" t="s">
        <v>706</v>
      </c>
      <c r="Q1650" s="0" t="s">
        <v>130</v>
      </c>
      <c r="R1650" s="0" t="s">
        <v>138</v>
      </c>
      <c r="S1650" s="14">
        <v>0</v>
      </c>
      <c r="T1650" s="0" t="s">
        <v>314</v>
      </c>
      <c r="U1650" s="0" t="s">
        <v>138</v>
      </c>
      <c r="V1650" s="14" t="s">
        <v>138</v>
      </c>
      <c r="W1650" s="0" t="s">
        <v>138</v>
      </c>
      <c r="X1650" s="14" t="s">
        <v>138</v>
      </c>
      <c r="Y1650" s="0" t="s">
        <v>138</v>
      </c>
      <c r="Z1650" s="14" t="s">
        <v>138</v>
      </c>
      <c r="AA1650" s="0" t="s">
        <v>138</v>
      </c>
      <c r="AB1650" s="14" t="s">
        <v>138</v>
      </c>
      <c r="AD1650" s="0" t="s">
        <v>138</v>
      </c>
      <c r="AF1650" s="0">
        <v>0</v>
      </c>
      <c r="AG1650" s="0">
        <v>0</v>
      </c>
      <c r="AH1650" s="0" t="s">
        <v>140</v>
      </c>
      <c r="AI1650" s="0" t="s">
        <v>138</v>
      </c>
      <c r="AL1650" s="14"/>
      <c r="AN1650" s="14"/>
      <c r="AQ1650" s="0" t="s">
        <v>130</v>
      </c>
      <c r="AR1650" s="0" t="s">
        <v>130</v>
      </c>
      <c r="AS1650" s="0" t="s">
        <v>130</v>
      </c>
      <c r="AT1650" s="0" t="s">
        <v>130</v>
      </c>
      <c r="AU1650" s="0" t="s">
        <v>130</v>
      </c>
      <c r="AV1650" s="0" t="s">
        <v>130</v>
      </c>
      <c r="AW1650" s="0" t="s">
        <v>130</v>
      </c>
      <c r="AX1650" s="0" t="s">
        <v>130</v>
      </c>
      <c r="AY1650" s="0" t="s">
        <v>130</v>
      </c>
      <c r="AZ1650" s="0" t="s">
        <v>130</v>
      </c>
      <c r="BA1650" s="0" t="s">
        <v>130</v>
      </c>
      <c r="BB1650" s="0" t="s">
        <v>130</v>
      </c>
      <c r="BC1650" s="0" t="s">
        <v>130</v>
      </c>
      <c r="BD1650" s="0" t="s">
        <v>130</v>
      </c>
      <c r="BE1650" s="0" t="s">
        <v>130</v>
      </c>
      <c r="BF1650" s="0" t="s">
        <v>130</v>
      </c>
      <c r="BG1650" s="0" t="s">
        <v>130</v>
      </c>
      <c r="BH1650" s="0" t="s">
        <v>130</v>
      </c>
      <c r="BI1650" s="0" t="s">
        <v>130</v>
      </c>
      <c r="BJ1650" s="0" t="s">
        <v>130</v>
      </c>
      <c r="BK1650" s="0" t="s">
        <v>130</v>
      </c>
      <c r="BL1650" s="0" t="s">
        <v>130</v>
      </c>
      <c r="BM1650" s="0" t="s">
        <v>130</v>
      </c>
      <c r="BN1650" s="0" t="s">
        <v>130</v>
      </c>
      <c r="BO1650" s="0" t="s">
        <v>130</v>
      </c>
      <c r="BP1650" s="0" t="s">
        <v>130</v>
      </c>
      <c r="BQ1650" s="0" t="s">
        <v>130</v>
      </c>
      <c r="BR1650" s="0" t="s">
        <v>130</v>
      </c>
      <c r="BS1650" s="0" t="s">
        <v>130</v>
      </c>
      <c r="BT1650" s="0" t="s">
        <v>130</v>
      </c>
      <c r="BU1650" s="0" t="s">
        <v>130</v>
      </c>
      <c r="BV1650" s="0" t="s">
        <v>130</v>
      </c>
      <c r="BW1650" s="0" t="s">
        <v>130</v>
      </c>
      <c r="BX1650" s="0" t="s">
        <v>130</v>
      </c>
      <c r="BY1650" s="0" t="s">
        <v>130</v>
      </c>
      <c r="BZ1650" s="0" t="s">
        <v>130</v>
      </c>
      <c r="CA1650" s="0" t="s">
        <v>130</v>
      </c>
      <c r="CB1650" s="0" t="s">
        <v>130</v>
      </c>
      <c r="CC1650" s="0" t="s">
        <v>130</v>
      </c>
      <c r="CD1650" s="0" t="s">
        <v>130</v>
      </c>
      <c r="CE1650" s="0" t="s">
        <v>130</v>
      </c>
      <c r="CF1650" s="0" t="s">
        <v>130</v>
      </c>
      <c r="CG1650" s="0" t="s">
        <v>130</v>
      </c>
      <c r="CH1650" s="0" t="s">
        <v>130</v>
      </c>
      <c r="CI1650" s="0" t="s">
        <v>130</v>
      </c>
      <c r="CJ1650" s="0" t="s">
        <v>130</v>
      </c>
      <c r="CK1650" s="0" t="s">
        <v>130</v>
      </c>
      <c r="CL1650" s="0" t="s">
        <v>130</v>
      </c>
      <c r="CM1650" s="0" t="s">
        <v>130</v>
      </c>
      <c r="CN1650" s="0" t="s">
        <v>130</v>
      </c>
      <c r="CO1650" s="0" t="s">
        <v>130</v>
      </c>
      <c r="CP1650" s="0" t="s">
        <v>130</v>
      </c>
      <c r="CQ1650" s="0" t="s">
        <v>130</v>
      </c>
      <c r="CR1650" s="0" t="s">
        <v>130</v>
      </c>
      <c r="CS1650" s="0" t="s">
        <v>130</v>
      </c>
      <c r="CT1650" s="0" t="s">
        <v>4749</v>
      </c>
    </row>
    <row r="1651">
      <c r="A1651" s="14">
        <v>48364393</v>
      </c>
      <c r="B1651" s="0" t="s">
        <v>4718</v>
      </c>
      <c r="C1651" s="16">
        <f>HYPERLINK("https://eosportal.federatedhermes.com/companies/Q29tcGFueQppNTg5OTY=", "DuPont de Nemours Inc")</f>
      </c>
      <c r="D1651" s="0" t="s">
        <v>25</v>
      </c>
      <c r="E1651" s="0" t="s">
        <v>4750</v>
      </c>
      <c r="F1651" s="16">
        <f>HYPERLINK("https://eosportal.federatedhermes.com/engagements/RW5nYWdlbWVudAppMjkyNTk=", "Moving material ESG factors to mainstream financial disclosures")</f>
      </c>
      <c r="G1651" s="14" t="s">
        <v>4751</v>
      </c>
      <c r="H1651" s="0" t="s">
        <v>141</v>
      </c>
      <c r="I1651" s="14" t="s">
        <v>191</v>
      </c>
      <c r="J1651" s="0" t="s">
        <v>132</v>
      </c>
      <c r="K1651" s="0" t="s">
        <v>170</v>
      </c>
      <c r="L1651" s="0" t="s">
        <v>310</v>
      </c>
      <c r="M1651" s="0" t="s">
        <v>135</v>
      </c>
      <c r="N1651" s="0" t="s">
        <v>136</v>
      </c>
      <c r="O1651" s="0" t="s">
        <v>706</v>
      </c>
      <c r="Q1651" s="0" t="s">
        <v>130</v>
      </c>
      <c r="R1651" s="0" t="s">
        <v>138</v>
      </c>
      <c r="S1651" s="14">
        <v>0</v>
      </c>
      <c r="T1651" s="0" t="s">
        <v>1145</v>
      </c>
      <c r="U1651" s="0" t="s">
        <v>138</v>
      </c>
      <c r="V1651" s="14" t="s">
        <v>138</v>
      </c>
      <c r="W1651" s="0" t="s">
        <v>138</v>
      </c>
      <c r="X1651" s="14" t="s">
        <v>138</v>
      </c>
      <c r="Y1651" s="0" t="s">
        <v>138</v>
      </c>
      <c r="Z1651" s="14" t="s">
        <v>138</v>
      </c>
      <c r="AA1651" s="0" t="s">
        <v>138</v>
      </c>
      <c r="AB1651" s="14" t="s">
        <v>138</v>
      </c>
      <c r="AD1651" s="0" t="s">
        <v>138</v>
      </c>
      <c r="AF1651" s="0">
        <v>0</v>
      </c>
      <c r="AG1651" s="0">
        <v>0</v>
      </c>
      <c r="AH1651" s="0" t="s">
        <v>140</v>
      </c>
      <c r="AI1651" s="0" t="s">
        <v>138</v>
      </c>
      <c r="AL1651" s="14"/>
      <c r="AN1651" s="14"/>
      <c r="AQ1651" s="0" t="s">
        <v>130</v>
      </c>
      <c r="AR1651" s="0" t="s">
        <v>130</v>
      </c>
      <c r="AS1651" s="0" t="s">
        <v>130</v>
      </c>
      <c r="AT1651" s="0" t="s">
        <v>130</v>
      </c>
      <c r="AU1651" s="0" t="s">
        <v>130</v>
      </c>
      <c r="AV1651" s="0" t="s">
        <v>130</v>
      </c>
      <c r="AW1651" s="0" t="s">
        <v>130</v>
      </c>
      <c r="AX1651" s="0" t="s">
        <v>130</v>
      </c>
      <c r="AY1651" s="0" t="s">
        <v>130</v>
      </c>
      <c r="AZ1651" s="0" t="s">
        <v>130</v>
      </c>
      <c r="BA1651" s="0" t="s">
        <v>130</v>
      </c>
      <c r="BB1651" s="0" t="s">
        <v>141</v>
      </c>
      <c r="BC1651" s="0" t="s">
        <v>130</v>
      </c>
      <c r="BD1651" s="0" t="s">
        <v>130</v>
      </c>
      <c r="BE1651" s="0" t="s">
        <v>130</v>
      </c>
      <c r="BF1651" s="0" t="s">
        <v>130</v>
      </c>
      <c r="BG1651" s="0" t="s">
        <v>130</v>
      </c>
      <c r="BH1651" s="0" t="s">
        <v>130</v>
      </c>
      <c r="BI1651" s="0" t="s">
        <v>130</v>
      </c>
      <c r="BJ1651" s="0" t="s">
        <v>130</v>
      </c>
      <c r="BK1651" s="0" t="s">
        <v>130</v>
      </c>
      <c r="BL1651" s="0" t="s">
        <v>130</v>
      </c>
      <c r="BM1651" s="0" t="s">
        <v>130</v>
      </c>
      <c r="BN1651" s="0" t="s">
        <v>130</v>
      </c>
      <c r="BO1651" s="0" t="s">
        <v>130</v>
      </c>
      <c r="BP1651" s="0" t="s">
        <v>130</v>
      </c>
      <c r="BQ1651" s="0" t="s">
        <v>130</v>
      </c>
      <c r="BR1651" s="0" t="s">
        <v>130</v>
      </c>
      <c r="BS1651" s="0" t="s">
        <v>130</v>
      </c>
      <c r="BT1651" s="0" t="s">
        <v>130</v>
      </c>
      <c r="BU1651" s="0" t="s">
        <v>130</v>
      </c>
      <c r="BV1651" s="0" t="s">
        <v>130</v>
      </c>
      <c r="BW1651" s="0" t="s">
        <v>130</v>
      </c>
      <c r="BX1651" s="0" t="s">
        <v>130</v>
      </c>
      <c r="BY1651" s="0" t="s">
        <v>130</v>
      </c>
      <c r="BZ1651" s="0" t="s">
        <v>130</v>
      </c>
      <c r="CA1651" s="0" t="s">
        <v>130</v>
      </c>
      <c r="CB1651" s="0" t="s">
        <v>130</v>
      </c>
      <c r="CC1651" s="0" t="s">
        <v>130</v>
      </c>
      <c r="CD1651" s="0" t="s">
        <v>130</v>
      </c>
      <c r="CE1651" s="0" t="s">
        <v>130</v>
      </c>
      <c r="CF1651" s="0" t="s">
        <v>130</v>
      </c>
      <c r="CG1651" s="0" t="s">
        <v>130</v>
      </c>
      <c r="CH1651" s="0" t="s">
        <v>130</v>
      </c>
      <c r="CI1651" s="0" t="s">
        <v>130</v>
      </c>
      <c r="CJ1651" s="0" t="s">
        <v>130</v>
      </c>
      <c r="CK1651" s="0" t="s">
        <v>130</v>
      </c>
      <c r="CL1651" s="0" t="s">
        <v>130</v>
      </c>
      <c r="CM1651" s="0" t="s">
        <v>130</v>
      </c>
      <c r="CN1651" s="0" t="s">
        <v>130</v>
      </c>
      <c r="CO1651" s="0" t="s">
        <v>130</v>
      </c>
      <c r="CP1651" s="0" t="s">
        <v>130</v>
      </c>
      <c r="CQ1651" s="0" t="s">
        <v>130</v>
      </c>
      <c r="CR1651" s="0" t="s">
        <v>130</v>
      </c>
      <c r="CS1651" s="0" t="s">
        <v>130</v>
      </c>
      <c r="CT1651" s="0" t="s">
        <v>4752</v>
      </c>
    </row>
    <row r="1652">
      <c r="A1652" s="14">
        <v>60401289</v>
      </c>
      <c r="B1652" s="0" t="s">
        <v>4753</v>
      </c>
      <c r="C1652" s="16">
        <f>HYPERLINK("https://eosportal.federatedhermes.com/companies/Q29tcGFueQppNjc4MzU=", "Cigna Group/The")</f>
      </c>
      <c r="D1652" s="0" t="s">
        <v>25</v>
      </c>
      <c r="E1652" s="0" t="s">
        <v>1581</v>
      </c>
      <c r="F1652" s="16">
        <f>HYPERLINK("https://eosportal.federatedhermes.com/engagements/RW5nYWdlbWVudAppMjkyNzY=", "Political donations and lobbying expenditures")</f>
      </c>
      <c r="G1652" s="14" t="s">
        <v>4754</v>
      </c>
      <c r="H1652" s="0" t="s">
        <v>130</v>
      </c>
      <c r="I1652" s="14" t="s">
        <v>319</v>
      </c>
      <c r="J1652" s="0" t="s">
        <v>132</v>
      </c>
      <c r="K1652" s="0" t="s">
        <v>170</v>
      </c>
      <c r="L1652" s="0" t="s">
        <v>171</v>
      </c>
      <c r="M1652" s="0" t="s">
        <v>135</v>
      </c>
      <c r="N1652" s="0" t="s">
        <v>136</v>
      </c>
      <c r="O1652" s="0" t="s">
        <v>274</v>
      </c>
      <c r="Q1652" s="0" t="s">
        <v>130</v>
      </c>
      <c r="R1652" s="0" t="s">
        <v>138</v>
      </c>
      <c r="S1652" s="14">
        <v>0</v>
      </c>
      <c r="T1652" s="0" t="s">
        <v>825</v>
      </c>
      <c r="U1652" s="0" t="s">
        <v>138</v>
      </c>
      <c r="V1652" s="14" t="s">
        <v>138</v>
      </c>
      <c r="W1652" s="0" t="s">
        <v>138</v>
      </c>
      <c r="X1652" s="14" t="s">
        <v>138</v>
      </c>
      <c r="Y1652" s="0" t="s">
        <v>138</v>
      </c>
      <c r="Z1652" s="14" t="s">
        <v>138</v>
      </c>
      <c r="AA1652" s="0" t="s">
        <v>138</v>
      </c>
      <c r="AB1652" s="14" t="s">
        <v>138</v>
      </c>
      <c r="AD1652" s="0" t="s">
        <v>138</v>
      </c>
      <c r="AF1652" s="0">
        <v>0</v>
      </c>
      <c r="AG1652" s="0">
        <v>0</v>
      </c>
      <c r="AH1652" s="0" t="s">
        <v>140</v>
      </c>
      <c r="AI1652" s="0" t="s">
        <v>138</v>
      </c>
      <c r="AL1652" s="14"/>
      <c r="AN1652" s="14"/>
      <c r="AQ1652" s="0" t="s">
        <v>130</v>
      </c>
      <c r="AR1652" s="0" t="s">
        <v>130</v>
      </c>
      <c r="AS1652" s="0" t="s">
        <v>130</v>
      </c>
      <c r="AT1652" s="0" t="s">
        <v>130</v>
      </c>
      <c r="AU1652" s="0" t="s">
        <v>130</v>
      </c>
      <c r="AV1652" s="0" t="s">
        <v>130</v>
      </c>
      <c r="AW1652" s="0" t="s">
        <v>130</v>
      </c>
      <c r="AX1652" s="0" t="s">
        <v>130</v>
      </c>
      <c r="AY1652" s="0" t="s">
        <v>130</v>
      </c>
      <c r="AZ1652" s="0" t="s">
        <v>130</v>
      </c>
      <c r="BA1652" s="0" t="s">
        <v>130</v>
      </c>
      <c r="BB1652" s="0" t="s">
        <v>130</v>
      </c>
      <c r="BC1652" s="0" t="s">
        <v>130</v>
      </c>
      <c r="BD1652" s="0" t="s">
        <v>130</v>
      </c>
      <c r="BE1652" s="0" t="s">
        <v>130</v>
      </c>
      <c r="BF1652" s="0" t="s">
        <v>130</v>
      </c>
      <c r="BG1652" s="0" t="s">
        <v>130</v>
      </c>
      <c r="BH1652" s="0" t="s">
        <v>130</v>
      </c>
      <c r="BI1652" s="0" t="s">
        <v>130</v>
      </c>
      <c r="BJ1652" s="0" t="s">
        <v>130</v>
      </c>
      <c r="BK1652" s="0" t="s">
        <v>130</v>
      </c>
      <c r="BL1652" s="0" t="s">
        <v>130</v>
      </c>
      <c r="BM1652" s="0" t="s">
        <v>130</v>
      </c>
      <c r="BN1652" s="0" t="s">
        <v>130</v>
      </c>
      <c r="BO1652" s="0" t="s">
        <v>130</v>
      </c>
      <c r="BP1652" s="0" t="s">
        <v>130</v>
      </c>
      <c r="BQ1652" s="0" t="s">
        <v>130</v>
      </c>
      <c r="BR1652" s="0" t="s">
        <v>130</v>
      </c>
      <c r="BS1652" s="0" t="s">
        <v>130</v>
      </c>
      <c r="BT1652" s="0" t="s">
        <v>130</v>
      </c>
      <c r="BU1652" s="0" t="s">
        <v>130</v>
      </c>
      <c r="BV1652" s="0" t="s">
        <v>130</v>
      </c>
      <c r="BW1652" s="0" t="s">
        <v>130</v>
      </c>
      <c r="BX1652" s="0" t="s">
        <v>130</v>
      </c>
      <c r="BY1652" s="0" t="s">
        <v>130</v>
      </c>
      <c r="BZ1652" s="0" t="s">
        <v>130</v>
      </c>
      <c r="CA1652" s="0" t="s">
        <v>130</v>
      </c>
      <c r="CB1652" s="0" t="s">
        <v>130</v>
      </c>
      <c r="CC1652" s="0" t="s">
        <v>130</v>
      </c>
      <c r="CD1652" s="0" t="s">
        <v>130</v>
      </c>
      <c r="CE1652" s="0" t="s">
        <v>130</v>
      </c>
      <c r="CF1652" s="0" t="s">
        <v>130</v>
      </c>
      <c r="CG1652" s="0" t="s">
        <v>130</v>
      </c>
      <c r="CH1652" s="0" t="s">
        <v>130</v>
      </c>
      <c r="CI1652" s="0" t="s">
        <v>130</v>
      </c>
      <c r="CJ1652" s="0" t="s">
        <v>130</v>
      </c>
      <c r="CK1652" s="0" t="s">
        <v>130</v>
      </c>
      <c r="CL1652" s="0" t="s">
        <v>130</v>
      </c>
      <c r="CM1652" s="0" t="s">
        <v>130</v>
      </c>
      <c r="CN1652" s="0" t="s">
        <v>130</v>
      </c>
      <c r="CO1652" s="0" t="s">
        <v>130</v>
      </c>
      <c r="CP1652" s="0" t="s">
        <v>130</v>
      </c>
      <c r="CQ1652" s="0" t="s">
        <v>130</v>
      </c>
      <c r="CR1652" s="0" t="s">
        <v>130</v>
      </c>
      <c r="CS1652" s="0" t="s">
        <v>130</v>
      </c>
      <c r="CT1652" s="0" t="s">
        <v>4755</v>
      </c>
    </row>
    <row r="1653">
      <c r="A1653" s="14">
        <v>60401289</v>
      </c>
      <c r="B1653" s="0" t="s">
        <v>4753</v>
      </c>
      <c r="C1653" s="16">
        <f>HYPERLINK("https://eosportal.federatedhermes.com/companies/Q29tcGFueQppNjc4MzU=", "Cigna Group/The")</f>
      </c>
      <c r="D1653" s="0" t="s">
        <v>25</v>
      </c>
      <c r="E1653" s="0" t="s">
        <v>4756</v>
      </c>
      <c r="F1653" s="16">
        <f>HYPERLINK("https://eosportal.federatedhermes.com/engagements/RW5nYWdlbWVudAppMjkyNzc=", "Diversity and refreshment of the board")</f>
      </c>
      <c r="G1653" s="14" t="s">
        <v>4757</v>
      </c>
      <c r="H1653" s="0" t="s">
        <v>130</v>
      </c>
      <c r="I1653" s="14" t="s">
        <v>319</v>
      </c>
      <c r="J1653" s="0" t="s">
        <v>145</v>
      </c>
      <c r="K1653" s="0" t="s">
        <v>164</v>
      </c>
      <c r="L1653" s="0" t="s">
        <v>165</v>
      </c>
      <c r="M1653" s="0" t="s">
        <v>135</v>
      </c>
      <c r="N1653" s="0" t="s">
        <v>136</v>
      </c>
      <c r="O1653" s="0" t="s">
        <v>274</v>
      </c>
      <c r="Q1653" s="0" t="s">
        <v>130</v>
      </c>
      <c r="R1653" s="0" t="s">
        <v>138</v>
      </c>
      <c r="S1653" s="14">
        <v>0</v>
      </c>
      <c r="T1653" s="0" t="s">
        <v>487</v>
      </c>
      <c r="U1653" s="0" t="s">
        <v>138</v>
      </c>
      <c r="V1653" s="14" t="s">
        <v>138</v>
      </c>
      <c r="W1653" s="0" t="s">
        <v>138</v>
      </c>
      <c r="X1653" s="14" t="s">
        <v>138</v>
      </c>
      <c r="Y1653" s="0" t="s">
        <v>138</v>
      </c>
      <c r="Z1653" s="14" t="s">
        <v>138</v>
      </c>
      <c r="AA1653" s="0" t="s">
        <v>138</v>
      </c>
      <c r="AB1653" s="14" t="s">
        <v>138</v>
      </c>
      <c r="AD1653" s="0" t="s">
        <v>138</v>
      </c>
      <c r="AF1653" s="0">
        <v>0</v>
      </c>
      <c r="AG1653" s="0">
        <v>0</v>
      </c>
      <c r="AH1653" s="0" t="s">
        <v>140</v>
      </c>
      <c r="AI1653" s="0" t="s">
        <v>138</v>
      </c>
      <c r="AL1653" s="14"/>
      <c r="AN1653" s="14"/>
      <c r="AQ1653" s="0" t="s">
        <v>130</v>
      </c>
      <c r="AR1653" s="0" t="s">
        <v>130</v>
      </c>
      <c r="AS1653" s="0" t="s">
        <v>130</v>
      </c>
      <c r="AT1653" s="0" t="s">
        <v>130</v>
      </c>
      <c r="AU1653" s="0" t="s">
        <v>141</v>
      </c>
      <c r="AV1653" s="0" t="s">
        <v>130</v>
      </c>
      <c r="AW1653" s="0" t="s">
        <v>130</v>
      </c>
      <c r="AX1653" s="0" t="s">
        <v>130</v>
      </c>
      <c r="AY1653" s="0" t="s">
        <v>130</v>
      </c>
      <c r="AZ1653" s="0" t="s">
        <v>141</v>
      </c>
      <c r="BA1653" s="0" t="s">
        <v>130</v>
      </c>
      <c r="BB1653" s="0" t="s">
        <v>130</v>
      </c>
      <c r="BC1653" s="0" t="s">
        <v>130</v>
      </c>
      <c r="BD1653" s="0" t="s">
        <v>130</v>
      </c>
      <c r="BE1653" s="0" t="s">
        <v>130</v>
      </c>
      <c r="BF1653" s="0" t="s">
        <v>130</v>
      </c>
      <c r="BG1653" s="0" t="s">
        <v>130</v>
      </c>
      <c r="BH1653" s="0" t="s">
        <v>130</v>
      </c>
      <c r="BI1653" s="0" t="s">
        <v>130</v>
      </c>
      <c r="BJ1653" s="0" t="s">
        <v>130</v>
      </c>
      <c r="BK1653" s="0" t="s">
        <v>130</v>
      </c>
      <c r="BL1653" s="0" t="s">
        <v>130</v>
      </c>
      <c r="BM1653" s="0" t="s">
        <v>130</v>
      </c>
      <c r="BN1653" s="0" t="s">
        <v>130</v>
      </c>
      <c r="BO1653" s="0" t="s">
        <v>130</v>
      </c>
      <c r="BP1653" s="0" t="s">
        <v>130</v>
      </c>
      <c r="BQ1653" s="0" t="s">
        <v>130</v>
      </c>
      <c r="BR1653" s="0" t="s">
        <v>130</v>
      </c>
      <c r="BS1653" s="0" t="s">
        <v>130</v>
      </c>
      <c r="BT1653" s="0" t="s">
        <v>130</v>
      </c>
      <c r="BU1653" s="0" t="s">
        <v>130</v>
      </c>
      <c r="BV1653" s="0" t="s">
        <v>130</v>
      </c>
      <c r="BW1653" s="0" t="s">
        <v>130</v>
      </c>
      <c r="BX1653" s="0" t="s">
        <v>130</v>
      </c>
      <c r="BY1653" s="0" t="s">
        <v>130</v>
      </c>
      <c r="BZ1653" s="0" t="s">
        <v>130</v>
      </c>
      <c r="CA1653" s="0" t="s">
        <v>130</v>
      </c>
      <c r="CB1653" s="0" t="s">
        <v>130</v>
      </c>
      <c r="CC1653" s="0" t="s">
        <v>130</v>
      </c>
      <c r="CD1653" s="0" t="s">
        <v>130</v>
      </c>
      <c r="CE1653" s="0" t="s">
        <v>130</v>
      </c>
      <c r="CF1653" s="0" t="s">
        <v>130</v>
      </c>
      <c r="CG1653" s="0" t="s">
        <v>130</v>
      </c>
      <c r="CH1653" s="0" t="s">
        <v>130</v>
      </c>
      <c r="CI1653" s="0" t="s">
        <v>130</v>
      </c>
      <c r="CJ1653" s="0" t="s">
        <v>130</v>
      </c>
      <c r="CK1653" s="0" t="s">
        <v>130</v>
      </c>
      <c r="CL1653" s="0" t="s">
        <v>130</v>
      </c>
      <c r="CM1653" s="0" t="s">
        <v>130</v>
      </c>
      <c r="CN1653" s="0" t="s">
        <v>130</v>
      </c>
      <c r="CO1653" s="0" t="s">
        <v>130</v>
      </c>
      <c r="CP1653" s="0" t="s">
        <v>130</v>
      </c>
      <c r="CQ1653" s="0" t="s">
        <v>130</v>
      </c>
      <c r="CR1653" s="0" t="s">
        <v>130</v>
      </c>
      <c r="CS1653" s="0" t="s">
        <v>130</v>
      </c>
      <c r="CT1653" s="0" t="s">
        <v>4758</v>
      </c>
    </row>
    <row r="1654">
      <c r="A1654" s="14">
        <v>60401289</v>
      </c>
      <c r="B1654" s="0" t="s">
        <v>4753</v>
      </c>
      <c r="C1654" s="16">
        <f>HYPERLINK("https://eosportal.federatedhermes.com/companies/Q29tcGFueQppNjc4MzU=", "Cigna Group/The")</f>
      </c>
      <c r="D1654" s="0" t="s">
        <v>25</v>
      </c>
      <c r="E1654" s="0" t="s">
        <v>236</v>
      </c>
      <c r="F1654" s="16">
        <f>HYPERLINK("https://eosportal.federatedhermes.com/engagements/RW5nYWdlbWVudAppMjkyNzg=", "Executive pay")</f>
      </c>
      <c r="G1654" s="14" t="s">
        <v>4759</v>
      </c>
      <c r="H1654" s="0" t="s">
        <v>130</v>
      </c>
      <c r="I1654" s="14" t="s">
        <v>319</v>
      </c>
      <c r="J1654" s="0" t="s">
        <v>145</v>
      </c>
      <c r="K1654" s="0" t="s">
        <v>146</v>
      </c>
      <c r="L1654" s="0" t="s">
        <v>147</v>
      </c>
      <c r="M1654" s="0" t="s">
        <v>135</v>
      </c>
      <c r="N1654" s="0" t="s">
        <v>136</v>
      </c>
      <c r="O1654" s="0" t="s">
        <v>274</v>
      </c>
      <c r="Q1654" s="0" t="s">
        <v>130</v>
      </c>
      <c r="R1654" s="0" t="s">
        <v>138</v>
      </c>
      <c r="S1654" s="14">
        <v>0</v>
      </c>
      <c r="T1654" s="0" t="s">
        <v>487</v>
      </c>
      <c r="U1654" s="0" t="s">
        <v>138</v>
      </c>
      <c r="V1654" s="14" t="s">
        <v>138</v>
      </c>
      <c r="W1654" s="0" t="s">
        <v>138</v>
      </c>
      <c r="X1654" s="14" t="s">
        <v>138</v>
      </c>
      <c r="Y1654" s="0" t="s">
        <v>138</v>
      </c>
      <c r="Z1654" s="14" t="s">
        <v>138</v>
      </c>
      <c r="AA1654" s="0" t="s">
        <v>138</v>
      </c>
      <c r="AB1654" s="14" t="s">
        <v>138</v>
      </c>
      <c r="AD1654" s="0" t="s">
        <v>138</v>
      </c>
      <c r="AF1654" s="0">
        <v>0</v>
      </c>
      <c r="AG1654" s="0">
        <v>0</v>
      </c>
      <c r="AH1654" s="0" t="s">
        <v>140</v>
      </c>
      <c r="AI1654" s="0" t="s">
        <v>138</v>
      </c>
      <c r="AL1654" s="14"/>
      <c r="AN1654" s="14"/>
      <c r="AQ1654" s="0" t="s">
        <v>130</v>
      </c>
      <c r="AR1654" s="0" t="s">
        <v>130</v>
      </c>
      <c r="AS1654" s="0" t="s">
        <v>130</v>
      </c>
      <c r="AT1654" s="0" t="s">
        <v>130</v>
      </c>
      <c r="AU1654" s="0" t="s">
        <v>130</v>
      </c>
      <c r="AV1654" s="0" t="s">
        <v>130</v>
      </c>
      <c r="AW1654" s="0" t="s">
        <v>130</v>
      </c>
      <c r="AX1654" s="0" t="s">
        <v>130</v>
      </c>
      <c r="AY1654" s="0" t="s">
        <v>130</v>
      </c>
      <c r="AZ1654" s="0" t="s">
        <v>130</v>
      </c>
      <c r="BA1654" s="0" t="s">
        <v>130</v>
      </c>
      <c r="BB1654" s="0" t="s">
        <v>130</v>
      </c>
      <c r="BC1654" s="0" t="s">
        <v>130</v>
      </c>
      <c r="BD1654" s="0" t="s">
        <v>130</v>
      </c>
      <c r="BE1654" s="0" t="s">
        <v>130</v>
      </c>
      <c r="BF1654" s="0" t="s">
        <v>130</v>
      </c>
      <c r="BG1654" s="0" t="s">
        <v>130</v>
      </c>
      <c r="BH1654" s="0" t="s">
        <v>130</v>
      </c>
      <c r="BI1654" s="0" t="s">
        <v>130</v>
      </c>
      <c r="BJ1654" s="0" t="s">
        <v>130</v>
      </c>
      <c r="BK1654" s="0" t="s">
        <v>130</v>
      </c>
      <c r="BL1654" s="0" t="s">
        <v>130</v>
      </c>
      <c r="BM1654" s="0" t="s">
        <v>130</v>
      </c>
      <c r="BN1654" s="0" t="s">
        <v>130</v>
      </c>
      <c r="BO1654" s="0" t="s">
        <v>130</v>
      </c>
      <c r="BP1654" s="0" t="s">
        <v>130</v>
      </c>
      <c r="BQ1654" s="0" t="s">
        <v>130</v>
      </c>
      <c r="BR1654" s="0" t="s">
        <v>130</v>
      </c>
      <c r="BS1654" s="0" t="s">
        <v>130</v>
      </c>
      <c r="BT1654" s="0" t="s">
        <v>130</v>
      </c>
      <c r="BU1654" s="0" t="s">
        <v>130</v>
      </c>
      <c r="BV1654" s="0" t="s">
        <v>130</v>
      </c>
      <c r="BW1654" s="0" t="s">
        <v>130</v>
      </c>
      <c r="BX1654" s="0" t="s">
        <v>130</v>
      </c>
      <c r="BY1654" s="0" t="s">
        <v>130</v>
      </c>
      <c r="BZ1654" s="0" t="s">
        <v>130</v>
      </c>
      <c r="CA1654" s="0" t="s">
        <v>130</v>
      </c>
      <c r="CB1654" s="0" t="s">
        <v>130</v>
      </c>
      <c r="CC1654" s="0" t="s">
        <v>130</v>
      </c>
      <c r="CD1654" s="0" t="s">
        <v>130</v>
      </c>
      <c r="CE1654" s="0" t="s">
        <v>130</v>
      </c>
      <c r="CF1654" s="0" t="s">
        <v>130</v>
      </c>
      <c r="CG1654" s="0" t="s">
        <v>130</v>
      </c>
      <c r="CH1654" s="0" t="s">
        <v>130</v>
      </c>
      <c r="CI1654" s="0" t="s">
        <v>130</v>
      </c>
      <c r="CJ1654" s="0" t="s">
        <v>130</v>
      </c>
      <c r="CK1654" s="0" t="s">
        <v>130</v>
      </c>
      <c r="CL1654" s="0" t="s">
        <v>130</v>
      </c>
      <c r="CM1654" s="0" t="s">
        <v>130</v>
      </c>
      <c r="CN1654" s="0" t="s">
        <v>130</v>
      </c>
      <c r="CO1654" s="0" t="s">
        <v>130</v>
      </c>
      <c r="CP1654" s="0" t="s">
        <v>130</v>
      </c>
      <c r="CQ1654" s="0" t="s">
        <v>130</v>
      </c>
      <c r="CR1654" s="0" t="s">
        <v>130</v>
      </c>
      <c r="CS1654" s="0" t="s">
        <v>130</v>
      </c>
      <c r="CT1654" s="0" t="s">
        <v>4760</v>
      </c>
    </row>
    <row r="1655">
      <c r="A1655" s="14">
        <v>60854400</v>
      </c>
      <c r="B1655" s="0" t="s">
        <v>4761</v>
      </c>
      <c r="C1655" s="16">
        <f>HYPERLINK("https://eosportal.federatedhermes.com/companies/Q29tcGFueQppODU0NTA=", "Walt Disney Co/The")</f>
      </c>
      <c r="D1655" s="0" t="s">
        <v>25</v>
      </c>
      <c r="E1655" s="0" t="s">
        <v>621</v>
      </c>
      <c r="F1655" s="16">
        <f>HYPERLINK("https://eosportal.federatedhermes.com/engagements/RW5nYWdlbWVudAppMjkyODY=", "Xinjiang human rights engagement")</f>
      </c>
      <c r="G1655" s="14" t="s">
        <v>4762</v>
      </c>
      <c r="H1655" s="0" t="s">
        <v>141</v>
      </c>
      <c r="I1655" s="14" t="s">
        <v>636</v>
      </c>
      <c r="J1655" s="0" t="s">
        <v>153</v>
      </c>
      <c r="K1655" s="0" t="s">
        <v>243</v>
      </c>
      <c r="L1655" s="0" t="s">
        <v>456</v>
      </c>
      <c r="M1655" s="0" t="s">
        <v>135</v>
      </c>
      <c r="N1655" s="0" t="s">
        <v>136</v>
      </c>
      <c r="O1655" s="0" t="s">
        <v>137</v>
      </c>
      <c r="Q1655" s="0" t="s">
        <v>130</v>
      </c>
      <c r="R1655" s="0" t="s">
        <v>138</v>
      </c>
      <c r="S1655" s="14">
        <v>0</v>
      </c>
      <c r="T1655" s="0" t="s">
        <v>206</v>
      </c>
      <c r="U1655" s="0" t="s">
        <v>138</v>
      </c>
      <c r="V1655" s="14" t="s">
        <v>138</v>
      </c>
      <c r="W1655" s="0" t="s">
        <v>138</v>
      </c>
      <c r="X1655" s="14" t="s">
        <v>138</v>
      </c>
      <c r="Y1655" s="0" t="s">
        <v>138</v>
      </c>
      <c r="Z1655" s="14" t="s">
        <v>138</v>
      </c>
      <c r="AA1655" s="0" t="s">
        <v>138</v>
      </c>
      <c r="AB1655" s="14" t="s">
        <v>138</v>
      </c>
      <c r="AD1655" s="0" t="s">
        <v>138</v>
      </c>
      <c r="AF1655" s="0">
        <v>0</v>
      </c>
      <c r="AG1655" s="0">
        <v>0</v>
      </c>
      <c r="AH1655" s="0" t="s">
        <v>140</v>
      </c>
      <c r="AI1655" s="0" t="s">
        <v>138</v>
      </c>
      <c r="AL1655" s="14"/>
      <c r="AN1655" s="14"/>
      <c r="AQ1655" s="0" t="s">
        <v>130</v>
      </c>
      <c r="AR1655" s="0" t="s">
        <v>130</v>
      </c>
      <c r="AS1655" s="0" t="s">
        <v>130</v>
      </c>
      <c r="AT1655" s="0" t="s">
        <v>130</v>
      </c>
      <c r="AU1655" s="0" t="s">
        <v>130</v>
      </c>
      <c r="AV1655" s="0" t="s">
        <v>130</v>
      </c>
      <c r="AW1655" s="0" t="s">
        <v>130</v>
      </c>
      <c r="AX1655" s="0" t="s">
        <v>141</v>
      </c>
      <c r="AY1655" s="0" t="s">
        <v>130</v>
      </c>
      <c r="AZ1655" s="0" t="s">
        <v>130</v>
      </c>
      <c r="BA1655" s="0" t="s">
        <v>130</v>
      </c>
      <c r="BB1655" s="0" t="s">
        <v>130</v>
      </c>
      <c r="BC1655" s="0" t="s">
        <v>130</v>
      </c>
      <c r="BD1655" s="0" t="s">
        <v>130</v>
      </c>
      <c r="BE1655" s="0" t="s">
        <v>130</v>
      </c>
      <c r="BF1655" s="0" t="s">
        <v>141</v>
      </c>
      <c r="BG1655" s="0" t="s">
        <v>130</v>
      </c>
      <c r="BH1655" s="0" t="s">
        <v>130</v>
      </c>
      <c r="BI1655" s="0" t="s">
        <v>130</v>
      </c>
      <c r="BJ1655" s="0" t="s">
        <v>130</v>
      </c>
      <c r="BK1655" s="0" t="s">
        <v>130</v>
      </c>
      <c r="BL1655" s="0" t="s">
        <v>130</v>
      </c>
      <c r="BM1655" s="0" t="s">
        <v>130</v>
      </c>
      <c r="BN1655" s="0" t="s">
        <v>130</v>
      </c>
      <c r="BO1655" s="0" t="s">
        <v>130</v>
      </c>
      <c r="BP1655" s="0" t="s">
        <v>130</v>
      </c>
      <c r="BQ1655" s="0" t="s">
        <v>130</v>
      </c>
      <c r="BR1655" s="0" t="s">
        <v>130</v>
      </c>
      <c r="BS1655" s="0" t="s">
        <v>130</v>
      </c>
      <c r="BT1655" s="0" t="s">
        <v>130</v>
      </c>
      <c r="BU1655" s="0" t="s">
        <v>130</v>
      </c>
      <c r="BV1655" s="0" t="s">
        <v>130</v>
      </c>
      <c r="BW1655" s="0" t="s">
        <v>130</v>
      </c>
      <c r="BX1655" s="0" t="s">
        <v>130</v>
      </c>
      <c r="BY1655" s="0" t="s">
        <v>130</v>
      </c>
      <c r="BZ1655" s="0" t="s">
        <v>130</v>
      </c>
      <c r="CA1655" s="0" t="s">
        <v>130</v>
      </c>
      <c r="CB1655" s="0" t="s">
        <v>130</v>
      </c>
      <c r="CC1655" s="0" t="s">
        <v>130</v>
      </c>
      <c r="CD1655" s="0" t="s">
        <v>130</v>
      </c>
      <c r="CE1655" s="0" t="s">
        <v>130</v>
      </c>
      <c r="CF1655" s="0" t="s">
        <v>130</v>
      </c>
      <c r="CG1655" s="0" t="s">
        <v>130</v>
      </c>
      <c r="CH1655" s="0" t="s">
        <v>130</v>
      </c>
      <c r="CI1655" s="0" t="s">
        <v>130</v>
      </c>
      <c r="CJ1655" s="0" t="s">
        <v>130</v>
      </c>
      <c r="CK1655" s="0" t="s">
        <v>130</v>
      </c>
      <c r="CL1655" s="0" t="s">
        <v>130</v>
      </c>
      <c r="CM1655" s="0" t="s">
        <v>130</v>
      </c>
      <c r="CN1655" s="0" t="s">
        <v>130</v>
      </c>
      <c r="CO1655" s="0" t="s">
        <v>130</v>
      </c>
      <c r="CP1655" s="0" t="s">
        <v>130</v>
      </c>
      <c r="CQ1655" s="0" t="s">
        <v>130</v>
      </c>
      <c r="CR1655" s="0" t="s">
        <v>130</v>
      </c>
      <c r="CS1655" s="0" t="s">
        <v>130</v>
      </c>
      <c r="CT1655" s="0" t="s">
        <v>4763</v>
      </c>
    </row>
    <row r="1656">
      <c r="A1656" s="14">
        <v>60854400</v>
      </c>
      <c r="B1656" s="0" t="s">
        <v>4761</v>
      </c>
      <c r="C1656" s="16">
        <f>HYPERLINK("https://eosportal.federatedhermes.com/companies/Q29tcGFueQppODU0NTA=", "Walt Disney Co/The")</f>
      </c>
      <c r="D1656" s="0" t="s">
        <v>25</v>
      </c>
      <c r="E1656" s="0" t="s">
        <v>934</v>
      </c>
      <c r="F1656" s="16">
        <f>HYPERLINK("https://eosportal.federatedhermes.com/engagements/RW5nYWdlbWVudAppMjkyODc=", "Adoption of Science-based targets")</f>
      </c>
      <c r="G1656" s="14" t="s">
        <v>3662</v>
      </c>
      <c r="H1656" s="0" t="s">
        <v>141</v>
      </c>
      <c r="I1656" s="14" t="s">
        <v>636</v>
      </c>
      <c r="J1656" s="0" t="s">
        <v>197</v>
      </c>
      <c r="K1656" s="0" t="s">
        <v>198</v>
      </c>
      <c r="L1656" s="0" t="s">
        <v>216</v>
      </c>
      <c r="M1656" s="0" t="s">
        <v>135</v>
      </c>
      <c r="N1656" s="0" t="s">
        <v>136</v>
      </c>
      <c r="O1656" s="0" t="s">
        <v>137</v>
      </c>
      <c r="Q1656" s="0" t="s">
        <v>130</v>
      </c>
      <c r="R1656" s="0" t="s">
        <v>138</v>
      </c>
      <c r="S1656" s="14">
        <v>0</v>
      </c>
      <c r="T1656" s="0" t="s">
        <v>487</v>
      </c>
      <c r="U1656" s="0" t="s">
        <v>138</v>
      </c>
      <c r="V1656" s="14" t="s">
        <v>138</v>
      </c>
      <c r="W1656" s="0" t="s">
        <v>138</v>
      </c>
      <c r="X1656" s="14" t="s">
        <v>138</v>
      </c>
      <c r="Y1656" s="0" t="s">
        <v>138</v>
      </c>
      <c r="Z1656" s="14" t="s">
        <v>138</v>
      </c>
      <c r="AA1656" s="0" t="s">
        <v>138</v>
      </c>
      <c r="AB1656" s="14" t="s">
        <v>138</v>
      </c>
      <c r="AD1656" s="0" t="s">
        <v>138</v>
      </c>
      <c r="AF1656" s="0">
        <v>0</v>
      </c>
      <c r="AG1656" s="0">
        <v>0</v>
      </c>
      <c r="AH1656" s="0" t="s">
        <v>140</v>
      </c>
      <c r="AI1656" s="0" t="s">
        <v>138</v>
      </c>
      <c r="AL1656" s="14"/>
      <c r="AN1656" s="14"/>
      <c r="AQ1656" s="0" t="s">
        <v>130</v>
      </c>
      <c r="AR1656" s="0" t="s">
        <v>130</v>
      </c>
      <c r="AS1656" s="0" t="s">
        <v>130</v>
      </c>
      <c r="AT1656" s="0" t="s">
        <v>130</v>
      </c>
      <c r="AU1656" s="0" t="s">
        <v>130</v>
      </c>
      <c r="AV1656" s="0" t="s">
        <v>130</v>
      </c>
      <c r="AW1656" s="0" t="s">
        <v>141</v>
      </c>
      <c r="AX1656" s="0" t="s">
        <v>130</v>
      </c>
      <c r="AY1656" s="0" t="s">
        <v>130</v>
      </c>
      <c r="AZ1656" s="0" t="s">
        <v>130</v>
      </c>
      <c r="BA1656" s="0" t="s">
        <v>130</v>
      </c>
      <c r="BB1656" s="0" t="s">
        <v>130</v>
      </c>
      <c r="BC1656" s="0" t="s">
        <v>141</v>
      </c>
      <c r="BD1656" s="0" t="s">
        <v>130</v>
      </c>
      <c r="BE1656" s="0" t="s">
        <v>130</v>
      </c>
      <c r="BF1656" s="0" t="s">
        <v>130</v>
      </c>
      <c r="BG1656" s="0" t="s">
        <v>130</v>
      </c>
      <c r="BH1656" s="0" t="s">
        <v>141</v>
      </c>
      <c r="BI1656" s="0" t="s">
        <v>141</v>
      </c>
      <c r="BJ1656" s="0" t="s">
        <v>141</v>
      </c>
      <c r="BK1656" s="0" t="s">
        <v>130</v>
      </c>
      <c r="BL1656" s="0" t="s">
        <v>130</v>
      </c>
      <c r="BM1656" s="0" t="s">
        <v>130</v>
      </c>
      <c r="BN1656" s="0" t="s">
        <v>130</v>
      </c>
      <c r="BO1656" s="0" t="s">
        <v>130</v>
      </c>
      <c r="BP1656" s="0" t="s">
        <v>130</v>
      </c>
      <c r="BQ1656" s="0" t="s">
        <v>130</v>
      </c>
      <c r="BR1656" s="0" t="s">
        <v>130</v>
      </c>
      <c r="BS1656" s="0" t="s">
        <v>130</v>
      </c>
      <c r="BT1656" s="0" t="s">
        <v>130</v>
      </c>
      <c r="BU1656" s="0" t="s">
        <v>130</v>
      </c>
      <c r="BV1656" s="0" t="s">
        <v>141</v>
      </c>
      <c r="BW1656" s="0" t="s">
        <v>141</v>
      </c>
      <c r="BX1656" s="0" t="s">
        <v>130</v>
      </c>
      <c r="BY1656" s="0" t="s">
        <v>130</v>
      </c>
      <c r="BZ1656" s="0" t="s">
        <v>130</v>
      </c>
      <c r="CA1656" s="0" t="s">
        <v>130</v>
      </c>
      <c r="CB1656" s="0" t="s">
        <v>130</v>
      </c>
      <c r="CC1656" s="0" t="s">
        <v>130</v>
      </c>
      <c r="CD1656" s="0" t="s">
        <v>130</v>
      </c>
      <c r="CE1656" s="0" t="s">
        <v>130</v>
      </c>
      <c r="CF1656" s="0" t="s">
        <v>130</v>
      </c>
      <c r="CG1656" s="0" t="s">
        <v>130</v>
      </c>
      <c r="CH1656" s="0" t="s">
        <v>130</v>
      </c>
      <c r="CI1656" s="0" t="s">
        <v>130</v>
      </c>
      <c r="CJ1656" s="0" t="s">
        <v>130</v>
      </c>
      <c r="CK1656" s="0" t="s">
        <v>130</v>
      </c>
      <c r="CL1656" s="0" t="s">
        <v>130</v>
      </c>
      <c r="CM1656" s="0" t="s">
        <v>130</v>
      </c>
      <c r="CN1656" s="0" t="s">
        <v>130</v>
      </c>
      <c r="CO1656" s="0" t="s">
        <v>130</v>
      </c>
      <c r="CP1656" s="0" t="s">
        <v>130</v>
      </c>
      <c r="CQ1656" s="0" t="s">
        <v>130</v>
      </c>
      <c r="CR1656" s="0" t="s">
        <v>130</v>
      </c>
      <c r="CS1656" s="0" t="s">
        <v>130</v>
      </c>
      <c r="CT1656" s="0" t="s">
        <v>4764</v>
      </c>
    </row>
    <row r="1657">
      <c r="A1657" s="14">
        <v>60854400</v>
      </c>
      <c r="B1657" s="0" t="s">
        <v>4761</v>
      </c>
      <c r="C1657" s="16">
        <f>HYPERLINK("https://eosportal.federatedhermes.com/companies/Q29tcGFueQppODU0NTA=", "Walt Disney Co/The")</f>
      </c>
      <c r="D1657" s="0" t="s">
        <v>25</v>
      </c>
      <c r="E1657" s="0" t="s">
        <v>4765</v>
      </c>
      <c r="F1657" s="16">
        <f>HYPERLINK("https://eosportal.federatedhermes.com/engagements/RW5nYWdlbWVudAppMjkyODg=", "Sexual harassment")</f>
      </c>
      <c r="G1657" s="14" t="s">
        <v>4766</v>
      </c>
      <c r="H1657" s="0" t="s">
        <v>141</v>
      </c>
      <c r="I1657" s="14" t="s">
        <v>636</v>
      </c>
      <c r="J1657" s="0" t="s">
        <v>153</v>
      </c>
      <c r="K1657" s="0" t="s">
        <v>154</v>
      </c>
      <c r="L1657" s="0" t="s">
        <v>268</v>
      </c>
      <c r="M1657" s="0" t="s">
        <v>135</v>
      </c>
      <c r="N1657" s="0" t="s">
        <v>136</v>
      </c>
      <c r="O1657" s="0" t="s">
        <v>137</v>
      </c>
      <c r="Q1657" s="0" t="s">
        <v>130</v>
      </c>
      <c r="R1657" s="0" t="s">
        <v>138</v>
      </c>
      <c r="S1657" s="14">
        <v>0</v>
      </c>
      <c r="T1657" s="0" t="s">
        <v>249</v>
      </c>
      <c r="U1657" s="0" t="s">
        <v>138</v>
      </c>
      <c r="V1657" s="14" t="s">
        <v>138</v>
      </c>
      <c r="W1657" s="0" t="s">
        <v>138</v>
      </c>
      <c r="X1657" s="14" t="s">
        <v>138</v>
      </c>
      <c r="Y1657" s="0" t="s">
        <v>138</v>
      </c>
      <c r="Z1657" s="14" t="s">
        <v>138</v>
      </c>
      <c r="AA1657" s="0" t="s">
        <v>138</v>
      </c>
      <c r="AB1657" s="14" t="s">
        <v>138</v>
      </c>
      <c r="AD1657" s="0" t="s">
        <v>138</v>
      </c>
      <c r="AF1657" s="0">
        <v>0</v>
      </c>
      <c r="AG1657" s="0">
        <v>0</v>
      </c>
      <c r="AH1657" s="0" t="s">
        <v>140</v>
      </c>
      <c r="AI1657" s="0" t="s">
        <v>138</v>
      </c>
      <c r="AL1657" s="14"/>
      <c r="AN1657" s="14"/>
      <c r="AQ1657" s="0" t="s">
        <v>130</v>
      </c>
      <c r="AR1657" s="0" t="s">
        <v>130</v>
      </c>
      <c r="AS1657" s="0" t="s">
        <v>130</v>
      </c>
      <c r="AT1657" s="0" t="s">
        <v>130</v>
      </c>
      <c r="AU1657" s="0" t="s">
        <v>141</v>
      </c>
      <c r="AV1657" s="0" t="s">
        <v>130</v>
      </c>
      <c r="AW1657" s="0" t="s">
        <v>130</v>
      </c>
      <c r="AX1657" s="0" t="s">
        <v>130</v>
      </c>
      <c r="AY1657" s="0" t="s">
        <v>130</v>
      </c>
      <c r="AZ1657" s="0" t="s">
        <v>130</v>
      </c>
      <c r="BA1657" s="0" t="s">
        <v>130</v>
      </c>
      <c r="BB1657" s="0" t="s">
        <v>130</v>
      </c>
      <c r="BC1657" s="0" t="s">
        <v>130</v>
      </c>
      <c r="BD1657" s="0" t="s">
        <v>130</v>
      </c>
      <c r="BE1657" s="0" t="s">
        <v>130</v>
      </c>
      <c r="BF1657" s="0" t="s">
        <v>130</v>
      </c>
      <c r="BG1657" s="0" t="s">
        <v>130</v>
      </c>
      <c r="BH1657" s="0" t="s">
        <v>130</v>
      </c>
      <c r="BI1657" s="0" t="s">
        <v>130</v>
      </c>
      <c r="BJ1657" s="0" t="s">
        <v>130</v>
      </c>
      <c r="BK1657" s="0" t="s">
        <v>130</v>
      </c>
      <c r="BL1657" s="0" t="s">
        <v>130</v>
      </c>
      <c r="BM1657" s="0" t="s">
        <v>130</v>
      </c>
      <c r="BN1657" s="0" t="s">
        <v>130</v>
      </c>
      <c r="BO1657" s="0" t="s">
        <v>130</v>
      </c>
      <c r="BP1657" s="0" t="s">
        <v>130</v>
      </c>
      <c r="BQ1657" s="0" t="s">
        <v>130</v>
      </c>
      <c r="BR1657" s="0" t="s">
        <v>130</v>
      </c>
      <c r="BS1657" s="0" t="s">
        <v>130</v>
      </c>
      <c r="BT1657" s="0" t="s">
        <v>130</v>
      </c>
      <c r="BU1657" s="0" t="s">
        <v>130</v>
      </c>
      <c r="BV1657" s="0" t="s">
        <v>130</v>
      </c>
      <c r="BW1657" s="0" t="s">
        <v>130</v>
      </c>
      <c r="BX1657" s="0" t="s">
        <v>130</v>
      </c>
      <c r="BY1657" s="0" t="s">
        <v>130</v>
      </c>
      <c r="BZ1657" s="0" t="s">
        <v>130</v>
      </c>
      <c r="CA1657" s="0" t="s">
        <v>130</v>
      </c>
      <c r="CB1657" s="0" t="s">
        <v>130</v>
      </c>
      <c r="CC1657" s="0" t="s">
        <v>130</v>
      </c>
      <c r="CD1657" s="0" t="s">
        <v>130</v>
      </c>
      <c r="CE1657" s="0" t="s">
        <v>130</v>
      </c>
      <c r="CF1657" s="0" t="s">
        <v>130</v>
      </c>
      <c r="CG1657" s="0" t="s">
        <v>130</v>
      </c>
      <c r="CH1657" s="0" t="s">
        <v>130</v>
      </c>
      <c r="CI1657" s="0" t="s">
        <v>130</v>
      </c>
      <c r="CJ1657" s="0" t="s">
        <v>130</v>
      </c>
      <c r="CK1657" s="0" t="s">
        <v>141</v>
      </c>
      <c r="CL1657" s="0" t="s">
        <v>130</v>
      </c>
      <c r="CM1657" s="0" t="s">
        <v>130</v>
      </c>
      <c r="CN1657" s="0" t="s">
        <v>130</v>
      </c>
      <c r="CO1657" s="0" t="s">
        <v>130</v>
      </c>
      <c r="CP1657" s="0" t="s">
        <v>130</v>
      </c>
      <c r="CQ1657" s="0" t="s">
        <v>130</v>
      </c>
      <c r="CR1657" s="0" t="s">
        <v>130</v>
      </c>
      <c r="CS1657" s="0" t="s">
        <v>130</v>
      </c>
      <c r="CT1657" s="0" t="s">
        <v>4767</v>
      </c>
    </row>
    <row r="1658">
      <c r="A1658" s="14">
        <v>60854400</v>
      </c>
      <c r="B1658" s="0" t="s">
        <v>4761</v>
      </c>
      <c r="C1658" s="16">
        <f>HYPERLINK("https://eosportal.federatedhermes.com/companies/Q29tcGFueQppODU0NTA=", "Walt Disney Co/The")</f>
      </c>
      <c r="D1658" s="0" t="s">
        <v>25</v>
      </c>
      <c r="E1658" s="0" t="s">
        <v>4768</v>
      </c>
      <c r="F1658" s="16">
        <f>HYPERLINK("https://eosportal.federatedhermes.com/engagements/RW5nYWdlbWVudAppMjkyODk=", "Culture Integration Leadership")</f>
      </c>
      <c r="G1658" s="14" t="s">
        <v>4769</v>
      </c>
      <c r="H1658" s="0" t="s">
        <v>141</v>
      </c>
      <c r="I1658" s="14" t="s">
        <v>636</v>
      </c>
      <c r="J1658" s="0" t="s">
        <v>153</v>
      </c>
      <c r="K1658" s="0" t="s">
        <v>185</v>
      </c>
      <c r="L1658" s="0" t="s">
        <v>186</v>
      </c>
      <c r="M1658" s="0" t="s">
        <v>135</v>
      </c>
      <c r="N1658" s="0" t="s">
        <v>136</v>
      </c>
      <c r="O1658" s="0" t="s">
        <v>137</v>
      </c>
      <c r="Q1658" s="0" t="s">
        <v>130</v>
      </c>
      <c r="R1658" s="0" t="s">
        <v>138</v>
      </c>
      <c r="S1658" s="14">
        <v>0</v>
      </c>
      <c r="T1658" s="0" t="s">
        <v>333</v>
      </c>
      <c r="U1658" s="0" t="s">
        <v>138</v>
      </c>
      <c r="V1658" s="14" t="s">
        <v>138</v>
      </c>
      <c r="W1658" s="0" t="s">
        <v>138</v>
      </c>
      <c r="X1658" s="14" t="s">
        <v>138</v>
      </c>
      <c r="Y1658" s="0" t="s">
        <v>138</v>
      </c>
      <c r="Z1658" s="14" t="s">
        <v>138</v>
      </c>
      <c r="AA1658" s="0" t="s">
        <v>138</v>
      </c>
      <c r="AB1658" s="14" t="s">
        <v>138</v>
      </c>
      <c r="AD1658" s="0" t="s">
        <v>138</v>
      </c>
      <c r="AF1658" s="0">
        <v>0</v>
      </c>
      <c r="AG1658" s="0">
        <v>0</v>
      </c>
      <c r="AH1658" s="0" t="s">
        <v>140</v>
      </c>
      <c r="AI1658" s="0" t="s">
        <v>138</v>
      </c>
      <c r="AL1658" s="14"/>
      <c r="AN1658" s="14"/>
      <c r="AQ1658" s="0" t="s">
        <v>130</v>
      </c>
      <c r="AR1658" s="0" t="s">
        <v>130</v>
      </c>
      <c r="AS1658" s="0" t="s">
        <v>130</v>
      </c>
      <c r="AT1658" s="0" t="s">
        <v>130</v>
      </c>
      <c r="AU1658" s="0" t="s">
        <v>141</v>
      </c>
      <c r="AV1658" s="0" t="s">
        <v>130</v>
      </c>
      <c r="AW1658" s="0" t="s">
        <v>130</v>
      </c>
      <c r="AX1658" s="0" t="s">
        <v>130</v>
      </c>
      <c r="AY1658" s="0" t="s">
        <v>130</v>
      </c>
      <c r="AZ1658" s="0" t="s">
        <v>130</v>
      </c>
      <c r="BA1658" s="0" t="s">
        <v>130</v>
      </c>
      <c r="BB1658" s="0" t="s">
        <v>130</v>
      </c>
      <c r="BC1658" s="0" t="s">
        <v>130</v>
      </c>
      <c r="BD1658" s="0" t="s">
        <v>130</v>
      </c>
      <c r="BE1658" s="0" t="s">
        <v>130</v>
      </c>
      <c r="BF1658" s="0" t="s">
        <v>130</v>
      </c>
      <c r="BG1658" s="0" t="s">
        <v>130</v>
      </c>
      <c r="BH1658" s="0" t="s">
        <v>130</v>
      </c>
      <c r="BI1658" s="0" t="s">
        <v>130</v>
      </c>
      <c r="BJ1658" s="0" t="s">
        <v>130</v>
      </c>
      <c r="BK1658" s="0" t="s">
        <v>130</v>
      </c>
      <c r="BL1658" s="0" t="s">
        <v>130</v>
      </c>
      <c r="BM1658" s="0" t="s">
        <v>130</v>
      </c>
      <c r="BN1658" s="0" t="s">
        <v>130</v>
      </c>
      <c r="BO1658" s="0" t="s">
        <v>130</v>
      </c>
      <c r="BP1658" s="0" t="s">
        <v>130</v>
      </c>
      <c r="BQ1658" s="0" t="s">
        <v>130</v>
      </c>
      <c r="BR1658" s="0" t="s">
        <v>130</v>
      </c>
      <c r="BS1658" s="0" t="s">
        <v>130</v>
      </c>
      <c r="BT1658" s="0" t="s">
        <v>130</v>
      </c>
      <c r="BU1658" s="0" t="s">
        <v>130</v>
      </c>
      <c r="BV1658" s="0" t="s">
        <v>130</v>
      </c>
      <c r="BW1658" s="0" t="s">
        <v>130</v>
      </c>
      <c r="BX1658" s="0" t="s">
        <v>130</v>
      </c>
      <c r="BY1658" s="0" t="s">
        <v>130</v>
      </c>
      <c r="BZ1658" s="0" t="s">
        <v>130</v>
      </c>
      <c r="CA1658" s="0" t="s">
        <v>130</v>
      </c>
      <c r="CB1658" s="0" t="s">
        <v>130</v>
      </c>
      <c r="CC1658" s="0" t="s">
        <v>130</v>
      </c>
      <c r="CD1658" s="0" t="s">
        <v>130</v>
      </c>
      <c r="CE1658" s="0" t="s">
        <v>130</v>
      </c>
      <c r="CF1658" s="0" t="s">
        <v>130</v>
      </c>
      <c r="CG1658" s="0" t="s">
        <v>130</v>
      </c>
      <c r="CH1658" s="0" t="s">
        <v>130</v>
      </c>
      <c r="CI1658" s="0" t="s">
        <v>130</v>
      </c>
      <c r="CJ1658" s="0" t="s">
        <v>130</v>
      </c>
      <c r="CK1658" s="0" t="s">
        <v>130</v>
      </c>
      <c r="CL1658" s="0" t="s">
        <v>130</v>
      </c>
      <c r="CM1658" s="0" t="s">
        <v>130</v>
      </c>
      <c r="CN1658" s="0" t="s">
        <v>130</v>
      </c>
      <c r="CO1658" s="0" t="s">
        <v>130</v>
      </c>
      <c r="CP1658" s="0" t="s">
        <v>130</v>
      </c>
      <c r="CQ1658" s="0" t="s">
        <v>130</v>
      </c>
      <c r="CR1658" s="0" t="s">
        <v>130</v>
      </c>
      <c r="CS1658" s="0" t="s">
        <v>130</v>
      </c>
      <c r="CT1658" s="0" t="s">
        <v>4770</v>
      </c>
    </row>
    <row r="1659">
      <c r="A1659" s="14">
        <v>60854400</v>
      </c>
      <c r="B1659" s="0" t="s">
        <v>4761</v>
      </c>
      <c r="C1659" s="16">
        <f>HYPERLINK("https://eosportal.federatedhermes.com/companies/Q29tcGFueQppODU0NTA=", "Walt Disney Co/The")</f>
      </c>
      <c r="D1659" s="0" t="s">
        <v>25</v>
      </c>
      <c r="E1659" s="0" t="s">
        <v>4771</v>
      </c>
      <c r="F1659" s="16">
        <f>HYPERLINK("https://eosportal.federatedhermes.com/engagements/RW5nYWdlbWVudAppMjkyOTE=", "Improvement in modern slavery act statement")</f>
      </c>
      <c r="G1659" s="14" t="s">
        <v>4772</v>
      </c>
      <c r="H1659" s="0" t="s">
        <v>141</v>
      </c>
      <c r="I1659" s="14" t="s">
        <v>636</v>
      </c>
      <c r="J1659" s="0" t="s">
        <v>153</v>
      </c>
      <c r="K1659" s="0" t="s">
        <v>243</v>
      </c>
      <c r="L1659" s="0" t="s">
        <v>244</v>
      </c>
      <c r="M1659" s="0" t="s">
        <v>135</v>
      </c>
      <c r="N1659" s="0" t="s">
        <v>136</v>
      </c>
      <c r="O1659" s="0" t="s">
        <v>137</v>
      </c>
      <c r="Q1659" s="0" t="s">
        <v>130</v>
      </c>
      <c r="R1659" s="0" t="s">
        <v>138</v>
      </c>
      <c r="S1659" s="14">
        <v>0</v>
      </c>
      <c r="T1659" s="0" t="s">
        <v>343</v>
      </c>
      <c r="U1659" s="0" t="s">
        <v>138</v>
      </c>
      <c r="V1659" s="14" t="s">
        <v>138</v>
      </c>
      <c r="W1659" s="0" t="s">
        <v>138</v>
      </c>
      <c r="X1659" s="14" t="s">
        <v>138</v>
      </c>
      <c r="Y1659" s="0" t="s">
        <v>138</v>
      </c>
      <c r="Z1659" s="14" t="s">
        <v>138</v>
      </c>
      <c r="AA1659" s="0" t="s">
        <v>138</v>
      </c>
      <c r="AB1659" s="14" t="s">
        <v>138</v>
      </c>
      <c r="AD1659" s="0" t="s">
        <v>138</v>
      </c>
      <c r="AF1659" s="0">
        <v>0</v>
      </c>
      <c r="AG1659" s="0">
        <v>0</v>
      </c>
      <c r="AH1659" s="0" t="s">
        <v>140</v>
      </c>
      <c r="AI1659" s="0" t="s">
        <v>138</v>
      </c>
      <c r="AL1659" s="14"/>
      <c r="AN1659" s="14"/>
      <c r="AQ1659" s="0" t="s">
        <v>130</v>
      </c>
      <c r="AR1659" s="0" t="s">
        <v>130</v>
      </c>
      <c r="AS1659" s="0" t="s">
        <v>130</v>
      </c>
      <c r="AT1659" s="0" t="s">
        <v>130</v>
      </c>
      <c r="AU1659" s="0" t="s">
        <v>130</v>
      </c>
      <c r="AV1659" s="0" t="s">
        <v>130</v>
      </c>
      <c r="AW1659" s="0" t="s">
        <v>130</v>
      </c>
      <c r="AX1659" s="0" t="s">
        <v>141</v>
      </c>
      <c r="AY1659" s="0" t="s">
        <v>130</v>
      </c>
      <c r="AZ1659" s="0" t="s">
        <v>130</v>
      </c>
      <c r="BA1659" s="0" t="s">
        <v>130</v>
      </c>
      <c r="BB1659" s="0" t="s">
        <v>130</v>
      </c>
      <c r="BC1659" s="0" t="s">
        <v>130</v>
      </c>
      <c r="BD1659" s="0" t="s">
        <v>130</v>
      </c>
      <c r="BE1659" s="0" t="s">
        <v>130</v>
      </c>
      <c r="BF1659" s="0" t="s">
        <v>130</v>
      </c>
      <c r="BG1659" s="0" t="s">
        <v>130</v>
      </c>
      <c r="BH1659" s="0" t="s">
        <v>130</v>
      </c>
      <c r="BI1659" s="0" t="s">
        <v>130</v>
      </c>
      <c r="BJ1659" s="0" t="s">
        <v>130</v>
      </c>
      <c r="BK1659" s="0" t="s">
        <v>130</v>
      </c>
      <c r="BL1659" s="0" t="s">
        <v>130</v>
      </c>
      <c r="BM1659" s="0" t="s">
        <v>130</v>
      </c>
      <c r="BN1659" s="0" t="s">
        <v>130</v>
      </c>
      <c r="BO1659" s="0" t="s">
        <v>130</v>
      </c>
      <c r="BP1659" s="0" t="s">
        <v>130</v>
      </c>
      <c r="BQ1659" s="0" t="s">
        <v>130</v>
      </c>
      <c r="BR1659" s="0" t="s">
        <v>130</v>
      </c>
      <c r="BS1659" s="0" t="s">
        <v>130</v>
      </c>
      <c r="BT1659" s="0" t="s">
        <v>130</v>
      </c>
      <c r="BU1659" s="0" t="s">
        <v>130</v>
      </c>
      <c r="BV1659" s="0" t="s">
        <v>130</v>
      </c>
      <c r="BW1659" s="0" t="s">
        <v>130</v>
      </c>
      <c r="BX1659" s="0" t="s">
        <v>130</v>
      </c>
      <c r="BY1659" s="0" t="s">
        <v>130</v>
      </c>
      <c r="BZ1659" s="0" t="s">
        <v>130</v>
      </c>
      <c r="CA1659" s="0" t="s">
        <v>130</v>
      </c>
      <c r="CB1659" s="0" t="s">
        <v>130</v>
      </c>
      <c r="CC1659" s="0" t="s">
        <v>130</v>
      </c>
      <c r="CD1659" s="0" t="s">
        <v>130</v>
      </c>
      <c r="CE1659" s="0" t="s">
        <v>130</v>
      </c>
      <c r="CF1659" s="0" t="s">
        <v>130</v>
      </c>
      <c r="CG1659" s="0" t="s">
        <v>130</v>
      </c>
      <c r="CH1659" s="0" t="s">
        <v>130</v>
      </c>
      <c r="CI1659" s="0" t="s">
        <v>130</v>
      </c>
      <c r="CJ1659" s="0" t="s">
        <v>130</v>
      </c>
      <c r="CK1659" s="0" t="s">
        <v>130</v>
      </c>
      <c r="CL1659" s="0" t="s">
        <v>130</v>
      </c>
      <c r="CM1659" s="0" t="s">
        <v>130</v>
      </c>
      <c r="CN1659" s="0" t="s">
        <v>130</v>
      </c>
      <c r="CO1659" s="0" t="s">
        <v>130</v>
      </c>
      <c r="CP1659" s="0" t="s">
        <v>130</v>
      </c>
      <c r="CQ1659" s="0" t="s">
        <v>130</v>
      </c>
      <c r="CR1659" s="0" t="s">
        <v>130</v>
      </c>
      <c r="CS1659" s="0" t="s">
        <v>130</v>
      </c>
      <c r="CT1659" s="0" t="s">
        <v>4773</v>
      </c>
    </row>
    <row r="1660">
      <c r="A1660" s="14">
        <v>60854400</v>
      </c>
      <c r="B1660" s="0" t="s">
        <v>4761</v>
      </c>
      <c r="C1660" s="16">
        <f>HYPERLINK("https://eosportal.federatedhermes.com/companies/Q29tcGFueQppODU0NTA=", "Walt Disney Co/The")</f>
      </c>
      <c r="D1660" s="0" t="s">
        <v>25</v>
      </c>
      <c r="E1660" s="0" t="s">
        <v>940</v>
      </c>
      <c r="F1660" s="16">
        <f>HYPERLINK("https://eosportal.federatedhermes.com/engagements/RW5nYWdlbWVudAppMjkyOTk=", "Paid sick leave for direct and indirect employees")</f>
      </c>
      <c r="G1660" s="14" t="s">
        <v>4774</v>
      </c>
      <c r="H1660" s="0" t="s">
        <v>141</v>
      </c>
      <c r="I1660" s="14" t="s">
        <v>636</v>
      </c>
      <c r="J1660" s="0" t="s">
        <v>153</v>
      </c>
      <c r="K1660" s="0" t="s">
        <v>154</v>
      </c>
      <c r="L1660" s="0" t="s">
        <v>306</v>
      </c>
      <c r="M1660" s="0" t="s">
        <v>135</v>
      </c>
      <c r="N1660" s="0" t="s">
        <v>136</v>
      </c>
      <c r="O1660" s="0" t="s">
        <v>137</v>
      </c>
      <c r="Q1660" s="0" t="s">
        <v>130</v>
      </c>
      <c r="R1660" s="0" t="s">
        <v>138</v>
      </c>
      <c r="S1660" s="14">
        <v>0</v>
      </c>
      <c r="T1660" s="0" t="s">
        <v>583</v>
      </c>
      <c r="U1660" s="0" t="s">
        <v>138</v>
      </c>
      <c r="V1660" s="14" t="s">
        <v>138</v>
      </c>
      <c r="W1660" s="0" t="s">
        <v>138</v>
      </c>
      <c r="X1660" s="14" t="s">
        <v>138</v>
      </c>
      <c r="Y1660" s="0" t="s">
        <v>138</v>
      </c>
      <c r="Z1660" s="14" t="s">
        <v>138</v>
      </c>
      <c r="AA1660" s="0" t="s">
        <v>138</v>
      </c>
      <c r="AB1660" s="14" t="s">
        <v>138</v>
      </c>
      <c r="AD1660" s="0" t="s">
        <v>138</v>
      </c>
      <c r="AF1660" s="0">
        <v>0</v>
      </c>
      <c r="AG1660" s="0">
        <v>0</v>
      </c>
      <c r="AH1660" s="0" t="s">
        <v>140</v>
      </c>
      <c r="AI1660" s="0" t="s">
        <v>138</v>
      </c>
      <c r="AL1660" s="14"/>
      <c r="AN1660" s="14"/>
      <c r="AQ1660" s="0" t="s">
        <v>141</v>
      </c>
      <c r="AR1660" s="0" t="s">
        <v>130</v>
      </c>
      <c r="AS1660" s="0" t="s">
        <v>130</v>
      </c>
      <c r="AT1660" s="0" t="s">
        <v>130</v>
      </c>
      <c r="AU1660" s="0" t="s">
        <v>130</v>
      </c>
      <c r="AV1660" s="0" t="s">
        <v>130</v>
      </c>
      <c r="AW1660" s="0" t="s">
        <v>130</v>
      </c>
      <c r="AX1660" s="0" t="s">
        <v>141</v>
      </c>
      <c r="AY1660" s="0" t="s">
        <v>130</v>
      </c>
      <c r="AZ1660" s="0" t="s">
        <v>141</v>
      </c>
      <c r="BA1660" s="0" t="s">
        <v>130</v>
      </c>
      <c r="BB1660" s="0" t="s">
        <v>130</v>
      </c>
      <c r="BC1660" s="0" t="s">
        <v>130</v>
      </c>
      <c r="BD1660" s="0" t="s">
        <v>130</v>
      </c>
      <c r="BE1660" s="0" t="s">
        <v>130</v>
      </c>
      <c r="BF1660" s="0" t="s">
        <v>130</v>
      </c>
      <c r="BG1660" s="0" t="s">
        <v>130</v>
      </c>
      <c r="BH1660" s="0" t="s">
        <v>130</v>
      </c>
      <c r="BI1660" s="0" t="s">
        <v>130</v>
      </c>
      <c r="BJ1660" s="0" t="s">
        <v>130</v>
      </c>
      <c r="BK1660" s="0" t="s">
        <v>130</v>
      </c>
      <c r="BL1660" s="0" t="s">
        <v>130</v>
      </c>
      <c r="BM1660" s="0" t="s">
        <v>130</v>
      </c>
      <c r="BN1660" s="0" t="s">
        <v>130</v>
      </c>
      <c r="BO1660" s="0" t="s">
        <v>130</v>
      </c>
      <c r="BP1660" s="0" t="s">
        <v>130</v>
      </c>
      <c r="BQ1660" s="0" t="s">
        <v>130</v>
      </c>
      <c r="BR1660" s="0" t="s">
        <v>130</v>
      </c>
      <c r="BS1660" s="0" t="s">
        <v>130</v>
      </c>
      <c r="BT1660" s="0" t="s">
        <v>130</v>
      </c>
      <c r="BU1660" s="0" t="s">
        <v>130</v>
      </c>
      <c r="BV1660" s="0" t="s">
        <v>130</v>
      </c>
      <c r="BW1660" s="0" t="s">
        <v>130</v>
      </c>
      <c r="BX1660" s="0" t="s">
        <v>130</v>
      </c>
      <c r="BY1660" s="0" t="s">
        <v>130</v>
      </c>
      <c r="BZ1660" s="0" t="s">
        <v>130</v>
      </c>
      <c r="CA1660" s="0" t="s">
        <v>130</v>
      </c>
      <c r="CB1660" s="0" t="s">
        <v>130</v>
      </c>
      <c r="CC1660" s="0" t="s">
        <v>130</v>
      </c>
      <c r="CD1660" s="0" t="s">
        <v>130</v>
      </c>
      <c r="CE1660" s="0" t="s">
        <v>130</v>
      </c>
      <c r="CF1660" s="0" t="s">
        <v>130</v>
      </c>
      <c r="CG1660" s="0" t="s">
        <v>130</v>
      </c>
      <c r="CH1660" s="0" t="s">
        <v>130</v>
      </c>
      <c r="CI1660" s="0" t="s">
        <v>130</v>
      </c>
      <c r="CJ1660" s="0" t="s">
        <v>130</v>
      </c>
      <c r="CK1660" s="0" t="s">
        <v>130</v>
      </c>
      <c r="CL1660" s="0" t="s">
        <v>130</v>
      </c>
      <c r="CM1660" s="0" t="s">
        <v>130</v>
      </c>
      <c r="CN1660" s="0" t="s">
        <v>130</v>
      </c>
      <c r="CO1660" s="0" t="s">
        <v>130</v>
      </c>
      <c r="CP1660" s="0" t="s">
        <v>130</v>
      </c>
      <c r="CQ1660" s="0" t="s">
        <v>130</v>
      </c>
      <c r="CR1660" s="0" t="s">
        <v>130</v>
      </c>
      <c r="CS1660" s="0" t="s">
        <v>130</v>
      </c>
      <c r="CT1660" s="0" t="s">
        <v>4775</v>
      </c>
    </row>
    <row r="1661">
      <c r="A1661" s="14">
        <v>60854400</v>
      </c>
      <c r="B1661" s="0" t="s">
        <v>4761</v>
      </c>
      <c r="C1661" s="16">
        <f>HYPERLINK("https://eosportal.federatedhermes.com/companies/Q29tcGFueQppODU0NTA=", "Walt Disney Co/The")</f>
      </c>
      <c r="D1661" s="0" t="s">
        <v>25</v>
      </c>
      <c r="E1661" s="0" t="s">
        <v>298</v>
      </c>
      <c r="F1661" s="16">
        <f>HYPERLINK("https://eosportal.federatedhermes.com/engagements/RW5nYWdlbWVudAppMjkzMDA=", "Corporate culture")</f>
      </c>
      <c r="G1661" s="14" t="s">
        <v>4776</v>
      </c>
      <c r="H1661" s="0" t="s">
        <v>141</v>
      </c>
      <c r="I1661" s="14" t="s">
        <v>636</v>
      </c>
      <c r="J1661" s="0" t="s">
        <v>153</v>
      </c>
      <c r="K1661" s="0" t="s">
        <v>185</v>
      </c>
      <c r="L1661" s="0" t="s">
        <v>186</v>
      </c>
      <c r="M1661" s="0" t="s">
        <v>135</v>
      </c>
      <c r="N1661" s="0" t="s">
        <v>136</v>
      </c>
      <c r="O1661" s="0" t="s">
        <v>137</v>
      </c>
      <c r="Q1661" s="0" t="s">
        <v>130</v>
      </c>
      <c r="R1661" s="0" t="s">
        <v>138</v>
      </c>
      <c r="S1661" s="14">
        <v>0</v>
      </c>
      <c r="T1661" s="0" t="s">
        <v>299</v>
      </c>
      <c r="U1661" s="0" t="s">
        <v>138</v>
      </c>
      <c r="V1661" s="14" t="s">
        <v>138</v>
      </c>
      <c r="W1661" s="0" t="s">
        <v>138</v>
      </c>
      <c r="X1661" s="14" t="s">
        <v>138</v>
      </c>
      <c r="Y1661" s="0" t="s">
        <v>138</v>
      </c>
      <c r="Z1661" s="14" t="s">
        <v>138</v>
      </c>
      <c r="AA1661" s="0" t="s">
        <v>138</v>
      </c>
      <c r="AB1661" s="14" t="s">
        <v>138</v>
      </c>
      <c r="AD1661" s="0" t="s">
        <v>138</v>
      </c>
      <c r="AF1661" s="0">
        <v>0</v>
      </c>
      <c r="AG1661" s="0">
        <v>0</v>
      </c>
      <c r="AH1661" s="0" t="s">
        <v>140</v>
      </c>
      <c r="AI1661" s="0" t="s">
        <v>138</v>
      </c>
      <c r="AL1661" s="14"/>
      <c r="AN1661" s="14"/>
      <c r="AQ1661" s="0" t="s">
        <v>130</v>
      </c>
      <c r="AR1661" s="0" t="s">
        <v>130</v>
      </c>
      <c r="AS1661" s="0" t="s">
        <v>130</v>
      </c>
      <c r="AT1661" s="0" t="s">
        <v>130</v>
      </c>
      <c r="AU1661" s="0" t="s">
        <v>130</v>
      </c>
      <c r="AV1661" s="0" t="s">
        <v>130</v>
      </c>
      <c r="AW1661" s="0" t="s">
        <v>130</v>
      </c>
      <c r="AX1661" s="0" t="s">
        <v>130</v>
      </c>
      <c r="AY1661" s="0" t="s">
        <v>130</v>
      </c>
      <c r="AZ1661" s="0" t="s">
        <v>130</v>
      </c>
      <c r="BA1661" s="0" t="s">
        <v>130</v>
      </c>
      <c r="BB1661" s="0" t="s">
        <v>130</v>
      </c>
      <c r="BC1661" s="0" t="s">
        <v>130</v>
      </c>
      <c r="BD1661" s="0" t="s">
        <v>130</v>
      </c>
      <c r="BE1661" s="0" t="s">
        <v>130</v>
      </c>
      <c r="BF1661" s="0" t="s">
        <v>141</v>
      </c>
      <c r="BG1661" s="0" t="s">
        <v>130</v>
      </c>
      <c r="BH1661" s="0" t="s">
        <v>130</v>
      </c>
      <c r="BI1661" s="0" t="s">
        <v>130</v>
      </c>
      <c r="BJ1661" s="0" t="s">
        <v>130</v>
      </c>
      <c r="BK1661" s="0" t="s">
        <v>130</v>
      </c>
      <c r="BL1661" s="0" t="s">
        <v>130</v>
      </c>
      <c r="BM1661" s="0" t="s">
        <v>130</v>
      </c>
      <c r="BN1661" s="0" t="s">
        <v>130</v>
      </c>
      <c r="BO1661" s="0" t="s">
        <v>130</v>
      </c>
      <c r="BP1661" s="0" t="s">
        <v>130</v>
      </c>
      <c r="BQ1661" s="0" t="s">
        <v>130</v>
      </c>
      <c r="BR1661" s="0" t="s">
        <v>130</v>
      </c>
      <c r="BS1661" s="0" t="s">
        <v>130</v>
      </c>
      <c r="BT1661" s="0" t="s">
        <v>130</v>
      </c>
      <c r="BU1661" s="0" t="s">
        <v>130</v>
      </c>
      <c r="BV1661" s="0" t="s">
        <v>130</v>
      </c>
      <c r="BW1661" s="0" t="s">
        <v>130</v>
      </c>
      <c r="BX1661" s="0" t="s">
        <v>130</v>
      </c>
      <c r="BY1661" s="0" t="s">
        <v>130</v>
      </c>
      <c r="BZ1661" s="0" t="s">
        <v>130</v>
      </c>
      <c r="CA1661" s="0" t="s">
        <v>130</v>
      </c>
      <c r="CB1661" s="0" t="s">
        <v>130</v>
      </c>
      <c r="CC1661" s="0" t="s">
        <v>130</v>
      </c>
      <c r="CD1661" s="0" t="s">
        <v>130</v>
      </c>
      <c r="CE1661" s="0" t="s">
        <v>130</v>
      </c>
      <c r="CF1661" s="0" t="s">
        <v>130</v>
      </c>
      <c r="CG1661" s="0" t="s">
        <v>130</v>
      </c>
      <c r="CH1661" s="0" t="s">
        <v>130</v>
      </c>
      <c r="CI1661" s="0" t="s">
        <v>130</v>
      </c>
      <c r="CJ1661" s="0" t="s">
        <v>130</v>
      </c>
      <c r="CK1661" s="0" t="s">
        <v>130</v>
      </c>
      <c r="CL1661" s="0" t="s">
        <v>130</v>
      </c>
      <c r="CM1661" s="0" t="s">
        <v>130</v>
      </c>
      <c r="CN1661" s="0" t="s">
        <v>130</v>
      </c>
      <c r="CO1661" s="0" t="s">
        <v>130</v>
      </c>
      <c r="CP1661" s="0" t="s">
        <v>130</v>
      </c>
      <c r="CQ1661" s="0" t="s">
        <v>130</v>
      </c>
      <c r="CR1661" s="0" t="s">
        <v>130</v>
      </c>
      <c r="CS1661" s="0" t="s">
        <v>130</v>
      </c>
      <c r="CT1661" s="0" t="s">
        <v>4777</v>
      </c>
    </row>
    <row r="1662">
      <c r="A1662" s="14">
        <v>60854400</v>
      </c>
      <c r="B1662" s="0" t="s">
        <v>4761</v>
      </c>
      <c r="C1662" s="16">
        <f>HYPERLINK("https://eosportal.federatedhermes.com/companies/Q29tcGFueQppODU0NTA=", "Walt Disney Co/The")</f>
      </c>
      <c r="D1662" s="0" t="s">
        <v>25</v>
      </c>
      <c r="E1662" s="0" t="s">
        <v>4778</v>
      </c>
      <c r="F1662" s="16">
        <f>HYPERLINK("https://eosportal.federatedhermes.com/engagements/RW5nYWdlbWVudAppMjkzMDE=", "Proxy Access")</f>
      </c>
      <c r="G1662" s="14" t="s">
        <v>4779</v>
      </c>
      <c r="H1662" s="0" t="s">
        <v>141</v>
      </c>
      <c r="I1662" s="14" t="s">
        <v>636</v>
      </c>
      <c r="J1662" s="0" t="s">
        <v>145</v>
      </c>
      <c r="K1662" s="0" t="s">
        <v>400</v>
      </c>
      <c r="L1662" s="0" t="s">
        <v>401</v>
      </c>
      <c r="M1662" s="0" t="s">
        <v>135</v>
      </c>
      <c r="N1662" s="0" t="s">
        <v>136</v>
      </c>
      <c r="O1662" s="0" t="s">
        <v>137</v>
      </c>
      <c r="Q1662" s="0" t="s">
        <v>130</v>
      </c>
      <c r="R1662" s="0" t="s">
        <v>138</v>
      </c>
      <c r="S1662" s="14">
        <v>0</v>
      </c>
      <c r="T1662" s="0" t="s">
        <v>825</v>
      </c>
      <c r="U1662" s="0" t="s">
        <v>138</v>
      </c>
      <c r="V1662" s="14" t="s">
        <v>138</v>
      </c>
      <c r="W1662" s="0" t="s">
        <v>138</v>
      </c>
      <c r="X1662" s="14" t="s">
        <v>138</v>
      </c>
      <c r="Y1662" s="0" t="s">
        <v>138</v>
      </c>
      <c r="Z1662" s="14" t="s">
        <v>138</v>
      </c>
      <c r="AA1662" s="0" t="s">
        <v>138</v>
      </c>
      <c r="AB1662" s="14" t="s">
        <v>138</v>
      </c>
      <c r="AD1662" s="0" t="s">
        <v>138</v>
      </c>
      <c r="AF1662" s="0">
        <v>0</v>
      </c>
      <c r="AG1662" s="0">
        <v>0</v>
      </c>
      <c r="AH1662" s="0" t="s">
        <v>140</v>
      </c>
      <c r="AI1662" s="0" t="s">
        <v>138</v>
      </c>
      <c r="AL1662" s="14"/>
      <c r="AN1662" s="14"/>
      <c r="AQ1662" s="0" t="s">
        <v>130</v>
      </c>
      <c r="AR1662" s="0" t="s">
        <v>130</v>
      </c>
      <c r="AS1662" s="0" t="s">
        <v>130</v>
      </c>
      <c r="AT1662" s="0" t="s">
        <v>130</v>
      </c>
      <c r="AU1662" s="0" t="s">
        <v>130</v>
      </c>
      <c r="AV1662" s="0" t="s">
        <v>130</v>
      </c>
      <c r="AW1662" s="0" t="s">
        <v>130</v>
      </c>
      <c r="AX1662" s="0" t="s">
        <v>130</v>
      </c>
      <c r="AY1662" s="0" t="s">
        <v>130</v>
      </c>
      <c r="AZ1662" s="0" t="s">
        <v>130</v>
      </c>
      <c r="BA1662" s="0" t="s">
        <v>130</v>
      </c>
      <c r="BB1662" s="0" t="s">
        <v>130</v>
      </c>
      <c r="BC1662" s="0" t="s">
        <v>130</v>
      </c>
      <c r="BD1662" s="0" t="s">
        <v>130</v>
      </c>
      <c r="BE1662" s="0" t="s">
        <v>130</v>
      </c>
      <c r="BF1662" s="0" t="s">
        <v>130</v>
      </c>
      <c r="BG1662" s="0" t="s">
        <v>130</v>
      </c>
      <c r="BH1662" s="0" t="s">
        <v>130</v>
      </c>
      <c r="BI1662" s="0" t="s">
        <v>130</v>
      </c>
      <c r="BJ1662" s="0" t="s">
        <v>130</v>
      </c>
      <c r="BK1662" s="0" t="s">
        <v>130</v>
      </c>
      <c r="BL1662" s="0" t="s">
        <v>130</v>
      </c>
      <c r="BM1662" s="0" t="s">
        <v>130</v>
      </c>
      <c r="BN1662" s="0" t="s">
        <v>130</v>
      </c>
      <c r="BO1662" s="0" t="s">
        <v>130</v>
      </c>
      <c r="BP1662" s="0" t="s">
        <v>130</v>
      </c>
      <c r="BQ1662" s="0" t="s">
        <v>130</v>
      </c>
      <c r="BR1662" s="0" t="s">
        <v>130</v>
      </c>
      <c r="BS1662" s="0" t="s">
        <v>130</v>
      </c>
      <c r="BT1662" s="0" t="s">
        <v>130</v>
      </c>
      <c r="BU1662" s="0" t="s">
        <v>130</v>
      </c>
      <c r="BV1662" s="0" t="s">
        <v>130</v>
      </c>
      <c r="BW1662" s="0" t="s">
        <v>130</v>
      </c>
      <c r="BX1662" s="0" t="s">
        <v>130</v>
      </c>
      <c r="BY1662" s="0" t="s">
        <v>130</v>
      </c>
      <c r="BZ1662" s="0" t="s">
        <v>130</v>
      </c>
      <c r="CA1662" s="0" t="s">
        <v>130</v>
      </c>
      <c r="CB1662" s="0" t="s">
        <v>130</v>
      </c>
      <c r="CC1662" s="0" t="s">
        <v>130</v>
      </c>
      <c r="CD1662" s="0" t="s">
        <v>130</v>
      </c>
      <c r="CE1662" s="0" t="s">
        <v>130</v>
      </c>
      <c r="CF1662" s="0" t="s">
        <v>130</v>
      </c>
      <c r="CG1662" s="0" t="s">
        <v>130</v>
      </c>
      <c r="CH1662" s="0" t="s">
        <v>130</v>
      </c>
      <c r="CI1662" s="0" t="s">
        <v>130</v>
      </c>
      <c r="CJ1662" s="0" t="s">
        <v>130</v>
      </c>
      <c r="CK1662" s="0" t="s">
        <v>130</v>
      </c>
      <c r="CL1662" s="0" t="s">
        <v>130</v>
      </c>
      <c r="CM1662" s="0" t="s">
        <v>130</v>
      </c>
      <c r="CN1662" s="0" t="s">
        <v>130</v>
      </c>
      <c r="CO1662" s="0" t="s">
        <v>130</v>
      </c>
      <c r="CP1662" s="0" t="s">
        <v>130</v>
      </c>
      <c r="CQ1662" s="0" t="s">
        <v>130</v>
      </c>
      <c r="CR1662" s="0" t="s">
        <v>130</v>
      </c>
      <c r="CS1662" s="0" t="s">
        <v>130</v>
      </c>
      <c r="CT1662" s="0" t="s">
        <v>4780</v>
      </c>
    </row>
    <row r="1663">
      <c r="A1663" s="14">
        <v>60854400</v>
      </c>
      <c r="B1663" s="0" t="s">
        <v>4761</v>
      </c>
      <c r="C1663" s="16">
        <f>HYPERLINK("https://eosportal.federatedhermes.com/companies/Q29tcGFueQppODU0NTA=", "Walt Disney Co/The")</f>
      </c>
      <c r="D1663" s="0" t="s">
        <v>25</v>
      </c>
      <c r="E1663" s="0" t="s">
        <v>134</v>
      </c>
      <c r="F1663" s="16">
        <f>HYPERLINK("https://eosportal.federatedhermes.com/engagements/RW5nYWdlbWVudAppMjkzMDI=", "Business Purpose")</f>
      </c>
      <c r="G1663" s="14" t="s">
        <v>4781</v>
      </c>
      <c r="H1663" s="0" t="s">
        <v>141</v>
      </c>
      <c r="I1663" s="14" t="s">
        <v>636</v>
      </c>
      <c r="J1663" s="0" t="s">
        <v>132</v>
      </c>
      <c r="K1663" s="0" t="s">
        <v>133</v>
      </c>
      <c r="L1663" s="0" t="s">
        <v>134</v>
      </c>
      <c r="M1663" s="0" t="s">
        <v>135</v>
      </c>
      <c r="N1663" s="0" t="s">
        <v>136</v>
      </c>
      <c r="O1663" s="0" t="s">
        <v>137</v>
      </c>
      <c r="Q1663" s="0" t="s">
        <v>130</v>
      </c>
      <c r="R1663" s="0" t="s">
        <v>138</v>
      </c>
      <c r="S1663" s="14">
        <v>0</v>
      </c>
      <c r="T1663" s="0" t="s">
        <v>206</v>
      </c>
      <c r="U1663" s="0" t="s">
        <v>138</v>
      </c>
      <c r="V1663" s="14" t="s">
        <v>138</v>
      </c>
      <c r="W1663" s="0" t="s">
        <v>138</v>
      </c>
      <c r="X1663" s="14" t="s">
        <v>138</v>
      </c>
      <c r="Y1663" s="0" t="s">
        <v>138</v>
      </c>
      <c r="Z1663" s="14" t="s">
        <v>138</v>
      </c>
      <c r="AA1663" s="0" t="s">
        <v>138</v>
      </c>
      <c r="AB1663" s="14" t="s">
        <v>138</v>
      </c>
      <c r="AD1663" s="0" t="s">
        <v>138</v>
      </c>
      <c r="AF1663" s="0">
        <v>0</v>
      </c>
      <c r="AG1663" s="0">
        <v>0</v>
      </c>
      <c r="AH1663" s="0" t="s">
        <v>140</v>
      </c>
      <c r="AI1663" s="0" t="s">
        <v>138</v>
      </c>
      <c r="AL1663" s="14"/>
      <c r="AN1663" s="14"/>
      <c r="AQ1663" s="0" t="s">
        <v>130</v>
      </c>
      <c r="AR1663" s="0" t="s">
        <v>130</v>
      </c>
      <c r="AS1663" s="0" t="s">
        <v>130</v>
      </c>
      <c r="AT1663" s="0" t="s">
        <v>130</v>
      </c>
      <c r="AU1663" s="0" t="s">
        <v>130</v>
      </c>
      <c r="AV1663" s="0" t="s">
        <v>130</v>
      </c>
      <c r="AW1663" s="0" t="s">
        <v>130</v>
      </c>
      <c r="AX1663" s="0" t="s">
        <v>130</v>
      </c>
      <c r="AY1663" s="0" t="s">
        <v>130</v>
      </c>
      <c r="AZ1663" s="0" t="s">
        <v>130</v>
      </c>
      <c r="BA1663" s="0" t="s">
        <v>130</v>
      </c>
      <c r="BB1663" s="0" t="s">
        <v>141</v>
      </c>
      <c r="BC1663" s="0" t="s">
        <v>130</v>
      </c>
      <c r="BD1663" s="0" t="s">
        <v>130</v>
      </c>
      <c r="BE1663" s="0" t="s">
        <v>130</v>
      </c>
      <c r="BF1663" s="0" t="s">
        <v>130</v>
      </c>
      <c r="BG1663" s="0" t="s">
        <v>130</v>
      </c>
      <c r="BH1663" s="0" t="s">
        <v>130</v>
      </c>
      <c r="BI1663" s="0" t="s">
        <v>130</v>
      </c>
      <c r="BJ1663" s="0" t="s">
        <v>130</v>
      </c>
      <c r="BK1663" s="0" t="s">
        <v>130</v>
      </c>
      <c r="BL1663" s="0" t="s">
        <v>130</v>
      </c>
      <c r="BM1663" s="0" t="s">
        <v>130</v>
      </c>
      <c r="BN1663" s="0" t="s">
        <v>130</v>
      </c>
      <c r="BO1663" s="0" t="s">
        <v>130</v>
      </c>
      <c r="BP1663" s="0" t="s">
        <v>130</v>
      </c>
      <c r="BQ1663" s="0" t="s">
        <v>130</v>
      </c>
      <c r="BR1663" s="0" t="s">
        <v>130</v>
      </c>
      <c r="BS1663" s="0" t="s">
        <v>130</v>
      </c>
      <c r="BT1663" s="0" t="s">
        <v>130</v>
      </c>
      <c r="BU1663" s="0" t="s">
        <v>130</v>
      </c>
      <c r="BV1663" s="0" t="s">
        <v>130</v>
      </c>
      <c r="BW1663" s="0" t="s">
        <v>130</v>
      </c>
      <c r="BX1663" s="0" t="s">
        <v>130</v>
      </c>
      <c r="BY1663" s="0" t="s">
        <v>130</v>
      </c>
      <c r="BZ1663" s="0" t="s">
        <v>130</v>
      </c>
      <c r="CA1663" s="0" t="s">
        <v>130</v>
      </c>
      <c r="CB1663" s="0" t="s">
        <v>130</v>
      </c>
      <c r="CC1663" s="0" t="s">
        <v>130</v>
      </c>
      <c r="CD1663" s="0" t="s">
        <v>130</v>
      </c>
      <c r="CE1663" s="0" t="s">
        <v>130</v>
      </c>
      <c r="CF1663" s="0" t="s">
        <v>130</v>
      </c>
      <c r="CG1663" s="0" t="s">
        <v>130</v>
      </c>
      <c r="CH1663" s="0" t="s">
        <v>130</v>
      </c>
      <c r="CI1663" s="0" t="s">
        <v>130</v>
      </c>
      <c r="CJ1663" s="0" t="s">
        <v>130</v>
      </c>
      <c r="CK1663" s="0" t="s">
        <v>130</v>
      </c>
      <c r="CL1663" s="0" t="s">
        <v>130</v>
      </c>
      <c r="CM1663" s="0" t="s">
        <v>130</v>
      </c>
      <c r="CN1663" s="0" t="s">
        <v>130</v>
      </c>
      <c r="CO1663" s="0" t="s">
        <v>130</v>
      </c>
      <c r="CP1663" s="0" t="s">
        <v>130</v>
      </c>
      <c r="CQ1663" s="0" t="s">
        <v>130</v>
      </c>
      <c r="CR1663" s="0" t="s">
        <v>130</v>
      </c>
      <c r="CS1663" s="0" t="s">
        <v>130</v>
      </c>
      <c r="CT1663" s="0" t="s">
        <v>4782</v>
      </c>
    </row>
    <row r="1664">
      <c r="A1664" s="14">
        <v>61417091</v>
      </c>
      <c r="B1664" s="0" t="s">
        <v>4783</v>
      </c>
      <c r="C1664" s="16">
        <f>HYPERLINK("https://eosportal.federatedhermes.com/companies/Q29tcGFueQppNTI5MDc=", "Amcor PLC")</f>
      </c>
      <c r="D1664" s="0" t="s">
        <v>25</v>
      </c>
      <c r="E1664" s="0" t="s">
        <v>4784</v>
      </c>
      <c r="F1664" s="16">
        <f>HYPERLINK("https://eosportal.federatedhermes.com/engagements/RW5nYWdlbWVudAppMjkzMDU=", "ACSI engagement activity on Plastics - Exposure to risks around plastics")</f>
      </c>
      <c r="G1664" s="14" t="s">
        <v>370</v>
      </c>
      <c r="H1664" s="0" t="s">
        <v>130</v>
      </c>
      <c r="I1664" s="14" t="s">
        <v>131</v>
      </c>
      <c r="J1664" s="0" t="s">
        <v>197</v>
      </c>
      <c r="K1664" s="0" t="s">
        <v>348</v>
      </c>
      <c r="L1664" s="0" t="s">
        <v>650</v>
      </c>
      <c r="M1664" s="0" t="s">
        <v>378</v>
      </c>
      <c r="N1664" s="0" t="s">
        <v>1059</v>
      </c>
      <c r="O1664" s="0" t="s">
        <v>373</v>
      </c>
      <c r="Q1664" s="0" t="s">
        <v>130</v>
      </c>
      <c r="R1664" s="0" t="s">
        <v>138</v>
      </c>
      <c r="S1664" s="14">
        <v>0</v>
      </c>
      <c r="T1664" s="0" t="s">
        <v>355</v>
      </c>
      <c r="U1664" s="0" t="s">
        <v>138</v>
      </c>
      <c r="V1664" s="14" t="s">
        <v>138</v>
      </c>
      <c r="W1664" s="0" t="s">
        <v>138</v>
      </c>
      <c r="X1664" s="14" t="s">
        <v>138</v>
      </c>
      <c r="Y1664" s="0" t="s">
        <v>138</v>
      </c>
      <c r="Z1664" s="14" t="s">
        <v>138</v>
      </c>
      <c r="AA1664" s="0" t="s">
        <v>138</v>
      </c>
      <c r="AB1664" s="14" t="s">
        <v>138</v>
      </c>
      <c r="AD1664" s="0" t="s">
        <v>138</v>
      </c>
      <c r="AF1664" s="0">
        <v>0</v>
      </c>
      <c r="AG1664" s="0">
        <v>0</v>
      </c>
      <c r="AH1664" s="0" t="s">
        <v>140</v>
      </c>
      <c r="AI1664" s="0" t="s">
        <v>138</v>
      </c>
      <c r="AL1664" s="14"/>
      <c r="AN1664" s="14"/>
      <c r="AQ1664" s="0" t="s">
        <v>130</v>
      </c>
      <c r="AR1664" s="0" t="s">
        <v>130</v>
      </c>
      <c r="AS1664" s="0" t="s">
        <v>130</v>
      </c>
      <c r="AT1664" s="0" t="s">
        <v>130</v>
      </c>
      <c r="AU1664" s="0" t="s">
        <v>130</v>
      </c>
      <c r="AV1664" s="0" t="s">
        <v>130</v>
      </c>
      <c r="AW1664" s="0" t="s">
        <v>130</v>
      </c>
      <c r="AX1664" s="0" t="s">
        <v>130</v>
      </c>
      <c r="AY1664" s="0" t="s">
        <v>130</v>
      </c>
      <c r="AZ1664" s="0" t="s">
        <v>130</v>
      </c>
      <c r="BA1664" s="0" t="s">
        <v>130</v>
      </c>
      <c r="BB1664" s="0" t="s">
        <v>141</v>
      </c>
      <c r="BC1664" s="0" t="s">
        <v>130</v>
      </c>
      <c r="BD1664" s="0" t="s">
        <v>130</v>
      </c>
      <c r="BE1664" s="0" t="s">
        <v>130</v>
      </c>
      <c r="BF1664" s="0" t="s">
        <v>130</v>
      </c>
      <c r="BG1664" s="0" t="s">
        <v>130</v>
      </c>
      <c r="BH1664" s="0" t="s">
        <v>130</v>
      </c>
      <c r="BI1664" s="0" t="s">
        <v>130</v>
      </c>
      <c r="BJ1664" s="0" t="s">
        <v>130</v>
      </c>
      <c r="BK1664" s="0" t="s">
        <v>130</v>
      </c>
      <c r="BL1664" s="0" t="s">
        <v>130</v>
      </c>
      <c r="BM1664" s="0" t="s">
        <v>130</v>
      </c>
      <c r="BN1664" s="0" t="s">
        <v>130</v>
      </c>
      <c r="BO1664" s="0" t="s">
        <v>130</v>
      </c>
      <c r="BP1664" s="0" t="s">
        <v>130</v>
      </c>
      <c r="BQ1664" s="0" t="s">
        <v>130</v>
      </c>
      <c r="BR1664" s="0" t="s">
        <v>130</v>
      </c>
      <c r="BS1664" s="0" t="s">
        <v>130</v>
      </c>
      <c r="BT1664" s="0" t="s">
        <v>130</v>
      </c>
      <c r="BU1664" s="0" t="s">
        <v>130</v>
      </c>
      <c r="BV1664" s="0" t="s">
        <v>130</v>
      </c>
      <c r="BW1664" s="0" t="s">
        <v>130</v>
      </c>
      <c r="BX1664" s="0" t="s">
        <v>130</v>
      </c>
      <c r="BY1664" s="0" t="s">
        <v>130</v>
      </c>
      <c r="BZ1664" s="0" t="s">
        <v>130</v>
      </c>
      <c r="CA1664" s="0" t="s">
        <v>130</v>
      </c>
      <c r="CB1664" s="0" t="s">
        <v>130</v>
      </c>
      <c r="CC1664" s="0" t="s">
        <v>130</v>
      </c>
      <c r="CD1664" s="0" t="s">
        <v>130</v>
      </c>
      <c r="CE1664" s="0" t="s">
        <v>130</v>
      </c>
      <c r="CF1664" s="0" t="s">
        <v>130</v>
      </c>
      <c r="CG1664" s="0" t="s">
        <v>130</v>
      </c>
      <c r="CH1664" s="0" t="s">
        <v>130</v>
      </c>
      <c r="CI1664" s="0" t="s">
        <v>130</v>
      </c>
      <c r="CJ1664" s="0" t="s">
        <v>130</v>
      </c>
      <c r="CK1664" s="0" t="s">
        <v>130</v>
      </c>
      <c r="CL1664" s="0" t="s">
        <v>130</v>
      </c>
      <c r="CM1664" s="0" t="s">
        <v>130</v>
      </c>
      <c r="CN1664" s="0" t="s">
        <v>130</v>
      </c>
      <c r="CO1664" s="0" t="s">
        <v>130</v>
      </c>
      <c r="CP1664" s="0" t="s">
        <v>130</v>
      </c>
      <c r="CQ1664" s="0" t="s">
        <v>130</v>
      </c>
      <c r="CR1664" s="0" t="s">
        <v>130</v>
      </c>
      <c r="CS1664" s="0" t="s">
        <v>130</v>
      </c>
      <c r="CT1664" s="0" t="s">
        <v>4785</v>
      </c>
    </row>
    <row r="1665">
      <c r="A1665" s="14">
        <v>61417091</v>
      </c>
      <c r="B1665" s="0" t="s">
        <v>4783</v>
      </c>
      <c r="C1665" s="16">
        <f>HYPERLINK("https://eosportal.federatedhermes.com/companies/Q29tcGFueQppNTI5MDc=", "Amcor PLC")</f>
      </c>
      <c r="D1665" s="0" t="s">
        <v>25</v>
      </c>
      <c r="E1665" s="0" t="s">
        <v>143</v>
      </c>
      <c r="F1665" s="16">
        <f>HYPERLINK("https://eosportal.federatedhermes.com/engagements/RW5nYWdlbWVudAppMjkzMDY=", "Executive compensation")</f>
      </c>
      <c r="G1665" s="14" t="s">
        <v>4786</v>
      </c>
      <c r="H1665" s="0" t="s">
        <v>130</v>
      </c>
      <c r="I1665" s="14" t="s">
        <v>131</v>
      </c>
      <c r="J1665" s="0" t="s">
        <v>145</v>
      </c>
      <c r="K1665" s="0" t="s">
        <v>146</v>
      </c>
      <c r="L1665" s="0" t="s">
        <v>147</v>
      </c>
      <c r="M1665" s="0" t="s">
        <v>378</v>
      </c>
      <c r="N1665" s="0" t="s">
        <v>1059</v>
      </c>
      <c r="O1665" s="0" t="s">
        <v>373</v>
      </c>
      <c r="Q1665" s="0" t="s">
        <v>130</v>
      </c>
      <c r="R1665" s="0" t="s">
        <v>138</v>
      </c>
      <c r="S1665" s="14">
        <v>0</v>
      </c>
      <c r="T1665" s="0" t="s">
        <v>193</v>
      </c>
      <c r="U1665" s="0" t="s">
        <v>138</v>
      </c>
      <c r="V1665" s="14" t="s">
        <v>138</v>
      </c>
      <c r="W1665" s="0" t="s">
        <v>138</v>
      </c>
      <c r="X1665" s="14" t="s">
        <v>138</v>
      </c>
      <c r="Y1665" s="0" t="s">
        <v>138</v>
      </c>
      <c r="Z1665" s="14" t="s">
        <v>138</v>
      </c>
      <c r="AA1665" s="0" t="s">
        <v>138</v>
      </c>
      <c r="AB1665" s="14" t="s">
        <v>138</v>
      </c>
      <c r="AD1665" s="0" t="s">
        <v>138</v>
      </c>
      <c r="AF1665" s="0">
        <v>0</v>
      </c>
      <c r="AG1665" s="0">
        <v>0</v>
      </c>
      <c r="AH1665" s="0" t="s">
        <v>140</v>
      </c>
      <c r="AI1665" s="0" t="s">
        <v>138</v>
      </c>
      <c r="AL1665" s="14"/>
      <c r="AN1665" s="14"/>
      <c r="AQ1665" s="0" t="s">
        <v>130</v>
      </c>
      <c r="AR1665" s="0" t="s">
        <v>130</v>
      </c>
      <c r="AS1665" s="0" t="s">
        <v>130</v>
      </c>
      <c r="AT1665" s="0" t="s">
        <v>130</v>
      </c>
      <c r="AU1665" s="0" t="s">
        <v>130</v>
      </c>
      <c r="AV1665" s="0" t="s">
        <v>130</v>
      </c>
      <c r="AW1665" s="0" t="s">
        <v>130</v>
      </c>
      <c r="AX1665" s="0" t="s">
        <v>130</v>
      </c>
      <c r="AY1665" s="0" t="s">
        <v>130</v>
      </c>
      <c r="AZ1665" s="0" t="s">
        <v>130</v>
      </c>
      <c r="BA1665" s="0" t="s">
        <v>130</v>
      </c>
      <c r="BB1665" s="0" t="s">
        <v>130</v>
      </c>
      <c r="BC1665" s="0" t="s">
        <v>130</v>
      </c>
      <c r="BD1665" s="0" t="s">
        <v>130</v>
      </c>
      <c r="BE1665" s="0" t="s">
        <v>130</v>
      </c>
      <c r="BF1665" s="0" t="s">
        <v>130</v>
      </c>
      <c r="BG1665" s="0" t="s">
        <v>130</v>
      </c>
      <c r="BH1665" s="0" t="s">
        <v>130</v>
      </c>
      <c r="BI1665" s="0" t="s">
        <v>130</v>
      </c>
      <c r="BJ1665" s="0" t="s">
        <v>130</v>
      </c>
      <c r="BK1665" s="0" t="s">
        <v>130</v>
      </c>
      <c r="BL1665" s="0" t="s">
        <v>130</v>
      </c>
      <c r="BM1665" s="0" t="s">
        <v>130</v>
      </c>
      <c r="BN1665" s="0" t="s">
        <v>130</v>
      </c>
      <c r="BO1665" s="0" t="s">
        <v>130</v>
      </c>
      <c r="BP1665" s="0" t="s">
        <v>130</v>
      </c>
      <c r="BQ1665" s="0" t="s">
        <v>130</v>
      </c>
      <c r="BR1665" s="0" t="s">
        <v>130</v>
      </c>
      <c r="BS1665" s="0" t="s">
        <v>130</v>
      </c>
      <c r="BT1665" s="0" t="s">
        <v>130</v>
      </c>
      <c r="BU1665" s="0" t="s">
        <v>130</v>
      </c>
      <c r="BV1665" s="0" t="s">
        <v>130</v>
      </c>
      <c r="BW1665" s="0" t="s">
        <v>130</v>
      </c>
      <c r="BX1665" s="0" t="s">
        <v>130</v>
      </c>
      <c r="BY1665" s="0" t="s">
        <v>130</v>
      </c>
      <c r="BZ1665" s="0" t="s">
        <v>130</v>
      </c>
      <c r="CA1665" s="0" t="s">
        <v>130</v>
      </c>
      <c r="CB1665" s="0" t="s">
        <v>130</v>
      </c>
      <c r="CC1665" s="0" t="s">
        <v>130</v>
      </c>
      <c r="CD1665" s="0" t="s">
        <v>130</v>
      </c>
      <c r="CE1665" s="0" t="s">
        <v>130</v>
      </c>
      <c r="CF1665" s="0" t="s">
        <v>130</v>
      </c>
      <c r="CG1665" s="0" t="s">
        <v>130</v>
      </c>
      <c r="CH1665" s="0" t="s">
        <v>130</v>
      </c>
      <c r="CI1665" s="0" t="s">
        <v>130</v>
      </c>
      <c r="CJ1665" s="0" t="s">
        <v>130</v>
      </c>
      <c r="CK1665" s="0" t="s">
        <v>130</v>
      </c>
      <c r="CL1665" s="0" t="s">
        <v>130</v>
      </c>
      <c r="CM1665" s="0" t="s">
        <v>130</v>
      </c>
      <c r="CN1665" s="0" t="s">
        <v>130</v>
      </c>
      <c r="CO1665" s="0" t="s">
        <v>130</v>
      </c>
      <c r="CP1665" s="0" t="s">
        <v>130</v>
      </c>
      <c r="CQ1665" s="0" t="s">
        <v>130</v>
      </c>
      <c r="CR1665" s="0" t="s">
        <v>130</v>
      </c>
      <c r="CS1665" s="0" t="s">
        <v>130</v>
      </c>
      <c r="CT1665" s="0" t="s">
        <v>4787</v>
      </c>
    </row>
    <row r="1666">
      <c r="A1666" s="14">
        <v>61564243</v>
      </c>
      <c r="B1666" s="0" t="s">
        <v>4788</v>
      </c>
      <c r="C1666" s="16">
        <f>HYPERLINK("https://eosportal.federatedhermes.com/companies/Q29tcGFueQppNTIxNzk=", "Nordea Bank Abp")</f>
      </c>
      <c r="D1666" s="0" t="s">
        <v>25</v>
      </c>
      <c r="E1666" s="0" t="s">
        <v>907</v>
      </c>
      <c r="F1666" s="16">
        <f>HYPERLINK("https://eosportal.federatedhermes.com/engagements/RW5nYWdlbWVudAppMjkzMDc=", "Climate change")</f>
      </c>
      <c r="G1666" s="14" t="s">
        <v>4789</v>
      </c>
      <c r="H1666" s="0" t="s">
        <v>141</v>
      </c>
      <c r="I1666" s="14" t="s">
        <v>131</v>
      </c>
      <c r="J1666" s="0" t="s">
        <v>197</v>
      </c>
      <c r="K1666" s="0" t="s">
        <v>198</v>
      </c>
      <c r="L1666" s="0" t="s">
        <v>216</v>
      </c>
      <c r="M1666" s="0" t="s">
        <v>378</v>
      </c>
      <c r="N1666" s="0" t="s">
        <v>3657</v>
      </c>
      <c r="O1666" s="0" t="s">
        <v>238</v>
      </c>
      <c r="Q1666" s="0" t="s">
        <v>130</v>
      </c>
      <c r="R1666" s="0" t="s">
        <v>138</v>
      </c>
      <c r="S1666" s="14">
        <v>0</v>
      </c>
      <c r="T1666" s="0" t="s">
        <v>156</v>
      </c>
      <c r="U1666" s="0" t="s">
        <v>138</v>
      </c>
      <c r="V1666" s="14" t="s">
        <v>138</v>
      </c>
      <c r="W1666" s="0" t="s">
        <v>138</v>
      </c>
      <c r="X1666" s="14" t="s">
        <v>138</v>
      </c>
      <c r="Y1666" s="0" t="s">
        <v>138</v>
      </c>
      <c r="Z1666" s="14" t="s">
        <v>138</v>
      </c>
      <c r="AA1666" s="0" t="s">
        <v>138</v>
      </c>
      <c r="AB1666" s="14" t="s">
        <v>138</v>
      </c>
      <c r="AD1666" s="0" t="s">
        <v>138</v>
      </c>
      <c r="AF1666" s="0">
        <v>0</v>
      </c>
      <c r="AG1666" s="0">
        <v>0</v>
      </c>
      <c r="AH1666" s="0" t="s">
        <v>140</v>
      </c>
      <c r="AI1666" s="0" t="s">
        <v>138</v>
      </c>
      <c r="AL1666" s="14"/>
      <c r="AN1666" s="14"/>
      <c r="AQ1666" s="0" t="s">
        <v>130</v>
      </c>
      <c r="AR1666" s="0" t="s">
        <v>130</v>
      </c>
      <c r="AS1666" s="0" t="s">
        <v>130</v>
      </c>
      <c r="AT1666" s="0" t="s">
        <v>130</v>
      </c>
      <c r="AU1666" s="0" t="s">
        <v>130</v>
      </c>
      <c r="AV1666" s="0" t="s">
        <v>130</v>
      </c>
      <c r="AW1666" s="0" t="s">
        <v>141</v>
      </c>
      <c r="AX1666" s="0" t="s">
        <v>130</v>
      </c>
      <c r="AY1666" s="0" t="s">
        <v>130</v>
      </c>
      <c r="AZ1666" s="0" t="s">
        <v>130</v>
      </c>
      <c r="BA1666" s="0" t="s">
        <v>130</v>
      </c>
      <c r="BB1666" s="0" t="s">
        <v>130</v>
      </c>
      <c r="BC1666" s="0" t="s">
        <v>141</v>
      </c>
      <c r="BD1666" s="0" t="s">
        <v>130</v>
      </c>
      <c r="BE1666" s="0" t="s">
        <v>130</v>
      </c>
      <c r="BF1666" s="0" t="s">
        <v>130</v>
      </c>
      <c r="BG1666" s="0" t="s">
        <v>130</v>
      </c>
      <c r="BH1666" s="0" t="s">
        <v>141</v>
      </c>
      <c r="BI1666" s="0" t="s">
        <v>141</v>
      </c>
      <c r="BJ1666" s="0" t="s">
        <v>141</v>
      </c>
      <c r="BK1666" s="0" t="s">
        <v>130</v>
      </c>
      <c r="BL1666" s="0" t="s">
        <v>130</v>
      </c>
      <c r="BM1666" s="0" t="s">
        <v>130</v>
      </c>
      <c r="BN1666" s="0" t="s">
        <v>130</v>
      </c>
      <c r="BO1666" s="0" t="s">
        <v>130</v>
      </c>
      <c r="BP1666" s="0" t="s">
        <v>130</v>
      </c>
      <c r="BQ1666" s="0" t="s">
        <v>130</v>
      </c>
      <c r="BR1666" s="0" t="s">
        <v>130</v>
      </c>
      <c r="BS1666" s="0" t="s">
        <v>130</v>
      </c>
      <c r="BT1666" s="0" t="s">
        <v>130</v>
      </c>
      <c r="BU1666" s="0" t="s">
        <v>130</v>
      </c>
      <c r="BV1666" s="0" t="s">
        <v>141</v>
      </c>
      <c r="BW1666" s="0" t="s">
        <v>141</v>
      </c>
      <c r="BX1666" s="0" t="s">
        <v>130</v>
      </c>
      <c r="BY1666" s="0" t="s">
        <v>130</v>
      </c>
      <c r="BZ1666" s="0" t="s">
        <v>130</v>
      </c>
      <c r="CA1666" s="0" t="s">
        <v>130</v>
      </c>
      <c r="CB1666" s="0" t="s">
        <v>130</v>
      </c>
      <c r="CC1666" s="0" t="s">
        <v>130</v>
      </c>
      <c r="CD1666" s="0" t="s">
        <v>130</v>
      </c>
      <c r="CE1666" s="0" t="s">
        <v>130</v>
      </c>
      <c r="CF1666" s="0" t="s">
        <v>130</v>
      </c>
      <c r="CG1666" s="0" t="s">
        <v>130</v>
      </c>
      <c r="CH1666" s="0" t="s">
        <v>130</v>
      </c>
      <c r="CI1666" s="0" t="s">
        <v>130</v>
      </c>
      <c r="CJ1666" s="0" t="s">
        <v>130</v>
      </c>
      <c r="CK1666" s="0" t="s">
        <v>130</v>
      </c>
      <c r="CL1666" s="0" t="s">
        <v>130</v>
      </c>
      <c r="CM1666" s="0" t="s">
        <v>130</v>
      </c>
      <c r="CN1666" s="0" t="s">
        <v>130</v>
      </c>
      <c r="CO1666" s="0" t="s">
        <v>130</v>
      </c>
      <c r="CP1666" s="0" t="s">
        <v>130</v>
      </c>
      <c r="CQ1666" s="0" t="s">
        <v>130</v>
      </c>
      <c r="CR1666" s="0" t="s">
        <v>130</v>
      </c>
      <c r="CS1666" s="0" t="s">
        <v>130</v>
      </c>
      <c r="CT1666" s="0" t="s">
        <v>4790</v>
      </c>
    </row>
    <row r="1667">
      <c r="A1667" s="14">
        <v>61564243</v>
      </c>
      <c r="B1667" s="0" t="s">
        <v>4788</v>
      </c>
      <c r="C1667" s="16">
        <f>HYPERLINK("https://eosportal.federatedhermes.com/companies/Q29tcGFueQppNTIxNzk=", "Nordea Bank Abp")</f>
      </c>
      <c r="D1667" s="0" t="s">
        <v>25</v>
      </c>
      <c r="E1667" s="0" t="s">
        <v>3033</v>
      </c>
      <c r="F1667" s="16">
        <f>HYPERLINK("https://eosportal.federatedhermes.com/engagements/RW5nYWdlbWVudAppMjkzMDg=", "Money laundering")</f>
      </c>
      <c r="G1667" s="14" t="s">
        <v>4791</v>
      </c>
      <c r="H1667" s="0" t="s">
        <v>141</v>
      </c>
      <c r="I1667" s="14" t="s">
        <v>131</v>
      </c>
      <c r="J1667" s="0" t="s">
        <v>132</v>
      </c>
      <c r="K1667" s="0" t="s">
        <v>260</v>
      </c>
      <c r="L1667" s="0" t="s">
        <v>261</v>
      </c>
      <c r="M1667" s="0" t="s">
        <v>378</v>
      </c>
      <c r="N1667" s="0" t="s">
        <v>3657</v>
      </c>
      <c r="O1667" s="0" t="s">
        <v>238</v>
      </c>
      <c r="Q1667" s="0" t="s">
        <v>130</v>
      </c>
      <c r="R1667" s="0" t="s">
        <v>138</v>
      </c>
      <c r="S1667" s="14">
        <v>0</v>
      </c>
      <c r="T1667" s="0" t="s">
        <v>156</v>
      </c>
      <c r="U1667" s="0" t="s">
        <v>138</v>
      </c>
      <c r="V1667" s="14" t="s">
        <v>138</v>
      </c>
      <c r="W1667" s="0" t="s">
        <v>138</v>
      </c>
      <c r="X1667" s="14" t="s">
        <v>138</v>
      </c>
      <c r="Y1667" s="0" t="s">
        <v>138</v>
      </c>
      <c r="Z1667" s="14" t="s">
        <v>138</v>
      </c>
      <c r="AA1667" s="0" t="s">
        <v>138</v>
      </c>
      <c r="AB1667" s="14" t="s">
        <v>138</v>
      </c>
      <c r="AD1667" s="0" t="s">
        <v>138</v>
      </c>
      <c r="AF1667" s="0">
        <v>0</v>
      </c>
      <c r="AG1667" s="0">
        <v>0</v>
      </c>
      <c r="AH1667" s="0" t="s">
        <v>140</v>
      </c>
      <c r="AI1667" s="0" t="s">
        <v>138</v>
      </c>
      <c r="AL1667" s="14"/>
      <c r="AN1667" s="14"/>
      <c r="AQ1667" s="0" t="s">
        <v>130</v>
      </c>
      <c r="AR1667" s="0" t="s">
        <v>130</v>
      </c>
      <c r="AS1667" s="0" t="s">
        <v>130</v>
      </c>
      <c r="AT1667" s="0" t="s">
        <v>130</v>
      </c>
      <c r="AU1667" s="0" t="s">
        <v>130</v>
      </c>
      <c r="AV1667" s="0" t="s">
        <v>130</v>
      </c>
      <c r="AW1667" s="0" t="s">
        <v>130</v>
      </c>
      <c r="AX1667" s="0" t="s">
        <v>130</v>
      </c>
      <c r="AY1667" s="0" t="s">
        <v>130</v>
      </c>
      <c r="AZ1667" s="0" t="s">
        <v>130</v>
      </c>
      <c r="BA1667" s="0" t="s">
        <v>130</v>
      </c>
      <c r="BB1667" s="0" t="s">
        <v>130</v>
      </c>
      <c r="BC1667" s="0" t="s">
        <v>130</v>
      </c>
      <c r="BD1667" s="0" t="s">
        <v>130</v>
      </c>
      <c r="BE1667" s="0" t="s">
        <v>130</v>
      </c>
      <c r="BF1667" s="0" t="s">
        <v>130</v>
      </c>
      <c r="BG1667" s="0" t="s">
        <v>130</v>
      </c>
      <c r="BH1667" s="0" t="s">
        <v>130</v>
      </c>
      <c r="BI1667" s="0" t="s">
        <v>130</v>
      </c>
      <c r="BJ1667" s="0" t="s">
        <v>130</v>
      </c>
      <c r="BK1667" s="0" t="s">
        <v>130</v>
      </c>
      <c r="BL1667" s="0" t="s">
        <v>130</v>
      </c>
      <c r="BM1667" s="0" t="s">
        <v>130</v>
      </c>
      <c r="BN1667" s="0" t="s">
        <v>130</v>
      </c>
      <c r="BO1667" s="0" t="s">
        <v>130</v>
      </c>
      <c r="BP1667" s="0" t="s">
        <v>130</v>
      </c>
      <c r="BQ1667" s="0" t="s">
        <v>130</v>
      </c>
      <c r="BR1667" s="0" t="s">
        <v>130</v>
      </c>
      <c r="BS1667" s="0" t="s">
        <v>130</v>
      </c>
      <c r="BT1667" s="0" t="s">
        <v>130</v>
      </c>
      <c r="BU1667" s="0" t="s">
        <v>130</v>
      </c>
      <c r="BV1667" s="0" t="s">
        <v>130</v>
      </c>
      <c r="BW1667" s="0" t="s">
        <v>130</v>
      </c>
      <c r="BX1667" s="0" t="s">
        <v>130</v>
      </c>
      <c r="BY1667" s="0" t="s">
        <v>130</v>
      </c>
      <c r="BZ1667" s="0" t="s">
        <v>130</v>
      </c>
      <c r="CA1667" s="0" t="s">
        <v>130</v>
      </c>
      <c r="CB1667" s="0" t="s">
        <v>130</v>
      </c>
      <c r="CC1667" s="0" t="s">
        <v>130</v>
      </c>
      <c r="CD1667" s="0" t="s">
        <v>130</v>
      </c>
      <c r="CE1667" s="0" t="s">
        <v>130</v>
      </c>
      <c r="CF1667" s="0" t="s">
        <v>130</v>
      </c>
      <c r="CG1667" s="0" t="s">
        <v>130</v>
      </c>
      <c r="CH1667" s="0" t="s">
        <v>130</v>
      </c>
      <c r="CI1667" s="0" t="s">
        <v>130</v>
      </c>
      <c r="CJ1667" s="0" t="s">
        <v>130</v>
      </c>
      <c r="CK1667" s="0" t="s">
        <v>130</v>
      </c>
      <c r="CL1667" s="0" t="s">
        <v>130</v>
      </c>
      <c r="CM1667" s="0" t="s">
        <v>130</v>
      </c>
      <c r="CN1667" s="0" t="s">
        <v>130</v>
      </c>
      <c r="CO1667" s="0" t="s">
        <v>130</v>
      </c>
      <c r="CP1667" s="0" t="s">
        <v>130</v>
      </c>
      <c r="CQ1667" s="0" t="s">
        <v>130</v>
      </c>
      <c r="CR1667" s="0" t="s">
        <v>130</v>
      </c>
      <c r="CS1667" s="0" t="s">
        <v>130</v>
      </c>
      <c r="CT1667" s="0" t="s">
        <v>4792</v>
      </c>
    </row>
    <row r="1668">
      <c r="A1668" s="14">
        <v>61564243</v>
      </c>
      <c r="B1668" s="0" t="s">
        <v>4788</v>
      </c>
      <c r="C1668" s="16">
        <f>HYPERLINK("https://eosportal.federatedhermes.com/companies/Q29tcGFueQppNTIxNzk=", "Nordea Bank Abp")</f>
      </c>
      <c r="D1668" s="0" t="s">
        <v>25</v>
      </c>
      <c r="E1668" s="0" t="s">
        <v>280</v>
      </c>
      <c r="F1668" s="16">
        <f>HYPERLINK("https://eosportal.federatedhermes.com/engagements/RW5nYWdlbWVudAppMjkzMDk=", "Director over boarding")</f>
      </c>
      <c r="G1668" s="14" t="s">
        <v>4793</v>
      </c>
      <c r="H1668" s="0" t="s">
        <v>141</v>
      </c>
      <c r="I1668" s="14" t="s">
        <v>131</v>
      </c>
      <c r="J1668" s="0" t="s">
        <v>145</v>
      </c>
      <c r="K1668" s="0" t="s">
        <v>164</v>
      </c>
      <c r="L1668" s="0" t="s">
        <v>165</v>
      </c>
      <c r="M1668" s="0" t="s">
        <v>378</v>
      </c>
      <c r="N1668" s="0" t="s">
        <v>3657</v>
      </c>
      <c r="O1668" s="0" t="s">
        <v>238</v>
      </c>
      <c r="Q1668" s="0" t="s">
        <v>130</v>
      </c>
      <c r="R1668" s="0" t="s">
        <v>138</v>
      </c>
      <c r="S1668" s="14">
        <v>0</v>
      </c>
      <c r="T1668" s="0" t="s">
        <v>148</v>
      </c>
      <c r="U1668" s="0" t="s">
        <v>138</v>
      </c>
      <c r="V1668" s="14" t="s">
        <v>138</v>
      </c>
      <c r="W1668" s="0" t="s">
        <v>138</v>
      </c>
      <c r="X1668" s="14" t="s">
        <v>138</v>
      </c>
      <c r="Y1668" s="0" t="s">
        <v>138</v>
      </c>
      <c r="Z1668" s="14" t="s">
        <v>138</v>
      </c>
      <c r="AA1668" s="0" t="s">
        <v>138</v>
      </c>
      <c r="AB1668" s="14" t="s">
        <v>138</v>
      </c>
      <c r="AD1668" s="0" t="s">
        <v>138</v>
      </c>
      <c r="AF1668" s="0">
        <v>0</v>
      </c>
      <c r="AG1668" s="0">
        <v>0</v>
      </c>
      <c r="AH1668" s="0" t="s">
        <v>140</v>
      </c>
      <c r="AI1668" s="0" t="s">
        <v>138</v>
      </c>
      <c r="AL1668" s="14"/>
      <c r="AN1668" s="14"/>
      <c r="AQ1668" s="0" t="s">
        <v>130</v>
      </c>
      <c r="AR1668" s="0" t="s">
        <v>130</v>
      </c>
      <c r="AS1668" s="0" t="s">
        <v>130</v>
      </c>
      <c r="AT1668" s="0" t="s">
        <v>130</v>
      </c>
      <c r="AU1668" s="0" t="s">
        <v>130</v>
      </c>
      <c r="AV1668" s="0" t="s">
        <v>130</v>
      </c>
      <c r="AW1668" s="0" t="s">
        <v>130</v>
      </c>
      <c r="AX1668" s="0" t="s">
        <v>130</v>
      </c>
      <c r="AY1668" s="0" t="s">
        <v>130</v>
      </c>
      <c r="AZ1668" s="0" t="s">
        <v>130</v>
      </c>
      <c r="BA1668" s="0" t="s">
        <v>130</v>
      </c>
      <c r="BB1668" s="0" t="s">
        <v>130</v>
      </c>
      <c r="BC1668" s="0" t="s">
        <v>130</v>
      </c>
      <c r="BD1668" s="0" t="s">
        <v>130</v>
      </c>
      <c r="BE1668" s="0" t="s">
        <v>130</v>
      </c>
      <c r="BF1668" s="0" t="s">
        <v>130</v>
      </c>
      <c r="BG1668" s="0" t="s">
        <v>130</v>
      </c>
      <c r="BH1668" s="0" t="s">
        <v>130</v>
      </c>
      <c r="BI1668" s="0" t="s">
        <v>130</v>
      </c>
      <c r="BJ1668" s="0" t="s">
        <v>130</v>
      </c>
      <c r="BK1668" s="0" t="s">
        <v>130</v>
      </c>
      <c r="BL1668" s="0" t="s">
        <v>130</v>
      </c>
      <c r="BM1668" s="0" t="s">
        <v>130</v>
      </c>
      <c r="BN1668" s="0" t="s">
        <v>130</v>
      </c>
      <c r="BO1668" s="0" t="s">
        <v>130</v>
      </c>
      <c r="BP1668" s="0" t="s">
        <v>130</v>
      </c>
      <c r="BQ1668" s="0" t="s">
        <v>130</v>
      </c>
      <c r="BR1668" s="0" t="s">
        <v>130</v>
      </c>
      <c r="BS1668" s="0" t="s">
        <v>130</v>
      </c>
      <c r="BT1668" s="0" t="s">
        <v>130</v>
      </c>
      <c r="BU1668" s="0" t="s">
        <v>130</v>
      </c>
      <c r="BV1668" s="0" t="s">
        <v>130</v>
      </c>
      <c r="BW1668" s="0" t="s">
        <v>130</v>
      </c>
      <c r="BX1668" s="0" t="s">
        <v>130</v>
      </c>
      <c r="BY1668" s="0" t="s">
        <v>130</v>
      </c>
      <c r="BZ1668" s="0" t="s">
        <v>130</v>
      </c>
      <c r="CA1668" s="0" t="s">
        <v>130</v>
      </c>
      <c r="CB1668" s="0" t="s">
        <v>130</v>
      </c>
      <c r="CC1668" s="0" t="s">
        <v>130</v>
      </c>
      <c r="CD1668" s="0" t="s">
        <v>130</v>
      </c>
      <c r="CE1668" s="0" t="s">
        <v>130</v>
      </c>
      <c r="CF1668" s="0" t="s">
        <v>130</v>
      </c>
      <c r="CG1668" s="0" t="s">
        <v>130</v>
      </c>
      <c r="CH1668" s="0" t="s">
        <v>130</v>
      </c>
      <c r="CI1668" s="0" t="s">
        <v>130</v>
      </c>
      <c r="CJ1668" s="0" t="s">
        <v>130</v>
      </c>
      <c r="CK1668" s="0" t="s">
        <v>130</v>
      </c>
      <c r="CL1668" s="0" t="s">
        <v>130</v>
      </c>
      <c r="CM1668" s="0" t="s">
        <v>130</v>
      </c>
      <c r="CN1668" s="0" t="s">
        <v>130</v>
      </c>
      <c r="CO1668" s="0" t="s">
        <v>130</v>
      </c>
      <c r="CP1668" s="0" t="s">
        <v>130</v>
      </c>
      <c r="CQ1668" s="0" t="s">
        <v>130</v>
      </c>
      <c r="CR1668" s="0" t="s">
        <v>130</v>
      </c>
      <c r="CS1668" s="0" t="s">
        <v>130</v>
      </c>
      <c r="CT1668" s="0" t="s">
        <v>4794</v>
      </c>
    </row>
    <row r="1669">
      <c r="A1669" s="14">
        <v>69423747</v>
      </c>
      <c r="B1669" s="0" t="s">
        <v>4795</v>
      </c>
      <c r="C1669" s="16">
        <f>HYPERLINK("https://eosportal.federatedhermes.com/companies/Q29tcGFueQppNTM0MjQ=", "Cisco Systems Inc")</f>
      </c>
      <c r="D1669" s="0" t="s">
        <v>25</v>
      </c>
      <c r="E1669" s="0" t="s">
        <v>4796</v>
      </c>
      <c r="F1669" s="16">
        <f>HYPERLINK("https://eosportal.federatedhermes.com/engagements/RW5nYWdlbWVudAppMjkzNjk=", "Better disclosure of lobbying activity")</f>
      </c>
      <c r="G1669" s="14" t="s">
        <v>4797</v>
      </c>
      <c r="H1669" s="0" t="s">
        <v>141</v>
      </c>
      <c r="I1669" s="14" t="s">
        <v>636</v>
      </c>
      <c r="J1669" s="0" t="s">
        <v>132</v>
      </c>
      <c r="K1669" s="0" t="s">
        <v>170</v>
      </c>
      <c r="L1669" s="0" t="s">
        <v>171</v>
      </c>
      <c r="M1669" s="0" t="s">
        <v>135</v>
      </c>
      <c r="N1669" s="0" t="s">
        <v>136</v>
      </c>
      <c r="O1669" s="0" t="s">
        <v>1125</v>
      </c>
      <c r="Q1669" s="0" t="s">
        <v>130</v>
      </c>
      <c r="R1669" s="0" t="s">
        <v>138</v>
      </c>
      <c r="S1669" s="14">
        <v>0</v>
      </c>
      <c r="T1669" s="0" t="s">
        <v>343</v>
      </c>
      <c r="U1669" s="0" t="s">
        <v>138</v>
      </c>
      <c r="V1669" s="14" t="s">
        <v>138</v>
      </c>
      <c r="W1669" s="0" t="s">
        <v>138</v>
      </c>
      <c r="X1669" s="14" t="s">
        <v>138</v>
      </c>
      <c r="Y1669" s="0" t="s">
        <v>138</v>
      </c>
      <c r="Z1669" s="14" t="s">
        <v>138</v>
      </c>
      <c r="AA1669" s="0" t="s">
        <v>138</v>
      </c>
      <c r="AB1669" s="14" t="s">
        <v>138</v>
      </c>
      <c r="AD1669" s="0" t="s">
        <v>138</v>
      </c>
      <c r="AF1669" s="0">
        <v>0</v>
      </c>
      <c r="AG1669" s="0">
        <v>0</v>
      </c>
      <c r="AH1669" s="0" t="s">
        <v>140</v>
      </c>
      <c r="AI1669" s="0" t="s">
        <v>138</v>
      </c>
      <c r="AL1669" s="14"/>
      <c r="AN1669" s="14"/>
      <c r="AQ1669" s="0" t="s">
        <v>130</v>
      </c>
      <c r="AR1669" s="0" t="s">
        <v>130</v>
      </c>
      <c r="AS1669" s="0" t="s">
        <v>130</v>
      </c>
      <c r="AT1669" s="0" t="s">
        <v>130</v>
      </c>
      <c r="AU1669" s="0" t="s">
        <v>130</v>
      </c>
      <c r="AV1669" s="0" t="s">
        <v>130</v>
      </c>
      <c r="AW1669" s="0" t="s">
        <v>130</v>
      </c>
      <c r="AX1669" s="0" t="s">
        <v>130</v>
      </c>
      <c r="AY1669" s="0" t="s">
        <v>130</v>
      </c>
      <c r="AZ1669" s="0" t="s">
        <v>130</v>
      </c>
      <c r="BA1669" s="0" t="s">
        <v>130</v>
      </c>
      <c r="BB1669" s="0" t="s">
        <v>130</v>
      </c>
      <c r="BC1669" s="0" t="s">
        <v>130</v>
      </c>
      <c r="BD1669" s="0" t="s">
        <v>130</v>
      </c>
      <c r="BE1669" s="0" t="s">
        <v>130</v>
      </c>
      <c r="BF1669" s="0" t="s">
        <v>130</v>
      </c>
      <c r="BG1669" s="0" t="s">
        <v>130</v>
      </c>
      <c r="BH1669" s="0" t="s">
        <v>130</v>
      </c>
      <c r="BI1669" s="0" t="s">
        <v>130</v>
      </c>
      <c r="BJ1669" s="0" t="s">
        <v>130</v>
      </c>
      <c r="BK1669" s="0" t="s">
        <v>130</v>
      </c>
      <c r="BL1669" s="0" t="s">
        <v>130</v>
      </c>
      <c r="BM1669" s="0" t="s">
        <v>130</v>
      </c>
      <c r="BN1669" s="0" t="s">
        <v>130</v>
      </c>
      <c r="BO1669" s="0" t="s">
        <v>130</v>
      </c>
      <c r="BP1669" s="0" t="s">
        <v>130</v>
      </c>
      <c r="BQ1669" s="0" t="s">
        <v>130</v>
      </c>
      <c r="BR1669" s="0" t="s">
        <v>130</v>
      </c>
      <c r="BS1669" s="0" t="s">
        <v>130</v>
      </c>
      <c r="BT1669" s="0" t="s">
        <v>130</v>
      </c>
      <c r="BU1669" s="0" t="s">
        <v>130</v>
      </c>
      <c r="BV1669" s="0" t="s">
        <v>130</v>
      </c>
      <c r="BW1669" s="0" t="s">
        <v>130</v>
      </c>
      <c r="BX1669" s="0" t="s">
        <v>130</v>
      </c>
      <c r="BY1669" s="0" t="s">
        <v>130</v>
      </c>
      <c r="BZ1669" s="0" t="s">
        <v>130</v>
      </c>
      <c r="CA1669" s="0" t="s">
        <v>130</v>
      </c>
      <c r="CB1669" s="0" t="s">
        <v>130</v>
      </c>
      <c r="CC1669" s="0" t="s">
        <v>130</v>
      </c>
      <c r="CD1669" s="0" t="s">
        <v>130</v>
      </c>
      <c r="CE1669" s="0" t="s">
        <v>130</v>
      </c>
      <c r="CF1669" s="0" t="s">
        <v>130</v>
      </c>
      <c r="CG1669" s="0" t="s">
        <v>130</v>
      </c>
      <c r="CH1669" s="0" t="s">
        <v>130</v>
      </c>
      <c r="CI1669" s="0" t="s">
        <v>130</v>
      </c>
      <c r="CJ1669" s="0" t="s">
        <v>130</v>
      </c>
      <c r="CK1669" s="0" t="s">
        <v>130</v>
      </c>
      <c r="CL1669" s="0" t="s">
        <v>130</v>
      </c>
      <c r="CM1669" s="0" t="s">
        <v>130</v>
      </c>
      <c r="CN1669" s="0" t="s">
        <v>130</v>
      </c>
      <c r="CO1669" s="0" t="s">
        <v>130</v>
      </c>
      <c r="CP1669" s="0" t="s">
        <v>130</v>
      </c>
      <c r="CQ1669" s="0" t="s">
        <v>130</v>
      </c>
      <c r="CR1669" s="0" t="s">
        <v>130</v>
      </c>
      <c r="CS1669" s="0" t="s">
        <v>130</v>
      </c>
      <c r="CT1669" s="0" t="s">
        <v>4798</v>
      </c>
    </row>
    <row r="1670">
      <c r="A1670" s="14">
        <v>69423747</v>
      </c>
      <c r="B1670" s="0" t="s">
        <v>4795</v>
      </c>
      <c r="C1670" s="16">
        <f>HYPERLINK("https://eosportal.federatedhermes.com/companies/Q29tcGFueQppNTM0MjQ=", "Cisco Systems Inc")</f>
      </c>
      <c r="D1670" s="0" t="s">
        <v>25</v>
      </c>
      <c r="E1670" s="0" t="s">
        <v>4799</v>
      </c>
      <c r="F1670" s="16">
        <f>HYPERLINK("https://eosportal.federatedhermes.com/engagements/RW5nYWdlbWVudAppMjkzNzA=", "Renewables Strategy")</f>
      </c>
      <c r="G1670" s="14" t="s">
        <v>4800</v>
      </c>
      <c r="H1670" s="0" t="s">
        <v>141</v>
      </c>
      <c r="I1670" s="14" t="s">
        <v>636</v>
      </c>
      <c r="J1670" s="0" t="s">
        <v>132</v>
      </c>
      <c r="K1670" s="0" t="s">
        <v>133</v>
      </c>
      <c r="L1670" s="0" t="s">
        <v>160</v>
      </c>
      <c r="M1670" s="0" t="s">
        <v>135</v>
      </c>
      <c r="N1670" s="0" t="s">
        <v>136</v>
      </c>
      <c r="O1670" s="0" t="s">
        <v>1125</v>
      </c>
      <c r="Q1670" s="0" t="s">
        <v>130</v>
      </c>
      <c r="R1670" s="0" t="s">
        <v>138</v>
      </c>
      <c r="S1670" s="14">
        <v>0</v>
      </c>
      <c r="T1670" s="0" t="s">
        <v>166</v>
      </c>
      <c r="U1670" s="0" t="s">
        <v>138</v>
      </c>
      <c r="V1670" s="14" t="s">
        <v>138</v>
      </c>
      <c r="W1670" s="0" t="s">
        <v>138</v>
      </c>
      <c r="X1670" s="14" t="s">
        <v>138</v>
      </c>
      <c r="Y1670" s="0" t="s">
        <v>138</v>
      </c>
      <c r="Z1670" s="14" t="s">
        <v>138</v>
      </c>
      <c r="AA1670" s="0" t="s">
        <v>138</v>
      </c>
      <c r="AB1670" s="14" t="s">
        <v>138</v>
      </c>
      <c r="AD1670" s="0" t="s">
        <v>138</v>
      </c>
      <c r="AF1670" s="0">
        <v>0</v>
      </c>
      <c r="AG1670" s="0">
        <v>0</v>
      </c>
      <c r="AH1670" s="0" t="s">
        <v>140</v>
      </c>
      <c r="AI1670" s="0" t="s">
        <v>138</v>
      </c>
      <c r="AL1670" s="14"/>
      <c r="AN1670" s="14"/>
      <c r="AQ1670" s="0" t="s">
        <v>130</v>
      </c>
      <c r="AR1670" s="0" t="s">
        <v>130</v>
      </c>
      <c r="AS1670" s="0" t="s">
        <v>130</v>
      </c>
      <c r="AT1670" s="0" t="s">
        <v>130</v>
      </c>
      <c r="AU1670" s="0" t="s">
        <v>130</v>
      </c>
      <c r="AV1670" s="0" t="s">
        <v>130</v>
      </c>
      <c r="AW1670" s="0" t="s">
        <v>141</v>
      </c>
      <c r="AX1670" s="0" t="s">
        <v>130</v>
      </c>
      <c r="AY1670" s="0" t="s">
        <v>130</v>
      </c>
      <c r="AZ1670" s="0" t="s">
        <v>130</v>
      </c>
      <c r="BA1670" s="0" t="s">
        <v>130</v>
      </c>
      <c r="BB1670" s="0" t="s">
        <v>141</v>
      </c>
      <c r="BC1670" s="0" t="s">
        <v>141</v>
      </c>
      <c r="BD1670" s="0" t="s">
        <v>130</v>
      </c>
      <c r="BE1670" s="0" t="s">
        <v>130</v>
      </c>
      <c r="BF1670" s="0" t="s">
        <v>130</v>
      </c>
      <c r="BG1670" s="0" t="s">
        <v>130</v>
      </c>
      <c r="BH1670" s="0" t="s">
        <v>130</v>
      </c>
      <c r="BI1670" s="0" t="s">
        <v>130</v>
      </c>
      <c r="BJ1670" s="0" t="s">
        <v>130</v>
      </c>
      <c r="BK1670" s="0" t="s">
        <v>130</v>
      </c>
      <c r="BL1670" s="0" t="s">
        <v>130</v>
      </c>
      <c r="BM1670" s="0" t="s">
        <v>130</v>
      </c>
      <c r="BN1670" s="0" t="s">
        <v>130</v>
      </c>
      <c r="BO1670" s="0" t="s">
        <v>130</v>
      </c>
      <c r="BP1670" s="0" t="s">
        <v>130</v>
      </c>
      <c r="BQ1670" s="0" t="s">
        <v>130</v>
      </c>
      <c r="BR1670" s="0" t="s">
        <v>130</v>
      </c>
      <c r="BS1670" s="0" t="s">
        <v>130</v>
      </c>
      <c r="BT1670" s="0" t="s">
        <v>130</v>
      </c>
      <c r="BU1670" s="0" t="s">
        <v>130</v>
      </c>
      <c r="BV1670" s="0" t="s">
        <v>130</v>
      </c>
      <c r="BW1670" s="0" t="s">
        <v>130</v>
      </c>
      <c r="BX1670" s="0" t="s">
        <v>130</v>
      </c>
      <c r="BY1670" s="0" t="s">
        <v>130</v>
      </c>
      <c r="BZ1670" s="0" t="s">
        <v>130</v>
      </c>
      <c r="CA1670" s="0" t="s">
        <v>130</v>
      </c>
      <c r="CB1670" s="0" t="s">
        <v>130</v>
      </c>
      <c r="CC1670" s="0" t="s">
        <v>130</v>
      </c>
      <c r="CD1670" s="0" t="s">
        <v>130</v>
      </c>
      <c r="CE1670" s="0" t="s">
        <v>130</v>
      </c>
      <c r="CF1670" s="0" t="s">
        <v>130</v>
      </c>
      <c r="CG1670" s="0" t="s">
        <v>130</v>
      </c>
      <c r="CH1670" s="0" t="s">
        <v>130</v>
      </c>
      <c r="CI1670" s="0" t="s">
        <v>130</v>
      </c>
      <c r="CJ1670" s="0" t="s">
        <v>130</v>
      </c>
      <c r="CK1670" s="0" t="s">
        <v>130</v>
      </c>
      <c r="CL1670" s="0" t="s">
        <v>130</v>
      </c>
      <c r="CM1670" s="0" t="s">
        <v>130</v>
      </c>
      <c r="CN1670" s="0" t="s">
        <v>130</v>
      </c>
      <c r="CO1670" s="0" t="s">
        <v>130</v>
      </c>
      <c r="CP1670" s="0" t="s">
        <v>130</v>
      </c>
      <c r="CQ1670" s="0" t="s">
        <v>130</v>
      </c>
      <c r="CR1670" s="0" t="s">
        <v>130</v>
      </c>
      <c r="CS1670" s="0" t="s">
        <v>130</v>
      </c>
      <c r="CT1670" s="0" t="s">
        <v>4801</v>
      </c>
    </row>
    <row r="1671">
      <c r="A1671" s="14">
        <v>69423747</v>
      </c>
      <c r="B1671" s="0" t="s">
        <v>4795</v>
      </c>
      <c r="C1671" s="16">
        <f>HYPERLINK("https://eosportal.federatedhermes.com/companies/Q29tcGFueQppNTM0MjQ=", "Cisco Systems Inc")</f>
      </c>
      <c r="D1671" s="0" t="s">
        <v>25</v>
      </c>
      <c r="E1671" s="0" t="s">
        <v>4802</v>
      </c>
      <c r="F1671" s="16">
        <f>HYPERLINK("https://eosportal.federatedhermes.com/engagements/RW5nYWdlbWVudAppMjkzNzE=", "Product Energy Efficiency")</f>
      </c>
      <c r="G1671" s="14" t="s">
        <v>4803</v>
      </c>
      <c r="H1671" s="0" t="s">
        <v>141</v>
      </c>
      <c r="I1671" s="14" t="s">
        <v>636</v>
      </c>
      <c r="J1671" s="0" t="s">
        <v>132</v>
      </c>
      <c r="K1671" s="0" t="s">
        <v>133</v>
      </c>
      <c r="L1671" s="0" t="s">
        <v>160</v>
      </c>
      <c r="M1671" s="0" t="s">
        <v>135</v>
      </c>
      <c r="N1671" s="0" t="s">
        <v>136</v>
      </c>
      <c r="O1671" s="0" t="s">
        <v>1125</v>
      </c>
      <c r="Q1671" s="0" t="s">
        <v>130</v>
      </c>
      <c r="R1671" s="0" t="s">
        <v>138</v>
      </c>
      <c r="S1671" s="14">
        <v>0</v>
      </c>
      <c r="T1671" s="0" t="s">
        <v>166</v>
      </c>
      <c r="U1671" s="0" t="s">
        <v>138</v>
      </c>
      <c r="V1671" s="14" t="s">
        <v>138</v>
      </c>
      <c r="W1671" s="0" t="s">
        <v>138</v>
      </c>
      <c r="X1671" s="14" t="s">
        <v>138</v>
      </c>
      <c r="Y1671" s="0" t="s">
        <v>138</v>
      </c>
      <c r="Z1671" s="14" t="s">
        <v>138</v>
      </c>
      <c r="AA1671" s="0" t="s">
        <v>138</v>
      </c>
      <c r="AB1671" s="14" t="s">
        <v>138</v>
      </c>
      <c r="AD1671" s="0" t="s">
        <v>138</v>
      </c>
      <c r="AF1671" s="0">
        <v>0</v>
      </c>
      <c r="AG1671" s="0">
        <v>0</v>
      </c>
      <c r="AH1671" s="0" t="s">
        <v>140</v>
      </c>
      <c r="AI1671" s="0" t="s">
        <v>138</v>
      </c>
      <c r="AL1671" s="14"/>
      <c r="AN1671" s="14"/>
      <c r="AQ1671" s="0" t="s">
        <v>130</v>
      </c>
      <c r="AR1671" s="0" t="s">
        <v>130</v>
      </c>
      <c r="AS1671" s="0" t="s">
        <v>130</v>
      </c>
      <c r="AT1671" s="0" t="s">
        <v>130</v>
      </c>
      <c r="AU1671" s="0" t="s">
        <v>130</v>
      </c>
      <c r="AV1671" s="0" t="s">
        <v>130</v>
      </c>
      <c r="AW1671" s="0" t="s">
        <v>130</v>
      </c>
      <c r="AX1671" s="0" t="s">
        <v>130</v>
      </c>
      <c r="AY1671" s="0" t="s">
        <v>130</v>
      </c>
      <c r="AZ1671" s="0" t="s">
        <v>130</v>
      </c>
      <c r="BA1671" s="0" t="s">
        <v>130</v>
      </c>
      <c r="BB1671" s="0" t="s">
        <v>141</v>
      </c>
      <c r="BC1671" s="0" t="s">
        <v>130</v>
      </c>
      <c r="BD1671" s="0" t="s">
        <v>130</v>
      </c>
      <c r="BE1671" s="0" t="s">
        <v>130</v>
      </c>
      <c r="BF1671" s="0" t="s">
        <v>130</v>
      </c>
      <c r="BG1671" s="0" t="s">
        <v>130</v>
      </c>
      <c r="BH1671" s="0" t="s">
        <v>130</v>
      </c>
      <c r="BI1671" s="0" t="s">
        <v>130</v>
      </c>
      <c r="BJ1671" s="0" t="s">
        <v>130</v>
      </c>
      <c r="BK1671" s="0" t="s">
        <v>130</v>
      </c>
      <c r="BL1671" s="0" t="s">
        <v>130</v>
      </c>
      <c r="BM1671" s="0" t="s">
        <v>130</v>
      </c>
      <c r="BN1671" s="0" t="s">
        <v>130</v>
      </c>
      <c r="BO1671" s="0" t="s">
        <v>130</v>
      </c>
      <c r="BP1671" s="0" t="s">
        <v>130</v>
      </c>
      <c r="BQ1671" s="0" t="s">
        <v>130</v>
      </c>
      <c r="BR1671" s="0" t="s">
        <v>130</v>
      </c>
      <c r="BS1671" s="0" t="s">
        <v>130</v>
      </c>
      <c r="BT1671" s="0" t="s">
        <v>130</v>
      </c>
      <c r="BU1671" s="0" t="s">
        <v>130</v>
      </c>
      <c r="BV1671" s="0" t="s">
        <v>130</v>
      </c>
      <c r="BW1671" s="0" t="s">
        <v>130</v>
      </c>
      <c r="BX1671" s="0" t="s">
        <v>130</v>
      </c>
      <c r="BY1671" s="0" t="s">
        <v>130</v>
      </c>
      <c r="BZ1671" s="0" t="s">
        <v>130</v>
      </c>
      <c r="CA1671" s="0" t="s">
        <v>130</v>
      </c>
      <c r="CB1671" s="0" t="s">
        <v>130</v>
      </c>
      <c r="CC1671" s="0" t="s">
        <v>130</v>
      </c>
      <c r="CD1671" s="0" t="s">
        <v>130</v>
      </c>
      <c r="CE1671" s="0" t="s">
        <v>130</v>
      </c>
      <c r="CF1671" s="0" t="s">
        <v>130</v>
      </c>
      <c r="CG1671" s="0" t="s">
        <v>130</v>
      </c>
      <c r="CH1671" s="0" t="s">
        <v>130</v>
      </c>
      <c r="CI1671" s="0" t="s">
        <v>130</v>
      </c>
      <c r="CJ1671" s="0" t="s">
        <v>130</v>
      </c>
      <c r="CK1671" s="0" t="s">
        <v>130</v>
      </c>
      <c r="CL1671" s="0" t="s">
        <v>130</v>
      </c>
      <c r="CM1671" s="0" t="s">
        <v>130</v>
      </c>
      <c r="CN1671" s="0" t="s">
        <v>130</v>
      </c>
      <c r="CO1671" s="0" t="s">
        <v>130</v>
      </c>
      <c r="CP1671" s="0" t="s">
        <v>130</v>
      </c>
      <c r="CQ1671" s="0" t="s">
        <v>130</v>
      </c>
      <c r="CR1671" s="0" t="s">
        <v>130</v>
      </c>
      <c r="CS1671" s="0" t="s">
        <v>130</v>
      </c>
      <c r="CT1671" s="0" t="s">
        <v>4804</v>
      </c>
    </row>
    <row r="1672">
      <c r="A1672" s="14">
        <v>69423747</v>
      </c>
      <c r="B1672" s="0" t="s">
        <v>4795</v>
      </c>
      <c r="C1672" s="16">
        <f>HYPERLINK("https://eosportal.federatedhermes.com/companies/Q29tcGFueQppNTM0MjQ=", "Cisco Systems Inc")</f>
      </c>
      <c r="D1672" s="0" t="s">
        <v>25</v>
      </c>
      <c r="E1672" s="0" t="s">
        <v>4805</v>
      </c>
      <c r="F1672" s="16">
        <f>HYPERLINK("https://eosportal.federatedhermes.com/engagements/RW5nYWdlbWVudAppMjkzNzI=", "Supply chain transparency")</f>
      </c>
      <c r="G1672" s="14" t="s">
        <v>4806</v>
      </c>
      <c r="H1672" s="0" t="s">
        <v>141</v>
      </c>
      <c r="I1672" s="14" t="s">
        <v>636</v>
      </c>
      <c r="J1672" s="0" t="s">
        <v>197</v>
      </c>
      <c r="K1672" s="0" t="s">
        <v>198</v>
      </c>
      <c r="L1672" s="0" t="s">
        <v>199</v>
      </c>
      <c r="M1672" s="0" t="s">
        <v>135</v>
      </c>
      <c r="N1672" s="0" t="s">
        <v>136</v>
      </c>
      <c r="O1672" s="0" t="s">
        <v>1125</v>
      </c>
      <c r="Q1672" s="0" t="s">
        <v>130</v>
      </c>
      <c r="R1672" s="0" t="s">
        <v>138</v>
      </c>
      <c r="S1672" s="14">
        <v>0</v>
      </c>
      <c r="T1672" s="0" t="s">
        <v>249</v>
      </c>
      <c r="U1672" s="0" t="s">
        <v>138</v>
      </c>
      <c r="V1672" s="14" t="s">
        <v>138</v>
      </c>
      <c r="W1672" s="0" t="s">
        <v>138</v>
      </c>
      <c r="X1672" s="14" t="s">
        <v>138</v>
      </c>
      <c r="Y1672" s="0" t="s">
        <v>138</v>
      </c>
      <c r="Z1672" s="14" t="s">
        <v>138</v>
      </c>
      <c r="AA1672" s="0" t="s">
        <v>138</v>
      </c>
      <c r="AB1672" s="14" t="s">
        <v>138</v>
      </c>
      <c r="AD1672" s="0" t="s">
        <v>138</v>
      </c>
      <c r="AF1672" s="0">
        <v>0</v>
      </c>
      <c r="AG1672" s="0">
        <v>0</v>
      </c>
      <c r="AH1672" s="0" t="s">
        <v>140</v>
      </c>
      <c r="AI1672" s="0" t="s">
        <v>138</v>
      </c>
      <c r="AL1672" s="14"/>
      <c r="AN1672" s="14"/>
      <c r="AQ1672" s="0" t="s">
        <v>130</v>
      </c>
      <c r="AR1672" s="0" t="s">
        <v>130</v>
      </c>
      <c r="AS1672" s="0" t="s">
        <v>130</v>
      </c>
      <c r="AT1672" s="0" t="s">
        <v>130</v>
      </c>
      <c r="AU1672" s="0" t="s">
        <v>130</v>
      </c>
      <c r="AV1672" s="0" t="s">
        <v>130</v>
      </c>
      <c r="AW1672" s="0" t="s">
        <v>130</v>
      </c>
      <c r="AX1672" s="0" t="s">
        <v>130</v>
      </c>
      <c r="AY1672" s="0" t="s">
        <v>130</v>
      </c>
      <c r="AZ1672" s="0" t="s">
        <v>130</v>
      </c>
      <c r="BA1672" s="0" t="s">
        <v>130</v>
      </c>
      <c r="BB1672" s="0" t="s">
        <v>141</v>
      </c>
      <c r="BC1672" s="0" t="s">
        <v>130</v>
      </c>
      <c r="BD1672" s="0" t="s">
        <v>130</v>
      </c>
      <c r="BE1672" s="0" t="s">
        <v>130</v>
      </c>
      <c r="BF1672" s="0" t="s">
        <v>130</v>
      </c>
      <c r="BG1672" s="0" t="s">
        <v>130</v>
      </c>
      <c r="BH1672" s="0" t="s">
        <v>130</v>
      </c>
      <c r="BI1672" s="0" t="s">
        <v>130</v>
      </c>
      <c r="BJ1672" s="0" t="s">
        <v>130</v>
      </c>
      <c r="BK1672" s="0" t="s">
        <v>130</v>
      </c>
      <c r="BL1672" s="0" t="s">
        <v>130</v>
      </c>
      <c r="BM1672" s="0" t="s">
        <v>130</v>
      </c>
      <c r="BN1672" s="0" t="s">
        <v>130</v>
      </c>
      <c r="BO1672" s="0" t="s">
        <v>130</v>
      </c>
      <c r="BP1672" s="0" t="s">
        <v>130</v>
      </c>
      <c r="BQ1672" s="0" t="s">
        <v>130</v>
      </c>
      <c r="BR1672" s="0" t="s">
        <v>130</v>
      </c>
      <c r="BS1672" s="0" t="s">
        <v>130</v>
      </c>
      <c r="BT1672" s="0" t="s">
        <v>130</v>
      </c>
      <c r="BU1672" s="0" t="s">
        <v>130</v>
      </c>
      <c r="BV1672" s="0" t="s">
        <v>130</v>
      </c>
      <c r="BW1672" s="0" t="s">
        <v>130</v>
      </c>
      <c r="BX1672" s="0" t="s">
        <v>130</v>
      </c>
      <c r="BY1672" s="0" t="s">
        <v>130</v>
      </c>
      <c r="BZ1672" s="0" t="s">
        <v>130</v>
      </c>
      <c r="CA1672" s="0" t="s">
        <v>130</v>
      </c>
      <c r="CB1672" s="0" t="s">
        <v>130</v>
      </c>
      <c r="CC1672" s="0" t="s">
        <v>130</v>
      </c>
      <c r="CD1672" s="0" t="s">
        <v>130</v>
      </c>
      <c r="CE1672" s="0" t="s">
        <v>130</v>
      </c>
      <c r="CF1672" s="0" t="s">
        <v>130</v>
      </c>
      <c r="CG1672" s="0" t="s">
        <v>130</v>
      </c>
      <c r="CH1672" s="0" t="s">
        <v>130</v>
      </c>
      <c r="CI1672" s="0" t="s">
        <v>130</v>
      </c>
      <c r="CJ1672" s="0" t="s">
        <v>130</v>
      </c>
      <c r="CK1672" s="0" t="s">
        <v>130</v>
      </c>
      <c r="CL1672" s="0" t="s">
        <v>130</v>
      </c>
      <c r="CM1672" s="0" t="s">
        <v>130</v>
      </c>
      <c r="CN1672" s="0" t="s">
        <v>130</v>
      </c>
      <c r="CO1672" s="0" t="s">
        <v>130</v>
      </c>
      <c r="CP1672" s="0" t="s">
        <v>130</v>
      </c>
      <c r="CQ1672" s="0" t="s">
        <v>130</v>
      </c>
      <c r="CR1672" s="0" t="s">
        <v>130</v>
      </c>
      <c r="CS1672" s="0" t="s">
        <v>130</v>
      </c>
      <c r="CT1672" s="0" t="s">
        <v>4807</v>
      </c>
    </row>
    <row r="1673">
      <c r="A1673" s="14">
        <v>69423747</v>
      </c>
      <c r="B1673" s="0" t="s">
        <v>4795</v>
      </c>
      <c r="C1673" s="16">
        <f>HYPERLINK("https://eosportal.federatedhermes.com/companies/Q29tcGFueQppNTM0MjQ=", "Cisco Systems Inc")</f>
      </c>
      <c r="D1673" s="0" t="s">
        <v>25</v>
      </c>
      <c r="E1673" s="0" t="s">
        <v>4808</v>
      </c>
      <c r="F1673" s="16">
        <f>HYPERLINK("https://eosportal.federatedhermes.com/engagements/RW5nYWdlbWVudAppMjkzNzM=", "Circular Economy Strategy")</f>
      </c>
      <c r="G1673" s="14" t="s">
        <v>4809</v>
      </c>
      <c r="H1673" s="0" t="s">
        <v>141</v>
      </c>
      <c r="I1673" s="14" t="s">
        <v>636</v>
      </c>
      <c r="J1673" s="0" t="s">
        <v>197</v>
      </c>
      <c r="K1673" s="0" t="s">
        <v>348</v>
      </c>
      <c r="L1673" s="0" t="s">
        <v>349</v>
      </c>
      <c r="M1673" s="0" t="s">
        <v>135</v>
      </c>
      <c r="N1673" s="0" t="s">
        <v>136</v>
      </c>
      <c r="O1673" s="0" t="s">
        <v>1125</v>
      </c>
      <c r="Q1673" s="0" t="s">
        <v>130</v>
      </c>
      <c r="R1673" s="0" t="s">
        <v>138</v>
      </c>
      <c r="S1673" s="14">
        <v>0</v>
      </c>
      <c r="T1673" s="0" t="s">
        <v>166</v>
      </c>
      <c r="U1673" s="0" t="s">
        <v>138</v>
      </c>
      <c r="V1673" s="14" t="s">
        <v>138</v>
      </c>
      <c r="W1673" s="0" t="s">
        <v>138</v>
      </c>
      <c r="X1673" s="14" t="s">
        <v>138</v>
      </c>
      <c r="Y1673" s="0" t="s">
        <v>138</v>
      </c>
      <c r="Z1673" s="14" t="s">
        <v>138</v>
      </c>
      <c r="AA1673" s="0" t="s">
        <v>138</v>
      </c>
      <c r="AB1673" s="14" t="s">
        <v>138</v>
      </c>
      <c r="AD1673" s="0" t="s">
        <v>138</v>
      </c>
      <c r="AF1673" s="0">
        <v>0</v>
      </c>
      <c r="AG1673" s="0">
        <v>0</v>
      </c>
      <c r="AH1673" s="0" t="s">
        <v>140</v>
      </c>
      <c r="AI1673" s="0" t="s">
        <v>138</v>
      </c>
      <c r="AL1673" s="14"/>
      <c r="AN1673" s="14"/>
      <c r="AQ1673" s="0" t="s">
        <v>130</v>
      </c>
      <c r="AR1673" s="0" t="s">
        <v>130</v>
      </c>
      <c r="AS1673" s="0" t="s">
        <v>130</v>
      </c>
      <c r="AT1673" s="0" t="s">
        <v>130</v>
      </c>
      <c r="AU1673" s="0" t="s">
        <v>130</v>
      </c>
      <c r="AV1673" s="0" t="s">
        <v>130</v>
      </c>
      <c r="AW1673" s="0" t="s">
        <v>130</v>
      </c>
      <c r="AX1673" s="0" t="s">
        <v>130</v>
      </c>
      <c r="AY1673" s="0" t="s">
        <v>141</v>
      </c>
      <c r="AZ1673" s="0" t="s">
        <v>130</v>
      </c>
      <c r="BA1673" s="0" t="s">
        <v>130</v>
      </c>
      <c r="BB1673" s="0" t="s">
        <v>130</v>
      </c>
      <c r="BC1673" s="0" t="s">
        <v>130</v>
      </c>
      <c r="BD1673" s="0" t="s">
        <v>130</v>
      </c>
      <c r="BE1673" s="0" t="s">
        <v>130</v>
      </c>
      <c r="BF1673" s="0" t="s">
        <v>130</v>
      </c>
      <c r="BG1673" s="0" t="s">
        <v>130</v>
      </c>
      <c r="BH1673" s="0" t="s">
        <v>130</v>
      </c>
      <c r="BI1673" s="0" t="s">
        <v>130</v>
      </c>
      <c r="BJ1673" s="0" t="s">
        <v>130</v>
      </c>
      <c r="BK1673" s="0" t="s">
        <v>130</v>
      </c>
      <c r="BL1673" s="0" t="s">
        <v>130</v>
      </c>
      <c r="BM1673" s="0" t="s">
        <v>130</v>
      </c>
      <c r="BN1673" s="0" t="s">
        <v>130</v>
      </c>
      <c r="BO1673" s="0" t="s">
        <v>130</v>
      </c>
      <c r="BP1673" s="0" t="s">
        <v>130</v>
      </c>
      <c r="BQ1673" s="0" t="s">
        <v>130</v>
      </c>
      <c r="BR1673" s="0" t="s">
        <v>130</v>
      </c>
      <c r="BS1673" s="0" t="s">
        <v>130</v>
      </c>
      <c r="BT1673" s="0" t="s">
        <v>130</v>
      </c>
      <c r="BU1673" s="0" t="s">
        <v>130</v>
      </c>
      <c r="BV1673" s="0" t="s">
        <v>130</v>
      </c>
      <c r="BW1673" s="0" t="s">
        <v>130</v>
      </c>
      <c r="BX1673" s="0" t="s">
        <v>130</v>
      </c>
      <c r="BY1673" s="0" t="s">
        <v>130</v>
      </c>
      <c r="BZ1673" s="0" t="s">
        <v>130</v>
      </c>
      <c r="CA1673" s="0" t="s">
        <v>130</v>
      </c>
      <c r="CB1673" s="0" t="s">
        <v>130</v>
      </c>
      <c r="CC1673" s="0" t="s">
        <v>130</v>
      </c>
      <c r="CD1673" s="0" t="s">
        <v>141</v>
      </c>
      <c r="CE1673" s="0" t="s">
        <v>130</v>
      </c>
      <c r="CF1673" s="0" t="s">
        <v>130</v>
      </c>
      <c r="CG1673" s="0" t="s">
        <v>130</v>
      </c>
      <c r="CH1673" s="0" t="s">
        <v>130</v>
      </c>
      <c r="CI1673" s="0" t="s">
        <v>130</v>
      </c>
      <c r="CJ1673" s="0" t="s">
        <v>130</v>
      </c>
      <c r="CK1673" s="0" t="s">
        <v>130</v>
      </c>
      <c r="CL1673" s="0" t="s">
        <v>130</v>
      </c>
      <c r="CM1673" s="0" t="s">
        <v>130</v>
      </c>
      <c r="CN1673" s="0" t="s">
        <v>130</v>
      </c>
      <c r="CO1673" s="0" t="s">
        <v>130</v>
      </c>
      <c r="CP1673" s="0" t="s">
        <v>130</v>
      </c>
      <c r="CQ1673" s="0" t="s">
        <v>130</v>
      </c>
      <c r="CR1673" s="0" t="s">
        <v>130</v>
      </c>
      <c r="CS1673" s="0" t="s">
        <v>130</v>
      </c>
      <c r="CT1673" s="0" t="s">
        <v>4810</v>
      </c>
    </row>
    <row r="1674">
      <c r="A1674" s="14">
        <v>69423747</v>
      </c>
      <c r="B1674" s="0" t="s">
        <v>4795</v>
      </c>
      <c r="C1674" s="16">
        <f>HYPERLINK("https://eosportal.federatedhermes.com/companies/Q29tcGFueQppNTM0MjQ=", "Cisco Systems Inc")</f>
      </c>
      <c r="D1674" s="0" t="s">
        <v>25</v>
      </c>
      <c r="E1674" s="0" t="s">
        <v>4811</v>
      </c>
      <c r="F1674" s="16">
        <f>HYPERLINK("https://eosportal.federatedhermes.com/engagements/RW5nYWdlbWVudAppMjkzNzQ=", "Best Practices in Human Capital Management")</f>
      </c>
      <c r="G1674" s="14" t="s">
        <v>4812</v>
      </c>
      <c r="H1674" s="0" t="s">
        <v>141</v>
      </c>
      <c r="I1674" s="14" t="s">
        <v>636</v>
      </c>
      <c r="J1674" s="0" t="s">
        <v>153</v>
      </c>
      <c r="K1674" s="0" t="s">
        <v>154</v>
      </c>
      <c r="L1674" s="0" t="s">
        <v>306</v>
      </c>
      <c r="M1674" s="0" t="s">
        <v>135</v>
      </c>
      <c r="N1674" s="0" t="s">
        <v>136</v>
      </c>
      <c r="O1674" s="0" t="s">
        <v>1125</v>
      </c>
      <c r="Q1674" s="0" t="s">
        <v>130</v>
      </c>
      <c r="R1674" s="0" t="s">
        <v>138</v>
      </c>
      <c r="S1674" s="14">
        <v>0</v>
      </c>
      <c r="T1674" s="0" t="s">
        <v>166</v>
      </c>
      <c r="U1674" s="0" t="s">
        <v>138</v>
      </c>
      <c r="V1674" s="14" t="s">
        <v>138</v>
      </c>
      <c r="W1674" s="0" t="s">
        <v>138</v>
      </c>
      <c r="X1674" s="14" t="s">
        <v>138</v>
      </c>
      <c r="Y1674" s="0" t="s">
        <v>138</v>
      </c>
      <c r="Z1674" s="14" t="s">
        <v>138</v>
      </c>
      <c r="AA1674" s="0" t="s">
        <v>138</v>
      </c>
      <c r="AB1674" s="14" t="s">
        <v>138</v>
      </c>
      <c r="AD1674" s="0" t="s">
        <v>138</v>
      </c>
      <c r="AF1674" s="0">
        <v>0</v>
      </c>
      <c r="AG1674" s="0">
        <v>0</v>
      </c>
      <c r="AH1674" s="0" t="s">
        <v>140</v>
      </c>
      <c r="AI1674" s="0" t="s">
        <v>138</v>
      </c>
      <c r="AL1674" s="14"/>
      <c r="AN1674" s="14"/>
      <c r="AQ1674" s="0" t="s">
        <v>130</v>
      </c>
      <c r="AR1674" s="0" t="s">
        <v>130</v>
      </c>
      <c r="AS1674" s="0" t="s">
        <v>130</v>
      </c>
      <c r="AT1674" s="0" t="s">
        <v>130</v>
      </c>
      <c r="AU1674" s="0" t="s">
        <v>130</v>
      </c>
      <c r="AV1674" s="0" t="s">
        <v>130</v>
      </c>
      <c r="AW1674" s="0" t="s">
        <v>130</v>
      </c>
      <c r="AX1674" s="0" t="s">
        <v>130</v>
      </c>
      <c r="AY1674" s="0" t="s">
        <v>130</v>
      </c>
      <c r="AZ1674" s="0" t="s">
        <v>130</v>
      </c>
      <c r="BA1674" s="0" t="s">
        <v>130</v>
      </c>
      <c r="BB1674" s="0" t="s">
        <v>130</v>
      </c>
      <c r="BC1674" s="0" t="s">
        <v>130</v>
      </c>
      <c r="BD1674" s="0" t="s">
        <v>130</v>
      </c>
      <c r="BE1674" s="0" t="s">
        <v>130</v>
      </c>
      <c r="BF1674" s="0" t="s">
        <v>130</v>
      </c>
      <c r="BG1674" s="0" t="s">
        <v>130</v>
      </c>
      <c r="BH1674" s="0" t="s">
        <v>130</v>
      </c>
      <c r="BI1674" s="0" t="s">
        <v>130</v>
      </c>
      <c r="BJ1674" s="0" t="s">
        <v>130</v>
      </c>
      <c r="BK1674" s="0" t="s">
        <v>130</v>
      </c>
      <c r="BL1674" s="0" t="s">
        <v>130</v>
      </c>
      <c r="BM1674" s="0" t="s">
        <v>130</v>
      </c>
      <c r="BN1674" s="0" t="s">
        <v>130</v>
      </c>
      <c r="BO1674" s="0" t="s">
        <v>130</v>
      </c>
      <c r="BP1674" s="0" t="s">
        <v>130</v>
      </c>
      <c r="BQ1674" s="0" t="s">
        <v>130</v>
      </c>
      <c r="BR1674" s="0" t="s">
        <v>130</v>
      </c>
      <c r="BS1674" s="0" t="s">
        <v>130</v>
      </c>
      <c r="BT1674" s="0" t="s">
        <v>130</v>
      </c>
      <c r="BU1674" s="0" t="s">
        <v>130</v>
      </c>
      <c r="BV1674" s="0" t="s">
        <v>130</v>
      </c>
      <c r="BW1674" s="0" t="s">
        <v>130</v>
      </c>
      <c r="BX1674" s="0" t="s">
        <v>130</v>
      </c>
      <c r="BY1674" s="0" t="s">
        <v>130</v>
      </c>
      <c r="BZ1674" s="0" t="s">
        <v>130</v>
      </c>
      <c r="CA1674" s="0" t="s">
        <v>130</v>
      </c>
      <c r="CB1674" s="0" t="s">
        <v>130</v>
      </c>
      <c r="CC1674" s="0" t="s">
        <v>130</v>
      </c>
      <c r="CD1674" s="0" t="s">
        <v>130</v>
      </c>
      <c r="CE1674" s="0" t="s">
        <v>130</v>
      </c>
      <c r="CF1674" s="0" t="s">
        <v>130</v>
      </c>
      <c r="CG1674" s="0" t="s">
        <v>130</v>
      </c>
      <c r="CH1674" s="0" t="s">
        <v>130</v>
      </c>
      <c r="CI1674" s="0" t="s">
        <v>130</v>
      </c>
      <c r="CJ1674" s="0" t="s">
        <v>130</v>
      </c>
      <c r="CK1674" s="0" t="s">
        <v>130</v>
      </c>
      <c r="CL1674" s="0" t="s">
        <v>130</v>
      </c>
      <c r="CM1674" s="0" t="s">
        <v>130</v>
      </c>
      <c r="CN1674" s="0" t="s">
        <v>130</v>
      </c>
      <c r="CO1674" s="0" t="s">
        <v>130</v>
      </c>
      <c r="CP1674" s="0" t="s">
        <v>130</v>
      </c>
      <c r="CQ1674" s="0" t="s">
        <v>130</v>
      </c>
      <c r="CR1674" s="0" t="s">
        <v>130</v>
      </c>
      <c r="CS1674" s="0" t="s">
        <v>130</v>
      </c>
      <c r="CT1674" s="0" t="s">
        <v>4813</v>
      </c>
    </row>
    <row r="1675">
      <c r="A1675" s="14">
        <v>69423747</v>
      </c>
      <c r="B1675" s="0" t="s">
        <v>4795</v>
      </c>
      <c r="C1675" s="16">
        <f>HYPERLINK("https://eosportal.federatedhermes.com/companies/Q29tcGFueQppNTM0MjQ=", "Cisco Systems Inc")</f>
      </c>
      <c r="D1675" s="0" t="s">
        <v>25</v>
      </c>
      <c r="E1675" s="0" t="s">
        <v>4814</v>
      </c>
      <c r="F1675" s="16">
        <f>HYPERLINK("https://eosportal.federatedhermes.com/engagements/RW5nYWdlbWVudAppMjkzNzU=", "Human rights implications of unintended product use")</f>
      </c>
      <c r="G1675" s="14" t="s">
        <v>4815</v>
      </c>
      <c r="H1675" s="0" t="s">
        <v>141</v>
      </c>
      <c r="I1675" s="14" t="s">
        <v>636</v>
      </c>
      <c r="J1675" s="0" t="s">
        <v>153</v>
      </c>
      <c r="K1675" s="0" t="s">
        <v>185</v>
      </c>
      <c r="L1675" s="0" t="s">
        <v>626</v>
      </c>
      <c r="M1675" s="0" t="s">
        <v>135</v>
      </c>
      <c r="N1675" s="0" t="s">
        <v>136</v>
      </c>
      <c r="O1675" s="0" t="s">
        <v>1125</v>
      </c>
      <c r="Q1675" s="0" t="s">
        <v>130</v>
      </c>
      <c r="R1675" s="0" t="s">
        <v>138</v>
      </c>
      <c r="S1675" s="14">
        <v>0</v>
      </c>
      <c r="T1675" s="0" t="s">
        <v>920</v>
      </c>
      <c r="U1675" s="0" t="s">
        <v>138</v>
      </c>
      <c r="V1675" s="14" t="s">
        <v>138</v>
      </c>
      <c r="W1675" s="0" t="s">
        <v>138</v>
      </c>
      <c r="X1675" s="14" t="s">
        <v>138</v>
      </c>
      <c r="Y1675" s="0" t="s">
        <v>138</v>
      </c>
      <c r="Z1675" s="14" t="s">
        <v>138</v>
      </c>
      <c r="AA1675" s="0" t="s">
        <v>138</v>
      </c>
      <c r="AB1675" s="14" t="s">
        <v>138</v>
      </c>
      <c r="AD1675" s="0" t="s">
        <v>138</v>
      </c>
      <c r="AF1675" s="0">
        <v>0</v>
      </c>
      <c r="AG1675" s="0">
        <v>0</v>
      </c>
      <c r="AH1675" s="0" t="s">
        <v>140</v>
      </c>
      <c r="AI1675" s="0" t="s">
        <v>138</v>
      </c>
      <c r="AL1675" s="14"/>
      <c r="AN1675" s="14"/>
      <c r="AQ1675" s="0" t="s">
        <v>130</v>
      </c>
      <c r="AR1675" s="0" t="s">
        <v>130</v>
      </c>
      <c r="AS1675" s="0" t="s">
        <v>130</v>
      </c>
      <c r="AT1675" s="0" t="s">
        <v>130</v>
      </c>
      <c r="AU1675" s="0" t="s">
        <v>130</v>
      </c>
      <c r="AV1675" s="0" t="s">
        <v>130</v>
      </c>
      <c r="AW1675" s="0" t="s">
        <v>130</v>
      </c>
      <c r="AX1675" s="0" t="s">
        <v>130</v>
      </c>
      <c r="AY1675" s="0" t="s">
        <v>130</v>
      </c>
      <c r="AZ1675" s="0" t="s">
        <v>130</v>
      </c>
      <c r="BA1675" s="0" t="s">
        <v>130</v>
      </c>
      <c r="BB1675" s="0" t="s">
        <v>130</v>
      </c>
      <c r="BC1675" s="0" t="s">
        <v>130</v>
      </c>
      <c r="BD1675" s="0" t="s">
        <v>130</v>
      </c>
      <c r="BE1675" s="0" t="s">
        <v>130</v>
      </c>
      <c r="BF1675" s="0" t="s">
        <v>130</v>
      </c>
      <c r="BG1675" s="0" t="s">
        <v>130</v>
      </c>
      <c r="BH1675" s="0" t="s">
        <v>130</v>
      </c>
      <c r="BI1675" s="0" t="s">
        <v>130</v>
      </c>
      <c r="BJ1675" s="0" t="s">
        <v>130</v>
      </c>
      <c r="BK1675" s="0" t="s">
        <v>130</v>
      </c>
      <c r="BL1675" s="0" t="s">
        <v>130</v>
      </c>
      <c r="BM1675" s="0" t="s">
        <v>130</v>
      </c>
      <c r="BN1675" s="0" t="s">
        <v>130</v>
      </c>
      <c r="BO1675" s="0" t="s">
        <v>130</v>
      </c>
      <c r="BP1675" s="0" t="s">
        <v>130</v>
      </c>
      <c r="BQ1675" s="0" t="s">
        <v>130</v>
      </c>
      <c r="BR1675" s="0" t="s">
        <v>130</v>
      </c>
      <c r="BS1675" s="0" t="s">
        <v>130</v>
      </c>
      <c r="BT1675" s="0" t="s">
        <v>130</v>
      </c>
      <c r="BU1675" s="0" t="s">
        <v>130</v>
      </c>
      <c r="BV1675" s="0" t="s">
        <v>130</v>
      </c>
      <c r="BW1675" s="0" t="s">
        <v>130</v>
      </c>
      <c r="BX1675" s="0" t="s">
        <v>130</v>
      </c>
      <c r="BY1675" s="0" t="s">
        <v>130</v>
      </c>
      <c r="BZ1675" s="0" t="s">
        <v>130</v>
      </c>
      <c r="CA1675" s="0" t="s">
        <v>130</v>
      </c>
      <c r="CB1675" s="0" t="s">
        <v>130</v>
      </c>
      <c r="CC1675" s="0" t="s">
        <v>130</v>
      </c>
      <c r="CD1675" s="0" t="s">
        <v>130</v>
      </c>
      <c r="CE1675" s="0" t="s">
        <v>130</v>
      </c>
      <c r="CF1675" s="0" t="s">
        <v>130</v>
      </c>
      <c r="CG1675" s="0" t="s">
        <v>130</v>
      </c>
      <c r="CH1675" s="0" t="s">
        <v>130</v>
      </c>
      <c r="CI1675" s="0" t="s">
        <v>130</v>
      </c>
      <c r="CJ1675" s="0" t="s">
        <v>130</v>
      </c>
      <c r="CK1675" s="0" t="s">
        <v>130</v>
      </c>
      <c r="CL1675" s="0" t="s">
        <v>130</v>
      </c>
      <c r="CM1675" s="0" t="s">
        <v>130</v>
      </c>
      <c r="CN1675" s="0" t="s">
        <v>130</v>
      </c>
      <c r="CO1675" s="0" t="s">
        <v>130</v>
      </c>
      <c r="CP1675" s="0" t="s">
        <v>130</v>
      </c>
      <c r="CQ1675" s="0" t="s">
        <v>130</v>
      </c>
      <c r="CR1675" s="0" t="s">
        <v>130</v>
      </c>
      <c r="CS1675" s="0" t="s">
        <v>130</v>
      </c>
      <c r="CT1675" s="0" t="s">
        <v>4816</v>
      </c>
    </row>
    <row r="1676">
      <c r="A1676" s="14">
        <v>69423747</v>
      </c>
      <c r="B1676" s="0" t="s">
        <v>4795</v>
      </c>
      <c r="C1676" s="16">
        <f>HYPERLINK("https://eosportal.federatedhermes.com/companies/Q29tcGFueQppNTM0MjQ=", "Cisco Systems Inc")</f>
      </c>
      <c r="D1676" s="0" t="s">
        <v>25</v>
      </c>
      <c r="E1676" s="0" t="s">
        <v>4817</v>
      </c>
      <c r="F1676" s="16">
        <f>HYPERLINK("https://eosportal.federatedhermes.com/engagements/RW5nYWdlbWVudAppMjkzNzY=", "Monitor bribery and corruption risk management")</f>
      </c>
      <c r="G1676" s="14" t="s">
        <v>4818</v>
      </c>
      <c r="H1676" s="0" t="s">
        <v>141</v>
      </c>
      <c r="I1676" s="14" t="s">
        <v>636</v>
      </c>
      <c r="J1676" s="0" t="s">
        <v>153</v>
      </c>
      <c r="K1676" s="0" t="s">
        <v>185</v>
      </c>
      <c r="L1676" s="0" t="s">
        <v>186</v>
      </c>
      <c r="M1676" s="0" t="s">
        <v>135</v>
      </c>
      <c r="N1676" s="0" t="s">
        <v>136</v>
      </c>
      <c r="O1676" s="0" t="s">
        <v>1125</v>
      </c>
      <c r="Q1676" s="0" t="s">
        <v>130</v>
      </c>
      <c r="R1676" s="0" t="s">
        <v>138</v>
      </c>
      <c r="S1676" s="14">
        <v>0</v>
      </c>
      <c r="T1676" s="0" t="s">
        <v>303</v>
      </c>
      <c r="U1676" s="0" t="s">
        <v>138</v>
      </c>
      <c r="V1676" s="14" t="s">
        <v>138</v>
      </c>
      <c r="W1676" s="0" t="s">
        <v>138</v>
      </c>
      <c r="X1676" s="14" t="s">
        <v>138</v>
      </c>
      <c r="Y1676" s="0" t="s">
        <v>138</v>
      </c>
      <c r="Z1676" s="14" t="s">
        <v>138</v>
      </c>
      <c r="AA1676" s="0" t="s">
        <v>138</v>
      </c>
      <c r="AB1676" s="14" t="s">
        <v>138</v>
      </c>
      <c r="AD1676" s="0" t="s">
        <v>138</v>
      </c>
      <c r="AF1676" s="0">
        <v>0</v>
      </c>
      <c r="AG1676" s="0">
        <v>0</v>
      </c>
      <c r="AH1676" s="0" t="s">
        <v>140</v>
      </c>
      <c r="AI1676" s="0" t="s">
        <v>138</v>
      </c>
      <c r="AL1676" s="14"/>
      <c r="AN1676" s="14"/>
      <c r="AQ1676" s="0" t="s">
        <v>130</v>
      </c>
      <c r="AR1676" s="0" t="s">
        <v>130</v>
      </c>
      <c r="AS1676" s="0" t="s">
        <v>130</v>
      </c>
      <c r="AT1676" s="0" t="s">
        <v>130</v>
      </c>
      <c r="AU1676" s="0" t="s">
        <v>130</v>
      </c>
      <c r="AV1676" s="0" t="s">
        <v>130</v>
      </c>
      <c r="AW1676" s="0" t="s">
        <v>130</v>
      </c>
      <c r="AX1676" s="0" t="s">
        <v>130</v>
      </c>
      <c r="AY1676" s="0" t="s">
        <v>130</v>
      </c>
      <c r="AZ1676" s="0" t="s">
        <v>130</v>
      </c>
      <c r="BA1676" s="0" t="s">
        <v>130</v>
      </c>
      <c r="BB1676" s="0" t="s">
        <v>130</v>
      </c>
      <c r="BC1676" s="0" t="s">
        <v>130</v>
      </c>
      <c r="BD1676" s="0" t="s">
        <v>130</v>
      </c>
      <c r="BE1676" s="0" t="s">
        <v>130</v>
      </c>
      <c r="BF1676" s="0" t="s">
        <v>130</v>
      </c>
      <c r="BG1676" s="0" t="s">
        <v>130</v>
      </c>
      <c r="BH1676" s="0" t="s">
        <v>130</v>
      </c>
      <c r="BI1676" s="0" t="s">
        <v>130</v>
      </c>
      <c r="BJ1676" s="0" t="s">
        <v>130</v>
      </c>
      <c r="BK1676" s="0" t="s">
        <v>130</v>
      </c>
      <c r="BL1676" s="0" t="s">
        <v>130</v>
      </c>
      <c r="BM1676" s="0" t="s">
        <v>130</v>
      </c>
      <c r="BN1676" s="0" t="s">
        <v>130</v>
      </c>
      <c r="BO1676" s="0" t="s">
        <v>130</v>
      </c>
      <c r="BP1676" s="0" t="s">
        <v>130</v>
      </c>
      <c r="BQ1676" s="0" t="s">
        <v>130</v>
      </c>
      <c r="BR1676" s="0" t="s">
        <v>130</v>
      </c>
      <c r="BS1676" s="0" t="s">
        <v>130</v>
      </c>
      <c r="BT1676" s="0" t="s">
        <v>130</v>
      </c>
      <c r="BU1676" s="0" t="s">
        <v>130</v>
      </c>
      <c r="BV1676" s="0" t="s">
        <v>130</v>
      </c>
      <c r="BW1676" s="0" t="s">
        <v>130</v>
      </c>
      <c r="BX1676" s="0" t="s">
        <v>130</v>
      </c>
      <c r="BY1676" s="0" t="s">
        <v>130</v>
      </c>
      <c r="BZ1676" s="0" t="s">
        <v>130</v>
      </c>
      <c r="CA1676" s="0" t="s">
        <v>130</v>
      </c>
      <c r="CB1676" s="0" t="s">
        <v>130</v>
      </c>
      <c r="CC1676" s="0" t="s">
        <v>130</v>
      </c>
      <c r="CD1676" s="0" t="s">
        <v>130</v>
      </c>
      <c r="CE1676" s="0" t="s">
        <v>130</v>
      </c>
      <c r="CF1676" s="0" t="s">
        <v>130</v>
      </c>
      <c r="CG1676" s="0" t="s">
        <v>130</v>
      </c>
      <c r="CH1676" s="0" t="s">
        <v>130</v>
      </c>
      <c r="CI1676" s="0" t="s">
        <v>130</v>
      </c>
      <c r="CJ1676" s="0" t="s">
        <v>130</v>
      </c>
      <c r="CK1676" s="0" t="s">
        <v>130</v>
      </c>
      <c r="CL1676" s="0" t="s">
        <v>130</v>
      </c>
      <c r="CM1676" s="0" t="s">
        <v>130</v>
      </c>
      <c r="CN1676" s="0" t="s">
        <v>130</v>
      </c>
      <c r="CO1676" s="0" t="s">
        <v>130</v>
      </c>
      <c r="CP1676" s="0" t="s">
        <v>130</v>
      </c>
      <c r="CQ1676" s="0" t="s">
        <v>130</v>
      </c>
      <c r="CR1676" s="0" t="s">
        <v>130</v>
      </c>
      <c r="CS1676" s="0" t="s">
        <v>130</v>
      </c>
      <c r="CT1676" s="0" t="s">
        <v>4819</v>
      </c>
    </row>
    <row r="1677">
      <c r="A1677" s="14">
        <v>69423747</v>
      </c>
      <c r="B1677" s="0" t="s">
        <v>4795</v>
      </c>
      <c r="C1677" s="16">
        <f>HYPERLINK("https://eosportal.federatedhermes.com/companies/Q29tcGFueQppNTM0MjQ=", "Cisco Systems Inc")</f>
      </c>
      <c r="D1677" s="0" t="s">
        <v>25</v>
      </c>
      <c r="E1677" s="0" t="s">
        <v>146</v>
      </c>
      <c r="F1677" s="16">
        <f>HYPERLINK("https://eosportal.federatedhermes.com/engagements/RW5nYWdlbWVudAppMjkzNzg=", "Executive Remuneration")</f>
      </c>
      <c r="G1677" s="14" t="s">
        <v>4820</v>
      </c>
      <c r="H1677" s="0" t="s">
        <v>141</v>
      </c>
      <c r="I1677" s="14" t="s">
        <v>636</v>
      </c>
      <c r="J1677" s="0" t="s">
        <v>145</v>
      </c>
      <c r="K1677" s="0" t="s">
        <v>146</v>
      </c>
      <c r="L1677" s="0" t="s">
        <v>147</v>
      </c>
      <c r="M1677" s="0" t="s">
        <v>135</v>
      </c>
      <c r="N1677" s="0" t="s">
        <v>136</v>
      </c>
      <c r="O1677" s="0" t="s">
        <v>1125</v>
      </c>
      <c r="Q1677" s="0" t="s">
        <v>141</v>
      </c>
      <c r="R1677" s="0" t="s">
        <v>138</v>
      </c>
      <c r="S1677" s="14">
        <v>1</v>
      </c>
      <c r="T1677" s="0" t="s">
        <v>166</v>
      </c>
      <c r="U1677" s="0" t="s">
        <v>138</v>
      </c>
      <c r="V1677" s="14" t="s">
        <v>138</v>
      </c>
      <c r="W1677" s="0" t="s">
        <v>138</v>
      </c>
      <c r="X1677" s="14" t="s">
        <v>138</v>
      </c>
      <c r="Y1677" s="0" t="s">
        <v>138</v>
      </c>
      <c r="Z1677" s="14" t="s">
        <v>138</v>
      </c>
      <c r="AA1677" s="0" t="s">
        <v>138</v>
      </c>
      <c r="AB1677" s="14" t="s">
        <v>138</v>
      </c>
      <c r="AD1677" s="0" t="s">
        <v>138</v>
      </c>
      <c r="AF1677" s="0">
        <v>0</v>
      </c>
      <c r="AG1677" s="0">
        <v>0</v>
      </c>
      <c r="AH1677" s="0" t="s">
        <v>140</v>
      </c>
      <c r="AI1677" s="0" t="s">
        <v>138</v>
      </c>
      <c r="AK1677" s="0" t="s">
        <v>1853</v>
      </c>
      <c r="AL1677" s="14"/>
      <c r="AN1677" s="14"/>
      <c r="AQ1677" s="0" t="s">
        <v>130</v>
      </c>
      <c r="AR1677" s="0" t="s">
        <v>130</v>
      </c>
      <c r="AS1677" s="0" t="s">
        <v>130</v>
      </c>
      <c r="AT1677" s="0" t="s">
        <v>130</v>
      </c>
      <c r="AU1677" s="0" t="s">
        <v>130</v>
      </c>
      <c r="AV1677" s="0" t="s">
        <v>130</v>
      </c>
      <c r="AW1677" s="0" t="s">
        <v>130</v>
      </c>
      <c r="AX1677" s="0" t="s">
        <v>130</v>
      </c>
      <c r="AY1677" s="0" t="s">
        <v>130</v>
      </c>
      <c r="AZ1677" s="0" t="s">
        <v>130</v>
      </c>
      <c r="BA1677" s="0" t="s">
        <v>130</v>
      </c>
      <c r="BB1677" s="0" t="s">
        <v>130</v>
      </c>
      <c r="BC1677" s="0" t="s">
        <v>130</v>
      </c>
      <c r="BD1677" s="0" t="s">
        <v>130</v>
      </c>
      <c r="BE1677" s="0" t="s">
        <v>130</v>
      </c>
      <c r="BF1677" s="0" t="s">
        <v>130</v>
      </c>
      <c r="BG1677" s="0" t="s">
        <v>130</v>
      </c>
      <c r="BH1677" s="0" t="s">
        <v>130</v>
      </c>
      <c r="BI1677" s="0" t="s">
        <v>130</v>
      </c>
      <c r="BJ1677" s="0" t="s">
        <v>130</v>
      </c>
      <c r="BK1677" s="0" t="s">
        <v>130</v>
      </c>
      <c r="BL1677" s="0" t="s">
        <v>130</v>
      </c>
      <c r="BM1677" s="0" t="s">
        <v>130</v>
      </c>
      <c r="BN1677" s="0" t="s">
        <v>130</v>
      </c>
      <c r="BO1677" s="0" t="s">
        <v>130</v>
      </c>
      <c r="BP1677" s="0" t="s">
        <v>130</v>
      </c>
      <c r="BQ1677" s="0" t="s">
        <v>130</v>
      </c>
      <c r="BR1677" s="0" t="s">
        <v>130</v>
      </c>
      <c r="BS1677" s="0" t="s">
        <v>130</v>
      </c>
      <c r="BT1677" s="0" t="s">
        <v>130</v>
      </c>
      <c r="BU1677" s="0" t="s">
        <v>130</v>
      </c>
      <c r="BV1677" s="0" t="s">
        <v>130</v>
      </c>
      <c r="BW1677" s="0" t="s">
        <v>130</v>
      </c>
      <c r="BX1677" s="0" t="s">
        <v>130</v>
      </c>
      <c r="BY1677" s="0" t="s">
        <v>130</v>
      </c>
      <c r="BZ1677" s="0" t="s">
        <v>130</v>
      </c>
      <c r="CA1677" s="0" t="s">
        <v>130</v>
      </c>
      <c r="CB1677" s="0" t="s">
        <v>130</v>
      </c>
      <c r="CC1677" s="0" t="s">
        <v>130</v>
      </c>
      <c r="CD1677" s="0" t="s">
        <v>130</v>
      </c>
      <c r="CE1677" s="0" t="s">
        <v>130</v>
      </c>
      <c r="CF1677" s="0" t="s">
        <v>130</v>
      </c>
      <c r="CG1677" s="0" t="s">
        <v>130</v>
      </c>
      <c r="CH1677" s="0" t="s">
        <v>130</v>
      </c>
      <c r="CI1677" s="0" t="s">
        <v>130</v>
      </c>
      <c r="CJ1677" s="0" t="s">
        <v>130</v>
      </c>
      <c r="CK1677" s="0" t="s">
        <v>130</v>
      </c>
      <c r="CL1677" s="0" t="s">
        <v>130</v>
      </c>
      <c r="CM1677" s="0" t="s">
        <v>130</v>
      </c>
      <c r="CN1677" s="0" t="s">
        <v>130</v>
      </c>
      <c r="CO1677" s="0" t="s">
        <v>130</v>
      </c>
      <c r="CP1677" s="0" t="s">
        <v>130</v>
      </c>
      <c r="CQ1677" s="0" t="s">
        <v>130</v>
      </c>
      <c r="CR1677" s="0" t="s">
        <v>130</v>
      </c>
      <c r="CS1677" s="0" t="s">
        <v>130</v>
      </c>
      <c r="CT1677" s="0" t="s">
        <v>4821</v>
      </c>
    </row>
    <row r="1678">
      <c r="A1678" s="14">
        <v>69423747</v>
      </c>
      <c r="B1678" s="0" t="s">
        <v>4795</v>
      </c>
      <c r="C1678" s="16">
        <f>HYPERLINK("https://eosportal.federatedhermes.com/companies/Q29tcGFueQppNTM0MjQ=", "Cisco Systems Inc")</f>
      </c>
      <c r="D1678" s="0" t="s">
        <v>25</v>
      </c>
      <c r="E1678" s="0" t="s">
        <v>4822</v>
      </c>
      <c r="F1678" s="16">
        <f>HYPERLINK("https://eosportal.federatedhermes.com/engagements/RW5nYWdlbWVudAppMjkzNzk=", "Recommend vote for independent chair")</f>
      </c>
      <c r="G1678" s="14" t="s">
        <v>4823</v>
      </c>
      <c r="H1678" s="0" t="s">
        <v>141</v>
      </c>
      <c r="I1678" s="14" t="s">
        <v>636</v>
      </c>
      <c r="J1678" s="0" t="s">
        <v>145</v>
      </c>
      <c r="K1678" s="0" t="s">
        <v>164</v>
      </c>
      <c r="L1678" s="0" t="s">
        <v>165</v>
      </c>
      <c r="M1678" s="0" t="s">
        <v>135</v>
      </c>
      <c r="N1678" s="0" t="s">
        <v>136</v>
      </c>
      <c r="O1678" s="0" t="s">
        <v>1125</v>
      </c>
      <c r="Q1678" s="0" t="s">
        <v>130</v>
      </c>
      <c r="R1678" s="0" t="s">
        <v>138</v>
      </c>
      <c r="S1678" s="14">
        <v>0</v>
      </c>
      <c r="T1678" s="0" t="s">
        <v>1145</v>
      </c>
      <c r="U1678" s="0" t="s">
        <v>138</v>
      </c>
      <c r="V1678" s="14" t="s">
        <v>138</v>
      </c>
      <c r="W1678" s="0" t="s">
        <v>138</v>
      </c>
      <c r="X1678" s="14" t="s">
        <v>138</v>
      </c>
      <c r="Y1678" s="0" t="s">
        <v>138</v>
      </c>
      <c r="Z1678" s="14" t="s">
        <v>138</v>
      </c>
      <c r="AA1678" s="0" t="s">
        <v>138</v>
      </c>
      <c r="AB1678" s="14" t="s">
        <v>138</v>
      </c>
      <c r="AD1678" s="0" t="s">
        <v>138</v>
      </c>
      <c r="AF1678" s="0">
        <v>0</v>
      </c>
      <c r="AG1678" s="0">
        <v>0</v>
      </c>
      <c r="AH1678" s="0" t="s">
        <v>140</v>
      </c>
      <c r="AI1678" s="0" t="s">
        <v>138</v>
      </c>
      <c r="AL1678" s="14"/>
      <c r="AN1678" s="14"/>
      <c r="AQ1678" s="0" t="s">
        <v>130</v>
      </c>
      <c r="AR1678" s="0" t="s">
        <v>130</v>
      </c>
      <c r="AS1678" s="0" t="s">
        <v>130</v>
      </c>
      <c r="AT1678" s="0" t="s">
        <v>130</v>
      </c>
      <c r="AU1678" s="0" t="s">
        <v>130</v>
      </c>
      <c r="AV1678" s="0" t="s">
        <v>130</v>
      </c>
      <c r="AW1678" s="0" t="s">
        <v>130</v>
      </c>
      <c r="AX1678" s="0" t="s">
        <v>130</v>
      </c>
      <c r="AY1678" s="0" t="s">
        <v>130</v>
      </c>
      <c r="AZ1678" s="0" t="s">
        <v>130</v>
      </c>
      <c r="BA1678" s="0" t="s">
        <v>130</v>
      </c>
      <c r="BB1678" s="0" t="s">
        <v>130</v>
      </c>
      <c r="BC1678" s="0" t="s">
        <v>130</v>
      </c>
      <c r="BD1678" s="0" t="s">
        <v>130</v>
      </c>
      <c r="BE1678" s="0" t="s">
        <v>130</v>
      </c>
      <c r="BF1678" s="0" t="s">
        <v>130</v>
      </c>
      <c r="BG1678" s="0" t="s">
        <v>130</v>
      </c>
      <c r="BH1678" s="0" t="s">
        <v>130</v>
      </c>
      <c r="BI1678" s="0" t="s">
        <v>130</v>
      </c>
      <c r="BJ1678" s="0" t="s">
        <v>130</v>
      </c>
      <c r="BK1678" s="0" t="s">
        <v>130</v>
      </c>
      <c r="BL1678" s="0" t="s">
        <v>130</v>
      </c>
      <c r="BM1678" s="0" t="s">
        <v>130</v>
      </c>
      <c r="BN1678" s="0" t="s">
        <v>130</v>
      </c>
      <c r="BO1678" s="0" t="s">
        <v>130</v>
      </c>
      <c r="BP1678" s="0" t="s">
        <v>130</v>
      </c>
      <c r="BQ1678" s="0" t="s">
        <v>130</v>
      </c>
      <c r="BR1678" s="0" t="s">
        <v>130</v>
      </c>
      <c r="BS1678" s="0" t="s">
        <v>130</v>
      </c>
      <c r="BT1678" s="0" t="s">
        <v>130</v>
      </c>
      <c r="BU1678" s="0" t="s">
        <v>130</v>
      </c>
      <c r="BV1678" s="0" t="s">
        <v>130</v>
      </c>
      <c r="BW1678" s="0" t="s">
        <v>130</v>
      </c>
      <c r="BX1678" s="0" t="s">
        <v>130</v>
      </c>
      <c r="BY1678" s="0" t="s">
        <v>130</v>
      </c>
      <c r="BZ1678" s="0" t="s">
        <v>130</v>
      </c>
      <c r="CA1678" s="0" t="s">
        <v>130</v>
      </c>
      <c r="CB1678" s="0" t="s">
        <v>130</v>
      </c>
      <c r="CC1678" s="0" t="s">
        <v>130</v>
      </c>
      <c r="CD1678" s="0" t="s">
        <v>130</v>
      </c>
      <c r="CE1678" s="0" t="s">
        <v>130</v>
      </c>
      <c r="CF1678" s="0" t="s">
        <v>130</v>
      </c>
      <c r="CG1678" s="0" t="s">
        <v>130</v>
      </c>
      <c r="CH1678" s="0" t="s">
        <v>130</v>
      </c>
      <c r="CI1678" s="0" t="s">
        <v>130</v>
      </c>
      <c r="CJ1678" s="0" t="s">
        <v>130</v>
      </c>
      <c r="CK1678" s="0" t="s">
        <v>130</v>
      </c>
      <c r="CL1678" s="0" t="s">
        <v>130</v>
      </c>
      <c r="CM1678" s="0" t="s">
        <v>130</v>
      </c>
      <c r="CN1678" s="0" t="s">
        <v>130</v>
      </c>
      <c r="CO1678" s="0" t="s">
        <v>130</v>
      </c>
      <c r="CP1678" s="0" t="s">
        <v>130</v>
      </c>
      <c r="CQ1678" s="0" t="s">
        <v>130</v>
      </c>
      <c r="CR1678" s="0" t="s">
        <v>130</v>
      </c>
      <c r="CS1678" s="0" t="s">
        <v>130</v>
      </c>
      <c r="CT1678" s="0" t="s">
        <v>4824</v>
      </c>
    </row>
    <row r="1679">
      <c r="A1679" s="14">
        <v>69423747</v>
      </c>
      <c r="B1679" s="0" t="s">
        <v>4795</v>
      </c>
      <c r="C1679" s="16">
        <f>HYPERLINK("https://eosportal.federatedhermes.com/companies/Q29tcGFueQppNTM0MjQ=", "Cisco Systems Inc")</f>
      </c>
      <c r="D1679" s="0" t="s">
        <v>25</v>
      </c>
      <c r="E1679" s="0" t="s">
        <v>4825</v>
      </c>
      <c r="F1679" s="16">
        <f>HYPERLINK("https://eosportal.federatedhermes.com/engagements/RW5nYWdlbWVudAppMjkzODA=", "Board Refreshment")</f>
      </c>
      <c r="G1679" s="14" t="s">
        <v>4826</v>
      </c>
      <c r="H1679" s="0" t="s">
        <v>141</v>
      </c>
      <c r="I1679" s="14" t="s">
        <v>636</v>
      </c>
      <c r="J1679" s="0" t="s">
        <v>145</v>
      </c>
      <c r="K1679" s="0" t="s">
        <v>164</v>
      </c>
      <c r="L1679" s="0" t="s">
        <v>165</v>
      </c>
      <c r="M1679" s="0" t="s">
        <v>135</v>
      </c>
      <c r="N1679" s="0" t="s">
        <v>136</v>
      </c>
      <c r="O1679" s="0" t="s">
        <v>1125</v>
      </c>
      <c r="Q1679" s="0" t="s">
        <v>141</v>
      </c>
      <c r="R1679" s="0" t="s">
        <v>138</v>
      </c>
      <c r="S1679" s="14">
        <v>1</v>
      </c>
      <c r="T1679" s="0" t="s">
        <v>166</v>
      </c>
      <c r="U1679" s="0" t="s">
        <v>138</v>
      </c>
      <c r="V1679" s="14" t="s">
        <v>138</v>
      </c>
      <c r="W1679" s="0" t="s">
        <v>138</v>
      </c>
      <c r="X1679" s="14" t="s">
        <v>138</v>
      </c>
      <c r="Y1679" s="0" t="s">
        <v>138</v>
      </c>
      <c r="Z1679" s="14" t="s">
        <v>138</v>
      </c>
      <c r="AA1679" s="0" t="s">
        <v>138</v>
      </c>
      <c r="AB1679" s="14" t="s">
        <v>138</v>
      </c>
      <c r="AD1679" s="0" t="s">
        <v>138</v>
      </c>
      <c r="AF1679" s="0">
        <v>0</v>
      </c>
      <c r="AG1679" s="0">
        <v>0</v>
      </c>
      <c r="AH1679" s="0" t="s">
        <v>140</v>
      </c>
      <c r="AI1679" s="0" t="s">
        <v>138</v>
      </c>
      <c r="AK1679" s="0" t="s">
        <v>1853</v>
      </c>
      <c r="AL1679" s="14"/>
      <c r="AN1679" s="14"/>
      <c r="AQ1679" s="0" t="s">
        <v>130</v>
      </c>
      <c r="AR1679" s="0" t="s">
        <v>130</v>
      </c>
      <c r="AS1679" s="0" t="s">
        <v>130</v>
      </c>
      <c r="AT1679" s="0" t="s">
        <v>130</v>
      </c>
      <c r="AU1679" s="0" t="s">
        <v>130</v>
      </c>
      <c r="AV1679" s="0" t="s">
        <v>130</v>
      </c>
      <c r="AW1679" s="0" t="s">
        <v>130</v>
      </c>
      <c r="AX1679" s="0" t="s">
        <v>130</v>
      </c>
      <c r="AY1679" s="0" t="s">
        <v>130</v>
      </c>
      <c r="AZ1679" s="0" t="s">
        <v>130</v>
      </c>
      <c r="BA1679" s="0" t="s">
        <v>130</v>
      </c>
      <c r="BB1679" s="0" t="s">
        <v>130</v>
      </c>
      <c r="BC1679" s="0" t="s">
        <v>130</v>
      </c>
      <c r="BD1679" s="0" t="s">
        <v>130</v>
      </c>
      <c r="BE1679" s="0" t="s">
        <v>130</v>
      </c>
      <c r="BF1679" s="0" t="s">
        <v>130</v>
      </c>
      <c r="BG1679" s="0" t="s">
        <v>130</v>
      </c>
      <c r="BH1679" s="0" t="s">
        <v>130</v>
      </c>
      <c r="BI1679" s="0" t="s">
        <v>130</v>
      </c>
      <c r="BJ1679" s="0" t="s">
        <v>130</v>
      </c>
      <c r="BK1679" s="0" t="s">
        <v>130</v>
      </c>
      <c r="BL1679" s="0" t="s">
        <v>130</v>
      </c>
      <c r="BM1679" s="0" t="s">
        <v>130</v>
      </c>
      <c r="BN1679" s="0" t="s">
        <v>130</v>
      </c>
      <c r="BO1679" s="0" t="s">
        <v>130</v>
      </c>
      <c r="BP1679" s="0" t="s">
        <v>130</v>
      </c>
      <c r="BQ1679" s="0" t="s">
        <v>130</v>
      </c>
      <c r="BR1679" s="0" t="s">
        <v>130</v>
      </c>
      <c r="BS1679" s="0" t="s">
        <v>130</v>
      </c>
      <c r="BT1679" s="0" t="s">
        <v>130</v>
      </c>
      <c r="BU1679" s="0" t="s">
        <v>130</v>
      </c>
      <c r="BV1679" s="0" t="s">
        <v>130</v>
      </c>
      <c r="BW1679" s="0" t="s">
        <v>130</v>
      </c>
      <c r="BX1679" s="0" t="s">
        <v>130</v>
      </c>
      <c r="BY1679" s="0" t="s">
        <v>130</v>
      </c>
      <c r="BZ1679" s="0" t="s">
        <v>130</v>
      </c>
      <c r="CA1679" s="0" t="s">
        <v>130</v>
      </c>
      <c r="CB1679" s="0" t="s">
        <v>130</v>
      </c>
      <c r="CC1679" s="0" t="s">
        <v>130</v>
      </c>
      <c r="CD1679" s="0" t="s">
        <v>130</v>
      </c>
      <c r="CE1679" s="0" t="s">
        <v>130</v>
      </c>
      <c r="CF1679" s="0" t="s">
        <v>130</v>
      </c>
      <c r="CG1679" s="0" t="s">
        <v>130</v>
      </c>
      <c r="CH1679" s="0" t="s">
        <v>130</v>
      </c>
      <c r="CI1679" s="0" t="s">
        <v>130</v>
      </c>
      <c r="CJ1679" s="0" t="s">
        <v>130</v>
      </c>
      <c r="CK1679" s="0" t="s">
        <v>130</v>
      </c>
      <c r="CL1679" s="0" t="s">
        <v>130</v>
      </c>
      <c r="CM1679" s="0" t="s">
        <v>130</v>
      </c>
      <c r="CN1679" s="0" t="s">
        <v>130</v>
      </c>
      <c r="CO1679" s="0" t="s">
        <v>130</v>
      </c>
      <c r="CP1679" s="0" t="s">
        <v>130</v>
      </c>
      <c r="CQ1679" s="0" t="s">
        <v>130</v>
      </c>
      <c r="CR1679" s="0" t="s">
        <v>130</v>
      </c>
      <c r="CS1679" s="0" t="s">
        <v>130</v>
      </c>
      <c r="CT1679" s="0" t="s">
        <v>4827</v>
      </c>
    </row>
    <row r="1680">
      <c r="A1680" s="14">
        <v>69423747</v>
      </c>
      <c r="B1680" s="0" t="s">
        <v>4795</v>
      </c>
      <c r="C1680" s="16">
        <f>HYPERLINK("https://eosportal.federatedhermes.com/companies/Q29tcGFueQppNTM0MjQ=", "Cisco Systems Inc")</f>
      </c>
      <c r="D1680" s="0" t="s">
        <v>25</v>
      </c>
      <c r="E1680" s="0" t="s">
        <v>4828</v>
      </c>
      <c r="F1680" s="16">
        <f>HYPERLINK("https://eosportal.federatedhermes.com/engagements/RW5nYWdlbWVudAppMjkzODE=", "Statement of Corporate Purpose")</f>
      </c>
      <c r="G1680" s="14" t="s">
        <v>4829</v>
      </c>
      <c r="H1680" s="0" t="s">
        <v>141</v>
      </c>
      <c r="I1680" s="14" t="s">
        <v>636</v>
      </c>
      <c r="J1680" s="0" t="s">
        <v>132</v>
      </c>
      <c r="K1680" s="0" t="s">
        <v>133</v>
      </c>
      <c r="L1680" s="0" t="s">
        <v>134</v>
      </c>
      <c r="M1680" s="0" t="s">
        <v>135</v>
      </c>
      <c r="N1680" s="0" t="s">
        <v>136</v>
      </c>
      <c r="O1680" s="0" t="s">
        <v>1125</v>
      </c>
      <c r="Q1680" s="0" t="s">
        <v>130</v>
      </c>
      <c r="R1680" s="0" t="s">
        <v>138</v>
      </c>
      <c r="S1680" s="14">
        <v>0</v>
      </c>
      <c r="T1680" s="0" t="s">
        <v>1145</v>
      </c>
      <c r="U1680" s="0" t="s">
        <v>138</v>
      </c>
      <c r="V1680" s="14" t="s">
        <v>138</v>
      </c>
      <c r="W1680" s="0" t="s">
        <v>138</v>
      </c>
      <c r="X1680" s="14" t="s">
        <v>138</v>
      </c>
      <c r="Y1680" s="0" t="s">
        <v>138</v>
      </c>
      <c r="Z1680" s="14" t="s">
        <v>138</v>
      </c>
      <c r="AA1680" s="0" t="s">
        <v>138</v>
      </c>
      <c r="AB1680" s="14" t="s">
        <v>138</v>
      </c>
      <c r="AD1680" s="0" t="s">
        <v>138</v>
      </c>
      <c r="AF1680" s="0">
        <v>0</v>
      </c>
      <c r="AG1680" s="0">
        <v>0</v>
      </c>
      <c r="AH1680" s="0" t="s">
        <v>140</v>
      </c>
      <c r="AI1680" s="0" t="s">
        <v>138</v>
      </c>
      <c r="AL1680" s="14"/>
      <c r="AN1680" s="14"/>
      <c r="AQ1680" s="0" t="s">
        <v>130</v>
      </c>
      <c r="AR1680" s="0" t="s">
        <v>130</v>
      </c>
      <c r="AS1680" s="0" t="s">
        <v>130</v>
      </c>
      <c r="AT1680" s="0" t="s">
        <v>130</v>
      </c>
      <c r="AU1680" s="0" t="s">
        <v>130</v>
      </c>
      <c r="AV1680" s="0" t="s">
        <v>130</v>
      </c>
      <c r="AW1680" s="0" t="s">
        <v>130</v>
      </c>
      <c r="AX1680" s="0" t="s">
        <v>130</v>
      </c>
      <c r="AY1680" s="0" t="s">
        <v>130</v>
      </c>
      <c r="AZ1680" s="0" t="s">
        <v>130</v>
      </c>
      <c r="BA1680" s="0" t="s">
        <v>130</v>
      </c>
      <c r="BB1680" s="0" t="s">
        <v>130</v>
      </c>
      <c r="BC1680" s="0" t="s">
        <v>130</v>
      </c>
      <c r="BD1680" s="0" t="s">
        <v>130</v>
      </c>
      <c r="BE1680" s="0" t="s">
        <v>130</v>
      </c>
      <c r="BF1680" s="0" t="s">
        <v>130</v>
      </c>
      <c r="BG1680" s="0" t="s">
        <v>130</v>
      </c>
      <c r="BH1680" s="0" t="s">
        <v>130</v>
      </c>
      <c r="BI1680" s="0" t="s">
        <v>130</v>
      </c>
      <c r="BJ1680" s="0" t="s">
        <v>130</v>
      </c>
      <c r="BK1680" s="0" t="s">
        <v>130</v>
      </c>
      <c r="BL1680" s="0" t="s">
        <v>130</v>
      </c>
      <c r="BM1680" s="0" t="s">
        <v>130</v>
      </c>
      <c r="BN1680" s="0" t="s">
        <v>130</v>
      </c>
      <c r="BO1680" s="0" t="s">
        <v>130</v>
      </c>
      <c r="BP1680" s="0" t="s">
        <v>130</v>
      </c>
      <c r="BQ1680" s="0" t="s">
        <v>130</v>
      </c>
      <c r="BR1680" s="0" t="s">
        <v>130</v>
      </c>
      <c r="BS1680" s="0" t="s">
        <v>130</v>
      </c>
      <c r="BT1680" s="0" t="s">
        <v>130</v>
      </c>
      <c r="BU1680" s="0" t="s">
        <v>130</v>
      </c>
      <c r="BV1680" s="0" t="s">
        <v>130</v>
      </c>
      <c r="BW1680" s="0" t="s">
        <v>130</v>
      </c>
      <c r="BX1680" s="0" t="s">
        <v>130</v>
      </c>
      <c r="BY1680" s="0" t="s">
        <v>130</v>
      </c>
      <c r="BZ1680" s="0" t="s">
        <v>130</v>
      </c>
      <c r="CA1680" s="0" t="s">
        <v>130</v>
      </c>
      <c r="CB1680" s="0" t="s">
        <v>130</v>
      </c>
      <c r="CC1680" s="0" t="s">
        <v>130</v>
      </c>
      <c r="CD1680" s="0" t="s">
        <v>130</v>
      </c>
      <c r="CE1680" s="0" t="s">
        <v>130</v>
      </c>
      <c r="CF1680" s="0" t="s">
        <v>130</v>
      </c>
      <c r="CG1680" s="0" t="s">
        <v>130</v>
      </c>
      <c r="CH1680" s="0" t="s">
        <v>130</v>
      </c>
      <c r="CI1680" s="0" t="s">
        <v>130</v>
      </c>
      <c r="CJ1680" s="0" t="s">
        <v>130</v>
      </c>
      <c r="CK1680" s="0" t="s">
        <v>130</v>
      </c>
      <c r="CL1680" s="0" t="s">
        <v>130</v>
      </c>
      <c r="CM1680" s="0" t="s">
        <v>130</v>
      </c>
      <c r="CN1680" s="0" t="s">
        <v>130</v>
      </c>
      <c r="CO1680" s="0" t="s">
        <v>130</v>
      </c>
      <c r="CP1680" s="0" t="s">
        <v>130</v>
      </c>
      <c r="CQ1680" s="0" t="s">
        <v>130</v>
      </c>
      <c r="CR1680" s="0" t="s">
        <v>130</v>
      </c>
      <c r="CS1680" s="0" t="s">
        <v>130</v>
      </c>
      <c r="CT1680" s="0" t="s">
        <v>4830</v>
      </c>
    </row>
    <row r="1681">
      <c r="A1681" s="14">
        <v>69423747</v>
      </c>
      <c r="B1681" s="0" t="s">
        <v>4795</v>
      </c>
      <c r="C1681" s="16">
        <f>HYPERLINK("https://eosportal.federatedhermes.com/companies/Q29tcGFueQppNTM0MjQ=", "Cisco Systems Inc")</f>
      </c>
      <c r="D1681" s="0" t="s">
        <v>25</v>
      </c>
      <c r="E1681" s="0" t="s">
        <v>1637</v>
      </c>
      <c r="F1681" s="16">
        <f>HYPERLINK("https://eosportal.federatedhermes.com/engagements/RW5nYWdlbWVudAppMjkzODI=", "Corporate Governance Monitoring")</f>
      </c>
      <c r="G1681" s="14" t="s">
        <v>4831</v>
      </c>
      <c r="H1681" s="0" t="s">
        <v>141</v>
      </c>
      <c r="I1681" s="14" t="s">
        <v>636</v>
      </c>
      <c r="J1681" s="0" t="s">
        <v>145</v>
      </c>
      <c r="K1681" s="0" t="s">
        <v>400</v>
      </c>
      <c r="L1681" s="0" t="s">
        <v>507</v>
      </c>
      <c r="M1681" s="0" t="s">
        <v>135</v>
      </c>
      <c r="N1681" s="0" t="s">
        <v>136</v>
      </c>
      <c r="O1681" s="0" t="s">
        <v>1125</v>
      </c>
      <c r="Q1681" s="0" t="s">
        <v>130</v>
      </c>
      <c r="R1681" s="0" t="s">
        <v>138</v>
      </c>
      <c r="S1681" s="14">
        <v>0</v>
      </c>
      <c r="T1681" s="0" t="s">
        <v>200</v>
      </c>
      <c r="U1681" s="0" t="s">
        <v>138</v>
      </c>
      <c r="V1681" s="14" t="s">
        <v>138</v>
      </c>
      <c r="W1681" s="0" t="s">
        <v>138</v>
      </c>
      <c r="X1681" s="14" t="s">
        <v>138</v>
      </c>
      <c r="Y1681" s="0" t="s">
        <v>138</v>
      </c>
      <c r="Z1681" s="14" t="s">
        <v>138</v>
      </c>
      <c r="AA1681" s="0" t="s">
        <v>138</v>
      </c>
      <c r="AB1681" s="14" t="s">
        <v>138</v>
      </c>
      <c r="AD1681" s="0" t="s">
        <v>138</v>
      </c>
      <c r="AF1681" s="0">
        <v>0</v>
      </c>
      <c r="AG1681" s="0">
        <v>0</v>
      </c>
      <c r="AH1681" s="0" t="s">
        <v>140</v>
      </c>
      <c r="AI1681" s="0" t="s">
        <v>138</v>
      </c>
      <c r="AL1681" s="14"/>
      <c r="AN1681" s="14"/>
      <c r="AQ1681" s="0" t="s">
        <v>130</v>
      </c>
      <c r="AR1681" s="0" t="s">
        <v>130</v>
      </c>
      <c r="AS1681" s="0" t="s">
        <v>130</v>
      </c>
      <c r="AT1681" s="0" t="s">
        <v>130</v>
      </c>
      <c r="AU1681" s="0" t="s">
        <v>130</v>
      </c>
      <c r="AV1681" s="0" t="s">
        <v>130</v>
      </c>
      <c r="AW1681" s="0" t="s">
        <v>130</v>
      </c>
      <c r="AX1681" s="0" t="s">
        <v>130</v>
      </c>
      <c r="AY1681" s="0" t="s">
        <v>130</v>
      </c>
      <c r="AZ1681" s="0" t="s">
        <v>130</v>
      </c>
      <c r="BA1681" s="0" t="s">
        <v>130</v>
      </c>
      <c r="BB1681" s="0" t="s">
        <v>130</v>
      </c>
      <c r="BC1681" s="0" t="s">
        <v>130</v>
      </c>
      <c r="BD1681" s="0" t="s">
        <v>130</v>
      </c>
      <c r="BE1681" s="0" t="s">
        <v>130</v>
      </c>
      <c r="BF1681" s="0" t="s">
        <v>130</v>
      </c>
      <c r="BG1681" s="0" t="s">
        <v>130</v>
      </c>
      <c r="BH1681" s="0" t="s">
        <v>130</v>
      </c>
      <c r="BI1681" s="0" t="s">
        <v>130</v>
      </c>
      <c r="BJ1681" s="0" t="s">
        <v>130</v>
      </c>
      <c r="BK1681" s="0" t="s">
        <v>130</v>
      </c>
      <c r="BL1681" s="0" t="s">
        <v>130</v>
      </c>
      <c r="BM1681" s="0" t="s">
        <v>130</v>
      </c>
      <c r="BN1681" s="0" t="s">
        <v>130</v>
      </c>
      <c r="BO1681" s="0" t="s">
        <v>130</v>
      </c>
      <c r="BP1681" s="0" t="s">
        <v>130</v>
      </c>
      <c r="BQ1681" s="0" t="s">
        <v>130</v>
      </c>
      <c r="BR1681" s="0" t="s">
        <v>130</v>
      </c>
      <c r="BS1681" s="0" t="s">
        <v>130</v>
      </c>
      <c r="BT1681" s="0" t="s">
        <v>130</v>
      </c>
      <c r="BU1681" s="0" t="s">
        <v>130</v>
      </c>
      <c r="BV1681" s="0" t="s">
        <v>130</v>
      </c>
      <c r="BW1681" s="0" t="s">
        <v>130</v>
      </c>
      <c r="BX1681" s="0" t="s">
        <v>130</v>
      </c>
      <c r="BY1681" s="0" t="s">
        <v>130</v>
      </c>
      <c r="BZ1681" s="0" t="s">
        <v>130</v>
      </c>
      <c r="CA1681" s="0" t="s">
        <v>130</v>
      </c>
      <c r="CB1681" s="0" t="s">
        <v>130</v>
      </c>
      <c r="CC1681" s="0" t="s">
        <v>130</v>
      </c>
      <c r="CD1681" s="0" t="s">
        <v>130</v>
      </c>
      <c r="CE1681" s="0" t="s">
        <v>130</v>
      </c>
      <c r="CF1681" s="0" t="s">
        <v>130</v>
      </c>
      <c r="CG1681" s="0" t="s">
        <v>130</v>
      </c>
      <c r="CH1681" s="0" t="s">
        <v>130</v>
      </c>
      <c r="CI1681" s="0" t="s">
        <v>130</v>
      </c>
      <c r="CJ1681" s="0" t="s">
        <v>130</v>
      </c>
      <c r="CK1681" s="0" t="s">
        <v>130</v>
      </c>
      <c r="CL1681" s="0" t="s">
        <v>130</v>
      </c>
      <c r="CM1681" s="0" t="s">
        <v>130</v>
      </c>
      <c r="CN1681" s="0" t="s">
        <v>130</v>
      </c>
      <c r="CO1681" s="0" t="s">
        <v>130</v>
      </c>
      <c r="CP1681" s="0" t="s">
        <v>130</v>
      </c>
      <c r="CQ1681" s="0" t="s">
        <v>130</v>
      </c>
      <c r="CR1681" s="0" t="s">
        <v>130</v>
      </c>
      <c r="CS1681" s="0" t="s">
        <v>130</v>
      </c>
      <c r="CT1681" s="0" t="s">
        <v>4832</v>
      </c>
    </row>
    <row r="1682">
      <c r="A1682" s="14">
        <v>69512787</v>
      </c>
      <c r="B1682" s="0" t="s">
        <v>4833</v>
      </c>
      <c r="C1682" s="16">
        <f>HYPERLINK("https://eosportal.federatedhermes.com/companies/Q29tcGFueQppODExMjQ=", "Seagate Technology Holdings PLC")</f>
      </c>
      <c r="D1682" s="0" t="s">
        <v>25</v>
      </c>
      <c r="E1682" s="0" t="s">
        <v>4834</v>
      </c>
      <c r="F1682" s="16">
        <f>HYPERLINK("https://eosportal.federatedhermes.com/engagements/RW5nYWdlbWVudAppMjkzODM=", "Working conditions in manufacturing facilities")</f>
      </c>
      <c r="G1682" s="14" t="s">
        <v>4835</v>
      </c>
      <c r="H1682" s="0" t="s">
        <v>130</v>
      </c>
      <c r="I1682" s="14" t="s">
        <v>131</v>
      </c>
      <c r="J1682" s="0" t="s">
        <v>153</v>
      </c>
      <c r="K1682" s="0" t="s">
        <v>154</v>
      </c>
      <c r="L1682" s="0" t="s">
        <v>155</v>
      </c>
      <c r="M1682" s="0" t="s">
        <v>135</v>
      </c>
      <c r="N1682" s="0" t="s">
        <v>136</v>
      </c>
      <c r="O1682" s="0" t="s">
        <v>1125</v>
      </c>
      <c r="Q1682" s="0" t="s">
        <v>130</v>
      </c>
      <c r="R1682" s="0" t="s">
        <v>138</v>
      </c>
      <c r="S1682" s="14">
        <v>0</v>
      </c>
      <c r="T1682" s="0" t="s">
        <v>139</v>
      </c>
      <c r="U1682" s="0" t="s">
        <v>138</v>
      </c>
      <c r="V1682" s="14" t="s">
        <v>138</v>
      </c>
      <c r="W1682" s="0" t="s">
        <v>138</v>
      </c>
      <c r="X1682" s="14" t="s">
        <v>138</v>
      </c>
      <c r="Y1682" s="0" t="s">
        <v>138</v>
      </c>
      <c r="Z1682" s="14" t="s">
        <v>138</v>
      </c>
      <c r="AA1682" s="0" t="s">
        <v>138</v>
      </c>
      <c r="AB1682" s="14" t="s">
        <v>138</v>
      </c>
      <c r="AD1682" s="0" t="s">
        <v>138</v>
      </c>
      <c r="AF1682" s="0">
        <v>0</v>
      </c>
      <c r="AG1682" s="0">
        <v>0</v>
      </c>
      <c r="AH1682" s="0" t="s">
        <v>140</v>
      </c>
      <c r="AI1682" s="0" t="s">
        <v>138</v>
      </c>
      <c r="AL1682" s="14"/>
      <c r="AN1682" s="14"/>
      <c r="AQ1682" s="0" t="s">
        <v>130</v>
      </c>
      <c r="AR1682" s="0" t="s">
        <v>130</v>
      </c>
      <c r="AS1682" s="0" t="s">
        <v>130</v>
      </c>
      <c r="AT1682" s="0" t="s">
        <v>130</v>
      </c>
      <c r="AU1682" s="0" t="s">
        <v>130</v>
      </c>
      <c r="AV1682" s="0" t="s">
        <v>130</v>
      </c>
      <c r="AW1682" s="0" t="s">
        <v>130</v>
      </c>
      <c r="AX1682" s="0" t="s">
        <v>141</v>
      </c>
      <c r="AY1682" s="0" t="s">
        <v>130</v>
      </c>
      <c r="AZ1682" s="0" t="s">
        <v>130</v>
      </c>
      <c r="BA1682" s="0" t="s">
        <v>130</v>
      </c>
      <c r="BB1682" s="0" t="s">
        <v>130</v>
      </c>
      <c r="BC1682" s="0" t="s">
        <v>130</v>
      </c>
      <c r="BD1682" s="0" t="s">
        <v>130</v>
      </c>
      <c r="BE1682" s="0" t="s">
        <v>130</v>
      </c>
      <c r="BF1682" s="0" t="s">
        <v>130</v>
      </c>
      <c r="BG1682" s="0" t="s">
        <v>130</v>
      </c>
      <c r="BH1682" s="0" t="s">
        <v>130</v>
      </c>
      <c r="BI1682" s="0" t="s">
        <v>130</v>
      </c>
      <c r="BJ1682" s="0" t="s">
        <v>130</v>
      </c>
      <c r="BK1682" s="0" t="s">
        <v>130</v>
      </c>
      <c r="BL1682" s="0" t="s">
        <v>130</v>
      </c>
      <c r="BM1682" s="0" t="s">
        <v>130</v>
      </c>
      <c r="BN1682" s="0" t="s">
        <v>130</v>
      </c>
      <c r="BO1682" s="0" t="s">
        <v>130</v>
      </c>
      <c r="BP1682" s="0" t="s">
        <v>130</v>
      </c>
      <c r="BQ1682" s="0" t="s">
        <v>130</v>
      </c>
      <c r="BR1682" s="0" t="s">
        <v>130</v>
      </c>
      <c r="BS1682" s="0" t="s">
        <v>130</v>
      </c>
      <c r="BT1682" s="0" t="s">
        <v>130</v>
      </c>
      <c r="BU1682" s="0" t="s">
        <v>130</v>
      </c>
      <c r="BV1682" s="0" t="s">
        <v>130</v>
      </c>
      <c r="BW1682" s="0" t="s">
        <v>130</v>
      </c>
      <c r="BX1682" s="0" t="s">
        <v>130</v>
      </c>
      <c r="BY1682" s="0" t="s">
        <v>130</v>
      </c>
      <c r="BZ1682" s="0" t="s">
        <v>130</v>
      </c>
      <c r="CA1682" s="0" t="s">
        <v>130</v>
      </c>
      <c r="CB1682" s="0" t="s">
        <v>130</v>
      </c>
      <c r="CC1682" s="0" t="s">
        <v>130</v>
      </c>
      <c r="CD1682" s="0" t="s">
        <v>130</v>
      </c>
      <c r="CE1682" s="0" t="s">
        <v>130</v>
      </c>
      <c r="CF1682" s="0" t="s">
        <v>130</v>
      </c>
      <c r="CG1682" s="0" t="s">
        <v>130</v>
      </c>
      <c r="CH1682" s="0" t="s">
        <v>130</v>
      </c>
      <c r="CI1682" s="0" t="s">
        <v>141</v>
      </c>
      <c r="CJ1682" s="0" t="s">
        <v>130</v>
      </c>
      <c r="CK1682" s="0" t="s">
        <v>130</v>
      </c>
      <c r="CL1682" s="0" t="s">
        <v>130</v>
      </c>
      <c r="CM1682" s="0" t="s">
        <v>130</v>
      </c>
      <c r="CN1682" s="0" t="s">
        <v>130</v>
      </c>
      <c r="CO1682" s="0" t="s">
        <v>130</v>
      </c>
      <c r="CP1682" s="0" t="s">
        <v>130</v>
      </c>
      <c r="CQ1682" s="0" t="s">
        <v>130</v>
      </c>
      <c r="CR1682" s="0" t="s">
        <v>130</v>
      </c>
      <c r="CS1682" s="0" t="s">
        <v>130</v>
      </c>
      <c r="CT1682" s="0" t="s">
        <v>4836</v>
      </c>
    </row>
    <row r="1683">
      <c r="A1683" s="14">
        <v>69512787</v>
      </c>
      <c r="B1683" s="0" t="s">
        <v>4833</v>
      </c>
      <c r="C1683" s="16">
        <f>HYPERLINK("https://eosportal.federatedhermes.com/companies/Q29tcGFueQppODExMjQ=", "Seagate Technology Holdings PLC")</f>
      </c>
      <c r="D1683" s="0" t="s">
        <v>25</v>
      </c>
      <c r="E1683" s="0" t="s">
        <v>427</v>
      </c>
      <c r="F1683" s="16">
        <f>HYPERLINK("https://eosportal.federatedhermes.com/engagements/RW5nYWdlbWVudAppMjkzODQ=", "Circular economy")</f>
      </c>
      <c r="G1683" s="14" t="s">
        <v>4837</v>
      </c>
      <c r="H1683" s="0" t="s">
        <v>130</v>
      </c>
      <c r="I1683" s="14" t="s">
        <v>131</v>
      </c>
      <c r="J1683" s="0" t="s">
        <v>197</v>
      </c>
      <c r="K1683" s="0" t="s">
        <v>348</v>
      </c>
      <c r="L1683" s="0" t="s">
        <v>349</v>
      </c>
      <c r="M1683" s="0" t="s">
        <v>135</v>
      </c>
      <c r="N1683" s="0" t="s">
        <v>136</v>
      </c>
      <c r="O1683" s="0" t="s">
        <v>1125</v>
      </c>
      <c r="Q1683" s="0" t="s">
        <v>130</v>
      </c>
      <c r="R1683" s="0" t="s">
        <v>138</v>
      </c>
      <c r="S1683" s="14">
        <v>0</v>
      </c>
      <c r="T1683" s="0" t="s">
        <v>139</v>
      </c>
      <c r="U1683" s="0" t="s">
        <v>138</v>
      </c>
      <c r="V1683" s="14" t="s">
        <v>138</v>
      </c>
      <c r="W1683" s="0" t="s">
        <v>138</v>
      </c>
      <c r="X1683" s="14" t="s">
        <v>138</v>
      </c>
      <c r="Y1683" s="0" t="s">
        <v>138</v>
      </c>
      <c r="Z1683" s="14" t="s">
        <v>138</v>
      </c>
      <c r="AA1683" s="0" t="s">
        <v>138</v>
      </c>
      <c r="AB1683" s="14" t="s">
        <v>138</v>
      </c>
      <c r="AD1683" s="0" t="s">
        <v>138</v>
      </c>
      <c r="AF1683" s="0">
        <v>0</v>
      </c>
      <c r="AG1683" s="0">
        <v>0</v>
      </c>
      <c r="AH1683" s="0" t="s">
        <v>140</v>
      </c>
      <c r="AI1683" s="0" t="s">
        <v>138</v>
      </c>
      <c r="AL1683" s="14"/>
      <c r="AN1683" s="14"/>
      <c r="AQ1683" s="0" t="s">
        <v>130</v>
      </c>
      <c r="AR1683" s="0" t="s">
        <v>130</v>
      </c>
      <c r="AS1683" s="0" t="s">
        <v>130</v>
      </c>
      <c r="AT1683" s="0" t="s">
        <v>130</v>
      </c>
      <c r="AU1683" s="0" t="s">
        <v>130</v>
      </c>
      <c r="AV1683" s="0" t="s">
        <v>130</v>
      </c>
      <c r="AW1683" s="0" t="s">
        <v>130</v>
      </c>
      <c r="AX1683" s="0" t="s">
        <v>130</v>
      </c>
      <c r="AY1683" s="0" t="s">
        <v>130</v>
      </c>
      <c r="AZ1683" s="0" t="s">
        <v>130</v>
      </c>
      <c r="BA1683" s="0" t="s">
        <v>130</v>
      </c>
      <c r="BB1683" s="0" t="s">
        <v>141</v>
      </c>
      <c r="BC1683" s="0" t="s">
        <v>130</v>
      </c>
      <c r="BD1683" s="0" t="s">
        <v>130</v>
      </c>
      <c r="BE1683" s="0" t="s">
        <v>130</v>
      </c>
      <c r="BF1683" s="0" t="s">
        <v>130</v>
      </c>
      <c r="BG1683" s="0" t="s">
        <v>130</v>
      </c>
      <c r="BH1683" s="0" t="s">
        <v>130</v>
      </c>
      <c r="BI1683" s="0" t="s">
        <v>130</v>
      </c>
      <c r="BJ1683" s="0" t="s">
        <v>130</v>
      </c>
      <c r="BK1683" s="0" t="s">
        <v>130</v>
      </c>
      <c r="BL1683" s="0" t="s">
        <v>130</v>
      </c>
      <c r="BM1683" s="0" t="s">
        <v>130</v>
      </c>
      <c r="BN1683" s="0" t="s">
        <v>130</v>
      </c>
      <c r="BO1683" s="0" t="s">
        <v>130</v>
      </c>
      <c r="BP1683" s="0" t="s">
        <v>130</v>
      </c>
      <c r="BQ1683" s="0" t="s">
        <v>130</v>
      </c>
      <c r="BR1683" s="0" t="s">
        <v>130</v>
      </c>
      <c r="BS1683" s="0" t="s">
        <v>130</v>
      </c>
      <c r="BT1683" s="0" t="s">
        <v>130</v>
      </c>
      <c r="BU1683" s="0" t="s">
        <v>130</v>
      </c>
      <c r="BV1683" s="0" t="s">
        <v>130</v>
      </c>
      <c r="BW1683" s="0" t="s">
        <v>130</v>
      </c>
      <c r="BX1683" s="0" t="s">
        <v>130</v>
      </c>
      <c r="BY1683" s="0" t="s">
        <v>130</v>
      </c>
      <c r="BZ1683" s="0" t="s">
        <v>130</v>
      </c>
      <c r="CA1683" s="0" t="s">
        <v>130</v>
      </c>
      <c r="CB1683" s="0" t="s">
        <v>130</v>
      </c>
      <c r="CC1683" s="0" t="s">
        <v>130</v>
      </c>
      <c r="CD1683" s="0" t="s">
        <v>141</v>
      </c>
      <c r="CE1683" s="0" t="s">
        <v>130</v>
      </c>
      <c r="CF1683" s="0" t="s">
        <v>130</v>
      </c>
      <c r="CG1683" s="0" t="s">
        <v>130</v>
      </c>
      <c r="CH1683" s="0" t="s">
        <v>130</v>
      </c>
      <c r="CI1683" s="0" t="s">
        <v>130</v>
      </c>
      <c r="CJ1683" s="0" t="s">
        <v>130</v>
      </c>
      <c r="CK1683" s="0" t="s">
        <v>130</v>
      </c>
      <c r="CL1683" s="0" t="s">
        <v>130</v>
      </c>
      <c r="CM1683" s="0" t="s">
        <v>130</v>
      </c>
      <c r="CN1683" s="0" t="s">
        <v>130</v>
      </c>
      <c r="CO1683" s="0" t="s">
        <v>130</v>
      </c>
      <c r="CP1683" s="0" t="s">
        <v>130</v>
      </c>
      <c r="CQ1683" s="0" t="s">
        <v>130</v>
      </c>
      <c r="CR1683" s="0" t="s">
        <v>130</v>
      </c>
      <c r="CS1683" s="0" t="s">
        <v>130</v>
      </c>
      <c r="CT1683" s="0" t="s">
        <v>4838</v>
      </c>
    </row>
    <row r="1684">
      <c r="A1684" s="14">
        <v>69512787</v>
      </c>
      <c r="B1684" s="0" t="s">
        <v>4833</v>
      </c>
      <c r="C1684" s="16">
        <f>HYPERLINK("https://eosportal.federatedhermes.com/companies/Q29tcGFueQppODExMjQ=", "Seagate Technology Holdings PLC")</f>
      </c>
      <c r="D1684" s="0" t="s">
        <v>25</v>
      </c>
      <c r="E1684" s="0" t="s">
        <v>907</v>
      </c>
      <c r="F1684" s="16">
        <f>HYPERLINK("https://eosportal.federatedhermes.com/engagements/RW5nYWdlbWVudAppMjkzODU=", "Climate change")</f>
      </c>
      <c r="G1684" s="14" t="s">
        <v>4839</v>
      </c>
      <c r="H1684" s="0" t="s">
        <v>130</v>
      </c>
      <c r="I1684" s="14" t="s">
        <v>131</v>
      </c>
      <c r="J1684" s="0" t="s">
        <v>197</v>
      </c>
      <c r="K1684" s="0" t="s">
        <v>198</v>
      </c>
      <c r="L1684" s="0" t="s">
        <v>216</v>
      </c>
      <c r="M1684" s="0" t="s">
        <v>135</v>
      </c>
      <c r="N1684" s="0" t="s">
        <v>136</v>
      </c>
      <c r="O1684" s="0" t="s">
        <v>1125</v>
      </c>
      <c r="Q1684" s="0" t="s">
        <v>130</v>
      </c>
      <c r="R1684" s="0" t="s">
        <v>138</v>
      </c>
      <c r="S1684" s="14">
        <v>0</v>
      </c>
      <c r="T1684" s="0" t="s">
        <v>206</v>
      </c>
      <c r="U1684" s="0" t="s">
        <v>138</v>
      </c>
      <c r="V1684" s="14" t="s">
        <v>138</v>
      </c>
      <c r="W1684" s="0" t="s">
        <v>138</v>
      </c>
      <c r="X1684" s="14" t="s">
        <v>138</v>
      </c>
      <c r="Y1684" s="0" t="s">
        <v>138</v>
      </c>
      <c r="Z1684" s="14" t="s">
        <v>138</v>
      </c>
      <c r="AA1684" s="0" t="s">
        <v>138</v>
      </c>
      <c r="AB1684" s="14" t="s">
        <v>138</v>
      </c>
      <c r="AD1684" s="0" t="s">
        <v>138</v>
      </c>
      <c r="AF1684" s="0">
        <v>0</v>
      </c>
      <c r="AG1684" s="0">
        <v>0</v>
      </c>
      <c r="AH1684" s="0" t="s">
        <v>140</v>
      </c>
      <c r="AI1684" s="0" t="s">
        <v>138</v>
      </c>
      <c r="AL1684" s="14"/>
      <c r="AN1684" s="14"/>
      <c r="AQ1684" s="0" t="s">
        <v>130</v>
      </c>
      <c r="AR1684" s="0" t="s">
        <v>130</v>
      </c>
      <c r="AS1684" s="0" t="s">
        <v>130</v>
      </c>
      <c r="AT1684" s="0" t="s">
        <v>130</v>
      </c>
      <c r="AU1684" s="0" t="s">
        <v>130</v>
      </c>
      <c r="AV1684" s="0" t="s">
        <v>130</v>
      </c>
      <c r="AW1684" s="0" t="s">
        <v>141</v>
      </c>
      <c r="AX1684" s="0" t="s">
        <v>130</v>
      </c>
      <c r="AY1684" s="0" t="s">
        <v>130</v>
      </c>
      <c r="AZ1684" s="0" t="s">
        <v>130</v>
      </c>
      <c r="BA1684" s="0" t="s">
        <v>130</v>
      </c>
      <c r="BB1684" s="0" t="s">
        <v>130</v>
      </c>
      <c r="BC1684" s="0" t="s">
        <v>141</v>
      </c>
      <c r="BD1684" s="0" t="s">
        <v>130</v>
      </c>
      <c r="BE1684" s="0" t="s">
        <v>130</v>
      </c>
      <c r="BF1684" s="0" t="s">
        <v>130</v>
      </c>
      <c r="BG1684" s="0" t="s">
        <v>130</v>
      </c>
      <c r="BH1684" s="0" t="s">
        <v>141</v>
      </c>
      <c r="BI1684" s="0" t="s">
        <v>141</v>
      </c>
      <c r="BJ1684" s="0" t="s">
        <v>141</v>
      </c>
      <c r="BK1684" s="0" t="s">
        <v>130</v>
      </c>
      <c r="BL1684" s="0" t="s">
        <v>130</v>
      </c>
      <c r="BM1684" s="0" t="s">
        <v>130</v>
      </c>
      <c r="BN1684" s="0" t="s">
        <v>130</v>
      </c>
      <c r="BO1684" s="0" t="s">
        <v>130</v>
      </c>
      <c r="BP1684" s="0" t="s">
        <v>130</v>
      </c>
      <c r="BQ1684" s="0" t="s">
        <v>130</v>
      </c>
      <c r="BR1684" s="0" t="s">
        <v>130</v>
      </c>
      <c r="BS1684" s="0" t="s">
        <v>130</v>
      </c>
      <c r="BT1684" s="0" t="s">
        <v>130</v>
      </c>
      <c r="BU1684" s="0" t="s">
        <v>130</v>
      </c>
      <c r="BV1684" s="0" t="s">
        <v>141</v>
      </c>
      <c r="BW1684" s="0" t="s">
        <v>141</v>
      </c>
      <c r="BX1684" s="0" t="s">
        <v>130</v>
      </c>
      <c r="BY1684" s="0" t="s">
        <v>130</v>
      </c>
      <c r="BZ1684" s="0" t="s">
        <v>130</v>
      </c>
      <c r="CA1684" s="0" t="s">
        <v>130</v>
      </c>
      <c r="CB1684" s="0" t="s">
        <v>130</v>
      </c>
      <c r="CC1684" s="0" t="s">
        <v>130</v>
      </c>
      <c r="CD1684" s="0" t="s">
        <v>130</v>
      </c>
      <c r="CE1684" s="0" t="s">
        <v>130</v>
      </c>
      <c r="CF1684" s="0" t="s">
        <v>130</v>
      </c>
      <c r="CG1684" s="0" t="s">
        <v>130</v>
      </c>
      <c r="CH1684" s="0" t="s">
        <v>130</v>
      </c>
      <c r="CI1684" s="0" t="s">
        <v>130</v>
      </c>
      <c r="CJ1684" s="0" t="s">
        <v>130</v>
      </c>
      <c r="CK1684" s="0" t="s">
        <v>130</v>
      </c>
      <c r="CL1684" s="0" t="s">
        <v>130</v>
      </c>
      <c r="CM1684" s="0" t="s">
        <v>130</v>
      </c>
      <c r="CN1684" s="0" t="s">
        <v>130</v>
      </c>
      <c r="CO1684" s="0" t="s">
        <v>130</v>
      </c>
      <c r="CP1684" s="0" t="s">
        <v>130</v>
      </c>
      <c r="CQ1684" s="0" t="s">
        <v>130</v>
      </c>
      <c r="CR1684" s="0" t="s">
        <v>130</v>
      </c>
      <c r="CS1684" s="0" t="s">
        <v>130</v>
      </c>
      <c r="CT1684" s="0" t="s">
        <v>4840</v>
      </c>
    </row>
    <row r="1685">
      <c r="A1685" s="14">
        <v>69512787</v>
      </c>
      <c r="B1685" s="0" t="s">
        <v>4833</v>
      </c>
      <c r="C1685" s="16">
        <f>HYPERLINK("https://eosportal.federatedhermes.com/companies/Q29tcGFueQppODExMjQ=", "Seagate Technology Holdings PLC")</f>
      </c>
      <c r="D1685" s="0" t="s">
        <v>25</v>
      </c>
      <c r="E1685" s="0" t="s">
        <v>4841</v>
      </c>
      <c r="F1685" s="16">
        <f>HYPERLINK("https://eosportal.federatedhermes.com/engagements/RW5nYWdlbWVudAppMjkzODY=", "Distributable reserves")</f>
      </c>
      <c r="G1685" s="14" t="s">
        <v>4842</v>
      </c>
      <c r="H1685" s="0" t="s">
        <v>130</v>
      </c>
      <c r="I1685" s="14" t="s">
        <v>131</v>
      </c>
      <c r="J1685" s="0" t="s">
        <v>145</v>
      </c>
      <c r="K1685" s="0" t="s">
        <v>400</v>
      </c>
      <c r="L1685" s="0" t="s">
        <v>507</v>
      </c>
      <c r="M1685" s="0" t="s">
        <v>135</v>
      </c>
      <c r="N1685" s="0" t="s">
        <v>136</v>
      </c>
      <c r="O1685" s="0" t="s">
        <v>1125</v>
      </c>
      <c r="Q1685" s="0" t="s">
        <v>130</v>
      </c>
      <c r="R1685" s="0" t="s">
        <v>138</v>
      </c>
      <c r="S1685" s="14">
        <v>0</v>
      </c>
      <c r="T1685" s="0" t="s">
        <v>355</v>
      </c>
      <c r="U1685" s="0" t="s">
        <v>138</v>
      </c>
      <c r="V1685" s="14" t="s">
        <v>138</v>
      </c>
      <c r="W1685" s="0" t="s">
        <v>138</v>
      </c>
      <c r="X1685" s="14" t="s">
        <v>138</v>
      </c>
      <c r="Y1685" s="0" t="s">
        <v>138</v>
      </c>
      <c r="Z1685" s="14" t="s">
        <v>138</v>
      </c>
      <c r="AA1685" s="0" t="s">
        <v>138</v>
      </c>
      <c r="AB1685" s="14" t="s">
        <v>138</v>
      </c>
      <c r="AD1685" s="0" t="s">
        <v>138</v>
      </c>
      <c r="AF1685" s="0">
        <v>0</v>
      </c>
      <c r="AG1685" s="0">
        <v>0</v>
      </c>
      <c r="AH1685" s="0" t="s">
        <v>140</v>
      </c>
      <c r="AI1685" s="0" t="s">
        <v>138</v>
      </c>
      <c r="AL1685" s="14"/>
      <c r="AN1685" s="14"/>
      <c r="AQ1685" s="0" t="s">
        <v>130</v>
      </c>
      <c r="AR1685" s="0" t="s">
        <v>130</v>
      </c>
      <c r="AS1685" s="0" t="s">
        <v>130</v>
      </c>
      <c r="AT1685" s="0" t="s">
        <v>130</v>
      </c>
      <c r="AU1685" s="0" t="s">
        <v>130</v>
      </c>
      <c r="AV1685" s="0" t="s">
        <v>130</v>
      </c>
      <c r="AW1685" s="0" t="s">
        <v>130</v>
      </c>
      <c r="AX1685" s="0" t="s">
        <v>130</v>
      </c>
      <c r="AY1685" s="0" t="s">
        <v>130</v>
      </c>
      <c r="AZ1685" s="0" t="s">
        <v>130</v>
      </c>
      <c r="BA1685" s="0" t="s">
        <v>130</v>
      </c>
      <c r="BB1685" s="0" t="s">
        <v>130</v>
      </c>
      <c r="BC1685" s="0" t="s">
        <v>130</v>
      </c>
      <c r="BD1685" s="0" t="s">
        <v>130</v>
      </c>
      <c r="BE1685" s="0" t="s">
        <v>130</v>
      </c>
      <c r="BF1685" s="0" t="s">
        <v>130</v>
      </c>
      <c r="BG1685" s="0" t="s">
        <v>130</v>
      </c>
      <c r="BH1685" s="0" t="s">
        <v>130</v>
      </c>
      <c r="BI1685" s="0" t="s">
        <v>130</v>
      </c>
      <c r="BJ1685" s="0" t="s">
        <v>130</v>
      </c>
      <c r="BK1685" s="0" t="s">
        <v>130</v>
      </c>
      <c r="BL1685" s="0" t="s">
        <v>130</v>
      </c>
      <c r="BM1685" s="0" t="s">
        <v>130</v>
      </c>
      <c r="BN1685" s="0" t="s">
        <v>130</v>
      </c>
      <c r="BO1685" s="0" t="s">
        <v>130</v>
      </c>
      <c r="BP1685" s="0" t="s">
        <v>130</v>
      </c>
      <c r="BQ1685" s="0" t="s">
        <v>130</v>
      </c>
      <c r="BR1685" s="0" t="s">
        <v>130</v>
      </c>
      <c r="BS1685" s="0" t="s">
        <v>130</v>
      </c>
      <c r="BT1685" s="0" t="s">
        <v>130</v>
      </c>
      <c r="BU1685" s="0" t="s">
        <v>130</v>
      </c>
      <c r="BV1685" s="0" t="s">
        <v>130</v>
      </c>
      <c r="BW1685" s="0" t="s">
        <v>130</v>
      </c>
      <c r="BX1685" s="0" t="s">
        <v>130</v>
      </c>
      <c r="BY1685" s="0" t="s">
        <v>130</v>
      </c>
      <c r="BZ1685" s="0" t="s">
        <v>130</v>
      </c>
      <c r="CA1685" s="0" t="s">
        <v>130</v>
      </c>
      <c r="CB1685" s="0" t="s">
        <v>130</v>
      </c>
      <c r="CC1685" s="0" t="s">
        <v>130</v>
      </c>
      <c r="CD1685" s="0" t="s">
        <v>130</v>
      </c>
      <c r="CE1685" s="0" t="s">
        <v>130</v>
      </c>
      <c r="CF1685" s="0" t="s">
        <v>130</v>
      </c>
      <c r="CG1685" s="0" t="s">
        <v>130</v>
      </c>
      <c r="CH1685" s="0" t="s">
        <v>130</v>
      </c>
      <c r="CI1685" s="0" t="s">
        <v>130</v>
      </c>
      <c r="CJ1685" s="0" t="s">
        <v>130</v>
      </c>
      <c r="CK1685" s="0" t="s">
        <v>130</v>
      </c>
      <c r="CL1685" s="0" t="s">
        <v>130</v>
      </c>
      <c r="CM1685" s="0" t="s">
        <v>130</v>
      </c>
      <c r="CN1685" s="0" t="s">
        <v>130</v>
      </c>
      <c r="CO1685" s="0" t="s">
        <v>130</v>
      </c>
      <c r="CP1685" s="0" t="s">
        <v>130</v>
      </c>
      <c r="CQ1685" s="0" t="s">
        <v>130</v>
      </c>
      <c r="CR1685" s="0" t="s">
        <v>130</v>
      </c>
      <c r="CS1685" s="0" t="s">
        <v>130</v>
      </c>
      <c r="CT1685" s="0" t="s">
        <v>4843</v>
      </c>
    </row>
    <row r="1686">
      <c r="A1686" s="14">
        <v>69512787</v>
      </c>
      <c r="B1686" s="0" t="s">
        <v>4833</v>
      </c>
      <c r="C1686" s="16">
        <f>HYPERLINK("https://eosportal.federatedhermes.com/companies/Q29tcGFueQppODExMjQ=", "Seagate Technology Holdings PLC")</f>
      </c>
      <c r="D1686" s="0" t="s">
        <v>25</v>
      </c>
      <c r="E1686" s="0" t="s">
        <v>143</v>
      </c>
      <c r="F1686" s="16">
        <f>HYPERLINK("https://eosportal.federatedhermes.com/engagements/RW5nYWdlbWVudAppMjkzODk=", "Executive compensation")</f>
      </c>
      <c r="G1686" s="14" t="s">
        <v>4844</v>
      </c>
      <c r="H1686" s="0" t="s">
        <v>130</v>
      </c>
      <c r="I1686" s="14" t="s">
        <v>131</v>
      </c>
      <c r="J1686" s="0" t="s">
        <v>145</v>
      </c>
      <c r="K1686" s="0" t="s">
        <v>146</v>
      </c>
      <c r="L1686" s="0" t="s">
        <v>147</v>
      </c>
      <c r="M1686" s="0" t="s">
        <v>135</v>
      </c>
      <c r="N1686" s="0" t="s">
        <v>136</v>
      </c>
      <c r="O1686" s="0" t="s">
        <v>1125</v>
      </c>
      <c r="Q1686" s="0" t="s">
        <v>130</v>
      </c>
      <c r="R1686" s="0" t="s">
        <v>138</v>
      </c>
      <c r="S1686" s="14">
        <v>0</v>
      </c>
      <c r="T1686" s="0" t="s">
        <v>707</v>
      </c>
      <c r="U1686" s="0" t="s">
        <v>138</v>
      </c>
      <c r="V1686" s="14" t="s">
        <v>138</v>
      </c>
      <c r="W1686" s="0" t="s">
        <v>138</v>
      </c>
      <c r="X1686" s="14" t="s">
        <v>138</v>
      </c>
      <c r="Y1686" s="0" t="s">
        <v>138</v>
      </c>
      <c r="Z1686" s="14" t="s">
        <v>138</v>
      </c>
      <c r="AA1686" s="0" t="s">
        <v>138</v>
      </c>
      <c r="AB1686" s="14" t="s">
        <v>138</v>
      </c>
      <c r="AD1686" s="0" t="s">
        <v>138</v>
      </c>
      <c r="AF1686" s="0">
        <v>0</v>
      </c>
      <c r="AG1686" s="0">
        <v>0</v>
      </c>
      <c r="AH1686" s="0" t="s">
        <v>140</v>
      </c>
      <c r="AI1686" s="0" t="s">
        <v>138</v>
      </c>
      <c r="AL1686" s="14"/>
      <c r="AN1686" s="14"/>
      <c r="AQ1686" s="0" t="s">
        <v>130</v>
      </c>
      <c r="AR1686" s="0" t="s">
        <v>130</v>
      </c>
      <c r="AS1686" s="0" t="s">
        <v>130</v>
      </c>
      <c r="AT1686" s="0" t="s">
        <v>130</v>
      </c>
      <c r="AU1686" s="0" t="s">
        <v>130</v>
      </c>
      <c r="AV1686" s="0" t="s">
        <v>130</v>
      </c>
      <c r="AW1686" s="0" t="s">
        <v>130</v>
      </c>
      <c r="AX1686" s="0" t="s">
        <v>130</v>
      </c>
      <c r="AY1686" s="0" t="s">
        <v>130</v>
      </c>
      <c r="AZ1686" s="0" t="s">
        <v>130</v>
      </c>
      <c r="BA1686" s="0" t="s">
        <v>130</v>
      </c>
      <c r="BB1686" s="0" t="s">
        <v>130</v>
      </c>
      <c r="BC1686" s="0" t="s">
        <v>130</v>
      </c>
      <c r="BD1686" s="0" t="s">
        <v>130</v>
      </c>
      <c r="BE1686" s="0" t="s">
        <v>130</v>
      </c>
      <c r="BF1686" s="0" t="s">
        <v>130</v>
      </c>
      <c r="BG1686" s="0" t="s">
        <v>130</v>
      </c>
      <c r="BH1686" s="0" t="s">
        <v>130</v>
      </c>
      <c r="BI1686" s="0" t="s">
        <v>130</v>
      </c>
      <c r="BJ1686" s="0" t="s">
        <v>130</v>
      </c>
      <c r="BK1686" s="0" t="s">
        <v>130</v>
      </c>
      <c r="BL1686" s="0" t="s">
        <v>130</v>
      </c>
      <c r="BM1686" s="0" t="s">
        <v>130</v>
      </c>
      <c r="BN1686" s="0" t="s">
        <v>130</v>
      </c>
      <c r="BO1686" s="0" t="s">
        <v>130</v>
      </c>
      <c r="BP1686" s="0" t="s">
        <v>130</v>
      </c>
      <c r="BQ1686" s="0" t="s">
        <v>130</v>
      </c>
      <c r="BR1686" s="0" t="s">
        <v>130</v>
      </c>
      <c r="BS1686" s="0" t="s">
        <v>130</v>
      </c>
      <c r="BT1686" s="0" t="s">
        <v>130</v>
      </c>
      <c r="BU1686" s="0" t="s">
        <v>130</v>
      </c>
      <c r="BV1686" s="0" t="s">
        <v>130</v>
      </c>
      <c r="BW1686" s="0" t="s">
        <v>130</v>
      </c>
      <c r="BX1686" s="0" t="s">
        <v>130</v>
      </c>
      <c r="BY1686" s="0" t="s">
        <v>130</v>
      </c>
      <c r="BZ1686" s="0" t="s">
        <v>130</v>
      </c>
      <c r="CA1686" s="0" t="s">
        <v>130</v>
      </c>
      <c r="CB1686" s="0" t="s">
        <v>130</v>
      </c>
      <c r="CC1686" s="0" t="s">
        <v>130</v>
      </c>
      <c r="CD1686" s="0" t="s">
        <v>130</v>
      </c>
      <c r="CE1686" s="0" t="s">
        <v>130</v>
      </c>
      <c r="CF1686" s="0" t="s">
        <v>130</v>
      </c>
      <c r="CG1686" s="0" t="s">
        <v>130</v>
      </c>
      <c r="CH1686" s="0" t="s">
        <v>130</v>
      </c>
      <c r="CI1686" s="0" t="s">
        <v>130</v>
      </c>
      <c r="CJ1686" s="0" t="s">
        <v>130</v>
      </c>
      <c r="CK1686" s="0" t="s">
        <v>130</v>
      </c>
      <c r="CL1686" s="0" t="s">
        <v>130</v>
      </c>
      <c r="CM1686" s="0" t="s">
        <v>130</v>
      </c>
      <c r="CN1686" s="0" t="s">
        <v>130</v>
      </c>
      <c r="CO1686" s="0" t="s">
        <v>130</v>
      </c>
      <c r="CP1686" s="0" t="s">
        <v>130</v>
      </c>
      <c r="CQ1686" s="0" t="s">
        <v>130</v>
      </c>
      <c r="CR1686" s="0" t="s">
        <v>130</v>
      </c>
      <c r="CS1686" s="0" t="s">
        <v>130</v>
      </c>
      <c r="CT1686" s="0" t="s">
        <v>4845</v>
      </c>
    </row>
    <row r="1687">
      <c r="A1687" s="14">
        <v>100169</v>
      </c>
      <c r="B1687" s="0" t="s">
        <v>4846</v>
      </c>
      <c r="C1687" s="16">
        <f>HYPERLINK("https://eosportal.federatedhermes.com/companies/Q29tcGFueQppNjc3MzE=", "Barclays PLC")</f>
      </c>
      <c r="D1687" s="0" t="s">
        <v>25</v>
      </c>
      <c r="E1687" s="0" t="s">
        <v>4847</v>
      </c>
      <c r="F1687" s="16">
        <f>HYPERLINK("https://eosportal.federatedhermes.com/engagements/RW5nYWdlbWVudAppMjk0Mjc=", "Licence to operate")</f>
      </c>
      <c r="G1687" s="14" t="s">
        <v>291</v>
      </c>
      <c r="H1687" s="0" t="s">
        <v>141</v>
      </c>
      <c r="I1687" s="14" t="s">
        <v>191</v>
      </c>
      <c r="J1687" s="0" t="s">
        <v>153</v>
      </c>
      <c r="K1687" s="0" t="s">
        <v>243</v>
      </c>
      <c r="L1687" s="0" t="s">
        <v>571</v>
      </c>
      <c r="M1687" s="0" t="s">
        <v>272</v>
      </c>
      <c r="N1687" s="0" t="s">
        <v>273</v>
      </c>
      <c r="O1687" s="0" t="s">
        <v>238</v>
      </c>
      <c r="Q1687" s="0" t="s">
        <v>130</v>
      </c>
      <c r="R1687" s="0" t="s">
        <v>138</v>
      </c>
      <c r="S1687" s="14">
        <v>0</v>
      </c>
      <c r="T1687" s="0" t="s">
        <v>825</v>
      </c>
      <c r="U1687" s="0" t="s">
        <v>138</v>
      </c>
      <c r="V1687" s="14" t="s">
        <v>138</v>
      </c>
      <c r="W1687" s="0" t="s">
        <v>138</v>
      </c>
      <c r="X1687" s="14" t="s">
        <v>138</v>
      </c>
      <c r="Y1687" s="0" t="s">
        <v>138</v>
      </c>
      <c r="Z1687" s="14" t="s">
        <v>138</v>
      </c>
      <c r="AA1687" s="0" t="s">
        <v>138</v>
      </c>
      <c r="AB1687" s="14" t="s">
        <v>138</v>
      </c>
      <c r="AD1687" s="0" t="s">
        <v>138</v>
      </c>
      <c r="AF1687" s="0">
        <v>0</v>
      </c>
      <c r="AG1687" s="0">
        <v>0</v>
      </c>
      <c r="AH1687" s="0" t="s">
        <v>140</v>
      </c>
      <c r="AI1687" s="0" t="s">
        <v>138</v>
      </c>
      <c r="AL1687" s="14"/>
      <c r="AN1687" s="14"/>
      <c r="AQ1687" s="0" t="s">
        <v>130</v>
      </c>
      <c r="AR1687" s="0" t="s">
        <v>130</v>
      </c>
      <c r="AS1687" s="0" t="s">
        <v>130</v>
      </c>
      <c r="AT1687" s="0" t="s">
        <v>130</v>
      </c>
      <c r="AU1687" s="0" t="s">
        <v>130</v>
      </c>
      <c r="AV1687" s="0" t="s">
        <v>130</v>
      </c>
      <c r="AW1687" s="0" t="s">
        <v>130</v>
      </c>
      <c r="AX1687" s="0" t="s">
        <v>130</v>
      </c>
      <c r="AY1687" s="0" t="s">
        <v>130</v>
      </c>
      <c r="AZ1687" s="0" t="s">
        <v>130</v>
      </c>
      <c r="BA1687" s="0" t="s">
        <v>130</v>
      </c>
      <c r="BB1687" s="0" t="s">
        <v>130</v>
      </c>
      <c r="BC1687" s="0" t="s">
        <v>130</v>
      </c>
      <c r="BD1687" s="0" t="s">
        <v>130</v>
      </c>
      <c r="BE1687" s="0" t="s">
        <v>130</v>
      </c>
      <c r="BF1687" s="0" t="s">
        <v>141</v>
      </c>
      <c r="BG1687" s="0" t="s">
        <v>130</v>
      </c>
      <c r="BH1687" s="0" t="s">
        <v>130</v>
      </c>
      <c r="BI1687" s="0" t="s">
        <v>130</v>
      </c>
      <c r="BJ1687" s="0" t="s">
        <v>130</v>
      </c>
      <c r="BK1687" s="0" t="s">
        <v>130</v>
      </c>
      <c r="BL1687" s="0" t="s">
        <v>130</v>
      </c>
      <c r="BM1687" s="0" t="s">
        <v>130</v>
      </c>
      <c r="BN1687" s="0" t="s">
        <v>130</v>
      </c>
      <c r="BO1687" s="0" t="s">
        <v>130</v>
      </c>
      <c r="BP1687" s="0" t="s">
        <v>130</v>
      </c>
      <c r="BQ1687" s="0" t="s">
        <v>130</v>
      </c>
      <c r="BR1687" s="0" t="s">
        <v>130</v>
      </c>
      <c r="BS1687" s="0" t="s">
        <v>130</v>
      </c>
      <c r="BT1687" s="0" t="s">
        <v>130</v>
      </c>
      <c r="BU1687" s="0" t="s">
        <v>130</v>
      </c>
      <c r="BV1687" s="0" t="s">
        <v>130</v>
      </c>
      <c r="BW1687" s="0" t="s">
        <v>130</v>
      </c>
      <c r="BX1687" s="0" t="s">
        <v>130</v>
      </c>
      <c r="BY1687" s="0" t="s">
        <v>130</v>
      </c>
      <c r="BZ1687" s="0" t="s">
        <v>130</v>
      </c>
      <c r="CA1687" s="0" t="s">
        <v>130</v>
      </c>
      <c r="CB1687" s="0" t="s">
        <v>130</v>
      </c>
      <c r="CC1687" s="0" t="s">
        <v>130</v>
      </c>
      <c r="CD1687" s="0" t="s">
        <v>130</v>
      </c>
      <c r="CE1687" s="0" t="s">
        <v>130</v>
      </c>
      <c r="CF1687" s="0" t="s">
        <v>130</v>
      </c>
      <c r="CG1687" s="0" t="s">
        <v>130</v>
      </c>
      <c r="CH1687" s="0" t="s">
        <v>130</v>
      </c>
      <c r="CI1687" s="0" t="s">
        <v>130</v>
      </c>
      <c r="CJ1687" s="0" t="s">
        <v>130</v>
      </c>
      <c r="CK1687" s="0" t="s">
        <v>130</v>
      </c>
      <c r="CL1687" s="0" t="s">
        <v>130</v>
      </c>
      <c r="CM1687" s="0" t="s">
        <v>130</v>
      </c>
      <c r="CN1687" s="0" t="s">
        <v>130</v>
      </c>
      <c r="CO1687" s="0" t="s">
        <v>130</v>
      </c>
      <c r="CP1687" s="0" t="s">
        <v>130</v>
      </c>
      <c r="CQ1687" s="0" t="s">
        <v>130</v>
      </c>
      <c r="CR1687" s="0" t="s">
        <v>130</v>
      </c>
      <c r="CS1687" s="0" t="s">
        <v>130</v>
      </c>
      <c r="CT1687" s="0" t="s">
        <v>4848</v>
      </c>
    </row>
    <row r="1688">
      <c r="A1688" s="14">
        <v>100169</v>
      </c>
      <c r="B1688" s="0" t="s">
        <v>4846</v>
      </c>
      <c r="C1688" s="16">
        <f>HYPERLINK("https://eosportal.federatedhermes.com/companies/Q29tcGFueQppNjc3MzE=", "Barclays PLC")</f>
      </c>
      <c r="D1688" s="0" t="s">
        <v>25</v>
      </c>
      <c r="E1688" s="0" t="s">
        <v>4849</v>
      </c>
      <c r="F1688" s="16">
        <f>HYPERLINK("https://eosportal.federatedhermes.com/engagements/RW5nYWdlbWVudAppMjk0Mjg=", "corporate culture")</f>
      </c>
      <c r="G1688" s="14" t="s">
        <v>4849</v>
      </c>
      <c r="H1688" s="0" t="s">
        <v>141</v>
      </c>
      <c r="I1688" s="14" t="s">
        <v>191</v>
      </c>
      <c r="J1688" s="0" t="s">
        <v>153</v>
      </c>
      <c r="K1688" s="0" t="s">
        <v>185</v>
      </c>
      <c r="L1688" s="0" t="s">
        <v>186</v>
      </c>
      <c r="M1688" s="0" t="s">
        <v>272</v>
      </c>
      <c r="N1688" s="0" t="s">
        <v>273</v>
      </c>
      <c r="O1688" s="0" t="s">
        <v>238</v>
      </c>
      <c r="Q1688" s="0" t="s">
        <v>130</v>
      </c>
      <c r="R1688" s="0" t="s">
        <v>138</v>
      </c>
      <c r="S1688" s="14">
        <v>0</v>
      </c>
      <c r="T1688" s="0" t="s">
        <v>825</v>
      </c>
      <c r="U1688" s="0" t="s">
        <v>138</v>
      </c>
      <c r="V1688" s="14" t="s">
        <v>138</v>
      </c>
      <c r="W1688" s="0" t="s">
        <v>138</v>
      </c>
      <c r="X1688" s="14" t="s">
        <v>138</v>
      </c>
      <c r="Y1688" s="0" t="s">
        <v>138</v>
      </c>
      <c r="Z1688" s="14" t="s">
        <v>138</v>
      </c>
      <c r="AA1688" s="0" t="s">
        <v>138</v>
      </c>
      <c r="AB1688" s="14" t="s">
        <v>138</v>
      </c>
      <c r="AD1688" s="0" t="s">
        <v>138</v>
      </c>
      <c r="AF1688" s="0">
        <v>0</v>
      </c>
      <c r="AG1688" s="0">
        <v>0</v>
      </c>
      <c r="AH1688" s="0" t="s">
        <v>140</v>
      </c>
      <c r="AI1688" s="0" t="s">
        <v>138</v>
      </c>
      <c r="AL1688" s="14"/>
      <c r="AN1688" s="14"/>
      <c r="AQ1688" s="0" t="s">
        <v>130</v>
      </c>
      <c r="AR1688" s="0" t="s">
        <v>130</v>
      </c>
      <c r="AS1688" s="0" t="s">
        <v>130</v>
      </c>
      <c r="AT1688" s="0" t="s">
        <v>130</v>
      </c>
      <c r="AU1688" s="0" t="s">
        <v>130</v>
      </c>
      <c r="AV1688" s="0" t="s">
        <v>130</v>
      </c>
      <c r="AW1688" s="0" t="s">
        <v>130</v>
      </c>
      <c r="AX1688" s="0" t="s">
        <v>130</v>
      </c>
      <c r="AY1688" s="0" t="s">
        <v>130</v>
      </c>
      <c r="AZ1688" s="0" t="s">
        <v>130</v>
      </c>
      <c r="BA1688" s="0" t="s">
        <v>130</v>
      </c>
      <c r="BB1688" s="0" t="s">
        <v>130</v>
      </c>
      <c r="BC1688" s="0" t="s">
        <v>130</v>
      </c>
      <c r="BD1688" s="0" t="s">
        <v>130</v>
      </c>
      <c r="BE1688" s="0" t="s">
        <v>130</v>
      </c>
      <c r="BF1688" s="0" t="s">
        <v>130</v>
      </c>
      <c r="BG1688" s="0" t="s">
        <v>130</v>
      </c>
      <c r="BH1688" s="0" t="s">
        <v>130</v>
      </c>
      <c r="BI1688" s="0" t="s">
        <v>130</v>
      </c>
      <c r="BJ1688" s="0" t="s">
        <v>130</v>
      </c>
      <c r="BK1688" s="0" t="s">
        <v>130</v>
      </c>
      <c r="BL1688" s="0" t="s">
        <v>130</v>
      </c>
      <c r="BM1688" s="0" t="s">
        <v>130</v>
      </c>
      <c r="BN1688" s="0" t="s">
        <v>130</v>
      </c>
      <c r="BO1688" s="0" t="s">
        <v>130</v>
      </c>
      <c r="BP1688" s="0" t="s">
        <v>130</v>
      </c>
      <c r="BQ1688" s="0" t="s">
        <v>130</v>
      </c>
      <c r="BR1688" s="0" t="s">
        <v>130</v>
      </c>
      <c r="BS1688" s="0" t="s">
        <v>130</v>
      </c>
      <c r="BT1688" s="0" t="s">
        <v>130</v>
      </c>
      <c r="BU1688" s="0" t="s">
        <v>130</v>
      </c>
      <c r="BV1688" s="0" t="s">
        <v>130</v>
      </c>
      <c r="BW1688" s="0" t="s">
        <v>130</v>
      </c>
      <c r="BX1688" s="0" t="s">
        <v>130</v>
      </c>
      <c r="BY1688" s="0" t="s">
        <v>130</v>
      </c>
      <c r="BZ1688" s="0" t="s">
        <v>130</v>
      </c>
      <c r="CA1688" s="0" t="s">
        <v>130</v>
      </c>
      <c r="CB1688" s="0" t="s">
        <v>130</v>
      </c>
      <c r="CC1688" s="0" t="s">
        <v>130</v>
      </c>
      <c r="CD1688" s="0" t="s">
        <v>130</v>
      </c>
      <c r="CE1688" s="0" t="s">
        <v>130</v>
      </c>
      <c r="CF1688" s="0" t="s">
        <v>130</v>
      </c>
      <c r="CG1688" s="0" t="s">
        <v>130</v>
      </c>
      <c r="CH1688" s="0" t="s">
        <v>130</v>
      </c>
      <c r="CI1688" s="0" t="s">
        <v>130</v>
      </c>
      <c r="CJ1688" s="0" t="s">
        <v>130</v>
      </c>
      <c r="CK1688" s="0" t="s">
        <v>130</v>
      </c>
      <c r="CL1688" s="0" t="s">
        <v>130</v>
      </c>
      <c r="CM1688" s="0" t="s">
        <v>130</v>
      </c>
      <c r="CN1688" s="0" t="s">
        <v>130</v>
      </c>
      <c r="CO1688" s="0" t="s">
        <v>130</v>
      </c>
      <c r="CP1688" s="0" t="s">
        <v>130</v>
      </c>
      <c r="CQ1688" s="0" t="s">
        <v>130</v>
      </c>
      <c r="CR1688" s="0" t="s">
        <v>130</v>
      </c>
      <c r="CS1688" s="0" t="s">
        <v>130</v>
      </c>
      <c r="CT1688" s="0" t="s">
        <v>4850</v>
      </c>
    </row>
    <row r="1689">
      <c r="A1689" s="14">
        <v>100169</v>
      </c>
      <c r="B1689" s="0" t="s">
        <v>4846</v>
      </c>
      <c r="C1689" s="16">
        <f>HYPERLINK("https://eosportal.federatedhermes.com/companies/Q29tcGFueQppNjc3MzE=", "Barclays PLC")</f>
      </c>
      <c r="D1689" s="0" t="s">
        <v>25</v>
      </c>
      <c r="E1689" s="0" t="s">
        <v>4851</v>
      </c>
      <c r="F1689" s="16">
        <f>HYPERLINK("https://eosportal.federatedhermes.com/engagements/RW5nYWdlbWVudAppMjk0Mjk=", "Regulatory Stress Test")</f>
      </c>
      <c r="G1689" s="14" t="s">
        <v>4852</v>
      </c>
      <c r="H1689" s="0" t="s">
        <v>141</v>
      </c>
      <c r="I1689" s="14" t="s">
        <v>191</v>
      </c>
      <c r="J1689" s="0" t="s">
        <v>132</v>
      </c>
      <c r="K1689" s="0" t="s">
        <v>260</v>
      </c>
      <c r="L1689" s="0" t="s">
        <v>261</v>
      </c>
      <c r="M1689" s="0" t="s">
        <v>272</v>
      </c>
      <c r="N1689" s="0" t="s">
        <v>273</v>
      </c>
      <c r="O1689" s="0" t="s">
        <v>238</v>
      </c>
      <c r="Q1689" s="0" t="s">
        <v>130</v>
      </c>
      <c r="R1689" s="0" t="s">
        <v>138</v>
      </c>
      <c r="S1689" s="14">
        <v>0</v>
      </c>
      <c r="T1689" s="0" t="s">
        <v>920</v>
      </c>
      <c r="U1689" s="0" t="s">
        <v>138</v>
      </c>
      <c r="V1689" s="14" t="s">
        <v>138</v>
      </c>
      <c r="W1689" s="0" t="s">
        <v>138</v>
      </c>
      <c r="X1689" s="14" t="s">
        <v>138</v>
      </c>
      <c r="Y1689" s="0" t="s">
        <v>138</v>
      </c>
      <c r="Z1689" s="14" t="s">
        <v>138</v>
      </c>
      <c r="AA1689" s="0" t="s">
        <v>138</v>
      </c>
      <c r="AB1689" s="14" t="s">
        <v>138</v>
      </c>
      <c r="AD1689" s="0" t="s">
        <v>138</v>
      </c>
      <c r="AF1689" s="0">
        <v>0</v>
      </c>
      <c r="AG1689" s="0">
        <v>0</v>
      </c>
      <c r="AH1689" s="0" t="s">
        <v>140</v>
      </c>
      <c r="AI1689" s="0" t="s">
        <v>138</v>
      </c>
      <c r="AL1689" s="14"/>
      <c r="AN1689" s="14"/>
      <c r="AQ1689" s="0" t="s">
        <v>130</v>
      </c>
      <c r="AR1689" s="0" t="s">
        <v>130</v>
      </c>
      <c r="AS1689" s="0" t="s">
        <v>130</v>
      </c>
      <c r="AT1689" s="0" t="s">
        <v>130</v>
      </c>
      <c r="AU1689" s="0" t="s">
        <v>130</v>
      </c>
      <c r="AV1689" s="0" t="s">
        <v>130</v>
      </c>
      <c r="AW1689" s="0" t="s">
        <v>130</v>
      </c>
      <c r="AX1689" s="0" t="s">
        <v>130</v>
      </c>
      <c r="AY1689" s="0" t="s">
        <v>130</v>
      </c>
      <c r="AZ1689" s="0" t="s">
        <v>130</v>
      </c>
      <c r="BA1689" s="0" t="s">
        <v>130</v>
      </c>
      <c r="BB1689" s="0" t="s">
        <v>130</v>
      </c>
      <c r="BC1689" s="0" t="s">
        <v>130</v>
      </c>
      <c r="BD1689" s="0" t="s">
        <v>130</v>
      </c>
      <c r="BE1689" s="0" t="s">
        <v>130</v>
      </c>
      <c r="BF1689" s="0" t="s">
        <v>130</v>
      </c>
      <c r="BG1689" s="0" t="s">
        <v>130</v>
      </c>
      <c r="BH1689" s="0" t="s">
        <v>130</v>
      </c>
      <c r="BI1689" s="0" t="s">
        <v>130</v>
      </c>
      <c r="BJ1689" s="0" t="s">
        <v>130</v>
      </c>
      <c r="BK1689" s="0" t="s">
        <v>130</v>
      </c>
      <c r="BL1689" s="0" t="s">
        <v>130</v>
      </c>
      <c r="BM1689" s="0" t="s">
        <v>130</v>
      </c>
      <c r="BN1689" s="0" t="s">
        <v>130</v>
      </c>
      <c r="BO1689" s="0" t="s">
        <v>130</v>
      </c>
      <c r="BP1689" s="0" t="s">
        <v>130</v>
      </c>
      <c r="BQ1689" s="0" t="s">
        <v>130</v>
      </c>
      <c r="BR1689" s="0" t="s">
        <v>130</v>
      </c>
      <c r="BS1689" s="0" t="s">
        <v>130</v>
      </c>
      <c r="BT1689" s="0" t="s">
        <v>130</v>
      </c>
      <c r="BU1689" s="0" t="s">
        <v>130</v>
      </c>
      <c r="BV1689" s="0" t="s">
        <v>130</v>
      </c>
      <c r="BW1689" s="0" t="s">
        <v>130</v>
      </c>
      <c r="BX1689" s="0" t="s">
        <v>130</v>
      </c>
      <c r="BY1689" s="0" t="s">
        <v>130</v>
      </c>
      <c r="BZ1689" s="0" t="s">
        <v>130</v>
      </c>
      <c r="CA1689" s="0" t="s">
        <v>130</v>
      </c>
      <c r="CB1689" s="0" t="s">
        <v>130</v>
      </c>
      <c r="CC1689" s="0" t="s">
        <v>130</v>
      </c>
      <c r="CD1689" s="0" t="s">
        <v>130</v>
      </c>
      <c r="CE1689" s="0" t="s">
        <v>130</v>
      </c>
      <c r="CF1689" s="0" t="s">
        <v>130</v>
      </c>
      <c r="CG1689" s="0" t="s">
        <v>130</v>
      </c>
      <c r="CH1689" s="0" t="s">
        <v>130</v>
      </c>
      <c r="CI1689" s="0" t="s">
        <v>130</v>
      </c>
      <c r="CJ1689" s="0" t="s">
        <v>130</v>
      </c>
      <c r="CK1689" s="0" t="s">
        <v>130</v>
      </c>
      <c r="CL1689" s="0" t="s">
        <v>130</v>
      </c>
      <c r="CM1689" s="0" t="s">
        <v>130</v>
      </c>
      <c r="CN1689" s="0" t="s">
        <v>130</v>
      </c>
      <c r="CO1689" s="0" t="s">
        <v>130</v>
      </c>
      <c r="CP1689" s="0" t="s">
        <v>130</v>
      </c>
      <c r="CQ1689" s="0" t="s">
        <v>130</v>
      </c>
      <c r="CR1689" s="0" t="s">
        <v>130</v>
      </c>
      <c r="CS1689" s="0" t="s">
        <v>130</v>
      </c>
      <c r="CT1689" s="0" t="s">
        <v>4853</v>
      </c>
    </row>
    <row r="1690">
      <c r="A1690" s="14">
        <v>100169</v>
      </c>
      <c r="B1690" s="0" t="s">
        <v>4846</v>
      </c>
      <c r="C1690" s="16">
        <f>HYPERLINK("https://eosportal.federatedhermes.com/companies/Q29tcGFueQppNjc3MzE=", "Barclays PLC")</f>
      </c>
      <c r="D1690" s="0" t="s">
        <v>25</v>
      </c>
      <c r="E1690" s="0" t="s">
        <v>3073</v>
      </c>
      <c r="F1690" s="16">
        <f>HYPERLINK("https://eosportal.federatedhermes.com/engagements/RW5nYWdlbWVudAppMjk0MzA=", "Shareholder communications")</f>
      </c>
      <c r="G1690" s="14"/>
      <c r="H1690" s="0" t="s">
        <v>141</v>
      </c>
      <c r="I1690" s="14" t="s">
        <v>191</v>
      </c>
      <c r="J1690" s="0" t="s">
        <v>132</v>
      </c>
      <c r="K1690" s="0" t="s">
        <v>170</v>
      </c>
      <c r="L1690" s="0" t="s">
        <v>171</v>
      </c>
      <c r="M1690" s="0" t="s">
        <v>272</v>
      </c>
      <c r="N1690" s="0" t="s">
        <v>273</v>
      </c>
      <c r="O1690" s="0" t="s">
        <v>238</v>
      </c>
      <c r="Q1690" s="0" t="s">
        <v>130</v>
      </c>
      <c r="R1690" s="0" t="s">
        <v>138</v>
      </c>
      <c r="S1690" s="14">
        <v>0</v>
      </c>
      <c r="T1690" s="0" t="s">
        <v>825</v>
      </c>
      <c r="U1690" s="0" t="s">
        <v>138</v>
      </c>
      <c r="V1690" s="14" t="s">
        <v>138</v>
      </c>
      <c r="W1690" s="0" t="s">
        <v>138</v>
      </c>
      <c r="X1690" s="14" t="s">
        <v>138</v>
      </c>
      <c r="Y1690" s="0" t="s">
        <v>138</v>
      </c>
      <c r="Z1690" s="14" t="s">
        <v>138</v>
      </c>
      <c r="AA1690" s="0" t="s">
        <v>138</v>
      </c>
      <c r="AB1690" s="14" t="s">
        <v>138</v>
      </c>
      <c r="AD1690" s="0" t="s">
        <v>138</v>
      </c>
      <c r="AF1690" s="0">
        <v>0</v>
      </c>
      <c r="AG1690" s="0">
        <v>0</v>
      </c>
      <c r="AH1690" s="0" t="s">
        <v>140</v>
      </c>
      <c r="AI1690" s="0" t="s">
        <v>138</v>
      </c>
      <c r="AL1690" s="14"/>
      <c r="AN1690" s="14"/>
      <c r="AQ1690" s="0" t="s">
        <v>130</v>
      </c>
      <c r="AR1690" s="0" t="s">
        <v>130</v>
      </c>
      <c r="AS1690" s="0" t="s">
        <v>130</v>
      </c>
      <c r="AT1690" s="0" t="s">
        <v>130</v>
      </c>
      <c r="AU1690" s="0" t="s">
        <v>130</v>
      </c>
      <c r="AV1690" s="0" t="s">
        <v>130</v>
      </c>
      <c r="AW1690" s="0" t="s">
        <v>130</v>
      </c>
      <c r="AX1690" s="0" t="s">
        <v>130</v>
      </c>
      <c r="AY1690" s="0" t="s">
        <v>130</v>
      </c>
      <c r="AZ1690" s="0" t="s">
        <v>130</v>
      </c>
      <c r="BA1690" s="0" t="s">
        <v>130</v>
      </c>
      <c r="BB1690" s="0" t="s">
        <v>130</v>
      </c>
      <c r="BC1690" s="0" t="s">
        <v>130</v>
      </c>
      <c r="BD1690" s="0" t="s">
        <v>130</v>
      </c>
      <c r="BE1690" s="0" t="s">
        <v>130</v>
      </c>
      <c r="BF1690" s="0" t="s">
        <v>130</v>
      </c>
      <c r="BG1690" s="0" t="s">
        <v>130</v>
      </c>
      <c r="BH1690" s="0" t="s">
        <v>130</v>
      </c>
      <c r="BI1690" s="0" t="s">
        <v>130</v>
      </c>
      <c r="BJ1690" s="0" t="s">
        <v>130</v>
      </c>
      <c r="BK1690" s="0" t="s">
        <v>130</v>
      </c>
      <c r="BL1690" s="0" t="s">
        <v>130</v>
      </c>
      <c r="BM1690" s="0" t="s">
        <v>130</v>
      </c>
      <c r="BN1690" s="0" t="s">
        <v>130</v>
      </c>
      <c r="BO1690" s="0" t="s">
        <v>130</v>
      </c>
      <c r="BP1690" s="0" t="s">
        <v>130</v>
      </c>
      <c r="BQ1690" s="0" t="s">
        <v>130</v>
      </c>
      <c r="BR1690" s="0" t="s">
        <v>130</v>
      </c>
      <c r="BS1690" s="0" t="s">
        <v>130</v>
      </c>
      <c r="BT1690" s="0" t="s">
        <v>130</v>
      </c>
      <c r="BU1690" s="0" t="s">
        <v>130</v>
      </c>
      <c r="BV1690" s="0" t="s">
        <v>130</v>
      </c>
      <c r="BW1690" s="0" t="s">
        <v>130</v>
      </c>
      <c r="BX1690" s="0" t="s">
        <v>130</v>
      </c>
      <c r="BY1690" s="0" t="s">
        <v>130</v>
      </c>
      <c r="BZ1690" s="0" t="s">
        <v>130</v>
      </c>
      <c r="CA1690" s="0" t="s">
        <v>130</v>
      </c>
      <c r="CB1690" s="0" t="s">
        <v>130</v>
      </c>
      <c r="CC1690" s="0" t="s">
        <v>130</v>
      </c>
      <c r="CD1690" s="0" t="s">
        <v>130</v>
      </c>
      <c r="CE1690" s="0" t="s">
        <v>130</v>
      </c>
      <c r="CF1690" s="0" t="s">
        <v>130</v>
      </c>
      <c r="CG1690" s="0" t="s">
        <v>130</v>
      </c>
      <c r="CH1690" s="0" t="s">
        <v>130</v>
      </c>
      <c r="CI1690" s="0" t="s">
        <v>130</v>
      </c>
      <c r="CJ1690" s="0" t="s">
        <v>130</v>
      </c>
      <c r="CK1690" s="0" t="s">
        <v>130</v>
      </c>
      <c r="CL1690" s="0" t="s">
        <v>130</v>
      </c>
      <c r="CM1690" s="0" t="s">
        <v>130</v>
      </c>
      <c r="CN1690" s="0" t="s">
        <v>130</v>
      </c>
      <c r="CO1690" s="0" t="s">
        <v>130</v>
      </c>
      <c r="CP1690" s="0" t="s">
        <v>130</v>
      </c>
      <c r="CQ1690" s="0" t="s">
        <v>130</v>
      </c>
      <c r="CR1690" s="0" t="s">
        <v>130</v>
      </c>
      <c r="CS1690" s="0" t="s">
        <v>130</v>
      </c>
      <c r="CT1690" s="0" t="s">
        <v>4854</v>
      </c>
    </row>
    <row r="1691">
      <c r="A1691" s="14">
        <v>100169</v>
      </c>
      <c r="B1691" s="0" t="s">
        <v>4846</v>
      </c>
      <c r="C1691" s="16">
        <f>HYPERLINK("https://eosportal.federatedhermes.com/companies/Q29tcGFueQppNjc3MzE=", "Barclays PLC")</f>
      </c>
      <c r="D1691" s="0" t="s">
        <v>25</v>
      </c>
      <c r="E1691" s="0" t="s">
        <v>260</v>
      </c>
      <c r="F1691" s="16">
        <f>HYPERLINK("https://eosportal.federatedhermes.com/engagements/RW5nYWdlbWVudAppMjk0MzE=", "Risk Management")</f>
      </c>
      <c r="G1691" s="14" t="s">
        <v>4855</v>
      </c>
      <c r="H1691" s="0" t="s">
        <v>141</v>
      </c>
      <c r="I1691" s="14" t="s">
        <v>191</v>
      </c>
      <c r="J1691" s="0" t="s">
        <v>132</v>
      </c>
      <c r="K1691" s="0" t="s">
        <v>260</v>
      </c>
      <c r="L1691" s="0" t="s">
        <v>261</v>
      </c>
      <c r="M1691" s="0" t="s">
        <v>272</v>
      </c>
      <c r="N1691" s="0" t="s">
        <v>273</v>
      </c>
      <c r="O1691" s="0" t="s">
        <v>238</v>
      </c>
      <c r="Q1691" s="0" t="s">
        <v>141</v>
      </c>
      <c r="R1691" s="0" t="s">
        <v>138</v>
      </c>
      <c r="S1691" s="14">
        <v>1</v>
      </c>
      <c r="T1691" s="0" t="s">
        <v>804</v>
      </c>
      <c r="U1691" s="0" t="s">
        <v>138</v>
      </c>
      <c r="V1691" s="14" t="s">
        <v>138</v>
      </c>
      <c r="W1691" s="0" t="s">
        <v>138</v>
      </c>
      <c r="X1691" s="14" t="s">
        <v>138</v>
      </c>
      <c r="Y1691" s="0" t="s">
        <v>138</v>
      </c>
      <c r="Z1691" s="14" t="s">
        <v>138</v>
      </c>
      <c r="AA1691" s="0" t="s">
        <v>138</v>
      </c>
      <c r="AB1691" s="14" t="s">
        <v>138</v>
      </c>
      <c r="AD1691" s="0" t="s">
        <v>138</v>
      </c>
      <c r="AF1691" s="0">
        <v>0</v>
      </c>
      <c r="AG1691" s="0">
        <v>0</v>
      </c>
      <c r="AH1691" s="0" t="s">
        <v>140</v>
      </c>
      <c r="AI1691" s="0" t="s">
        <v>138</v>
      </c>
      <c r="AK1691" s="0" t="s">
        <v>3626</v>
      </c>
      <c r="AL1691" s="14"/>
      <c r="AN1691" s="14"/>
      <c r="AQ1691" s="0" t="s">
        <v>130</v>
      </c>
      <c r="AR1691" s="0" t="s">
        <v>130</v>
      </c>
      <c r="AS1691" s="0" t="s">
        <v>130</v>
      </c>
      <c r="AT1691" s="0" t="s">
        <v>130</v>
      </c>
      <c r="AU1691" s="0" t="s">
        <v>130</v>
      </c>
      <c r="AV1691" s="0" t="s">
        <v>130</v>
      </c>
      <c r="AW1691" s="0" t="s">
        <v>130</v>
      </c>
      <c r="AX1691" s="0" t="s">
        <v>130</v>
      </c>
      <c r="AY1691" s="0" t="s">
        <v>130</v>
      </c>
      <c r="AZ1691" s="0" t="s">
        <v>130</v>
      </c>
      <c r="BA1691" s="0" t="s">
        <v>130</v>
      </c>
      <c r="BB1691" s="0" t="s">
        <v>130</v>
      </c>
      <c r="BC1691" s="0" t="s">
        <v>130</v>
      </c>
      <c r="BD1691" s="0" t="s">
        <v>130</v>
      </c>
      <c r="BE1691" s="0" t="s">
        <v>130</v>
      </c>
      <c r="BF1691" s="0" t="s">
        <v>130</v>
      </c>
      <c r="BG1691" s="0" t="s">
        <v>130</v>
      </c>
      <c r="BH1691" s="0" t="s">
        <v>130</v>
      </c>
      <c r="BI1691" s="0" t="s">
        <v>130</v>
      </c>
      <c r="BJ1691" s="0" t="s">
        <v>130</v>
      </c>
      <c r="BK1691" s="0" t="s">
        <v>130</v>
      </c>
      <c r="BL1691" s="0" t="s">
        <v>130</v>
      </c>
      <c r="BM1691" s="0" t="s">
        <v>130</v>
      </c>
      <c r="BN1691" s="0" t="s">
        <v>130</v>
      </c>
      <c r="BO1691" s="0" t="s">
        <v>130</v>
      </c>
      <c r="BP1691" s="0" t="s">
        <v>130</v>
      </c>
      <c r="BQ1691" s="0" t="s">
        <v>130</v>
      </c>
      <c r="BR1691" s="0" t="s">
        <v>130</v>
      </c>
      <c r="BS1691" s="0" t="s">
        <v>130</v>
      </c>
      <c r="BT1691" s="0" t="s">
        <v>130</v>
      </c>
      <c r="BU1691" s="0" t="s">
        <v>130</v>
      </c>
      <c r="BV1691" s="0" t="s">
        <v>130</v>
      </c>
      <c r="BW1691" s="0" t="s">
        <v>130</v>
      </c>
      <c r="BX1691" s="0" t="s">
        <v>130</v>
      </c>
      <c r="BY1691" s="0" t="s">
        <v>130</v>
      </c>
      <c r="BZ1691" s="0" t="s">
        <v>130</v>
      </c>
      <c r="CA1691" s="0" t="s">
        <v>130</v>
      </c>
      <c r="CB1691" s="0" t="s">
        <v>130</v>
      </c>
      <c r="CC1691" s="0" t="s">
        <v>130</v>
      </c>
      <c r="CD1691" s="0" t="s">
        <v>130</v>
      </c>
      <c r="CE1691" s="0" t="s">
        <v>130</v>
      </c>
      <c r="CF1691" s="0" t="s">
        <v>130</v>
      </c>
      <c r="CG1691" s="0" t="s">
        <v>130</v>
      </c>
      <c r="CH1691" s="0" t="s">
        <v>130</v>
      </c>
      <c r="CI1691" s="0" t="s">
        <v>130</v>
      </c>
      <c r="CJ1691" s="0" t="s">
        <v>130</v>
      </c>
      <c r="CK1691" s="0" t="s">
        <v>130</v>
      </c>
      <c r="CL1691" s="0" t="s">
        <v>130</v>
      </c>
      <c r="CM1691" s="0" t="s">
        <v>130</v>
      </c>
      <c r="CN1691" s="0" t="s">
        <v>130</v>
      </c>
      <c r="CO1691" s="0" t="s">
        <v>130</v>
      </c>
      <c r="CP1691" s="0" t="s">
        <v>130</v>
      </c>
      <c r="CQ1691" s="0" t="s">
        <v>130</v>
      </c>
      <c r="CR1691" s="0" t="s">
        <v>130</v>
      </c>
      <c r="CS1691" s="0" t="s">
        <v>130</v>
      </c>
      <c r="CT1691" s="0" t="s">
        <v>4856</v>
      </c>
    </row>
    <row r="1692">
      <c r="A1692" s="14">
        <v>100169</v>
      </c>
      <c r="B1692" s="0" t="s">
        <v>4846</v>
      </c>
      <c r="C1692" s="16">
        <f>HYPERLINK("https://eosportal.federatedhermes.com/companies/Q29tcGFueQppNjc3MzE=", "Barclays PLC")</f>
      </c>
      <c r="D1692" s="0" t="s">
        <v>25</v>
      </c>
      <c r="E1692" s="0" t="s">
        <v>1090</v>
      </c>
      <c r="F1692" s="16">
        <f>HYPERLINK("https://eosportal.federatedhermes.com/engagements/RW5nYWdlbWVudAppMjk0MzI=", "succession planning")</f>
      </c>
      <c r="G1692" s="14"/>
      <c r="H1692" s="0" t="s">
        <v>141</v>
      </c>
      <c r="I1692" s="14" t="s">
        <v>191</v>
      </c>
      <c r="J1692" s="0" t="s">
        <v>145</v>
      </c>
      <c r="K1692" s="0" t="s">
        <v>164</v>
      </c>
      <c r="L1692" s="0" t="s">
        <v>277</v>
      </c>
      <c r="M1692" s="0" t="s">
        <v>272</v>
      </c>
      <c r="N1692" s="0" t="s">
        <v>273</v>
      </c>
      <c r="O1692" s="0" t="s">
        <v>238</v>
      </c>
      <c r="Q1692" s="0" t="s">
        <v>130</v>
      </c>
      <c r="R1692" s="0" t="s">
        <v>138</v>
      </c>
      <c r="S1692" s="14">
        <v>0</v>
      </c>
      <c r="T1692" s="0" t="s">
        <v>825</v>
      </c>
      <c r="U1692" s="0" t="s">
        <v>138</v>
      </c>
      <c r="V1692" s="14" t="s">
        <v>138</v>
      </c>
      <c r="W1692" s="0" t="s">
        <v>138</v>
      </c>
      <c r="X1692" s="14" t="s">
        <v>138</v>
      </c>
      <c r="Y1692" s="0" t="s">
        <v>138</v>
      </c>
      <c r="Z1692" s="14" t="s">
        <v>138</v>
      </c>
      <c r="AA1692" s="0" t="s">
        <v>138</v>
      </c>
      <c r="AB1692" s="14" t="s">
        <v>138</v>
      </c>
      <c r="AD1692" s="0" t="s">
        <v>138</v>
      </c>
      <c r="AF1692" s="0">
        <v>0</v>
      </c>
      <c r="AG1692" s="0">
        <v>0</v>
      </c>
      <c r="AH1692" s="0" t="s">
        <v>140</v>
      </c>
      <c r="AI1692" s="0" t="s">
        <v>138</v>
      </c>
      <c r="AL1692" s="14"/>
      <c r="AN1692" s="14"/>
      <c r="AQ1692" s="0" t="s">
        <v>130</v>
      </c>
      <c r="AR1692" s="0" t="s">
        <v>130</v>
      </c>
      <c r="AS1692" s="0" t="s">
        <v>130</v>
      </c>
      <c r="AT1692" s="0" t="s">
        <v>130</v>
      </c>
      <c r="AU1692" s="0" t="s">
        <v>130</v>
      </c>
      <c r="AV1692" s="0" t="s">
        <v>130</v>
      </c>
      <c r="AW1692" s="0" t="s">
        <v>130</v>
      </c>
      <c r="AX1692" s="0" t="s">
        <v>130</v>
      </c>
      <c r="AY1692" s="0" t="s">
        <v>130</v>
      </c>
      <c r="AZ1692" s="0" t="s">
        <v>130</v>
      </c>
      <c r="BA1692" s="0" t="s">
        <v>130</v>
      </c>
      <c r="BB1692" s="0" t="s">
        <v>130</v>
      </c>
      <c r="BC1692" s="0" t="s">
        <v>130</v>
      </c>
      <c r="BD1692" s="0" t="s">
        <v>130</v>
      </c>
      <c r="BE1692" s="0" t="s">
        <v>130</v>
      </c>
      <c r="BF1692" s="0" t="s">
        <v>130</v>
      </c>
      <c r="BG1692" s="0" t="s">
        <v>130</v>
      </c>
      <c r="BH1692" s="0" t="s">
        <v>130</v>
      </c>
      <c r="BI1692" s="0" t="s">
        <v>130</v>
      </c>
      <c r="BJ1692" s="0" t="s">
        <v>130</v>
      </c>
      <c r="BK1692" s="0" t="s">
        <v>130</v>
      </c>
      <c r="BL1692" s="0" t="s">
        <v>130</v>
      </c>
      <c r="BM1692" s="0" t="s">
        <v>130</v>
      </c>
      <c r="BN1692" s="0" t="s">
        <v>130</v>
      </c>
      <c r="BO1692" s="0" t="s">
        <v>130</v>
      </c>
      <c r="BP1692" s="0" t="s">
        <v>130</v>
      </c>
      <c r="BQ1692" s="0" t="s">
        <v>130</v>
      </c>
      <c r="BR1692" s="0" t="s">
        <v>130</v>
      </c>
      <c r="BS1692" s="0" t="s">
        <v>130</v>
      </c>
      <c r="BT1692" s="0" t="s">
        <v>130</v>
      </c>
      <c r="BU1692" s="0" t="s">
        <v>130</v>
      </c>
      <c r="BV1692" s="0" t="s">
        <v>130</v>
      </c>
      <c r="BW1692" s="0" t="s">
        <v>130</v>
      </c>
      <c r="BX1692" s="0" t="s">
        <v>130</v>
      </c>
      <c r="BY1692" s="0" t="s">
        <v>130</v>
      </c>
      <c r="BZ1692" s="0" t="s">
        <v>130</v>
      </c>
      <c r="CA1692" s="0" t="s">
        <v>130</v>
      </c>
      <c r="CB1692" s="0" t="s">
        <v>130</v>
      </c>
      <c r="CC1692" s="0" t="s">
        <v>130</v>
      </c>
      <c r="CD1692" s="0" t="s">
        <v>130</v>
      </c>
      <c r="CE1692" s="0" t="s">
        <v>130</v>
      </c>
      <c r="CF1692" s="0" t="s">
        <v>130</v>
      </c>
      <c r="CG1692" s="0" t="s">
        <v>130</v>
      </c>
      <c r="CH1692" s="0" t="s">
        <v>130</v>
      </c>
      <c r="CI1692" s="0" t="s">
        <v>130</v>
      </c>
      <c r="CJ1692" s="0" t="s">
        <v>130</v>
      </c>
      <c r="CK1692" s="0" t="s">
        <v>130</v>
      </c>
      <c r="CL1692" s="0" t="s">
        <v>130</v>
      </c>
      <c r="CM1692" s="0" t="s">
        <v>130</v>
      </c>
      <c r="CN1692" s="0" t="s">
        <v>130</v>
      </c>
      <c r="CO1692" s="0" t="s">
        <v>130</v>
      </c>
      <c r="CP1692" s="0" t="s">
        <v>130</v>
      </c>
      <c r="CQ1692" s="0" t="s">
        <v>130</v>
      </c>
      <c r="CR1692" s="0" t="s">
        <v>130</v>
      </c>
      <c r="CS1692" s="0" t="s">
        <v>130</v>
      </c>
      <c r="CT1692" s="0" t="s">
        <v>4857</v>
      </c>
    </row>
    <row r="1693">
      <c r="A1693" s="14">
        <v>100169</v>
      </c>
      <c r="B1693" s="0" t="s">
        <v>4846</v>
      </c>
      <c r="C1693" s="16">
        <f>HYPERLINK("https://eosportal.federatedhermes.com/companies/Q29tcGFueQppNjc3MzE=", "Barclays PLC")</f>
      </c>
      <c r="D1693" s="0" t="s">
        <v>25</v>
      </c>
      <c r="E1693" s="0" t="s">
        <v>4858</v>
      </c>
      <c r="F1693" s="16">
        <f>HYPERLINK("https://eosportal.federatedhermes.com/engagements/RW5nYWdlbWVudAppMjk0MzM=", "London Living Wage")</f>
      </c>
      <c r="G1693" s="14"/>
      <c r="H1693" s="0" t="s">
        <v>141</v>
      </c>
      <c r="I1693" s="14" t="s">
        <v>191</v>
      </c>
      <c r="J1693" s="0" t="s">
        <v>145</v>
      </c>
      <c r="K1693" s="0" t="s">
        <v>146</v>
      </c>
      <c r="L1693" s="0" t="s">
        <v>147</v>
      </c>
      <c r="M1693" s="0" t="s">
        <v>272</v>
      </c>
      <c r="N1693" s="0" t="s">
        <v>273</v>
      </c>
      <c r="O1693" s="0" t="s">
        <v>238</v>
      </c>
      <c r="Q1693" s="0" t="s">
        <v>130</v>
      </c>
      <c r="R1693" s="0" t="s">
        <v>138</v>
      </c>
      <c r="S1693" s="14">
        <v>0</v>
      </c>
      <c r="T1693" s="0" t="s">
        <v>380</v>
      </c>
      <c r="U1693" s="0" t="s">
        <v>138</v>
      </c>
      <c r="V1693" s="14" t="s">
        <v>138</v>
      </c>
      <c r="W1693" s="0" t="s">
        <v>138</v>
      </c>
      <c r="X1693" s="14" t="s">
        <v>138</v>
      </c>
      <c r="Y1693" s="0" t="s">
        <v>138</v>
      </c>
      <c r="Z1693" s="14" t="s">
        <v>138</v>
      </c>
      <c r="AA1693" s="0" t="s">
        <v>138</v>
      </c>
      <c r="AB1693" s="14" t="s">
        <v>138</v>
      </c>
      <c r="AD1693" s="0" t="s">
        <v>138</v>
      </c>
      <c r="AF1693" s="0">
        <v>0</v>
      </c>
      <c r="AG1693" s="0">
        <v>0</v>
      </c>
      <c r="AH1693" s="0" t="s">
        <v>140</v>
      </c>
      <c r="AI1693" s="0" t="s">
        <v>138</v>
      </c>
      <c r="AL1693" s="14"/>
      <c r="AN1693" s="14"/>
      <c r="AQ1693" s="0" t="s">
        <v>130</v>
      </c>
      <c r="AR1693" s="0" t="s">
        <v>130</v>
      </c>
      <c r="AS1693" s="0" t="s">
        <v>130</v>
      </c>
      <c r="AT1693" s="0" t="s">
        <v>130</v>
      </c>
      <c r="AU1693" s="0" t="s">
        <v>130</v>
      </c>
      <c r="AV1693" s="0" t="s">
        <v>130</v>
      </c>
      <c r="AW1693" s="0" t="s">
        <v>130</v>
      </c>
      <c r="AX1693" s="0" t="s">
        <v>130</v>
      </c>
      <c r="AY1693" s="0" t="s">
        <v>130</v>
      </c>
      <c r="AZ1693" s="0" t="s">
        <v>130</v>
      </c>
      <c r="BA1693" s="0" t="s">
        <v>130</v>
      </c>
      <c r="BB1693" s="0" t="s">
        <v>130</v>
      </c>
      <c r="BC1693" s="0" t="s">
        <v>130</v>
      </c>
      <c r="BD1693" s="0" t="s">
        <v>130</v>
      </c>
      <c r="BE1693" s="0" t="s">
        <v>130</v>
      </c>
      <c r="BF1693" s="0" t="s">
        <v>130</v>
      </c>
      <c r="BG1693" s="0" t="s">
        <v>130</v>
      </c>
      <c r="BH1693" s="0" t="s">
        <v>130</v>
      </c>
      <c r="BI1693" s="0" t="s">
        <v>130</v>
      </c>
      <c r="BJ1693" s="0" t="s">
        <v>130</v>
      </c>
      <c r="BK1693" s="0" t="s">
        <v>130</v>
      </c>
      <c r="BL1693" s="0" t="s">
        <v>130</v>
      </c>
      <c r="BM1693" s="0" t="s">
        <v>130</v>
      </c>
      <c r="BN1693" s="0" t="s">
        <v>130</v>
      </c>
      <c r="BO1693" s="0" t="s">
        <v>130</v>
      </c>
      <c r="BP1693" s="0" t="s">
        <v>130</v>
      </c>
      <c r="BQ1693" s="0" t="s">
        <v>130</v>
      </c>
      <c r="BR1693" s="0" t="s">
        <v>130</v>
      </c>
      <c r="BS1693" s="0" t="s">
        <v>130</v>
      </c>
      <c r="BT1693" s="0" t="s">
        <v>130</v>
      </c>
      <c r="BU1693" s="0" t="s">
        <v>130</v>
      </c>
      <c r="BV1693" s="0" t="s">
        <v>130</v>
      </c>
      <c r="BW1693" s="0" t="s">
        <v>130</v>
      </c>
      <c r="BX1693" s="0" t="s">
        <v>130</v>
      </c>
      <c r="BY1693" s="0" t="s">
        <v>130</v>
      </c>
      <c r="BZ1693" s="0" t="s">
        <v>130</v>
      </c>
      <c r="CA1693" s="0" t="s">
        <v>130</v>
      </c>
      <c r="CB1693" s="0" t="s">
        <v>130</v>
      </c>
      <c r="CC1693" s="0" t="s">
        <v>130</v>
      </c>
      <c r="CD1693" s="0" t="s">
        <v>130</v>
      </c>
      <c r="CE1693" s="0" t="s">
        <v>130</v>
      </c>
      <c r="CF1693" s="0" t="s">
        <v>130</v>
      </c>
      <c r="CG1693" s="0" t="s">
        <v>130</v>
      </c>
      <c r="CH1693" s="0" t="s">
        <v>130</v>
      </c>
      <c r="CI1693" s="0" t="s">
        <v>130</v>
      </c>
      <c r="CJ1693" s="0" t="s">
        <v>130</v>
      </c>
      <c r="CK1693" s="0" t="s">
        <v>130</v>
      </c>
      <c r="CL1693" s="0" t="s">
        <v>130</v>
      </c>
      <c r="CM1693" s="0" t="s">
        <v>130</v>
      </c>
      <c r="CN1693" s="0" t="s">
        <v>130</v>
      </c>
      <c r="CO1693" s="0" t="s">
        <v>130</v>
      </c>
      <c r="CP1693" s="0" t="s">
        <v>130</v>
      </c>
      <c r="CQ1693" s="0" t="s">
        <v>130</v>
      </c>
      <c r="CR1693" s="0" t="s">
        <v>130</v>
      </c>
      <c r="CS1693" s="0" t="s">
        <v>130</v>
      </c>
      <c r="CT1693" s="0" t="s">
        <v>4859</v>
      </c>
    </row>
    <row r="1694">
      <c r="A1694" s="14">
        <v>100169</v>
      </c>
      <c r="B1694" s="0" t="s">
        <v>4846</v>
      </c>
      <c r="C1694" s="16">
        <f>HYPERLINK("https://eosportal.federatedhermes.com/companies/Q29tcGFueQppNjc3MzE=", "Barclays PLC")</f>
      </c>
      <c r="D1694" s="0" t="s">
        <v>25</v>
      </c>
      <c r="E1694" s="0" t="s">
        <v>548</v>
      </c>
      <c r="F1694" s="16">
        <f>HYPERLINK("https://eosportal.federatedhermes.com/engagements/RW5nYWdlbWVudAppMjk0MzQ=", "Responsible Tax Practices")</f>
      </c>
      <c r="G1694" s="14" t="s">
        <v>2373</v>
      </c>
      <c r="H1694" s="0" t="s">
        <v>141</v>
      </c>
      <c r="I1694" s="14" t="s">
        <v>191</v>
      </c>
      <c r="J1694" s="0" t="s">
        <v>153</v>
      </c>
      <c r="K1694" s="0" t="s">
        <v>185</v>
      </c>
      <c r="L1694" s="0" t="s">
        <v>548</v>
      </c>
      <c r="M1694" s="0" t="s">
        <v>272</v>
      </c>
      <c r="N1694" s="0" t="s">
        <v>273</v>
      </c>
      <c r="O1694" s="0" t="s">
        <v>238</v>
      </c>
      <c r="Q1694" s="0" t="s">
        <v>130</v>
      </c>
      <c r="R1694" s="0" t="s">
        <v>138</v>
      </c>
      <c r="S1694" s="14">
        <v>0</v>
      </c>
      <c r="T1694" s="0" t="s">
        <v>288</v>
      </c>
      <c r="U1694" s="0" t="s">
        <v>138</v>
      </c>
      <c r="V1694" s="14" t="s">
        <v>138</v>
      </c>
      <c r="W1694" s="0" t="s">
        <v>138</v>
      </c>
      <c r="X1694" s="14" t="s">
        <v>138</v>
      </c>
      <c r="Y1694" s="0" t="s">
        <v>138</v>
      </c>
      <c r="Z1694" s="14" t="s">
        <v>138</v>
      </c>
      <c r="AA1694" s="0" t="s">
        <v>138</v>
      </c>
      <c r="AB1694" s="14" t="s">
        <v>138</v>
      </c>
      <c r="AD1694" s="0" t="s">
        <v>138</v>
      </c>
      <c r="AF1694" s="0">
        <v>0</v>
      </c>
      <c r="AG1694" s="0">
        <v>0</v>
      </c>
      <c r="AH1694" s="0" t="s">
        <v>140</v>
      </c>
      <c r="AI1694" s="0" t="s">
        <v>138</v>
      </c>
      <c r="AL1694" s="14"/>
      <c r="AN1694" s="14"/>
      <c r="AQ1694" s="0" t="s">
        <v>130</v>
      </c>
      <c r="AR1694" s="0" t="s">
        <v>130</v>
      </c>
      <c r="AS1694" s="0" t="s">
        <v>130</v>
      </c>
      <c r="AT1694" s="0" t="s">
        <v>130</v>
      </c>
      <c r="AU1694" s="0" t="s">
        <v>130</v>
      </c>
      <c r="AV1694" s="0" t="s">
        <v>130</v>
      </c>
      <c r="AW1694" s="0" t="s">
        <v>130</v>
      </c>
      <c r="AX1694" s="0" t="s">
        <v>130</v>
      </c>
      <c r="AY1694" s="0" t="s">
        <v>130</v>
      </c>
      <c r="AZ1694" s="0" t="s">
        <v>130</v>
      </c>
      <c r="BA1694" s="0" t="s">
        <v>130</v>
      </c>
      <c r="BB1694" s="0" t="s">
        <v>130</v>
      </c>
      <c r="BC1694" s="0" t="s">
        <v>130</v>
      </c>
      <c r="BD1694" s="0" t="s">
        <v>130</v>
      </c>
      <c r="BE1694" s="0" t="s">
        <v>130</v>
      </c>
      <c r="BF1694" s="0" t="s">
        <v>130</v>
      </c>
      <c r="BG1694" s="0" t="s">
        <v>141</v>
      </c>
      <c r="BH1694" s="0" t="s">
        <v>130</v>
      </c>
      <c r="BI1694" s="0" t="s">
        <v>130</v>
      </c>
      <c r="BJ1694" s="0" t="s">
        <v>130</v>
      </c>
      <c r="BK1694" s="0" t="s">
        <v>130</v>
      </c>
      <c r="BL1694" s="0" t="s">
        <v>130</v>
      </c>
      <c r="BM1694" s="0" t="s">
        <v>130</v>
      </c>
      <c r="BN1694" s="0" t="s">
        <v>130</v>
      </c>
      <c r="BO1694" s="0" t="s">
        <v>130</v>
      </c>
      <c r="BP1694" s="0" t="s">
        <v>130</v>
      </c>
      <c r="BQ1694" s="0" t="s">
        <v>130</v>
      </c>
      <c r="BR1694" s="0" t="s">
        <v>130</v>
      </c>
      <c r="BS1694" s="0" t="s">
        <v>130</v>
      </c>
      <c r="BT1694" s="0" t="s">
        <v>130</v>
      </c>
      <c r="BU1694" s="0" t="s">
        <v>130</v>
      </c>
      <c r="BV1694" s="0" t="s">
        <v>130</v>
      </c>
      <c r="BW1694" s="0" t="s">
        <v>130</v>
      </c>
      <c r="BX1694" s="0" t="s">
        <v>130</v>
      </c>
      <c r="BY1694" s="0" t="s">
        <v>130</v>
      </c>
      <c r="BZ1694" s="0" t="s">
        <v>130</v>
      </c>
      <c r="CA1694" s="0" t="s">
        <v>130</v>
      </c>
      <c r="CB1694" s="0" t="s">
        <v>130</v>
      </c>
      <c r="CC1694" s="0" t="s">
        <v>130</v>
      </c>
      <c r="CD1694" s="0" t="s">
        <v>130</v>
      </c>
      <c r="CE1694" s="0" t="s">
        <v>130</v>
      </c>
      <c r="CF1694" s="0" t="s">
        <v>130</v>
      </c>
      <c r="CG1694" s="0" t="s">
        <v>130</v>
      </c>
      <c r="CH1694" s="0" t="s">
        <v>130</v>
      </c>
      <c r="CI1694" s="0" t="s">
        <v>130</v>
      </c>
      <c r="CJ1694" s="0" t="s">
        <v>130</v>
      </c>
      <c r="CK1694" s="0" t="s">
        <v>130</v>
      </c>
      <c r="CL1694" s="0" t="s">
        <v>130</v>
      </c>
      <c r="CM1694" s="0" t="s">
        <v>130</v>
      </c>
      <c r="CN1694" s="0" t="s">
        <v>130</v>
      </c>
      <c r="CO1694" s="0" t="s">
        <v>130</v>
      </c>
      <c r="CP1694" s="0" t="s">
        <v>130</v>
      </c>
      <c r="CQ1694" s="0" t="s">
        <v>130</v>
      </c>
      <c r="CR1694" s="0" t="s">
        <v>130</v>
      </c>
      <c r="CS1694" s="0" t="s">
        <v>130</v>
      </c>
      <c r="CT1694" s="0" t="s">
        <v>4860</v>
      </c>
    </row>
    <row r="1695">
      <c r="A1695" s="14">
        <v>100169</v>
      </c>
      <c r="B1695" s="0" t="s">
        <v>4846</v>
      </c>
      <c r="C1695" s="16">
        <f>HYPERLINK("https://eosportal.federatedhermes.com/companies/Q29tcGFueQppNjc3MzE=", "Barclays PLC")</f>
      </c>
      <c r="D1695" s="0" t="s">
        <v>25</v>
      </c>
      <c r="E1695" s="0" t="s">
        <v>4861</v>
      </c>
      <c r="F1695" s="16">
        <f>HYPERLINK("https://eosportal.federatedhermes.com/engagements/RW5nYWdlbWVudAppMjk0MzU=", "Political risk management")</f>
      </c>
      <c r="G1695" s="14"/>
      <c r="H1695" s="0" t="s">
        <v>141</v>
      </c>
      <c r="I1695" s="14" t="s">
        <v>191</v>
      </c>
      <c r="J1695" s="0" t="s">
        <v>153</v>
      </c>
      <c r="K1695" s="0" t="s">
        <v>185</v>
      </c>
      <c r="L1695" s="0" t="s">
        <v>186</v>
      </c>
      <c r="M1695" s="0" t="s">
        <v>272</v>
      </c>
      <c r="N1695" s="0" t="s">
        <v>273</v>
      </c>
      <c r="O1695" s="0" t="s">
        <v>238</v>
      </c>
      <c r="Q1695" s="0" t="s">
        <v>130</v>
      </c>
      <c r="R1695" s="0" t="s">
        <v>138</v>
      </c>
      <c r="S1695" s="14">
        <v>0</v>
      </c>
      <c r="T1695" s="0" t="s">
        <v>825</v>
      </c>
      <c r="U1695" s="0" t="s">
        <v>138</v>
      </c>
      <c r="V1695" s="14" t="s">
        <v>138</v>
      </c>
      <c r="W1695" s="0" t="s">
        <v>138</v>
      </c>
      <c r="X1695" s="14" t="s">
        <v>138</v>
      </c>
      <c r="Y1695" s="0" t="s">
        <v>138</v>
      </c>
      <c r="Z1695" s="14" t="s">
        <v>138</v>
      </c>
      <c r="AA1695" s="0" t="s">
        <v>138</v>
      </c>
      <c r="AB1695" s="14" t="s">
        <v>138</v>
      </c>
      <c r="AD1695" s="0" t="s">
        <v>138</v>
      </c>
      <c r="AF1695" s="0">
        <v>0</v>
      </c>
      <c r="AG1695" s="0">
        <v>0</v>
      </c>
      <c r="AH1695" s="0" t="s">
        <v>140</v>
      </c>
      <c r="AI1695" s="0" t="s">
        <v>138</v>
      </c>
      <c r="AL1695" s="14"/>
      <c r="AN1695" s="14"/>
      <c r="AQ1695" s="0" t="s">
        <v>130</v>
      </c>
      <c r="AR1695" s="0" t="s">
        <v>130</v>
      </c>
      <c r="AS1695" s="0" t="s">
        <v>130</v>
      </c>
      <c r="AT1695" s="0" t="s">
        <v>130</v>
      </c>
      <c r="AU1695" s="0" t="s">
        <v>130</v>
      </c>
      <c r="AV1695" s="0" t="s">
        <v>130</v>
      </c>
      <c r="AW1695" s="0" t="s">
        <v>130</v>
      </c>
      <c r="AX1695" s="0" t="s">
        <v>130</v>
      </c>
      <c r="AY1695" s="0" t="s">
        <v>130</v>
      </c>
      <c r="AZ1695" s="0" t="s">
        <v>130</v>
      </c>
      <c r="BA1695" s="0" t="s">
        <v>130</v>
      </c>
      <c r="BB1695" s="0" t="s">
        <v>130</v>
      </c>
      <c r="BC1695" s="0" t="s">
        <v>130</v>
      </c>
      <c r="BD1695" s="0" t="s">
        <v>130</v>
      </c>
      <c r="BE1695" s="0" t="s">
        <v>130</v>
      </c>
      <c r="BF1695" s="0" t="s">
        <v>130</v>
      </c>
      <c r="BG1695" s="0" t="s">
        <v>130</v>
      </c>
      <c r="BH1695" s="0" t="s">
        <v>130</v>
      </c>
      <c r="BI1695" s="0" t="s">
        <v>130</v>
      </c>
      <c r="BJ1695" s="0" t="s">
        <v>130</v>
      </c>
      <c r="BK1695" s="0" t="s">
        <v>130</v>
      </c>
      <c r="BL1695" s="0" t="s">
        <v>130</v>
      </c>
      <c r="BM1695" s="0" t="s">
        <v>130</v>
      </c>
      <c r="BN1695" s="0" t="s">
        <v>130</v>
      </c>
      <c r="BO1695" s="0" t="s">
        <v>130</v>
      </c>
      <c r="BP1695" s="0" t="s">
        <v>130</v>
      </c>
      <c r="BQ1695" s="0" t="s">
        <v>130</v>
      </c>
      <c r="BR1695" s="0" t="s">
        <v>130</v>
      </c>
      <c r="BS1695" s="0" t="s">
        <v>130</v>
      </c>
      <c r="BT1695" s="0" t="s">
        <v>130</v>
      </c>
      <c r="BU1695" s="0" t="s">
        <v>130</v>
      </c>
      <c r="BV1695" s="0" t="s">
        <v>130</v>
      </c>
      <c r="BW1695" s="0" t="s">
        <v>130</v>
      </c>
      <c r="BX1695" s="0" t="s">
        <v>130</v>
      </c>
      <c r="BY1695" s="0" t="s">
        <v>130</v>
      </c>
      <c r="BZ1695" s="0" t="s">
        <v>130</v>
      </c>
      <c r="CA1695" s="0" t="s">
        <v>130</v>
      </c>
      <c r="CB1695" s="0" t="s">
        <v>130</v>
      </c>
      <c r="CC1695" s="0" t="s">
        <v>130</v>
      </c>
      <c r="CD1695" s="0" t="s">
        <v>130</v>
      </c>
      <c r="CE1695" s="0" t="s">
        <v>130</v>
      </c>
      <c r="CF1695" s="0" t="s">
        <v>130</v>
      </c>
      <c r="CG1695" s="0" t="s">
        <v>130</v>
      </c>
      <c r="CH1695" s="0" t="s">
        <v>130</v>
      </c>
      <c r="CI1695" s="0" t="s">
        <v>130</v>
      </c>
      <c r="CJ1695" s="0" t="s">
        <v>130</v>
      </c>
      <c r="CK1695" s="0" t="s">
        <v>130</v>
      </c>
      <c r="CL1695" s="0" t="s">
        <v>130</v>
      </c>
      <c r="CM1695" s="0" t="s">
        <v>130</v>
      </c>
      <c r="CN1695" s="0" t="s">
        <v>130</v>
      </c>
      <c r="CO1695" s="0" t="s">
        <v>130</v>
      </c>
      <c r="CP1695" s="0" t="s">
        <v>130</v>
      </c>
      <c r="CQ1695" s="0" t="s">
        <v>130</v>
      </c>
      <c r="CR1695" s="0" t="s">
        <v>130</v>
      </c>
      <c r="CS1695" s="0" t="s">
        <v>130</v>
      </c>
      <c r="CT1695" s="0" t="s">
        <v>4862</v>
      </c>
    </row>
    <row r="1696">
      <c r="A1696" s="14">
        <v>100169</v>
      </c>
      <c r="B1696" s="0" t="s">
        <v>4846</v>
      </c>
      <c r="C1696" s="16">
        <f>HYPERLINK("https://eosportal.federatedhermes.com/companies/Q29tcGFueQppNjc3MzE=", "Barclays PLC")</f>
      </c>
      <c r="D1696" s="0" t="s">
        <v>25</v>
      </c>
      <c r="E1696" s="0" t="s">
        <v>1729</v>
      </c>
      <c r="F1696" s="16">
        <f>HYPERLINK("https://eosportal.federatedhermes.com/engagements/RW5nYWdlbWVudAppMjk0MzY=", "Business strategy")</f>
      </c>
      <c r="G1696" s="14" t="s">
        <v>1729</v>
      </c>
      <c r="H1696" s="0" t="s">
        <v>141</v>
      </c>
      <c r="I1696" s="14" t="s">
        <v>191</v>
      </c>
      <c r="J1696" s="0" t="s">
        <v>132</v>
      </c>
      <c r="K1696" s="0" t="s">
        <v>133</v>
      </c>
      <c r="L1696" s="0" t="s">
        <v>160</v>
      </c>
      <c r="M1696" s="0" t="s">
        <v>272</v>
      </c>
      <c r="N1696" s="0" t="s">
        <v>273</v>
      </c>
      <c r="O1696" s="0" t="s">
        <v>238</v>
      </c>
      <c r="Q1696" s="0" t="s">
        <v>130</v>
      </c>
      <c r="R1696" s="0" t="s">
        <v>138</v>
      </c>
      <c r="S1696" s="14">
        <v>0</v>
      </c>
      <c r="T1696" s="0" t="s">
        <v>387</v>
      </c>
      <c r="U1696" s="0" t="s">
        <v>138</v>
      </c>
      <c r="V1696" s="14" t="s">
        <v>138</v>
      </c>
      <c r="W1696" s="0" t="s">
        <v>138</v>
      </c>
      <c r="X1696" s="14" t="s">
        <v>138</v>
      </c>
      <c r="Y1696" s="0" t="s">
        <v>138</v>
      </c>
      <c r="Z1696" s="14" t="s">
        <v>138</v>
      </c>
      <c r="AA1696" s="0" t="s">
        <v>138</v>
      </c>
      <c r="AB1696" s="14" t="s">
        <v>138</v>
      </c>
      <c r="AD1696" s="0" t="s">
        <v>138</v>
      </c>
      <c r="AF1696" s="0">
        <v>0</v>
      </c>
      <c r="AG1696" s="0">
        <v>0</v>
      </c>
      <c r="AH1696" s="0" t="s">
        <v>140</v>
      </c>
      <c r="AI1696" s="0" t="s">
        <v>138</v>
      </c>
      <c r="AL1696" s="14"/>
      <c r="AN1696" s="14"/>
      <c r="AQ1696" s="0" t="s">
        <v>130</v>
      </c>
      <c r="AR1696" s="0" t="s">
        <v>130</v>
      </c>
      <c r="AS1696" s="0" t="s">
        <v>130</v>
      </c>
      <c r="AT1696" s="0" t="s">
        <v>130</v>
      </c>
      <c r="AU1696" s="0" t="s">
        <v>130</v>
      </c>
      <c r="AV1696" s="0" t="s">
        <v>130</v>
      </c>
      <c r="AW1696" s="0" t="s">
        <v>130</v>
      </c>
      <c r="AX1696" s="0" t="s">
        <v>130</v>
      </c>
      <c r="AY1696" s="0" t="s">
        <v>130</v>
      </c>
      <c r="AZ1696" s="0" t="s">
        <v>130</v>
      </c>
      <c r="BA1696" s="0" t="s">
        <v>130</v>
      </c>
      <c r="BB1696" s="0" t="s">
        <v>130</v>
      </c>
      <c r="BC1696" s="0" t="s">
        <v>130</v>
      </c>
      <c r="BD1696" s="0" t="s">
        <v>130</v>
      </c>
      <c r="BE1696" s="0" t="s">
        <v>130</v>
      </c>
      <c r="BF1696" s="0" t="s">
        <v>130</v>
      </c>
      <c r="BG1696" s="0" t="s">
        <v>130</v>
      </c>
      <c r="BH1696" s="0" t="s">
        <v>130</v>
      </c>
      <c r="BI1696" s="0" t="s">
        <v>130</v>
      </c>
      <c r="BJ1696" s="0" t="s">
        <v>130</v>
      </c>
      <c r="BK1696" s="0" t="s">
        <v>130</v>
      </c>
      <c r="BL1696" s="0" t="s">
        <v>130</v>
      </c>
      <c r="BM1696" s="0" t="s">
        <v>130</v>
      </c>
      <c r="BN1696" s="0" t="s">
        <v>130</v>
      </c>
      <c r="BO1696" s="0" t="s">
        <v>130</v>
      </c>
      <c r="BP1696" s="0" t="s">
        <v>130</v>
      </c>
      <c r="BQ1696" s="0" t="s">
        <v>130</v>
      </c>
      <c r="BR1696" s="0" t="s">
        <v>130</v>
      </c>
      <c r="BS1696" s="0" t="s">
        <v>130</v>
      </c>
      <c r="BT1696" s="0" t="s">
        <v>130</v>
      </c>
      <c r="BU1696" s="0" t="s">
        <v>130</v>
      </c>
      <c r="BV1696" s="0" t="s">
        <v>130</v>
      </c>
      <c r="BW1696" s="0" t="s">
        <v>130</v>
      </c>
      <c r="BX1696" s="0" t="s">
        <v>130</v>
      </c>
      <c r="BY1696" s="0" t="s">
        <v>130</v>
      </c>
      <c r="BZ1696" s="0" t="s">
        <v>130</v>
      </c>
      <c r="CA1696" s="0" t="s">
        <v>130</v>
      </c>
      <c r="CB1696" s="0" t="s">
        <v>130</v>
      </c>
      <c r="CC1696" s="0" t="s">
        <v>130</v>
      </c>
      <c r="CD1696" s="0" t="s">
        <v>130</v>
      </c>
      <c r="CE1696" s="0" t="s">
        <v>130</v>
      </c>
      <c r="CF1696" s="0" t="s">
        <v>130</v>
      </c>
      <c r="CG1696" s="0" t="s">
        <v>130</v>
      </c>
      <c r="CH1696" s="0" t="s">
        <v>130</v>
      </c>
      <c r="CI1696" s="0" t="s">
        <v>130</v>
      </c>
      <c r="CJ1696" s="0" t="s">
        <v>130</v>
      </c>
      <c r="CK1696" s="0" t="s">
        <v>130</v>
      </c>
      <c r="CL1696" s="0" t="s">
        <v>130</v>
      </c>
      <c r="CM1696" s="0" t="s">
        <v>130</v>
      </c>
      <c r="CN1696" s="0" t="s">
        <v>130</v>
      </c>
      <c r="CO1696" s="0" t="s">
        <v>130</v>
      </c>
      <c r="CP1696" s="0" t="s">
        <v>130</v>
      </c>
      <c r="CQ1696" s="0" t="s">
        <v>130</v>
      </c>
      <c r="CR1696" s="0" t="s">
        <v>130</v>
      </c>
      <c r="CS1696" s="0" t="s">
        <v>130</v>
      </c>
      <c r="CT1696" s="0" t="s">
        <v>4863</v>
      </c>
    </row>
    <row r="1697">
      <c r="A1697" s="14">
        <v>100169</v>
      </c>
      <c r="B1697" s="0" t="s">
        <v>4846</v>
      </c>
      <c r="C1697" s="16">
        <f>HYPERLINK("https://eosportal.federatedhermes.com/companies/Q29tcGFueQppNjc3MzE=", "Barclays PLC")</f>
      </c>
      <c r="D1697" s="0" t="s">
        <v>25</v>
      </c>
      <c r="E1697" s="0" t="s">
        <v>4864</v>
      </c>
      <c r="F1697" s="16">
        <f>HYPERLINK("https://eosportal.federatedhermes.com/engagements/RW5nYWdlbWVudAppMjk0Mzc=", "Embedding citizenship into culture and strategy")</f>
      </c>
      <c r="G1697" s="14" t="s">
        <v>4865</v>
      </c>
      <c r="H1697" s="0" t="s">
        <v>141</v>
      </c>
      <c r="I1697" s="14" t="s">
        <v>191</v>
      </c>
      <c r="J1697" s="0" t="s">
        <v>153</v>
      </c>
      <c r="K1697" s="0" t="s">
        <v>185</v>
      </c>
      <c r="L1697" s="0" t="s">
        <v>186</v>
      </c>
      <c r="M1697" s="0" t="s">
        <v>272</v>
      </c>
      <c r="N1697" s="0" t="s">
        <v>273</v>
      </c>
      <c r="O1697" s="0" t="s">
        <v>238</v>
      </c>
      <c r="Q1697" s="0" t="s">
        <v>130</v>
      </c>
      <c r="R1697" s="0" t="s">
        <v>138</v>
      </c>
      <c r="S1697" s="14">
        <v>0</v>
      </c>
      <c r="T1697" s="0" t="s">
        <v>825</v>
      </c>
      <c r="U1697" s="0" t="s">
        <v>138</v>
      </c>
      <c r="V1697" s="14" t="s">
        <v>138</v>
      </c>
      <c r="W1697" s="0" t="s">
        <v>138</v>
      </c>
      <c r="X1697" s="14" t="s">
        <v>138</v>
      </c>
      <c r="Y1697" s="0" t="s">
        <v>138</v>
      </c>
      <c r="Z1697" s="14" t="s">
        <v>138</v>
      </c>
      <c r="AA1697" s="0" t="s">
        <v>138</v>
      </c>
      <c r="AB1697" s="14" t="s">
        <v>138</v>
      </c>
      <c r="AD1697" s="0" t="s">
        <v>138</v>
      </c>
      <c r="AF1697" s="0">
        <v>0</v>
      </c>
      <c r="AG1697" s="0">
        <v>0</v>
      </c>
      <c r="AH1697" s="0" t="s">
        <v>140</v>
      </c>
      <c r="AI1697" s="0" t="s">
        <v>138</v>
      </c>
      <c r="AL1697" s="14"/>
      <c r="AN1697" s="14"/>
      <c r="AQ1697" s="0" t="s">
        <v>130</v>
      </c>
      <c r="AR1697" s="0" t="s">
        <v>130</v>
      </c>
      <c r="AS1697" s="0" t="s">
        <v>130</v>
      </c>
      <c r="AT1697" s="0" t="s">
        <v>130</v>
      </c>
      <c r="AU1697" s="0" t="s">
        <v>130</v>
      </c>
      <c r="AV1697" s="0" t="s">
        <v>130</v>
      </c>
      <c r="AW1697" s="0" t="s">
        <v>130</v>
      </c>
      <c r="AX1697" s="0" t="s">
        <v>130</v>
      </c>
      <c r="AY1697" s="0" t="s">
        <v>130</v>
      </c>
      <c r="AZ1697" s="0" t="s">
        <v>130</v>
      </c>
      <c r="BA1697" s="0" t="s">
        <v>130</v>
      </c>
      <c r="BB1697" s="0" t="s">
        <v>130</v>
      </c>
      <c r="BC1697" s="0" t="s">
        <v>130</v>
      </c>
      <c r="BD1697" s="0" t="s">
        <v>130</v>
      </c>
      <c r="BE1697" s="0" t="s">
        <v>130</v>
      </c>
      <c r="BF1697" s="0" t="s">
        <v>130</v>
      </c>
      <c r="BG1697" s="0" t="s">
        <v>130</v>
      </c>
      <c r="BH1697" s="0" t="s">
        <v>130</v>
      </c>
      <c r="BI1697" s="0" t="s">
        <v>130</v>
      </c>
      <c r="BJ1697" s="0" t="s">
        <v>130</v>
      </c>
      <c r="BK1697" s="0" t="s">
        <v>130</v>
      </c>
      <c r="BL1697" s="0" t="s">
        <v>130</v>
      </c>
      <c r="BM1697" s="0" t="s">
        <v>130</v>
      </c>
      <c r="BN1697" s="0" t="s">
        <v>130</v>
      </c>
      <c r="BO1697" s="0" t="s">
        <v>130</v>
      </c>
      <c r="BP1697" s="0" t="s">
        <v>130</v>
      </c>
      <c r="BQ1697" s="0" t="s">
        <v>130</v>
      </c>
      <c r="BR1697" s="0" t="s">
        <v>130</v>
      </c>
      <c r="BS1697" s="0" t="s">
        <v>130</v>
      </c>
      <c r="BT1697" s="0" t="s">
        <v>130</v>
      </c>
      <c r="BU1697" s="0" t="s">
        <v>130</v>
      </c>
      <c r="BV1697" s="0" t="s">
        <v>130</v>
      </c>
      <c r="BW1697" s="0" t="s">
        <v>130</v>
      </c>
      <c r="BX1697" s="0" t="s">
        <v>130</v>
      </c>
      <c r="BY1697" s="0" t="s">
        <v>130</v>
      </c>
      <c r="BZ1697" s="0" t="s">
        <v>130</v>
      </c>
      <c r="CA1697" s="0" t="s">
        <v>130</v>
      </c>
      <c r="CB1697" s="0" t="s">
        <v>130</v>
      </c>
      <c r="CC1697" s="0" t="s">
        <v>130</v>
      </c>
      <c r="CD1697" s="0" t="s">
        <v>130</v>
      </c>
      <c r="CE1697" s="0" t="s">
        <v>130</v>
      </c>
      <c r="CF1697" s="0" t="s">
        <v>130</v>
      </c>
      <c r="CG1697" s="0" t="s">
        <v>130</v>
      </c>
      <c r="CH1697" s="0" t="s">
        <v>130</v>
      </c>
      <c r="CI1697" s="0" t="s">
        <v>130</v>
      </c>
      <c r="CJ1697" s="0" t="s">
        <v>130</v>
      </c>
      <c r="CK1697" s="0" t="s">
        <v>130</v>
      </c>
      <c r="CL1697" s="0" t="s">
        <v>130</v>
      </c>
      <c r="CM1697" s="0" t="s">
        <v>130</v>
      </c>
      <c r="CN1697" s="0" t="s">
        <v>130</v>
      </c>
      <c r="CO1697" s="0" t="s">
        <v>130</v>
      </c>
      <c r="CP1697" s="0" t="s">
        <v>130</v>
      </c>
      <c r="CQ1697" s="0" t="s">
        <v>130</v>
      </c>
      <c r="CR1697" s="0" t="s">
        <v>130</v>
      </c>
      <c r="CS1697" s="0" t="s">
        <v>130</v>
      </c>
      <c r="CT1697" s="0" t="s">
        <v>4866</v>
      </c>
    </row>
    <row r="1698">
      <c r="A1698" s="14">
        <v>100169</v>
      </c>
      <c r="B1698" s="0" t="s">
        <v>4846</v>
      </c>
      <c r="C1698" s="16">
        <f>HYPERLINK("https://eosportal.federatedhermes.com/companies/Q29tcGFueQppNjc3MzE=", "Barclays PLC")</f>
      </c>
      <c r="D1698" s="0" t="s">
        <v>25</v>
      </c>
      <c r="E1698" s="0" t="s">
        <v>817</v>
      </c>
      <c r="F1698" s="16">
        <f>HYPERLINK("https://eosportal.federatedhermes.com/engagements/RW5nYWdlbWVudAppMjk0Mzg=", "Board Structure")</f>
      </c>
      <c r="G1698" s="14" t="s">
        <v>4867</v>
      </c>
      <c r="H1698" s="0" t="s">
        <v>141</v>
      </c>
      <c r="I1698" s="14" t="s">
        <v>191</v>
      </c>
      <c r="J1698" s="0" t="s">
        <v>145</v>
      </c>
      <c r="K1698" s="0" t="s">
        <v>164</v>
      </c>
      <c r="L1698" s="0" t="s">
        <v>165</v>
      </c>
      <c r="M1698" s="0" t="s">
        <v>272</v>
      </c>
      <c r="N1698" s="0" t="s">
        <v>273</v>
      </c>
      <c r="O1698" s="0" t="s">
        <v>238</v>
      </c>
      <c r="Q1698" s="0" t="s">
        <v>130</v>
      </c>
      <c r="R1698" s="0" t="s">
        <v>138</v>
      </c>
      <c r="S1698" s="14">
        <v>0</v>
      </c>
      <c r="T1698" s="0" t="s">
        <v>299</v>
      </c>
      <c r="U1698" s="0" t="s">
        <v>138</v>
      </c>
      <c r="V1698" s="14" t="s">
        <v>138</v>
      </c>
      <c r="W1698" s="0" t="s">
        <v>138</v>
      </c>
      <c r="X1698" s="14" t="s">
        <v>138</v>
      </c>
      <c r="Y1698" s="0" t="s">
        <v>138</v>
      </c>
      <c r="Z1698" s="14" t="s">
        <v>138</v>
      </c>
      <c r="AA1698" s="0" t="s">
        <v>138</v>
      </c>
      <c r="AB1698" s="14" t="s">
        <v>138</v>
      </c>
      <c r="AD1698" s="0" t="s">
        <v>138</v>
      </c>
      <c r="AF1698" s="0">
        <v>0</v>
      </c>
      <c r="AG1698" s="0">
        <v>0</v>
      </c>
      <c r="AH1698" s="0" t="s">
        <v>140</v>
      </c>
      <c r="AI1698" s="0" t="s">
        <v>138</v>
      </c>
      <c r="AL1698" s="14"/>
      <c r="AN1698" s="14"/>
      <c r="AQ1698" s="0" t="s">
        <v>130</v>
      </c>
      <c r="AR1698" s="0" t="s">
        <v>130</v>
      </c>
      <c r="AS1698" s="0" t="s">
        <v>130</v>
      </c>
      <c r="AT1698" s="0" t="s">
        <v>130</v>
      </c>
      <c r="AU1698" s="0" t="s">
        <v>130</v>
      </c>
      <c r="AV1698" s="0" t="s">
        <v>130</v>
      </c>
      <c r="AW1698" s="0" t="s">
        <v>130</v>
      </c>
      <c r="AX1698" s="0" t="s">
        <v>130</v>
      </c>
      <c r="AY1698" s="0" t="s">
        <v>130</v>
      </c>
      <c r="AZ1698" s="0" t="s">
        <v>130</v>
      </c>
      <c r="BA1698" s="0" t="s">
        <v>130</v>
      </c>
      <c r="BB1698" s="0" t="s">
        <v>130</v>
      </c>
      <c r="BC1698" s="0" t="s">
        <v>130</v>
      </c>
      <c r="BD1698" s="0" t="s">
        <v>130</v>
      </c>
      <c r="BE1698" s="0" t="s">
        <v>130</v>
      </c>
      <c r="BF1698" s="0" t="s">
        <v>130</v>
      </c>
      <c r="BG1698" s="0" t="s">
        <v>130</v>
      </c>
      <c r="BH1698" s="0" t="s">
        <v>130</v>
      </c>
      <c r="BI1698" s="0" t="s">
        <v>130</v>
      </c>
      <c r="BJ1698" s="0" t="s">
        <v>130</v>
      </c>
      <c r="BK1698" s="0" t="s">
        <v>130</v>
      </c>
      <c r="BL1698" s="0" t="s">
        <v>130</v>
      </c>
      <c r="BM1698" s="0" t="s">
        <v>130</v>
      </c>
      <c r="BN1698" s="0" t="s">
        <v>130</v>
      </c>
      <c r="BO1698" s="0" t="s">
        <v>130</v>
      </c>
      <c r="BP1698" s="0" t="s">
        <v>130</v>
      </c>
      <c r="BQ1698" s="0" t="s">
        <v>130</v>
      </c>
      <c r="BR1698" s="0" t="s">
        <v>130</v>
      </c>
      <c r="BS1698" s="0" t="s">
        <v>130</v>
      </c>
      <c r="BT1698" s="0" t="s">
        <v>130</v>
      </c>
      <c r="BU1698" s="0" t="s">
        <v>130</v>
      </c>
      <c r="BV1698" s="0" t="s">
        <v>130</v>
      </c>
      <c r="BW1698" s="0" t="s">
        <v>130</v>
      </c>
      <c r="BX1698" s="0" t="s">
        <v>130</v>
      </c>
      <c r="BY1698" s="0" t="s">
        <v>130</v>
      </c>
      <c r="BZ1698" s="0" t="s">
        <v>130</v>
      </c>
      <c r="CA1698" s="0" t="s">
        <v>130</v>
      </c>
      <c r="CB1698" s="0" t="s">
        <v>130</v>
      </c>
      <c r="CC1698" s="0" t="s">
        <v>130</v>
      </c>
      <c r="CD1698" s="0" t="s">
        <v>130</v>
      </c>
      <c r="CE1698" s="0" t="s">
        <v>130</v>
      </c>
      <c r="CF1698" s="0" t="s">
        <v>130</v>
      </c>
      <c r="CG1698" s="0" t="s">
        <v>130</v>
      </c>
      <c r="CH1698" s="0" t="s">
        <v>130</v>
      </c>
      <c r="CI1698" s="0" t="s">
        <v>130</v>
      </c>
      <c r="CJ1698" s="0" t="s">
        <v>130</v>
      </c>
      <c r="CK1698" s="0" t="s">
        <v>130</v>
      </c>
      <c r="CL1698" s="0" t="s">
        <v>130</v>
      </c>
      <c r="CM1698" s="0" t="s">
        <v>130</v>
      </c>
      <c r="CN1698" s="0" t="s">
        <v>130</v>
      </c>
      <c r="CO1698" s="0" t="s">
        <v>130</v>
      </c>
      <c r="CP1698" s="0" t="s">
        <v>130</v>
      </c>
      <c r="CQ1698" s="0" t="s">
        <v>130</v>
      </c>
      <c r="CR1698" s="0" t="s">
        <v>130</v>
      </c>
      <c r="CS1698" s="0" t="s">
        <v>130</v>
      </c>
      <c r="CT1698" s="0" t="s">
        <v>4868</v>
      </c>
    </row>
    <row r="1699">
      <c r="A1699" s="14">
        <v>100169</v>
      </c>
      <c r="B1699" s="0" t="s">
        <v>4846</v>
      </c>
      <c r="C1699" s="16">
        <f>HYPERLINK("https://eosportal.federatedhermes.com/companies/Q29tcGFueQppNjc3MzE=", "Barclays PLC")</f>
      </c>
      <c r="D1699" s="0" t="s">
        <v>25</v>
      </c>
      <c r="E1699" s="0" t="s">
        <v>1449</v>
      </c>
      <c r="F1699" s="16">
        <f>HYPERLINK("https://eosportal.federatedhermes.com/engagements/RW5nYWdlbWVudAppMjk0NDU=", "Controversy linked to UNGC Principle 10: Corruption and bribery")</f>
      </c>
      <c r="G1699" s="14" t="s">
        <v>4869</v>
      </c>
      <c r="H1699" s="0" t="s">
        <v>141</v>
      </c>
      <c r="I1699" s="14" t="s">
        <v>191</v>
      </c>
      <c r="J1699" s="0" t="s">
        <v>153</v>
      </c>
      <c r="K1699" s="0" t="s">
        <v>185</v>
      </c>
      <c r="L1699" s="0" t="s">
        <v>186</v>
      </c>
      <c r="M1699" s="0" t="s">
        <v>272</v>
      </c>
      <c r="N1699" s="0" t="s">
        <v>273</v>
      </c>
      <c r="O1699" s="0" t="s">
        <v>238</v>
      </c>
      <c r="Q1699" s="0" t="s">
        <v>130</v>
      </c>
      <c r="R1699" s="0" t="s">
        <v>138</v>
      </c>
      <c r="S1699" s="14">
        <v>0</v>
      </c>
      <c r="T1699" s="0" t="s">
        <v>825</v>
      </c>
      <c r="U1699" s="0" t="s">
        <v>138</v>
      </c>
      <c r="V1699" s="14" t="s">
        <v>138</v>
      </c>
      <c r="W1699" s="0" t="s">
        <v>138</v>
      </c>
      <c r="X1699" s="14" t="s">
        <v>138</v>
      </c>
      <c r="Y1699" s="0" t="s">
        <v>138</v>
      </c>
      <c r="Z1699" s="14" t="s">
        <v>138</v>
      </c>
      <c r="AA1699" s="0" t="s">
        <v>138</v>
      </c>
      <c r="AB1699" s="14" t="s">
        <v>138</v>
      </c>
      <c r="AD1699" s="0" t="s">
        <v>138</v>
      </c>
      <c r="AF1699" s="0">
        <v>0</v>
      </c>
      <c r="AG1699" s="0">
        <v>0</v>
      </c>
      <c r="AH1699" s="0" t="s">
        <v>140</v>
      </c>
      <c r="AI1699" s="0" t="s">
        <v>138</v>
      </c>
      <c r="AL1699" s="14"/>
      <c r="AN1699" s="14"/>
      <c r="AQ1699" s="0" t="s">
        <v>130</v>
      </c>
      <c r="AR1699" s="0" t="s">
        <v>130</v>
      </c>
      <c r="AS1699" s="0" t="s">
        <v>130</v>
      </c>
      <c r="AT1699" s="0" t="s">
        <v>130</v>
      </c>
      <c r="AU1699" s="0" t="s">
        <v>130</v>
      </c>
      <c r="AV1699" s="0" t="s">
        <v>130</v>
      </c>
      <c r="AW1699" s="0" t="s">
        <v>130</v>
      </c>
      <c r="AX1699" s="0" t="s">
        <v>130</v>
      </c>
      <c r="AY1699" s="0" t="s">
        <v>130</v>
      </c>
      <c r="AZ1699" s="0" t="s">
        <v>130</v>
      </c>
      <c r="BA1699" s="0" t="s">
        <v>130</v>
      </c>
      <c r="BB1699" s="0" t="s">
        <v>130</v>
      </c>
      <c r="BC1699" s="0" t="s">
        <v>130</v>
      </c>
      <c r="BD1699" s="0" t="s">
        <v>130</v>
      </c>
      <c r="BE1699" s="0" t="s">
        <v>130</v>
      </c>
      <c r="BF1699" s="0" t="s">
        <v>130</v>
      </c>
      <c r="BG1699" s="0" t="s">
        <v>130</v>
      </c>
      <c r="BH1699" s="0" t="s">
        <v>130</v>
      </c>
      <c r="BI1699" s="0" t="s">
        <v>130</v>
      </c>
      <c r="BJ1699" s="0" t="s">
        <v>130</v>
      </c>
      <c r="BK1699" s="0" t="s">
        <v>130</v>
      </c>
      <c r="BL1699" s="0" t="s">
        <v>130</v>
      </c>
      <c r="BM1699" s="0" t="s">
        <v>130</v>
      </c>
      <c r="BN1699" s="0" t="s">
        <v>130</v>
      </c>
      <c r="BO1699" s="0" t="s">
        <v>130</v>
      </c>
      <c r="BP1699" s="0" t="s">
        <v>141</v>
      </c>
      <c r="BQ1699" s="0" t="s">
        <v>130</v>
      </c>
      <c r="BR1699" s="0" t="s">
        <v>130</v>
      </c>
      <c r="BS1699" s="0" t="s">
        <v>130</v>
      </c>
      <c r="BT1699" s="0" t="s">
        <v>130</v>
      </c>
      <c r="BU1699" s="0" t="s">
        <v>130</v>
      </c>
      <c r="BV1699" s="0" t="s">
        <v>130</v>
      </c>
      <c r="BW1699" s="0" t="s">
        <v>130</v>
      </c>
      <c r="BX1699" s="0" t="s">
        <v>130</v>
      </c>
      <c r="BY1699" s="0" t="s">
        <v>130</v>
      </c>
      <c r="BZ1699" s="0" t="s">
        <v>130</v>
      </c>
      <c r="CA1699" s="0" t="s">
        <v>130</v>
      </c>
      <c r="CB1699" s="0" t="s">
        <v>130</v>
      </c>
      <c r="CC1699" s="0" t="s">
        <v>130</v>
      </c>
      <c r="CD1699" s="0" t="s">
        <v>130</v>
      </c>
      <c r="CE1699" s="0" t="s">
        <v>130</v>
      </c>
      <c r="CF1699" s="0" t="s">
        <v>130</v>
      </c>
      <c r="CG1699" s="0" t="s">
        <v>130</v>
      </c>
      <c r="CH1699" s="0" t="s">
        <v>130</v>
      </c>
      <c r="CI1699" s="0" t="s">
        <v>130</v>
      </c>
      <c r="CJ1699" s="0" t="s">
        <v>130</v>
      </c>
      <c r="CK1699" s="0" t="s">
        <v>130</v>
      </c>
      <c r="CL1699" s="0" t="s">
        <v>130</v>
      </c>
      <c r="CM1699" s="0" t="s">
        <v>130</v>
      </c>
      <c r="CN1699" s="0" t="s">
        <v>130</v>
      </c>
      <c r="CO1699" s="0" t="s">
        <v>130</v>
      </c>
      <c r="CP1699" s="0" t="s">
        <v>130</v>
      </c>
      <c r="CQ1699" s="0" t="s">
        <v>130</v>
      </c>
      <c r="CR1699" s="0" t="s">
        <v>130</v>
      </c>
      <c r="CS1699" s="0" t="s">
        <v>130</v>
      </c>
      <c r="CT1699" s="0" t="s">
        <v>4870</v>
      </c>
    </row>
    <row r="1700">
      <c r="A1700" s="14">
        <v>100169</v>
      </c>
      <c r="B1700" s="0" t="s">
        <v>4846</v>
      </c>
      <c r="C1700" s="16">
        <f>HYPERLINK("https://eosportal.federatedhermes.com/companies/Q29tcGFueQppNjc3MzE=", "Barclays PLC")</f>
      </c>
      <c r="D1700" s="0" t="s">
        <v>25</v>
      </c>
      <c r="E1700" s="0" t="s">
        <v>4871</v>
      </c>
      <c r="F1700" s="16">
        <f>HYPERLINK("https://eosportal.federatedhermes.com/engagements/RW5nYWdlbWVudAppMjk0NDc=", "Ring-fence Implementation")</f>
      </c>
      <c r="G1700" s="14" t="s">
        <v>4872</v>
      </c>
      <c r="H1700" s="0" t="s">
        <v>141</v>
      </c>
      <c r="I1700" s="14" t="s">
        <v>191</v>
      </c>
      <c r="J1700" s="0" t="s">
        <v>132</v>
      </c>
      <c r="K1700" s="0" t="s">
        <v>260</v>
      </c>
      <c r="L1700" s="0" t="s">
        <v>261</v>
      </c>
      <c r="M1700" s="0" t="s">
        <v>272</v>
      </c>
      <c r="N1700" s="0" t="s">
        <v>273</v>
      </c>
      <c r="O1700" s="0" t="s">
        <v>238</v>
      </c>
      <c r="Q1700" s="0" t="s">
        <v>130</v>
      </c>
      <c r="R1700" s="0" t="s">
        <v>138</v>
      </c>
      <c r="S1700" s="14">
        <v>0</v>
      </c>
      <c r="T1700" s="0" t="s">
        <v>920</v>
      </c>
      <c r="U1700" s="0" t="s">
        <v>138</v>
      </c>
      <c r="V1700" s="14" t="s">
        <v>138</v>
      </c>
      <c r="W1700" s="0" t="s">
        <v>138</v>
      </c>
      <c r="X1700" s="14" t="s">
        <v>138</v>
      </c>
      <c r="Y1700" s="0" t="s">
        <v>138</v>
      </c>
      <c r="Z1700" s="14" t="s">
        <v>138</v>
      </c>
      <c r="AA1700" s="0" t="s">
        <v>138</v>
      </c>
      <c r="AB1700" s="14" t="s">
        <v>138</v>
      </c>
      <c r="AD1700" s="0" t="s">
        <v>138</v>
      </c>
      <c r="AF1700" s="0">
        <v>0</v>
      </c>
      <c r="AG1700" s="0">
        <v>0</v>
      </c>
      <c r="AH1700" s="0" t="s">
        <v>140</v>
      </c>
      <c r="AI1700" s="0" t="s">
        <v>138</v>
      </c>
      <c r="AL1700" s="14"/>
      <c r="AN1700" s="14"/>
      <c r="AQ1700" s="0" t="s">
        <v>130</v>
      </c>
      <c r="AR1700" s="0" t="s">
        <v>130</v>
      </c>
      <c r="AS1700" s="0" t="s">
        <v>130</v>
      </c>
      <c r="AT1700" s="0" t="s">
        <v>130</v>
      </c>
      <c r="AU1700" s="0" t="s">
        <v>130</v>
      </c>
      <c r="AV1700" s="0" t="s">
        <v>130</v>
      </c>
      <c r="AW1700" s="0" t="s">
        <v>130</v>
      </c>
      <c r="AX1700" s="0" t="s">
        <v>130</v>
      </c>
      <c r="AY1700" s="0" t="s">
        <v>130</v>
      </c>
      <c r="AZ1700" s="0" t="s">
        <v>130</v>
      </c>
      <c r="BA1700" s="0" t="s">
        <v>130</v>
      </c>
      <c r="BB1700" s="0" t="s">
        <v>130</v>
      </c>
      <c r="BC1700" s="0" t="s">
        <v>130</v>
      </c>
      <c r="BD1700" s="0" t="s">
        <v>130</v>
      </c>
      <c r="BE1700" s="0" t="s">
        <v>130</v>
      </c>
      <c r="BF1700" s="0" t="s">
        <v>130</v>
      </c>
      <c r="BG1700" s="0" t="s">
        <v>130</v>
      </c>
      <c r="BH1700" s="0" t="s">
        <v>130</v>
      </c>
      <c r="BI1700" s="0" t="s">
        <v>130</v>
      </c>
      <c r="BJ1700" s="0" t="s">
        <v>130</v>
      </c>
      <c r="BK1700" s="0" t="s">
        <v>130</v>
      </c>
      <c r="BL1700" s="0" t="s">
        <v>130</v>
      </c>
      <c r="BM1700" s="0" t="s">
        <v>130</v>
      </c>
      <c r="BN1700" s="0" t="s">
        <v>130</v>
      </c>
      <c r="BO1700" s="0" t="s">
        <v>130</v>
      </c>
      <c r="BP1700" s="0" t="s">
        <v>130</v>
      </c>
      <c r="BQ1700" s="0" t="s">
        <v>130</v>
      </c>
      <c r="BR1700" s="0" t="s">
        <v>130</v>
      </c>
      <c r="BS1700" s="0" t="s">
        <v>130</v>
      </c>
      <c r="BT1700" s="0" t="s">
        <v>130</v>
      </c>
      <c r="BU1700" s="0" t="s">
        <v>130</v>
      </c>
      <c r="BV1700" s="0" t="s">
        <v>130</v>
      </c>
      <c r="BW1700" s="0" t="s">
        <v>130</v>
      </c>
      <c r="BX1700" s="0" t="s">
        <v>130</v>
      </c>
      <c r="BY1700" s="0" t="s">
        <v>130</v>
      </c>
      <c r="BZ1700" s="0" t="s">
        <v>130</v>
      </c>
      <c r="CA1700" s="0" t="s">
        <v>130</v>
      </c>
      <c r="CB1700" s="0" t="s">
        <v>130</v>
      </c>
      <c r="CC1700" s="0" t="s">
        <v>130</v>
      </c>
      <c r="CD1700" s="0" t="s">
        <v>130</v>
      </c>
      <c r="CE1700" s="0" t="s">
        <v>130</v>
      </c>
      <c r="CF1700" s="0" t="s">
        <v>130</v>
      </c>
      <c r="CG1700" s="0" t="s">
        <v>130</v>
      </c>
      <c r="CH1700" s="0" t="s">
        <v>130</v>
      </c>
      <c r="CI1700" s="0" t="s">
        <v>130</v>
      </c>
      <c r="CJ1700" s="0" t="s">
        <v>130</v>
      </c>
      <c r="CK1700" s="0" t="s">
        <v>130</v>
      </c>
      <c r="CL1700" s="0" t="s">
        <v>130</v>
      </c>
      <c r="CM1700" s="0" t="s">
        <v>130</v>
      </c>
      <c r="CN1700" s="0" t="s">
        <v>130</v>
      </c>
      <c r="CO1700" s="0" t="s">
        <v>130</v>
      </c>
      <c r="CP1700" s="0" t="s">
        <v>130</v>
      </c>
      <c r="CQ1700" s="0" t="s">
        <v>130</v>
      </c>
      <c r="CR1700" s="0" t="s">
        <v>130</v>
      </c>
      <c r="CS1700" s="0" t="s">
        <v>130</v>
      </c>
      <c r="CT1700" s="0" t="s">
        <v>4873</v>
      </c>
    </row>
    <row r="1701">
      <c r="A1701" s="14">
        <v>100169</v>
      </c>
      <c r="B1701" s="0" t="s">
        <v>4846</v>
      </c>
      <c r="C1701" s="16">
        <f>HYPERLINK("https://eosportal.federatedhermes.com/companies/Q29tcGFueQppNjc3MzE=", "Barclays PLC")</f>
      </c>
      <c r="D1701" s="0" t="s">
        <v>25</v>
      </c>
      <c r="E1701" s="0" t="s">
        <v>4874</v>
      </c>
      <c r="F1701" s="16">
        <f>HYPERLINK("https://eosportal.federatedhermes.com/engagements/RW5nYWdlbWVudAppMjk0NTA=", "Climate change approach")</f>
      </c>
      <c r="G1701" s="14" t="s">
        <v>4875</v>
      </c>
      <c r="H1701" s="0" t="s">
        <v>141</v>
      </c>
      <c r="I1701" s="14" t="s">
        <v>191</v>
      </c>
      <c r="J1701" s="0" t="s">
        <v>197</v>
      </c>
      <c r="K1701" s="0" t="s">
        <v>198</v>
      </c>
      <c r="L1701" s="0" t="s">
        <v>199</v>
      </c>
      <c r="M1701" s="0" t="s">
        <v>272</v>
      </c>
      <c r="N1701" s="0" t="s">
        <v>273</v>
      </c>
      <c r="O1701" s="0" t="s">
        <v>238</v>
      </c>
      <c r="Q1701" s="0" t="s">
        <v>130</v>
      </c>
      <c r="R1701" s="0" t="s">
        <v>138</v>
      </c>
      <c r="S1701" s="14">
        <v>0</v>
      </c>
      <c r="T1701" s="0" t="s">
        <v>288</v>
      </c>
      <c r="U1701" s="0" t="s">
        <v>138</v>
      </c>
      <c r="V1701" s="14" t="s">
        <v>138</v>
      </c>
      <c r="W1701" s="0" t="s">
        <v>138</v>
      </c>
      <c r="X1701" s="14" t="s">
        <v>138</v>
      </c>
      <c r="Y1701" s="0" t="s">
        <v>138</v>
      </c>
      <c r="Z1701" s="14" t="s">
        <v>138</v>
      </c>
      <c r="AA1701" s="0" t="s">
        <v>138</v>
      </c>
      <c r="AB1701" s="14" t="s">
        <v>138</v>
      </c>
      <c r="AD1701" s="0" t="s">
        <v>138</v>
      </c>
      <c r="AF1701" s="0">
        <v>0</v>
      </c>
      <c r="AG1701" s="0">
        <v>0</v>
      </c>
      <c r="AH1701" s="0" t="s">
        <v>140</v>
      </c>
      <c r="AI1701" s="0" t="s">
        <v>138</v>
      </c>
      <c r="AL1701" s="14"/>
      <c r="AN1701" s="14"/>
      <c r="AQ1701" s="0" t="s">
        <v>130</v>
      </c>
      <c r="AR1701" s="0" t="s">
        <v>130</v>
      </c>
      <c r="AS1701" s="0" t="s">
        <v>130</v>
      </c>
      <c r="AT1701" s="0" t="s">
        <v>130</v>
      </c>
      <c r="AU1701" s="0" t="s">
        <v>130</v>
      </c>
      <c r="AV1701" s="0" t="s">
        <v>130</v>
      </c>
      <c r="AW1701" s="0" t="s">
        <v>130</v>
      </c>
      <c r="AX1701" s="0" t="s">
        <v>130</v>
      </c>
      <c r="AY1701" s="0" t="s">
        <v>130</v>
      </c>
      <c r="AZ1701" s="0" t="s">
        <v>130</v>
      </c>
      <c r="BA1701" s="0" t="s">
        <v>130</v>
      </c>
      <c r="BB1701" s="0" t="s">
        <v>141</v>
      </c>
      <c r="BC1701" s="0" t="s">
        <v>141</v>
      </c>
      <c r="BD1701" s="0" t="s">
        <v>130</v>
      </c>
      <c r="BE1701" s="0" t="s">
        <v>130</v>
      </c>
      <c r="BF1701" s="0" t="s">
        <v>130</v>
      </c>
      <c r="BG1701" s="0" t="s">
        <v>130</v>
      </c>
      <c r="BH1701" s="0" t="s">
        <v>130</v>
      </c>
      <c r="BI1701" s="0" t="s">
        <v>130</v>
      </c>
      <c r="BJ1701" s="0" t="s">
        <v>130</v>
      </c>
      <c r="BK1701" s="0" t="s">
        <v>130</v>
      </c>
      <c r="BL1701" s="0" t="s">
        <v>130</v>
      </c>
      <c r="BM1701" s="0" t="s">
        <v>130</v>
      </c>
      <c r="BN1701" s="0" t="s">
        <v>130</v>
      </c>
      <c r="BO1701" s="0" t="s">
        <v>130</v>
      </c>
      <c r="BP1701" s="0" t="s">
        <v>130</v>
      </c>
      <c r="BQ1701" s="0" t="s">
        <v>130</v>
      </c>
      <c r="BR1701" s="0" t="s">
        <v>130</v>
      </c>
      <c r="BS1701" s="0" t="s">
        <v>130</v>
      </c>
      <c r="BT1701" s="0" t="s">
        <v>130</v>
      </c>
      <c r="BU1701" s="0" t="s">
        <v>130</v>
      </c>
      <c r="BV1701" s="0" t="s">
        <v>130</v>
      </c>
      <c r="BW1701" s="0" t="s">
        <v>130</v>
      </c>
      <c r="BX1701" s="0" t="s">
        <v>130</v>
      </c>
      <c r="BY1701" s="0" t="s">
        <v>130</v>
      </c>
      <c r="BZ1701" s="0" t="s">
        <v>130</v>
      </c>
      <c r="CA1701" s="0" t="s">
        <v>130</v>
      </c>
      <c r="CB1701" s="0" t="s">
        <v>130</v>
      </c>
      <c r="CC1701" s="0" t="s">
        <v>130</v>
      </c>
      <c r="CD1701" s="0" t="s">
        <v>130</v>
      </c>
      <c r="CE1701" s="0" t="s">
        <v>130</v>
      </c>
      <c r="CF1701" s="0" t="s">
        <v>130</v>
      </c>
      <c r="CG1701" s="0" t="s">
        <v>130</v>
      </c>
      <c r="CH1701" s="0" t="s">
        <v>130</v>
      </c>
      <c r="CI1701" s="0" t="s">
        <v>130</v>
      </c>
      <c r="CJ1701" s="0" t="s">
        <v>130</v>
      </c>
      <c r="CK1701" s="0" t="s">
        <v>130</v>
      </c>
      <c r="CL1701" s="0" t="s">
        <v>130</v>
      </c>
      <c r="CM1701" s="0" t="s">
        <v>130</v>
      </c>
      <c r="CN1701" s="0" t="s">
        <v>130</v>
      </c>
      <c r="CO1701" s="0" t="s">
        <v>130</v>
      </c>
      <c r="CP1701" s="0" t="s">
        <v>130</v>
      </c>
      <c r="CQ1701" s="0" t="s">
        <v>130</v>
      </c>
      <c r="CR1701" s="0" t="s">
        <v>130</v>
      </c>
      <c r="CS1701" s="0" t="s">
        <v>130</v>
      </c>
      <c r="CT1701" s="0" t="s">
        <v>4876</v>
      </c>
    </row>
    <row r="1702">
      <c r="A1702" s="14">
        <v>100169</v>
      </c>
      <c r="B1702" s="0" t="s">
        <v>4846</v>
      </c>
      <c r="C1702" s="16">
        <f>HYPERLINK("https://eosportal.federatedhermes.com/companies/Q29tcGFueQppNjc3MzE=", "Barclays PLC")</f>
      </c>
      <c r="D1702" s="0" t="s">
        <v>25</v>
      </c>
      <c r="E1702" s="0" t="s">
        <v>993</v>
      </c>
      <c r="F1702" s="16">
        <f>HYPERLINK("https://eosportal.federatedhermes.com/engagements/RW5nYWdlbWVudAppMjk0NTE=", "Executive Remuneration - Pension Contribution")</f>
      </c>
      <c r="G1702" s="14" t="s">
        <v>4877</v>
      </c>
      <c r="H1702" s="0" t="s">
        <v>141</v>
      </c>
      <c r="I1702" s="14" t="s">
        <v>191</v>
      </c>
      <c r="J1702" s="0" t="s">
        <v>145</v>
      </c>
      <c r="K1702" s="0" t="s">
        <v>146</v>
      </c>
      <c r="L1702" s="0" t="s">
        <v>147</v>
      </c>
      <c r="M1702" s="0" t="s">
        <v>272</v>
      </c>
      <c r="N1702" s="0" t="s">
        <v>273</v>
      </c>
      <c r="O1702" s="0" t="s">
        <v>238</v>
      </c>
      <c r="Q1702" s="0" t="s">
        <v>130</v>
      </c>
      <c r="R1702" s="0" t="s">
        <v>138</v>
      </c>
      <c r="S1702" s="14">
        <v>0</v>
      </c>
      <c r="T1702" s="0" t="s">
        <v>193</v>
      </c>
      <c r="U1702" s="0" t="s">
        <v>138</v>
      </c>
      <c r="V1702" s="14" t="s">
        <v>138</v>
      </c>
      <c r="W1702" s="0" t="s">
        <v>138</v>
      </c>
      <c r="X1702" s="14" t="s">
        <v>138</v>
      </c>
      <c r="Y1702" s="0" t="s">
        <v>138</v>
      </c>
      <c r="Z1702" s="14" t="s">
        <v>138</v>
      </c>
      <c r="AA1702" s="0" t="s">
        <v>138</v>
      </c>
      <c r="AB1702" s="14" t="s">
        <v>138</v>
      </c>
      <c r="AD1702" s="0" t="s">
        <v>138</v>
      </c>
      <c r="AF1702" s="0">
        <v>0</v>
      </c>
      <c r="AG1702" s="0">
        <v>0</v>
      </c>
      <c r="AH1702" s="0" t="s">
        <v>140</v>
      </c>
      <c r="AI1702" s="0" t="s">
        <v>138</v>
      </c>
      <c r="AL1702" s="14"/>
      <c r="AN1702" s="14"/>
      <c r="AQ1702" s="0" t="s">
        <v>130</v>
      </c>
      <c r="AR1702" s="0" t="s">
        <v>130</v>
      </c>
      <c r="AS1702" s="0" t="s">
        <v>130</v>
      </c>
      <c r="AT1702" s="0" t="s">
        <v>130</v>
      </c>
      <c r="AU1702" s="0" t="s">
        <v>130</v>
      </c>
      <c r="AV1702" s="0" t="s">
        <v>130</v>
      </c>
      <c r="AW1702" s="0" t="s">
        <v>130</v>
      </c>
      <c r="AX1702" s="0" t="s">
        <v>130</v>
      </c>
      <c r="AY1702" s="0" t="s">
        <v>130</v>
      </c>
      <c r="AZ1702" s="0" t="s">
        <v>130</v>
      </c>
      <c r="BA1702" s="0" t="s">
        <v>130</v>
      </c>
      <c r="BB1702" s="0" t="s">
        <v>130</v>
      </c>
      <c r="BC1702" s="0" t="s">
        <v>130</v>
      </c>
      <c r="BD1702" s="0" t="s">
        <v>130</v>
      </c>
      <c r="BE1702" s="0" t="s">
        <v>130</v>
      </c>
      <c r="BF1702" s="0" t="s">
        <v>130</v>
      </c>
      <c r="BG1702" s="0" t="s">
        <v>130</v>
      </c>
      <c r="BH1702" s="0" t="s">
        <v>130</v>
      </c>
      <c r="BI1702" s="0" t="s">
        <v>130</v>
      </c>
      <c r="BJ1702" s="0" t="s">
        <v>130</v>
      </c>
      <c r="BK1702" s="0" t="s">
        <v>130</v>
      </c>
      <c r="BL1702" s="0" t="s">
        <v>130</v>
      </c>
      <c r="BM1702" s="0" t="s">
        <v>130</v>
      </c>
      <c r="BN1702" s="0" t="s">
        <v>130</v>
      </c>
      <c r="BO1702" s="0" t="s">
        <v>130</v>
      </c>
      <c r="BP1702" s="0" t="s">
        <v>130</v>
      </c>
      <c r="BQ1702" s="0" t="s">
        <v>130</v>
      </c>
      <c r="BR1702" s="0" t="s">
        <v>130</v>
      </c>
      <c r="BS1702" s="0" t="s">
        <v>130</v>
      </c>
      <c r="BT1702" s="0" t="s">
        <v>130</v>
      </c>
      <c r="BU1702" s="0" t="s">
        <v>130</v>
      </c>
      <c r="BV1702" s="0" t="s">
        <v>130</v>
      </c>
      <c r="BW1702" s="0" t="s">
        <v>130</v>
      </c>
      <c r="BX1702" s="0" t="s">
        <v>130</v>
      </c>
      <c r="BY1702" s="0" t="s">
        <v>130</v>
      </c>
      <c r="BZ1702" s="0" t="s">
        <v>130</v>
      </c>
      <c r="CA1702" s="0" t="s">
        <v>130</v>
      </c>
      <c r="CB1702" s="0" t="s">
        <v>130</v>
      </c>
      <c r="CC1702" s="0" t="s">
        <v>130</v>
      </c>
      <c r="CD1702" s="0" t="s">
        <v>130</v>
      </c>
      <c r="CE1702" s="0" t="s">
        <v>130</v>
      </c>
      <c r="CF1702" s="0" t="s">
        <v>130</v>
      </c>
      <c r="CG1702" s="0" t="s">
        <v>130</v>
      </c>
      <c r="CH1702" s="0" t="s">
        <v>130</v>
      </c>
      <c r="CI1702" s="0" t="s">
        <v>130</v>
      </c>
      <c r="CJ1702" s="0" t="s">
        <v>130</v>
      </c>
      <c r="CK1702" s="0" t="s">
        <v>130</v>
      </c>
      <c r="CL1702" s="0" t="s">
        <v>130</v>
      </c>
      <c r="CM1702" s="0" t="s">
        <v>130</v>
      </c>
      <c r="CN1702" s="0" t="s">
        <v>130</v>
      </c>
      <c r="CO1702" s="0" t="s">
        <v>130</v>
      </c>
      <c r="CP1702" s="0" t="s">
        <v>130</v>
      </c>
      <c r="CQ1702" s="0" t="s">
        <v>130</v>
      </c>
      <c r="CR1702" s="0" t="s">
        <v>130</v>
      </c>
      <c r="CS1702" s="0" t="s">
        <v>130</v>
      </c>
      <c r="CT1702" s="0" t="s">
        <v>4878</v>
      </c>
    </row>
    <row r="1703">
      <c r="A1703" s="14">
        <v>111759</v>
      </c>
      <c r="B1703" s="0" t="s">
        <v>4879</v>
      </c>
      <c r="C1703" s="16">
        <f>HYPERLINK("https://eosportal.federatedhermes.com/companies/Q29tcGFueQppNjI0NzE=", "HSBC Holdings PLC")</f>
      </c>
      <c r="D1703" s="0" t="s">
        <v>25</v>
      </c>
      <c r="E1703" s="0" t="s">
        <v>4551</v>
      </c>
      <c r="F1703" s="16">
        <f>HYPERLINK("https://eosportal.federatedhermes.com/engagements/RW5nYWdlbWVudAppMjk0NTM=", "Artificial Intelligence (AI) governance")</f>
      </c>
      <c r="G1703" s="14" t="s">
        <v>4552</v>
      </c>
      <c r="H1703" s="0" t="s">
        <v>141</v>
      </c>
      <c r="I1703" s="14" t="s">
        <v>191</v>
      </c>
      <c r="J1703" s="0" t="s">
        <v>153</v>
      </c>
      <c r="K1703" s="0" t="s">
        <v>243</v>
      </c>
      <c r="L1703" s="0" t="s">
        <v>537</v>
      </c>
      <c r="M1703" s="0" t="s">
        <v>272</v>
      </c>
      <c r="N1703" s="0" t="s">
        <v>273</v>
      </c>
      <c r="O1703" s="0" t="s">
        <v>238</v>
      </c>
      <c r="Q1703" s="0" t="s">
        <v>130</v>
      </c>
      <c r="R1703" s="0" t="s">
        <v>138</v>
      </c>
      <c r="S1703" s="14">
        <v>0</v>
      </c>
      <c r="T1703" s="0" t="s">
        <v>394</v>
      </c>
      <c r="U1703" s="0" t="s">
        <v>138</v>
      </c>
      <c r="V1703" s="14" t="s">
        <v>138</v>
      </c>
      <c r="W1703" s="0" t="s">
        <v>138</v>
      </c>
      <c r="X1703" s="14" t="s">
        <v>138</v>
      </c>
      <c r="Y1703" s="0" t="s">
        <v>138</v>
      </c>
      <c r="Z1703" s="14" t="s">
        <v>138</v>
      </c>
      <c r="AA1703" s="0" t="s">
        <v>138</v>
      </c>
      <c r="AB1703" s="14" t="s">
        <v>138</v>
      </c>
      <c r="AD1703" s="0" t="s">
        <v>138</v>
      </c>
      <c r="AF1703" s="0">
        <v>0</v>
      </c>
      <c r="AG1703" s="0">
        <v>0</v>
      </c>
      <c r="AH1703" s="0" t="s">
        <v>140</v>
      </c>
      <c r="AI1703" s="0" t="s">
        <v>138</v>
      </c>
      <c r="AL1703" s="14"/>
      <c r="AN1703" s="14"/>
      <c r="AQ1703" s="0" t="s">
        <v>130</v>
      </c>
      <c r="AR1703" s="0" t="s">
        <v>130</v>
      </c>
      <c r="AS1703" s="0" t="s">
        <v>130</v>
      </c>
      <c r="AT1703" s="0" t="s">
        <v>130</v>
      </c>
      <c r="AU1703" s="0" t="s">
        <v>130</v>
      </c>
      <c r="AV1703" s="0" t="s">
        <v>130</v>
      </c>
      <c r="AW1703" s="0" t="s">
        <v>130</v>
      </c>
      <c r="AX1703" s="0" t="s">
        <v>130</v>
      </c>
      <c r="AY1703" s="0" t="s">
        <v>130</v>
      </c>
      <c r="AZ1703" s="0" t="s">
        <v>130</v>
      </c>
      <c r="BA1703" s="0" t="s">
        <v>130</v>
      </c>
      <c r="BB1703" s="0" t="s">
        <v>130</v>
      </c>
      <c r="BC1703" s="0" t="s">
        <v>130</v>
      </c>
      <c r="BD1703" s="0" t="s">
        <v>130</v>
      </c>
      <c r="BE1703" s="0" t="s">
        <v>130</v>
      </c>
      <c r="BF1703" s="0" t="s">
        <v>130</v>
      </c>
      <c r="BG1703" s="0" t="s">
        <v>130</v>
      </c>
      <c r="BH1703" s="0" t="s">
        <v>130</v>
      </c>
      <c r="BI1703" s="0" t="s">
        <v>130</v>
      </c>
      <c r="BJ1703" s="0" t="s">
        <v>130</v>
      </c>
      <c r="BK1703" s="0" t="s">
        <v>130</v>
      </c>
      <c r="BL1703" s="0" t="s">
        <v>130</v>
      </c>
      <c r="BM1703" s="0" t="s">
        <v>130</v>
      </c>
      <c r="BN1703" s="0" t="s">
        <v>130</v>
      </c>
      <c r="BO1703" s="0" t="s">
        <v>130</v>
      </c>
      <c r="BP1703" s="0" t="s">
        <v>130</v>
      </c>
      <c r="BQ1703" s="0" t="s">
        <v>130</v>
      </c>
      <c r="BR1703" s="0" t="s">
        <v>130</v>
      </c>
      <c r="BS1703" s="0" t="s">
        <v>130</v>
      </c>
      <c r="BT1703" s="0" t="s">
        <v>130</v>
      </c>
      <c r="BU1703" s="0" t="s">
        <v>130</v>
      </c>
      <c r="BV1703" s="0" t="s">
        <v>130</v>
      </c>
      <c r="BW1703" s="0" t="s">
        <v>130</v>
      </c>
      <c r="BX1703" s="0" t="s">
        <v>130</v>
      </c>
      <c r="BY1703" s="0" t="s">
        <v>130</v>
      </c>
      <c r="BZ1703" s="0" t="s">
        <v>130</v>
      </c>
      <c r="CA1703" s="0" t="s">
        <v>130</v>
      </c>
      <c r="CB1703" s="0" t="s">
        <v>130</v>
      </c>
      <c r="CC1703" s="0" t="s">
        <v>130</v>
      </c>
      <c r="CD1703" s="0" t="s">
        <v>130</v>
      </c>
      <c r="CE1703" s="0" t="s">
        <v>130</v>
      </c>
      <c r="CF1703" s="0" t="s">
        <v>130</v>
      </c>
      <c r="CG1703" s="0" t="s">
        <v>130</v>
      </c>
      <c r="CH1703" s="0" t="s">
        <v>130</v>
      </c>
      <c r="CI1703" s="0" t="s">
        <v>130</v>
      </c>
      <c r="CJ1703" s="0" t="s">
        <v>130</v>
      </c>
      <c r="CK1703" s="0" t="s">
        <v>130</v>
      </c>
      <c r="CL1703" s="0" t="s">
        <v>130</v>
      </c>
      <c r="CM1703" s="0" t="s">
        <v>130</v>
      </c>
      <c r="CN1703" s="0" t="s">
        <v>130</v>
      </c>
      <c r="CO1703" s="0" t="s">
        <v>130</v>
      </c>
      <c r="CP1703" s="0" t="s">
        <v>130</v>
      </c>
      <c r="CQ1703" s="0" t="s">
        <v>130</v>
      </c>
      <c r="CR1703" s="0" t="s">
        <v>130</v>
      </c>
      <c r="CS1703" s="0" t="s">
        <v>130</v>
      </c>
      <c r="CT1703" s="0" t="s">
        <v>4880</v>
      </c>
    </row>
    <row r="1704">
      <c r="A1704" s="14">
        <v>111759</v>
      </c>
      <c r="B1704" s="0" t="s">
        <v>4879</v>
      </c>
      <c r="C1704" s="16">
        <f>HYPERLINK("https://eosportal.federatedhermes.com/companies/Q29tcGFueQppNjI0NzE=", "HSBC Holdings PLC")</f>
      </c>
      <c r="D1704" s="0" t="s">
        <v>25</v>
      </c>
      <c r="E1704" s="0" t="s">
        <v>4881</v>
      </c>
      <c r="F1704" s="16">
        <f>HYPERLINK("https://eosportal.federatedhermes.com/engagements/RW5nYWdlbWVudAppMjk0NTQ=", "Financial crime and regulatory compliance - Deferred Prosecution Agreement")</f>
      </c>
      <c r="G1704" s="14" t="s">
        <v>4882</v>
      </c>
      <c r="H1704" s="0" t="s">
        <v>141</v>
      </c>
      <c r="I1704" s="14" t="s">
        <v>191</v>
      </c>
      <c r="J1704" s="0" t="s">
        <v>132</v>
      </c>
      <c r="K1704" s="0" t="s">
        <v>260</v>
      </c>
      <c r="L1704" s="0" t="s">
        <v>261</v>
      </c>
      <c r="M1704" s="0" t="s">
        <v>272</v>
      </c>
      <c r="N1704" s="0" t="s">
        <v>273</v>
      </c>
      <c r="O1704" s="0" t="s">
        <v>238</v>
      </c>
      <c r="Q1704" s="0" t="s">
        <v>141</v>
      </c>
      <c r="R1704" s="0" t="s">
        <v>138</v>
      </c>
      <c r="S1704" s="14">
        <v>1</v>
      </c>
      <c r="T1704" s="0" t="s">
        <v>591</v>
      </c>
      <c r="U1704" s="0" t="s">
        <v>138</v>
      </c>
      <c r="V1704" s="14" t="s">
        <v>138</v>
      </c>
      <c r="W1704" s="0" t="s">
        <v>138</v>
      </c>
      <c r="X1704" s="14" t="s">
        <v>138</v>
      </c>
      <c r="Y1704" s="0" t="s">
        <v>138</v>
      </c>
      <c r="Z1704" s="14" t="s">
        <v>138</v>
      </c>
      <c r="AA1704" s="0" t="s">
        <v>138</v>
      </c>
      <c r="AB1704" s="14" t="s">
        <v>138</v>
      </c>
      <c r="AD1704" s="0" t="s">
        <v>138</v>
      </c>
      <c r="AF1704" s="0">
        <v>0</v>
      </c>
      <c r="AG1704" s="0">
        <v>0</v>
      </c>
      <c r="AH1704" s="0" t="s">
        <v>140</v>
      </c>
      <c r="AI1704" s="0" t="s">
        <v>138</v>
      </c>
      <c r="AK1704" s="0" t="s">
        <v>847</v>
      </c>
      <c r="AL1704" s="14"/>
      <c r="AN1704" s="14"/>
      <c r="AQ1704" s="0" t="s">
        <v>130</v>
      </c>
      <c r="AR1704" s="0" t="s">
        <v>130</v>
      </c>
      <c r="AS1704" s="0" t="s">
        <v>130</v>
      </c>
      <c r="AT1704" s="0" t="s">
        <v>130</v>
      </c>
      <c r="AU1704" s="0" t="s">
        <v>130</v>
      </c>
      <c r="AV1704" s="0" t="s">
        <v>130</v>
      </c>
      <c r="AW1704" s="0" t="s">
        <v>130</v>
      </c>
      <c r="AX1704" s="0" t="s">
        <v>130</v>
      </c>
      <c r="AY1704" s="0" t="s">
        <v>130</v>
      </c>
      <c r="AZ1704" s="0" t="s">
        <v>130</v>
      </c>
      <c r="BA1704" s="0" t="s">
        <v>130</v>
      </c>
      <c r="BB1704" s="0" t="s">
        <v>130</v>
      </c>
      <c r="BC1704" s="0" t="s">
        <v>130</v>
      </c>
      <c r="BD1704" s="0" t="s">
        <v>130</v>
      </c>
      <c r="BE1704" s="0" t="s">
        <v>130</v>
      </c>
      <c r="BF1704" s="0" t="s">
        <v>130</v>
      </c>
      <c r="BG1704" s="0" t="s">
        <v>130</v>
      </c>
      <c r="BH1704" s="0" t="s">
        <v>130</v>
      </c>
      <c r="BI1704" s="0" t="s">
        <v>130</v>
      </c>
      <c r="BJ1704" s="0" t="s">
        <v>130</v>
      </c>
      <c r="BK1704" s="0" t="s">
        <v>130</v>
      </c>
      <c r="BL1704" s="0" t="s">
        <v>130</v>
      </c>
      <c r="BM1704" s="0" t="s">
        <v>130</v>
      </c>
      <c r="BN1704" s="0" t="s">
        <v>130</v>
      </c>
      <c r="BO1704" s="0" t="s">
        <v>130</v>
      </c>
      <c r="BP1704" s="0" t="s">
        <v>130</v>
      </c>
      <c r="BQ1704" s="0" t="s">
        <v>130</v>
      </c>
      <c r="BR1704" s="0" t="s">
        <v>130</v>
      </c>
      <c r="BS1704" s="0" t="s">
        <v>130</v>
      </c>
      <c r="BT1704" s="0" t="s">
        <v>130</v>
      </c>
      <c r="BU1704" s="0" t="s">
        <v>130</v>
      </c>
      <c r="BV1704" s="0" t="s">
        <v>130</v>
      </c>
      <c r="BW1704" s="0" t="s">
        <v>130</v>
      </c>
      <c r="BX1704" s="0" t="s">
        <v>130</v>
      </c>
      <c r="BY1704" s="0" t="s">
        <v>130</v>
      </c>
      <c r="BZ1704" s="0" t="s">
        <v>130</v>
      </c>
      <c r="CA1704" s="0" t="s">
        <v>130</v>
      </c>
      <c r="CB1704" s="0" t="s">
        <v>130</v>
      </c>
      <c r="CC1704" s="0" t="s">
        <v>130</v>
      </c>
      <c r="CD1704" s="0" t="s">
        <v>130</v>
      </c>
      <c r="CE1704" s="0" t="s">
        <v>130</v>
      </c>
      <c r="CF1704" s="0" t="s">
        <v>130</v>
      </c>
      <c r="CG1704" s="0" t="s">
        <v>130</v>
      </c>
      <c r="CH1704" s="0" t="s">
        <v>130</v>
      </c>
      <c r="CI1704" s="0" t="s">
        <v>130</v>
      </c>
      <c r="CJ1704" s="0" t="s">
        <v>130</v>
      </c>
      <c r="CK1704" s="0" t="s">
        <v>130</v>
      </c>
      <c r="CL1704" s="0" t="s">
        <v>130</v>
      </c>
      <c r="CM1704" s="0" t="s">
        <v>130</v>
      </c>
      <c r="CN1704" s="0" t="s">
        <v>130</v>
      </c>
      <c r="CO1704" s="0" t="s">
        <v>130</v>
      </c>
      <c r="CP1704" s="0" t="s">
        <v>130</v>
      </c>
      <c r="CQ1704" s="0" t="s">
        <v>130</v>
      </c>
      <c r="CR1704" s="0" t="s">
        <v>130</v>
      </c>
      <c r="CS1704" s="0" t="s">
        <v>130</v>
      </c>
      <c r="CT1704" s="0" t="s">
        <v>4883</v>
      </c>
    </row>
    <row r="1705">
      <c r="A1705" s="14">
        <v>111759</v>
      </c>
      <c r="B1705" s="0" t="s">
        <v>4879</v>
      </c>
      <c r="C1705" s="16">
        <f>HYPERLINK("https://eosportal.federatedhermes.com/companies/Q29tcGFueQppNjI0NzE=", "HSBC Holdings PLC")</f>
      </c>
      <c r="D1705" s="0" t="s">
        <v>25</v>
      </c>
      <c r="E1705" s="0" t="s">
        <v>548</v>
      </c>
      <c r="F1705" s="16">
        <f>HYPERLINK("https://eosportal.federatedhermes.com/engagements/RW5nYWdlbWVudAppMjk0NTU=", "Responsible Tax Practices")</f>
      </c>
      <c r="G1705" s="14" t="s">
        <v>4884</v>
      </c>
      <c r="H1705" s="0" t="s">
        <v>141</v>
      </c>
      <c r="I1705" s="14" t="s">
        <v>191</v>
      </c>
      <c r="J1705" s="0" t="s">
        <v>153</v>
      </c>
      <c r="K1705" s="0" t="s">
        <v>185</v>
      </c>
      <c r="L1705" s="0" t="s">
        <v>548</v>
      </c>
      <c r="M1705" s="0" t="s">
        <v>272</v>
      </c>
      <c r="N1705" s="0" t="s">
        <v>273</v>
      </c>
      <c r="O1705" s="0" t="s">
        <v>238</v>
      </c>
      <c r="Q1705" s="0" t="s">
        <v>130</v>
      </c>
      <c r="R1705" s="0" t="s">
        <v>138</v>
      </c>
      <c r="S1705" s="14">
        <v>0</v>
      </c>
      <c r="T1705" s="0" t="s">
        <v>394</v>
      </c>
      <c r="U1705" s="0" t="s">
        <v>138</v>
      </c>
      <c r="V1705" s="14" t="s">
        <v>138</v>
      </c>
      <c r="W1705" s="0" t="s">
        <v>138</v>
      </c>
      <c r="X1705" s="14" t="s">
        <v>138</v>
      </c>
      <c r="Y1705" s="0" t="s">
        <v>138</v>
      </c>
      <c r="Z1705" s="14" t="s">
        <v>138</v>
      </c>
      <c r="AA1705" s="0" t="s">
        <v>138</v>
      </c>
      <c r="AB1705" s="14" t="s">
        <v>138</v>
      </c>
      <c r="AD1705" s="0" t="s">
        <v>138</v>
      </c>
      <c r="AF1705" s="0">
        <v>0</v>
      </c>
      <c r="AG1705" s="0">
        <v>0</v>
      </c>
      <c r="AH1705" s="0" t="s">
        <v>140</v>
      </c>
      <c r="AI1705" s="0" t="s">
        <v>138</v>
      </c>
      <c r="AL1705" s="14"/>
      <c r="AN1705" s="14"/>
      <c r="AQ1705" s="0" t="s">
        <v>130</v>
      </c>
      <c r="AR1705" s="0" t="s">
        <v>130</v>
      </c>
      <c r="AS1705" s="0" t="s">
        <v>130</v>
      </c>
      <c r="AT1705" s="0" t="s">
        <v>130</v>
      </c>
      <c r="AU1705" s="0" t="s">
        <v>130</v>
      </c>
      <c r="AV1705" s="0" t="s">
        <v>130</v>
      </c>
      <c r="AW1705" s="0" t="s">
        <v>130</v>
      </c>
      <c r="AX1705" s="0" t="s">
        <v>130</v>
      </c>
      <c r="AY1705" s="0" t="s">
        <v>130</v>
      </c>
      <c r="AZ1705" s="0" t="s">
        <v>130</v>
      </c>
      <c r="BA1705" s="0" t="s">
        <v>130</v>
      </c>
      <c r="BB1705" s="0" t="s">
        <v>130</v>
      </c>
      <c r="BC1705" s="0" t="s">
        <v>130</v>
      </c>
      <c r="BD1705" s="0" t="s">
        <v>130</v>
      </c>
      <c r="BE1705" s="0" t="s">
        <v>130</v>
      </c>
      <c r="BF1705" s="0" t="s">
        <v>130</v>
      </c>
      <c r="BG1705" s="0" t="s">
        <v>130</v>
      </c>
      <c r="BH1705" s="0" t="s">
        <v>130</v>
      </c>
      <c r="BI1705" s="0" t="s">
        <v>130</v>
      </c>
      <c r="BJ1705" s="0" t="s">
        <v>130</v>
      </c>
      <c r="BK1705" s="0" t="s">
        <v>130</v>
      </c>
      <c r="BL1705" s="0" t="s">
        <v>130</v>
      </c>
      <c r="BM1705" s="0" t="s">
        <v>130</v>
      </c>
      <c r="BN1705" s="0" t="s">
        <v>130</v>
      </c>
      <c r="BO1705" s="0" t="s">
        <v>130</v>
      </c>
      <c r="BP1705" s="0" t="s">
        <v>130</v>
      </c>
      <c r="BQ1705" s="0" t="s">
        <v>130</v>
      </c>
      <c r="BR1705" s="0" t="s">
        <v>130</v>
      </c>
      <c r="BS1705" s="0" t="s">
        <v>130</v>
      </c>
      <c r="BT1705" s="0" t="s">
        <v>130</v>
      </c>
      <c r="BU1705" s="0" t="s">
        <v>130</v>
      </c>
      <c r="BV1705" s="0" t="s">
        <v>130</v>
      </c>
      <c r="BW1705" s="0" t="s">
        <v>130</v>
      </c>
      <c r="BX1705" s="0" t="s">
        <v>130</v>
      </c>
      <c r="BY1705" s="0" t="s">
        <v>130</v>
      </c>
      <c r="BZ1705" s="0" t="s">
        <v>130</v>
      </c>
      <c r="CA1705" s="0" t="s">
        <v>130</v>
      </c>
      <c r="CB1705" s="0" t="s">
        <v>130</v>
      </c>
      <c r="CC1705" s="0" t="s">
        <v>130</v>
      </c>
      <c r="CD1705" s="0" t="s">
        <v>130</v>
      </c>
      <c r="CE1705" s="0" t="s">
        <v>130</v>
      </c>
      <c r="CF1705" s="0" t="s">
        <v>130</v>
      </c>
      <c r="CG1705" s="0" t="s">
        <v>130</v>
      </c>
      <c r="CH1705" s="0" t="s">
        <v>130</v>
      </c>
      <c r="CI1705" s="0" t="s">
        <v>130</v>
      </c>
      <c r="CJ1705" s="0" t="s">
        <v>130</v>
      </c>
      <c r="CK1705" s="0" t="s">
        <v>130</v>
      </c>
      <c r="CL1705" s="0" t="s">
        <v>130</v>
      </c>
      <c r="CM1705" s="0" t="s">
        <v>130</v>
      </c>
      <c r="CN1705" s="0" t="s">
        <v>130</v>
      </c>
      <c r="CO1705" s="0" t="s">
        <v>130</v>
      </c>
      <c r="CP1705" s="0" t="s">
        <v>130</v>
      </c>
      <c r="CQ1705" s="0" t="s">
        <v>130</v>
      </c>
      <c r="CR1705" s="0" t="s">
        <v>130</v>
      </c>
      <c r="CS1705" s="0" t="s">
        <v>130</v>
      </c>
      <c r="CT1705" s="0" t="s">
        <v>4885</v>
      </c>
    </row>
    <row r="1706">
      <c r="A1706" s="14">
        <v>111759</v>
      </c>
      <c r="B1706" s="0" t="s">
        <v>4879</v>
      </c>
      <c r="C1706" s="16">
        <f>HYPERLINK("https://eosportal.federatedhermes.com/companies/Q29tcGFueQppNjI0NzE=", "HSBC Holdings PLC")</f>
      </c>
      <c r="D1706" s="0" t="s">
        <v>25</v>
      </c>
      <c r="E1706" s="0" t="s">
        <v>993</v>
      </c>
      <c r="F1706" s="16">
        <f>HYPERLINK("https://eosportal.federatedhermes.com/engagements/RW5nYWdlbWVudAppMjk0NTY=", "Executive Remuneration - Pension Contribution")</f>
      </c>
      <c r="G1706" s="14" t="s">
        <v>4886</v>
      </c>
      <c r="H1706" s="0" t="s">
        <v>141</v>
      </c>
      <c r="I1706" s="14" t="s">
        <v>191</v>
      </c>
      <c r="J1706" s="0" t="s">
        <v>145</v>
      </c>
      <c r="K1706" s="0" t="s">
        <v>146</v>
      </c>
      <c r="L1706" s="0" t="s">
        <v>147</v>
      </c>
      <c r="M1706" s="0" t="s">
        <v>272</v>
      </c>
      <c r="N1706" s="0" t="s">
        <v>273</v>
      </c>
      <c r="O1706" s="0" t="s">
        <v>238</v>
      </c>
      <c r="Q1706" s="0" t="s">
        <v>130</v>
      </c>
      <c r="R1706" s="0" t="s">
        <v>138</v>
      </c>
      <c r="S1706" s="14">
        <v>0</v>
      </c>
      <c r="T1706" s="0" t="s">
        <v>288</v>
      </c>
      <c r="U1706" s="0" t="s">
        <v>138</v>
      </c>
      <c r="V1706" s="14" t="s">
        <v>138</v>
      </c>
      <c r="W1706" s="0" t="s">
        <v>138</v>
      </c>
      <c r="X1706" s="14" t="s">
        <v>138</v>
      </c>
      <c r="Y1706" s="0" t="s">
        <v>138</v>
      </c>
      <c r="Z1706" s="14" t="s">
        <v>138</v>
      </c>
      <c r="AA1706" s="0" t="s">
        <v>138</v>
      </c>
      <c r="AB1706" s="14" t="s">
        <v>138</v>
      </c>
      <c r="AD1706" s="0" t="s">
        <v>138</v>
      </c>
      <c r="AF1706" s="0">
        <v>0</v>
      </c>
      <c r="AG1706" s="0">
        <v>0</v>
      </c>
      <c r="AH1706" s="0" t="s">
        <v>140</v>
      </c>
      <c r="AI1706" s="0" t="s">
        <v>138</v>
      </c>
      <c r="AL1706" s="14"/>
      <c r="AN1706" s="14"/>
      <c r="AQ1706" s="0" t="s">
        <v>130</v>
      </c>
      <c r="AR1706" s="0" t="s">
        <v>130</v>
      </c>
      <c r="AS1706" s="0" t="s">
        <v>130</v>
      </c>
      <c r="AT1706" s="0" t="s">
        <v>130</v>
      </c>
      <c r="AU1706" s="0" t="s">
        <v>130</v>
      </c>
      <c r="AV1706" s="0" t="s">
        <v>130</v>
      </c>
      <c r="AW1706" s="0" t="s">
        <v>130</v>
      </c>
      <c r="AX1706" s="0" t="s">
        <v>130</v>
      </c>
      <c r="AY1706" s="0" t="s">
        <v>130</v>
      </c>
      <c r="AZ1706" s="0" t="s">
        <v>130</v>
      </c>
      <c r="BA1706" s="0" t="s">
        <v>130</v>
      </c>
      <c r="BB1706" s="0" t="s">
        <v>130</v>
      </c>
      <c r="BC1706" s="0" t="s">
        <v>130</v>
      </c>
      <c r="BD1706" s="0" t="s">
        <v>130</v>
      </c>
      <c r="BE1706" s="0" t="s">
        <v>130</v>
      </c>
      <c r="BF1706" s="0" t="s">
        <v>130</v>
      </c>
      <c r="BG1706" s="0" t="s">
        <v>130</v>
      </c>
      <c r="BH1706" s="0" t="s">
        <v>130</v>
      </c>
      <c r="BI1706" s="0" t="s">
        <v>130</v>
      </c>
      <c r="BJ1706" s="0" t="s">
        <v>130</v>
      </c>
      <c r="BK1706" s="0" t="s">
        <v>130</v>
      </c>
      <c r="BL1706" s="0" t="s">
        <v>130</v>
      </c>
      <c r="BM1706" s="0" t="s">
        <v>130</v>
      </c>
      <c r="BN1706" s="0" t="s">
        <v>130</v>
      </c>
      <c r="BO1706" s="0" t="s">
        <v>130</v>
      </c>
      <c r="BP1706" s="0" t="s">
        <v>130</v>
      </c>
      <c r="BQ1706" s="0" t="s">
        <v>130</v>
      </c>
      <c r="BR1706" s="0" t="s">
        <v>130</v>
      </c>
      <c r="BS1706" s="0" t="s">
        <v>130</v>
      </c>
      <c r="BT1706" s="0" t="s">
        <v>130</v>
      </c>
      <c r="BU1706" s="0" t="s">
        <v>130</v>
      </c>
      <c r="BV1706" s="0" t="s">
        <v>130</v>
      </c>
      <c r="BW1706" s="0" t="s">
        <v>130</v>
      </c>
      <c r="BX1706" s="0" t="s">
        <v>130</v>
      </c>
      <c r="BY1706" s="0" t="s">
        <v>130</v>
      </c>
      <c r="BZ1706" s="0" t="s">
        <v>130</v>
      </c>
      <c r="CA1706" s="0" t="s">
        <v>130</v>
      </c>
      <c r="CB1706" s="0" t="s">
        <v>130</v>
      </c>
      <c r="CC1706" s="0" t="s">
        <v>130</v>
      </c>
      <c r="CD1706" s="0" t="s">
        <v>130</v>
      </c>
      <c r="CE1706" s="0" t="s">
        <v>130</v>
      </c>
      <c r="CF1706" s="0" t="s">
        <v>130</v>
      </c>
      <c r="CG1706" s="0" t="s">
        <v>130</v>
      </c>
      <c r="CH1706" s="0" t="s">
        <v>130</v>
      </c>
      <c r="CI1706" s="0" t="s">
        <v>130</v>
      </c>
      <c r="CJ1706" s="0" t="s">
        <v>130</v>
      </c>
      <c r="CK1706" s="0" t="s">
        <v>130</v>
      </c>
      <c r="CL1706" s="0" t="s">
        <v>130</v>
      </c>
      <c r="CM1706" s="0" t="s">
        <v>130</v>
      </c>
      <c r="CN1706" s="0" t="s">
        <v>130</v>
      </c>
      <c r="CO1706" s="0" t="s">
        <v>130</v>
      </c>
      <c r="CP1706" s="0" t="s">
        <v>130</v>
      </c>
      <c r="CQ1706" s="0" t="s">
        <v>130</v>
      </c>
      <c r="CR1706" s="0" t="s">
        <v>130</v>
      </c>
      <c r="CS1706" s="0" t="s">
        <v>130</v>
      </c>
      <c r="CT1706" s="0" t="s">
        <v>4887</v>
      </c>
    </row>
    <row r="1707">
      <c r="A1707" s="14">
        <v>111759</v>
      </c>
      <c r="B1707" s="0" t="s">
        <v>4879</v>
      </c>
      <c r="C1707" s="16">
        <f>HYPERLINK("https://eosportal.federatedhermes.com/companies/Q29tcGFueQppNjI0NzE=", "HSBC Holdings PLC")</f>
      </c>
      <c r="D1707" s="0" t="s">
        <v>25</v>
      </c>
      <c r="E1707" s="0" t="s">
        <v>2686</v>
      </c>
      <c r="F1707" s="16">
        <f>HYPERLINK("https://eosportal.federatedhermes.com/engagements/RW5nYWdlbWVudAppMjk0NTc=", "Covid-19 response")</f>
      </c>
      <c r="G1707" s="14" t="s">
        <v>4888</v>
      </c>
      <c r="H1707" s="0" t="s">
        <v>141</v>
      </c>
      <c r="I1707" s="14" t="s">
        <v>191</v>
      </c>
      <c r="J1707" s="0" t="s">
        <v>132</v>
      </c>
      <c r="K1707" s="0" t="s">
        <v>260</v>
      </c>
      <c r="L1707" s="0" t="s">
        <v>261</v>
      </c>
      <c r="M1707" s="0" t="s">
        <v>272</v>
      </c>
      <c r="N1707" s="0" t="s">
        <v>273</v>
      </c>
      <c r="O1707" s="0" t="s">
        <v>238</v>
      </c>
      <c r="Q1707" s="0" t="s">
        <v>130</v>
      </c>
      <c r="R1707" s="0" t="s">
        <v>138</v>
      </c>
      <c r="S1707" s="14">
        <v>0</v>
      </c>
      <c r="T1707" s="0" t="s">
        <v>148</v>
      </c>
      <c r="U1707" s="0" t="s">
        <v>138</v>
      </c>
      <c r="V1707" s="14" t="s">
        <v>138</v>
      </c>
      <c r="W1707" s="0" t="s">
        <v>138</v>
      </c>
      <c r="X1707" s="14" t="s">
        <v>138</v>
      </c>
      <c r="Y1707" s="0" t="s">
        <v>138</v>
      </c>
      <c r="Z1707" s="14" t="s">
        <v>138</v>
      </c>
      <c r="AA1707" s="0" t="s">
        <v>138</v>
      </c>
      <c r="AB1707" s="14" t="s">
        <v>138</v>
      </c>
      <c r="AD1707" s="0" t="s">
        <v>138</v>
      </c>
      <c r="AF1707" s="0">
        <v>0</v>
      </c>
      <c r="AG1707" s="0">
        <v>0</v>
      </c>
      <c r="AH1707" s="0" t="s">
        <v>140</v>
      </c>
      <c r="AI1707" s="0" t="s">
        <v>138</v>
      </c>
      <c r="AL1707" s="14"/>
      <c r="AN1707" s="14"/>
      <c r="AQ1707" s="0" t="s">
        <v>130</v>
      </c>
      <c r="AR1707" s="0" t="s">
        <v>130</v>
      </c>
      <c r="AS1707" s="0" t="s">
        <v>130</v>
      </c>
      <c r="AT1707" s="0" t="s">
        <v>130</v>
      </c>
      <c r="AU1707" s="0" t="s">
        <v>130</v>
      </c>
      <c r="AV1707" s="0" t="s">
        <v>130</v>
      </c>
      <c r="AW1707" s="0" t="s">
        <v>130</v>
      </c>
      <c r="AX1707" s="0" t="s">
        <v>130</v>
      </c>
      <c r="AY1707" s="0" t="s">
        <v>130</v>
      </c>
      <c r="AZ1707" s="0" t="s">
        <v>130</v>
      </c>
      <c r="BA1707" s="0" t="s">
        <v>130</v>
      </c>
      <c r="BB1707" s="0" t="s">
        <v>130</v>
      </c>
      <c r="BC1707" s="0" t="s">
        <v>130</v>
      </c>
      <c r="BD1707" s="0" t="s">
        <v>130</v>
      </c>
      <c r="BE1707" s="0" t="s">
        <v>130</v>
      </c>
      <c r="BF1707" s="0" t="s">
        <v>130</v>
      </c>
      <c r="BG1707" s="0" t="s">
        <v>130</v>
      </c>
      <c r="BH1707" s="0" t="s">
        <v>130</v>
      </c>
      <c r="BI1707" s="0" t="s">
        <v>130</v>
      </c>
      <c r="BJ1707" s="0" t="s">
        <v>130</v>
      </c>
      <c r="BK1707" s="0" t="s">
        <v>130</v>
      </c>
      <c r="BL1707" s="0" t="s">
        <v>130</v>
      </c>
      <c r="BM1707" s="0" t="s">
        <v>130</v>
      </c>
      <c r="BN1707" s="0" t="s">
        <v>130</v>
      </c>
      <c r="BO1707" s="0" t="s">
        <v>130</v>
      </c>
      <c r="BP1707" s="0" t="s">
        <v>130</v>
      </c>
      <c r="BQ1707" s="0" t="s">
        <v>130</v>
      </c>
      <c r="BR1707" s="0" t="s">
        <v>130</v>
      </c>
      <c r="BS1707" s="0" t="s">
        <v>130</v>
      </c>
      <c r="BT1707" s="0" t="s">
        <v>130</v>
      </c>
      <c r="BU1707" s="0" t="s">
        <v>130</v>
      </c>
      <c r="BV1707" s="0" t="s">
        <v>130</v>
      </c>
      <c r="BW1707" s="0" t="s">
        <v>130</v>
      </c>
      <c r="BX1707" s="0" t="s">
        <v>130</v>
      </c>
      <c r="BY1707" s="0" t="s">
        <v>130</v>
      </c>
      <c r="BZ1707" s="0" t="s">
        <v>130</v>
      </c>
      <c r="CA1707" s="0" t="s">
        <v>130</v>
      </c>
      <c r="CB1707" s="0" t="s">
        <v>130</v>
      </c>
      <c r="CC1707" s="0" t="s">
        <v>130</v>
      </c>
      <c r="CD1707" s="0" t="s">
        <v>130</v>
      </c>
      <c r="CE1707" s="0" t="s">
        <v>130</v>
      </c>
      <c r="CF1707" s="0" t="s">
        <v>130</v>
      </c>
      <c r="CG1707" s="0" t="s">
        <v>130</v>
      </c>
      <c r="CH1707" s="0" t="s">
        <v>130</v>
      </c>
      <c r="CI1707" s="0" t="s">
        <v>130</v>
      </c>
      <c r="CJ1707" s="0" t="s">
        <v>130</v>
      </c>
      <c r="CK1707" s="0" t="s">
        <v>130</v>
      </c>
      <c r="CL1707" s="0" t="s">
        <v>130</v>
      </c>
      <c r="CM1707" s="0" t="s">
        <v>130</v>
      </c>
      <c r="CN1707" s="0" t="s">
        <v>130</v>
      </c>
      <c r="CO1707" s="0" t="s">
        <v>130</v>
      </c>
      <c r="CP1707" s="0" t="s">
        <v>130</v>
      </c>
      <c r="CQ1707" s="0" t="s">
        <v>130</v>
      </c>
      <c r="CR1707" s="0" t="s">
        <v>130</v>
      </c>
      <c r="CS1707" s="0" t="s">
        <v>130</v>
      </c>
      <c r="CT1707" s="0" t="s">
        <v>4889</v>
      </c>
    </row>
    <row r="1708">
      <c r="A1708" s="14">
        <v>111759</v>
      </c>
      <c r="B1708" s="0" t="s">
        <v>4879</v>
      </c>
      <c r="C1708" s="16">
        <f>HYPERLINK("https://eosportal.federatedhermes.com/companies/Q29tcGFueQppNjI0NzE=", "HSBC Holdings PLC")</f>
      </c>
      <c r="D1708" s="0" t="s">
        <v>25</v>
      </c>
      <c r="E1708" s="0" t="s">
        <v>4890</v>
      </c>
      <c r="F1708" s="16">
        <f>HYPERLINK("https://eosportal.federatedhermes.com/engagements/RW5nYWdlbWVudAppMjk0NTg=", "National security law for Hong Kong")</f>
      </c>
      <c r="G1708" s="14" t="s">
        <v>4891</v>
      </c>
      <c r="H1708" s="0" t="s">
        <v>141</v>
      </c>
      <c r="I1708" s="14" t="s">
        <v>191</v>
      </c>
      <c r="J1708" s="0" t="s">
        <v>132</v>
      </c>
      <c r="K1708" s="0" t="s">
        <v>260</v>
      </c>
      <c r="L1708" s="0" t="s">
        <v>261</v>
      </c>
      <c r="M1708" s="0" t="s">
        <v>272</v>
      </c>
      <c r="N1708" s="0" t="s">
        <v>273</v>
      </c>
      <c r="O1708" s="0" t="s">
        <v>238</v>
      </c>
      <c r="Q1708" s="0" t="s">
        <v>130</v>
      </c>
      <c r="R1708" s="0" t="s">
        <v>138</v>
      </c>
      <c r="S1708" s="14">
        <v>0</v>
      </c>
      <c r="T1708" s="0" t="s">
        <v>148</v>
      </c>
      <c r="U1708" s="0" t="s">
        <v>138</v>
      </c>
      <c r="V1708" s="14" t="s">
        <v>138</v>
      </c>
      <c r="W1708" s="0" t="s">
        <v>138</v>
      </c>
      <c r="X1708" s="14" t="s">
        <v>138</v>
      </c>
      <c r="Y1708" s="0" t="s">
        <v>138</v>
      </c>
      <c r="Z1708" s="14" t="s">
        <v>138</v>
      </c>
      <c r="AA1708" s="0" t="s">
        <v>138</v>
      </c>
      <c r="AB1708" s="14" t="s">
        <v>138</v>
      </c>
      <c r="AD1708" s="0" t="s">
        <v>138</v>
      </c>
      <c r="AF1708" s="0">
        <v>0</v>
      </c>
      <c r="AG1708" s="0">
        <v>0</v>
      </c>
      <c r="AH1708" s="0" t="s">
        <v>140</v>
      </c>
      <c r="AI1708" s="0" t="s">
        <v>138</v>
      </c>
      <c r="AL1708" s="14"/>
      <c r="AN1708" s="14"/>
      <c r="AQ1708" s="0" t="s">
        <v>130</v>
      </c>
      <c r="AR1708" s="0" t="s">
        <v>130</v>
      </c>
      <c r="AS1708" s="0" t="s">
        <v>130</v>
      </c>
      <c r="AT1708" s="0" t="s">
        <v>130</v>
      </c>
      <c r="AU1708" s="0" t="s">
        <v>130</v>
      </c>
      <c r="AV1708" s="0" t="s">
        <v>130</v>
      </c>
      <c r="AW1708" s="0" t="s">
        <v>130</v>
      </c>
      <c r="AX1708" s="0" t="s">
        <v>130</v>
      </c>
      <c r="AY1708" s="0" t="s">
        <v>130</v>
      </c>
      <c r="AZ1708" s="0" t="s">
        <v>130</v>
      </c>
      <c r="BA1708" s="0" t="s">
        <v>130</v>
      </c>
      <c r="BB1708" s="0" t="s">
        <v>130</v>
      </c>
      <c r="BC1708" s="0" t="s">
        <v>130</v>
      </c>
      <c r="BD1708" s="0" t="s">
        <v>130</v>
      </c>
      <c r="BE1708" s="0" t="s">
        <v>130</v>
      </c>
      <c r="BF1708" s="0" t="s">
        <v>130</v>
      </c>
      <c r="BG1708" s="0" t="s">
        <v>130</v>
      </c>
      <c r="BH1708" s="0" t="s">
        <v>130</v>
      </c>
      <c r="BI1708" s="0" t="s">
        <v>130</v>
      </c>
      <c r="BJ1708" s="0" t="s">
        <v>130</v>
      </c>
      <c r="BK1708" s="0" t="s">
        <v>130</v>
      </c>
      <c r="BL1708" s="0" t="s">
        <v>130</v>
      </c>
      <c r="BM1708" s="0" t="s">
        <v>130</v>
      </c>
      <c r="BN1708" s="0" t="s">
        <v>130</v>
      </c>
      <c r="BO1708" s="0" t="s">
        <v>130</v>
      </c>
      <c r="BP1708" s="0" t="s">
        <v>130</v>
      </c>
      <c r="BQ1708" s="0" t="s">
        <v>130</v>
      </c>
      <c r="BR1708" s="0" t="s">
        <v>130</v>
      </c>
      <c r="BS1708" s="0" t="s">
        <v>130</v>
      </c>
      <c r="BT1708" s="0" t="s">
        <v>130</v>
      </c>
      <c r="BU1708" s="0" t="s">
        <v>130</v>
      </c>
      <c r="BV1708" s="0" t="s">
        <v>130</v>
      </c>
      <c r="BW1708" s="0" t="s">
        <v>130</v>
      </c>
      <c r="BX1708" s="0" t="s">
        <v>130</v>
      </c>
      <c r="BY1708" s="0" t="s">
        <v>130</v>
      </c>
      <c r="BZ1708" s="0" t="s">
        <v>130</v>
      </c>
      <c r="CA1708" s="0" t="s">
        <v>130</v>
      </c>
      <c r="CB1708" s="0" t="s">
        <v>130</v>
      </c>
      <c r="CC1708" s="0" t="s">
        <v>130</v>
      </c>
      <c r="CD1708" s="0" t="s">
        <v>130</v>
      </c>
      <c r="CE1708" s="0" t="s">
        <v>130</v>
      </c>
      <c r="CF1708" s="0" t="s">
        <v>130</v>
      </c>
      <c r="CG1708" s="0" t="s">
        <v>130</v>
      </c>
      <c r="CH1708" s="0" t="s">
        <v>130</v>
      </c>
      <c r="CI1708" s="0" t="s">
        <v>130</v>
      </c>
      <c r="CJ1708" s="0" t="s">
        <v>130</v>
      </c>
      <c r="CK1708" s="0" t="s">
        <v>130</v>
      </c>
      <c r="CL1708" s="0" t="s">
        <v>130</v>
      </c>
      <c r="CM1708" s="0" t="s">
        <v>130</v>
      </c>
      <c r="CN1708" s="0" t="s">
        <v>130</v>
      </c>
      <c r="CO1708" s="0" t="s">
        <v>130</v>
      </c>
      <c r="CP1708" s="0" t="s">
        <v>130</v>
      </c>
      <c r="CQ1708" s="0" t="s">
        <v>130</v>
      </c>
      <c r="CR1708" s="0" t="s">
        <v>130</v>
      </c>
      <c r="CS1708" s="0" t="s">
        <v>130</v>
      </c>
      <c r="CT1708" s="0" t="s">
        <v>4892</v>
      </c>
    </row>
    <row r="1709">
      <c r="A1709" s="14">
        <v>111759</v>
      </c>
      <c r="B1709" s="0" t="s">
        <v>4879</v>
      </c>
      <c r="C1709" s="16">
        <f>HYPERLINK("https://eosportal.federatedhermes.com/companies/Q29tcGFueQppNjI0NzE=", "HSBC Holdings PLC")</f>
      </c>
      <c r="D1709" s="0" t="s">
        <v>25</v>
      </c>
      <c r="E1709" s="0" t="s">
        <v>4893</v>
      </c>
      <c r="F1709" s="16">
        <f>HYPERLINK("https://eosportal.federatedhermes.com/engagements/RW5nYWdlbWVudAppMjk0NjY=", "Alignment of provision of finance with the delivery of the goals of the Paris ag")</f>
      </c>
      <c r="G1709" s="14" t="s">
        <v>4894</v>
      </c>
      <c r="H1709" s="0" t="s">
        <v>141</v>
      </c>
      <c r="I1709" s="14" t="s">
        <v>191</v>
      </c>
      <c r="J1709" s="0" t="s">
        <v>197</v>
      </c>
      <c r="K1709" s="0" t="s">
        <v>198</v>
      </c>
      <c r="L1709" s="0" t="s">
        <v>216</v>
      </c>
      <c r="M1709" s="0" t="s">
        <v>272</v>
      </c>
      <c r="N1709" s="0" t="s">
        <v>273</v>
      </c>
      <c r="O1709" s="0" t="s">
        <v>238</v>
      </c>
      <c r="Q1709" s="0" t="s">
        <v>130</v>
      </c>
      <c r="R1709" s="0" t="s">
        <v>138</v>
      </c>
      <c r="S1709" s="14">
        <v>0</v>
      </c>
      <c r="T1709" s="0" t="s">
        <v>139</v>
      </c>
      <c r="U1709" s="0" t="s">
        <v>138</v>
      </c>
      <c r="V1709" s="14" t="s">
        <v>138</v>
      </c>
      <c r="W1709" s="0" t="s">
        <v>138</v>
      </c>
      <c r="X1709" s="14" t="s">
        <v>138</v>
      </c>
      <c r="Y1709" s="0" t="s">
        <v>138</v>
      </c>
      <c r="Z1709" s="14" t="s">
        <v>138</v>
      </c>
      <c r="AA1709" s="0" t="s">
        <v>138</v>
      </c>
      <c r="AB1709" s="14" t="s">
        <v>138</v>
      </c>
      <c r="AD1709" s="0" t="s">
        <v>138</v>
      </c>
      <c r="AF1709" s="0">
        <v>0</v>
      </c>
      <c r="AG1709" s="0">
        <v>0</v>
      </c>
      <c r="AH1709" s="0" t="s">
        <v>140</v>
      </c>
      <c r="AI1709" s="0" t="s">
        <v>138</v>
      </c>
      <c r="AL1709" s="14"/>
      <c r="AN1709" s="14"/>
      <c r="AQ1709" s="0" t="s">
        <v>130</v>
      </c>
      <c r="AR1709" s="0" t="s">
        <v>130</v>
      </c>
      <c r="AS1709" s="0" t="s">
        <v>130</v>
      </c>
      <c r="AT1709" s="0" t="s">
        <v>130</v>
      </c>
      <c r="AU1709" s="0" t="s">
        <v>130</v>
      </c>
      <c r="AV1709" s="0" t="s">
        <v>130</v>
      </c>
      <c r="AW1709" s="0" t="s">
        <v>141</v>
      </c>
      <c r="AX1709" s="0" t="s">
        <v>130</v>
      </c>
      <c r="AY1709" s="0" t="s">
        <v>130</v>
      </c>
      <c r="AZ1709" s="0" t="s">
        <v>130</v>
      </c>
      <c r="BA1709" s="0" t="s">
        <v>130</v>
      </c>
      <c r="BB1709" s="0" t="s">
        <v>130</v>
      </c>
      <c r="BC1709" s="0" t="s">
        <v>141</v>
      </c>
      <c r="BD1709" s="0" t="s">
        <v>130</v>
      </c>
      <c r="BE1709" s="0" t="s">
        <v>130</v>
      </c>
      <c r="BF1709" s="0" t="s">
        <v>130</v>
      </c>
      <c r="BG1709" s="0" t="s">
        <v>130</v>
      </c>
      <c r="BH1709" s="0" t="s">
        <v>141</v>
      </c>
      <c r="BI1709" s="0" t="s">
        <v>141</v>
      </c>
      <c r="BJ1709" s="0" t="s">
        <v>141</v>
      </c>
      <c r="BK1709" s="0" t="s">
        <v>130</v>
      </c>
      <c r="BL1709" s="0" t="s">
        <v>130</v>
      </c>
      <c r="BM1709" s="0" t="s">
        <v>130</v>
      </c>
      <c r="BN1709" s="0" t="s">
        <v>130</v>
      </c>
      <c r="BO1709" s="0" t="s">
        <v>130</v>
      </c>
      <c r="BP1709" s="0" t="s">
        <v>130</v>
      </c>
      <c r="BQ1709" s="0" t="s">
        <v>130</v>
      </c>
      <c r="BR1709" s="0" t="s">
        <v>130</v>
      </c>
      <c r="BS1709" s="0" t="s">
        <v>130</v>
      </c>
      <c r="BT1709" s="0" t="s">
        <v>130</v>
      </c>
      <c r="BU1709" s="0" t="s">
        <v>130</v>
      </c>
      <c r="BV1709" s="0" t="s">
        <v>141</v>
      </c>
      <c r="BW1709" s="0" t="s">
        <v>141</v>
      </c>
      <c r="BX1709" s="0" t="s">
        <v>130</v>
      </c>
      <c r="BY1709" s="0" t="s">
        <v>130</v>
      </c>
      <c r="BZ1709" s="0" t="s">
        <v>130</v>
      </c>
      <c r="CA1709" s="0" t="s">
        <v>130</v>
      </c>
      <c r="CB1709" s="0" t="s">
        <v>130</v>
      </c>
      <c r="CC1709" s="0" t="s">
        <v>130</v>
      </c>
      <c r="CD1709" s="0" t="s">
        <v>130</v>
      </c>
      <c r="CE1709" s="0" t="s">
        <v>130</v>
      </c>
      <c r="CF1709" s="0" t="s">
        <v>130</v>
      </c>
      <c r="CG1709" s="0" t="s">
        <v>130</v>
      </c>
      <c r="CH1709" s="0" t="s">
        <v>130</v>
      </c>
      <c r="CI1709" s="0" t="s">
        <v>130</v>
      </c>
      <c r="CJ1709" s="0" t="s">
        <v>130</v>
      </c>
      <c r="CK1709" s="0" t="s">
        <v>130</v>
      </c>
      <c r="CL1709" s="0" t="s">
        <v>130</v>
      </c>
      <c r="CM1709" s="0" t="s">
        <v>130</v>
      </c>
      <c r="CN1709" s="0" t="s">
        <v>130</v>
      </c>
      <c r="CO1709" s="0" t="s">
        <v>130</v>
      </c>
      <c r="CP1709" s="0" t="s">
        <v>130</v>
      </c>
      <c r="CQ1709" s="0" t="s">
        <v>130</v>
      </c>
      <c r="CR1709" s="0" t="s">
        <v>130</v>
      </c>
      <c r="CS1709" s="0" t="s">
        <v>130</v>
      </c>
      <c r="CT1709" s="0" t="s">
        <v>4895</v>
      </c>
    </row>
    <row r="1710">
      <c r="A1710" s="14">
        <v>111759</v>
      </c>
      <c r="B1710" s="0" t="s">
        <v>4879</v>
      </c>
      <c r="C1710" s="16">
        <f>HYPERLINK("https://eosportal.federatedhermes.com/companies/Q29tcGFueQppNjI0NzE=", "HSBC Holdings PLC")</f>
      </c>
      <c r="D1710" s="0" t="s">
        <v>25</v>
      </c>
      <c r="E1710" s="0" t="s">
        <v>4896</v>
      </c>
      <c r="F1710" s="16">
        <f>HYPERLINK("https://eosportal.federatedhermes.com/engagements/RW5nYWdlbWVudAppMjk0Njc=", "Gender diversity Executive Board")</f>
      </c>
      <c r="G1710" s="14" t="s">
        <v>4897</v>
      </c>
      <c r="H1710" s="0" t="s">
        <v>141</v>
      </c>
      <c r="I1710" s="14" t="s">
        <v>191</v>
      </c>
      <c r="J1710" s="0" t="s">
        <v>153</v>
      </c>
      <c r="K1710" s="0" t="s">
        <v>154</v>
      </c>
      <c r="L1710" s="0" t="s">
        <v>268</v>
      </c>
      <c r="M1710" s="0" t="s">
        <v>272</v>
      </c>
      <c r="N1710" s="0" t="s">
        <v>273</v>
      </c>
      <c r="O1710" s="0" t="s">
        <v>238</v>
      </c>
      <c r="Q1710" s="0" t="s">
        <v>130</v>
      </c>
      <c r="R1710" s="0" t="s">
        <v>138</v>
      </c>
      <c r="S1710" s="14">
        <v>0</v>
      </c>
      <c r="T1710" s="0" t="s">
        <v>193</v>
      </c>
      <c r="U1710" s="0" t="s">
        <v>138</v>
      </c>
      <c r="V1710" s="14" t="s">
        <v>138</v>
      </c>
      <c r="W1710" s="0" t="s">
        <v>138</v>
      </c>
      <c r="X1710" s="14" t="s">
        <v>138</v>
      </c>
      <c r="Y1710" s="0" t="s">
        <v>138</v>
      </c>
      <c r="Z1710" s="14" t="s">
        <v>138</v>
      </c>
      <c r="AA1710" s="0" t="s">
        <v>138</v>
      </c>
      <c r="AB1710" s="14" t="s">
        <v>138</v>
      </c>
      <c r="AD1710" s="0" t="s">
        <v>138</v>
      </c>
      <c r="AF1710" s="0">
        <v>0</v>
      </c>
      <c r="AG1710" s="0">
        <v>0</v>
      </c>
      <c r="AH1710" s="0" t="s">
        <v>140</v>
      </c>
      <c r="AI1710" s="0" t="s">
        <v>138</v>
      </c>
      <c r="AL1710" s="14"/>
      <c r="AN1710" s="14"/>
      <c r="AQ1710" s="0" t="s">
        <v>130</v>
      </c>
      <c r="AR1710" s="0" t="s">
        <v>130</v>
      </c>
      <c r="AS1710" s="0" t="s">
        <v>130</v>
      </c>
      <c r="AT1710" s="0" t="s">
        <v>130</v>
      </c>
      <c r="AU1710" s="0" t="s">
        <v>141</v>
      </c>
      <c r="AV1710" s="0" t="s">
        <v>130</v>
      </c>
      <c r="AW1710" s="0" t="s">
        <v>130</v>
      </c>
      <c r="AX1710" s="0" t="s">
        <v>130</v>
      </c>
      <c r="AY1710" s="0" t="s">
        <v>130</v>
      </c>
      <c r="AZ1710" s="0" t="s">
        <v>130</v>
      </c>
      <c r="BA1710" s="0" t="s">
        <v>130</v>
      </c>
      <c r="BB1710" s="0" t="s">
        <v>130</v>
      </c>
      <c r="BC1710" s="0" t="s">
        <v>130</v>
      </c>
      <c r="BD1710" s="0" t="s">
        <v>130</v>
      </c>
      <c r="BE1710" s="0" t="s">
        <v>130</v>
      </c>
      <c r="BF1710" s="0" t="s">
        <v>130</v>
      </c>
      <c r="BG1710" s="0" t="s">
        <v>130</v>
      </c>
      <c r="BH1710" s="0" t="s">
        <v>130</v>
      </c>
      <c r="BI1710" s="0" t="s">
        <v>130</v>
      </c>
      <c r="BJ1710" s="0" t="s">
        <v>130</v>
      </c>
      <c r="BK1710" s="0" t="s">
        <v>130</v>
      </c>
      <c r="BL1710" s="0" t="s">
        <v>130</v>
      </c>
      <c r="BM1710" s="0" t="s">
        <v>130</v>
      </c>
      <c r="BN1710" s="0" t="s">
        <v>130</v>
      </c>
      <c r="BO1710" s="0" t="s">
        <v>130</v>
      </c>
      <c r="BP1710" s="0" t="s">
        <v>130</v>
      </c>
      <c r="BQ1710" s="0" t="s">
        <v>130</v>
      </c>
      <c r="BR1710" s="0" t="s">
        <v>130</v>
      </c>
      <c r="BS1710" s="0" t="s">
        <v>130</v>
      </c>
      <c r="BT1710" s="0" t="s">
        <v>130</v>
      </c>
      <c r="BU1710" s="0" t="s">
        <v>130</v>
      </c>
      <c r="BV1710" s="0" t="s">
        <v>130</v>
      </c>
      <c r="BW1710" s="0" t="s">
        <v>130</v>
      </c>
      <c r="BX1710" s="0" t="s">
        <v>130</v>
      </c>
      <c r="BY1710" s="0" t="s">
        <v>130</v>
      </c>
      <c r="BZ1710" s="0" t="s">
        <v>130</v>
      </c>
      <c r="CA1710" s="0" t="s">
        <v>130</v>
      </c>
      <c r="CB1710" s="0" t="s">
        <v>130</v>
      </c>
      <c r="CC1710" s="0" t="s">
        <v>130</v>
      </c>
      <c r="CD1710" s="0" t="s">
        <v>130</v>
      </c>
      <c r="CE1710" s="0" t="s">
        <v>130</v>
      </c>
      <c r="CF1710" s="0" t="s">
        <v>130</v>
      </c>
      <c r="CG1710" s="0" t="s">
        <v>130</v>
      </c>
      <c r="CH1710" s="0" t="s">
        <v>130</v>
      </c>
      <c r="CI1710" s="0" t="s">
        <v>130</v>
      </c>
      <c r="CJ1710" s="0" t="s">
        <v>130</v>
      </c>
      <c r="CK1710" s="0" t="s">
        <v>141</v>
      </c>
      <c r="CL1710" s="0" t="s">
        <v>130</v>
      </c>
      <c r="CM1710" s="0" t="s">
        <v>130</v>
      </c>
      <c r="CN1710" s="0" t="s">
        <v>130</v>
      </c>
      <c r="CO1710" s="0" t="s">
        <v>130</v>
      </c>
      <c r="CP1710" s="0" t="s">
        <v>130</v>
      </c>
      <c r="CQ1710" s="0" t="s">
        <v>130</v>
      </c>
      <c r="CR1710" s="0" t="s">
        <v>130</v>
      </c>
      <c r="CS1710" s="0" t="s">
        <v>130</v>
      </c>
      <c r="CT1710" s="0" t="s">
        <v>4898</v>
      </c>
    </row>
    <row r="1711">
      <c r="A1711" s="14">
        <v>111759</v>
      </c>
      <c r="B1711" s="0" t="s">
        <v>4879</v>
      </c>
      <c r="C1711" s="16">
        <f>HYPERLINK("https://eosportal.federatedhermes.com/companies/Q29tcGFueQppNjI0NzE=", "HSBC Holdings PLC")</f>
      </c>
      <c r="D1711" s="0" t="s">
        <v>25</v>
      </c>
      <c r="E1711" s="0" t="s">
        <v>4899</v>
      </c>
      <c r="F1711" s="16">
        <f>HYPERLINK("https://eosportal.federatedhermes.com/engagements/RW5nYWdlbWVudAppMjk0Njg=", "Cyber security and data governance")</f>
      </c>
      <c r="G1711" s="14" t="s">
        <v>2693</v>
      </c>
      <c r="H1711" s="0" t="s">
        <v>141</v>
      </c>
      <c r="I1711" s="14" t="s">
        <v>191</v>
      </c>
      <c r="J1711" s="0" t="s">
        <v>132</v>
      </c>
      <c r="K1711" s="0" t="s">
        <v>260</v>
      </c>
      <c r="L1711" s="0" t="s">
        <v>261</v>
      </c>
      <c r="M1711" s="0" t="s">
        <v>272</v>
      </c>
      <c r="N1711" s="0" t="s">
        <v>273</v>
      </c>
      <c r="O1711" s="0" t="s">
        <v>238</v>
      </c>
      <c r="Q1711" s="0" t="s">
        <v>130</v>
      </c>
      <c r="R1711" s="0" t="s">
        <v>138</v>
      </c>
      <c r="S1711" s="14">
        <v>0</v>
      </c>
      <c r="T1711" s="0" t="s">
        <v>314</v>
      </c>
      <c r="U1711" s="0" t="s">
        <v>138</v>
      </c>
      <c r="V1711" s="14" t="s">
        <v>138</v>
      </c>
      <c r="W1711" s="0" t="s">
        <v>138</v>
      </c>
      <c r="X1711" s="14" t="s">
        <v>138</v>
      </c>
      <c r="Y1711" s="0" t="s">
        <v>138</v>
      </c>
      <c r="Z1711" s="14" t="s">
        <v>138</v>
      </c>
      <c r="AA1711" s="0" t="s">
        <v>138</v>
      </c>
      <c r="AB1711" s="14" t="s">
        <v>138</v>
      </c>
      <c r="AD1711" s="0" t="s">
        <v>138</v>
      </c>
      <c r="AF1711" s="0">
        <v>0</v>
      </c>
      <c r="AG1711" s="0">
        <v>0</v>
      </c>
      <c r="AH1711" s="0" t="s">
        <v>140</v>
      </c>
      <c r="AI1711" s="0" t="s">
        <v>138</v>
      </c>
      <c r="AL1711" s="14"/>
      <c r="AN1711" s="14"/>
      <c r="AQ1711" s="0" t="s">
        <v>130</v>
      </c>
      <c r="AR1711" s="0" t="s">
        <v>130</v>
      </c>
      <c r="AS1711" s="0" t="s">
        <v>130</v>
      </c>
      <c r="AT1711" s="0" t="s">
        <v>130</v>
      </c>
      <c r="AU1711" s="0" t="s">
        <v>130</v>
      </c>
      <c r="AV1711" s="0" t="s">
        <v>130</v>
      </c>
      <c r="AW1711" s="0" t="s">
        <v>130</v>
      </c>
      <c r="AX1711" s="0" t="s">
        <v>130</v>
      </c>
      <c r="AY1711" s="0" t="s">
        <v>141</v>
      </c>
      <c r="AZ1711" s="0" t="s">
        <v>130</v>
      </c>
      <c r="BA1711" s="0" t="s">
        <v>130</v>
      </c>
      <c r="BB1711" s="0" t="s">
        <v>130</v>
      </c>
      <c r="BC1711" s="0" t="s">
        <v>130</v>
      </c>
      <c r="BD1711" s="0" t="s">
        <v>130</v>
      </c>
      <c r="BE1711" s="0" t="s">
        <v>130</v>
      </c>
      <c r="BF1711" s="0" t="s">
        <v>130</v>
      </c>
      <c r="BG1711" s="0" t="s">
        <v>130</v>
      </c>
      <c r="BH1711" s="0" t="s">
        <v>130</v>
      </c>
      <c r="BI1711" s="0" t="s">
        <v>130</v>
      </c>
      <c r="BJ1711" s="0" t="s">
        <v>130</v>
      </c>
      <c r="BK1711" s="0" t="s">
        <v>130</v>
      </c>
      <c r="BL1711" s="0" t="s">
        <v>130</v>
      </c>
      <c r="BM1711" s="0" t="s">
        <v>130</v>
      </c>
      <c r="BN1711" s="0" t="s">
        <v>130</v>
      </c>
      <c r="BO1711" s="0" t="s">
        <v>130</v>
      </c>
      <c r="BP1711" s="0" t="s">
        <v>130</v>
      </c>
      <c r="BQ1711" s="0" t="s">
        <v>130</v>
      </c>
      <c r="BR1711" s="0" t="s">
        <v>130</v>
      </c>
      <c r="BS1711" s="0" t="s">
        <v>130</v>
      </c>
      <c r="BT1711" s="0" t="s">
        <v>130</v>
      </c>
      <c r="BU1711" s="0" t="s">
        <v>130</v>
      </c>
      <c r="BV1711" s="0" t="s">
        <v>130</v>
      </c>
      <c r="BW1711" s="0" t="s">
        <v>130</v>
      </c>
      <c r="BX1711" s="0" t="s">
        <v>130</v>
      </c>
      <c r="BY1711" s="0" t="s">
        <v>130</v>
      </c>
      <c r="BZ1711" s="0" t="s">
        <v>130</v>
      </c>
      <c r="CA1711" s="0" t="s">
        <v>130</v>
      </c>
      <c r="CB1711" s="0" t="s">
        <v>130</v>
      </c>
      <c r="CC1711" s="0" t="s">
        <v>130</v>
      </c>
      <c r="CD1711" s="0" t="s">
        <v>130</v>
      </c>
      <c r="CE1711" s="0" t="s">
        <v>130</v>
      </c>
      <c r="CF1711" s="0" t="s">
        <v>130</v>
      </c>
      <c r="CG1711" s="0" t="s">
        <v>130</v>
      </c>
      <c r="CH1711" s="0" t="s">
        <v>130</v>
      </c>
      <c r="CI1711" s="0" t="s">
        <v>130</v>
      </c>
      <c r="CJ1711" s="0" t="s">
        <v>130</v>
      </c>
      <c r="CK1711" s="0" t="s">
        <v>130</v>
      </c>
      <c r="CL1711" s="0" t="s">
        <v>130</v>
      </c>
      <c r="CM1711" s="0" t="s">
        <v>130</v>
      </c>
      <c r="CN1711" s="0" t="s">
        <v>130</v>
      </c>
      <c r="CO1711" s="0" t="s">
        <v>130</v>
      </c>
      <c r="CP1711" s="0" t="s">
        <v>130</v>
      </c>
      <c r="CQ1711" s="0" t="s">
        <v>130</v>
      </c>
      <c r="CR1711" s="0" t="s">
        <v>130</v>
      </c>
      <c r="CS1711" s="0" t="s">
        <v>130</v>
      </c>
      <c r="CT1711" s="0" t="s">
        <v>4900</v>
      </c>
    </row>
    <row r="1712">
      <c r="A1712" s="14">
        <v>111759</v>
      </c>
      <c r="B1712" s="0" t="s">
        <v>4879</v>
      </c>
      <c r="C1712" s="16">
        <f>HYPERLINK("https://eosportal.federatedhermes.com/companies/Q29tcGFueQppNjI0NzE=", "HSBC Holdings PLC")</f>
      </c>
      <c r="D1712" s="0" t="s">
        <v>25</v>
      </c>
      <c r="E1712" s="0" t="s">
        <v>817</v>
      </c>
      <c r="F1712" s="16">
        <f>HYPERLINK("https://eosportal.federatedhermes.com/engagements/RW5nYWdlbWVudAppMjk0NzA=", "Board Structure")</f>
      </c>
      <c r="G1712" s="14" t="s">
        <v>4901</v>
      </c>
      <c r="H1712" s="0" t="s">
        <v>141</v>
      </c>
      <c r="I1712" s="14" t="s">
        <v>191</v>
      </c>
      <c r="J1712" s="0" t="s">
        <v>145</v>
      </c>
      <c r="K1712" s="0" t="s">
        <v>164</v>
      </c>
      <c r="L1712" s="0" t="s">
        <v>165</v>
      </c>
      <c r="M1712" s="0" t="s">
        <v>272</v>
      </c>
      <c r="N1712" s="0" t="s">
        <v>273</v>
      </c>
      <c r="O1712" s="0" t="s">
        <v>238</v>
      </c>
      <c r="Q1712" s="0" t="s">
        <v>141</v>
      </c>
      <c r="R1712" s="0" t="s">
        <v>138</v>
      </c>
      <c r="S1712" s="14">
        <v>1</v>
      </c>
      <c r="T1712" s="0" t="s">
        <v>874</v>
      </c>
      <c r="U1712" s="0" t="s">
        <v>138</v>
      </c>
      <c r="V1712" s="14" t="s">
        <v>138</v>
      </c>
      <c r="W1712" s="0" t="s">
        <v>138</v>
      </c>
      <c r="X1712" s="14" t="s">
        <v>138</v>
      </c>
      <c r="Y1712" s="0" t="s">
        <v>138</v>
      </c>
      <c r="Z1712" s="14" t="s">
        <v>138</v>
      </c>
      <c r="AA1712" s="0" t="s">
        <v>138</v>
      </c>
      <c r="AB1712" s="14" t="s">
        <v>138</v>
      </c>
      <c r="AD1712" s="0" t="s">
        <v>138</v>
      </c>
      <c r="AF1712" s="0">
        <v>0</v>
      </c>
      <c r="AG1712" s="0">
        <v>0</v>
      </c>
      <c r="AH1712" s="0" t="s">
        <v>140</v>
      </c>
      <c r="AI1712" s="0" t="s">
        <v>138</v>
      </c>
      <c r="AK1712" s="0" t="s">
        <v>847</v>
      </c>
      <c r="AL1712" s="14"/>
      <c r="AN1712" s="14"/>
      <c r="AQ1712" s="0" t="s">
        <v>130</v>
      </c>
      <c r="AR1712" s="0" t="s">
        <v>130</v>
      </c>
      <c r="AS1712" s="0" t="s">
        <v>130</v>
      </c>
      <c r="AT1712" s="0" t="s">
        <v>130</v>
      </c>
      <c r="AU1712" s="0" t="s">
        <v>130</v>
      </c>
      <c r="AV1712" s="0" t="s">
        <v>130</v>
      </c>
      <c r="AW1712" s="0" t="s">
        <v>130</v>
      </c>
      <c r="AX1712" s="0" t="s">
        <v>130</v>
      </c>
      <c r="AY1712" s="0" t="s">
        <v>130</v>
      </c>
      <c r="AZ1712" s="0" t="s">
        <v>130</v>
      </c>
      <c r="BA1712" s="0" t="s">
        <v>130</v>
      </c>
      <c r="BB1712" s="0" t="s">
        <v>130</v>
      </c>
      <c r="BC1712" s="0" t="s">
        <v>130</v>
      </c>
      <c r="BD1712" s="0" t="s">
        <v>130</v>
      </c>
      <c r="BE1712" s="0" t="s">
        <v>130</v>
      </c>
      <c r="BF1712" s="0" t="s">
        <v>130</v>
      </c>
      <c r="BG1712" s="0" t="s">
        <v>130</v>
      </c>
      <c r="BH1712" s="0" t="s">
        <v>130</v>
      </c>
      <c r="BI1712" s="0" t="s">
        <v>130</v>
      </c>
      <c r="BJ1712" s="0" t="s">
        <v>130</v>
      </c>
      <c r="BK1712" s="0" t="s">
        <v>130</v>
      </c>
      <c r="BL1712" s="0" t="s">
        <v>130</v>
      </c>
      <c r="BM1712" s="0" t="s">
        <v>130</v>
      </c>
      <c r="BN1712" s="0" t="s">
        <v>130</v>
      </c>
      <c r="BO1712" s="0" t="s">
        <v>130</v>
      </c>
      <c r="BP1712" s="0" t="s">
        <v>130</v>
      </c>
      <c r="BQ1712" s="0" t="s">
        <v>130</v>
      </c>
      <c r="BR1712" s="0" t="s">
        <v>130</v>
      </c>
      <c r="BS1712" s="0" t="s">
        <v>130</v>
      </c>
      <c r="BT1712" s="0" t="s">
        <v>130</v>
      </c>
      <c r="BU1712" s="0" t="s">
        <v>130</v>
      </c>
      <c r="BV1712" s="0" t="s">
        <v>130</v>
      </c>
      <c r="BW1712" s="0" t="s">
        <v>130</v>
      </c>
      <c r="BX1712" s="0" t="s">
        <v>130</v>
      </c>
      <c r="BY1712" s="0" t="s">
        <v>130</v>
      </c>
      <c r="BZ1712" s="0" t="s">
        <v>130</v>
      </c>
      <c r="CA1712" s="0" t="s">
        <v>130</v>
      </c>
      <c r="CB1712" s="0" t="s">
        <v>130</v>
      </c>
      <c r="CC1712" s="0" t="s">
        <v>130</v>
      </c>
      <c r="CD1712" s="0" t="s">
        <v>130</v>
      </c>
      <c r="CE1712" s="0" t="s">
        <v>130</v>
      </c>
      <c r="CF1712" s="0" t="s">
        <v>130</v>
      </c>
      <c r="CG1712" s="0" t="s">
        <v>130</v>
      </c>
      <c r="CH1712" s="0" t="s">
        <v>130</v>
      </c>
      <c r="CI1712" s="0" t="s">
        <v>130</v>
      </c>
      <c r="CJ1712" s="0" t="s">
        <v>130</v>
      </c>
      <c r="CK1712" s="0" t="s">
        <v>130</v>
      </c>
      <c r="CL1712" s="0" t="s">
        <v>130</v>
      </c>
      <c r="CM1712" s="0" t="s">
        <v>130</v>
      </c>
      <c r="CN1712" s="0" t="s">
        <v>130</v>
      </c>
      <c r="CO1712" s="0" t="s">
        <v>130</v>
      </c>
      <c r="CP1712" s="0" t="s">
        <v>130</v>
      </c>
      <c r="CQ1712" s="0" t="s">
        <v>130</v>
      </c>
      <c r="CR1712" s="0" t="s">
        <v>130</v>
      </c>
      <c r="CS1712" s="0" t="s">
        <v>130</v>
      </c>
      <c r="CT1712" s="0" t="s">
        <v>4902</v>
      </c>
    </row>
    <row r="1713">
      <c r="A1713" s="14">
        <v>111759</v>
      </c>
      <c r="B1713" s="0" t="s">
        <v>4879</v>
      </c>
      <c r="C1713" s="16">
        <f>HYPERLINK("https://eosportal.federatedhermes.com/companies/Q29tcGFueQppNjI0NzE=", "HSBC Holdings PLC")</f>
      </c>
      <c r="D1713" s="0" t="s">
        <v>25</v>
      </c>
      <c r="E1713" s="0" t="s">
        <v>4903</v>
      </c>
      <c r="F1713" s="16">
        <f>HYPERLINK("https://eosportal.federatedhermes.com/engagements/RW5nYWdlbWVudAppMjk0NzE=", "Implementation of regulation to create ringfenced bank")</f>
      </c>
      <c r="G1713" s="14" t="s">
        <v>4904</v>
      </c>
      <c r="H1713" s="0" t="s">
        <v>141</v>
      </c>
      <c r="I1713" s="14" t="s">
        <v>191</v>
      </c>
      <c r="J1713" s="0" t="s">
        <v>153</v>
      </c>
      <c r="K1713" s="0" t="s">
        <v>154</v>
      </c>
      <c r="L1713" s="0" t="s">
        <v>306</v>
      </c>
      <c r="M1713" s="0" t="s">
        <v>272</v>
      </c>
      <c r="N1713" s="0" t="s">
        <v>273</v>
      </c>
      <c r="O1713" s="0" t="s">
        <v>238</v>
      </c>
      <c r="Q1713" s="0" t="s">
        <v>130</v>
      </c>
      <c r="R1713" s="0" t="s">
        <v>138</v>
      </c>
      <c r="S1713" s="14">
        <v>0</v>
      </c>
      <c r="T1713" s="0" t="s">
        <v>710</v>
      </c>
      <c r="U1713" s="0" t="s">
        <v>138</v>
      </c>
      <c r="V1713" s="14" t="s">
        <v>138</v>
      </c>
      <c r="W1713" s="0" t="s">
        <v>138</v>
      </c>
      <c r="X1713" s="14" t="s">
        <v>138</v>
      </c>
      <c r="Y1713" s="0" t="s">
        <v>138</v>
      </c>
      <c r="Z1713" s="14" t="s">
        <v>138</v>
      </c>
      <c r="AA1713" s="0" t="s">
        <v>138</v>
      </c>
      <c r="AB1713" s="14" t="s">
        <v>138</v>
      </c>
      <c r="AD1713" s="0" t="s">
        <v>138</v>
      </c>
      <c r="AF1713" s="0">
        <v>0</v>
      </c>
      <c r="AG1713" s="0">
        <v>0</v>
      </c>
      <c r="AH1713" s="0" t="s">
        <v>140</v>
      </c>
      <c r="AI1713" s="0" t="s">
        <v>138</v>
      </c>
      <c r="AL1713" s="14"/>
      <c r="AN1713" s="14"/>
      <c r="AQ1713" s="0" t="s">
        <v>130</v>
      </c>
      <c r="AR1713" s="0" t="s">
        <v>130</v>
      </c>
      <c r="AS1713" s="0" t="s">
        <v>130</v>
      </c>
      <c r="AT1713" s="0" t="s">
        <v>130</v>
      </c>
      <c r="AU1713" s="0" t="s">
        <v>130</v>
      </c>
      <c r="AV1713" s="0" t="s">
        <v>130</v>
      </c>
      <c r="AW1713" s="0" t="s">
        <v>130</v>
      </c>
      <c r="AX1713" s="0" t="s">
        <v>130</v>
      </c>
      <c r="AY1713" s="0" t="s">
        <v>130</v>
      </c>
      <c r="AZ1713" s="0" t="s">
        <v>130</v>
      </c>
      <c r="BA1713" s="0" t="s">
        <v>130</v>
      </c>
      <c r="BB1713" s="0" t="s">
        <v>130</v>
      </c>
      <c r="BC1713" s="0" t="s">
        <v>130</v>
      </c>
      <c r="BD1713" s="0" t="s">
        <v>130</v>
      </c>
      <c r="BE1713" s="0" t="s">
        <v>130</v>
      </c>
      <c r="BF1713" s="0" t="s">
        <v>130</v>
      </c>
      <c r="BG1713" s="0" t="s">
        <v>130</v>
      </c>
      <c r="BH1713" s="0" t="s">
        <v>130</v>
      </c>
      <c r="BI1713" s="0" t="s">
        <v>130</v>
      </c>
      <c r="BJ1713" s="0" t="s">
        <v>130</v>
      </c>
      <c r="BK1713" s="0" t="s">
        <v>130</v>
      </c>
      <c r="BL1713" s="0" t="s">
        <v>130</v>
      </c>
      <c r="BM1713" s="0" t="s">
        <v>130</v>
      </c>
      <c r="BN1713" s="0" t="s">
        <v>130</v>
      </c>
      <c r="BO1713" s="0" t="s">
        <v>130</v>
      </c>
      <c r="BP1713" s="0" t="s">
        <v>130</v>
      </c>
      <c r="BQ1713" s="0" t="s">
        <v>130</v>
      </c>
      <c r="BR1713" s="0" t="s">
        <v>130</v>
      </c>
      <c r="BS1713" s="0" t="s">
        <v>130</v>
      </c>
      <c r="BT1713" s="0" t="s">
        <v>130</v>
      </c>
      <c r="BU1713" s="0" t="s">
        <v>130</v>
      </c>
      <c r="BV1713" s="0" t="s">
        <v>130</v>
      </c>
      <c r="BW1713" s="0" t="s">
        <v>130</v>
      </c>
      <c r="BX1713" s="0" t="s">
        <v>130</v>
      </c>
      <c r="BY1713" s="0" t="s">
        <v>130</v>
      </c>
      <c r="BZ1713" s="0" t="s">
        <v>130</v>
      </c>
      <c r="CA1713" s="0" t="s">
        <v>130</v>
      </c>
      <c r="CB1713" s="0" t="s">
        <v>130</v>
      </c>
      <c r="CC1713" s="0" t="s">
        <v>130</v>
      </c>
      <c r="CD1713" s="0" t="s">
        <v>130</v>
      </c>
      <c r="CE1713" s="0" t="s">
        <v>130</v>
      </c>
      <c r="CF1713" s="0" t="s">
        <v>130</v>
      </c>
      <c r="CG1713" s="0" t="s">
        <v>130</v>
      </c>
      <c r="CH1713" s="0" t="s">
        <v>130</v>
      </c>
      <c r="CI1713" s="0" t="s">
        <v>130</v>
      </c>
      <c r="CJ1713" s="0" t="s">
        <v>130</v>
      </c>
      <c r="CK1713" s="0" t="s">
        <v>130</v>
      </c>
      <c r="CL1713" s="0" t="s">
        <v>130</v>
      </c>
      <c r="CM1713" s="0" t="s">
        <v>130</v>
      </c>
      <c r="CN1713" s="0" t="s">
        <v>130</v>
      </c>
      <c r="CO1713" s="0" t="s">
        <v>130</v>
      </c>
      <c r="CP1713" s="0" t="s">
        <v>130</v>
      </c>
      <c r="CQ1713" s="0" t="s">
        <v>130</v>
      </c>
      <c r="CR1713" s="0" t="s">
        <v>130</v>
      </c>
      <c r="CS1713" s="0" t="s">
        <v>130</v>
      </c>
      <c r="CT1713" s="0" t="s">
        <v>4905</v>
      </c>
    </row>
    <row r="1714">
      <c r="A1714" s="14">
        <v>111759</v>
      </c>
      <c r="B1714" s="0" t="s">
        <v>4879</v>
      </c>
      <c r="C1714" s="16">
        <f>HYPERLINK("https://eosportal.federatedhermes.com/companies/Q29tcGFueQppNjI0NzE=", "HSBC Holdings PLC")</f>
      </c>
      <c r="D1714" s="0" t="s">
        <v>25</v>
      </c>
      <c r="E1714" s="0" t="s">
        <v>4906</v>
      </c>
      <c r="F1714" s="16">
        <f>HYPERLINK("https://eosportal.federatedhermes.com/engagements/RW5nYWdlbWVudAppMjk0NzI=", "Risk reporting")</f>
      </c>
      <c r="G1714" s="14" t="s">
        <v>4906</v>
      </c>
      <c r="H1714" s="0" t="s">
        <v>141</v>
      </c>
      <c r="I1714" s="14" t="s">
        <v>191</v>
      </c>
      <c r="J1714" s="0" t="s">
        <v>132</v>
      </c>
      <c r="K1714" s="0" t="s">
        <v>260</v>
      </c>
      <c r="L1714" s="0" t="s">
        <v>261</v>
      </c>
      <c r="M1714" s="0" t="s">
        <v>272</v>
      </c>
      <c r="N1714" s="0" t="s">
        <v>273</v>
      </c>
      <c r="O1714" s="0" t="s">
        <v>238</v>
      </c>
      <c r="Q1714" s="0" t="s">
        <v>130</v>
      </c>
      <c r="R1714" s="0" t="s">
        <v>138</v>
      </c>
      <c r="S1714" s="14">
        <v>0</v>
      </c>
      <c r="T1714" s="0" t="s">
        <v>387</v>
      </c>
      <c r="U1714" s="0" t="s">
        <v>138</v>
      </c>
      <c r="V1714" s="14" t="s">
        <v>138</v>
      </c>
      <c r="W1714" s="0" t="s">
        <v>138</v>
      </c>
      <c r="X1714" s="14" t="s">
        <v>138</v>
      </c>
      <c r="Y1714" s="0" t="s">
        <v>138</v>
      </c>
      <c r="Z1714" s="14" t="s">
        <v>138</v>
      </c>
      <c r="AA1714" s="0" t="s">
        <v>138</v>
      </c>
      <c r="AB1714" s="14" t="s">
        <v>138</v>
      </c>
      <c r="AD1714" s="0" t="s">
        <v>138</v>
      </c>
      <c r="AF1714" s="0">
        <v>0</v>
      </c>
      <c r="AG1714" s="0">
        <v>0</v>
      </c>
      <c r="AH1714" s="0" t="s">
        <v>140</v>
      </c>
      <c r="AI1714" s="0" t="s">
        <v>138</v>
      </c>
      <c r="AL1714" s="14"/>
      <c r="AN1714" s="14"/>
      <c r="AQ1714" s="0" t="s">
        <v>130</v>
      </c>
      <c r="AR1714" s="0" t="s">
        <v>130</v>
      </c>
      <c r="AS1714" s="0" t="s">
        <v>130</v>
      </c>
      <c r="AT1714" s="0" t="s">
        <v>130</v>
      </c>
      <c r="AU1714" s="0" t="s">
        <v>130</v>
      </c>
      <c r="AV1714" s="0" t="s">
        <v>130</v>
      </c>
      <c r="AW1714" s="0" t="s">
        <v>130</v>
      </c>
      <c r="AX1714" s="0" t="s">
        <v>130</v>
      </c>
      <c r="AY1714" s="0" t="s">
        <v>130</v>
      </c>
      <c r="AZ1714" s="0" t="s">
        <v>130</v>
      </c>
      <c r="BA1714" s="0" t="s">
        <v>130</v>
      </c>
      <c r="BB1714" s="0" t="s">
        <v>130</v>
      </c>
      <c r="BC1714" s="0" t="s">
        <v>130</v>
      </c>
      <c r="BD1714" s="0" t="s">
        <v>130</v>
      </c>
      <c r="BE1714" s="0" t="s">
        <v>130</v>
      </c>
      <c r="BF1714" s="0" t="s">
        <v>130</v>
      </c>
      <c r="BG1714" s="0" t="s">
        <v>130</v>
      </c>
      <c r="BH1714" s="0" t="s">
        <v>130</v>
      </c>
      <c r="BI1714" s="0" t="s">
        <v>130</v>
      </c>
      <c r="BJ1714" s="0" t="s">
        <v>130</v>
      </c>
      <c r="BK1714" s="0" t="s">
        <v>130</v>
      </c>
      <c r="BL1714" s="0" t="s">
        <v>130</v>
      </c>
      <c r="BM1714" s="0" t="s">
        <v>130</v>
      </c>
      <c r="BN1714" s="0" t="s">
        <v>130</v>
      </c>
      <c r="BO1714" s="0" t="s">
        <v>130</v>
      </c>
      <c r="BP1714" s="0" t="s">
        <v>130</v>
      </c>
      <c r="BQ1714" s="0" t="s">
        <v>130</v>
      </c>
      <c r="BR1714" s="0" t="s">
        <v>130</v>
      </c>
      <c r="BS1714" s="0" t="s">
        <v>130</v>
      </c>
      <c r="BT1714" s="0" t="s">
        <v>130</v>
      </c>
      <c r="BU1714" s="0" t="s">
        <v>130</v>
      </c>
      <c r="BV1714" s="0" t="s">
        <v>130</v>
      </c>
      <c r="BW1714" s="0" t="s">
        <v>130</v>
      </c>
      <c r="BX1714" s="0" t="s">
        <v>130</v>
      </c>
      <c r="BY1714" s="0" t="s">
        <v>130</v>
      </c>
      <c r="BZ1714" s="0" t="s">
        <v>130</v>
      </c>
      <c r="CA1714" s="0" t="s">
        <v>130</v>
      </c>
      <c r="CB1714" s="0" t="s">
        <v>130</v>
      </c>
      <c r="CC1714" s="0" t="s">
        <v>130</v>
      </c>
      <c r="CD1714" s="0" t="s">
        <v>130</v>
      </c>
      <c r="CE1714" s="0" t="s">
        <v>130</v>
      </c>
      <c r="CF1714" s="0" t="s">
        <v>130</v>
      </c>
      <c r="CG1714" s="0" t="s">
        <v>130</v>
      </c>
      <c r="CH1714" s="0" t="s">
        <v>130</v>
      </c>
      <c r="CI1714" s="0" t="s">
        <v>130</v>
      </c>
      <c r="CJ1714" s="0" t="s">
        <v>130</v>
      </c>
      <c r="CK1714" s="0" t="s">
        <v>130</v>
      </c>
      <c r="CL1714" s="0" t="s">
        <v>130</v>
      </c>
      <c r="CM1714" s="0" t="s">
        <v>130</v>
      </c>
      <c r="CN1714" s="0" t="s">
        <v>130</v>
      </c>
      <c r="CO1714" s="0" t="s">
        <v>130</v>
      </c>
      <c r="CP1714" s="0" t="s">
        <v>130</v>
      </c>
      <c r="CQ1714" s="0" t="s">
        <v>130</v>
      </c>
      <c r="CR1714" s="0" t="s">
        <v>130</v>
      </c>
      <c r="CS1714" s="0" t="s">
        <v>130</v>
      </c>
      <c r="CT1714" s="0" t="s">
        <v>4907</v>
      </c>
    </row>
    <row r="1715">
      <c r="A1715" s="14">
        <v>111759</v>
      </c>
      <c r="B1715" s="0" t="s">
        <v>4879</v>
      </c>
      <c r="C1715" s="16">
        <f>HYPERLINK("https://eosportal.federatedhermes.com/companies/Q29tcGFueQppNjI0NzE=", "HSBC Holdings PLC")</f>
      </c>
      <c r="D1715" s="0" t="s">
        <v>25</v>
      </c>
      <c r="E1715" s="0" t="s">
        <v>4908</v>
      </c>
      <c r="F1715" s="16">
        <f>HYPERLINK("https://eosportal.federatedhermes.com/engagements/RW5nYWdlbWVudAppMjk0NzM=", "Pension arrangement - Midland Section HSBC Bank Pension Scheme")</f>
      </c>
      <c r="G1715" s="14" t="s">
        <v>4909</v>
      </c>
      <c r="H1715" s="0" t="s">
        <v>141</v>
      </c>
      <c r="I1715" s="14" t="s">
        <v>191</v>
      </c>
      <c r="J1715" s="0" t="s">
        <v>132</v>
      </c>
      <c r="K1715" s="0" t="s">
        <v>133</v>
      </c>
      <c r="L1715" s="0" t="s">
        <v>160</v>
      </c>
      <c r="M1715" s="0" t="s">
        <v>272</v>
      </c>
      <c r="N1715" s="0" t="s">
        <v>273</v>
      </c>
      <c r="O1715" s="0" t="s">
        <v>238</v>
      </c>
      <c r="Q1715" s="0" t="s">
        <v>130</v>
      </c>
      <c r="R1715" s="0" t="s">
        <v>138</v>
      </c>
      <c r="S1715" s="14">
        <v>0</v>
      </c>
      <c r="T1715" s="0" t="s">
        <v>166</v>
      </c>
      <c r="U1715" s="0" t="s">
        <v>138</v>
      </c>
      <c r="V1715" s="14" t="s">
        <v>138</v>
      </c>
      <c r="W1715" s="0" t="s">
        <v>138</v>
      </c>
      <c r="X1715" s="14" t="s">
        <v>138</v>
      </c>
      <c r="Y1715" s="0" t="s">
        <v>138</v>
      </c>
      <c r="Z1715" s="14" t="s">
        <v>138</v>
      </c>
      <c r="AA1715" s="0" t="s">
        <v>138</v>
      </c>
      <c r="AB1715" s="14" t="s">
        <v>138</v>
      </c>
      <c r="AD1715" s="0" t="s">
        <v>138</v>
      </c>
      <c r="AF1715" s="0">
        <v>0</v>
      </c>
      <c r="AG1715" s="0">
        <v>0</v>
      </c>
      <c r="AH1715" s="0" t="s">
        <v>140</v>
      </c>
      <c r="AI1715" s="0" t="s">
        <v>138</v>
      </c>
      <c r="AL1715" s="14"/>
      <c r="AN1715" s="14"/>
      <c r="AQ1715" s="0" t="s">
        <v>130</v>
      </c>
      <c r="AR1715" s="0" t="s">
        <v>130</v>
      </c>
      <c r="AS1715" s="0" t="s">
        <v>130</v>
      </c>
      <c r="AT1715" s="0" t="s">
        <v>130</v>
      </c>
      <c r="AU1715" s="0" t="s">
        <v>130</v>
      </c>
      <c r="AV1715" s="0" t="s">
        <v>130</v>
      </c>
      <c r="AW1715" s="0" t="s">
        <v>130</v>
      </c>
      <c r="AX1715" s="0" t="s">
        <v>130</v>
      </c>
      <c r="AY1715" s="0" t="s">
        <v>130</v>
      </c>
      <c r="AZ1715" s="0" t="s">
        <v>130</v>
      </c>
      <c r="BA1715" s="0" t="s">
        <v>130</v>
      </c>
      <c r="BB1715" s="0" t="s">
        <v>130</v>
      </c>
      <c r="BC1715" s="0" t="s">
        <v>130</v>
      </c>
      <c r="BD1715" s="0" t="s">
        <v>130</v>
      </c>
      <c r="BE1715" s="0" t="s">
        <v>130</v>
      </c>
      <c r="BF1715" s="0" t="s">
        <v>130</v>
      </c>
      <c r="BG1715" s="0" t="s">
        <v>130</v>
      </c>
      <c r="BH1715" s="0" t="s">
        <v>130</v>
      </c>
      <c r="BI1715" s="0" t="s">
        <v>130</v>
      </c>
      <c r="BJ1715" s="0" t="s">
        <v>130</v>
      </c>
      <c r="BK1715" s="0" t="s">
        <v>130</v>
      </c>
      <c r="BL1715" s="0" t="s">
        <v>130</v>
      </c>
      <c r="BM1715" s="0" t="s">
        <v>130</v>
      </c>
      <c r="BN1715" s="0" t="s">
        <v>130</v>
      </c>
      <c r="BO1715" s="0" t="s">
        <v>130</v>
      </c>
      <c r="BP1715" s="0" t="s">
        <v>130</v>
      </c>
      <c r="BQ1715" s="0" t="s">
        <v>130</v>
      </c>
      <c r="BR1715" s="0" t="s">
        <v>130</v>
      </c>
      <c r="BS1715" s="0" t="s">
        <v>130</v>
      </c>
      <c r="BT1715" s="0" t="s">
        <v>130</v>
      </c>
      <c r="BU1715" s="0" t="s">
        <v>130</v>
      </c>
      <c r="BV1715" s="0" t="s">
        <v>130</v>
      </c>
      <c r="BW1715" s="0" t="s">
        <v>130</v>
      </c>
      <c r="BX1715" s="0" t="s">
        <v>130</v>
      </c>
      <c r="BY1715" s="0" t="s">
        <v>130</v>
      </c>
      <c r="BZ1715" s="0" t="s">
        <v>130</v>
      </c>
      <c r="CA1715" s="0" t="s">
        <v>130</v>
      </c>
      <c r="CB1715" s="0" t="s">
        <v>130</v>
      </c>
      <c r="CC1715" s="0" t="s">
        <v>130</v>
      </c>
      <c r="CD1715" s="0" t="s">
        <v>130</v>
      </c>
      <c r="CE1715" s="0" t="s">
        <v>130</v>
      </c>
      <c r="CF1715" s="0" t="s">
        <v>130</v>
      </c>
      <c r="CG1715" s="0" t="s">
        <v>130</v>
      </c>
      <c r="CH1715" s="0" t="s">
        <v>130</v>
      </c>
      <c r="CI1715" s="0" t="s">
        <v>130</v>
      </c>
      <c r="CJ1715" s="0" t="s">
        <v>130</v>
      </c>
      <c r="CK1715" s="0" t="s">
        <v>130</v>
      </c>
      <c r="CL1715" s="0" t="s">
        <v>130</v>
      </c>
      <c r="CM1715" s="0" t="s">
        <v>130</v>
      </c>
      <c r="CN1715" s="0" t="s">
        <v>130</v>
      </c>
      <c r="CO1715" s="0" t="s">
        <v>130</v>
      </c>
      <c r="CP1715" s="0" t="s">
        <v>130</v>
      </c>
      <c r="CQ1715" s="0" t="s">
        <v>130</v>
      </c>
      <c r="CR1715" s="0" t="s">
        <v>130</v>
      </c>
      <c r="CS1715" s="0" t="s">
        <v>130</v>
      </c>
      <c r="CT1715" s="0" t="s">
        <v>4910</v>
      </c>
    </row>
    <row r="1716">
      <c r="A1716" s="14">
        <v>111759</v>
      </c>
      <c r="B1716" s="0" t="s">
        <v>4879</v>
      </c>
      <c r="C1716" s="16">
        <f>HYPERLINK("https://eosportal.federatedhermes.com/companies/Q29tcGFueQppNjI0NzE=", "HSBC Holdings PLC")</f>
      </c>
      <c r="D1716" s="0" t="s">
        <v>25</v>
      </c>
      <c r="E1716" s="0" t="s">
        <v>982</v>
      </c>
      <c r="F1716" s="16">
        <f>HYPERLINK("https://eosportal.federatedhermes.com/engagements/RW5nYWdlbWVudAppMjk0NzQ=", "Remuneration aligned with risk and performance")</f>
      </c>
      <c r="G1716" s="14" t="s">
        <v>4911</v>
      </c>
      <c r="H1716" s="0" t="s">
        <v>141</v>
      </c>
      <c r="I1716" s="14" t="s">
        <v>191</v>
      </c>
      <c r="J1716" s="0" t="s">
        <v>145</v>
      </c>
      <c r="K1716" s="0" t="s">
        <v>146</v>
      </c>
      <c r="L1716" s="0" t="s">
        <v>147</v>
      </c>
      <c r="M1716" s="0" t="s">
        <v>272</v>
      </c>
      <c r="N1716" s="0" t="s">
        <v>273</v>
      </c>
      <c r="O1716" s="0" t="s">
        <v>238</v>
      </c>
      <c r="Q1716" s="0" t="s">
        <v>130</v>
      </c>
      <c r="R1716" s="0" t="s">
        <v>138</v>
      </c>
      <c r="S1716" s="14">
        <v>0</v>
      </c>
      <c r="T1716" s="0" t="s">
        <v>710</v>
      </c>
      <c r="U1716" s="0" t="s">
        <v>138</v>
      </c>
      <c r="V1716" s="14" t="s">
        <v>138</v>
      </c>
      <c r="W1716" s="0" t="s">
        <v>138</v>
      </c>
      <c r="X1716" s="14" t="s">
        <v>138</v>
      </c>
      <c r="Y1716" s="0" t="s">
        <v>138</v>
      </c>
      <c r="Z1716" s="14" t="s">
        <v>138</v>
      </c>
      <c r="AA1716" s="0" t="s">
        <v>138</v>
      </c>
      <c r="AB1716" s="14" t="s">
        <v>138</v>
      </c>
      <c r="AD1716" s="0" t="s">
        <v>138</v>
      </c>
      <c r="AF1716" s="0">
        <v>0</v>
      </c>
      <c r="AG1716" s="0">
        <v>0</v>
      </c>
      <c r="AH1716" s="0" t="s">
        <v>140</v>
      </c>
      <c r="AI1716" s="0" t="s">
        <v>138</v>
      </c>
      <c r="AL1716" s="14"/>
      <c r="AN1716" s="14"/>
      <c r="AQ1716" s="0" t="s">
        <v>130</v>
      </c>
      <c r="AR1716" s="0" t="s">
        <v>130</v>
      </c>
      <c r="AS1716" s="0" t="s">
        <v>130</v>
      </c>
      <c r="AT1716" s="0" t="s">
        <v>130</v>
      </c>
      <c r="AU1716" s="0" t="s">
        <v>130</v>
      </c>
      <c r="AV1716" s="0" t="s">
        <v>130</v>
      </c>
      <c r="AW1716" s="0" t="s">
        <v>130</v>
      </c>
      <c r="AX1716" s="0" t="s">
        <v>130</v>
      </c>
      <c r="AY1716" s="0" t="s">
        <v>130</v>
      </c>
      <c r="AZ1716" s="0" t="s">
        <v>130</v>
      </c>
      <c r="BA1716" s="0" t="s">
        <v>130</v>
      </c>
      <c r="BB1716" s="0" t="s">
        <v>130</v>
      </c>
      <c r="BC1716" s="0" t="s">
        <v>130</v>
      </c>
      <c r="BD1716" s="0" t="s">
        <v>130</v>
      </c>
      <c r="BE1716" s="0" t="s">
        <v>130</v>
      </c>
      <c r="BF1716" s="0" t="s">
        <v>130</v>
      </c>
      <c r="BG1716" s="0" t="s">
        <v>130</v>
      </c>
      <c r="BH1716" s="0" t="s">
        <v>130</v>
      </c>
      <c r="BI1716" s="0" t="s">
        <v>130</v>
      </c>
      <c r="BJ1716" s="0" t="s">
        <v>130</v>
      </c>
      <c r="BK1716" s="0" t="s">
        <v>130</v>
      </c>
      <c r="BL1716" s="0" t="s">
        <v>130</v>
      </c>
      <c r="BM1716" s="0" t="s">
        <v>130</v>
      </c>
      <c r="BN1716" s="0" t="s">
        <v>130</v>
      </c>
      <c r="BO1716" s="0" t="s">
        <v>130</v>
      </c>
      <c r="BP1716" s="0" t="s">
        <v>130</v>
      </c>
      <c r="BQ1716" s="0" t="s">
        <v>130</v>
      </c>
      <c r="BR1716" s="0" t="s">
        <v>130</v>
      </c>
      <c r="BS1716" s="0" t="s">
        <v>130</v>
      </c>
      <c r="BT1716" s="0" t="s">
        <v>130</v>
      </c>
      <c r="BU1716" s="0" t="s">
        <v>130</v>
      </c>
      <c r="BV1716" s="0" t="s">
        <v>130</v>
      </c>
      <c r="BW1716" s="0" t="s">
        <v>130</v>
      </c>
      <c r="BX1716" s="0" t="s">
        <v>130</v>
      </c>
      <c r="BY1716" s="0" t="s">
        <v>130</v>
      </c>
      <c r="BZ1716" s="0" t="s">
        <v>130</v>
      </c>
      <c r="CA1716" s="0" t="s">
        <v>130</v>
      </c>
      <c r="CB1716" s="0" t="s">
        <v>130</v>
      </c>
      <c r="CC1716" s="0" t="s">
        <v>130</v>
      </c>
      <c r="CD1716" s="0" t="s">
        <v>130</v>
      </c>
      <c r="CE1716" s="0" t="s">
        <v>130</v>
      </c>
      <c r="CF1716" s="0" t="s">
        <v>130</v>
      </c>
      <c r="CG1716" s="0" t="s">
        <v>130</v>
      </c>
      <c r="CH1716" s="0" t="s">
        <v>130</v>
      </c>
      <c r="CI1716" s="0" t="s">
        <v>130</v>
      </c>
      <c r="CJ1716" s="0" t="s">
        <v>130</v>
      </c>
      <c r="CK1716" s="0" t="s">
        <v>130</v>
      </c>
      <c r="CL1716" s="0" t="s">
        <v>130</v>
      </c>
      <c r="CM1716" s="0" t="s">
        <v>130</v>
      </c>
      <c r="CN1716" s="0" t="s">
        <v>130</v>
      </c>
      <c r="CO1716" s="0" t="s">
        <v>130</v>
      </c>
      <c r="CP1716" s="0" t="s">
        <v>130</v>
      </c>
      <c r="CQ1716" s="0" t="s">
        <v>130</v>
      </c>
      <c r="CR1716" s="0" t="s">
        <v>130</v>
      </c>
      <c r="CS1716" s="0" t="s">
        <v>130</v>
      </c>
      <c r="CT1716" s="0" t="s">
        <v>4912</v>
      </c>
    </row>
    <row r="1717">
      <c r="A1717" s="14">
        <v>112319</v>
      </c>
      <c r="B1717" s="0" t="s">
        <v>4913</v>
      </c>
      <c r="C1717" s="16">
        <f>HYPERLINK("https://eosportal.federatedhermes.com/companies/Q29tcGFueQppNjI0NzU=", "Standard Chartered PLC")</f>
      </c>
      <c r="D1717" s="0" t="s">
        <v>25</v>
      </c>
      <c r="E1717" s="0" t="s">
        <v>4914</v>
      </c>
      <c r="F1717" s="16">
        <f>HYPERLINK("https://eosportal.federatedhermes.com/engagements/RW5nYWdlbWVudAppMjk0NzU=", "Test strategy of bank")</f>
      </c>
      <c r="G1717" s="14" t="s">
        <v>4915</v>
      </c>
      <c r="H1717" s="0" t="s">
        <v>141</v>
      </c>
      <c r="I1717" s="14" t="s">
        <v>191</v>
      </c>
      <c r="J1717" s="0" t="s">
        <v>132</v>
      </c>
      <c r="K1717" s="0" t="s">
        <v>260</v>
      </c>
      <c r="L1717" s="0" t="s">
        <v>261</v>
      </c>
      <c r="M1717" s="0" t="s">
        <v>272</v>
      </c>
      <c r="N1717" s="0" t="s">
        <v>273</v>
      </c>
      <c r="O1717" s="0" t="s">
        <v>238</v>
      </c>
      <c r="Q1717" s="0" t="s">
        <v>130</v>
      </c>
      <c r="R1717" s="0" t="s">
        <v>138</v>
      </c>
      <c r="S1717" s="14">
        <v>0</v>
      </c>
      <c r="T1717" s="0" t="s">
        <v>874</v>
      </c>
      <c r="U1717" s="0" t="s">
        <v>138</v>
      </c>
      <c r="V1717" s="14" t="s">
        <v>138</v>
      </c>
      <c r="W1717" s="0" t="s">
        <v>138</v>
      </c>
      <c r="X1717" s="14" t="s">
        <v>138</v>
      </c>
      <c r="Y1717" s="0" t="s">
        <v>138</v>
      </c>
      <c r="Z1717" s="14" t="s">
        <v>138</v>
      </c>
      <c r="AA1717" s="0" t="s">
        <v>138</v>
      </c>
      <c r="AB1717" s="14" t="s">
        <v>138</v>
      </c>
      <c r="AD1717" s="0" t="s">
        <v>138</v>
      </c>
      <c r="AF1717" s="0">
        <v>0</v>
      </c>
      <c r="AG1717" s="0">
        <v>0</v>
      </c>
      <c r="AH1717" s="0" t="s">
        <v>140</v>
      </c>
      <c r="AI1717" s="0" t="s">
        <v>138</v>
      </c>
      <c r="AL1717" s="14"/>
      <c r="AN1717" s="14"/>
      <c r="AQ1717" s="0" t="s">
        <v>130</v>
      </c>
      <c r="AR1717" s="0" t="s">
        <v>130</v>
      </c>
      <c r="AS1717" s="0" t="s">
        <v>130</v>
      </c>
      <c r="AT1717" s="0" t="s">
        <v>130</v>
      </c>
      <c r="AU1717" s="0" t="s">
        <v>130</v>
      </c>
      <c r="AV1717" s="0" t="s">
        <v>130</v>
      </c>
      <c r="AW1717" s="0" t="s">
        <v>130</v>
      </c>
      <c r="AX1717" s="0" t="s">
        <v>130</v>
      </c>
      <c r="AY1717" s="0" t="s">
        <v>130</v>
      </c>
      <c r="AZ1717" s="0" t="s">
        <v>130</v>
      </c>
      <c r="BA1717" s="0" t="s">
        <v>130</v>
      </c>
      <c r="BB1717" s="0" t="s">
        <v>130</v>
      </c>
      <c r="BC1717" s="0" t="s">
        <v>130</v>
      </c>
      <c r="BD1717" s="0" t="s">
        <v>130</v>
      </c>
      <c r="BE1717" s="0" t="s">
        <v>130</v>
      </c>
      <c r="BF1717" s="0" t="s">
        <v>130</v>
      </c>
      <c r="BG1717" s="0" t="s">
        <v>130</v>
      </c>
      <c r="BH1717" s="0" t="s">
        <v>130</v>
      </c>
      <c r="BI1717" s="0" t="s">
        <v>130</v>
      </c>
      <c r="BJ1717" s="0" t="s">
        <v>130</v>
      </c>
      <c r="BK1717" s="0" t="s">
        <v>130</v>
      </c>
      <c r="BL1717" s="0" t="s">
        <v>130</v>
      </c>
      <c r="BM1717" s="0" t="s">
        <v>130</v>
      </c>
      <c r="BN1717" s="0" t="s">
        <v>130</v>
      </c>
      <c r="BO1717" s="0" t="s">
        <v>130</v>
      </c>
      <c r="BP1717" s="0" t="s">
        <v>130</v>
      </c>
      <c r="BQ1717" s="0" t="s">
        <v>130</v>
      </c>
      <c r="BR1717" s="0" t="s">
        <v>130</v>
      </c>
      <c r="BS1717" s="0" t="s">
        <v>130</v>
      </c>
      <c r="BT1717" s="0" t="s">
        <v>130</v>
      </c>
      <c r="BU1717" s="0" t="s">
        <v>130</v>
      </c>
      <c r="BV1717" s="0" t="s">
        <v>130</v>
      </c>
      <c r="BW1717" s="0" t="s">
        <v>130</v>
      </c>
      <c r="BX1717" s="0" t="s">
        <v>130</v>
      </c>
      <c r="BY1717" s="0" t="s">
        <v>130</v>
      </c>
      <c r="BZ1717" s="0" t="s">
        <v>130</v>
      </c>
      <c r="CA1717" s="0" t="s">
        <v>130</v>
      </c>
      <c r="CB1717" s="0" t="s">
        <v>130</v>
      </c>
      <c r="CC1717" s="0" t="s">
        <v>130</v>
      </c>
      <c r="CD1717" s="0" t="s">
        <v>130</v>
      </c>
      <c r="CE1717" s="0" t="s">
        <v>130</v>
      </c>
      <c r="CF1717" s="0" t="s">
        <v>130</v>
      </c>
      <c r="CG1717" s="0" t="s">
        <v>130</v>
      </c>
      <c r="CH1717" s="0" t="s">
        <v>130</v>
      </c>
      <c r="CI1717" s="0" t="s">
        <v>130</v>
      </c>
      <c r="CJ1717" s="0" t="s">
        <v>130</v>
      </c>
      <c r="CK1717" s="0" t="s">
        <v>130</v>
      </c>
      <c r="CL1717" s="0" t="s">
        <v>130</v>
      </c>
      <c r="CM1717" s="0" t="s">
        <v>130</v>
      </c>
      <c r="CN1717" s="0" t="s">
        <v>130</v>
      </c>
      <c r="CO1717" s="0" t="s">
        <v>130</v>
      </c>
      <c r="CP1717" s="0" t="s">
        <v>130</v>
      </c>
      <c r="CQ1717" s="0" t="s">
        <v>130</v>
      </c>
      <c r="CR1717" s="0" t="s">
        <v>130</v>
      </c>
      <c r="CS1717" s="0" t="s">
        <v>130</v>
      </c>
      <c r="CT1717" s="0" t="s">
        <v>4916</v>
      </c>
    </row>
    <row r="1718">
      <c r="A1718" s="14">
        <v>112319</v>
      </c>
      <c r="B1718" s="0" t="s">
        <v>4913</v>
      </c>
      <c r="C1718" s="16">
        <f>HYPERLINK("https://eosportal.federatedhermes.com/companies/Q29tcGFueQppNjI0NzU=", "Standard Chartered PLC")</f>
      </c>
      <c r="D1718" s="0" t="s">
        <v>25</v>
      </c>
      <c r="E1718" s="0" t="s">
        <v>4917</v>
      </c>
      <c r="F1718" s="16">
        <f>HYPERLINK("https://eosportal.federatedhermes.com/engagements/RW5nYWdlbWVudAppMjk0NzY=", "Test resilience of bank's capital")</f>
      </c>
      <c r="G1718" s="14"/>
      <c r="H1718" s="0" t="s">
        <v>141</v>
      </c>
      <c r="I1718" s="14" t="s">
        <v>191</v>
      </c>
      <c r="J1718" s="0" t="s">
        <v>153</v>
      </c>
      <c r="K1718" s="0" t="s">
        <v>154</v>
      </c>
      <c r="L1718" s="0" t="s">
        <v>306</v>
      </c>
      <c r="M1718" s="0" t="s">
        <v>272</v>
      </c>
      <c r="N1718" s="0" t="s">
        <v>273</v>
      </c>
      <c r="O1718" s="0" t="s">
        <v>238</v>
      </c>
      <c r="Q1718" s="0" t="s">
        <v>130</v>
      </c>
      <c r="R1718" s="0" t="s">
        <v>138</v>
      </c>
      <c r="S1718" s="14">
        <v>0</v>
      </c>
      <c r="T1718" s="0" t="s">
        <v>874</v>
      </c>
      <c r="U1718" s="0" t="s">
        <v>138</v>
      </c>
      <c r="V1718" s="14" t="s">
        <v>138</v>
      </c>
      <c r="W1718" s="0" t="s">
        <v>138</v>
      </c>
      <c r="X1718" s="14" t="s">
        <v>138</v>
      </c>
      <c r="Y1718" s="0" t="s">
        <v>138</v>
      </c>
      <c r="Z1718" s="14" t="s">
        <v>138</v>
      </c>
      <c r="AA1718" s="0" t="s">
        <v>138</v>
      </c>
      <c r="AB1718" s="14" t="s">
        <v>138</v>
      </c>
      <c r="AD1718" s="0" t="s">
        <v>138</v>
      </c>
      <c r="AF1718" s="0">
        <v>0</v>
      </c>
      <c r="AG1718" s="0">
        <v>0</v>
      </c>
      <c r="AH1718" s="0" t="s">
        <v>140</v>
      </c>
      <c r="AI1718" s="0" t="s">
        <v>138</v>
      </c>
      <c r="AL1718" s="14"/>
      <c r="AN1718" s="14"/>
      <c r="AQ1718" s="0" t="s">
        <v>130</v>
      </c>
      <c r="AR1718" s="0" t="s">
        <v>130</v>
      </c>
      <c r="AS1718" s="0" t="s">
        <v>130</v>
      </c>
      <c r="AT1718" s="0" t="s">
        <v>130</v>
      </c>
      <c r="AU1718" s="0" t="s">
        <v>130</v>
      </c>
      <c r="AV1718" s="0" t="s">
        <v>130</v>
      </c>
      <c r="AW1718" s="0" t="s">
        <v>130</v>
      </c>
      <c r="AX1718" s="0" t="s">
        <v>130</v>
      </c>
      <c r="AY1718" s="0" t="s">
        <v>130</v>
      </c>
      <c r="AZ1718" s="0" t="s">
        <v>130</v>
      </c>
      <c r="BA1718" s="0" t="s">
        <v>130</v>
      </c>
      <c r="BB1718" s="0" t="s">
        <v>130</v>
      </c>
      <c r="BC1718" s="0" t="s">
        <v>130</v>
      </c>
      <c r="BD1718" s="0" t="s">
        <v>130</v>
      </c>
      <c r="BE1718" s="0" t="s">
        <v>130</v>
      </c>
      <c r="BF1718" s="0" t="s">
        <v>130</v>
      </c>
      <c r="BG1718" s="0" t="s">
        <v>130</v>
      </c>
      <c r="BH1718" s="0" t="s">
        <v>130</v>
      </c>
      <c r="BI1718" s="0" t="s">
        <v>130</v>
      </c>
      <c r="BJ1718" s="0" t="s">
        <v>130</v>
      </c>
      <c r="BK1718" s="0" t="s">
        <v>130</v>
      </c>
      <c r="BL1718" s="0" t="s">
        <v>130</v>
      </c>
      <c r="BM1718" s="0" t="s">
        <v>130</v>
      </c>
      <c r="BN1718" s="0" t="s">
        <v>130</v>
      </c>
      <c r="BO1718" s="0" t="s">
        <v>130</v>
      </c>
      <c r="BP1718" s="0" t="s">
        <v>130</v>
      </c>
      <c r="BQ1718" s="0" t="s">
        <v>130</v>
      </c>
      <c r="BR1718" s="0" t="s">
        <v>130</v>
      </c>
      <c r="BS1718" s="0" t="s">
        <v>130</v>
      </c>
      <c r="BT1718" s="0" t="s">
        <v>130</v>
      </c>
      <c r="BU1718" s="0" t="s">
        <v>130</v>
      </c>
      <c r="BV1718" s="0" t="s">
        <v>130</v>
      </c>
      <c r="BW1718" s="0" t="s">
        <v>130</v>
      </c>
      <c r="BX1718" s="0" t="s">
        <v>130</v>
      </c>
      <c r="BY1718" s="0" t="s">
        <v>130</v>
      </c>
      <c r="BZ1718" s="0" t="s">
        <v>130</v>
      </c>
      <c r="CA1718" s="0" t="s">
        <v>130</v>
      </c>
      <c r="CB1718" s="0" t="s">
        <v>130</v>
      </c>
      <c r="CC1718" s="0" t="s">
        <v>130</v>
      </c>
      <c r="CD1718" s="0" t="s">
        <v>130</v>
      </c>
      <c r="CE1718" s="0" t="s">
        <v>130</v>
      </c>
      <c r="CF1718" s="0" t="s">
        <v>130</v>
      </c>
      <c r="CG1718" s="0" t="s">
        <v>130</v>
      </c>
      <c r="CH1718" s="0" t="s">
        <v>130</v>
      </c>
      <c r="CI1718" s="0" t="s">
        <v>130</v>
      </c>
      <c r="CJ1718" s="0" t="s">
        <v>130</v>
      </c>
      <c r="CK1718" s="0" t="s">
        <v>130</v>
      </c>
      <c r="CL1718" s="0" t="s">
        <v>130</v>
      </c>
      <c r="CM1718" s="0" t="s">
        <v>130</v>
      </c>
      <c r="CN1718" s="0" t="s">
        <v>130</v>
      </c>
      <c r="CO1718" s="0" t="s">
        <v>130</v>
      </c>
      <c r="CP1718" s="0" t="s">
        <v>130</v>
      </c>
      <c r="CQ1718" s="0" t="s">
        <v>130</v>
      </c>
      <c r="CR1718" s="0" t="s">
        <v>130</v>
      </c>
      <c r="CS1718" s="0" t="s">
        <v>130</v>
      </c>
      <c r="CT1718" s="0" t="s">
        <v>4918</v>
      </c>
    </row>
    <row r="1719">
      <c r="A1719" s="14">
        <v>112319</v>
      </c>
      <c r="B1719" s="0" t="s">
        <v>4913</v>
      </c>
      <c r="C1719" s="16">
        <f>HYPERLINK("https://eosportal.federatedhermes.com/companies/Q29tcGFueQppNjI0NzU=", "Standard Chartered PLC")</f>
      </c>
      <c r="D1719" s="0" t="s">
        <v>25</v>
      </c>
      <c r="E1719" s="0" t="s">
        <v>1143</v>
      </c>
      <c r="F1719" s="16">
        <f>HYPERLINK("https://eosportal.federatedhermes.com/engagements/RW5nYWdlbWVudAppMjk0Nzc=", "Corporate Culture")</f>
      </c>
      <c r="G1719" s="14" t="s">
        <v>298</v>
      </c>
      <c r="H1719" s="0" t="s">
        <v>141</v>
      </c>
      <c r="I1719" s="14" t="s">
        <v>191</v>
      </c>
      <c r="J1719" s="0" t="s">
        <v>153</v>
      </c>
      <c r="K1719" s="0" t="s">
        <v>185</v>
      </c>
      <c r="L1719" s="0" t="s">
        <v>186</v>
      </c>
      <c r="M1719" s="0" t="s">
        <v>272</v>
      </c>
      <c r="N1719" s="0" t="s">
        <v>273</v>
      </c>
      <c r="O1719" s="0" t="s">
        <v>238</v>
      </c>
      <c r="Q1719" s="0" t="s">
        <v>141</v>
      </c>
      <c r="R1719" s="0" t="s">
        <v>138</v>
      </c>
      <c r="S1719" s="14">
        <v>1</v>
      </c>
      <c r="T1719" s="0" t="s">
        <v>1529</v>
      </c>
      <c r="U1719" s="0" t="s">
        <v>138</v>
      </c>
      <c r="V1719" s="14" t="s">
        <v>138</v>
      </c>
      <c r="W1719" s="0" t="s">
        <v>138</v>
      </c>
      <c r="X1719" s="14" t="s">
        <v>138</v>
      </c>
      <c r="Y1719" s="0" t="s">
        <v>138</v>
      </c>
      <c r="Z1719" s="14" t="s">
        <v>138</v>
      </c>
      <c r="AA1719" s="0" t="s">
        <v>138</v>
      </c>
      <c r="AB1719" s="14" t="s">
        <v>138</v>
      </c>
      <c r="AD1719" s="0" t="s">
        <v>138</v>
      </c>
      <c r="AF1719" s="0">
        <v>0</v>
      </c>
      <c r="AG1719" s="0">
        <v>0</v>
      </c>
      <c r="AH1719" s="0" t="s">
        <v>140</v>
      </c>
      <c r="AI1719" s="0" t="s">
        <v>138</v>
      </c>
      <c r="AK1719" s="0" t="s">
        <v>1151</v>
      </c>
      <c r="AL1719" s="14"/>
      <c r="AN1719" s="14"/>
      <c r="AQ1719" s="0" t="s">
        <v>130</v>
      </c>
      <c r="AR1719" s="0" t="s">
        <v>130</v>
      </c>
      <c r="AS1719" s="0" t="s">
        <v>130</v>
      </c>
      <c r="AT1719" s="0" t="s">
        <v>130</v>
      </c>
      <c r="AU1719" s="0" t="s">
        <v>130</v>
      </c>
      <c r="AV1719" s="0" t="s">
        <v>130</v>
      </c>
      <c r="AW1719" s="0" t="s">
        <v>130</v>
      </c>
      <c r="AX1719" s="0" t="s">
        <v>130</v>
      </c>
      <c r="AY1719" s="0" t="s">
        <v>130</v>
      </c>
      <c r="AZ1719" s="0" t="s">
        <v>130</v>
      </c>
      <c r="BA1719" s="0" t="s">
        <v>130</v>
      </c>
      <c r="BB1719" s="0" t="s">
        <v>130</v>
      </c>
      <c r="BC1719" s="0" t="s">
        <v>130</v>
      </c>
      <c r="BD1719" s="0" t="s">
        <v>130</v>
      </c>
      <c r="BE1719" s="0" t="s">
        <v>130</v>
      </c>
      <c r="BF1719" s="0" t="s">
        <v>130</v>
      </c>
      <c r="BG1719" s="0" t="s">
        <v>130</v>
      </c>
      <c r="BH1719" s="0" t="s">
        <v>130</v>
      </c>
      <c r="BI1719" s="0" t="s">
        <v>130</v>
      </c>
      <c r="BJ1719" s="0" t="s">
        <v>130</v>
      </c>
      <c r="BK1719" s="0" t="s">
        <v>130</v>
      </c>
      <c r="BL1719" s="0" t="s">
        <v>130</v>
      </c>
      <c r="BM1719" s="0" t="s">
        <v>130</v>
      </c>
      <c r="BN1719" s="0" t="s">
        <v>130</v>
      </c>
      <c r="BO1719" s="0" t="s">
        <v>130</v>
      </c>
      <c r="BP1719" s="0" t="s">
        <v>130</v>
      </c>
      <c r="BQ1719" s="0" t="s">
        <v>130</v>
      </c>
      <c r="BR1719" s="0" t="s">
        <v>130</v>
      </c>
      <c r="BS1719" s="0" t="s">
        <v>130</v>
      </c>
      <c r="BT1719" s="0" t="s">
        <v>130</v>
      </c>
      <c r="BU1719" s="0" t="s">
        <v>130</v>
      </c>
      <c r="BV1719" s="0" t="s">
        <v>130</v>
      </c>
      <c r="BW1719" s="0" t="s">
        <v>130</v>
      </c>
      <c r="BX1719" s="0" t="s">
        <v>130</v>
      </c>
      <c r="BY1719" s="0" t="s">
        <v>130</v>
      </c>
      <c r="BZ1719" s="0" t="s">
        <v>130</v>
      </c>
      <c r="CA1719" s="0" t="s">
        <v>130</v>
      </c>
      <c r="CB1719" s="0" t="s">
        <v>130</v>
      </c>
      <c r="CC1719" s="0" t="s">
        <v>130</v>
      </c>
      <c r="CD1719" s="0" t="s">
        <v>130</v>
      </c>
      <c r="CE1719" s="0" t="s">
        <v>130</v>
      </c>
      <c r="CF1719" s="0" t="s">
        <v>130</v>
      </c>
      <c r="CG1719" s="0" t="s">
        <v>130</v>
      </c>
      <c r="CH1719" s="0" t="s">
        <v>130</v>
      </c>
      <c r="CI1719" s="0" t="s">
        <v>130</v>
      </c>
      <c r="CJ1719" s="0" t="s">
        <v>130</v>
      </c>
      <c r="CK1719" s="0" t="s">
        <v>130</v>
      </c>
      <c r="CL1719" s="0" t="s">
        <v>130</v>
      </c>
      <c r="CM1719" s="0" t="s">
        <v>130</v>
      </c>
      <c r="CN1719" s="0" t="s">
        <v>130</v>
      </c>
      <c r="CO1719" s="0" t="s">
        <v>130</v>
      </c>
      <c r="CP1719" s="0" t="s">
        <v>130</v>
      </c>
      <c r="CQ1719" s="0" t="s">
        <v>130</v>
      </c>
      <c r="CR1719" s="0" t="s">
        <v>130</v>
      </c>
      <c r="CS1719" s="0" t="s">
        <v>130</v>
      </c>
      <c r="CT1719" s="0" t="s">
        <v>4919</v>
      </c>
    </row>
    <row r="1720">
      <c r="A1720" s="14">
        <v>112319</v>
      </c>
      <c r="B1720" s="0" t="s">
        <v>4913</v>
      </c>
      <c r="C1720" s="16">
        <f>HYPERLINK("https://eosportal.federatedhermes.com/companies/Q29tcGFueQppNjI0NzU=", "Standard Chartered PLC")</f>
      </c>
      <c r="D1720" s="0" t="s">
        <v>25</v>
      </c>
      <c r="E1720" s="0" t="s">
        <v>4920</v>
      </c>
      <c r="F1720" s="16">
        <f>HYPERLINK("https://eosportal.federatedhermes.com/engagements/RW5nYWdlbWVudAppMjk0Nzg=", "Anti-bribery and corruption")</f>
      </c>
      <c r="G1720" s="14" t="s">
        <v>4921</v>
      </c>
      <c r="H1720" s="0" t="s">
        <v>141</v>
      </c>
      <c r="I1720" s="14" t="s">
        <v>191</v>
      </c>
      <c r="J1720" s="0" t="s">
        <v>153</v>
      </c>
      <c r="K1720" s="0" t="s">
        <v>185</v>
      </c>
      <c r="L1720" s="0" t="s">
        <v>186</v>
      </c>
      <c r="M1720" s="0" t="s">
        <v>272</v>
      </c>
      <c r="N1720" s="0" t="s">
        <v>273</v>
      </c>
      <c r="O1720" s="0" t="s">
        <v>238</v>
      </c>
      <c r="Q1720" s="0" t="s">
        <v>130</v>
      </c>
      <c r="R1720" s="0" t="s">
        <v>138</v>
      </c>
      <c r="S1720" s="14">
        <v>0</v>
      </c>
      <c r="T1720" s="0" t="s">
        <v>920</v>
      </c>
      <c r="U1720" s="0" t="s">
        <v>138</v>
      </c>
      <c r="V1720" s="14" t="s">
        <v>138</v>
      </c>
      <c r="W1720" s="0" t="s">
        <v>138</v>
      </c>
      <c r="X1720" s="14" t="s">
        <v>138</v>
      </c>
      <c r="Y1720" s="0" t="s">
        <v>138</v>
      </c>
      <c r="Z1720" s="14" t="s">
        <v>138</v>
      </c>
      <c r="AA1720" s="0" t="s">
        <v>138</v>
      </c>
      <c r="AB1720" s="14" t="s">
        <v>138</v>
      </c>
      <c r="AD1720" s="0" t="s">
        <v>138</v>
      </c>
      <c r="AF1720" s="0">
        <v>0</v>
      </c>
      <c r="AG1720" s="0">
        <v>0</v>
      </c>
      <c r="AH1720" s="0" t="s">
        <v>140</v>
      </c>
      <c r="AI1720" s="0" t="s">
        <v>138</v>
      </c>
      <c r="AL1720" s="14"/>
      <c r="AN1720" s="14"/>
      <c r="AQ1720" s="0" t="s">
        <v>130</v>
      </c>
      <c r="AR1720" s="0" t="s">
        <v>130</v>
      </c>
      <c r="AS1720" s="0" t="s">
        <v>130</v>
      </c>
      <c r="AT1720" s="0" t="s">
        <v>130</v>
      </c>
      <c r="AU1720" s="0" t="s">
        <v>130</v>
      </c>
      <c r="AV1720" s="0" t="s">
        <v>130</v>
      </c>
      <c r="AW1720" s="0" t="s">
        <v>130</v>
      </c>
      <c r="AX1720" s="0" t="s">
        <v>130</v>
      </c>
      <c r="AY1720" s="0" t="s">
        <v>130</v>
      </c>
      <c r="AZ1720" s="0" t="s">
        <v>130</v>
      </c>
      <c r="BA1720" s="0" t="s">
        <v>130</v>
      </c>
      <c r="BB1720" s="0" t="s">
        <v>130</v>
      </c>
      <c r="BC1720" s="0" t="s">
        <v>130</v>
      </c>
      <c r="BD1720" s="0" t="s">
        <v>130</v>
      </c>
      <c r="BE1720" s="0" t="s">
        <v>130</v>
      </c>
      <c r="BF1720" s="0" t="s">
        <v>130</v>
      </c>
      <c r="BG1720" s="0" t="s">
        <v>130</v>
      </c>
      <c r="BH1720" s="0" t="s">
        <v>130</v>
      </c>
      <c r="BI1720" s="0" t="s">
        <v>130</v>
      </c>
      <c r="BJ1720" s="0" t="s">
        <v>130</v>
      </c>
      <c r="BK1720" s="0" t="s">
        <v>130</v>
      </c>
      <c r="BL1720" s="0" t="s">
        <v>130</v>
      </c>
      <c r="BM1720" s="0" t="s">
        <v>130</v>
      </c>
      <c r="BN1720" s="0" t="s">
        <v>130</v>
      </c>
      <c r="BO1720" s="0" t="s">
        <v>130</v>
      </c>
      <c r="BP1720" s="0" t="s">
        <v>130</v>
      </c>
      <c r="BQ1720" s="0" t="s">
        <v>130</v>
      </c>
      <c r="BR1720" s="0" t="s">
        <v>130</v>
      </c>
      <c r="BS1720" s="0" t="s">
        <v>130</v>
      </c>
      <c r="BT1720" s="0" t="s">
        <v>130</v>
      </c>
      <c r="BU1720" s="0" t="s">
        <v>130</v>
      </c>
      <c r="BV1720" s="0" t="s">
        <v>130</v>
      </c>
      <c r="BW1720" s="0" t="s">
        <v>130</v>
      </c>
      <c r="BX1720" s="0" t="s">
        <v>130</v>
      </c>
      <c r="BY1720" s="0" t="s">
        <v>130</v>
      </c>
      <c r="BZ1720" s="0" t="s">
        <v>130</v>
      </c>
      <c r="CA1720" s="0" t="s">
        <v>130</v>
      </c>
      <c r="CB1720" s="0" t="s">
        <v>130</v>
      </c>
      <c r="CC1720" s="0" t="s">
        <v>130</v>
      </c>
      <c r="CD1720" s="0" t="s">
        <v>130</v>
      </c>
      <c r="CE1720" s="0" t="s">
        <v>130</v>
      </c>
      <c r="CF1720" s="0" t="s">
        <v>130</v>
      </c>
      <c r="CG1720" s="0" t="s">
        <v>130</v>
      </c>
      <c r="CH1720" s="0" t="s">
        <v>130</v>
      </c>
      <c r="CI1720" s="0" t="s">
        <v>130</v>
      </c>
      <c r="CJ1720" s="0" t="s">
        <v>130</v>
      </c>
      <c r="CK1720" s="0" t="s">
        <v>130</v>
      </c>
      <c r="CL1720" s="0" t="s">
        <v>130</v>
      </c>
      <c r="CM1720" s="0" t="s">
        <v>130</v>
      </c>
      <c r="CN1720" s="0" t="s">
        <v>130</v>
      </c>
      <c r="CO1720" s="0" t="s">
        <v>130</v>
      </c>
      <c r="CP1720" s="0" t="s">
        <v>130</v>
      </c>
      <c r="CQ1720" s="0" t="s">
        <v>130</v>
      </c>
      <c r="CR1720" s="0" t="s">
        <v>130</v>
      </c>
      <c r="CS1720" s="0" t="s">
        <v>130</v>
      </c>
      <c r="CT1720" s="0" t="s">
        <v>4922</v>
      </c>
    </row>
    <row r="1721">
      <c r="A1721" s="14">
        <v>112319</v>
      </c>
      <c r="B1721" s="0" t="s">
        <v>4913</v>
      </c>
      <c r="C1721" s="16">
        <f>HYPERLINK("https://eosportal.federatedhermes.com/companies/Q29tcGFueQppNjI0NzU=", "Standard Chartered PLC")</f>
      </c>
      <c r="D1721" s="0" t="s">
        <v>25</v>
      </c>
      <c r="E1721" s="0" t="s">
        <v>873</v>
      </c>
      <c r="F1721" s="16">
        <f>HYPERLINK("https://eosportal.federatedhermes.com/engagements/RW5nYWdlbWVudAppMjk0Nzk=", "Risk management")</f>
      </c>
      <c r="G1721" s="14" t="s">
        <v>4923</v>
      </c>
      <c r="H1721" s="0" t="s">
        <v>141</v>
      </c>
      <c r="I1721" s="14" t="s">
        <v>191</v>
      </c>
      <c r="J1721" s="0" t="s">
        <v>132</v>
      </c>
      <c r="K1721" s="0" t="s">
        <v>260</v>
      </c>
      <c r="L1721" s="0" t="s">
        <v>261</v>
      </c>
      <c r="M1721" s="0" t="s">
        <v>272</v>
      </c>
      <c r="N1721" s="0" t="s">
        <v>273</v>
      </c>
      <c r="O1721" s="0" t="s">
        <v>238</v>
      </c>
      <c r="Q1721" s="0" t="s">
        <v>130</v>
      </c>
      <c r="R1721" s="0" t="s">
        <v>138</v>
      </c>
      <c r="S1721" s="14">
        <v>0</v>
      </c>
      <c r="T1721" s="0" t="s">
        <v>874</v>
      </c>
      <c r="U1721" s="0" t="s">
        <v>138</v>
      </c>
      <c r="V1721" s="14" t="s">
        <v>138</v>
      </c>
      <c r="W1721" s="0" t="s">
        <v>138</v>
      </c>
      <c r="X1721" s="14" t="s">
        <v>138</v>
      </c>
      <c r="Y1721" s="0" t="s">
        <v>138</v>
      </c>
      <c r="Z1721" s="14" t="s">
        <v>138</v>
      </c>
      <c r="AA1721" s="0" t="s">
        <v>138</v>
      </c>
      <c r="AB1721" s="14" t="s">
        <v>138</v>
      </c>
      <c r="AD1721" s="0" t="s">
        <v>138</v>
      </c>
      <c r="AF1721" s="0">
        <v>0</v>
      </c>
      <c r="AG1721" s="0">
        <v>0</v>
      </c>
      <c r="AH1721" s="0" t="s">
        <v>140</v>
      </c>
      <c r="AI1721" s="0" t="s">
        <v>138</v>
      </c>
      <c r="AL1721" s="14"/>
      <c r="AN1721" s="14"/>
      <c r="AQ1721" s="0" t="s">
        <v>130</v>
      </c>
      <c r="AR1721" s="0" t="s">
        <v>130</v>
      </c>
      <c r="AS1721" s="0" t="s">
        <v>130</v>
      </c>
      <c r="AT1721" s="0" t="s">
        <v>130</v>
      </c>
      <c r="AU1721" s="0" t="s">
        <v>130</v>
      </c>
      <c r="AV1721" s="0" t="s">
        <v>130</v>
      </c>
      <c r="AW1721" s="0" t="s">
        <v>130</v>
      </c>
      <c r="AX1721" s="0" t="s">
        <v>130</v>
      </c>
      <c r="AY1721" s="0" t="s">
        <v>130</v>
      </c>
      <c r="AZ1721" s="0" t="s">
        <v>130</v>
      </c>
      <c r="BA1721" s="0" t="s">
        <v>130</v>
      </c>
      <c r="BB1721" s="0" t="s">
        <v>130</v>
      </c>
      <c r="BC1721" s="0" t="s">
        <v>130</v>
      </c>
      <c r="BD1721" s="0" t="s">
        <v>130</v>
      </c>
      <c r="BE1721" s="0" t="s">
        <v>130</v>
      </c>
      <c r="BF1721" s="0" t="s">
        <v>130</v>
      </c>
      <c r="BG1721" s="0" t="s">
        <v>130</v>
      </c>
      <c r="BH1721" s="0" t="s">
        <v>130</v>
      </c>
      <c r="BI1721" s="0" t="s">
        <v>130</v>
      </c>
      <c r="BJ1721" s="0" t="s">
        <v>130</v>
      </c>
      <c r="BK1721" s="0" t="s">
        <v>130</v>
      </c>
      <c r="BL1721" s="0" t="s">
        <v>130</v>
      </c>
      <c r="BM1721" s="0" t="s">
        <v>130</v>
      </c>
      <c r="BN1721" s="0" t="s">
        <v>130</v>
      </c>
      <c r="BO1721" s="0" t="s">
        <v>130</v>
      </c>
      <c r="BP1721" s="0" t="s">
        <v>130</v>
      </c>
      <c r="BQ1721" s="0" t="s">
        <v>130</v>
      </c>
      <c r="BR1721" s="0" t="s">
        <v>130</v>
      </c>
      <c r="BS1721" s="0" t="s">
        <v>130</v>
      </c>
      <c r="BT1721" s="0" t="s">
        <v>130</v>
      </c>
      <c r="BU1721" s="0" t="s">
        <v>130</v>
      </c>
      <c r="BV1721" s="0" t="s">
        <v>130</v>
      </c>
      <c r="BW1721" s="0" t="s">
        <v>130</v>
      </c>
      <c r="BX1721" s="0" t="s">
        <v>130</v>
      </c>
      <c r="BY1721" s="0" t="s">
        <v>130</v>
      </c>
      <c r="BZ1721" s="0" t="s">
        <v>130</v>
      </c>
      <c r="CA1721" s="0" t="s">
        <v>130</v>
      </c>
      <c r="CB1721" s="0" t="s">
        <v>130</v>
      </c>
      <c r="CC1721" s="0" t="s">
        <v>130</v>
      </c>
      <c r="CD1721" s="0" t="s">
        <v>130</v>
      </c>
      <c r="CE1721" s="0" t="s">
        <v>130</v>
      </c>
      <c r="CF1721" s="0" t="s">
        <v>130</v>
      </c>
      <c r="CG1721" s="0" t="s">
        <v>130</v>
      </c>
      <c r="CH1721" s="0" t="s">
        <v>130</v>
      </c>
      <c r="CI1721" s="0" t="s">
        <v>130</v>
      </c>
      <c r="CJ1721" s="0" t="s">
        <v>130</v>
      </c>
      <c r="CK1721" s="0" t="s">
        <v>130</v>
      </c>
      <c r="CL1721" s="0" t="s">
        <v>130</v>
      </c>
      <c r="CM1721" s="0" t="s">
        <v>130</v>
      </c>
      <c r="CN1721" s="0" t="s">
        <v>130</v>
      </c>
      <c r="CO1721" s="0" t="s">
        <v>130</v>
      </c>
      <c r="CP1721" s="0" t="s">
        <v>130</v>
      </c>
      <c r="CQ1721" s="0" t="s">
        <v>130</v>
      </c>
      <c r="CR1721" s="0" t="s">
        <v>130</v>
      </c>
      <c r="CS1721" s="0" t="s">
        <v>130</v>
      </c>
      <c r="CT1721" s="0" t="s">
        <v>4924</v>
      </c>
    </row>
    <row r="1722">
      <c r="A1722" s="14">
        <v>112319</v>
      </c>
      <c r="B1722" s="0" t="s">
        <v>4913</v>
      </c>
      <c r="C1722" s="16">
        <f>HYPERLINK("https://eosportal.federatedhermes.com/companies/Q29tcGFueQppNjI0NzU=", "Standard Chartered PLC")</f>
      </c>
      <c r="D1722" s="0" t="s">
        <v>25</v>
      </c>
      <c r="E1722" s="0" t="s">
        <v>993</v>
      </c>
      <c r="F1722" s="16">
        <f>HYPERLINK("https://eosportal.federatedhermes.com/engagements/RW5nYWdlbWVudAppMjk0ODY=", "Executive Remuneration - Pension Contribution")</f>
      </c>
      <c r="G1722" s="14" t="s">
        <v>4925</v>
      </c>
      <c r="H1722" s="0" t="s">
        <v>141</v>
      </c>
      <c r="I1722" s="14" t="s">
        <v>191</v>
      </c>
      <c r="J1722" s="0" t="s">
        <v>145</v>
      </c>
      <c r="K1722" s="0" t="s">
        <v>146</v>
      </c>
      <c r="L1722" s="0" t="s">
        <v>147</v>
      </c>
      <c r="M1722" s="0" t="s">
        <v>272</v>
      </c>
      <c r="N1722" s="0" t="s">
        <v>273</v>
      </c>
      <c r="O1722" s="0" t="s">
        <v>238</v>
      </c>
      <c r="Q1722" s="0" t="s">
        <v>130</v>
      </c>
      <c r="R1722" s="0" t="s">
        <v>138</v>
      </c>
      <c r="S1722" s="14">
        <v>0</v>
      </c>
      <c r="T1722" s="0" t="s">
        <v>166</v>
      </c>
      <c r="U1722" s="0" t="s">
        <v>138</v>
      </c>
      <c r="V1722" s="14" t="s">
        <v>138</v>
      </c>
      <c r="W1722" s="0" t="s">
        <v>138</v>
      </c>
      <c r="X1722" s="14" t="s">
        <v>138</v>
      </c>
      <c r="Y1722" s="0" t="s">
        <v>138</v>
      </c>
      <c r="Z1722" s="14" t="s">
        <v>138</v>
      </c>
      <c r="AA1722" s="0" t="s">
        <v>138</v>
      </c>
      <c r="AB1722" s="14" t="s">
        <v>138</v>
      </c>
      <c r="AD1722" s="0" t="s">
        <v>138</v>
      </c>
      <c r="AF1722" s="0">
        <v>0</v>
      </c>
      <c r="AG1722" s="0">
        <v>0</v>
      </c>
      <c r="AH1722" s="0" t="s">
        <v>140</v>
      </c>
      <c r="AI1722" s="0" t="s">
        <v>138</v>
      </c>
      <c r="AL1722" s="14"/>
      <c r="AN1722" s="14"/>
      <c r="AQ1722" s="0" t="s">
        <v>130</v>
      </c>
      <c r="AR1722" s="0" t="s">
        <v>130</v>
      </c>
      <c r="AS1722" s="0" t="s">
        <v>130</v>
      </c>
      <c r="AT1722" s="0" t="s">
        <v>130</v>
      </c>
      <c r="AU1722" s="0" t="s">
        <v>130</v>
      </c>
      <c r="AV1722" s="0" t="s">
        <v>130</v>
      </c>
      <c r="AW1722" s="0" t="s">
        <v>130</v>
      </c>
      <c r="AX1722" s="0" t="s">
        <v>130</v>
      </c>
      <c r="AY1722" s="0" t="s">
        <v>130</v>
      </c>
      <c r="AZ1722" s="0" t="s">
        <v>130</v>
      </c>
      <c r="BA1722" s="0" t="s">
        <v>130</v>
      </c>
      <c r="BB1722" s="0" t="s">
        <v>130</v>
      </c>
      <c r="BC1722" s="0" t="s">
        <v>130</v>
      </c>
      <c r="BD1722" s="0" t="s">
        <v>130</v>
      </c>
      <c r="BE1722" s="0" t="s">
        <v>130</v>
      </c>
      <c r="BF1722" s="0" t="s">
        <v>130</v>
      </c>
      <c r="BG1722" s="0" t="s">
        <v>130</v>
      </c>
      <c r="BH1722" s="0" t="s">
        <v>130</v>
      </c>
      <c r="BI1722" s="0" t="s">
        <v>130</v>
      </c>
      <c r="BJ1722" s="0" t="s">
        <v>130</v>
      </c>
      <c r="BK1722" s="0" t="s">
        <v>130</v>
      </c>
      <c r="BL1722" s="0" t="s">
        <v>130</v>
      </c>
      <c r="BM1722" s="0" t="s">
        <v>130</v>
      </c>
      <c r="BN1722" s="0" t="s">
        <v>130</v>
      </c>
      <c r="BO1722" s="0" t="s">
        <v>130</v>
      </c>
      <c r="BP1722" s="0" t="s">
        <v>130</v>
      </c>
      <c r="BQ1722" s="0" t="s">
        <v>130</v>
      </c>
      <c r="BR1722" s="0" t="s">
        <v>130</v>
      </c>
      <c r="BS1722" s="0" t="s">
        <v>130</v>
      </c>
      <c r="BT1722" s="0" t="s">
        <v>130</v>
      </c>
      <c r="BU1722" s="0" t="s">
        <v>130</v>
      </c>
      <c r="BV1722" s="0" t="s">
        <v>130</v>
      </c>
      <c r="BW1722" s="0" t="s">
        <v>130</v>
      </c>
      <c r="BX1722" s="0" t="s">
        <v>130</v>
      </c>
      <c r="BY1722" s="0" t="s">
        <v>130</v>
      </c>
      <c r="BZ1722" s="0" t="s">
        <v>130</v>
      </c>
      <c r="CA1722" s="0" t="s">
        <v>130</v>
      </c>
      <c r="CB1722" s="0" t="s">
        <v>130</v>
      </c>
      <c r="CC1722" s="0" t="s">
        <v>130</v>
      </c>
      <c r="CD1722" s="0" t="s">
        <v>130</v>
      </c>
      <c r="CE1722" s="0" t="s">
        <v>130</v>
      </c>
      <c r="CF1722" s="0" t="s">
        <v>130</v>
      </c>
      <c r="CG1722" s="0" t="s">
        <v>130</v>
      </c>
      <c r="CH1722" s="0" t="s">
        <v>130</v>
      </c>
      <c r="CI1722" s="0" t="s">
        <v>130</v>
      </c>
      <c r="CJ1722" s="0" t="s">
        <v>130</v>
      </c>
      <c r="CK1722" s="0" t="s">
        <v>130</v>
      </c>
      <c r="CL1722" s="0" t="s">
        <v>130</v>
      </c>
      <c r="CM1722" s="0" t="s">
        <v>130</v>
      </c>
      <c r="CN1722" s="0" t="s">
        <v>130</v>
      </c>
      <c r="CO1722" s="0" t="s">
        <v>130</v>
      </c>
      <c r="CP1722" s="0" t="s">
        <v>130</v>
      </c>
      <c r="CQ1722" s="0" t="s">
        <v>130</v>
      </c>
      <c r="CR1722" s="0" t="s">
        <v>130</v>
      </c>
      <c r="CS1722" s="0" t="s">
        <v>130</v>
      </c>
      <c r="CT1722" s="0" t="s">
        <v>4926</v>
      </c>
    </row>
    <row r="1723">
      <c r="A1723" s="14">
        <v>112319</v>
      </c>
      <c r="B1723" s="0" t="s">
        <v>4913</v>
      </c>
      <c r="C1723" s="16">
        <f>HYPERLINK("https://eosportal.federatedhermes.com/companies/Q29tcGFueQppNjI0NzU=", "Standard Chartered PLC")</f>
      </c>
      <c r="D1723" s="0" t="s">
        <v>25</v>
      </c>
      <c r="E1723" s="0" t="s">
        <v>4927</v>
      </c>
      <c r="F1723" s="16">
        <f>HYPERLINK("https://eosportal.federatedhermes.com/engagements/RW5nYWdlbWVudAppMjk0ODc=", "Reduction of Coal Exposure (Brown Finance)")</f>
      </c>
      <c r="G1723" s="14" t="s">
        <v>4928</v>
      </c>
      <c r="H1723" s="0" t="s">
        <v>141</v>
      </c>
      <c r="I1723" s="14" t="s">
        <v>191</v>
      </c>
      <c r="J1723" s="0" t="s">
        <v>197</v>
      </c>
      <c r="K1723" s="0" t="s">
        <v>198</v>
      </c>
      <c r="L1723" s="0" t="s">
        <v>216</v>
      </c>
      <c r="M1723" s="0" t="s">
        <v>272</v>
      </c>
      <c r="N1723" s="0" t="s">
        <v>273</v>
      </c>
      <c r="O1723" s="0" t="s">
        <v>238</v>
      </c>
      <c r="Q1723" s="0" t="s">
        <v>130</v>
      </c>
      <c r="R1723" s="0" t="s">
        <v>138</v>
      </c>
      <c r="S1723" s="14">
        <v>0</v>
      </c>
      <c r="T1723" s="0" t="s">
        <v>333</v>
      </c>
      <c r="U1723" s="0" t="s">
        <v>138</v>
      </c>
      <c r="V1723" s="14" t="s">
        <v>138</v>
      </c>
      <c r="W1723" s="0" t="s">
        <v>138</v>
      </c>
      <c r="X1723" s="14" t="s">
        <v>138</v>
      </c>
      <c r="Y1723" s="0" t="s">
        <v>138</v>
      </c>
      <c r="Z1723" s="14" t="s">
        <v>138</v>
      </c>
      <c r="AA1723" s="0" t="s">
        <v>138</v>
      </c>
      <c r="AB1723" s="14" t="s">
        <v>138</v>
      </c>
      <c r="AD1723" s="0" t="s">
        <v>138</v>
      </c>
      <c r="AF1723" s="0">
        <v>0</v>
      </c>
      <c r="AG1723" s="0">
        <v>0</v>
      </c>
      <c r="AH1723" s="0" t="s">
        <v>140</v>
      </c>
      <c r="AI1723" s="0" t="s">
        <v>138</v>
      </c>
      <c r="AL1723" s="14"/>
      <c r="AN1723" s="14"/>
      <c r="AQ1723" s="0" t="s">
        <v>130</v>
      </c>
      <c r="AR1723" s="0" t="s">
        <v>130</v>
      </c>
      <c r="AS1723" s="0" t="s">
        <v>130</v>
      </c>
      <c r="AT1723" s="0" t="s">
        <v>130</v>
      </c>
      <c r="AU1723" s="0" t="s">
        <v>130</v>
      </c>
      <c r="AV1723" s="0" t="s">
        <v>130</v>
      </c>
      <c r="AW1723" s="0" t="s">
        <v>141</v>
      </c>
      <c r="AX1723" s="0" t="s">
        <v>130</v>
      </c>
      <c r="AY1723" s="0" t="s">
        <v>130</v>
      </c>
      <c r="AZ1723" s="0" t="s">
        <v>130</v>
      </c>
      <c r="BA1723" s="0" t="s">
        <v>130</v>
      </c>
      <c r="BB1723" s="0" t="s">
        <v>130</v>
      </c>
      <c r="BC1723" s="0" t="s">
        <v>141</v>
      </c>
      <c r="BD1723" s="0" t="s">
        <v>130</v>
      </c>
      <c r="BE1723" s="0" t="s">
        <v>130</v>
      </c>
      <c r="BF1723" s="0" t="s">
        <v>130</v>
      </c>
      <c r="BG1723" s="0" t="s">
        <v>130</v>
      </c>
      <c r="BH1723" s="0" t="s">
        <v>141</v>
      </c>
      <c r="BI1723" s="0" t="s">
        <v>141</v>
      </c>
      <c r="BJ1723" s="0" t="s">
        <v>141</v>
      </c>
      <c r="BK1723" s="0" t="s">
        <v>130</v>
      </c>
      <c r="BL1723" s="0" t="s">
        <v>130</v>
      </c>
      <c r="BM1723" s="0" t="s">
        <v>130</v>
      </c>
      <c r="BN1723" s="0" t="s">
        <v>130</v>
      </c>
      <c r="BO1723" s="0" t="s">
        <v>130</v>
      </c>
      <c r="BP1723" s="0" t="s">
        <v>130</v>
      </c>
      <c r="BQ1723" s="0" t="s">
        <v>130</v>
      </c>
      <c r="BR1723" s="0" t="s">
        <v>130</v>
      </c>
      <c r="BS1723" s="0" t="s">
        <v>130</v>
      </c>
      <c r="BT1723" s="0" t="s">
        <v>130</v>
      </c>
      <c r="BU1723" s="0" t="s">
        <v>130</v>
      </c>
      <c r="BV1723" s="0" t="s">
        <v>141</v>
      </c>
      <c r="BW1723" s="0" t="s">
        <v>141</v>
      </c>
      <c r="BX1723" s="0" t="s">
        <v>130</v>
      </c>
      <c r="BY1723" s="0" t="s">
        <v>130</v>
      </c>
      <c r="BZ1723" s="0" t="s">
        <v>130</v>
      </c>
      <c r="CA1723" s="0" t="s">
        <v>130</v>
      </c>
      <c r="CB1723" s="0" t="s">
        <v>130</v>
      </c>
      <c r="CC1723" s="0" t="s">
        <v>130</v>
      </c>
      <c r="CD1723" s="0" t="s">
        <v>130</v>
      </c>
      <c r="CE1723" s="0" t="s">
        <v>130</v>
      </c>
      <c r="CF1723" s="0" t="s">
        <v>130</v>
      </c>
      <c r="CG1723" s="0" t="s">
        <v>130</v>
      </c>
      <c r="CH1723" s="0" t="s">
        <v>130</v>
      </c>
      <c r="CI1723" s="0" t="s">
        <v>130</v>
      </c>
      <c r="CJ1723" s="0" t="s">
        <v>130</v>
      </c>
      <c r="CK1723" s="0" t="s">
        <v>130</v>
      </c>
      <c r="CL1723" s="0" t="s">
        <v>130</v>
      </c>
      <c r="CM1723" s="0" t="s">
        <v>130</v>
      </c>
      <c r="CN1723" s="0" t="s">
        <v>130</v>
      </c>
      <c r="CO1723" s="0" t="s">
        <v>130</v>
      </c>
      <c r="CP1723" s="0" t="s">
        <v>130</v>
      </c>
      <c r="CQ1723" s="0" t="s">
        <v>130</v>
      </c>
      <c r="CR1723" s="0" t="s">
        <v>130</v>
      </c>
      <c r="CS1723" s="0" t="s">
        <v>130</v>
      </c>
      <c r="CT1723" s="0" t="s">
        <v>4929</v>
      </c>
    </row>
    <row r="1724">
      <c r="A1724" s="14">
        <v>115648</v>
      </c>
      <c r="B1724" s="0" t="s">
        <v>4930</v>
      </c>
      <c r="C1724" s="16">
        <f>HYPERLINK("https://eosportal.federatedhermes.com/companies/Q29tcGFueQppNzI3NTY=", "Akzo Nobel NV")</f>
      </c>
      <c r="D1724" s="0" t="s">
        <v>25</v>
      </c>
      <c r="E1724" s="0" t="s">
        <v>2793</v>
      </c>
      <c r="F1724" s="16">
        <f>HYPERLINK("https://eosportal.federatedhermes.com/engagements/RW5nYWdlbWVudAppMjk0OTU=", "Human Capital Management")</f>
      </c>
      <c r="G1724" s="14" t="s">
        <v>4931</v>
      </c>
      <c r="H1724" s="0" t="s">
        <v>130</v>
      </c>
      <c r="I1724" s="14" t="s">
        <v>319</v>
      </c>
      <c r="J1724" s="0" t="s">
        <v>153</v>
      </c>
      <c r="K1724" s="0" t="s">
        <v>154</v>
      </c>
      <c r="L1724" s="0" t="s">
        <v>268</v>
      </c>
      <c r="M1724" s="0" t="s">
        <v>378</v>
      </c>
      <c r="N1724" s="0" t="s">
        <v>2554</v>
      </c>
      <c r="O1724" s="0" t="s">
        <v>706</v>
      </c>
      <c r="Q1724" s="0" t="s">
        <v>130</v>
      </c>
      <c r="R1724" s="0" t="s">
        <v>138</v>
      </c>
      <c r="S1724" s="14">
        <v>0</v>
      </c>
      <c r="T1724" s="0" t="s">
        <v>193</v>
      </c>
      <c r="U1724" s="0" t="s">
        <v>138</v>
      </c>
      <c r="V1724" s="14" t="s">
        <v>138</v>
      </c>
      <c r="W1724" s="0" t="s">
        <v>138</v>
      </c>
      <c r="X1724" s="14" t="s">
        <v>138</v>
      </c>
      <c r="Y1724" s="0" t="s">
        <v>138</v>
      </c>
      <c r="Z1724" s="14" t="s">
        <v>138</v>
      </c>
      <c r="AA1724" s="0" t="s">
        <v>138</v>
      </c>
      <c r="AB1724" s="14" t="s">
        <v>138</v>
      </c>
      <c r="AD1724" s="0" t="s">
        <v>138</v>
      </c>
      <c r="AF1724" s="0">
        <v>0</v>
      </c>
      <c r="AG1724" s="0">
        <v>0</v>
      </c>
      <c r="AH1724" s="0" t="s">
        <v>140</v>
      </c>
      <c r="AI1724" s="0" t="s">
        <v>138</v>
      </c>
      <c r="AL1724" s="14"/>
      <c r="AN1724" s="14"/>
      <c r="AQ1724" s="0" t="s">
        <v>130</v>
      </c>
      <c r="AR1724" s="0" t="s">
        <v>130</v>
      </c>
      <c r="AS1724" s="0" t="s">
        <v>130</v>
      </c>
      <c r="AT1724" s="0" t="s">
        <v>130</v>
      </c>
      <c r="AU1724" s="0" t="s">
        <v>130</v>
      </c>
      <c r="AV1724" s="0" t="s">
        <v>130</v>
      </c>
      <c r="AW1724" s="0" t="s">
        <v>130</v>
      </c>
      <c r="AX1724" s="0" t="s">
        <v>130</v>
      </c>
      <c r="AY1724" s="0" t="s">
        <v>130</v>
      </c>
      <c r="AZ1724" s="0" t="s">
        <v>130</v>
      </c>
      <c r="BA1724" s="0" t="s">
        <v>130</v>
      </c>
      <c r="BB1724" s="0" t="s">
        <v>130</v>
      </c>
      <c r="BC1724" s="0" t="s">
        <v>130</v>
      </c>
      <c r="BD1724" s="0" t="s">
        <v>130</v>
      </c>
      <c r="BE1724" s="0" t="s">
        <v>130</v>
      </c>
      <c r="BF1724" s="0" t="s">
        <v>130</v>
      </c>
      <c r="BG1724" s="0" t="s">
        <v>130</v>
      </c>
      <c r="BH1724" s="0" t="s">
        <v>130</v>
      </c>
      <c r="BI1724" s="0" t="s">
        <v>130</v>
      </c>
      <c r="BJ1724" s="0" t="s">
        <v>130</v>
      </c>
      <c r="BK1724" s="0" t="s">
        <v>130</v>
      </c>
      <c r="BL1724" s="0" t="s">
        <v>130</v>
      </c>
      <c r="BM1724" s="0" t="s">
        <v>130</v>
      </c>
      <c r="BN1724" s="0" t="s">
        <v>130</v>
      </c>
      <c r="BO1724" s="0" t="s">
        <v>130</v>
      </c>
      <c r="BP1724" s="0" t="s">
        <v>130</v>
      </c>
      <c r="BQ1724" s="0" t="s">
        <v>130</v>
      </c>
      <c r="BR1724" s="0" t="s">
        <v>130</v>
      </c>
      <c r="BS1724" s="0" t="s">
        <v>130</v>
      </c>
      <c r="BT1724" s="0" t="s">
        <v>130</v>
      </c>
      <c r="BU1724" s="0" t="s">
        <v>130</v>
      </c>
      <c r="BV1724" s="0" t="s">
        <v>130</v>
      </c>
      <c r="BW1724" s="0" t="s">
        <v>130</v>
      </c>
      <c r="BX1724" s="0" t="s">
        <v>130</v>
      </c>
      <c r="BY1724" s="0" t="s">
        <v>130</v>
      </c>
      <c r="BZ1724" s="0" t="s">
        <v>130</v>
      </c>
      <c r="CA1724" s="0" t="s">
        <v>130</v>
      </c>
      <c r="CB1724" s="0" t="s">
        <v>130</v>
      </c>
      <c r="CC1724" s="0" t="s">
        <v>130</v>
      </c>
      <c r="CD1724" s="0" t="s">
        <v>130</v>
      </c>
      <c r="CE1724" s="0" t="s">
        <v>130</v>
      </c>
      <c r="CF1724" s="0" t="s">
        <v>130</v>
      </c>
      <c r="CG1724" s="0" t="s">
        <v>130</v>
      </c>
      <c r="CH1724" s="0" t="s">
        <v>130</v>
      </c>
      <c r="CI1724" s="0" t="s">
        <v>130</v>
      </c>
      <c r="CJ1724" s="0" t="s">
        <v>130</v>
      </c>
      <c r="CK1724" s="0" t="s">
        <v>141</v>
      </c>
      <c r="CL1724" s="0" t="s">
        <v>130</v>
      </c>
      <c r="CM1724" s="0" t="s">
        <v>130</v>
      </c>
      <c r="CN1724" s="0" t="s">
        <v>130</v>
      </c>
      <c r="CO1724" s="0" t="s">
        <v>130</v>
      </c>
      <c r="CP1724" s="0" t="s">
        <v>130</v>
      </c>
      <c r="CQ1724" s="0" t="s">
        <v>130</v>
      </c>
      <c r="CR1724" s="0" t="s">
        <v>130</v>
      </c>
      <c r="CS1724" s="0" t="s">
        <v>130</v>
      </c>
      <c r="CT1724" s="0" t="s">
        <v>4932</v>
      </c>
    </row>
    <row r="1725">
      <c r="A1725" s="14">
        <v>115648</v>
      </c>
      <c r="B1725" s="0" t="s">
        <v>4930</v>
      </c>
      <c r="C1725" s="16">
        <f>HYPERLINK("https://eosportal.federatedhermes.com/companies/Q29tcGFueQppNzI3NTY=", "Akzo Nobel NV")</f>
      </c>
      <c r="D1725" s="0" t="s">
        <v>25</v>
      </c>
      <c r="E1725" s="0" t="s">
        <v>4933</v>
      </c>
      <c r="F1725" s="16">
        <f>HYPERLINK("https://eosportal.federatedhermes.com/engagements/RW5nYWdlbWVudAppMjk1MDA=", "Governance - Director commitments")</f>
      </c>
      <c r="G1725" s="14" t="s">
        <v>4934</v>
      </c>
      <c r="H1725" s="0" t="s">
        <v>130</v>
      </c>
      <c r="I1725" s="14" t="s">
        <v>319</v>
      </c>
      <c r="J1725" s="0" t="s">
        <v>145</v>
      </c>
      <c r="K1725" s="0" t="s">
        <v>164</v>
      </c>
      <c r="L1725" s="0" t="s">
        <v>165</v>
      </c>
      <c r="M1725" s="0" t="s">
        <v>378</v>
      </c>
      <c r="N1725" s="0" t="s">
        <v>2554</v>
      </c>
      <c r="O1725" s="0" t="s">
        <v>706</v>
      </c>
      <c r="Q1725" s="0" t="s">
        <v>130</v>
      </c>
      <c r="R1725" s="0" t="s">
        <v>138</v>
      </c>
      <c r="S1725" s="14">
        <v>0</v>
      </c>
      <c r="T1725" s="0" t="s">
        <v>193</v>
      </c>
      <c r="U1725" s="0" t="s">
        <v>138</v>
      </c>
      <c r="V1725" s="14" t="s">
        <v>138</v>
      </c>
      <c r="W1725" s="0" t="s">
        <v>138</v>
      </c>
      <c r="X1725" s="14" t="s">
        <v>138</v>
      </c>
      <c r="Y1725" s="0" t="s">
        <v>138</v>
      </c>
      <c r="Z1725" s="14" t="s">
        <v>138</v>
      </c>
      <c r="AA1725" s="0" t="s">
        <v>138</v>
      </c>
      <c r="AB1725" s="14" t="s">
        <v>138</v>
      </c>
      <c r="AD1725" s="0" t="s">
        <v>138</v>
      </c>
      <c r="AF1725" s="0">
        <v>0</v>
      </c>
      <c r="AG1725" s="0">
        <v>0</v>
      </c>
      <c r="AH1725" s="0" t="s">
        <v>140</v>
      </c>
      <c r="AI1725" s="0" t="s">
        <v>138</v>
      </c>
      <c r="AL1725" s="14"/>
      <c r="AN1725" s="14"/>
      <c r="AQ1725" s="0" t="s">
        <v>130</v>
      </c>
      <c r="AR1725" s="0" t="s">
        <v>130</v>
      </c>
      <c r="AS1725" s="0" t="s">
        <v>130</v>
      </c>
      <c r="AT1725" s="0" t="s">
        <v>130</v>
      </c>
      <c r="AU1725" s="0" t="s">
        <v>130</v>
      </c>
      <c r="AV1725" s="0" t="s">
        <v>130</v>
      </c>
      <c r="AW1725" s="0" t="s">
        <v>130</v>
      </c>
      <c r="AX1725" s="0" t="s">
        <v>130</v>
      </c>
      <c r="AY1725" s="0" t="s">
        <v>130</v>
      </c>
      <c r="AZ1725" s="0" t="s">
        <v>130</v>
      </c>
      <c r="BA1725" s="0" t="s">
        <v>130</v>
      </c>
      <c r="BB1725" s="0" t="s">
        <v>130</v>
      </c>
      <c r="BC1725" s="0" t="s">
        <v>130</v>
      </c>
      <c r="BD1725" s="0" t="s">
        <v>130</v>
      </c>
      <c r="BE1725" s="0" t="s">
        <v>130</v>
      </c>
      <c r="BF1725" s="0" t="s">
        <v>130</v>
      </c>
      <c r="BG1725" s="0" t="s">
        <v>130</v>
      </c>
      <c r="BH1725" s="0" t="s">
        <v>130</v>
      </c>
      <c r="BI1725" s="0" t="s">
        <v>130</v>
      </c>
      <c r="BJ1725" s="0" t="s">
        <v>130</v>
      </c>
      <c r="BK1725" s="0" t="s">
        <v>130</v>
      </c>
      <c r="BL1725" s="0" t="s">
        <v>130</v>
      </c>
      <c r="BM1725" s="0" t="s">
        <v>130</v>
      </c>
      <c r="BN1725" s="0" t="s">
        <v>130</v>
      </c>
      <c r="BO1725" s="0" t="s">
        <v>130</v>
      </c>
      <c r="BP1725" s="0" t="s">
        <v>130</v>
      </c>
      <c r="BQ1725" s="0" t="s">
        <v>130</v>
      </c>
      <c r="BR1725" s="0" t="s">
        <v>130</v>
      </c>
      <c r="BS1725" s="0" t="s">
        <v>130</v>
      </c>
      <c r="BT1725" s="0" t="s">
        <v>130</v>
      </c>
      <c r="BU1725" s="0" t="s">
        <v>130</v>
      </c>
      <c r="BV1725" s="0" t="s">
        <v>130</v>
      </c>
      <c r="BW1725" s="0" t="s">
        <v>130</v>
      </c>
      <c r="BX1725" s="0" t="s">
        <v>130</v>
      </c>
      <c r="BY1725" s="0" t="s">
        <v>130</v>
      </c>
      <c r="BZ1725" s="0" t="s">
        <v>130</v>
      </c>
      <c r="CA1725" s="0" t="s">
        <v>130</v>
      </c>
      <c r="CB1725" s="0" t="s">
        <v>130</v>
      </c>
      <c r="CC1725" s="0" t="s">
        <v>130</v>
      </c>
      <c r="CD1725" s="0" t="s">
        <v>130</v>
      </c>
      <c r="CE1725" s="0" t="s">
        <v>130</v>
      </c>
      <c r="CF1725" s="0" t="s">
        <v>130</v>
      </c>
      <c r="CG1725" s="0" t="s">
        <v>130</v>
      </c>
      <c r="CH1725" s="0" t="s">
        <v>130</v>
      </c>
      <c r="CI1725" s="0" t="s">
        <v>130</v>
      </c>
      <c r="CJ1725" s="0" t="s">
        <v>130</v>
      </c>
      <c r="CK1725" s="0" t="s">
        <v>130</v>
      </c>
      <c r="CL1725" s="0" t="s">
        <v>130</v>
      </c>
      <c r="CM1725" s="0" t="s">
        <v>130</v>
      </c>
      <c r="CN1725" s="0" t="s">
        <v>130</v>
      </c>
      <c r="CO1725" s="0" t="s">
        <v>130</v>
      </c>
      <c r="CP1725" s="0" t="s">
        <v>130</v>
      </c>
      <c r="CQ1725" s="0" t="s">
        <v>130</v>
      </c>
      <c r="CR1725" s="0" t="s">
        <v>130</v>
      </c>
      <c r="CS1725" s="0" t="s">
        <v>130</v>
      </c>
      <c r="CT1725" s="0" t="s">
        <v>4935</v>
      </c>
    </row>
    <row r="1726">
      <c r="A1726" s="14">
        <v>115648</v>
      </c>
      <c r="B1726" s="0" t="s">
        <v>4930</v>
      </c>
      <c r="C1726" s="16">
        <f>HYPERLINK("https://eosportal.federatedhermes.com/companies/Q29tcGFueQppNzI3NTY=", "Akzo Nobel NV")</f>
      </c>
      <c r="D1726" s="0" t="s">
        <v>25</v>
      </c>
      <c r="E1726" s="0" t="s">
        <v>4936</v>
      </c>
      <c r="F1726" s="16">
        <f>HYPERLINK("https://eosportal.federatedhermes.com/engagements/RW5nYWdlbWVudAppMjk1MDE=", "Key Audit Matter - Transformation to deliver towards the strategy")</f>
      </c>
      <c r="G1726" s="14" t="s">
        <v>4937</v>
      </c>
      <c r="H1726" s="0" t="s">
        <v>130</v>
      </c>
      <c r="I1726" s="14" t="s">
        <v>319</v>
      </c>
      <c r="J1726" s="0" t="s">
        <v>132</v>
      </c>
      <c r="K1726" s="0" t="s">
        <v>170</v>
      </c>
      <c r="L1726" s="0" t="s">
        <v>310</v>
      </c>
      <c r="M1726" s="0" t="s">
        <v>378</v>
      </c>
      <c r="N1726" s="0" t="s">
        <v>2554</v>
      </c>
      <c r="O1726" s="0" t="s">
        <v>706</v>
      </c>
      <c r="Q1726" s="0" t="s">
        <v>130</v>
      </c>
      <c r="R1726" s="0" t="s">
        <v>138</v>
      </c>
      <c r="S1726" s="14">
        <v>0</v>
      </c>
      <c r="T1726" s="0" t="s">
        <v>148</v>
      </c>
      <c r="U1726" s="0" t="s">
        <v>138</v>
      </c>
      <c r="V1726" s="14" t="s">
        <v>138</v>
      </c>
      <c r="W1726" s="0" t="s">
        <v>138</v>
      </c>
      <c r="X1726" s="14" t="s">
        <v>138</v>
      </c>
      <c r="Y1726" s="0" t="s">
        <v>138</v>
      </c>
      <c r="Z1726" s="14" t="s">
        <v>138</v>
      </c>
      <c r="AA1726" s="0" t="s">
        <v>138</v>
      </c>
      <c r="AB1726" s="14" t="s">
        <v>138</v>
      </c>
      <c r="AD1726" s="0" t="s">
        <v>138</v>
      </c>
      <c r="AF1726" s="0">
        <v>0</v>
      </c>
      <c r="AG1726" s="0">
        <v>0</v>
      </c>
      <c r="AH1726" s="0" t="s">
        <v>140</v>
      </c>
      <c r="AI1726" s="0" t="s">
        <v>138</v>
      </c>
      <c r="AL1726" s="14"/>
      <c r="AN1726" s="14"/>
      <c r="AQ1726" s="0" t="s">
        <v>130</v>
      </c>
      <c r="AR1726" s="0" t="s">
        <v>130</v>
      </c>
      <c r="AS1726" s="0" t="s">
        <v>130</v>
      </c>
      <c r="AT1726" s="0" t="s">
        <v>130</v>
      </c>
      <c r="AU1726" s="0" t="s">
        <v>130</v>
      </c>
      <c r="AV1726" s="0" t="s">
        <v>130</v>
      </c>
      <c r="AW1726" s="0" t="s">
        <v>130</v>
      </c>
      <c r="AX1726" s="0" t="s">
        <v>130</v>
      </c>
      <c r="AY1726" s="0" t="s">
        <v>130</v>
      </c>
      <c r="AZ1726" s="0" t="s">
        <v>130</v>
      </c>
      <c r="BA1726" s="0" t="s">
        <v>130</v>
      </c>
      <c r="BB1726" s="0" t="s">
        <v>130</v>
      </c>
      <c r="BC1726" s="0" t="s">
        <v>130</v>
      </c>
      <c r="BD1726" s="0" t="s">
        <v>130</v>
      </c>
      <c r="BE1726" s="0" t="s">
        <v>130</v>
      </c>
      <c r="BF1726" s="0" t="s">
        <v>130</v>
      </c>
      <c r="BG1726" s="0" t="s">
        <v>130</v>
      </c>
      <c r="BH1726" s="0" t="s">
        <v>130</v>
      </c>
      <c r="BI1726" s="0" t="s">
        <v>130</v>
      </c>
      <c r="BJ1726" s="0" t="s">
        <v>130</v>
      </c>
      <c r="BK1726" s="0" t="s">
        <v>130</v>
      </c>
      <c r="BL1726" s="0" t="s">
        <v>130</v>
      </c>
      <c r="BM1726" s="0" t="s">
        <v>130</v>
      </c>
      <c r="BN1726" s="0" t="s">
        <v>130</v>
      </c>
      <c r="BO1726" s="0" t="s">
        <v>130</v>
      </c>
      <c r="BP1726" s="0" t="s">
        <v>130</v>
      </c>
      <c r="BQ1726" s="0" t="s">
        <v>130</v>
      </c>
      <c r="BR1726" s="0" t="s">
        <v>130</v>
      </c>
      <c r="BS1726" s="0" t="s">
        <v>130</v>
      </c>
      <c r="BT1726" s="0" t="s">
        <v>130</v>
      </c>
      <c r="BU1726" s="0" t="s">
        <v>130</v>
      </c>
      <c r="BV1726" s="0" t="s">
        <v>130</v>
      </c>
      <c r="BW1726" s="0" t="s">
        <v>130</v>
      </c>
      <c r="BX1726" s="0" t="s">
        <v>130</v>
      </c>
      <c r="BY1726" s="0" t="s">
        <v>130</v>
      </c>
      <c r="BZ1726" s="0" t="s">
        <v>130</v>
      </c>
      <c r="CA1726" s="0" t="s">
        <v>130</v>
      </c>
      <c r="CB1726" s="0" t="s">
        <v>130</v>
      </c>
      <c r="CC1726" s="0" t="s">
        <v>130</v>
      </c>
      <c r="CD1726" s="0" t="s">
        <v>130</v>
      </c>
      <c r="CE1726" s="0" t="s">
        <v>130</v>
      </c>
      <c r="CF1726" s="0" t="s">
        <v>130</v>
      </c>
      <c r="CG1726" s="0" t="s">
        <v>130</v>
      </c>
      <c r="CH1726" s="0" t="s">
        <v>130</v>
      </c>
      <c r="CI1726" s="0" t="s">
        <v>130</v>
      </c>
      <c r="CJ1726" s="0" t="s">
        <v>130</v>
      </c>
      <c r="CK1726" s="0" t="s">
        <v>130</v>
      </c>
      <c r="CL1726" s="0" t="s">
        <v>130</v>
      </c>
      <c r="CM1726" s="0" t="s">
        <v>130</v>
      </c>
      <c r="CN1726" s="0" t="s">
        <v>130</v>
      </c>
      <c r="CO1726" s="0" t="s">
        <v>130</v>
      </c>
      <c r="CP1726" s="0" t="s">
        <v>130</v>
      </c>
      <c r="CQ1726" s="0" t="s">
        <v>130</v>
      </c>
      <c r="CR1726" s="0" t="s">
        <v>130</v>
      </c>
      <c r="CS1726" s="0" t="s">
        <v>130</v>
      </c>
      <c r="CT1726" s="0" t="s">
        <v>4938</v>
      </c>
    </row>
    <row r="1727">
      <c r="A1727" s="14">
        <v>115648</v>
      </c>
      <c r="B1727" s="0" t="s">
        <v>4930</v>
      </c>
      <c r="C1727" s="16">
        <f>HYPERLINK("https://eosportal.federatedhermes.com/companies/Q29tcGFueQppNzI3NTY=", "Akzo Nobel NV")</f>
      </c>
      <c r="D1727" s="0" t="s">
        <v>25</v>
      </c>
      <c r="E1727" s="0" t="s">
        <v>4939</v>
      </c>
      <c r="F1727" s="16">
        <f>HYPERLINK("https://eosportal.federatedhermes.com/engagements/RW5nYWdlbWVudAppMjk1MDI=", "Climate Change Disclosure and Action - Transition Pathway Initiative")</f>
      </c>
      <c r="G1727" s="14" t="s">
        <v>4940</v>
      </c>
      <c r="H1727" s="0" t="s">
        <v>130</v>
      </c>
      <c r="I1727" s="14" t="s">
        <v>319</v>
      </c>
      <c r="J1727" s="0" t="s">
        <v>197</v>
      </c>
      <c r="K1727" s="0" t="s">
        <v>198</v>
      </c>
      <c r="L1727" s="0" t="s">
        <v>199</v>
      </c>
      <c r="M1727" s="0" t="s">
        <v>378</v>
      </c>
      <c r="N1727" s="0" t="s">
        <v>2554</v>
      </c>
      <c r="O1727" s="0" t="s">
        <v>706</v>
      </c>
      <c r="Q1727" s="0" t="s">
        <v>130</v>
      </c>
      <c r="R1727" s="0" t="s">
        <v>138</v>
      </c>
      <c r="S1727" s="14">
        <v>0</v>
      </c>
      <c r="T1727" s="0" t="s">
        <v>355</v>
      </c>
      <c r="U1727" s="0" t="s">
        <v>138</v>
      </c>
      <c r="V1727" s="14" t="s">
        <v>138</v>
      </c>
      <c r="W1727" s="0" t="s">
        <v>138</v>
      </c>
      <c r="X1727" s="14" t="s">
        <v>138</v>
      </c>
      <c r="Y1727" s="0" t="s">
        <v>138</v>
      </c>
      <c r="Z1727" s="14" t="s">
        <v>138</v>
      </c>
      <c r="AA1727" s="0" t="s">
        <v>138</v>
      </c>
      <c r="AB1727" s="14" t="s">
        <v>138</v>
      </c>
      <c r="AD1727" s="0" t="s">
        <v>138</v>
      </c>
      <c r="AF1727" s="0">
        <v>0</v>
      </c>
      <c r="AG1727" s="0">
        <v>0</v>
      </c>
      <c r="AH1727" s="0" t="s">
        <v>140</v>
      </c>
      <c r="AI1727" s="0" t="s">
        <v>138</v>
      </c>
      <c r="AL1727" s="14"/>
      <c r="AN1727" s="14"/>
      <c r="AQ1727" s="0" t="s">
        <v>130</v>
      </c>
      <c r="AR1727" s="0" t="s">
        <v>130</v>
      </c>
      <c r="AS1727" s="0" t="s">
        <v>130</v>
      </c>
      <c r="AT1727" s="0" t="s">
        <v>130</v>
      </c>
      <c r="AU1727" s="0" t="s">
        <v>130</v>
      </c>
      <c r="AV1727" s="0" t="s">
        <v>130</v>
      </c>
      <c r="AW1727" s="0" t="s">
        <v>130</v>
      </c>
      <c r="AX1727" s="0" t="s">
        <v>130</v>
      </c>
      <c r="AY1727" s="0" t="s">
        <v>130</v>
      </c>
      <c r="AZ1727" s="0" t="s">
        <v>130</v>
      </c>
      <c r="BA1727" s="0" t="s">
        <v>130</v>
      </c>
      <c r="BB1727" s="0" t="s">
        <v>141</v>
      </c>
      <c r="BC1727" s="0" t="s">
        <v>130</v>
      </c>
      <c r="BD1727" s="0" t="s">
        <v>130</v>
      </c>
      <c r="BE1727" s="0" t="s">
        <v>130</v>
      </c>
      <c r="BF1727" s="0" t="s">
        <v>130</v>
      </c>
      <c r="BG1727" s="0" t="s">
        <v>130</v>
      </c>
      <c r="BH1727" s="0" t="s">
        <v>130</v>
      </c>
      <c r="BI1727" s="0" t="s">
        <v>130</v>
      </c>
      <c r="BJ1727" s="0" t="s">
        <v>130</v>
      </c>
      <c r="BK1727" s="0" t="s">
        <v>130</v>
      </c>
      <c r="BL1727" s="0" t="s">
        <v>130</v>
      </c>
      <c r="BM1727" s="0" t="s">
        <v>130</v>
      </c>
      <c r="BN1727" s="0" t="s">
        <v>130</v>
      </c>
      <c r="BO1727" s="0" t="s">
        <v>130</v>
      </c>
      <c r="BP1727" s="0" t="s">
        <v>130</v>
      </c>
      <c r="BQ1727" s="0" t="s">
        <v>130</v>
      </c>
      <c r="BR1727" s="0" t="s">
        <v>130</v>
      </c>
      <c r="BS1727" s="0" t="s">
        <v>130</v>
      </c>
      <c r="BT1727" s="0" t="s">
        <v>130</v>
      </c>
      <c r="BU1727" s="0" t="s">
        <v>130</v>
      </c>
      <c r="BV1727" s="0" t="s">
        <v>130</v>
      </c>
      <c r="BW1727" s="0" t="s">
        <v>130</v>
      </c>
      <c r="BX1727" s="0" t="s">
        <v>130</v>
      </c>
      <c r="BY1727" s="0" t="s">
        <v>130</v>
      </c>
      <c r="BZ1727" s="0" t="s">
        <v>130</v>
      </c>
      <c r="CA1727" s="0" t="s">
        <v>130</v>
      </c>
      <c r="CB1727" s="0" t="s">
        <v>130</v>
      </c>
      <c r="CC1727" s="0" t="s">
        <v>130</v>
      </c>
      <c r="CD1727" s="0" t="s">
        <v>130</v>
      </c>
      <c r="CE1727" s="0" t="s">
        <v>130</v>
      </c>
      <c r="CF1727" s="0" t="s">
        <v>130</v>
      </c>
      <c r="CG1727" s="0" t="s">
        <v>130</v>
      </c>
      <c r="CH1727" s="0" t="s">
        <v>130</v>
      </c>
      <c r="CI1727" s="0" t="s">
        <v>130</v>
      </c>
      <c r="CJ1727" s="0" t="s">
        <v>130</v>
      </c>
      <c r="CK1727" s="0" t="s">
        <v>130</v>
      </c>
      <c r="CL1727" s="0" t="s">
        <v>130</v>
      </c>
      <c r="CM1727" s="0" t="s">
        <v>130</v>
      </c>
      <c r="CN1727" s="0" t="s">
        <v>130</v>
      </c>
      <c r="CO1727" s="0" t="s">
        <v>130</v>
      </c>
      <c r="CP1727" s="0" t="s">
        <v>130</v>
      </c>
      <c r="CQ1727" s="0" t="s">
        <v>130</v>
      </c>
      <c r="CR1727" s="0" t="s">
        <v>130</v>
      </c>
      <c r="CS1727" s="0" t="s">
        <v>130</v>
      </c>
      <c r="CT1727" s="0" t="s">
        <v>4941</v>
      </c>
    </row>
    <row r="1728">
      <c r="A1728" s="14">
        <v>115648</v>
      </c>
      <c r="B1728" s="0" t="s">
        <v>4930</v>
      </c>
      <c r="C1728" s="16">
        <f>HYPERLINK("https://eosportal.federatedhermes.com/companies/Q29tcGFueQppNzI3NTY=", "Akzo Nobel NV")</f>
      </c>
      <c r="D1728" s="0" t="s">
        <v>25</v>
      </c>
      <c r="E1728" s="0" t="s">
        <v>146</v>
      </c>
      <c r="F1728" s="16">
        <f>HYPERLINK("https://eosportal.federatedhermes.com/engagements/RW5nYWdlbWVudAppMjk1MDM=", "Executive Remuneration")</f>
      </c>
      <c r="G1728" s="14" t="s">
        <v>4942</v>
      </c>
      <c r="H1728" s="0" t="s">
        <v>130</v>
      </c>
      <c r="I1728" s="14" t="s">
        <v>319</v>
      </c>
      <c r="J1728" s="0" t="s">
        <v>145</v>
      </c>
      <c r="K1728" s="0" t="s">
        <v>146</v>
      </c>
      <c r="L1728" s="0" t="s">
        <v>147</v>
      </c>
      <c r="M1728" s="0" t="s">
        <v>378</v>
      </c>
      <c r="N1728" s="0" t="s">
        <v>2554</v>
      </c>
      <c r="O1728" s="0" t="s">
        <v>706</v>
      </c>
      <c r="Q1728" s="0" t="s">
        <v>130</v>
      </c>
      <c r="R1728" s="0" t="s">
        <v>138</v>
      </c>
      <c r="S1728" s="14">
        <v>0</v>
      </c>
      <c r="T1728" s="0" t="s">
        <v>148</v>
      </c>
      <c r="U1728" s="0" t="s">
        <v>138</v>
      </c>
      <c r="V1728" s="14" t="s">
        <v>138</v>
      </c>
      <c r="W1728" s="0" t="s">
        <v>138</v>
      </c>
      <c r="X1728" s="14" t="s">
        <v>138</v>
      </c>
      <c r="Y1728" s="0" t="s">
        <v>138</v>
      </c>
      <c r="Z1728" s="14" t="s">
        <v>138</v>
      </c>
      <c r="AA1728" s="0" t="s">
        <v>138</v>
      </c>
      <c r="AB1728" s="14" t="s">
        <v>138</v>
      </c>
      <c r="AD1728" s="0" t="s">
        <v>138</v>
      </c>
      <c r="AF1728" s="0">
        <v>0</v>
      </c>
      <c r="AG1728" s="0">
        <v>0</v>
      </c>
      <c r="AH1728" s="0" t="s">
        <v>140</v>
      </c>
      <c r="AI1728" s="0" t="s">
        <v>138</v>
      </c>
      <c r="AL1728" s="14"/>
      <c r="AN1728" s="14"/>
      <c r="AQ1728" s="0" t="s">
        <v>130</v>
      </c>
      <c r="AR1728" s="0" t="s">
        <v>130</v>
      </c>
      <c r="AS1728" s="0" t="s">
        <v>130</v>
      </c>
      <c r="AT1728" s="0" t="s">
        <v>130</v>
      </c>
      <c r="AU1728" s="0" t="s">
        <v>130</v>
      </c>
      <c r="AV1728" s="0" t="s">
        <v>130</v>
      </c>
      <c r="AW1728" s="0" t="s">
        <v>130</v>
      </c>
      <c r="AX1728" s="0" t="s">
        <v>130</v>
      </c>
      <c r="AY1728" s="0" t="s">
        <v>130</v>
      </c>
      <c r="AZ1728" s="0" t="s">
        <v>130</v>
      </c>
      <c r="BA1728" s="0" t="s">
        <v>130</v>
      </c>
      <c r="BB1728" s="0" t="s">
        <v>130</v>
      </c>
      <c r="BC1728" s="0" t="s">
        <v>130</v>
      </c>
      <c r="BD1728" s="0" t="s">
        <v>130</v>
      </c>
      <c r="BE1728" s="0" t="s">
        <v>130</v>
      </c>
      <c r="BF1728" s="0" t="s">
        <v>130</v>
      </c>
      <c r="BG1728" s="0" t="s">
        <v>130</v>
      </c>
      <c r="BH1728" s="0" t="s">
        <v>130</v>
      </c>
      <c r="BI1728" s="0" t="s">
        <v>130</v>
      </c>
      <c r="BJ1728" s="0" t="s">
        <v>130</v>
      </c>
      <c r="BK1728" s="0" t="s">
        <v>130</v>
      </c>
      <c r="BL1728" s="0" t="s">
        <v>130</v>
      </c>
      <c r="BM1728" s="0" t="s">
        <v>130</v>
      </c>
      <c r="BN1728" s="0" t="s">
        <v>130</v>
      </c>
      <c r="BO1728" s="0" t="s">
        <v>130</v>
      </c>
      <c r="BP1728" s="0" t="s">
        <v>130</v>
      </c>
      <c r="BQ1728" s="0" t="s">
        <v>130</v>
      </c>
      <c r="BR1728" s="0" t="s">
        <v>130</v>
      </c>
      <c r="BS1728" s="0" t="s">
        <v>130</v>
      </c>
      <c r="BT1728" s="0" t="s">
        <v>130</v>
      </c>
      <c r="BU1728" s="0" t="s">
        <v>130</v>
      </c>
      <c r="BV1728" s="0" t="s">
        <v>130</v>
      </c>
      <c r="BW1728" s="0" t="s">
        <v>130</v>
      </c>
      <c r="BX1728" s="0" t="s">
        <v>130</v>
      </c>
      <c r="BY1728" s="0" t="s">
        <v>130</v>
      </c>
      <c r="BZ1728" s="0" t="s">
        <v>130</v>
      </c>
      <c r="CA1728" s="0" t="s">
        <v>130</v>
      </c>
      <c r="CB1728" s="0" t="s">
        <v>130</v>
      </c>
      <c r="CC1728" s="0" t="s">
        <v>130</v>
      </c>
      <c r="CD1728" s="0" t="s">
        <v>130</v>
      </c>
      <c r="CE1728" s="0" t="s">
        <v>130</v>
      </c>
      <c r="CF1728" s="0" t="s">
        <v>130</v>
      </c>
      <c r="CG1728" s="0" t="s">
        <v>130</v>
      </c>
      <c r="CH1728" s="0" t="s">
        <v>130</v>
      </c>
      <c r="CI1728" s="0" t="s">
        <v>130</v>
      </c>
      <c r="CJ1728" s="0" t="s">
        <v>130</v>
      </c>
      <c r="CK1728" s="0" t="s">
        <v>130</v>
      </c>
      <c r="CL1728" s="0" t="s">
        <v>130</v>
      </c>
      <c r="CM1728" s="0" t="s">
        <v>130</v>
      </c>
      <c r="CN1728" s="0" t="s">
        <v>130</v>
      </c>
      <c r="CO1728" s="0" t="s">
        <v>130</v>
      </c>
      <c r="CP1728" s="0" t="s">
        <v>130</v>
      </c>
      <c r="CQ1728" s="0" t="s">
        <v>130</v>
      </c>
      <c r="CR1728" s="0" t="s">
        <v>130</v>
      </c>
      <c r="CS1728" s="0" t="s">
        <v>130</v>
      </c>
      <c r="CT1728" s="0" t="s">
        <v>4943</v>
      </c>
    </row>
    <row r="1729">
      <c r="A1729" s="14">
        <v>117976</v>
      </c>
      <c r="B1729" s="0" t="s">
        <v>4944</v>
      </c>
      <c r="C1729" s="16">
        <f>HYPERLINK("https://eosportal.federatedhermes.com/companies/Q29tcGFueQppNTg5MTU=", "Sika AG")</f>
      </c>
      <c r="D1729" s="0" t="s">
        <v>25</v>
      </c>
      <c r="E1729" s="0" t="s">
        <v>441</v>
      </c>
      <c r="F1729" s="16">
        <f>HYPERLINK("https://eosportal.federatedhermes.com/engagements/RW5nYWdlbWVudAppMjk1MjU=", "Auditor tenure")</f>
      </c>
      <c r="G1729" s="14" t="s">
        <v>4945</v>
      </c>
      <c r="H1729" s="0" t="s">
        <v>141</v>
      </c>
      <c r="I1729" s="14" t="s">
        <v>191</v>
      </c>
      <c r="J1729" s="0" t="s">
        <v>132</v>
      </c>
      <c r="K1729" s="0" t="s">
        <v>170</v>
      </c>
      <c r="L1729" s="0" t="s">
        <v>310</v>
      </c>
      <c r="M1729" s="0" t="s">
        <v>378</v>
      </c>
      <c r="N1729" s="0" t="s">
        <v>1059</v>
      </c>
      <c r="O1729" s="0" t="s">
        <v>706</v>
      </c>
      <c r="Q1729" s="0" t="s">
        <v>130</v>
      </c>
      <c r="R1729" s="0" t="s">
        <v>138</v>
      </c>
      <c r="S1729" s="14">
        <v>0</v>
      </c>
      <c r="T1729" s="0" t="s">
        <v>355</v>
      </c>
      <c r="U1729" s="0" t="s">
        <v>138</v>
      </c>
      <c r="V1729" s="14" t="s">
        <v>138</v>
      </c>
      <c r="W1729" s="0" t="s">
        <v>138</v>
      </c>
      <c r="X1729" s="14" t="s">
        <v>138</v>
      </c>
      <c r="Y1729" s="0" t="s">
        <v>138</v>
      </c>
      <c r="Z1729" s="14" t="s">
        <v>138</v>
      </c>
      <c r="AA1729" s="0" t="s">
        <v>138</v>
      </c>
      <c r="AB1729" s="14" t="s">
        <v>138</v>
      </c>
      <c r="AD1729" s="0" t="s">
        <v>138</v>
      </c>
      <c r="AF1729" s="0">
        <v>0</v>
      </c>
      <c r="AG1729" s="0">
        <v>0</v>
      </c>
      <c r="AH1729" s="0" t="s">
        <v>140</v>
      </c>
      <c r="AI1729" s="0" t="s">
        <v>138</v>
      </c>
      <c r="AL1729" s="14"/>
      <c r="AN1729" s="14"/>
      <c r="AQ1729" s="0" t="s">
        <v>130</v>
      </c>
      <c r="AR1729" s="0" t="s">
        <v>130</v>
      </c>
      <c r="AS1729" s="0" t="s">
        <v>130</v>
      </c>
      <c r="AT1729" s="0" t="s">
        <v>130</v>
      </c>
      <c r="AU1729" s="0" t="s">
        <v>130</v>
      </c>
      <c r="AV1729" s="0" t="s">
        <v>130</v>
      </c>
      <c r="AW1729" s="0" t="s">
        <v>130</v>
      </c>
      <c r="AX1729" s="0" t="s">
        <v>130</v>
      </c>
      <c r="AY1729" s="0" t="s">
        <v>130</v>
      </c>
      <c r="AZ1729" s="0" t="s">
        <v>130</v>
      </c>
      <c r="BA1729" s="0" t="s">
        <v>130</v>
      </c>
      <c r="BB1729" s="0" t="s">
        <v>130</v>
      </c>
      <c r="BC1729" s="0" t="s">
        <v>130</v>
      </c>
      <c r="BD1729" s="0" t="s">
        <v>130</v>
      </c>
      <c r="BE1729" s="0" t="s">
        <v>130</v>
      </c>
      <c r="BF1729" s="0" t="s">
        <v>130</v>
      </c>
      <c r="BG1729" s="0" t="s">
        <v>130</v>
      </c>
      <c r="BH1729" s="0" t="s">
        <v>130</v>
      </c>
      <c r="BI1729" s="0" t="s">
        <v>130</v>
      </c>
      <c r="BJ1729" s="0" t="s">
        <v>130</v>
      </c>
      <c r="BK1729" s="0" t="s">
        <v>130</v>
      </c>
      <c r="BL1729" s="0" t="s">
        <v>130</v>
      </c>
      <c r="BM1729" s="0" t="s">
        <v>130</v>
      </c>
      <c r="BN1729" s="0" t="s">
        <v>130</v>
      </c>
      <c r="BO1729" s="0" t="s">
        <v>130</v>
      </c>
      <c r="BP1729" s="0" t="s">
        <v>130</v>
      </c>
      <c r="BQ1729" s="0" t="s">
        <v>130</v>
      </c>
      <c r="BR1729" s="0" t="s">
        <v>130</v>
      </c>
      <c r="BS1729" s="0" t="s">
        <v>130</v>
      </c>
      <c r="BT1729" s="0" t="s">
        <v>130</v>
      </c>
      <c r="BU1729" s="0" t="s">
        <v>130</v>
      </c>
      <c r="BV1729" s="0" t="s">
        <v>130</v>
      </c>
      <c r="BW1729" s="0" t="s">
        <v>130</v>
      </c>
      <c r="BX1729" s="0" t="s">
        <v>130</v>
      </c>
      <c r="BY1729" s="0" t="s">
        <v>130</v>
      </c>
      <c r="BZ1729" s="0" t="s">
        <v>130</v>
      </c>
      <c r="CA1729" s="0" t="s">
        <v>130</v>
      </c>
      <c r="CB1729" s="0" t="s">
        <v>130</v>
      </c>
      <c r="CC1729" s="0" t="s">
        <v>130</v>
      </c>
      <c r="CD1729" s="0" t="s">
        <v>130</v>
      </c>
      <c r="CE1729" s="0" t="s">
        <v>130</v>
      </c>
      <c r="CF1729" s="0" t="s">
        <v>130</v>
      </c>
      <c r="CG1729" s="0" t="s">
        <v>130</v>
      </c>
      <c r="CH1729" s="0" t="s">
        <v>130</v>
      </c>
      <c r="CI1729" s="0" t="s">
        <v>130</v>
      </c>
      <c r="CJ1729" s="0" t="s">
        <v>130</v>
      </c>
      <c r="CK1729" s="0" t="s">
        <v>130</v>
      </c>
      <c r="CL1729" s="0" t="s">
        <v>130</v>
      </c>
      <c r="CM1729" s="0" t="s">
        <v>130</v>
      </c>
      <c r="CN1729" s="0" t="s">
        <v>130</v>
      </c>
      <c r="CO1729" s="0" t="s">
        <v>130</v>
      </c>
      <c r="CP1729" s="0" t="s">
        <v>130</v>
      </c>
      <c r="CQ1729" s="0" t="s">
        <v>130</v>
      </c>
      <c r="CR1729" s="0" t="s">
        <v>130</v>
      </c>
      <c r="CS1729" s="0" t="s">
        <v>130</v>
      </c>
      <c r="CT1729" s="0" t="s">
        <v>4946</v>
      </c>
    </row>
    <row r="1730">
      <c r="A1730" s="14">
        <v>117976</v>
      </c>
      <c r="B1730" s="0" t="s">
        <v>4944</v>
      </c>
      <c r="C1730" s="16">
        <f>HYPERLINK("https://eosportal.federatedhermes.com/companies/Q29tcGFueQppNTg5MTU=", "Sika AG")</f>
      </c>
      <c r="D1730" s="0" t="s">
        <v>25</v>
      </c>
      <c r="E1730" s="0" t="s">
        <v>4947</v>
      </c>
      <c r="F1730" s="16">
        <f>HYPERLINK("https://eosportal.federatedhermes.com/engagements/RW5nYWdlbWVudAppMjk1MjY=", "Audit committee independence")</f>
      </c>
      <c r="G1730" s="14" t="s">
        <v>4948</v>
      </c>
      <c r="H1730" s="0" t="s">
        <v>141</v>
      </c>
      <c r="I1730" s="14" t="s">
        <v>191</v>
      </c>
      <c r="J1730" s="0" t="s">
        <v>145</v>
      </c>
      <c r="K1730" s="0" t="s">
        <v>164</v>
      </c>
      <c r="L1730" s="0" t="s">
        <v>165</v>
      </c>
      <c r="M1730" s="0" t="s">
        <v>378</v>
      </c>
      <c r="N1730" s="0" t="s">
        <v>1059</v>
      </c>
      <c r="O1730" s="0" t="s">
        <v>706</v>
      </c>
      <c r="Q1730" s="0" t="s">
        <v>130</v>
      </c>
      <c r="R1730" s="0" t="s">
        <v>138</v>
      </c>
      <c r="S1730" s="14">
        <v>0</v>
      </c>
      <c r="T1730" s="0" t="s">
        <v>355</v>
      </c>
      <c r="U1730" s="0" t="s">
        <v>138</v>
      </c>
      <c r="V1730" s="14" t="s">
        <v>138</v>
      </c>
      <c r="W1730" s="0" t="s">
        <v>138</v>
      </c>
      <c r="X1730" s="14" t="s">
        <v>138</v>
      </c>
      <c r="Y1730" s="0" t="s">
        <v>138</v>
      </c>
      <c r="Z1730" s="14" t="s">
        <v>138</v>
      </c>
      <c r="AA1730" s="0" t="s">
        <v>138</v>
      </c>
      <c r="AB1730" s="14" t="s">
        <v>138</v>
      </c>
      <c r="AD1730" s="0" t="s">
        <v>138</v>
      </c>
      <c r="AF1730" s="0">
        <v>0</v>
      </c>
      <c r="AG1730" s="0">
        <v>0</v>
      </c>
      <c r="AH1730" s="0" t="s">
        <v>140</v>
      </c>
      <c r="AI1730" s="0" t="s">
        <v>138</v>
      </c>
      <c r="AL1730" s="14"/>
      <c r="AN1730" s="14"/>
      <c r="AQ1730" s="0" t="s">
        <v>130</v>
      </c>
      <c r="AR1730" s="0" t="s">
        <v>130</v>
      </c>
      <c r="AS1730" s="0" t="s">
        <v>130</v>
      </c>
      <c r="AT1730" s="0" t="s">
        <v>130</v>
      </c>
      <c r="AU1730" s="0" t="s">
        <v>130</v>
      </c>
      <c r="AV1730" s="0" t="s">
        <v>130</v>
      </c>
      <c r="AW1730" s="0" t="s">
        <v>130</v>
      </c>
      <c r="AX1730" s="0" t="s">
        <v>130</v>
      </c>
      <c r="AY1730" s="0" t="s">
        <v>130</v>
      </c>
      <c r="AZ1730" s="0" t="s">
        <v>130</v>
      </c>
      <c r="BA1730" s="0" t="s">
        <v>130</v>
      </c>
      <c r="BB1730" s="0" t="s">
        <v>130</v>
      </c>
      <c r="BC1730" s="0" t="s">
        <v>130</v>
      </c>
      <c r="BD1730" s="0" t="s">
        <v>130</v>
      </c>
      <c r="BE1730" s="0" t="s">
        <v>130</v>
      </c>
      <c r="BF1730" s="0" t="s">
        <v>130</v>
      </c>
      <c r="BG1730" s="0" t="s">
        <v>130</v>
      </c>
      <c r="BH1730" s="0" t="s">
        <v>130</v>
      </c>
      <c r="BI1730" s="0" t="s">
        <v>130</v>
      </c>
      <c r="BJ1730" s="0" t="s">
        <v>130</v>
      </c>
      <c r="BK1730" s="0" t="s">
        <v>130</v>
      </c>
      <c r="BL1730" s="0" t="s">
        <v>130</v>
      </c>
      <c r="BM1730" s="0" t="s">
        <v>130</v>
      </c>
      <c r="BN1730" s="0" t="s">
        <v>130</v>
      </c>
      <c r="BO1730" s="0" t="s">
        <v>130</v>
      </c>
      <c r="BP1730" s="0" t="s">
        <v>130</v>
      </c>
      <c r="BQ1730" s="0" t="s">
        <v>130</v>
      </c>
      <c r="BR1730" s="0" t="s">
        <v>130</v>
      </c>
      <c r="BS1730" s="0" t="s">
        <v>130</v>
      </c>
      <c r="BT1730" s="0" t="s">
        <v>130</v>
      </c>
      <c r="BU1730" s="0" t="s">
        <v>130</v>
      </c>
      <c r="BV1730" s="0" t="s">
        <v>130</v>
      </c>
      <c r="BW1730" s="0" t="s">
        <v>130</v>
      </c>
      <c r="BX1730" s="0" t="s">
        <v>130</v>
      </c>
      <c r="BY1730" s="0" t="s">
        <v>130</v>
      </c>
      <c r="BZ1730" s="0" t="s">
        <v>130</v>
      </c>
      <c r="CA1730" s="0" t="s">
        <v>130</v>
      </c>
      <c r="CB1730" s="0" t="s">
        <v>130</v>
      </c>
      <c r="CC1730" s="0" t="s">
        <v>130</v>
      </c>
      <c r="CD1730" s="0" t="s">
        <v>130</v>
      </c>
      <c r="CE1730" s="0" t="s">
        <v>130</v>
      </c>
      <c r="CF1730" s="0" t="s">
        <v>130</v>
      </c>
      <c r="CG1730" s="0" t="s">
        <v>130</v>
      </c>
      <c r="CH1730" s="0" t="s">
        <v>130</v>
      </c>
      <c r="CI1730" s="0" t="s">
        <v>130</v>
      </c>
      <c r="CJ1730" s="0" t="s">
        <v>130</v>
      </c>
      <c r="CK1730" s="0" t="s">
        <v>130</v>
      </c>
      <c r="CL1730" s="0" t="s">
        <v>130</v>
      </c>
      <c r="CM1730" s="0" t="s">
        <v>130</v>
      </c>
      <c r="CN1730" s="0" t="s">
        <v>130</v>
      </c>
      <c r="CO1730" s="0" t="s">
        <v>130</v>
      </c>
      <c r="CP1730" s="0" t="s">
        <v>130</v>
      </c>
      <c r="CQ1730" s="0" t="s">
        <v>130</v>
      </c>
      <c r="CR1730" s="0" t="s">
        <v>130</v>
      </c>
      <c r="CS1730" s="0" t="s">
        <v>130</v>
      </c>
      <c r="CT1730" s="0" t="s">
        <v>4949</v>
      </c>
    </row>
    <row r="1731">
      <c r="A1731" s="14">
        <v>117976</v>
      </c>
      <c r="B1731" s="0" t="s">
        <v>4944</v>
      </c>
      <c r="C1731" s="16">
        <f>HYPERLINK("https://eosportal.federatedhermes.com/companies/Q29tcGFueQppNTg5MTU=", "Sika AG")</f>
      </c>
      <c r="D1731" s="0" t="s">
        <v>25</v>
      </c>
      <c r="E1731" s="0" t="s">
        <v>729</v>
      </c>
      <c r="F1731" s="16">
        <f>HYPERLINK("https://eosportal.federatedhermes.com/engagements/RW5nYWdlbWVudAppMjk1Mjc=", "Board diversity")</f>
      </c>
      <c r="G1731" s="14" t="s">
        <v>4950</v>
      </c>
      <c r="H1731" s="0" t="s">
        <v>141</v>
      </c>
      <c r="I1731" s="14" t="s">
        <v>191</v>
      </c>
      <c r="J1731" s="0" t="s">
        <v>145</v>
      </c>
      <c r="K1731" s="0" t="s">
        <v>164</v>
      </c>
      <c r="L1731" s="0" t="s">
        <v>165</v>
      </c>
      <c r="M1731" s="0" t="s">
        <v>378</v>
      </c>
      <c r="N1731" s="0" t="s">
        <v>1059</v>
      </c>
      <c r="O1731" s="0" t="s">
        <v>706</v>
      </c>
      <c r="Q1731" s="0" t="s">
        <v>130</v>
      </c>
      <c r="R1731" s="0" t="s">
        <v>138</v>
      </c>
      <c r="S1731" s="14">
        <v>0</v>
      </c>
      <c r="T1731" s="0" t="s">
        <v>288</v>
      </c>
      <c r="U1731" s="0" t="s">
        <v>138</v>
      </c>
      <c r="V1731" s="14" t="s">
        <v>138</v>
      </c>
      <c r="W1731" s="0" t="s">
        <v>138</v>
      </c>
      <c r="X1731" s="14" t="s">
        <v>138</v>
      </c>
      <c r="Y1731" s="0" t="s">
        <v>138</v>
      </c>
      <c r="Z1731" s="14" t="s">
        <v>138</v>
      </c>
      <c r="AA1731" s="0" t="s">
        <v>138</v>
      </c>
      <c r="AB1731" s="14" t="s">
        <v>138</v>
      </c>
      <c r="AD1731" s="0" t="s">
        <v>138</v>
      </c>
      <c r="AF1731" s="0">
        <v>0</v>
      </c>
      <c r="AG1731" s="0">
        <v>0</v>
      </c>
      <c r="AH1731" s="0" t="s">
        <v>140</v>
      </c>
      <c r="AI1731" s="0" t="s">
        <v>138</v>
      </c>
      <c r="AL1731" s="14"/>
      <c r="AN1731" s="14"/>
      <c r="AQ1731" s="0" t="s">
        <v>130</v>
      </c>
      <c r="AR1731" s="0" t="s">
        <v>130</v>
      </c>
      <c r="AS1731" s="0" t="s">
        <v>130</v>
      </c>
      <c r="AT1731" s="0" t="s">
        <v>130</v>
      </c>
      <c r="AU1731" s="0" t="s">
        <v>141</v>
      </c>
      <c r="AV1731" s="0" t="s">
        <v>130</v>
      </c>
      <c r="AW1731" s="0" t="s">
        <v>130</v>
      </c>
      <c r="AX1731" s="0" t="s">
        <v>130</v>
      </c>
      <c r="AY1731" s="0" t="s">
        <v>130</v>
      </c>
      <c r="AZ1731" s="0" t="s">
        <v>141</v>
      </c>
      <c r="BA1731" s="0" t="s">
        <v>130</v>
      </c>
      <c r="BB1731" s="0" t="s">
        <v>130</v>
      </c>
      <c r="BC1731" s="0" t="s">
        <v>130</v>
      </c>
      <c r="BD1731" s="0" t="s">
        <v>130</v>
      </c>
      <c r="BE1731" s="0" t="s">
        <v>130</v>
      </c>
      <c r="BF1731" s="0" t="s">
        <v>130</v>
      </c>
      <c r="BG1731" s="0" t="s">
        <v>130</v>
      </c>
      <c r="BH1731" s="0" t="s">
        <v>130</v>
      </c>
      <c r="BI1731" s="0" t="s">
        <v>130</v>
      </c>
      <c r="BJ1731" s="0" t="s">
        <v>130</v>
      </c>
      <c r="BK1731" s="0" t="s">
        <v>130</v>
      </c>
      <c r="BL1731" s="0" t="s">
        <v>130</v>
      </c>
      <c r="BM1731" s="0" t="s">
        <v>130</v>
      </c>
      <c r="BN1731" s="0" t="s">
        <v>130</v>
      </c>
      <c r="BO1731" s="0" t="s">
        <v>130</v>
      </c>
      <c r="BP1731" s="0" t="s">
        <v>130</v>
      </c>
      <c r="BQ1731" s="0" t="s">
        <v>130</v>
      </c>
      <c r="BR1731" s="0" t="s">
        <v>130</v>
      </c>
      <c r="BS1731" s="0" t="s">
        <v>130</v>
      </c>
      <c r="BT1731" s="0" t="s">
        <v>130</v>
      </c>
      <c r="BU1731" s="0" t="s">
        <v>130</v>
      </c>
      <c r="BV1731" s="0" t="s">
        <v>130</v>
      </c>
      <c r="BW1731" s="0" t="s">
        <v>130</v>
      </c>
      <c r="BX1731" s="0" t="s">
        <v>130</v>
      </c>
      <c r="BY1731" s="0" t="s">
        <v>130</v>
      </c>
      <c r="BZ1731" s="0" t="s">
        <v>130</v>
      </c>
      <c r="CA1731" s="0" t="s">
        <v>130</v>
      </c>
      <c r="CB1731" s="0" t="s">
        <v>130</v>
      </c>
      <c r="CC1731" s="0" t="s">
        <v>130</v>
      </c>
      <c r="CD1731" s="0" t="s">
        <v>130</v>
      </c>
      <c r="CE1731" s="0" t="s">
        <v>130</v>
      </c>
      <c r="CF1731" s="0" t="s">
        <v>130</v>
      </c>
      <c r="CG1731" s="0" t="s">
        <v>130</v>
      </c>
      <c r="CH1731" s="0" t="s">
        <v>130</v>
      </c>
      <c r="CI1731" s="0" t="s">
        <v>130</v>
      </c>
      <c r="CJ1731" s="0" t="s">
        <v>130</v>
      </c>
      <c r="CK1731" s="0" t="s">
        <v>130</v>
      </c>
      <c r="CL1731" s="0" t="s">
        <v>130</v>
      </c>
      <c r="CM1731" s="0" t="s">
        <v>130</v>
      </c>
      <c r="CN1731" s="0" t="s">
        <v>130</v>
      </c>
      <c r="CO1731" s="0" t="s">
        <v>130</v>
      </c>
      <c r="CP1731" s="0" t="s">
        <v>130</v>
      </c>
      <c r="CQ1731" s="0" t="s">
        <v>130</v>
      </c>
      <c r="CR1731" s="0" t="s">
        <v>130</v>
      </c>
      <c r="CS1731" s="0" t="s">
        <v>130</v>
      </c>
      <c r="CT1731" s="0" t="s">
        <v>4951</v>
      </c>
    </row>
    <row r="1732">
      <c r="A1732" s="14">
        <v>117976</v>
      </c>
      <c r="B1732" s="0" t="s">
        <v>4944</v>
      </c>
      <c r="C1732" s="16">
        <f>HYPERLINK("https://eosportal.federatedhermes.com/companies/Q29tcGFueQppNTg5MTU=", "Sika AG")</f>
      </c>
      <c r="D1732" s="0" t="s">
        <v>25</v>
      </c>
      <c r="E1732" s="0" t="s">
        <v>4952</v>
      </c>
      <c r="F1732" s="16">
        <f>HYPERLINK("https://eosportal.federatedhermes.com/engagements/RW5nYWdlbWVudAppMjk1MzA=", "Racial diversity of board and executive management")</f>
      </c>
      <c r="G1732" s="14" t="s">
        <v>4953</v>
      </c>
      <c r="H1732" s="0" t="s">
        <v>141</v>
      </c>
      <c r="I1732" s="14" t="s">
        <v>191</v>
      </c>
      <c r="J1732" s="0" t="s">
        <v>145</v>
      </c>
      <c r="K1732" s="0" t="s">
        <v>164</v>
      </c>
      <c r="L1732" s="0" t="s">
        <v>165</v>
      </c>
      <c r="M1732" s="0" t="s">
        <v>378</v>
      </c>
      <c r="N1732" s="0" t="s">
        <v>1059</v>
      </c>
      <c r="O1732" s="0" t="s">
        <v>706</v>
      </c>
      <c r="Q1732" s="0" t="s">
        <v>130</v>
      </c>
      <c r="R1732" s="0" t="s">
        <v>138</v>
      </c>
      <c r="S1732" s="14">
        <v>0</v>
      </c>
      <c r="T1732" s="0" t="s">
        <v>355</v>
      </c>
      <c r="U1732" s="0" t="s">
        <v>138</v>
      </c>
      <c r="V1732" s="14" t="s">
        <v>138</v>
      </c>
      <c r="W1732" s="0" t="s">
        <v>138</v>
      </c>
      <c r="X1732" s="14" t="s">
        <v>138</v>
      </c>
      <c r="Y1732" s="0" t="s">
        <v>138</v>
      </c>
      <c r="Z1732" s="14" t="s">
        <v>138</v>
      </c>
      <c r="AA1732" s="0" t="s">
        <v>138</v>
      </c>
      <c r="AB1732" s="14" t="s">
        <v>138</v>
      </c>
      <c r="AD1732" s="0" t="s">
        <v>138</v>
      </c>
      <c r="AF1732" s="0">
        <v>0</v>
      </c>
      <c r="AG1732" s="0">
        <v>0</v>
      </c>
      <c r="AH1732" s="0" t="s">
        <v>140</v>
      </c>
      <c r="AI1732" s="0" t="s">
        <v>138</v>
      </c>
      <c r="AL1732" s="14"/>
      <c r="AN1732" s="14"/>
      <c r="AQ1732" s="0" t="s">
        <v>130</v>
      </c>
      <c r="AR1732" s="0" t="s">
        <v>130</v>
      </c>
      <c r="AS1732" s="0" t="s">
        <v>130</v>
      </c>
      <c r="AT1732" s="0" t="s">
        <v>130</v>
      </c>
      <c r="AU1732" s="0" t="s">
        <v>130</v>
      </c>
      <c r="AV1732" s="0" t="s">
        <v>130</v>
      </c>
      <c r="AW1732" s="0" t="s">
        <v>130</v>
      </c>
      <c r="AX1732" s="0" t="s">
        <v>130</v>
      </c>
      <c r="AY1732" s="0" t="s">
        <v>130</v>
      </c>
      <c r="AZ1732" s="0" t="s">
        <v>141</v>
      </c>
      <c r="BA1732" s="0" t="s">
        <v>130</v>
      </c>
      <c r="BB1732" s="0" t="s">
        <v>130</v>
      </c>
      <c r="BC1732" s="0" t="s">
        <v>130</v>
      </c>
      <c r="BD1732" s="0" t="s">
        <v>130</v>
      </c>
      <c r="BE1732" s="0" t="s">
        <v>130</v>
      </c>
      <c r="BF1732" s="0" t="s">
        <v>130</v>
      </c>
      <c r="BG1732" s="0" t="s">
        <v>130</v>
      </c>
      <c r="BH1732" s="0" t="s">
        <v>130</v>
      </c>
      <c r="BI1732" s="0" t="s">
        <v>130</v>
      </c>
      <c r="BJ1732" s="0" t="s">
        <v>130</v>
      </c>
      <c r="BK1732" s="0" t="s">
        <v>130</v>
      </c>
      <c r="BL1732" s="0" t="s">
        <v>130</v>
      </c>
      <c r="BM1732" s="0" t="s">
        <v>130</v>
      </c>
      <c r="BN1732" s="0" t="s">
        <v>130</v>
      </c>
      <c r="BO1732" s="0" t="s">
        <v>130</v>
      </c>
      <c r="BP1732" s="0" t="s">
        <v>130</v>
      </c>
      <c r="BQ1732" s="0" t="s">
        <v>130</v>
      </c>
      <c r="BR1732" s="0" t="s">
        <v>130</v>
      </c>
      <c r="BS1732" s="0" t="s">
        <v>130</v>
      </c>
      <c r="BT1732" s="0" t="s">
        <v>130</v>
      </c>
      <c r="BU1732" s="0" t="s">
        <v>130</v>
      </c>
      <c r="BV1732" s="0" t="s">
        <v>130</v>
      </c>
      <c r="BW1732" s="0" t="s">
        <v>130</v>
      </c>
      <c r="BX1732" s="0" t="s">
        <v>130</v>
      </c>
      <c r="BY1732" s="0" t="s">
        <v>130</v>
      </c>
      <c r="BZ1732" s="0" t="s">
        <v>130</v>
      </c>
      <c r="CA1732" s="0" t="s">
        <v>130</v>
      </c>
      <c r="CB1732" s="0" t="s">
        <v>130</v>
      </c>
      <c r="CC1732" s="0" t="s">
        <v>130</v>
      </c>
      <c r="CD1732" s="0" t="s">
        <v>130</v>
      </c>
      <c r="CE1732" s="0" t="s">
        <v>130</v>
      </c>
      <c r="CF1732" s="0" t="s">
        <v>130</v>
      </c>
      <c r="CG1732" s="0" t="s">
        <v>130</v>
      </c>
      <c r="CH1732" s="0" t="s">
        <v>130</v>
      </c>
      <c r="CI1732" s="0" t="s">
        <v>130</v>
      </c>
      <c r="CJ1732" s="0" t="s">
        <v>130</v>
      </c>
      <c r="CK1732" s="0" t="s">
        <v>130</v>
      </c>
      <c r="CL1732" s="0" t="s">
        <v>130</v>
      </c>
      <c r="CM1732" s="0" t="s">
        <v>130</v>
      </c>
      <c r="CN1732" s="0" t="s">
        <v>130</v>
      </c>
      <c r="CO1732" s="0" t="s">
        <v>130</v>
      </c>
      <c r="CP1732" s="0" t="s">
        <v>130</v>
      </c>
      <c r="CQ1732" s="0" t="s">
        <v>130</v>
      </c>
      <c r="CR1732" s="0" t="s">
        <v>130</v>
      </c>
      <c r="CS1732" s="0" t="s">
        <v>130</v>
      </c>
      <c r="CT1732" s="0" t="s">
        <v>4954</v>
      </c>
    </row>
    <row r="1733">
      <c r="A1733" s="14">
        <v>156276</v>
      </c>
      <c r="B1733" s="0" t="s">
        <v>4955</v>
      </c>
      <c r="C1733" s="16">
        <f>HYPERLINK("https://eosportal.federatedhermes.com/companies/Q29tcGFueQppNTY2Njc=", "Lonza Group AG")</f>
      </c>
      <c r="D1733" s="0" t="s">
        <v>25</v>
      </c>
      <c r="E1733" s="0" t="s">
        <v>4956</v>
      </c>
      <c r="F1733" s="16">
        <f>HYPERLINK("https://eosportal.federatedhermes.com/engagements/RW5nYWdlbWVudAppMjk1NDM=", "Product quality and safety &amp; pollution")</f>
      </c>
      <c r="G1733" s="14" t="s">
        <v>4957</v>
      </c>
      <c r="H1733" s="0" t="s">
        <v>130</v>
      </c>
      <c r="I1733" s="14" t="s">
        <v>319</v>
      </c>
      <c r="J1733" s="0" t="s">
        <v>132</v>
      </c>
      <c r="K1733" s="0" t="s">
        <v>133</v>
      </c>
      <c r="L1733" s="0" t="s">
        <v>160</v>
      </c>
      <c r="M1733" s="0" t="s">
        <v>378</v>
      </c>
      <c r="N1733" s="0" t="s">
        <v>1059</v>
      </c>
      <c r="O1733" s="0" t="s">
        <v>274</v>
      </c>
      <c r="Q1733" s="0" t="s">
        <v>130</v>
      </c>
      <c r="R1733" s="0" t="s">
        <v>138</v>
      </c>
      <c r="S1733" s="14">
        <v>0</v>
      </c>
      <c r="T1733" s="0" t="s">
        <v>288</v>
      </c>
      <c r="U1733" s="0" t="s">
        <v>138</v>
      </c>
      <c r="V1733" s="14" t="s">
        <v>138</v>
      </c>
      <c r="W1733" s="0" t="s">
        <v>138</v>
      </c>
      <c r="X1733" s="14" t="s">
        <v>138</v>
      </c>
      <c r="Y1733" s="0" t="s">
        <v>138</v>
      </c>
      <c r="Z1733" s="14" t="s">
        <v>138</v>
      </c>
      <c r="AA1733" s="0" t="s">
        <v>138</v>
      </c>
      <c r="AB1733" s="14" t="s">
        <v>138</v>
      </c>
      <c r="AD1733" s="0" t="s">
        <v>138</v>
      </c>
      <c r="AF1733" s="0">
        <v>0</v>
      </c>
      <c r="AG1733" s="0">
        <v>0</v>
      </c>
      <c r="AH1733" s="0" t="s">
        <v>140</v>
      </c>
      <c r="AI1733" s="0" t="s">
        <v>138</v>
      </c>
      <c r="AL1733" s="14"/>
      <c r="AN1733" s="14"/>
      <c r="AQ1733" s="0" t="s">
        <v>130</v>
      </c>
      <c r="AR1733" s="0" t="s">
        <v>130</v>
      </c>
      <c r="AS1733" s="0" t="s">
        <v>130</v>
      </c>
      <c r="AT1733" s="0" t="s">
        <v>130</v>
      </c>
      <c r="AU1733" s="0" t="s">
        <v>130</v>
      </c>
      <c r="AV1733" s="0" t="s">
        <v>130</v>
      </c>
      <c r="AW1733" s="0" t="s">
        <v>130</v>
      </c>
      <c r="AX1733" s="0" t="s">
        <v>130</v>
      </c>
      <c r="AY1733" s="0" t="s">
        <v>130</v>
      </c>
      <c r="AZ1733" s="0" t="s">
        <v>130</v>
      </c>
      <c r="BA1733" s="0" t="s">
        <v>130</v>
      </c>
      <c r="BB1733" s="0" t="s">
        <v>141</v>
      </c>
      <c r="BC1733" s="0" t="s">
        <v>130</v>
      </c>
      <c r="BD1733" s="0" t="s">
        <v>130</v>
      </c>
      <c r="BE1733" s="0" t="s">
        <v>141</v>
      </c>
      <c r="BF1733" s="0" t="s">
        <v>130</v>
      </c>
      <c r="BG1733" s="0" t="s">
        <v>130</v>
      </c>
      <c r="BH1733" s="0" t="s">
        <v>130</v>
      </c>
      <c r="BI1733" s="0" t="s">
        <v>130</v>
      </c>
      <c r="BJ1733" s="0" t="s">
        <v>130</v>
      </c>
      <c r="BK1733" s="0" t="s">
        <v>130</v>
      </c>
      <c r="BL1733" s="0" t="s">
        <v>130</v>
      </c>
      <c r="BM1733" s="0" t="s">
        <v>130</v>
      </c>
      <c r="BN1733" s="0" t="s">
        <v>130</v>
      </c>
      <c r="BO1733" s="0" t="s">
        <v>130</v>
      </c>
      <c r="BP1733" s="0" t="s">
        <v>130</v>
      </c>
      <c r="BQ1733" s="0" t="s">
        <v>130</v>
      </c>
      <c r="BR1733" s="0" t="s">
        <v>130</v>
      </c>
      <c r="BS1733" s="0" t="s">
        <v>130</v>
      </c>
      <c r="BT1733" s="0" t="s">
        <v>130</v>
      </c>
      <c r="BU1733" s="0" t="s">
        <v>130</v>
      </c>
      <c r="BV1733" s="0" t="s">
        <v>130</v>
      </c>
      <c r="BW1733" s="0" t="s">
        <v>130</v>
      </c>
      <c r="BX1733" s="0" t="s">
        <v>130</v>
      </c>
      <c r="BY1733" s="0" t="s">
        <v>130</v>
      </c>
      <c r="BZ1733" s="0" t="s">
        <v>130</v>
      </c>
      <c r="CA1733" s="0" t="s">
        <v>130</v>
      </c>
      <c r="CB1733" s="0" t="s">
        <v>130</v>
      </c>
      <c r="CC1733" s="0" t="s">
        <v>130</v>
      </c>
      <c r="CD1733" s="0" t="s">
        <v>130</v>
      </c>
      <c r="CE1733" s="0" t="s">
        <v>130</v>
      </c>
      <c r="CF1733" s="0" t="s">
        <v>130</v>
      </c>
      <c r="CG1733" s="0" t="s">
        <v>130</v>
      </c>
      <c r="CH1733" s="0" t="s">
        <v>130</v>
      </c>
      <c r="CI1733" s="0" t="s">
        <v>130</v>
      </c>
      <c r="CJ1733" s="0" t="s">
        <v>130</v>
      </c>
      <c r="CK1733" s="0" t="s">
        <v>130</v>
      </c>
      <c r="CL1733" s="0" t="s">
        <v>130</v>
      </c>
      <c r="CM1733" s="0" t="s">
        <v>130</v>
      </c>
      <c r="CN1733" s="0" t="s">
        <v>130</v>
      </c>
      <c r="CO1733" s="0" t="s">
        <v>130</v>
      </c>
      <c r="CP1733" s="0" t="s">
        <v>130</v>
      </c>
      <c r="CQ1733" s="0" t="s">
        <v>130</v>
      </c>
      <c r="CR1733" s="0" t="s">
        <v>130</v>
      </c>
      <c r="CS1733" s="0" t="s">
        <v>130</v>
      </c>
      <c r="CT1733" s="0" t="s">
        <v>4958</v>
      </c>
    </row>
    <row r="1734">
      <c r="A1734" s="14">
        <v>156276</v>
      </c>
      <c r="B1734" s="0" t="s">
        <v>4955</v>
      </c>
      <c r="C1734" s="16">
        <f>HYPERLINK("https://eosportal.federatedhermes.com/companies/Q29tcGFueQppNTY2Njc=", "Lonza Group AG")</f>
      </c>
      <c r="D1734" s="0" t="s">
        <v>25</v>
      </c>
      <c r="E1734" s="0" t="s">
        <v>3512</v>
      </c>
      <c r="F1734" s="16">
        <f>HYPERLINK("https://eosportal.federatedhermes.com/engagements/RW5nYWdlbWVudAppMjk1NDY=", "Covid-19 impact and response")</f>
      </c>
      <c r="G1734" s="14" t="s">
        <v>3414</v>
      </c>
      <c r="H1734" s="0" t="s">
        <v>130</v>
      </c>
      <c r="I1734" s="14" t="s">
        <v>319</v>
      </c>
      <c r="J1734" s="0" t="s">
        <v>132</v>
      </c>
      <c r="K1734" s="0" t="s">
        <v>260</v>
      </c>
      <c r="L1734" s="0" t="s">
        <v>261</v>
      </c>
      <c r="M1734" s="0" t="s">
        <v>378</v>
      </c>
      <c r="N1734" s="0" t="s">
        <v>1059</v>
      </c>
      <c r="O1734" s="0" t="s">
        <v>274</v>
      </c>
      <c r="Q1734" s="0" t="s">
        <v>130</v>
      </c>
      <c r="R1734" s="0" t="s">
        <v>138</v>
      </c>
      <c r="S1734" s="14">
        <v>0</v>
      </c>
      <c r="T1734" s="0" t="s">
        <v>139</v>
      </c>
      <c r="U1734" s="0" t="s">
        <v>138</v>
      </c>
      <c r="V1734" s="14" t="s">
        <v>138</v>
      </c>
      <c r="W1734" s="0" t="s">
        <v>138</v>
      </c>
      <c r="X1734" s="14" t="s">
        <v>138</v>
      </c>
      <c r="Y1734" s="0" t="s">
        <v>138</v>
      </c>
      <c r="Z1734" s="14" t="s">
        <v>138</v>
      </c>
      <c r="AA1734" s="0" t="s">
        <v>138</v>
      </c>
      <c r="AB1734" s="14" t="s">
        <v>138</v>
      </c>
      <c r="AD1734" s="0" t="s">
        <v>138</v>
      </c>
      <c r="AF1734" s="0">
        <v>0</v>
      </c>
      <c r="AG1734" s="0">
        <v>0</v>
      </c>
      <c r="AH1734" s="0" t="s">
        <v>140</v>
      </c>
      <c r="AI1734" s="0" t="s">
        <v>138</v>
      </c>
      <c r="AL1734" s="14"/>
      <c r="AN1734" s="14"/>
      <c r="AQ1734" s="0" t="s">
        <v>130</v>
      </c>
      <c r="AR1734" s="0" t="s">
        <v>130</v>
      </c>
      <c r="AS1734" s="0" t="s">
        <v>130</v>
      </c>
      <c r="AT1734" s="0" t="s">
        <v>130</v>
      </c>
      <c r="AU1734" s="0" t="s">
        <v>130</v>
      </c>
      <c r="AV1734" s="0" t="s">
        <v>130</v>
      </c>
      <c r="AW1734" s="0" t="s">
        <v>130</v>
      </c>
      <c r="AX1734" s="0" t="s">
        <v>130</v>
      </c>
      <c r="AY1734" s="0" t="s">
        <v>130</v>
      </c>
      <c r="AZ1734" s="0" t="s">
        <v>130</v>
      </c>
      <c r="BA1734" s="0" t="s">
        <v>130</v>
      </c>
      <c r="BB1734" s="0" t="s">
        <v>130</v>
      </c>
      <c r="BC1734" s="0" t="s">
        <v>130</v>
      </c>
      <c r="BD1734" s="0" t="s">
        <v>130</v>
      </c>
      <c r="BE1734" s="0" t="s">
        <v>130</v>
      </c>
      <c r="BF1734" s="0" t="s">
        <v>130</v>
      </c>
      <c r="BG1734" s="0" t="s">
        <v>130</v>
      </c>
      <c r="BH1734" s="0" t="s">
        <v>130</v>
      </c>
      <c r="BI1734" s="0" t="s">
        <v>130</v>
      </c>
      <c r="BJ1734" s="0" t="s">
        <v>130</v>
      </c>
      <c r="BK1734" s="0" t="s">
        <v>130</v>
      </c>
      <c r="BL1734" s="0" t="s">
        <v>130</v>
      </c>
      <c r="BM1734" s="0" t="s">
        <v>130</v>
      </c>
      <c r="BN1734" s="0" t="s">
        <v>130</v>
      </c>
      <c r="BO1734" s="0" t="s">
        <v>130</v>
      </c>
      <c r="BP1734" s="0" t="s">
        <v>130</v>
      </c>
      <c r="BQ1734" s="0" t="s">
        <v>130</v>
      </c>
      <c r="BR1734" s="0" t="s">
        <v>130</v>
      </c>
      <c r="BS1734" s="0" t="s">
        <v>130</v>
      </c>
      <c r="BT1734" s="0" t="s">
        <v>130</v>
      </c>
      <c r="BU1734" s="0" t="s">
        <v>130</v>
      </c>
      <c r="BV1734" s="0" t="s">
        <v>130</v>
      </c>
      <c r="BW1734" s="0" t="s">
        <v>130</v>
      </c>
      <c r="BX1734" s="0" t="s">
        <v>130</v>
      </c>
      <c r="BY1734" s="0" t="s">
        <v>130</v>
      </c>
      <c r="BZ1734" s="0" t="s">
        <v>130</v>
      </c>
      <c r="CA1734" s="0" t="s">
        <v>130</v>
      </c>
      <c r="CB1734" s="0" t="s">
        <v>130</v>
      </c>
      <c r="CC1734" s="0" t="s">
        <v>130</v>
      </c>
      <c r="CD1734" s="0" t="s">
        <v>130</v>
      </c>
      <c r="CE1734" s="0" t="s">
        <v>130</v>
      </c>
      <c r="CF1734" s="0" t="s">
        <v>130</v>
      </c>
      <c r="CG1734" s="0" t="s">
        <v>130</v>
      </c>
      <c r="CH1734" s="0" t="s">
        <v>130</v>
      </c>
      <c r="CI1734" s="0" t="s">
        <v>130</v>
      </c>
      <c r="CJ1734" s="0" t="s">
        <v>130</v>
      </c>
      <c r="CK1734" s="0" t="s">
        <v>130</v>
      </c>
      <c r="CL1734" s="0" t="s">
        <v>130</v>
      </c>
      <c r="CM1734" s="0" t="s">
        <v>130</v>
      </c>
      <c r="CN1734" s="0" t="s">
        <v>130</v>
      </c>
      <c r="CO1734" s="0" t="s">
        <v>130</v>
      </c>
      <c r="CP1734" s="0" t="s">
        <v>130</v>
      </c>
      <c r="CQ1734" s="0" t="s">
        <v>130</v>
      </c>
      <c r="CR1734" s="0" t="s">
        <v>130</v>
      </c>
      <c r="CS1734" s="0" t="s">
        <v>130</v>
      </c>
      <c r="CT1734" s="0" t="s">
        <v>4959</v>
      </c>
    </row>
    <row r="1735">
      <c r="A1735" s="14">
        <v>156276</v>
      </c>
      <c r="B1735" s="0" t="s">
        <v>4955</v>
      </c>
      <c r="C1735" s="16">
        <f>HYPERLINK("https://eosportal.federatedhermes.com/companies/Q29tcGFueQppNTY2Njc=", "Lonza Group AG")</f>
      </c>
      <c r="D1735" s="0" t="s">
        <v>25</v>
      </c>
      <c r="E1735" s="0" t="s">
        <v>1726</v>
      </c>
      <c r="F1735" s="16">
        <f>HYPERLINK("https://eosportal.federatedhermes.com/engagements/RW5nYWdlbWVudAppMjk1NDc=", "CEO Succession")</f>
      </c>
      <c r="G1735" s="14" t="s">
        <v>4960</v>
      </c>
      <c r="H1735" s="0" t="s">
        <v>130</v>
      </c>
      <c r="I1735" s="14" t="s">
        <v>319</v>
      </c>
      <c r="J1735" s="0" t="s">
        <v>145</v>
      </c>
      <c r="K1735" s="0" t="s">
        <v>164</v>
      </c>
      <c r="L1735" s="0" t="s">
        <v>277</v>
      </c>
      <c r="M1735" s="0" t="s">
        <v>378</v>
      </c>
      <c r="N1735" s="0" t="s">
        <v>1059</v>
      </c>
      <c r="O1735" s="0" t="s">
        <v>274</v>
      </c>
      <c r="Q1735" s="0" t="s">
        <v>130</v>
      </c>
      <c r="R1735" s="0" t="s">
        <v>138</v>
      </c>
      <c r="S1735" s="14">
        <v>0</v>
      </c>
      <c r="T1735" s="0" t="s">
        <v>193</v>
      </c>
      <c r="U1735" s="0" t="s">
        <v>138</v>
      </c>
      <c r="V1735" s="14" t="s">
        <v>138</v>
      </c>
      <c r="W1735" s="0" t="s">
        <v>138</v>
      </c>
      <c r="X1735" s="14" t="s">
        <v>138</v>
      </c>
      <c r="Y1735" s="0" t="s">
        <v>138</v>
      </c>
      <c r="Z1735" s="14" t="s">
        <v>138</v>
      </c>
      <c r="AA1735" s="0" t="s">
        <v>138</v>
      </c>
      <c r="AB1735" s="14" t="s">
        <v>138</v>
      </c>
      <c r="AD1735" s="0" t="s">
        <v>138</v>
      </c>
      <c r="AF1735" s="0">
        <v>0</v>
      </c>
      <c r="AG1735" s="0">
        <v>0</v>
      </c>
      <c r="AH1735" s="0" t="s">
        <v>140</v>
      </c>
      <c r="AI1735" s="0" t="s">
        <v>138</v>
      </c>
      <c r="AL1735" s="14"/>
      <c r="AN1735" s="14"/>
      <c r="AQ1735" s="0" t="s">
        <v>130</v>
      </c>
      <c r="AR1735" s="0" t="s">
        <v>130</v>
      </c>
      <c r="AS1735" s="0" t="s">
        <v>130</v>
      </c>
      <c r="AT1735" s="0" t="s">
        <v>130</v>
      </c>
      <c r="AU1735" s="0" t="s">
        <v>130</v>
      </c>
      <c r="AV1735" s="0" t="s">
        <v>130</v>
      </c>
      <c r="AW1735" s="0" t="s">
        <v>130</v>
      </c>
      <c r="AX1735" s="0" t="s">
        <v>130</v>
      </c>
      <c r="AY1735" s="0" t="s">
        <v>130</v>
      </c>
      <c r="AZ1735" s="0" t="s">
        <v>130</v>
      </c>
      <c r="BA1735" s="0" t="s">
        <v>130</v>
      </c>
      <c r="BB1735" s="0" t="s">
        <v>130</v>
      </c>
      <c r="BC1735" s="0" t="s">
        <v>130</v>
      </c>
      <c r="BD1735" s="0" t="s">
        <v>130</v>
      </c>
      <c r="BE1735" s="0" t="s">
        <v>130</v>
      </c>
      <c r="BF1735" s="0" t="s">
        <v>130</v>
      </c>
      <c r="BG1735" s="0" t="s">
        <v>130</v>
      </c>
      <c r="BH1735" s="0" t="s">
        <v>130</v>
      </c>
      <c r="BI1735" s="0" t="s">
        <v>130</v>
      </c>
      <c r="BJ1735" s="0" t="s">
        <v>130</v>
      </c>
      <c r="BK1735" s="0" t="s">
        <v>130</v>
      </c>
      <c r="BL1735" s="0" t="s">
        <v>130</v>
      </c>
      <c r="BM1735" s="0" t="s">
        <v>130</v>
      </c>
      <c r="BN1735" s="0" t="s">
        <v>130</v>
      </c>
      <c r="BO1735" s="0" t="s">
        <v>130</v>
      </c>
      <c r="BP1735" s="0" t="s">
        <v>130</v>
      </c>
      <c r="BQ1735" s="0" t="s">
        <v>130</v>
      </c>
      <c r="BR1735" s="0" t="s">
        <v>130</v>
      </c>
      <c r="BS1735" s="0" t="s">
        <v>130</v>
      </c>
      <c r="BT1735" s="0" t="s">
        <v>130</v>
      </c>
      <c r="BU1735" s="0" t="s">
        <v>130</v>
      </c>
      <c r="BV1735" s="0" t="s">
        <v>130</v>
      </c>
      <c r="BW1735" s="0" t="s">
        <v>130</v>
      </c>
      <c r="BX1735" s="0" t="s">
        <v>130</v>
      </c>
      <c r="BY1735" s="0" t="s">
        <v>130</v>
      </c>
      <c r="BZ1735" s="0" t="s">
        <v>130</v>
      </c>
      <c r="CA1735" s="0" t="s">
        <v>130</v>
      </c>
      <c r="CB1735" s="0" t="s">
        <v>130</v>
      </c>
      <c r="CC1735" s="0" t="s">
        <v>130</v>
      </c>
      <c r="CD1735" s="0" t="s">
        <v>130</v>
      </c>
      <c r="CE1735" s="0" t="s">
        <v>130</v>
      </c>
      <c r="CF1735" s="0" t="s">
        <v>130</v>
      </c>
      <c r="CG1735" s="0" t="s">
        <v>130</v>
      </c>
      <c r="CH1735" s="0" t="s">
        <v>130</v>
      </c>
      <c r="CI1735" s="0" t="s">
        <v>130</v>
      </c>
      <c r="CJ1735" s="0" t="s">
        <v>130</v>
      </c>
      <c r="CK1735" s="0" t="s">
        <v>130</v>
      </c>
      <c r="CL1735" s="0" t="s">
        <v>130</v>
      </c>
      <c r="CM1735" s="0" t="s">
        <v>130</v>
      </c>
      <c r="CN1735" s="0" t="s">
        <v>130</v>
      </c>
      <c r="CO1735" s="0" t="s">
        <v>130</v>
      </c>
      <c r="CP1735" s="0" t="s">
        <v>130</v>
      </c>
      <c r="CQ1735" s="0" t="s">
        <v>130</v>
      </c>
      <c r="CR1735" s="0" t="s">
        <v>130</v>
      </c>
      <c r="CS1735" s="0" t="s">
        <v>130</v>
      </c>
      <c r="CT1735" s="0" t="s">
        <v>4961</v>
      </c>
    </row>
    <row r="1736">
      <c r="A1736" s="14">
        <v>68938862</v>
      </c>
      <c r="B1736" s="0" t="s">
        <v>4962</v>
      </c>
      <c r="C1736" s="16">
        <f>HYPERLINK("https://eosportal.federatedhermes.com/companies/Q29tcGFueQppNTcwNzE=", "Siemens Energy AG")</f>
      </c>
      <c r="D1736" s="0" t="s">
        <v>25</v>
      </c>
      <c r="E1736" s="0" t="s">
        <v>3350</v>
      </c>
      <c r="F1736" s="16">
        <f>HYPERLINK("https://eosportal.federatedhermes.com/engagements/RW5nYWdlbWVudAppMjk3Mjc=", "Human Rights")</f>
      </c>
      <c r="G1736" s="14" t="s">
        <v>4963</v>
      </c>
      <c r="H1736" s="0" t="s">
        <v>141</v>
      </c>
      <c r="I1736" s="14" t="s">
        <v>191</v>
      </c>
      <c r="J1736" s="0" t="s">
        <v>153</v>
      </c>
      <c r="K1736" s="0" t="s">
        <v>243</v>
      </c>
      <c r="L1736" s="0" t="s">
        <v>244</v>
      </c>
      <c r="M1736" s="0" t="s">
        <v>378</v>
      </c>
      <c r="N1736" s="0" t="s">
        <v>2485</v>
      </c>
      <c r="O1736" s="0" t="s">
        <v>176</v>
      </c>
      <c r="Q1736" s="0" t="s">
        <v>130</v>
      </c>
      <c r="R1736" s="0" t="s">
        <v>138</v>
      </c>
      <c r="S1736" s="14">
        <v>0</v>
      </c>
      <c r="T1736" s="0" t="s">
        <v>230</v>
      </c>
      <c r="U1736" s="0" t="s">
        <v>138</v>
      </c>
      <c r="V1736" s="14" t="s">
        <v>138</v>
      </c>
      <c r="W1736" s="0" t="s">
        <v>138</v>
      </c>
      <c r="X1736" s="14" t="s">
        <v>138</v>
      </c>
      <c r="Y1736" s="0" t="s">
        <v>138</v>
      </c>
      <c r="Z1736" s="14" t="s">
        <v>138</v>
      </c>
      <c r="AA1736" s="0" t="s">
        <v>138</v>
      </c>
      <c r="AB1736" s="14" t="s">
        <v>138</v>
      </c>
      <c r="AD1736" s="0" t="s">
        <v>138</v>
      </c>
      <c r="AF1736" s="0">
        <v>0</v>
      </c>
      <c r="AG1736" s="0">
        <v>0</v>
      </c>
      <c r="AH1736" s="0" t="s">
        <v>140</v>
      </c>
      <c r="AI1736" s="0" t="s">
        <v>138</v>
      </c>
      <c r="AL1736" s="14"/>
      <c r="AN1736" s="14"/>
      <c r="AQ1736" s="0" t="s">
        <v>130</v>
      </c>
      <c r="AR1736" s="0" t="s">
        <v>130</v>
      </c>
      <c r="AS1736" s="0" t="s">
        <v>130</v>
      </c>
      <c r="AT1736" s="0" t="s">
        <v>130</v>
      </c>
      <c r="AU1736" s="0" t="s">
        <v>130</v>
      </c>
      <c r="AV1736" s="0" t="s">
        <v>130</v>
      </c>
      <c r="AW1736" s="0" t="s">
        <v>130</v>
      </c>
      <c r="AX1736" s="0" t="s">
        <v>141</v>
      </c>
      <c r="AY1736" s="0" t="s">
        <v>130</v>
      </c>
      <c r="AZ1736" s="0" t="s">
        <v>130</v>
      </c>
      <c r="BA1736" s="0" t="s">
        <v>130</v>
      </c>
      <c r="BB1736" s="0" t="s">
        <v>130</v>
      </c>
      <c r="BC1736" s="0" t="s">
        <v>130</v>
      </c>
      <c r="BD1736" s="0" t="s">
        <v>130</v>
      </c>
      <c r="BE1736" s="0" t="s">
        <v>130</v>
      </c>
      <c r="BF1736" s="0" t="s">
        <v>130</v>
      </c>
      <c r="BG1736" s="0" t="s">
        <v>130</v>
      </c>
      <c r="BH1736" s="0" t="s">
        <v>130</v>
      </c>
      <c r="BI1736" s="0" t="s">
        <v>130</v>
      </c>
      <c r="BJ1736" s="0" t="s">
        <v>130</v>
      </c>
      <c r="BK1736" s="0" t="s">
        <v>130</v>
      </c>
      <c r="BL1736" s="0" t="s">
        <v>130</v>
      </c>
      <c r="BM1736" s="0" t="s">
        <v>130</v>
      </c>
      <c r="BN1736" s="0" t="s">
        <v>130</v>
      </c>
      <c r="BO1736" s="0" t="s">
        <v>130</v>
      </c>
      <c r="BP1736" s="0" t="s">
        <v>130</v>
      </c>
      <c r="BQ1736" s="0" t="s">
        <v>130</v>
      </c>
      <c r="BR1736" s="0" t="s">
        <v>130</v>
      </c>
      <c r="BS1736" s="0" t="s">
        <v>130</v>
      </c>
      <c r="BT1736" s="0" t="s">
        <v>130</v>
      </c>
      <c r="BU1736" s="0" t="s">
        <v>130</v>
      </c>
      <c r="BV1736" s="0" t="s">
        <v>130</v>
      </c>
      <c r="BW1736" s="0" t="s">
        <v>130</v>
      </c>
      <c r="BX1736" s="0" t="s">
        <v>130</v>
      </c>
      <c r="BY1736" s="0" t="s">
        <v>130</v>
      </c>
      <c r="BZ1736" s="0" t="s">
        <v>130</v>
      </c>
      <c r="CA1736" s="0" t="s">
        <v>130</v>
      </c>
      <c r="CB1736" s="0" t="s">
        <v>130</v>
      </c>
      <c r="CC1736" s="0" t="s">
        <v>130</v>
      </c>
      <c r="CD1736" s="0" t="s">
        <v>130</v>
      </c>
      <c r="CE1736" s="0" t="s">
        <v>130</v>
      </c>
      <c r="CF1736" s="0" t="s">
        <v>130</v>
      </c>
      <c r="CG1736" s="0" t="s">
        <v>130</v>
      </c>
      <c r="CH1736" s="0" t="s">
        <v>130</v>
      </c>
      <c r="CI1736" s="0" t="s">
        <v>130</v>
      </c>
      <c r="CJ1736" s="0" t="s">
        <v>130</v>
      </c>
      <c r="CK1736" s="0" t="s">
        <v>130</v>
      </c>
      <c r="CL1736" s="0" t="s">
        <v>130</v>
      </c>
      <c r="CM1736" s="0" t="s">
        <v>130</v>
      </c>
      <c r="CN1736" s="0" t="s">
        <v>130</v>
      </c>
      <c r="CO1736" s="0" t="s">
        <v>130</v>
      </c>
      <c r="CP1736" s="0" t="s">
        <v>130</v>
      </c>
      <c r="CQ1736" s="0" t="s">
        <v>130</v>
      </c>
      <c r="CR1736" s="0" t="s">
        <v>130</v>
      </c>
      <c r="CS1736" s="0" t="s">
        <v>130</v>
      </c>
      <c r="CT1736" s="0" t="s">
        <v>4964</v>
      </c>
    </row>
    <row r="1737">
      <c r="A1737" s="14">
        <v>68938862</v>
      </c>
      <c r="B1737" s="0" t="s">
        <v>4962</v>
      </c>
      <c r="C1737" s="16">
        <f>HYPERLINK("https://eosportal.federatedhermes.com/companies/Q29tcGFueQppNTcwNzE=", "Siemens Energy AG")</f>
      </c>
      <c r="D1737" s="0" t="s">
        <v>25</v>
      </c>
      <c r="E1737" s="0" t="s">
        <v>4965</v>
      </c>
      <c r="F1737" s="16">
        <f>HYPERLINK("https://eosportal.federatedhermes.com/engagements/RW5nYWdlbWVudAppMjk3Mjg=", "Low Carbon Transition")</f>
      </c>
      <c r="G1737" s="14" t="s">
        <v>4966</v>
      </c>
      <c r="H1737" s="0" t="s">
        <v>141</v>
      </c>
      <c r="I1737" s="14" t="s">
        <v>191</v>
      </c>
      <c r="J1737" s="0" t="s">
        <v>197</v>
      </c>
      <c r="K1737" s="0" t="s">
        <v>198</v>
      </c>
      <c r="L1737" s="0" t="s">
        <v>216</v>
      </c>
      <c r="M1737" s="0" t="s">
        <v>378</v>
      </c>
      <c r="N1737" s="0" t="s">
        <v>2485</v>
      </c>
      <c r="O1737" s="0" t="s">
        <v>176</v>
      </c>
      <c r="Q1737" s="0" t="s">
        <v>130</v>
      </c>
      <c r="R1737" s="0" t="s">
        <v>138</v>
      </c>
      <c r="S1737" s="14">
        <v>0</v>
      </c>
      <c r="T1737" s="0" t="s">
        <v>206</v>
      </c>
      <c r="U1737" s="0" t="s">
        <v>138</v>
      </c>
      <c r="V1737" s="14" t="s">
        <v>138</v>
      </c>
      <c r="W1737" s="0" t="s">
        <v>138</v>
      </c>
      <c r="X1737" s="14" t="s">
        <v>138</v>
      </c>
      <c r="Y1737" s="0" t="s">
        <v>138</v>
      </c>
      <c r="Z1737" s="14" t="s">
        <v>138</v>
      </c>
      <c r="AA1737" s="0" t="s">
        <v>138</v>
      </c>
      <c r="AB1737" s="14" t="s">
        <v>138</v>
      </c>
      <c r="AD1737" s="0" t="s">
        <v>138</v>
      </c>
      <c r="AF1737" s="0">
        <v>0</v>
      </c>
      <c r="AG1737" s="0">
        <v>0</v>
      </c>
      <c r="AH1737" s="0" t="s">
        <v>140</v>
      </c>
      <c r="AI1737" s="0" t="s">
        <v>138</v>
      </c>
      <c r="AL1737" s="14"/>
      <c r="AN1737" s="14"/>
      <c r="AQ1737" s="0" t="s">
        <v>130</v>
      </c>
      <c r="AR1737" s="0" t="s">
        <v>130</v>
      </c>
      <c r="AS1737" s="0" t="s">
        <v>130</v>
      </c>
      <c r="AT1737" s="0" t="s">
        <v>130</v>
      </c>
      <c r="AU1737" s="0" t="s">
        <v>130</v>
      </c>
      <c r="AV1737" s="0" t="s">
        <v>130</v>
      </c>
      <c r="AW1737" s="0" t="s">
        <v>141</v>
      </c>
      <c r="AX1737" s="0" t="s">
        <v>130</v>
      </c>
      <c r="AY1737" s="0" t="s">
        <v>130</v>
      </c>
      <c r="AZ1737" s="0" t="s">
        <v>130</v>
      </c>
      <c r="BA1737" s="0" t="s">
        <v>130</v>
      </c>
      <c r="BB1737" s="0" t="s">
        <v>130</v>
      </c>
      <c r="BC1737" s="0" t="s">
        <v>141</v>
      </c>
      <c r="BD1737" s="0" t="s">
        <v>130</v>
      </c>
      <c r="BE1737" s="0" t="s">
        <v>130</v>
      </c>
      <c r="BF1737" s="0" t="s">
        <v>130</v>
      </c>
      <c r="BG1737" s="0" t="s">
        <v>130</v>
      </c>
      <c r="BH1737" s="0" t="s">
        <v>141</v>
      </c>
      <c r="BI1737" s="0" t="s">
        <v>141</v>
      </c>
      <c r="BJ1737" s="0" t="s">
        <v>141</v>
      </c>
      <c r="BK1737" s="0" t="s">
        <v>130</v>
      </c>
      <c r="BL1737" s="0" t="s">
        <v>130</v>
      </c>
      <c r="BM1737" s="0" t="s">
        <v>130</v>
      </c>
      <c r="BN1737" s="0" t="s">
        <v>130</v>
      </c>
      <c r="BO1737" s="0" t="s">
        <v>130</v>
      </c>
      <c r="BP1737" s="0" t="s">
        <v>130</v>
      </c>
      <c r="BQ1737" s="0" t="s">
        <v>130</v>
      </c>
      <c r="BR1737" s="0" t="s">
        <v>130</v>
      </c>
      <c r="BS1737" s="0" t="s">
        <v>130</v>
      </c>
      <c r="BT1737" s="0" t="s">
        <v>130</v>
      </c>
      <c r="BU1737" s="0" t="s">
        <v>130</v>
      </c>
      <c r="BV1737" s="0" t="s">
        <v>141</v>
      </c>
      <c r="BW1737" s="0" t="s">
        <v>141</v>
      </c>
      <c r="BX1737" s="0" t="s">
        <v>130</v>
      </c>
      <c r="BY1737" s="0" t="s">
        <v>130</v>
      </c>
      <c r="BZ1737" s="0" t="s">
        <v>130</v>
      </c>
      <c r="CA1737" s="0" t="s">
        <v>130</v>
      </c>
      <c r="CB1737" s="0" t="s">
        <v>130</v>
      </c>
      <c r="CC1737" s="0" t="s">
        <v>130</v>
      </c>
      <c r="CD1737" s="0" t="s">
        <v>130</v>
      </c>
      <c r="CE1737" s="0" t="s">
        <v>130</v>
      </c>
      <c r="CF1737" s="0" t="s">
        <v>130</v>
      </c>
      <c r="CG1737" s="0" t="s">
        <v>130</v>
      </c>
      <c r="CH1737" s="0" t="s">
        <v>130</v>
      </c>
      <c r="CI1737" s="0" t="s">
        <v>130</v>
      </c>
      <c r="CJ1737" s="0" t="s">
        <v>130</v>
      </c>
      <c r="CK1737" s="0" t="s">
        <v>130</v>
      </c>
      <c r="CL1737" s="0" t="s">
        <v>130</v>
      </c>
      <c r="CM1737" s="0" t="s">
        <v>130</v>
      </c>
      <c r="CN1737" s="0" t="s">
        <v>130</v>
      </c>
      <c r="CO1737" s="0" t="s">
        <v>130</v>
      </c>
      <c r="CP1737" s="0" t="s">
        <v>130</v>
      </c>
      <c r="CQ1737" s="0" t="s">
        <v>130</v>
      </c>
      <c r="CR1737" s="0" t="s">
        <v>130</v>
      </c>
      <c r="CS1737" s="0" t="s">
        <v>130</v>
      </c>
      <c r="CT1737" s="0" t="s">
        <v>4967</v>
      </c>
    </row>
    <row r="1738">
      <c r="A1738" s="14">
        <v>68938862</v>
      </c>
      <c r="B1738" s="0" t="s">
        <v>4962</v>
      </c>
      <c r="C1738" s="16">
        <f>HYPERLINK("https://eosportal.federatedhermes.com/companies/Q29tcGFueQppNTcwNzE=", "Siemens Energy AG")</f>
      </c>
      <c r="D1738" s="0" t="s">
        <v>25</v>
      </c>
      <c r="E1738" s="0" t="s">
        <v>341</v>
      </c>
      <c r="F1738" s="16">
        <f>HYPERLINK("https://eosportal.federatedhermes.com/engagements/RW5nYWdlbWVudAppMjk3Mjk=", "Remuneration")</f>
      </c>
      <c r="G1738" s="14" t="s">
        <v>4968</v>
      </c>
      <c r="H1738" s="0" t="s">
        <v>141</v>
      </c>
      <c r="I1738" s="14" t="s">
        <v>191</v>
      </c>
      <c r="J1738" s="0" t="s">
        <v>145</v>
      </c>
      <c r="K1738" s="0" t="s">
        <v>146</v>
      </c>
      <c r="L1738" s="0" t="s">
        <v>147</v>
      </c>
      <c r="M1738" s="0" t="s">
        <v>378</v>
      </c>
      <c r="N1738" s="0" t="s">
        <v>2485</v>
      </c>
      <c r="O1738" s="0" t="s">
        <v>176</v>
      </c>
      <c r="Q1738" s="0" t="s">
        <v>141</v>
      </c>
      <c r="R1738" s="0" t="s">
        <v>138</v>
      </c>
      <c r="S1738" s="14">
        <v>1</v>
      </c>
      <c r="T1738" s="0" t="s">
        <v>139</v>
      </c>
      <c r="U1738" s="0" t="s">
        <v>138</v>
      </c>
      <c r="V1738" s="14" t="s">
        <v>138</v>
      </c>
      <c r="W1738" s="0" t="s">
        <v>138</v>
      </c>
      <c r="X1738" s="14" t="s">
        <v>138</v>
      </c>
      <c r="Y1738" s="0" t="s">
        <v>138</v>
      </c>
      <c r="Z1738" s="14" t="s">
        <v>138</v>
      </c>
      <c r="AA1738" s="0" t="s">
        <v>138</v>
      </c>
      <c r="AB1738" s="14" t="s">
        <v>138</v>
      </c>
      <c r="AD1738" s="0" t="s">
        <v>138</v>
      </c>
      <c r="AF1738" s="0">
        <v>0</v>
      </c>
      <c r="AG1738" s="0">
        <v>0</v>
      </c>
      <c r="AH1738" s="0" t="s">
        <v>140</v>
      </c>
      <c r="AI1738" s="0" t="s">
        <v>138</v>
      </c>
      <c r="AK1738" s="0" t="s">
        <v>233</v>
      </c>
      <c r="AL1738" s="14"/>
      <c r="AN1738" s="14"/>
      <c r="AQ1738" s="0" t="s">
        <v>130</v>
      </c>
      <c r="AR1738" s="0" t="s">
        <v>130</v>
      </c>
      <c r="AS1738" s="0" t="s">
        <v>130</v>
      </c>
      <c r="AT1738" s="0" t="s">
        <v>130</v>
      </c>
      <c r="AU1738" s="0" t="s">
        <v>130</v>
      </c>
      <c r="AV1738" s="0" t="s">
        <v>130</v>
      </c>
      <c r="AW1738" s="0" t="s">
        <v>130</v>
      </c>
      <c r="AX1738" s="0" t="s">
        <v>130</v>
      </c>
      <c r="AY1738" s="0" t="s">
        <v>130</v>
      </c>
      <c r="AZ1738" s="0" t="s">
        <v>130</v>
      </c>
      <c r="BA1738" s="0" t="s">
        <v>130</v>
      </c>
      <c r="BB1738" s="0" t="s">
        <v>130</v>
      </c>
      <c r="BC1738" s="0" t="s">
        <v>130</v>
      </c>
      <c r="BD1738" s="0" t="s">
        <v>130</v>
      </c>
      <c r="BE1738" s="0" t="s">
        <v>130</v>
      </c>
      <c r="BF1738" s="0" t="s">
        <v>130</v>
      </c>
      <c r="BG1738" s="0" t="s">
        <v>130</v>
      </c>
      <c r="BH1738" s="0" t="s">
        <v>130</v>
      </c>
      <c r="BI1738" s="0" t="s">
        <v>130</v>
      </c>
      <c r="BJ1738" s="0" t="s">
        <v>130</v>
      </c>
      <c r="BK1738" s="0" t="s">
        <v>130</v>
      </c>
      <c r="BL1738" s="0" t="s">
        <v>130</v>
      </c>
      <c r="BM1738" s="0" t="s">
        <v>130</v>
      </c>
      <c r="BN1738" s="0" t="s">
        <v>130</v>
      </c>
      <c r="BO1738" s="0" t="s">
        <v>130</v>
      </c>
      <c r="BP1738" s="0" t="s">
        <v>130</v>
      </c>
      <c r="BQ1738" s="0" t="s">
        <v>130</v>
      </c>
      <c r="BR1738" s="0" t="s">
        <v>130</v>
      </c>
      <c r="BS1738" s="0" t="s">
        <v>130</v>
      </c>
      <c r="BT1738" s="0" t="s">
        <v>130</v>
      </c>
      <c r="BU1738" s="0" t="s">
        <v>130</v>
      </c>
      <c r="BV1738" s="0" t="s">
        <v>130</v>
      </c>
      <c r="BW1738" s="0" t="s">
        <v>130</v>
      </c>
      <c r="BX1738" s="0" t="s">
        <v>130</v>
      </c>
      <c r="BY1738" s="0" t="s">
        <v>130</v>
      </c>
      <c r="BZ1738" s="0" t="s">
        <v>130</v>
      </c>
      <c r="CA1738" s="0" t="s">
        <v>130</v>
      </c>
      <c r="CB1738" s="0" t="s">
        <v>130</v>
      </c>
      <c r="CC1738" s="0" t="s">
        <v>130</v>
      </c>
      <c r="CD1738" s="0" t="s">
        <v>130</v>
      </c>
      <c r="CE1738" s="0" t="s">
        <v>130</v>
      </c>
      <c r="CF1738" s="0" t="s">
        <v>130</v>
      </c>
      <c r="CG1738" s="0" t="s">
        <v>130</v>
      </c>
      <c r="CH1738" s="0" t="s">
        <v>130</v>
      </c>
      <c r="CI1738" s="0" t="s">
        <v>130</v>
      </c>
      <c r="CJ1738" s="0" t="s">
        <v>130</v>
      </c>
      <c r="CK1738" s="0" t="s">
        <v>130</v>
      </c>
      <c r="CL1738" s="0" t="s">
        <v>130</v>
      </c>
      <c r="CM1738" s="0" t="s">
        <v>130</v>
      </c>
      <c r="CN1738" s="0" t="s">
        <v>130</v>
      </c>
      <c r="CO1738" s="0" t="s">
        <v>130</v>
      </c>
      <c r="CP1738" s="0" t="s">
        <v>130</v>
      </c>
      <c r="CQ1738" s="0" t="s">
        <v>130</v>
      </c>
      <c r="CR1738" s="0" t="s">
        <v>130</v>
      </c>
      <c r="CS1738" s="0" t="s">
        <v>130</v>
      </c>
      <c r="CT1738" s="0" t="s">
        <v>4969</v>
      </c>
    </row>
    <row r="1739">
      <c r="A1739" s="14">
        <v>68938862</v>
      </c>
      <c r="B1739" s="0" t="s">
        <v>4962</v>
      </c>
      <c r="C1739" s="16">
        <f>HYPERLINK("https://eosportal.federatedhermes.com/companies/Q29tcGFueQppNTcwNzE=", "Siemens Energy AG")</f>
      </c>
      <c r="D1739" s="0" t="s">
        <v>25</v>
      </c>
      <c r="E1739" s="0" t="s">
        <v>4970</v>
      </c>
      <c r="F1739" s="16">
        <f>HYPERLINK("https://eosportal.federatedhermes.com/engagements/RW5nYWdlbWVudAppMjk3MzA=", "Supervisory board composition")</f>
      </c>
      <c r="G1739" s="14" t="s">
        <v>4971</v>
      </c>
      <c r="H1739" s="0" t="s">
        <v>141</v>
      </c>
      <c r="I1739" s="14" t="s">
        <v>191</v>
      </c>
      <c r="J1739" s="0" t="s">
        <v>145</v>
      </c>
      <c r="K1739" s="0" t="s">
        <v>164</v>
      </c>
      <c r="L1739" s="0" t="s">
        <v>165</v>
      </c>
      <c r="M1739" s="0" t="s">
        <v>378</v>
      </c>
      <c r="N1739" s="0" t="s">
        <v>2485</v>
      </c>
      <c r="O1739" s="0" t="s">
        <v>176</v>
      </c>
      <c r="Q1739" s="0" t="s">
        <v>130</v>
      </c>
      <c r="R1739" s="0" t="s">
        <v>138</v>
      </c>
      <c r="S1739" s="14">
        <v>0</v>
      </c>
      <c r="T1739" s="0" t="s">
        <v>139</v>
      </c>
      <c r="U1739" s="0" t="s">
        <v>138</v>
      </c>
      <c r="V1739" s="14" t="s">
        <v>138</v>
      </c>
      <c r="W1739" s="0" t="s">
        <v>138</v>
      </c>
      <c r="X1739" s="14" t="s">
        <v>138</v>
      </c>
      <c r="Y1739" s="0" t="s">
        <v>138</v>
      </c>
      <c r="Z1739" s="14" t="s">
        <v>138</v>
      </c>
      <c r="AA1739" s="0" t="s">
        <v>138</v>
      </c>
      <c r="AB1739" s="14" t="s">
        <v>138</v>
      </c>
      <c r="AD1739" s="0" t="s">
        <v>138</v>
      </c>
      <c r="AF1739" s="0">
        <v>0</v>
      </c>
      <c r="AG1739" s="0">
        <v>0</v>
      </c>
      <c r="AH1739" s="0" t="s">
        <v>140</v>
      </c>
      <c r="AI1739" s="0" t="s">
        <v>138</v>
      </c>
      <c r="AL1739" s="14"/>
      <c r="AN1739" s="14"/>
      <c r="AQ1739" s="0" t="s">
        <v>130</v>
      </c>
      <c r="AR1739" s="0" t="s">
        <v>130</v>
      </c>
      <c r="AS1739" s="0" t="s">
        <v>130</v>
      </c>
      <c r="AT1739" s="0" t="s">
        <v>130</v>
      </c>
      <c r="AU1739" s="0" t="s">
        <v>130</v>
      </c>
      <c r="AV1739" s="0" t="s">
        <v>130</v>
      </c>
      <c r="AW1739" s="0" t="s">
        <v>130</v>
      </c>
      <c r="AX1739" s="0" t="s">
        <v>130</v>
      </c>
      <c r="AY1739" s="0" t="s">
        <v>130</v>
      </c>
      <c r="AZ1739" s="0" t="s">
        <v>130</v>
      </c>
      <c r="BA1739" s="0" t="s">
        <v>130</v>
      </c>
      <c r="BB1739" s="0" t="s">
        <v>130</v>
      </c>
      <c r="BC1739" s="0" t="s">
        <v>130</v>
      </c>
      <c r="BD1739" s="0" t="s">
        <v>130</v>
      </c>
      <c r="BE1739" s="0" t="s">
        <v>130</v>
      </c>
      <c r="BF1739" s="0" t="s">
        <v>130</v>
      </c>
      <c r="BG1739" s="0" t="s">
        <v>130</v>
      </c>
      <c r="BH1739" s="0" t="s">
        <v>130</v>
      </c>
      <c r="BI1739" s="0" t="s">
        <v>130</v>
      </c>
      <c r="BJ1739" s="0" t="s">
        <v>130</v>
      </c>
      <c r="BK1739" s="0" t="s">
        <v>130</v>
      </c>
      <c r="BL1739" s="0" t="s">
        <v>130</v>
      </c>
      <c r="BM1739" s="0" t="s">
        <v>130</v>
      </c>
      <c r="BN1739" s="0" t="s">
        <v>130</v>
      </c>
      <c r="BO1739" s="0" t="s">
        <v>130</v>
      </c>
      <c r="BP1739" s="0" t="s">
        <v>130</v>
      </c>
      <c r="BQ1739" s="0" t="s">
        <v>130</v>
      </c>
      <c r="BR1739" s="0" t="s">
        <v>130</v>
      </c>
      <c r="BS1739" s="0" t="s">
        <v>130</v>
      </c>
      <c r="BT1739" s="0" t="s">
        <v>130</v>
      </c>
      <c r="BU1739" s="0" t="s">
        <v>130</v>
      </c>
      <c r="BV1739" s="0" t="s">
        <v>130</v>
      </c>
      <c r="BW1739" s="0" t="s">
        <v>130</v>
      </c>
      <c r="BX1739" s="0" t="s">
        <v>130</v>
      </c>
      <c r="BY1739" s="0" t="s">
        <v>130</v>
      </c>
      <c r="BZ1739" s="0" t="s">
        <v>130</v>
      </c>
      <c r="CA1739" s="0" t="s">
        <v>130</v>
      </c>
      <c r="CB1739" s="0" t="s">
        <v>130</v>
      </c>
      <c r="CC1739" s="0" t="s">
        <v>130</v>
      </c>
      <c r="CD1739" s="0" t="s">
        <v>130</v>
      </c>
      <c r="CE1739" s="0" t="s">
        <v>130</v>
      </c>
      <c r="CF1739" s="0" t="s">
        <v>130</v>
      </c>
      <c r="CG1739" s="0" t="s">
        <v>130</v>
      </c>
      <c r="CH1739" s="0" t="s">
        <v>130</v>
      </c>
      <c r="CI1739" s="0" t="s">
        <v>130</v>
      </c>
      <c r="CJ1739" s="0" t="s">
        <v>130</v>
      </c>
      <c r="CK1739" s="0" t="s">
        <v>130</v>
      </c>
      <c r="CL1739" s="0" t="s">
        <v>130</v>
      </c>
      <c r="CM1739" s="0" t="s">
        <v>130</v>
      </c>
      <c r="CN1739" s="0" t="s">
        <v>130</v>
      </c>
      <c r="CO1739" s="0" t="s">
        <v>130</v>
      </c>
      <c r="CP1739" s="0" t="s">
        <v>130</v>
      </c>
      <c r="CQ1739" s="0" t="s">
        <v>130</v>
      </c>
      <c r="CR1739" s="0" t="s">
        <v>130</v>
      </c>
      <c r="CS1739" s="0" t="s">
        <v>130</v>
      </c>
      <c r="CT1739" s="0" t="s">
        <v>4972</v>
      </c>
    </row>
    <row r="1740">
      <c r="A1740" s="14">
        <v>68938862</v>
      </c>
      <c r="B1740" s="0" t="s">
        <v>4962</v>
      </c>
      <c r="C1740" s="16">
        <f>HYPERLINK("https://eosportal.federatedhermes.com/companies/Q29tcGFueQppNTcwNzE=", "Siemens Energy AG")</f>
      </c>
      <c r="D1740" s="0" t="s">
        <v>23</v>
      </c>
      <c r="E1740" s="0" t="s">
        <v>4973</v>
      </c>
      <c r="F1740" s="16">
        <f>HYPERLINK("https://eosportal.federatedhermes.com/engagements/RW5nYWdlbWVudAppMjk3MzE=", "Net zero ambition that covers Scope 3")</f>
      </c>
      <c r="G1740" s="14" t="s">
        <v>4974</v>
      </c>
      <c r="H1740" s="0" t="s">
        <v>141</v>
      </c>
      <c r="I1740" s="14" t="s">
        <v>191</v>
      </c>
      <c r="J1740" s="0" t="s">
        <v>197</v>
      </c>
      <c r="K1740" s="0" t="s">
        <v>198</v>
      </c>
      <c r="L1740" s="0" t="s">
        <v>216</v>
      </c>
      <c r="M1740" s="0" t="s">
        <v>378</v>
      </c>
      <c r="N1740" s="0" t="s">
        <v>2485</v>
      </c>
      <c r="O1740" s="0" t="s">
        <v>176</v>
      </c>
      <c r="Q1740" s="0" t="s">
        <v>141</v>
      </c>
      <c r="R1740" s="0" t="s">
        <v>130</v>
      </c>
      <c r="S1740" s="14">
        <v>1</v>
      </c>
      <c r="T1740" s="0" t="s">
        <v>583</v>
      </c>
      <c r="U1740" s="0" t="s">
        <v>221</v>
      </c>
      <c r="V1740" s="14" t="s">
        <v>583</v>
      </c>
      <c r="W1740" s="0" t="s">
        <v>221</v>
      </c>
      <c r="X1740" s="14" t="s">
        <v>583</v>
      </c>
      <c r="Y1740" s="0" t="s">
        <v>223</v>
      </c>
      <c r="Z1740" s="14" t="s">
        <v>138</v>
      </c>
      <c r="AA1740" s="0" t="s">
        <v>224</v>
      </c>
      <c r="AB1740" s="14" t="s">
        <v>138</v>
      </c>
      <c r="AD1740" s="0" t="s">
        <v>17</v>
      </c>
      <c r="AF1740" s="0">
        <v>0</v>
      </c>
      <c r="AG1740" s="0">
        <v>0</v>
      </c>
      <c r="AH1740" s="0" t="s">
        <v>140</v>
      </c>
      <c r="AI1740" s="0" t="s">
        <v>232</v>
      </c>
      <c r="AK1740" s="0" t="s">
        <v>233</v>
      </c>
      <c r="AL1740" s="14"/>
      <c r="AN1740" s="14"/>
      <c r="AQ1740" s="0" t="s">
        <v>130</v>
      </c>
      <c r="AR1740" s="0" t="s">
        <v>130</v>
      </c>
      <c r="AS1740" s="0" t="s">
        <v>130</v>
      </c>
      <c r="AT1740" s="0" t="s">
        <v>130</v>
      </c>
      <c r="AU1740" s="0" t="s">
        <v>130</v>
      </c>
      <c r="AV1740" s="0" t="s">
        <v>130</v>
      </c>
      <c r="AW1740" s="0" t="s">
        <v>141</v>
      </c>
      <c r="AX1740" s="0" t="s">
        <v>130</v>
      </c>
      <c r="AY1740" s="0" t="s">
        <v>130</v>
      </c>
      <c r="AZ1740" s="0" t="s">
        <v>130</v>
      </c>
      <c r="BA1740" s="0" t="s">
        <v>130</v>
      </c>
      <c r="BB1740" s="0" t="s">
        <v>130</v>
      </c>
      <c r="BC1740" s="0" t="s">
        <v>141</v>
      </c>
      <c r="BD1740" s="0" t="s">
        <v>130</v>
      </c>
      <c r="BE1740" s="0" t="s">
        <v>130</v>
      </c>
      <c r="BF1740" s="0" t="s">
        <v>130</v>
      </c>
      <c r="BG1740" s="0" t="s">
        <v>130</v>
      </c>
      <c r="BH1740" s="0" t="s">
        <v>141</v>
      </c>
      <c r="BI1740" s="0" t="s">
        <v>141</v>
      </c>
      <c r="BJ1740" s="0" t="s">
        <v>141</v>
      </c>
      <c r="BK1740" s="0" t="s">
        <v>130</v>
      </c>
      <c r="BL1740" s="0" t="s">
        <v>130</v>
      </c>
      <c r="BM1740" s="0" t="s">
        <v>130</v>
      </c>
      <c r="BN1740" s="0" t="s">
        <v>130</v>
      </c>
      <c r="BO1740" s="0" t="s">
        <v>130</v>
      </c>
      <c r="BP1740" s="0" t="s">
        <v>130</v>
      </c>
      <c r="BQ1740" s="0" t="s">
        <v>130</v>
      </c>
      <c r="BR1740" s="0" t="s">
        <v>130</v>
      </c>
      <c r="BS1740" s="0" t="s">
        <v>130</v>
      </c>
      <c r="BT1740" s="0" t="s">
        <v>130</v>
      </c>
      <c r="BU1740" s="0" t="s">
        <v>130</v>
      </c>
      <c r="BV1740" s="0" t="s">
        <v>141</v>
      </c>
      <c r="BW1740" s="0" t="s">
        <v>141</v>
      </c>
      <c r="BX1740" s="0" t="s">
        <v>130</v>
      </c>
      <c r="BY1740" s="0" t="s">
        <v>130</v>
      </c>
      <c r="BZ1740" s="0" t="s">
        <v>130</v>
      </c>
      <c r="CA1740" s="0" t="s">
        <v>130</v>
      </c>
      <c r="CB1740" s="0" t="s">
        <v>130</v>
      </c>
      <c r="CC1740" s="0" t="s">
        <v>130</v>
      </c>
      <c r="CD1740" s="0" t="s">
        <v>130</v>
      </c>
      <c r="CE1740" s="0" t="s">
        <v>130</v>
      </c>
      <c r="CF1740" s="0" t="s">
        <v>130</v>
      </c>
      <c r="CG1740" s="0" t="s">
        <v>130</v>
      </c>
      <c r="CH1740" s="0" t="s">
        <v>130</v>
      </c>
      <c r="CI1740" s="0" t="s">
        <v>130</v>
      </c>
      <c r="CJ1740" s="0" t="s">
        <v>130</v>
      </c>
      <c r="CK1740" s="0" t="s">
        <v>130</v>
      </c>
      <c r="CL1740" s="0" t="s">
        <v>130</v>
      </c>
      <c r="CM1740" s="0" t="s">
        <v>130</v>
      </c>
      <c r="CN1740" s="0" t="s">
        <v>130</v>
      </c>
      <c r="CO1740" s="0" t="s">
        <v>130</v>
      </c>
      <c r="CP1740" s="0" t="s">
        <v>130</v>
      </c>
      <c r="CQ1740" s="0" t="s">
        <v>130</v>
      </c>
      <c r="CR1740" s="0" t="s">
        <v>130</v>
      </c>
      <c r="CS1740" s="0" t="s">
        <v>130</v>
      </c>
      <c r="CT1740" s="0" t="s">
        <v>4975</v>
      </c>
    </row>
    <row r="1741">
      <c r="A1741" s="14">
        <v>68938862</v>
      </c>
      <c r="B1741" s="0" t="s">
        <v>4962</v>
      </c>
      <c r="C1741" s="16">
        <f>HYPERLINK("https://eosportal.federatedhermes.com/companies/Q29tcGFueQppNTcwNzE=", "Siemens Energy AG")</f>
      </c>
      <c r="D1741" s="0" t="s">
        <v>23</v>
      </c>
      <c r="E1741" s="0" t="s">
        <v>1542</v>
      </c>
      <c r="F1741" s="16">
        <f>HYPERLINK("https://eosportal.federatedhermes.com/engagements/RW5nYWdlbWVudAppMjk3MzM=", "Just transition")</f>
      </c>
      <c r="G1741" s="14" t="s">
        <v>4976</v>
      </c>
      <c r="H1741" s="0" t="s">
        <v>141</v>
      </c>
      <c r="I1741" s="14" t="s">
        <v>191</v>
      </c>
      <c r="J1741" s="0" t="s">
        <v>197</v>
      </c>
      <c r="K1741" s="0" t="s">
        <v>198</v>
      </c>
      <c r="L1741" s="0" t="s">
        <v>199</v>
      </c>
      <c r="M1741" s="0" t="s">
        <v>378</v>
      </c>
      <c r="N1741" s="0" t="s">
        <v>2485</v>
      </c>
      <c r="O1741" s="0" t="s">
        <v>176</v>
      </c>
      <c r="Q1741" s="0" t="s">
        <v>141</v>
      </c>
      <c r="R1741" s="0" t="s">
        <v>130</v>
      </c>
      <c r="S1741" s="14">
        <v>1</v>
      </c>
      <c r="T1741" s="0" t="s">
        <v>355</v>
      </c>
      <c r="U1741" s="0" t="s">
        <v>221</v>
      </c>
      <c r="V1741" s="14" t="s">
        <v>355</v>
      </c>
      <c r="W1741" s="0" t="s">
        <v>221</v>
      </c>
      <c r="X1741" s="14" t="s">
        <v>583</v>
      </c>
      <c r="Y1741" s="0" t="s">
        <v>221</v>
      </c>
      <c r="Z1741" s="14" t="s">
        <v>3562</v>
      </c>
      <c r="AA1741" s="0" t="s">
        <v>223</v>
      </c>
      <c r="AB1741" s="14" t="s">
        <v>138</v>
      </c>
      <c r="AD1741" s="0" t="s">
        <v>20</v>
      </c>
      <c r="AF1741" s="0">
        <v>0</v>
      </c>
      <c r="AG1741" s="0">
        <v>0</v>
      </c>
      <c r="AH1741" s="0" t="s">
        <v>140</v>
      </c>
      <c r="AI1741" s="0" t="s">
        <v>232</v>
      </c>
      <c r="AK1741" s="0" t="s">
        <v>233</v>
      </c>
      <c r="AL1741" s="14"/>
      <c r="AN1741" s="14"/>
      <c r="AQ1741" s="0" t="s">
        <v>130</v>
      </c>
      <c r="AR1741" s="0" t="s">
        <v>130</v>
      </c>
      <c r="AS1741" s="0" t="s">
        <v>130</v>
      </c>
      <c r="AT1741" s="0" t="s">
        <v>130</v>
      </c>
      <c r="AU1741" s="0" t="s">
        <v>130</v>
      </c>
      <c r="AV1741" s="0" t="s">
        <v>130</v>
      </c>
      <c r="AW1741" s="0" t="s">
        <v>130</v>
      </c>
      <c r="AX1741" s="0" t="s">
        <v>130</v>
      </c>
      <c r="AY1741" s="0" t="s">
        <v>130</v>
      </c>
      <c r="AZ1741" s="0" t="s">
        <v>130</v>
      </c>
      <c r="BA1741" s="0" t="s">
        <v>130</v>
      </c>
      <c r="BB1741" s="0" t="s">
        <v>141</v>
      </c>
      <c r="BC1741" s="0" t="s">
        <v>130</v>
      </c>
      <c r="BD1741" s="0" t="s">
        <v>130</v>
      </c>
      <c r="BE1741" s="0" t="s">
        <v>130</v>
      </c>
      <c r="BF1741" s="0" t="s">
        <v>130</v>
      </c>
      <c r="BG1741" s="0" t="s">
        <v>130</v>
      </c>
      <c r="BH1741" s="0" t="s">
        <v>130</v>
      </c>
      <c r="BI1741" s="0" t="s">
        <v>130</v>
      </c>
      <c r="BJ1741" s="0" t="s">
        <v>130</v>
      </c>
      <c r="BK1741" s="0" t="s">
        <v>130</v>
      </c>
      <c r="BL1741" s="0" t="s">
        <v>130</v>
      </c>
      <c r="BM1741" s="0" t="s">
        <v>130</v>
      </c>
      <c r="BN1741" s="0" t="s">
        <v>130</v>
      </c>
      <c r="BO1741" s="0" t="s">
        <v>130</v>
      </c>
      <c r="BP1741" s="0" t="s">
        <v>130</v>
      </c>
      <c r="BQ1741" s="0" t="s">
        <v>130</v>
      </c>
      <c r="BR1741" s="0" t="s">
        <v>130</v>
      </c>
      <c r="BS1741" s="0" t="s">
        <v>130</v>
      </c>
      <c r="BT1741" s="0" t="s">
        <v>130</v>
      </c>
      <c r="BU1741" s="0" t="s">
        <v>130</v>
      </c>
      <c r="BV1741" s="0" t="s">
        <v>130</v>
      </c>
      <c r="BW1741" s="0" t="s">
        <v>130</v>
      </c>
      <c r="BX1741" s="0" t="s">
        <v>130</v>
      </c>
      <c r="BY1741" s="0" t="s">
        <v>130</v>
      </c>
      <c r="BZ1741" s="0" t="s">
        <v>130</v>
      </c>
      <c r="CA1741" s="0" t="s">
        <v>130</v>
      </c>
      <c r="CB1741" s="0" t="s">
        <v>130</v>
      </c>
      <c r="CC1741" s="0" t="s">
        <v>130</v>
      </c>
      <c r="CD1741" s="0" t="s">
        <v>130</v>
      </c>
      <c r="CE1741" s="0" t="s">
        <v>130</v>
      </c>
      <c r="CF1741" s="0" t="s">
        <v>130</v>
      </c>
      <c r="CG1741" s="0" t="s">
        <v>130</v>
      </c>
      <c r="CH1741" s="0" t="s">
        <v>130</v>
      </c>
      <c r="CI1741" s="0" t="s">
        <v>130</v>
      </c>
      <c r="CJ1741" s="0" t="s">
        <v>130</v>
      </c>
      <c r="CK1741" s="0" t="s">
        <v>130</v>
      </c>
      <c r="CL1741" s="0" t="s">
        <v>130</v>
      </c>
      <c r="CM1741" s="0" t="s">
        <v>130</v>
      </c>
      <c r="CN1741" s="0" t="s">
        <v>130</v>
      </c>
      <c r="CO1741" s="0" t="s">
        <v>130</v>
      </c>
      <c r="CP1741" s="0" t="s">
        <v>130</v>
      </c>
      <c r="CQ1741" s="0" t="s">
        <v>130</v>
      </c>
      <c r="CR1741" s="0" t="s">
        <v>130</v>
      </c>
      <c r="CS1741" s="0" t="s">
        <v>130</v>
      </c>
      <c r="CT1741" s="0" t="s">
        <v>4977</v>
      </c>
    </row>
    <row r="1742">
      <c r="A1742" s="14">
        <v>68938862</v>
      </c>
      <c r="B1742" s="0" t="s">
        <v>4962</v>
      </c>
      <c r="C1742" s="16">
        <f>HYPERLINK("https://eosportal.federatedhermes.com/companies/Q29tcGFueQppNTcwNzE=", "Siemens Energy AG")</f>
      </c>
      <c r="D1742" s="0" t="s">
        <v>23</v>
      </c>
      <c r="E1742" s="0" t="s">
        <v>4978</v>
      </c>
      <c r="F1742" s="16">
        <f>HYPERLINK("https://eosportal.federatedhermes.com/engagements/RW5nYWdlbWVudAppMjk3MzQ=", "Public Policy Advocacy Alignment")</f>
      </c>
      <c r="G1742" s="14" t="s">
        <v>4979</v>
      </c>
      <c r="H1742" s="0" t="s">
        <v>141</v>
      </c>
      <c r="I1742" s="14" t="s">
        <v>191</v>
      </c>
      <c r="J1742" s="0" t="s">
        <v>197</v>
      </c>
      <c r="K1742" s="0" t="s">
        <v>198</v>
      </c>
      <c r="L1742" s="0" t="s">
        <v>199</v>
      </c>
      <c r="M1742" s="0" t="s">
        <v>378</v>
      </c>
      <c r="N1742" s="0" t="s">
        <v>2485</v>
      </c>
      <c r="O1742" s="0" t="s">
        <v>176</v>
      </c>
      <c r="Q1742" s="0" t="s">
        <v>141</v>
      </c>
      <c r="R1742" s="0" t="s">
        <v>130</v>
      </c>
      <c r="S1742" s="14">
        <v>1</v>
      </c>
      <c r="T1742" s="0" t="s">
        <v>206</v>
      </c>
      <c r="U1742" s="0" t="s">
        <v>221</v>
      </c>
      <c r="V1742" s="14" t="s">
        <v>206</v>
      </c>
      <c r="W1742" s="0" t="s">
        <v>221</v>
      </c>
      <c r="X1742" s="14" t="s">
        <v>355</v>
      </c>
      <c r="Y1742" s="0" t="s">
        <v>221</v>
      </c>
      <c r="Z1742" s="14" t="s">
        <v>4412</v>
      </c>
      <c r="AA1742" s="0" t="s">
        <v>223</v>
      </c>
      <c r="AB1742" s="14" t="s">
        <v>138</v>
      </c>
      <c r="AD1742" s="0" t="s">
        <v>20</v>
      </c>
      <c r="AF1742" s="0">
        <v>0</v>
      </c>
      <c r="AG1742" s="0">
        <v>0</v>
      </c>
      <c r="AH1742" s="0" t="s">
        <v>140</v>
      </c>
      <c r="AI1742" s="0" t="s">
        <v>598</v>
      </c>
      <c r="AK1742" s="0" t="s">
        <v>233</v>
      </c>
      <c r="AL1742" s="14"/>
      <c r="AN1742" s="14"/>
      <c r="AQ1742" s="0" t="s">
        <v>130</v>
      </c>
      <c r="AR1742" s="0" t="s">
        <v>130</v>
      </c>
      <c r="AS1742" s="0" t="s">
        <v>130</v>
      </c>
      <c r="AT1742" s="0" t="s">
        <v>130</v>
      </c>
      <c r="AU1742" s="0" t="s">
        <v>130</v>
      </c>
      <c r="AV1742" s="0" t="s">
        <v>130</v>
      </c>
      <c r="AW1742" s="0" t="s">
        <v>130</v>
      </c>
      <c r="AX1742" s="0" t="s">
        <v>130</v>
      </c>
      <c r="AY1742" s="0" t="s">
        <v>130</v>
      </c>
      <c r="AZ1742" s="0" t="s">
        <v>130</v>
      </c>
      <c r="BA1742" s="0" t="s">
        <v>130</v>
      </c>
      <c r="BB1742" s="0" t="s">
        <v>141</v>
      </c>
      <c r="BC1742" s="0" t="s">
        <v>141</v>
      </c>
      <c r="BD1742" s="0" t="s">
        <v>130</v>
      </c>
      <c r="BE1742" s="0" t="s">
        <v>130</v>
      </c>
      <c r="BF1742" s="0" t="s">
        <v>130</v>
      </c>
      <c r="BG1742" s="0" t="s">
        <v>130</v>
      </c>
      <c r="BH1742" s="0" t="s">
        <v>130</v>
      </c>
      <c r="BI1742" s="0" t="s">
        <v>130</v>
      </c>
      <c r="BJ1742" s="0" t="s">
        <v>130</v>
      </c>
      <c r="BK1742" s="0" t="s">
        <v>130</v>
      </c>
      <c r="BL1742" s="0" t="s">
        <v>130</v>
      </c>
      <c r="BM1742" s="0" t="s">
        <v>130</v>
      </c>
      <c r="BN1742" s="0" t="s">
        <v>130</v>
      </c>
      <c r="BO1742" s="0" t="s">
        <v>130</v>
      </c>
      <c r="BP1742" s="0" t="s">
        <v>130</v>
      </c>
      <c r="BQ1742" s="0" t="s">
        <v>130</v>
      </c>
      <c r="BR1742" s="0" t="s">
        <v>130</v>
      </c>
      <c r="BS1742" s="0" t="s">
        <v>130</v>
      </c>
      <c r="BT1742" s="0" t="s">
        <v>130</v>
      </c>
      <c r="BU1742" s="0" t="s">
        <v>130</v>
      </c>
      <c r="BV1742" s="0" t="s">
        <v>130</v>
      </c>
      <c r="BW1742" s="0" t="s">
        <v>130</v>
      </c>
      <c r="BX1742" s="0" t="s">
        <v>130</v>
      </c>
      <c r="BY1742" s="0" t="s">
        <v>130</v>
      </c>
      <c r="BZ1742" s="0" t="s">
        <v>130</v>
      </c>
      <c r="CA1742" s="0" t="s">
        <v>130</v>
      </c>
      <c r="CB1742" s="0" t="s">
        <v>130</v>
      </c>
      <c r="CC1742" s="0" t="s">
        <v>130</v>
      </c>
      <c r="CD1742" s="0" t="s">
        <v>130</v>
      </c>
      <c r="CE1742" s="0" t="s">
        <v>130</v>
      </c>
      <c r="CF1742" s="0" t="s">
        <v>130</v>
      </c>
      <c r="CG1742" s="0" t="s">
        <v>130</v>
      </c>
      <c r="CH1742" s="0" t="s">
        <v>130</v>
      </c>
      <c r="CI1742" s="0" t="s">
        <v>130</v>
      </c>
      <c r="CJ1742" s="0" t="s">
        <v>130</v>
      </c>
      <c r="CK1742" s="0" t="s">
        <v>130</v>
      </c>
      <c r="CL1742" s="0" t="s">
        <v>130</v>
      </c>
      <c r="CM1742" s="0" t="s">
        <v>130</v>
      </c>
      <c r="CN1742" s="0" t="s">
        <v>130</v>
      </c>
      <c r="CO1742" s="0" t="s">
        <v>130</v>
      </c>
      <c r="CP1742" s="0" t="s">
        <v>130</v>
      </c>
      <c r="CQ1742" s="0" t="s">
        <v>130</v>
      </c>
      <c r="CR1742" s="0" t="s">
        <v>130</v>
      </c>
      <c r="CS1742" s="0" t="s">
        <v>130</v>
      </c>
      <c r="CT1742" s="0" t="s">
        <v>4980</v>
      </c>
    </row>
    <row r="1743">
      <c r="A1743" s="14">
        <v>68938862</v>
      </c>
      <c r="B1743" s="0" t="s">
        <v>4962</v>
      </c>
      <c r="C1743" s="16">
        <f>HYPERLINK("https://eosportal.federatedhermes.com/companies/Q29tcGFueQppNTcwNzE=", "Siemens Energy AG")</f>
      </c>
      <c r="D1743" s="0" t="s">
        <v>25</v>
      </c>
      <c r="E1743" s="0" t="s">
        <v>2501</v>
      </c>
      <c r="F1743" s="16">
        <f>HYPERLINK("https://eosportal.federatedhermes.com/engagements/RW5nYWdlbWVudAppMjk3Mzc=", "Climate - low carbon transition")</f>
      </c>
      <c r="G1743" s="14" t="s">
        <v>4981</v>
      </c>
      <c r="H1743" s="0" t="s">
        <v>141</v>
      </c>
      <c r="I1743" s="14" t="s">
        <v>191</v>
      </c>
      <c r="J1743" s="0" t="s">
        <v>197</v>
      </c>
      <c r="K1743" s="0" t="s">
        <v>198</v>
      </c>
      <c r="L1743" s="0" t="s">
        <v>216</v>
      </c>
      <c r="M1743" s="0" t="s">
        <v>378</v>
      </c>
      <c r="N1743" s="0" t="s">
        <v>2485</v>
      </c>
      <c r="O1743" s="0" t="s">
        <v>176</v>
      </c>
      <c r="Q1743" s="0" t="s">
        <v>130</v>
      </c>
      <c r="R1743" s="0" t="s">
        <v>138</v>
      </c>
      <c r="S1743" s="14">
        <v>0</v>
      </c>
      <c r="T1743" s="0" t="s">
        <v>206</v>
      </c>
      <c r="U1743" s="0" t="s">
        <v>138</v>
      </c>
      <c r="V1743" s="14" t="s">
        <v>138</v>
      </c>
      <c r="W1743" s="0" t="s">
        <v>138</v>
      </c>
      <c r="X1743" s="14" t="s">
        <v>138</v>
      </c>
      <c r="Y1743" s="0" t="s">
        <v>138</v>
      </c>
      <c r="Z1743" s="14" t="s">
        <v>138</v>
      </c>
      <c r="AA1743" s="0" t="s">
        <v>138</v>
      </c>
      <c r="AB1743" s="14" t="s">
        <v>138</v>
      </c>
      <c r="AD1743" s="0" t="s">
        <v>138</v>
      </c>
      <c r="AF1743" s="0">
        <v>0</v>
      </c>
      <c r="AG1743" s="0">
        <v>0</v>
      </c>
      <c r="AH1743" s="0" t="s">
        <v>140</v>
      </c>
      <c r="AI1743" s="0" t="s">
        <v>138</v>
      </c>
      <c r="AL1743" s="14"/>
      <c r="AN1743" s="14"/>
      <c r="AQ1743" s="0" t="s">
        <v>130</v>
      </c>
      <c r="AR1743" s="0" t="s">
        <v>130</v>
      </c>
      <c r="AS1743" s="0" t="s">
        <v>130</v>
      </c>
      <c r="AT1743" s="0" t="s">
        <v>130</v>
      </c>
      <c r="AU1743" s="0" t="s">
        <v>130</v>
      </c>
      <c r="AV1743" s="0" t="s">
        <v>130</v>
      </c>
      <c r="AW1743" s="0" t="s">
        <v>141</v>
      </c>
      <c r="AX1743" s="0" t="s">
        <v>130</v>
      </c>
      <c r="AY1743" s="0" t="s">
        <v>130</v>
      </c>
      <c r="AZ1743" s="0" t="s">
        <v>130</v>
      </c>
      <c r="BA1743" s="0" t="s">
        <v>130</v>
      </c>
      <c r="BB1743" s="0" t="s">
        <v>130</v>
      </c>
      <c r="BC1743" s="0" t="s">
        <v>141</v>
      </c>
      <c r="BD1743" s="0" t="s">
        <v>130</v>
      </c>
      <c r="BE1743" s="0" t="s">
        <v>130</v>
      </c>
      <c r="BF1743" s="0" t="s">
        <v>130</v>
      </c>
      <c r="BG1743" s="0" t="s">
        <v>130</v>
      </c>
      <c r="BH1743" s="0" t="s">
        <v>141</v>
      </c>
      <c r="BI1743" s="0" t="s">
        <v>141</v>
      </c>
      <c r="BJ1743" s="0" t="s">
        <v>141</v>
      </c>
      <c r="BK1743" s="0" t="s">
        <v>130</v>
      </c>
      <c r="BL1743" s="0" t="s">
        <v>130</v>
      </c>
      <c r="BM1743" s="0" t="s">
        <v>130</v>
      </c>
      <c r="BN1743" s="0" t="s">
        <v>130</v>
      </c>
      <c r="BO1743" s="0" t="s">
        <v>130</v>
      </c>
      <c r="BP1743" s="0" t="s">
        <v>130</v>
      </c>
      <c r="BQ1743" s="0" t="s">
        <v>130</v>
      </c>
      <c r="BR1743" s="0" t="s">
        <v>130</v>
      </c>
      <c r="BS1743" s="0" t="s">
        <v>130</v>
      </c>
      <c r="BT1743" s="0" t="s">
        <v>130</v>
      </c>
      <c r="BU1743" s="0" t="s">
        <v>130</v>
      </c>
      <c r="BV1743" s="0" t="s">
        <v>141</v>
      </c>
      <c r="BW1743" s="0" t="s">
        <v>141</v>
      </c>
      <c r="BX1743" s="0" t="s">
        <v>130</v>
      </c>
      <c r="BY1743" s="0" t="s">
        <v>130</v>
      </c>
      <c r="BZ1743" s="0" t="s">
        <v>130</v>
      </c>
      <c r="CA1743" s="0" t="s">
        <v>130</v>
      </c>
      <c r="CB1743" s="0" t="s">
        <v>130</v>
      </c>
      <c r="CC1743" s="0" t="s">
        <v>130</v>
      </c>
      <c r="CD1743" s="0" t="s">
        <v>130</v>
      </c>
      <c r="CE1743" s="0" t="s">
        <v>130</v>
      </c>
      <c r="CF1743" s="0" t="s">
        <v>130</v>
      </c>
      <c r="CG1743" s="0" t="s">
        <v>130</v>
      </c>
      <c r="CH1743" s="0" t="s">
        <v>130</v>
      </c>
      <c r="CI1743" s="0" t="s">
        <v>130</v>
      </c>
      <c r="CJ1743" s="0" t="s">
        <v>130</v>
      </c>
      <c r="CK1743" s="0" t="s">
        <v>130</v>
      </c>
      <c r="CL1743" s="0" t="s">
        <v>130</v>
      </c>
      <c r="CM1743" s="0" t="s">
        <v>130</v>
      </c>
      <c r="CN1743" s="0" t="s">
        <v>130</v>
      </c>
      <c r="CO1743" s="0" t="s">
        <v>130</v>
      </c>
      <c r="CP1743" s="0" t="s">
        <v>130</v>
      </c>
      <c r="CQ1743" s="0" t="s">
        <v>130</v>
      </c>
      <c r="CR1743" s="0" t="s">
        <v>130</v>
      </c>
      <c r="CS1743" s="0" t="s">
        <v>130</v>
      </c>
      <c r="CT1743" s="0" t="s">
        <v>4982</v>
      </c>
    </row>
    <row r="1744">
      <c r="A1744" s="14">
        <v>68938862</v>
      </c>
      <c r="B1744" s="0" t="s">
        <v>4962</v>
      </c>
      <c r="C1744" s="16">
        <f>HYPERLINK("https://eosportal.federatedhermes.com/companies/Q29tcGFueQppNTcwNzE=", "Siemens Energy AG")</f>
      </c>
      <c r="D1744" s="0" t="s">
        <v>25</v>
      </c>
      <c r="E1744" s="0" t="s">
        <v>151</v>
      </c>
      <c r="F1744" s="16">
        <f>HYPERLINK("https://eosportal.federatedhermes.com/engagements/RW5nYWdlbWVudAppMjk3Mzg=", "Coronavirus response")</f>
      </c>
      <c r="G1744" s="14" t="s">
        <v>4983</v>
      </c>
      <c r="H1744" s="0" t="s">
        <v>141</v>
      </c>
      <c r="I1744" s="14" t="s">
        <v>191</v>
      </c>
      <c r="J1744" s="0" t="s">
        <v>153</v>
      </c>
      <c r="K1744" s="0" t="s">
        <v>154</v>
      </c>
      <c r="L1744" s="0" t="s">
        <v>155</v>
      </c>
      <c r="M1744" s="0" t="s">
        <v>378</v>
      </c>
      <c r="N1744" s="0" t="s">
        <v>2485</v>
      </c>
      <c r="O1744" s="0" t="s">
        <v>176</v>
      </c>
      <c r="Q1744" s="0" t="s">
        <v>130</v>
      </c>
      <c r="R1744" s="0" t="s">
        <v>138</v>
      </c>
      <c r="S1744" s="14">
        <v>0</v>
      </c>
      <c r="T1744" s="0" t="s">
        <v>206</v>
      </c>
      <c r="U1744" s="0" t="s">
        <v>138</v>
      </c>
      <c r="V1744" s="14" t="s">
        <v>138</v>
      </c>
      <c r="W1744" s="0" t="s">
        <v>138</v>
      </c>
      <c r="X1744" s="14" t="s">
        <v>138</v>
      </c>
      <c r="Y1744" s="0" t="s">
        <v>138</v>
      </c>
      <c r="Z1744" s="14" t="s">
        <v>138</v>
      </c>
      <c r="AA1744" s="0" t="s">
        <v>138</v>
      </c>
      <c r="AB1744" s="14" t="s">
        <v>138</v>
      </c>
      <c r="AD1744" s="0" t="s">
        <v>138</v>
      </c>
      <c r="AF1744" s="0">
        <v>0</v>
      </c>
      <c r="AG1744" s="0">
        <v>0</v>
      </c>
      <c r="AH1744" s="0" t="s">
        <v>140</v>
      </c>
      <c r="AI1744" s="0" t="s">
        <v>138</v>
      </c>
      <c r="AL1744" s="14"/>
      <c r="AN1744" s="14"/>
      <c r="AQ1744" s="0" t="s">
        <v>130</v>
      </c>
      <c r="AR1744" s="0" t="s">
        <v>130</v>
      </c>
      <c r="AS1744" s="0" t="s">
        <v>130</v>
      </c>
      <c r="AT1744" s="0" t="s">
        <v>130</v>
      </c>
      <c r="AU1744" s="0" t="s">
        <v>130</v>
      </c>
      <c r="AV1744" s="0" t="s">
        <v>130</v>
      </c>
      <c r="AW1744" s="0" t="s">
        <v>130</v>
      </c>
      <c r="AX1744" s="0" t="s">
        <v>141</v>
      </c>
      <c r="AY1744" s="0" t="s">
        <v>130</v>
      </c>
      <c r="AZ1744" s="0" t="s">
        <v>130</v>
      </c>
      <c r="BA1744" s="0" t="s">
        <v>130</v>
      </c>
      <c r="BB1744" s="0" t="s">
        <v>130</v>
      </c>
      <c r="BC1744" s="0" t="s">
        <v>130</v>
      </c>
      <c r="BD1744" s="0" t="s">
        <v>130</v>
      </c>
      <c r="BE1744" s="0" t="s">
        <v>130</v>
      </c>
      <c r="BF1744" s="0" t="s">
        <v>130</v>
      </c>
      <c r="BG1744" s="0" t="s">
        <v>130</v>
      </c>
      <c r="BH1744" s="0" t="s">
        <v>130</v>
      </c>
      <c r="BI1744" s="0" t="s">
        <v>130</v>
      </c>
      <c r="BJ1744" s="0" t="s">
        <v>130</v>
      </c>
      <c r="BK1744" s="0" t="s">
        <v>130</v>
      </c>
      <c r="BL1744" s="0" t="s">
        <v>130</v>
      </c>
      <c r="BM1744" s="0" t="s">
        <v>130</v>
      </c>
      <c r="BN1744" s="0" t="s">
        <v>130</v>
      </c>
      <c r="BO1744" s="0" t="s">
        <v>130</v>
      </c>
      <c r="BP1744" s="0" t="s">
        <v>130</v>
      </c>
      <c r="BQ1744" s="0" t="s">
        <v>130</v>
      </c>
      <c r="BR1744" s="0" t="s">
        <v>130</v>
      </c>
      <c r="BS1744" s="0" t="s">
        <v>130</v>
      </c>
      <c r="BT1744" s="0" t="s">
        <v>130</v>
      </c>
      <c r="BU1744" s="0" t="s">
        <v>130</v>
      </c>
      <c r="BV1744" s="0" t="s">
        <v>130</v>
      </c>
      <c r="BW1744" s="0" t="s">
        <v>130</v>
      </c>
      <c r="BX1744" s="0" t="s">
        <v>130</v>
      </c>
      <c r="BY1744" s="0" t="s">
        <v>130</v>
      </c>
      <c r="BZ1744" s="0" t="s">
        <v>130</v>
      </c>
      <c r="CA1744" s="0" t="s">
        <v>130</v>
      </c>
      <c r="CB1744" s="0" t="s">
        <v>130</v>
      </c>
      <c r="CC1744" s="0" t="s">
        <v>130</v>
      </c>
      <c r="CD1744" s="0" t="s">
        <v>130</v>
      </c>
      <c r="CE1744" s="0" t="s">
        <v>130</v>
      </c>
      <c r="CF1744" s="0" t="s">
        <v>130</v>
      </c>
      <c r="CG1744" s="0" t="s">
        <v>130</v>
      </c>
      <c r="CH1744" s="0" t="s">
        <v>130</v>
      </c>
      <c r="CI1744" s="0" t="s">
        <v>141</v>
      </c>
      <c r="CJ1744" s="0" t="s">
        <v>130</v>
      </c>
      <c r="CK1744" s="0" t="s">
        <v>130</v>
      </c>
      <c r="CL1744" s="0" t="s">
        <v>130</v>
      </c>
      <c r="CM1744" s="0" t="s">
        <v>130</v>
      </c>
      <c r="CN1744" s="0" t="s">
        <v>130</v>
      </c>
      <c r="CO1744" s="0" t="s">
        <v>130</v>
      </c>
      <c r="CP1744" s="0" t="s">
        <v>130</v>
      </c>
      <c r="CQ1744" s="0" t="s">
        <v>130</v>
      </c>
      <c r="CR1744" s="0" t="s">
        <v>130</v>
      </c>
      <c r="CS1744" s="0" t="s">
        <v>130</v>
      </c>
      <c r="CT1744" s="0" t="s">
        <v>4984</v>
      </c>
    </row>
    <row r="1745">
      <c r="A1745" s="14">
        <v>8957976</v>
      </c>
      <c r="B1745" s="0" t="s">
        <v>3934</v>
      </c>
      <c r="C1745" s="16">
        <f>HYPERLINK("https://eosportal.federatedhermes.com/companies/Q29tcGFueQppNTg5NDk=", "Tencent Holdings Ltd")</f>
      </c>
      <c r="D1745" s="0" t="s">
        <v>23</v>
      </c>
      <c r="E1745" s="0" t="s">
        <v>4985</v>
      </c>
      <c r="F1745" s="16">
        <f>HYPERLINK("https://eosportal.federatedhermes.com/engagements/RW5nYWdlbWVudAppMzA0Mjk=", "Improve gender diversity and related disclosure")</f>
      </c>
      <c r="G1745" s="14" t="s">
        <v>4986</v>
      </c>
      <c r="H1745" s="0" t="s">
        <v>141</v>
      </c>
      <c r="I1745" s="14" t="s">
        <v>191</v>
      </c>
      <c r="J1745" s="0" t="s">
        <v>153</v>
      </c>
      <c r="K1745" s="0" t="s">
        <v>154</v>
      </c>
      <c r="L1745" s="0" t="s">
        <v>268</v>
      </c>
      <c r="M1745" s="0" t="s">
        <v>2807</v>
      </c>
      <c r="N1745" s="0" t="s">
        <v>3272</v>
      </c>
      <c r="O1745" s="0" t="s">
        <v>137</v>
      </c>
      <c r="Q1745" s="0" t="s">
        <v>130</v>
      </c>
      <c r="R1745" s="0" t="s">
        <v>130</v>
      </c>
      <c r="S1745" s="14">
        <v>0</v>
      </c>
      <c r="T1745" s="0" t="s">
        <v>394</v>
      </c>
      <c r="U1745" s="0" t="s">
        <v>221</v>
      </c>
      <c r="V1745" s="14" t="s">
        <v>394</v>
      </c>
      <c r="W1745" s="0" t="s">
        <v>221</v>
      </c>
      <c r="X1745" s="14" t="s">
        <v>148</v>
      </c>
      <c r="Y1745" s="0" t="s">
        <v>221</v>
      </c>
      <c r="Z1745" s="14" t="s">
        <v>446</v>
      </c>
      <c r="AA1745" s="0" t="s">
        <v>223</v>
      </c>
      <c r="AB1745" s="14" t="s">
        <v>138</v>
      </c>
      <c r="AD1745" s="0" t="s">
        <v>20</v>
      </c>
      <c r="AF1745" s="0">
        <v>0</v>
      </c>
      <c r="AG1745" s="0">
        <v>0</v>
      </c>
      <c r="AH1745" s="0" t="s">
        <v>140</v>
      </c>
      <c r="AI1745" s="0" t="s">
        <v>479</v>
      </c>
      <c r="AL1745" s="14"/>
      <c r="AN1745" s="14"/>
      <c r="AQ1745" s="0" t="s">
        <v>130</v>
      </c>
      <c r="AR1745" s="0" t="s">
        <v>130</v>
      </c>
      <c r="AS1745" s="0" t="s">
        <v>130</v>
      </c>
      <c r="AT1745" s="0" t="s">
        <v>130</v>
      </c>
      <c r="AU1745" s="0" t="s">
        <v>141</v>
      </c>
      <c r="AV1745" s="0" t="s">
        <v>130</v>
      </c>
      <c r="AW1745" s="0" t="s">
        <v>130</v>
      </c>
      <c r="AX1745" s="0" t="s">
        <v>130</v>
      </c>
      <c r="AY1745" s="0" t="s">
        <v>130</v>
      </c>
      <c r="AZ1745" s="0" t="s">
        <v>130</v>
      </c>
      <c r="BA1745" s="0" t="s">
        <v>130</v>
      </c>
      <c r="BB1745" s="0" t="s">
        <v>130</v>
      </c>
      <c r="BC1745" s="0" t="s">
        <v>130</v>
      </c>
      <c r="BD1745" s="0" t="s">
        <v>130</v>
      </c>
      <c r="BE1745" s="0" t="s">
        <v>130</v>
      </c>
      <c r="BF1745" s="0" t="s">
        <v>130</v>
      </c>
      <c r="BG1745" s="0" t="s">
        <v>130</v>
      </c>
      <c r="BH1745" s="0" t="s">
        <v>130</v>
      </c>
      <c r="BI1745" s="0" t="s">
        <v>130</v>
      </c>
      <c r="BJ1745" s="0" t="s">
        <v>130</v>
      </c>
      <c r="BK1745" s="0" t="s">
        <v>130</v>
      </c>
      <c r="BL1745" s="0" t="s">
        <v>130</v>
      </c>
      <c r="BM1745" s="0" t="s">
        <v>130</v>
      </c>
      <c r="BN1745" s="0" t="s">
        <v>130</v>
      </c>
      <c r="BO1745" s="0" t="s">
        <v>130</v>
      </c>
      <c r="BP1745" s="0" t="s">
        <v>130</v>
      </c>
      <c r="BQ1745" s="0" t="s">
        <v>130</v>
      </c>
      <c r="BR1745" s="0" t="s">
        <v>130</v>
      </c>
      <c r="BS1745" s="0" t="s">
        <v>130</v>
      </c>
      <c r="BT1745" s="0" t="s">
        <v>130</v>
      </c>
      <c r="BU1745" s="0" t="s">
        <v>130</v>
      </c>
      <c r="BV1745" s="0" t="s">
        <v>130</v>
      </c>
      <c r="BW1745" s="0" t="s">
        <v>130</v>
      </c>
      <c r="BX1745" s="0" t="s">
        <v>130</v>
      </c>
      <c r="BY1745" s="0" t="s">
        <v>130</v>
      </c>
      <c r="BZ1745" s="0" t="s">
        <v>130</v>
      </c>
      <c r="CA1745" s="0" t="s">
        <v>130</v>
      </c>
      <c r="CB1745" s="0" t="s">
        <v>130</v>
      </c>
      <c r="CC1745" s="0" t="s">
        <v>130</v>
      </c>
      <c r="CD1745" s="0" t="s">
        <v>130</v>
      </c>
      <c r="CE1745" s="0" t="s">
        <v>130</v>
      </c>
      <c r="CF1745" s="0" t="s">
        <v>130</v>
      </c>
      <c r="CG1745" s="0" t="s">
        <v>130</v>
      </c>
      <c r="CH1745" s="0" t="s">
        <v>130</v>
      </c>
      <c r="CI1745" s="0" t="s">
        <v>130</v>
      </c>
      <c r="CJ1745" s="0" t="s">
        <v>130</v>
      </c>
      <c r="CK1745" s="0" t="s">
        <v>141</v>
      </c>
      <c r="CL1745" s="0" t="s">
        <v>130</v>
      </c>
      <c r="CM1745" s="0" t="s">
        <v>130</v>
      </c>
      <c r="CN1745" s="0" t="s">
        <v>130</v>
      </c>
      <c r="CO1745" s="0" t="s">
        <v>130</v>
      </c>
      <c r="CP1745" s="0" t="s">
        <v>130</v>
      </c>
      <c r="CQ1745" s="0" t="s">
        <v>130</v>
      </c>
      <c r="CR1745" s="0" t="s">
        <v>130</v>
      </c>
      <c r="CS1745" s="0" t="s">
        <v>130</v>
      </c>
      <c r="CT1745" s="0" t="s">
        <v>4987</v>
      </c>
    </row>
    <row r="1746">
      <c r="A1746" s="14">
        <v>11092218</v>
      </c>
      <c r="B1746" s="0" t="s">
        <v>3976</v>
      </c>
      <c r="C1746" s="16">
        <f>HYPERLINK("https://eosportal.federatedhermes.com/companies/Q29tcGFueQppNjI1MDE=", "Meta Platforms Inc")</f>
      </c>
      <c r="D1746" s="0" t="s">
        <v>25</v>
      </c>
      <c r="E1746" s="0" t="s">
        <v>4988</v>
      </c>
      <c r="F1746" s="16">
        <f>HYPERLINK("https://eosportal.federatedhermes.com/engagements/RW5nYWdlbWVudAppMzA0MzE=", "Controversy linked to UNGC Principle 1: Human rights")</f>
      </c>
      <c r="G1746" s="14" t="s">
        <v>4989</v>
      </c>
      <c r="H1746" s="0" t="s">
        <v>141</v>
      </c>
      <c r="I1746" s="14" t="s">
        <v>191</v>
      </c>
      <c r="J1746" s="0" t="s">
        <v>132</v>
      </c>
      <c r="K1746" s="0" t="s">
        <v>170</v>
      </c>
      <c r="L1746" s="0" t="s">
        <v>171</v>
      </c>
      <c r="M1746" s="0" t="s">
        <v>135</v>
      </c>
      <c r="N1746" s="0" t="s">
        <v>136</v>
      </c>
      <c r="O1746" s="0" t="s">
        <v>137</v>
      </c>
      <c r="Q1746" s="0" t="s">
        <v>141</v>
      </c>
      <c r="R1746" s="0" t="s">
        <v>138</v>
      </c>
      <c r="S1746" s="14">
        <v>2</v>
      </c>
      <c r="T1746" s="0" t="s">
        <v>139</v>
      </c>
      <c r="U1746" s="0" t="s">
        <v>138</v>
      </c>
      <c r="V1746" s="14" t="s">
        <v>138</v>
      </c>
      <c r="W1746" s="0" t="s">
        <v>138</v>
      </c>
      <c r="X1746" s="14" t="s">
        <v>138</v>
      </c>
      <c r="Y1746" s="0" t="s">
        <v>138</v>
      </c>
      <c r="Z1746" s="14" t="s">
        <v>138</v>
      </c>
      <c r="AA1746" s="0" t="s">
        <v>138</v>
      </c>
      <c r="AB1746" s="14" t="s">
        <v>138</v>
      </c>
      <c r="AD1746" s="0" t="s">
        <v>138</v>
      </c>
      <c r="AF1746" s="0">
        <v>0</v>
      </c>
      <c r="AG1746" s="0">
        <v>0</v>
      </c>
      <c r="AH1746" s="0" t="s">
        <v>140</v>
      </c>
      <c r="AI1746" s="0" t="s">
        <v>138</v>
      </c>
      <c r="AK1746" s="0" t="s">
        <v>3996</v>
      </c>
      <c r="AL1746" s="14"/>
      <c r="AN1746" s="14"/>
      <c r="AQ1746" s="0" t="s">
        <v>130</v>
      </c>
      <c r="AR1746" s="0" t="s">
        <v>130</v>
      </c>
      <c r="AS1746" s="0" t="s">
        <v>130</v>
      </c>
      <c r="AT1746" s="0" t="s">
        <v>130</v>
      </c>
      <c r="AU1746" s="0" t="s">
        <v>130</v>
      </c>
      <c r="AV1746" s="0" t="s">
        <v>130</v>
      </c>
      <c r="AW1746" s="0" t="s">
        <v>130</v>
      </c>
      <c r="AX1746" s="0" t="s">
        <v>130</v>
      </c>
      <c r="AY1746" s="0" t="s">
        <v>130</v>
      </c>
      <c r="AZ1746" s="0" t="s">
        <v>130</v>
      </c>
      <c r="BA1746" s="0" t="s">
        <v>130</v>
      </c>
      <c r="BB1746" s="0" t="s">
        <v>141</v>
      </c>
      <c r="BC1746" s="0" t="s">
        <v>130</v>
      </c>
      <c r="BD1746" s="0" t="s">
        <v>130</v>
      </c>
      <c r="BE1746" s="0" t="s">
        <v>130</v>
      </c>
      <c r="BF1746" s="0" t="s">
        <v>130</v>
      </c>
      <c r="BG1746" s="0" t="s">
        <v>130</v>
      </c>
      <c r="BH1746" s="0" t="s">
        <v>130</v>
      </c>
      <c r="BI1746" s="0" t="s">
        <v>130</v>
      </c>
      <c r="BJ1746" s="0" t="s">
        <v>130</v>
      </c>
      <c r="BK1746" s="0" t="s">
        <v>130</v>
      </c>
      <c r="BL1746" s="0" t="s">
        <v>130</v>
      </c>
      <c r="BM1746" s="0" t="s">
        <v>130</v>
      </c>
      <c r="BN1746" s="0" t="s">
        <v>130</v>
      </c>
      <c r="BO1746" s="0" t="s">
        <v>130</v>
      </c>
      <c r="BP1746" s="0" t="s">
        <v>141</v>
      </c>
      <c r="BQ1746" s="0" t="s">
        <v>130</v>
      </c>
      <c r="BR1746" s="0" t="s">
        <v>130</v>
      </c>
      <c r="BS1746" s="0" t="s">
        <v>130</v>
      </c>
      <c r="BT1746" s="0" t="s">
        <v>130</v>
      </c>
      <c r="BU1746" s="0" t="s">
        <v>130</v>
      </c>
      <c r="BV1746" s="0" t="s">
        <v>130</v>
      </c>
      <c r="BW1746" s="0" t="s">
        <v>130</v>
      </c>
      <c r="BX1746" s="0" t="s">
        <v>130</v>
      </c>
      <c r="BY1746" s="0" t="s">
        <v>130</v>
      </c>
      <c r="BZ1746" s="0" t="s">
        <v>130</v>
      </c>
      <c r="CA1746" s="0" t="s">
        <v>130</v>
      </c>
      <c r="CB1746" s="0" t="s">
        <v>130</v>
      </c>
      <c r="CC1746" s="0" t="s">
        <v>130</v>
      </c>
      <c r="CD1746" s="0" t="s">
        <v>130</v>
      </c>
      <c r="CE1746" s="0" t="s">
        <v>130</v>
      </c>
      <c r="CF1746" s="0" t="s">
        <v>130</v>
      </c>
      <c r="CG1746" s="0" t="s">
        <v>130</v>
      </c>
      <c r="CH1746" s="0" t="s">
        <v>130</v>
      </c>
      <c r="CI1746" s="0" t="s">
        <v>130</v>
      </c>
      <c r="CJ1746" s="0" t="s">
        <v>130</v>
      </c>
      <c r="CK1746" s="0" t="s">
        <v>130</v>
      </c>
      <c r="CL1746" s="0" t="s">
        <v>130</v>
      </c>
      <c r="CM1746" s="0" t="s">
        <v>130</v>
      </c>
      <c r="CN1746" s="0" t="s">
        <v>130</v>
      </c>
      <c r="CO1746" s="0" t="s">
        <v>130</v>
      </c>
      <c r="CP1746" s="0" t="s">
        <v>130</v>
      </c>
      <c r="CQ1746" s="0" t="s">
        <v>130</v>
      </c>
      <c r="CR1746" s="0" t="s">
        <v>130</v>
      </c>
      <c r="CS1746" s="0" t="s">
        <v>130</v>
      </c>
      <c r="CT1746" s="0" t="s">
        <v>4990</v>
      </c>
    </row>
    <row r="1747">
      <c r="A1747" s="14">
        <v>101650</v>
      </c>
      <c r="B1747" s="0" t="s">
        <v>1765</v>
      </c>
      <c r="C1747" s="16">
        <f>HYPERLINK("https://eosportal.federatedhermes.com/companies/Q29tcGFueQppNzU3MDM=", "Westpac Banking Corp")</f>
      </c>
      <c r="D1747" s="0" t="s">
        <v>25</v>
      </c>
      <c r="E1747" s="0" t="s">
        <v>1449</v>
      </c>
      <c r="F1747" s="16">
        <f>HYPERLINK("https://eosportal.federatedhermes.com/engagements/RW5nYWdlbWVudAppMzA0MzM=", "Controversy linked to UNGC Principle 10: Corruption and bribery")</f>
      </c>
      <c r="G1747" s="14" t="s">
        <v>4991</v>
      </c>
      <c r="H1747" s="0" t="s">
        <v>141</v>
      </c>
      <c r="I1747" s="14" t="s">
        <v>191</v>
      </c>
      <c r="J1747" s="0" t="s">
        <v>153</v>
      </c>
      <c r="K1747" s="0" t="s">
        <v>185</v>
      </c>
      <c r="L1747" s="0" t="s">
        <v>186</v>
      </c>
      <c r="M1747" s="0" t="s">
        <v>371</v>
      </c>
      <c r="N1747" s="0" t="s">
        <v>372</v>
      </c>
      <c r="O1747" s="0" t="s">
        <v>238</v>
      </c>
      <c r="Q1747" s="0" t="s">
        <v>130</v>
      </c>
      <c r="R1747" s="0" t="s">
        <v>138</v>
      </c>
      <c r="S1747" s="14">
        <v>0</v>
      </c>
      <c r="T1747" s="0" t="s">
        <v>394</v>
      </c>
      <c r="U1747" s="0" t="s">
        <v>138</v>
      </c>
      <c r="V1747" s="14" t="s">
        <v>138</v>
      </c>
      <c r="W1747" s="0" t="s">
        <v>138</v>
      </c>
      <c r="X1747" s="14" t="s">
        <v>138</v>
      </c>
      <c r="Y1747" s="0" t="s">
        <v>138</v>
      </c>
      <c r="Z1747" s="14" t="s">
        <v>138</v>
      </c>
      <c r="AA1747" s="0" t="s">
        <v>138</v>
      </c>
      <c r="AB1747" s="14" t="s">
        <v>138</v>
      </c>
      <c r="AD1747" s="0" t="s">
        <v>138</v>
      </c>
      <c r="AF1747" s="0">
        <v>0</v>
      </c>
      <c r="AG1747" s="0">
        <v>0</v>
      </c>
      <c r="AH1747" s="0" t="s">
        <v>140</v>
      </c>
      <c r="AI1747" s="0" t="s">
        <v>138</v>
      </c>
      <c r="AL1747" s="14"/>
      <c r="AN1747" s="14"/>
      <c r="AQ1747" s="0" t="s">
        <v>130</v>
      </c>
      <c r="AR1747" s="0" t="s">
        <v>130</v>
      </c>
      <c r="AS1747" s="0" t="s">
        <v>130</v>
      </c>
      <c r="AT1747" s="0" t="s">
        <v>130</v>
      </c>
      <c r="AU1747" s="0" t="s">
        <v>130</v>
      </c>
      <c r="AV1747" s="0" t="s">
        <v>130</v>
      </c>
      <c r="AW1747" s="0" t="s">
        <v>130</v>
      </c>
      <c r="AX1747" s="0" t="s">
        <v>130</v>
      </c>
      <c r="AY1747" s="0" t="s">
        <v>130</v>
      </c>
      <c r="AZ1747" s="0" t="s">
        <v>130</v>
      </c>
      <c r="BA1747" s="0" t="s">
        <v>130</v>
      </c>
      <c r="BB1747" s="0" t="s">
        <v>130</v>
      </c>
      <c r="BC1747" s="0" t="s">
        <v>130</v>
      </c>
      <c r="BD1747" s="0" t="s">
        <v>130</v>
      </c>
      <c r="BE1747" s="0" t="s">
        <v>130</v>
      </c>
      <c r="BF1747" s="0" t="s">
        <v>130</v>
      </c>
      <c r="BG1747" s="0" t="s">
        <v>130</v>
      </c>
      <c r="BH1747" s="0" t="s">
        <v>130</v>
      </c>
      <c r="BI1747" s="0" t="s">
        <v>130</v>
      </c>
      <c r="BJ1747" s="0" t="s">
        <v>130</v>
      </c>
      <c r="BK1747" s="0" t="s">
        <v>130</v>
      </c>
      <c r="BL1747" s="0" t="s">
        <v>130</v>
      </c>
      <c r="BM1747" s="0" t="s">
        <v>130</v>
      </c>
      <c r="BN1747" s="0" t="s">
        <v>130</v>
      </c>
      <c r="BO1747" s="0" t="s">
        <v>130</v>
      </c>
      <c r="BP1747" s="0" t="s">
        <v>141</v>
      </c>
      <c r="BQ1747" s="0" t="s">
        <v>130</v>
      </c>
      <c r="BR1747" s="0" t="s">
        <v>130</v>
      </c>
      <c r="BS1747" s="0" t="s">
        <v>130</v>
      </c>
      <c r="BT1747" s="0" t="s">
        <v>130</v>
      </c>
      <c r="BU1747" s="0" t="s">
        <v>130</v>
      </c>
      <c r="BV1747" s="0" t="s">
        <v>130</v>
      </c>
      <c r="BW1747" s="0" t="s">
        <v>130</v>
      </c>
      <c r="BX1747" s="0" t="s">
        <v>130</v>
      </c>
      <c r="BY1747" s="0" t="s">
        <v>130</v>
      </c>
      <c r="BZ1747" s="0" t="s">
        <v>130</v>
      </c>
      <c r="CA1747" s="0" t="s">
        <v>130</v>
      </c>
      <c r="CB1747" s="0" t="s">
        <v>130</v>
      </c>
      <c r="CC1747" s="0" t="s">
        <v>130</v>
      </c>
      <c r="CD1747" s="0" t="s">
        <v>130</v>
      </c>
      <c r="CE1747" s="0" t="s">
        <v>130</v>
      </c>
      <c r="CF1747" s="0" t="s">
        <v>130</v>
      </c>
      <c r="CG1747" s="0" t="s">
        <v>130</v>
      </c>
      <c r="CH1747" s="0" t="s">
        <v>130</v>
      </c>
      <c r="CI1747" s="0" t="s">
        <v>130</v>
      </c>
      <c r="CJ1747" s="0" t="s">
        <v>130</v>
      </c>
      <c r="CK1747" s="0" t="s">
        <v>130</v>
      </c>
      <c r="CL1747" s="0" t="s">
        <v>130</v>
      </c>
      <c r="CM1747" s="0" t="s">
        <v>130</v>
      </c>
      <c r="CN1747" s="0" t="s">
        <v>130</v>
      </c>
      <c r="CO1747" s="0" t="s">
        <v>130</v>
      </c>
      <c r="CP1747" s="0" t="s">
        <v>130</v>
      </c>
      <c r="CQ1747" s="0" t="s">
        <v>130</v>
      </c>
      <c r="CR1747" s="0" t="s">
        <v>130</v>
      </c>
      <c r="CS1747" s="0" t="s">
        <v>130</v>
      </c>
      <c r="CT1747" s="0" t="s">
        <v>4992</v>
      </c>
    </row>
    <row r="1748">
      <c r="A1748" s="14">
        <v>101650</v>
      </c>
      <c r="B1748" s="0" t="s">
        <v>1765</v>
      </c>
      <c r="C1748" s="16">
        <f>HYPERLINK("https://eosportal.federatedhermes.com/companies/Q29tcGFueQppNzU3MDM=", "Westpac Banking Corp")</f>
      </c>
      <c r="D1748" s="0" t="s">
        <v>23</v>
      </c>
      <c r="E1748" s="0" t="s">
        <v>1063</v>
      </c>
      <c r="F1748" s="16">
        <f>HYPERLINK("https://eosportal.federatedhermes.com/engagements/RW5nYWdlbWVudAppMzA0MzY=", "Board evaluation")</f>
      </c>
      <c r="G1748" s="14" t="s">
        <v>4993</v>
      </c>
      <c r="H1748" s="0" t="s">
        <v>141</v>
      </c>
      <c r="I1748" s="14" t="s">
        <v>191</v>
      </c>
      <c r="J1748" s="0" t="s">
        <v>145</v>
      </c>
      <c r="K1748" s="0" t="s">
        <v>164</v>
      </c>
      <c r="L1748" s="0" t="s">
        <v>970</v>
      </c>
      <c r="M1748" s="0" t="s">
        <v>371</v>
      </c>
      <c r="N1748" s="0" t="s">
        <v>372</v>
      </c>
      <c r="O1748" s="0" t="s">
        <v>238</v>
      </c>
      <c r="Q1748" s="0" t="s">
        <v>141</v>
      </c>
      <c r="R1748" s="0" t="s">
        <v>130</v>
      </c>
      <c r="S1748" s="14">
        <v>1</v>
      </c>
      <c r="T1748" s="0" t="s">
        <v>148</v>
      </c>
      <c r="U1748" s="0" t="s">
        <v>221</v>
      </c>
      <c r="V1748" s="14" t="s">
        <v>148</v>
      </c>
      <c r="W1748" s="0" t="s">
        <v>221</v>
      </c>
      <c r="X1748" s="14" t="s">
        <v>230</v>
      </c>
      <c r="Y1748" s="0" t="s">
        <v>221</v>
      </c>
      <c r="Z1748" s="14" t="s">
        <v>597</v>
      </c>
      <c r="AA1748" s="0" t="s">
        <v>223</v>
      </c>
      <c r="AB1748" s="14" t="s">
        <v>138</v>
      </c>
      <c r="AD1748" s="0" t="s">
        <v>20</v>
      </c>
      <c r="AF1748" s="0">
        <v>0</v>
      </c>
      <c r="AG1748" s="0">
        <v>0</v>
      </c>
      <c r="AH1748" s="0" t="s">
        <v>140</v>
      </c>
      <c r="AI1748" s="0" t="s">
        <v>1255</v>
      </c>
      <c r="AJ1748" s="0" t="s">
        <v>4994</v>
      </c>
      <c r="AK1748" s="0" t="s">
        <v>1151</v>
      </c>
      <c r="AL1748" s="14"/>
      <c r="AN1748" s="14"/>
      <c r="AQ1748" s="0" t="s">
        <v>130</v>
      </c>
      <c r="AR1748" s="0" t="s">
        <v>130</v>
      </c>
      <c r="AS1748" s="0" t="s">
        <v>130</v>
      </c>
      <c r="AT1748" s="0" t="s">
        <v>130</v>
      </c>
      <c r="AU1748" s="0" t="s">
        <v>130</v>
      </c>
      <c r="AV1748" s="0" t="s">
        <v>130</v>
      </c>
      <c r="AW1748" s="0" t="s">
        <v>130</v>
      </c>
      <c r="AX1748" s="0" t="s">
        <v>130</v>
      </c>
      <c r="AY1748" s="0" t="s">
        <v>130</v>
      </c>
      <c r="AZ1748" s="0" t="s">
        <v>130</v>
      </c>
      <c r="BA1748" s="0" t="s">
        <v>130</v>
      </c>
      <c r="BB1748" s="0" t="s">
        <v>130</v>
      </c>
      <c r="BC1748" s="0" t="s">
        <v>130</v>
      </c>
      <c r="BD1748" s="0" t="s">
        <v>130</v>
      </c>
      <c r="BE1748" s="0" t="s">
        <v>130</v>
      </c>
      <c r="BF1748" s="0" t="s">
        <v>130</v>
      </c>
      <c r="BG1748" s="0" t="s">
        <v>130</v>
      </c>
      <c r="BH1748" s="0" t="s">
        <v>130</v>
      </c>
      <c r="BI1748" s="0" t="s">
        <v>130</v>
      </c>
      <c r="BJ1748" s="0" t="s">
        <v>130</v>
      </c>
      <c r="BK1748" s="0" t="s">
        <v>130</v>
      </c>
      <c r="BL1748" s="0" t="s">
        <v>130</v>
      </c>
      <c r="BM1748" s="0" t="s">
        <v>130</v>
      </c>
      <c r="BN1748" s="0" t="s">
        <v>130</v>
      </c>
      <c r="BO1748" s="0" t="s">
        <v>130</v>
      </c>
      <c r="BP1748" s="0" t="s">
        <v>130</v>
      </c>
      <c r="BQ1748" s="0" t="s">
        <v>130</v>
      </c>
      <c r="BR1748" s="0" t="s">
        <v>130</v>
      </c>
      <c r="BS1748" s="0" t="s">
        <v>130</v>
      </c>
      <c r="BT1748" s="0" t="s">
        <v>130</v>
      </c>
      <c r="BU1748" s="0" t="s">
        <v>130</v>
      </c>
      <c r="BV1748" s="0" t="s">
        <v>130</v>
      </c>
      <c r="BW1748" s="0" t="s">
        <v>130</v>
      </c>
      <c r="BX1748" s="0" t="s">
        <v>130</v>
      </c>
      <c r="BY1748" s="0" t="s">
        <v>130</v>
      </c>
      <c r="BZ1748" s="0" t="s">
        <v>130</v>
      </c>
      <c r="CA1748" s="0" t="s">
        <v>130</v>
      </c>
      <c r="CB1748" s="0" t="s">
        <v>130</v>
      </c>
      <c r="CC1748" s="0" t="s">
        <v>130</v>
      </c>
      <c r="CD1748" s="0" t="s">
        <v>130</v>
      </c>
      <c r="CE1748" s="0" t="s">
        <v>130</v>
      </c>
      <c r="CF1748" s="0" t="s">
        <v>130</v>
      </c>
      <c r="CG1748" s="0" t="s">
        <v>130</v>
      </c>
      <c r="CH1748" s="0" t="s">
        <v>130</v>
      </c>
      <c r="CI1748" s="0" t="s">
        <v>130</v>
      </c>
      <c r="CJ1748" s="0" t="s">
        <v>130</v>
      </c>
      <c r="CK1748" s="0" t="s">
        <v>130</v>
      </c>
      <c r="CL1748" s="0" t="s">
        <v>130</v>
      </c>
      <c r="CM1748" s="0" t="s">
        <v>130</v>
      </c>
      <c r="CN1748" s="0" t="s">
        <v>130</v>
      </c>
      <c r="CO1748" s="0" t="s">
        <v>130</v>
      </c>
      <c r="CP1748" s="0" t="s">
        <v>130</v>
      </c>
      <c r="CQ1748" s="0" t="s">
        <v>130</v>
      </c>
      <c r="CR1748" s="0" t="s">
        <v>130</v>
      </c>
      <c r="CS1748" s="0" t="s">
        <v>130</v>
      </c>
      <c r="CT1748" s="0" t="s">
        <v>4995</v>
      </c>
    </row>
    <row r="1749">
      <c r="A1749" s="14">
        <v>100614</v>
      </c>
      <c r="B1749" s="0" t="s">
        <v>902</v>
      </c>
      <c r="C1749" s="16">
        <f>HYPERLINK("https://eosportal.federatedhermes.com/companies/Q29tcGFueQppNjc3NDg=", "Freeport-McMoRan Inc")</f>
      </c>
      <c r="D1749" s="0" t="s">
        <v>23</v>
      </c>
      <c r="E1749" s="0" t="s">
        <v>4996</v>
      </c>
      <c r="F1749" s="16">
        <f>HYPERLINK("https://eosportal.federatedhermes.com/engagements/RW5nYWdlbWVudAppMzA0Mzk=", "Water audits in Indonesia")</f>
      </c>
      <c r="G1749" s="14" t="s">
        <v>4997</v>
      </c>
      <c r="H1749" s="0" t="s">
        <v>141</v>
      </c>
      <c r="I1749" s="14" t="s">
        <v>131</v>
      </c>
      <c r="J1749" s="0" t="s">
        <v>197</v>
      </c>
      <c r="K1749" s="0" t="s">
        <v>337</v>
      </c>
      <c r="L1749" s="0" t="s">
        <v>338</v>
      </c>
      <c r="M1749" s="0" t="s">
        <v>135</v>
      </c>
      <c r="N1749" s="0" t="s">
        <v>136</v>
      </c>
      <c r="O1749" s="0" t="s">
        <v>373</v>
      </c>
      <c r="Q1749" s="0" t="s">
        <v>130</v>
      </c>
      <c r="R1749" s="0" t="s">
        <v>130</v>
      </c>
      <c r="S1749" s="14">
        <v>0</v>
      </c>
      <c r="T1749" s="0" t="s">
        <v>583</v>
      </c>
      <c r="U1749" s="0" t="s">
        <v>221</v>
      </c>
      <c r="V1749" s="14" t="s">
        <v>583</v>
      </c>
      <c r="W1749" s="0" t="s">
        <v>221</v>
      </c>
      <c r="X1749" s="14" t="s">
        <v>583</v>
      </c>
      <c r="Y1749" s="0" t="s">
        <v>223</v>
      </c>
      <c r="Z1749" s="14" t="s">
        <v>138</v>
      </c>
      <c r="AA1749" s="0" t="s">
        <v>224</v>
      </c>
      <c r="AB1749" s="14" t="s">
        <v>138</v>
      </c>
      <c r="AD1749" s="0" t="s">
        <v>17</v>
      </c>
      <c r="AF1749" s="0">
        <v>0</v>
      </c>
      <c r="AG1749" s="0">
        <v>0</v>
      </c>
      <c r="AH1749" s="0" t="s">
        <v>140</v>
      </c>
      <c r="AI1749" s="0" t="s">
        <v>232</v>
      </c>
      <c r="AL1749" s="14"/>
      <c r="AN1749" s="14"/>
      <c r="AQ1749" s="0" t="s">
        <v>130</v>
      </c>
      <c r="AR1749" s="0" t="s">
        <v>130</v>
      </c>
      <c r="AS1749" s="0" t="s">
        <v>130</v>
      </c>
      <c r="AT1749" s="0" t="s">
        <v>130</v>
      </c>
      <c r="AU1749" s="0" t="s">
        <v>130</v>
      </c>
      <c r="AV1749" s="0" t="s">
        <v>141</v>
      </c>
      <c r="AW1749" s="0" t="s">
        <v>130</v>
      </c>
      <c r="AX1749" s="0" t="s">
        <v>130</v>
      </c>
      <c r="AY1749" s="0" t="s">
        <v>130</v>
      </c>
      <c r="AZ1749" s="0" t="s">
        <v>130</v>
      </c>
      <c r="BA1749" s="0" t="s">
        <v>130</v>
      </c>
      <c r="BB1749" s="0" t="s">
        <v>130</v>
      </c>
      <c r="BC1749" s="0" t="s">
        <v>130</v>
      </c>
      <c r="BD1749" s="0" t="s">
        <v>130</v>
      </c>
      <c r="BE1749" s="0" t="s">
        <v>130</v>
      </c>
      <c r="BF1749" s="0" t="s">
        <v>130</v>
      </c>
      <c r="BG1749" s="0" t="s">
        <v>130</v>
      </c>
      <c r="BH1749" s="0" t="s">
        <v>130</v>
      </c>
      <c r="BI1749" s="0" t="s">
        <v>130</v>
      </c>
      <c r="BJ1749" s="0" t="s">
        <v>130</v>
      </c>
      <c r="BK1749" s="0" t="s">
        <v>130</v>
      </c>
      <c r="BL1749" s="0" t="s">
        <v>130</v>
      </c>
      <c r="BM1749" s="0" t="s">
        <v>130</v>
      </c>
      <c r="BN1749" s="0" t="s">
        <v>130</v>
      </c>
      <c r="BO1749" s="0" t="s">
        <v>130</v>
      </c>
      <c r="BP1749" s="0" t="s">
        <v>130</v>
      </c>
      <c r="BQ1749" s="0" t="s">
        <v>130</v>
      </c>
      <c r="BR1749" s="0" t="s">
        <v>130</v>
      </c>
      <c r="BS1749" s="0" t="s">
        <v>130</v>
      </c>
      <c r="BT1749" s="0" t="s">
        <v>130</v>
      </c>
      <c r="BU1749" s="0" t="s">
        <v>130</v>
      </c>
      <c r="BV1749" s="0" t="s">
        <v>130</v>
      </c>
      <c r="BW1749" s="0" t="s">
        <v>130</v>
      </c>
      <c r="BX1749" s="0" t="s">
        <v>141</v>
      </c>
      <c r="BY1749" s="0" t="s">
        <v>130</v>
      </c>
      <c r="BZ1749" s="0" t="s">
        <v>130</v>
      </c>
      <c r="CA1749" s="0" t="s">
        <v>130</v>
      </c>
      <c r="CB1749" s="0" t="s">
        <v>130</v>
      </c>
      <c r="CC1749" s="0" t="s">
        <v>130</v>
      </c>
      <c r="CD1749" s="0" t="s">
        <v>130</v>
      </c>
      <c r="CE1749" s="0" t="s">
        <v>130</v>
      </c>
      <c r="CF1749" s="0" t="s">
        <v>130</v>
      </c>
      <c r="CG1749" s="0" t="s">
        <v>130</v>
      </c>
      <c r="CH1749" s="0" t="s">
        <v>130</v>
      </c>
      <c r="CI1749" s="0" t="s">
        <v>130</v>
      </c>
      <c r="CJ1749" s="0" t="s">
        <v>130</v>
      </c>
      <c r="CK1749" s="0" t="s">
        <v>130</v>
      </c>
      <c r="CL1749" s="0" t="s">
        <v>130</v>
      </c>
      <c r="CM1749" s="0" t="s">
        <v>130</v>
      </c>
      <c r="CN1749" s="0" t="s">
        <v>130</v>
      </c>
      <c r="CO1749" s="0" t="s">
        <v>130</v>
      </c>
      <c r="CP1749" s="0" t="s">
        <v>130</v>
      </c>
      <c r="CQ1749" s="0" t="s">
        <v>130</v>
      </c>
      <c r="CR1749" s="0" t="s">
        <v>130</v>
      </c>
      <c r="CS1749" s="0" t="s">
        <v>130</v>
      </c>
      <c r="CT1749" s="0" t="s">
        <v>4998</v>
      </c>
    </row>
    <row r="1750">
      <c r="A1750" s="14">
        <v>11092218</v>
      </c>
      <c r="B1750" s="0" t="s">
        <v>3976</v>
      </c>
      <c r="C1750" s="16">
        <f>HYPERLINK("https://eosportal.federatedhermes.com/companies/Q29tcGFueQppNjI1MDE=", "Meta Platforms Inc")</f>
      </c>
      <c r="D1750" s="0" t="s">
        <v>23</v>
      </c>
      <c r="E1750" s="0" t="s">
        <v>4999</v>
      </c>
      <c r="F1750" s="16">
        <f>HYPERLINK("https://eosportal.federatedhermes.com/engagements/RW5nYWdlbWVudAppMzA0NDg=", "User consent")</f>
      </c>
      <c r="G1750" s="14" t="s">
        <v>5000</v>
      </c>
      <c r="H1750" s="0" t="s">
        <v>141</v>
      </c>
      <c r="I1750" s="14" t="s">
        <v>191</v>
      </c>
      <c r="J1750" s="0" t="s">
        <v>153</v>
      </c>
      <c r="K1750" s="0" t="s">
        <v>243</v>
      </c>
      <c r="L1750" s="0" t="s">
        <v>537</v>
      </c>
      <c r="M1750" s="0" t="s">
        <v>135</v>
      </c>
      <c r="N1750" s="0" t="s">
        <v>136</v>
      </c>
      <c r="O1750" s="0" t="s">
        <v>137</v>
      </c>
      <c r="Q1750" s="0" t="s">
        <v>130</v>
      </c>
      <c r="R1750" s="0" t="s">
        <v>130</v>
      </c>
      <c r="S1750" s="14">
        <v>0</v>
      </c>
      <c r="T1750" s="0" t="s">
        <v>231</v>
      </c>
      <c r="U1750" s="0" t="s">
        <v>221</v>
      </c>
      <c r="V1750" s="14" t="s">
        <v>231</v>
      </c>
      <c r="W1750" s="0" t="s">
        <v>221</v>
      </c>
      <c r="X1750" s="14" t="s">
        <v>597</v>
      </c>
      <c r="Y1750" s="0" t="s">
        <v>223</v>
      </c>
      <c r="Z1750" s="14" t="s">
        <v>138</v>
      </c>
      <c r="AA1750" s="0" t="s">
        <v>224</v>
      </c>
      <c r="AB1750" s="14" t="s">
        <v>138</v>
      </c>
      <c r="AD1750" s="0" t="s">
        <v>17</v>
      </c>
      <c r="AF1750" s="0">
        <v>0</v>
      </c>
      <c r="AG1750" s="0">
        <v>0</v>
      </c>
      <c r="AH1750" s="0" t="s">
        <v>140</v>
      </c>
      <c r="AI1750" s="0" t="s">
        <v>232</v>
      </c>
      <c r="AL1750" s="14"/>
      <c r="AN1750" s="14"/>
      <c r="AQ1750" s="0" t="s">
        <v>130</v>
      </c>
      <c r="AR1750" s="0" t="s">
        <v>130</v>
      </c>
      <c r="AS1750" s="0" t="s">
        <v>130</v>
      </c>
      <c r="AT1750" s="0" t="s">
        <v>130</v>
      </c>
      <c r="AU1750" s="0" t="s">
        <v>130</v>
      </c>
      <c r="AV1750" s="0" t="s">
        <v>130</v>
      </c>
      <c r="AW1750" s="0" t="s">
        <v>130</v>
      </c>
      <c r="AX1750" s="0" t="s">
        <v>130</v>
      </c>
      <c r="AY1750" s="0" t="s">
        <v>130</v>
      </c>
      <c r="AZ1750" s="0" t="s">
        <v>130</v>
      </c>
      <c r="BA1750" s="0" t="s">
        <v>130</v>
      </c>
      <c r="BB1750" s="0" t="s">
        <v>141</v>
      </c>
      <c r="BC1750" s="0" t="s">
        <v>130</v>
      </c>
      <c r="BD1750" s="0" t="s">
        <v>130</v>
      </c>
      <c r="BE1750" s="0" t="s">
        <v>130</v>
      </c>
      <c r="BF1750" s="0" t="s">
        <v>141</v>
      </c>
      <c r="BG1750" s="0" t="s">
        <v>130</v>
      </c>
      <c r="BH1750" s="0" t="s">
        <v>130</v>
      </c>
      <c r="BI1750" s="0" t="s">
        <v>130</v>
      </c>
      <c r="BJ1750" s="0" t="s">
        <v>130</v>
      </c>
      <c r="BK1750" s="0" t="s">
        <v>130</v>
      </c>
      <c r="BL1750" s="0" t="s">
        <v>130</v>
      </c>
      <c r="BM1750" s="0" t="s">
        <v>130</v>
      </c>
      <c r="BN1750" s="0" t="s">
        <v>130</v>
      </c>
      <c r="BO1750" s="0" t="s">
        <v>130</v>
      </c>
      <c r="BP1750" s="0" t="s">
        <v>130</v>
      </c>
      <c r="BQ1750" s="0" t="s">
        <v>130</v>
      </c>
      <c r="BR1750" s="0" t="s">
        <v>130</v>
      </c>
      <c r="BS1750" s="0" t="s">
        <v>130</v>
      </c>
      <c r="BT1750" s="0" t="s">
        <v>130</v>
      </c>
      <c r="BU1750" s="0" t="s">
        <v>130</v>
      </c>
      <c r="BV1750" s="0" t="s">
        <v>130</v>
      </c>
      <c r="BW1750" s="0" t="s">
        <v>130</v>
      </c>
      <c r="BX1750" s="0" t="s">
        <v>130</v>
      </c>
      <c r="BY1750" s="0" t="s">
        <v>130</v>
      </c>
      <c r="BZ1750" s="0" t="s">
        <v>130</v>
      </c>
      <c r="CA1750" s="0" t="s">
        <v>130</v>
      </c>
      <c r="CB1750" s="0" t="s">
        <v>130</v>
      </c>
      <c r="CC1750" s="0" t="s">
        <v>130</v>
      </c>
      <c r="CD1750" s="0" t="s">
        <v>130</v>
      </c>
      <c r="CE1750" s="0" t="s">
        <v>130</v>
      </c>
      <c r="CF1750" s="0" t="s">
        <v>130</v>
      </c>
      <c r="CG1750" s="0" t="s">
        <v>130</v>
      </c>
      <c r="CH1750" s="0" t="s">
        <v>130</v>
      </c>
      <c r="CI1750" s="0" t="s">
        <v>130</v>
      </c>
      <c r="CJ1750" s="0" t="s">
        <v>130</v>
      </c>
      <c r="CK1750" s="0" t="s">
        <v>130</v>
      </c>
      <c r="CL1750" s="0" t="s">
        <v>130</v>
      </c>
      <c r="CM1750" s="0" t="s">
        <v>130</v>
      </c>
      <c r="CN1750" s="0" t="s">
        <v>130</v>
      </c>
      <c r="CO1750" s="0" t="s">
        <v>130</v>
      </c>
      <c r="CP1750" s="0" t="s">
        <v>130</v>
      </c>
      <c r="CQ1750" s="0" t="s">
        <v>130</v>
      </c>
      <c r="CR1750" s="0" t="s">
        <v>130</v>
      </c>
      <c r="CS1750" s="0" t="s">
        <v>130</v>
      </c>
      <c r="CT1750" s="0" t="s">
        <v>5001</v>
      </c>
    </row>
    <row r="1751">
      <c r="A1751" s="14">
        <v>101092</v>
      </c>
      <c r="B1751" s="0" t="s">
        <v>1319</v>
      </c>
      <c r="C1751" s="16">
        <f>HYPERLINK("https://eosportal.federatedhermes.com/companies/Q29tcGFueQppNzc5MzU=", "Wells Fargo &amp; Co")</f>
      </c>
      <c r="D1751" s="0" t="s">
        <v>23</v>
      </c>
      <c r="E1751" s="0" t="s">
        <v>5002</v>
      </c>
      <c r="F1751" s="16">
        <f>HYPERLINK("https://eosportal.federatedhermes.com/engagements/RW5nYWdlbWVudAppMzA0NTE=", "Climate strategy - enhanced scope")</f>
      </c>
      <c r="G1751" s="14" t="s">
        <v>5003</v>
      </c>
      <c r="H1751" s="0" t="s">
        <v>141</v>
      </c>
      <c r="I1751" s="14" t="s">
        <v>191</v>
      </c>
      <c r="J1751" s="0" t="s">
        <v>197</v>
      </c>
      <c r="K1751" s="0" t="s">
        <v>198</v>
      </c>
      <c r="L1751" s="0" t="s">
        <v>220</v>
      </c>
      <c r="M1751" s="0" t="s">
        <v>135</v>
      </c>
      <c r="N1751" s="0" t="s">
        <v>136</v>
      </c>
      <c r="O1751" s="0" t="s">
        <v>238</v>
      </c>
      <c r="Q1751" s="0" t="s">
        <v>130</v>
      </c>
      <c r="R1751" s="0" t="s">
        <v>130</v>
      </c>
      <c r="S1751" s="14">
        <v>0</v>
      </c>
      <c r="T1751" s="0" t="s">
        <v>206</v>
      </c>
      <c r="U1751" s="0" t="s">
        <v>221</v>
      </c>
      <c r="V1751" s="14" t="s">
        <v>206</v>
      </c>
      <c r="W1751" s="0" t="s">
        <v>221</v>
      </c>
      <c r="X1751" s="14" t="s">
        <v>355</v>
      </c>
      <c r="Y1751" s="0" t="s">
        <v>221</v>
      </c>
      <c r="Z1751" s="14" t="s">
        <v>355</v>
      </c>
      <c r="AA1751" s="0" t="s">
        <v>223</v>
      </c>
      <c r="AB1751" s="14" t="s">
        <v>138</v>
      </c>
      <c r="AD1751" s="0" t="s">
        <v>20</v>
      </c>
      <c r="AF1751" s="0">
        <v>0</v>
      </c>
      <c r="AG1751" s="0">
        <v>0</v>
      </c>
      <c r="AH1751" s="0" t="s">
        <v>140</v>
      </c>
      <c r="AI1751" s="0" t="s">
        <v>232</v>
      </c>
      <c r="AL1751" s="14"/>
      <c r="AN1751" s="14"/>
      <c r="AQ1751" s="0" t="s">
        <v>130</v>
      </c>
      <c r="AR1751" s="0" t="s">
        <v>130</v>
      </c>
      <c r="AS1751" s="0" t="s">
        <v>130</v>
      </c>
      <c r="AT1751" s="0" t="s">
        <v>130</v>
      </c>
      <c r="AU1751" s="0" t="s">
        <v>130</v>
      </c>
      <c r="AV1751" s="0" t="s">
        <v>130</v>
      </c>
      <c r="AW1751" s="0" t="s">
        <v>141</v>
      </c>
      <c r="AX1751" s="0" t="s">
        <v>130</v>
      </c>
      <c r="AY1751" s="0" t="s">
        <v>141</v>
      </c>
      <c r="AZ1751" s="0" t="s">
        <v>130</v>
      </c>
      <c r="BA1751" s="0" t="s">
        <v>130</v>
      </c>
      <c r="BB1751" s="0" t="s">
        <v>130</v>
      </c>
      <c r="BC1751" s="0" t="s">
        <v>141</v>
      </c>
      <c r="BD1751" s="0" t="s">
        <v>130</v>
      </c>
      <c r="BE1751" s="0" t="s">
        <v>130</v>
      </c>
      <c r="BF1751" s="0" t="s">
        <v>130</v>
      </c>
      <c r="BG1751" s="0" t="s">
        <v>130</v>
      </c>
      <c r="BH1751" s="0" t="s">
        <v>141</v>
      </c>
      <c r="BI1751" s="0" t="s">
        <v>141</v>
      </c>
      <c r="BJ1751" s="0" t="s">
        <v>141</v>
      </c>
      <c r="BK1751" s="0" t="s">
        <v>130</v>
      </c>
      <c r="BL1751" s="0" t="s">
        <v>130</v>
      </c>
      <c r="BM1751" s="0" t="s">
        <v>130</v>
      </c>
      <c r="BN1751" s="0" t="s">
        <v>130</v>
      </c>
      <c r="BO1751" s="0" t="s">
        <v>130</v>
      </c>
      <c r="BP1751" s="0" t="s">
        <v>130</v>
      </c>
      <c r="BQ1751" s="0" t="s">
        <v>130</v>
      </c>
      <c r="BR1751" s="0" t="s">
        <v>130</v>
      </c>
      <c r="BS1751" s="0" t="s">
        <v>130</v>
      </c>
      <c r="BT1751" s="0" t="s">
        <v>130</v>
      </c>
      <c r="BU1751" s="0" t="s">
        <v>130</v>
      </c>
      <c r="BV1751" s="0" t="s">
        <v>141</v>
      </c>
      <c r="BW1751" s="0" t="s">
        <v>141</v>
      </c>
      <c r="BX1751" s="0" t="s">
        <v>130</v>
      </c>
      <c r="BY1751" s="0" t="s">
        <v>130</v>
      </c>
      <c r="BZ1751" s="0" t="s">
        <v>130</v>
      </c>
      <c r="CA1751" s="0" t="s">
        <v>130</v>
      </c>
      <c r="CB1751" s="0" t="s">
        <v>130</v>
      </c>
      <c r="CC1751" s="0" t="s">
        <v>130</v>
      </c>
      <c r="CD1751" s="0" t="s">
        <v>130</v>
      </c>
      <c r="CE1751" s="0" t="s">
        <v>130</v>
      </c>
      <c r="CF1751" s="0" t="s">
        <v>130</v>
      </c>
      <c r="CG1751" s="0" t="s">
        <v>130</v>
      </c>
      <c r="CH1751" s="0" t="s">
        <v>130</v>
      </c>
      <c r="CI1751" s="0" t="s">
        <v>130</v>
      </c>
      <c r="CJ1751" s="0" t="s">
        <v>130</v>
      </c>
      <c r="CK1751" s="0" t="s">
        <v>130</v>
      </c>
      <c r="CL1751" s="0" t="s">
        <v>130</v>
      </c>
      <c r="CM1751" s="0" t="s">
        <v>130</v>
      </c>
      <c r="CN1751" s="0" t="s">
        <v>130</v>
      </c>
      <c r="CO1751" s="0" t="s">
        <v>130</v>
      </c>
      <c r="CP1751" s="0" t="s">
        <v>130</v>
      </c>
      <c r="CQ1751" s="0" t="s">
        <v>130</v>
      </c>
      <c r="CR1751" s="0" t="s">
        <v>130</v>
      </c>
      <c r="CS1751" s="0" t="s">
        <v>130</v>
      </c>
      <c r="CT1751" s="0" t="s">
        <v>5004</v>
      </c>
    </row>
    <row r="1752">
      <c r="A1752" s="14">
        <v>11092218</v>
      </c>
      <c r="B1752" s="0" t="s">
        <v>3976</v>
      </c>
      <c r="C1752" s="16">
        <f>HYPERLINK("https://eosportal.federatedhermes.com/companies/Q29tcGFueQppNjI1MDE=", "Meta Platforms Inc")</f>
      </c>
      <c r="D1752" s="0" t="s">
        <v>23</v>
      </c>
      <c r="E1752" s="0" t="s">
        <v>5005</v>
      </c>
      <c r="F1752" s="16">
        <f>HYPERLINK("https://eosportal.federatedhermes.com/engagements/RW5nYWdlbWVudAppMzA0NjA=", "Environmental impacts of data centres")</f>
      </c>
      <c r="G1752" s="14" t="s">
        <v>5006</v>
      </c>
      <c r="H1752" s="0" t="s">
        <v>141</v>
      </c>
      <c r="I1752" s="14" t="s">
        <v>191</v>
      </c>
      <c r="J1752" s="0" t="s">
        <v>197</v>
      </c>
      <c r="K1752" s="0" t="s">
        <v>198</v>
      </c>
      <c r="L1752" s="0" t="s">
        <v>220</v>
      </c>
      <c r="M1752" s="0" t="s">
        <v>135</v>
      </c>
      <c r="N1752" s="0" t="s">
        <v>136</v>
      </c>
      <c r="O1752" s="0" t="s">
        <v>137</v>
      </c>
      <c r="Q1752" s="0" t="s">
        <v>130</v>
      </c>
      <c r="R1752" s="0" t="s">
        <v>130</v>
      </c>
      <c r="S1752" s="14">
        <v>0</v>
      </c>
      <c r="T1752" s="0" t="s">
        <v>231</v>
      </c>
      <c r="U1752" s="0" t="s">
        <v>221</v>
      </c>
      <c r="V1752" s="14" t="s">
        <v>231</v>
      </c>
      <c r="W1752" s="0" t="s">
        <v>221</v>
      </c>
      <c r="X1752" s="14" t="s">
        <v>597</v>
      </c>
      <c r="Y1752" s="0" t="s">
        <v>223</v>
      </c>
      <c r="Z1752" s="14" t="s">
        <v>138</v>
      </c>
      <c r="AA1752" s="0" t="s">
        <v>224</v>
      </c>
      <c r="AB1752" s="14" t="s">
        <v>138</v>
      </c>
      <c r="AD1752" s="0" t="s">
        <v>17</v>
      </c>
      <c r="AF1752" s="0">
        <v>0</v>
      </c>
      <c r="AG1752" s="0">
        <v>0</v>
      </c>
      <c r="AH1752" s="0" t="s">
        <v>140</v>
      </c>
      <c r="AI1752" s="0" t="s">
        <v>232</v>
      </c>
      <c r="AL1752" s="14"/>
      <c r="AN1752" s="14"/>
      <c r="AQ1752" s="0" t="s">
        <v>130</v>
      </c>
      <c r="AR1752" s="0" t="s">
        <v>130</v>
      </c>
      <c r="AS1752" s="0" t="s">
        <v>130</v>
      </c>
      <c r="AT1752" s="0" t="s">
        <v>130</v>
      </c>
      <c r="AU1752" s="0" t="s">
        <v>130</v>
      </c>
      <c r="AV1752" s="0" t="s">
        <v>130</v>
      </c>
      <c r="AW1752" s="0" t="s">
        <v>141</v>
      </c>
      <c r="AX1752" s="0" t="s">
        <v>130</v>
      </c>
      <c r="AY1752" s="0" t="s">
        <v>141</v>
      </c>
      <c r="AZ1752" s="0" t="s">
        <v>130</v>
      </c>
      <c r="BA1752" s="0" t="s">
        <v>130</v>
      </c>
      <c r="BB1752" s="0" t="s">
        <v>130</v>
      </c>
      <c r="BC1752" s="0" t="s">
        <v>141</v>
      </c>
      <c r="BD1752" s="0" t="s">
        <v>130</v>
      </c>
      <c r="BE1752" s="0" t="s">
        <v>130</v>
      </c>
      <c r="BF1752" s="0" t="s">
        <v>130</v>
      </c>
      <c r="BG1752" s="0" t="s">
        <v>130</v>
      </c>
      <c r="BH1752" s="0" t="s">
        <v>130</v>
      </c>
      <c r="BI1752" s="0" t="s">
        <v>130</v>
      </c>
      <c r="BJ1752" s="0" t="s">
        <v>130</v>
      </c>
      <c r="BK1752" s="0" t="s">
        <v>130</v>
      </c>
      <c r="BL1752" s="0" t="s">
        <v>130</v>
      </c>
      <c r="BM1752" s="0" t="s">
        <v>130</v>
      </c>
      <c r="BN1752" s="0" t="s">
        <v>130</v>
      </c>
      <c r="BO1752" s="0" t="s">
        <v>130</v>
      </c>
      <c r="BP1752" s="0" t="s">
        <v>130</v>
      </c>
      <c r="BQ1752" s="0" t="s">
        <v>130</v>
      </c>
      <c r="BR1752" s="0" t="s">
        <v>130</v>
      </c>
      <c r="BS1752" s="0" t="s">
        <v>130</v>
      </c>
      <c r="BT1752" s="0" t="s">
        <v>130</v>
      </c>
      <c r="BU1752" s="0" t="s">
        <v>130</v>
      </c>
      <c r="BV1752" s="0" t="s">
        <v>130</v>
      </c>
      <c r="BW1752" s="0" t="s">
        <v>130</v>
      </c>
      <c r="BX1752" s="0" t="s">
        <v>130</v>
      </c>
      <c r="BY1752" s="0" t="s">
        <v>130</v>
      </c>
      <c r="BZ1752" s="0" t="s">
        <v>130</v>
      </c>
      <c r="CA1752" s="0" t="s">
        <v>130</v>
      </c>
      <c r="CB1752" s="0" t="s">
        <v>130</v>
      </c>
      <c r="CC1752" s="0" t="s">
        <v>130</v>
      </c>
      <c r="CD1752" s="0" t="s">
        <v>130</v>
      </c>
      <c r="CE1752" s="0" t="s">
        <v>130</v>
      </c>
      <c r="CF1752" s="0" t="s">
        <v>130</v>
      </c>
      <c r="CG1752" s="0" t="s">
        <v>130</v>
      </c>
      <c r="CH1752" s="0" t="s">
        <v>130</v>
      </c>
      <c r="CI1752" s="0" t="s">
        <v>130</v>
      </c>
      <c r="CJ1752" s="0" t="s">
        <v>130</v>
      </c>
      <c r="CK1752" s="0" t="s">
        <v>130</v>
      </c>
      <c r="CL1752" s="0" t="s">
        <v>130</v>
      </c>
      <c r="CM1752" s="0" t="s">
        <v>130</v>
      </c>
      <c r="CN1752" s="0" t="s">
        <v>130</v>
      </c>
      <c r="CO1752" s="0" t="s">
        <v>130</v>
      </c>
      <c r="CP1752" s="0" t="s">
        <v>130</v>
      </c>
      <c r="CQ1752" s="0" t="s">
        <v>130</v>
      </c>
      <c r="CR1752" s="0" t="s">
        <v>130</v>
      </c>
      <c r="CS1752" s="0" t="s">
        <v>130</v>
      </c>
      <c r="CT1752" s="0" t="s">
        <v>5007</v>
      </c>
    </row>
    <row r="1753">
      <c r="A1753" s="14">
        <v>101092</v>
      </c>
      <c r="B1753" s="0" t="s">
        <v>1319</v>
      </c>
      <c r="C1753" s="16">
        <f>HYPERLINK("https://eosportal.federatedhermes.com/companies/Q29tcGFueQppNzc5MzU=", "Wells Fargo &amp; Co")</f>
      </c>
      <c r="D1753" s="0" t="s">
        <v>23</v>
      </c>
      <c r="E1753" s="0" t="s">
        <v>228</v>
      </c>
      <c r="F1753" s="16">
        <f>HYPERLINK("https://eosportal.federatedhermes.com/engagements/RW5nYWdlbWVudAppMzA0Njc=", "Climate strategy")</f>
      </c>
      <c r="G1753" s="14" t="s">
        <v>5008</v>
      </c>
      <c r="H1753" s="0" t="s">
        <v>141</v>
      </c>
      <c r="I1753" s="14" t="s">
        <v>191</v>
      </c>
      <c r="J1753" s="0" t="s">
        <v>197</v>
      </c>
      <c r="K1753" s="0" t="s">
        <v>198</v>
      </c>
      <c r="L1753" s="0" t="s">
        <v>220</v>
      </c>
      <c r="M1753" s="0" t="s">
        <v>135</v>
      </c>
      <c r="N1753" s="0" t="s">
        <v>136</v>
      </c>
      <c r="O1753" s="0" t="s">
        <v>238</v>
      </c>
      <c r="Q1753" s="0" t="s">
        <v>130</v>
      </c>
      <c r="R1753" s="0" t="s">
        <v>130</v>
      </c>
      <c r="S1753" s="14">
        <v>0</v>
      </c>
      <c r="T1753" s="0" t="s">
        <v>230</v>
      </c>
      <c r="U1753" s="0" t="s">
        <v>221</v>
      </c>
      <c r="V1753" s="14" t="s">
        <v>230</v>
      </c>
      <c r="W1753" s="0" t="s">
        <v>221</v>
      </c>
      <c r="X1753" s="14" t="s">
        <v>230</v>
      </c>
      <c r="Y1753" s="0" t="s">
        <v>221</v>
      </c>
      <c r="Z1753" s="14" t="s">
        <v>4412</v>
      </c>
      <c r="AA1753" s="0" t="s">
        <v>223</v>
      </c>
      <c r="AB1753" s="14" t="s">
        <v>138</v>
      </c>
      <c r="AD1753" s="0" t="s">
        <v>20</v>
      </c>
      <c r="AF1753" s="0">
        <v>0</v>
      </c>
      <c r="AG1753" s="0">
        <v>0</v>
      </c>
      <c r="AH1753" s="0" t="s">
        <v>140</v>
      </c>
      <c r="AI1753" s="0" t="s">
        <v>479</v>
      </c>
      <c r="AL1753" s="14"/>
      <c r="AN1753" s="14"/>
      <c r="AQ1753" s="0" t="s">
        <v>130</v>
      </c>
      <c r="AR1753" s="0" t="s">
        <v>130</v>
      </c>
      <c r="AS1753" s="0" t="s">
        <v>130</v>
      </c>
      <c r="AT1753" s="0" t="s">
        <v>130</v>
      </c>
      <c r="AU1753" s="0" t="s">
        <v>130</v>
      </c>
      <c r="AV1753" s="0" t="s">
        <v>130</v>
      </c>
      <c r="AW1753" s="0" t="s">
        <v>141</v>
      </c>
      <c r="AX1753" s="0" t="s">
        <v>130</v>
      </c>
      <c r="AY1753" s="0" t="s">
        <v>141</v>
      </c>
      <c r="AZ1753" s="0" t="s">
        <v>130</v>
      </c>
      <c r="BA1753" s="0" t="s">
        <v>130</v>
      </c>
      <c r="BB1753" s="0" t="s">
        <v>130</v>
      </c>
      <c r="BC1753" s="0" t="s">
        <v>141</v>
      </c>
      <c r="BD1753" s="0" t="s">
        <v>130</v>
      </c>
      <c r="BE1753" s="0" t="s">
        <v>130</v>
      </c>
      <c r="BF1753" s="0" t="s">
        <v>130</v>
      </c>
      <c r="BG1753" s="0" t="s">
        <v>130</v>
      </c>
      <c r="BH1753" s="0" t="s">
        <v>141</v>
      </c>
      <c r="BI1753" s="0" t="s">
        <v>141</v>
      </c>
      <c r="BJ1753" s="0" t="s">
        <v>141</v>
      </c>
      <c r="BK1753" s="0" t="s">
        <v>130</v>
      </c>
      <c r="BL1753" s="0" t="s">
        <v>130</v>
      </c>
      <c r="BM1753" s="0" t="s">
        <v>130</v>
      </c>
      <c r="BN1753" s="0" t="s">
        <v>130</v>
      </c>
      <c r="BO1753" s="0" t="s">
        <v>130</v>
      </c>
      <c r="BP1753" s="0" t="s">
        <v>130</v>
      </c>
      <c r="BQ1753" s="0" t="s">
        <v>130</v>
      </c>
      <c r="BR1753" s="0" t="s">
        <v>130</v>
      </c>
      <c r="BS1753" s="0" t="s">
        <v>130</v>
      </c>
      <c r="BT1753" s="0" t="s">
        <v>130</v>
      </c>
      <c r="BU1753" s="0" t="s">
        <v>130</v>
      </c>
      <c r="BV1753" s="0" t="s">
        <v>141</v>
      </c>
      <c r="BW1753" s="0" t="s">
        <v>141</v>
      </c>
      <c r="BX1753" s="0" t="s">
        <v>130</v>
      </c>
      <c r="BY1753" s="0" t="s">
        <v>130</v>
      </c>
      <c r="BZ1753" s="0" t="s">
        <v>130</v>
      </c>
      <c r="CA1753" s="0" t="s">
        <v>130</v>
      </c>
      <c r="CB1753" s="0" t="s">
        <v>130</v>
      </c>
      <c r="CC1753" s="0" t="s">
        <v>130</v>
      </c>
      <c r="CD1753" s="0" t="s">
        <v>130</v>
      </c>
      <c r="CE1753" s="0" t="s">
        <v>130</v>
      </c>
      <c r="CF1753" s="0" t="s">
        <v>130</v>
      </c>
      <c r="CG1753" s="0" t="s">
        <v>130</v>
      </c>
      <c r="CH1753" s="0" t="s">
        <v>130</v>
      </c>
      <c r="CI1753" s="0" t="s">
        <v>130</v>
      </c>
      <c r="CJ1753" s="0" t="s">
        <v>130</v>
      </c>
      <c r="CK1753" s="0" t="s">
        <v>130</v>
      </c>
      <c r="CL1753" s="0" t="s">
        <v>130</v>
      </c>
      <c r="CM1753" s="0" t="s">
        <v>130</v>
      </c>
      <c r="CN1753" s="0" t="s">
        <v>130</v>
      </c>
      <c r="CO1753" s="0" t="s">
        <v>130</v>
      </c>
      <c r="CP1753" s="0" t="s">
        <v>130</v>
      </c>
      <c r="CQ1753" s="0" t="s">
        <v>130</v>
      </c>
      <c r="CR1753" s="0" t="s">
        <v>130</v>
      </c>
      <c r="CS1753" s="0" t="s">
        <v>130</v>
      </c>
      <c r="CT1753" s="0" t="s">
        <v>5009</v>
      </c>
    </row>
    <row r="1754">
      <c r="A1754" s="14">
        <v>107032</v>
      </c>
      <c r="B1754" s="0" t="s">
        <v>2117</v>
      </c>
      <c r="C1754" s="16">
        <f>HYPERLINK("https://eosportal.federatedhermes.com/companies/Q29tcGFueQppNDM5MjE=", "State Street Corp")</f>
      </c>
      <c r="D1754" s="0" t="s">
        <v>25</v>
      </c>
      <c r="E1754" s="0" t="s">
        <v>5010</v>
      </c>
      <c r="F1754" s="16">
        <f>HYPERLINK("https://eosportal.federatedhermes.com/engagements/RW5nYWdlbWVudAppMzA0NzU=", "Russia-Ukraine Conflict")</f>
      </c>
      <c r="G1754" s="14" t="s">
        <v>5011</v>
      </c>
      <c r="H1754" s="0" t="s">
        <v>130</v>
      </c>
      <c r="I1754" s="14" t="s">
        <v>319</v>
      </c>
      <c r="J1754" s="0" t="s">
        <v>153</v>
      </c>
      <c r="K1754" s="0" t="s">
        <v>243</v>
      </c>
      <c r="L1754" s="0" t="s">
        <v>456</v>
      </c>
      <c r="M1754" s="0" t="s">
        <v>135</v>
      </c>
      <c r="N1754" s="0" t="s">
        <v>136</v>
      </c>
      <c r="O1754" s="0" t="s">
        <v>238</v>
      </c>
      <c r="Q1754" s="0" t="s">
        <v>130</v>
      </c>
      <c r="R1754" s="0" t="s">
        <v>138</v>
      </c>
      <c r="S1754" s="14">
        <v>0</v>
      </c>
      <c r="T1754" s="0" t="s">
        <v>583</v>
      </c>
      <c r="U1754" s="0" t="s">
        <v>138</v>
      </c>
      <c r="V1754" s="14" t="s">
        <v>138</v>
      </c>
      <c r="W1754" s="0" t="s">
        <v>138</v>
      </c>
      <c r="X1754" s="14" t="s">
        <v>138</v>
      </c>
      <c r="Y1754" s="0" t="s">
        <v>138</v>
      </c>
      <c r="Z1754" s="14" t="s">
        <v>138</v>
      </c>
      <c r="AA1754" s="0" t="s">
        <v>138</v>
      </c>
      <c r="AB1754" s="14" t="s">
        <v>138</v>
      </c>
      <c r="AD1754" s="0" t="s">
        <v>138</v>
      </c>
      <c r="AF1754" s="0">
        <v>0</v>
      </c>
      <c r="AG1754" s="0">
        <v>0</v>
      </c>
      <c r="AH1754" s="0" t="s">
        <v>140</v>
      </c>
      <c r="AI1754" s="0" t="s">
        <v>138</v>
      </c>
      <c r="AL1754" s="14"/>
      <c r="AN1754" s="14"/>
      <c r="AQ1754" s="0" t="s">
        <v>130</v>
      </c>
      <c r="AR1754" s="0" t="s">
        <v>130</v>
      </c>
      <c r="AS1754" s="0" t="s">
        <v>130</v>
      </c>
      <c r="AT1754" s="0" t="s">
        <v>130</v>
      </c>
      <c r="AU1754" s="0" t="s">
        <v>130</v>
      </c>
      <c r="AV1754" s="0" t="s">
        <v>130</v>
      </c>
      <c r="AW1754" s="0" t="s">
        <v>130</v>
      </c>
      <c r="AX1754" s="0" t="s">
        <v>141</v>
      </c>
      <c r="AY1754" s="0" t="s">
        <v>130</v>
      </c>
      <c r="AZ1754" s="0" t="s">
        <v>130</v>
      </c>
      <c r="BA1754" s="0" t="s">
        <v>130</v>
      </c>
      <c r="BB1754" s="0" t="s">
        <v>130</v>
      </c>
      <c r="BC1754" s="0" t="s">
        <v>130</v>
      </c>
      <c r="BD1754" s="0" t="s">
        <v>130</v>
      </c>
      <c r="BE1754" s="0" t="s">
        <v>130</v>
      </c>
      <c r="BF1754" s="0" t="s">
        <v>141</v>
      </c>
      <c r="BG1754" s="0" t="s">
        <v>130</v>
      </c>
      <c r="BH1754" s="0" t="s">
        <v>130</v>
      </c>
      <c r="BI1754" s="0" t="s">
        <v>130</v>
      </c>
      <c r="BJ1754" s="0" t="s">
        <v>130</v>
      </c>
      <c r="BK1754" s="0" t="s">
        <v>130</v>
      </c>
      <c r="BL1754" s="0" t="s">
        <v>130</v>
      </c>
      <c r="BM1754" s="0" t="s">
        <v>130</v>
      </c>
      <c r="BN1754" s="0" t="s">
        <v>130</v>
      </c>
      <c r="BO1754" s="0" t="s">
        <v>130</v>
      </c>
      <c r="BP1754" s="0" t="s">
        <v>130</v>
      </c>
      <c r="BQ1754" s="0" t="s">
        <v>130</v>
      </c>
      <c r="BR1754" s="0" t="s">
        <v>130</v>
      </c>
      <c r="BS1754" s="0" t="s">
        <v>130</v>
      </c>
      <c r="BT1754" s="0" t="s">
        <v>130</v>
      </c>
      <c r="BU1754" s="0" t="s">
        <v>130</v>
      </c>
      <c r="BV1754" s="0" t="s">
        <v>130</v>
      </c>
      <c r="BW1754" s="0" t="s">
        <v>130</v>
      </c>
      <c r="BX1754" s="0" t="s">
        <v>130</v>
      </c>
      <c r="BY1754" s="0" t="s">
        <v>130</v>
      </c>
      <c r="BZ1754" s="0" t="s">
        <v>130</v>
      </c>
      <c r="CA1754" s="0" t="s">
        <v>130</v>
      </c>
      <c r="CB1754" s="0" t="s">
        <v>130</v>
      </c>
      <c r="CC1754" s="0" t="s">
        <v>130</v>
      </c>
      <c r="CD1754" s="0" t="s">
        <v>130</v>
      </c>
      <c r="CE1754" s="0" t="s">
        <v>130</v>
      </c>
      <c r="CF1754" s="0" t="s">
        <v>130</v>
      </c>
      <c r="CG1754" s="0" t="s">
        <v>130</v>
      </c>
      <c r="CH1754" s="0" t="s">
        <v>130</v>
      </c>
      <c r="CI1754" s="0" t="s">
        <v>130</v>
      </c>
      <c r="CJ1754" s="0" t="s">
        <v>130</v>
      </c>
      <c r="CK1754" s="0" t="s">
        <v>130</v>
      </c>
      <c r="CL1754" s="0" t="s">
        <v>130</v>
      </c>
      <c r="CM1754" s="0" t="s">
        <v>130</v>
      </c>
      <c r="CN1754" s="0" t="s">
        <v>130</v>
      </c>
      <c r="CO1754" s="0" t="s">
        <v>130</v>
      </c>
      <c r="CP1754" s="0" t="s">
        <v>130</v>
      </c>
      <c r="CQ1754" s="0" t="s">
        <v>130</v>
      </c>
      <c r="CR1754" s="0" t="s">
        <v>130</v>
      </c>
      <c r="CS1754" s="0" t="s">
        <v>130</v>
      </c>
      <c r="CT1754" s="0" t="s">
        <v>5012</v>
      </c>
    </row>
    <row r="1755">
      <c r="A1755" s="14">
        <v>16632863</v>
      </c>
      <c r="B1755" s="0" t="s">
        <v>4220</v>
      </c>
      <c r="C1755" s="16">
        <f>HYPERLINK("https://eosportal.federatedhermes.com/companies/Q29tcGFueQppNDQ5NjA=", "General Motors Co")</f>
      </c>
      <c r="D1755" s="0" t="s">
        <v>25</v>
      </c>
      <c r="E1755" s="0" t="s">
        <v>5013</v>
      </c>
      <c r="F1755" s="16">
        <f>HYPERLINK("https://eosportal.federatedhermes.com/engagements/RW5nYWdlbWVudAppMzA0ODE=", "CEO-Chair Separation")</f>
      </c>
      <c r="G1755" s="14" t="s">
        <v>5014</v>
      </c>
      <c r="H1755" s="0" t="s">
        <v>141</v>
      </c>
      <c r="I1755" s="14" t="s">
        <v>191</v>
      </c>
      <c r="J1755" s="0" t="s">
        <v>145</v>
      </c>
      <c r="K1755" s="0" t="s">
        <v>164</v>
      </c>
      <c r="L1755" s="0" t="s">
        <v>165</v>
      </c>
      <c r="M1755" s="0" t="s">
        <v>135</v>
      </c>
      <c r="N1755" s="0" t="s">
        <v>136</v>
      </c>
      <c r="O1755" s="0" t="s">
        <v>425</v>
      </c>
      <c r="Q1755" s="0" t="s">
        <v>130</v>
      </c>
      <c r="R1755" s="0" t="s">
        <v>138</v>
      </c>
      <c r="S1755" s="14">
        <v>0</v>
      </c>
      <c r="T1755" s="0" t="s">
        <v>231</v>
      </c>
      <c r="U1755" s="0" t="s">
        <v>138</v>
      </c>
      <c r="V1755" s="14" t="s">
        <v>138</v>
      </c>
      <c r="W1755" s="0" t="s">
        <v>138</v>
      </c>
      <c r="X1755" s="14" t="s">
        <v>138</v>
      </c>
      <c r="Y1755" s="0" t="s">
        <v>138</v>
      </c>
      <c r="Z1755" s="14" t="s">
        <v>138</v>
      </c>
      <c r="AA1755" s="0" t="s">
        <v>138</v>
      </c>
      <c r="AB1755" s="14" t="s">
        <v>138</v>
      </c>
      <c r="AD1755" s="0" t="s">
        <v>138</v>
      </c>
      <c r="AF1755" s="0">
        <v>0</v>
      </c>
      <c r="AG1755" s="0">
        <v>0</v>
      </c>
      <c r="AH1755" s="0" t="s">
        <v>140</v>
      </c>
      <c r="AI1755" s="0" t="s">
        <v>138</v>
      </c>
      <c r="AL1755" s="14"/>
      <c r="AN1755" s="14"/>
      <c r="AQ1755" s="0" t="s">
        <v>130</v>
      </c>
      <c r="AR1755" s="0" t="s">
        <v>130</v>
      </c>
      <c r="AS1755" s="0" t="s">
        <v>130</v>
      </c>
      <c r="AT1755" s="0" t="s">
        <v>130</v>
      </c>
      <c r="AU1755" s="0" t="s">
        <v>130</v>
      </c>
      <c r="AV1755" s="0" t="s">
        <v>130</v>
      </c>
      <c r="AW1755" s="0" t="s">
        <v>130</v>
      </c>
      <c r="AX1755" s="0" t="s">
        <v>130</v>
      </c>
      <c r="AY1755" s="0" t="s">
        <v>130</v>
      </c>
      <c r="AZ1755" s="0" t="s">
        <v>130</v>
      </c>
      <c r="BA1755" s="0" t="s">
        <v>130</v>
      </c>
      <c r="BB1755" s="0" t="s">
        <v>130</v>
      </c>
      <c r="BC1755" s="0" t="s">
        <v>130</v>
      </c>
      <c r="BD1755" s="0" t="s">
        <v>130</v>
      </c>
      <c r="BE1755" s="0" t="s">
        <v>130</v>
      </c>
      <c r="BF1755" s="0" t="s">
        <v>130</v>
      </c>
      <c r="BG1755" s="0" t="s">
        <v>130</v>
      </c>
      <c r="BH1755" s="0" t="s">
        <v>130</v>
      </c>
      <c r="BI1755" s="0" t="s">
        <v>130</v>
      </c>
      <c r="BJ1755" s="0" t="s">
        <v>130</v>
      </c>
      <c r="BK1755" s="0" t="s">
        <v>130</v>
      </c>
      <c r="BL1755" s="0" t="s">
        <v>130</v>
      </c>
      <c r="BM1755" s="0" t="s">
        <v>130</v>
      </c>
      <c r="BN1755" s="0" t="s">
        <v>130</v>
      </c>
      <c r="BO1755" s="0" t="s">
        <v>130</v>
      </c>
      <c r="BP1755" s="0" t="s">
        <v>130</v>
      </c>
      <c r="BQ1755" s="0" t="s">
        <v>130</v>
      </c>
      <c r="BR1755" s="0" t="s">
        <v>130</v>
      </c>
      <c r="BS1755" s="0" t="s">
        <v>130</v>
      </c>
      <c r="BT1755" s="0" t="s">
        <v>130</v>
      </c>
      <c r="BU1755" s="0" t="s">
        <v>130</v>
      </c>
      <c r="BV1755" s="0" t="s">
        <v>130</v>
      </c>
      <c r="BW1755" s="0" t="s">
        <v>130</v>
      </c>
      <c r="BX1755" s="0" t="s">
        <v>130</v>
      </c>
      <c r="BY1755" s="0" t="s">
        <v>130</v>
      </c>
      <c r="BZ1755" s="0" t="s">
        <v>130</v>
      </c>
      <c r="CA1755" s="0" t="s">
        <v>130</v>
      </c>
      <c r="CB1755" s="0" t="s">
        <v>130</v>
      </c>
      <c r="CC1755" s="0" t="s">
        <v>130</v>
      </c>
      <c r="CD1755" s="0" t="s">
        <v>130</v>
      </c>
      <c r="CE1755" s="0" t="s">
        <v>130</v>
      </c>
      <c r="CF1755" s="0" t="s">
        <v>130</v>
      </c>
      <c r="CG1755" s="0" t="s">
        <v>130</v>
      </c>
      <c r="CH1755" s="0" t="s">
        <v>130</v>
      </c>
      <c r="CI1755" s="0" t="s">
        <v>130</v>
      </c>
      <c r="CJ1755" s="0" t="s">
        <v>130</v>
      </c>
      <c r="CK1755" s="0" t="s">
        <v>130</v>
      </c>
      <c r="CL1755" s="0" t="s">
        <v>130</v>
      </c>
      <c r="CM1755" s="0" t="s">
        <v>130</v>
      </c>
      <c r="CN1755" s="0" t="s">
        <v>130</v>
      </c>
      <c r="CO1755" s="0" t="s">
        <v>130</v>
      </c>
      <c r="CP1755" s="0" t="s">
        <v>130</v>
      </c>
      <c r="CQ1755" s="0" t="s">
        <v>130</v>
      </c>
      <c r="CR1755" s="0" t="s">
        <v>130</v>
      </c>
      <c r="CS1755" s="0" t="s">
        <v>130</v>
      </c>
      <c r="CT1755" s="0" t="s">
        <v>5015</v>
      </c>
    </row>
    <row r="1756">
      <c r="A1756" s="14">
        <v>44569911</v>
      </c>
      <c r="B1756" s="0" t="s">
        <v>4615</v>
      </c>
      <c r="C1756" s="16">
        <f>HYPERLINK("https://eosportal.federatedhermes.com/companies/Q29tcGFueQppNTE2MzY=", "CK Hutchison Holdings Ltd")</f>
      </c>
      <c r="D1756" s="0" t="s">
        <v>25</v>
      </c>
      <c r="E1756" s="0" t="s">
        <v>5016</v>
      </c>
      <c r="F1756" s="16">
        <f>HYPERLINK("https://eosportal.federatedhermes.com/engagements/RW5nYWdlbWVudAppMzA1MDg=", "Russia/Ukraine conflict")</f>
      </c>
      <c r="G1756" s="14" t="s">
        <v>5017</v>
      </c>
      <c r="H1756" s="0" t="s">
        <v>141</v>
      </c>
      <c r="I1756" s="14" t="s">
        <v>191</v>
      </c>
      <c r="J1756" s="0" t="s">
        <v>153</v>
      </c>
      <c r="K1756" s="0" t="s">
        <v>243</v>
      </c>
      <c r="L1756" s="0" t="s">
        <v>456</v>
      </c>
      <c r="M1756" s="0" t="s">
        <v>802</v>
      </c>
      <c r="N1756" s="0" t="s">
        <v>803</v>
      </c>
      <c r="O1756" s="0" t="s">
        <v>176</v>
      </c>
      <c r="Q1756" s="0" t="s">
        <v>130</v>
      </c>
      <c r="R1756" s="0" t="s">
        <v>138</v>
      </c>
      <c r="S1756" s="14">
        <v>0</v>
      </c>
      <c r="T1756" s="0" t="s">
        <v>583</v>
      </c>
      <c r="U1756" s="0" t="s">
        <v>138</v>
      </c>
      <c r="V1756" s="14" t="s">
        <v>138</v>
      </c>
      <c r="W1756" s="0" t="s">
        <v>138</v>
      </c>
      <c r="X1756" s="14" t="s">
        <v>138</v>
      </c>
      <c r="Y1756" s="0" t="s">
        <v>138</v>
      </c>
      <c r="Z1756" s="14" t="s">
        <v>138</v>
      </c>
      <c r="AA1756" s="0" t="s">
        <v>138</v>
      </c>
      <c r="AB1756" s="14" t="s">
        <v>138</v>
      </c>
      <c r="AD1756" s="0" t="s">
        <v>138</v>
      </c>
      <c r="AF1756" s="0">
        <v>0</v>
      </c>
      <c r="AG1756" s="0">
        <v>0</v>
      </c>
      <c r="AH1756" s="0" t="s">
        <v>140</v>
      </c>
      <c r="AI1756" s="0" t="s">
        <v>138</v>
      </c>
      <c r="AL1756" s="14"/>
      <c r="AN1756" s="14"/>
      <c r="AQ1756" s="0" t="s">
        <v>130</v>
      </c>
      <c r="AR1756" s="0" t="s">
        <v>130</v>
      </c>
      <c r="AS1756" s="0" t="s">
        <v>130</v>
      </c>
      <c r="AT1756" s="0" t="s">
        <v>130</v>
      </c>
      <c r="AU1756" s="0" t="s">
        <v>130</v>
      </c>
      <c r="AV1756" s="0" t="s">
        <v>130</v>
      </c>
      <c r="AW1756" s="0" t="s">
        <v>130</v>
      </c>
      <c r="AX1756" s="0" t="s">
        <v>141</v>
      </c>
      <c r="AY1756" s="0" t="s">
        <v>130</v>
      </c>
      <c r="AZ1756" s="0" t="s">
        <v>130</v>
      </c>
      <c r="BA1756" s="0" t="s">
        <v>130</v>
      </c>
      <c r="BB1756" s="0" t="s">
        <v>130</v>
      </c>
      <c r="BC1756" s="0" t="s">
        <v>130</v>
      </c>
      <c r="BD1756" s="0" t="s">
        <v>130</v>
      </c>
      <c r="BE1756" s="0" t="s">
        <v>130</v>
      </c>
      <c r="BF1756" s="0" t="s">
        <v>141</v>
      </c>
      <c r="BG1756" s="0" t="s">
        <v>130</v>
      </c>
      <c r="BH1756" s="0" t="s">
        <v>130</v>
      </c>
      <c r="BI1756" s="0" t="s">
        <v>130</v>
      </c>
      <c r="BJ1756" s="0" t="s">
        <v>130</v>
      </c>
      <c r="BK1756" s="0" t="s">
        <v>130</v>
      </c>
      <c r="BL1756" s="0" t="s">
        <v>130</v>
      </c>
      <c r="BM1756" s="0" t="s">
        <v>130</v>
      </c>
      <c r="BN1756" s="0" t="s">
        <v>130</v>
      </c>
      <c r="BO1756" s="0" t="s">
        <v>130</v>
      </c>
      <c r="BP1756" s="0" t="s">
        <v>130</v>
      </c>
      <c r="BQ1756" s="0" t="s">
        <v>130</v>
      </c>
      <c r="BR1756" s="0" t="s">
        <v>130</v>
      </c>
      <c r="BS1756" s="0" t="s">
        <v>130</v>
      </c>
      <c r="BT1756" s="0" t="s">
        <v>130</v>
      </c>
      <c r="BU1756" s="0" t="s">
        <v>130</v>
      </c>
      <c r="BV1756" s="0" t="s">
        <v>130</v>
      </c>
      <c r="BW1756" s="0" t="s">
        <v>130</v>
      </c>
      <c r="BX1756" s="0" t="s">
        <v>130</v>
      </c>
      <c r="BY1756" s="0" t="s">
        <v>130</v>
      </c>
      <c r="BZ1756" s="0" t="s">
        <v>130</v>
      </c>
      <c r="CA1756" s="0" t="s">
        <v>130</v>
      </c>
      <c r="CB1756" s="0" t="s">
        <v>130</v>
      </c>
      <c r="CC1756" s="0" t="s">
        <v>130</v>
      </c>
      <c r="CD1756" s="0" t="s">
        <v>130</v>
      </c>
      <c r="CE1756" s="0" t="s">
        <v>130</v>
      </c>
      <c r="CF1756" s="0" t="s">
        <v>130</v>
      </c>
      <c r="CG1756" s="0" t="s">
        <v>130</v>
      </c>
      <c r="CH1756" s="0" t="s">
        <v>130</v>
      </c>
      <c r="CI1756" s="0" t="s">
        <v>130</v>
      </c>
      <c r="CJ1756" s="0" t="s">
        <v>130</v>
      </c>
      <c r="CK1756" s="0" t="s">
        <v>130</v>
      </c>
      <c r="CL1756" s="0" t="s">
        <v>130</v>
      </c>
      <c r="CM1756" s="0" t="s">
        <v>130</v>
      </c>
      <c r="CN1756" s="0" t="s">
        <v>130</v>
      </c>
      <c r="CO1756" s="0" t="s">
        <v>130</v>
      </c>
      <c r="CP1756" s="0" t="s">
        <v>130</v>
      </c>
      <c r="CQ1756" s="0" t="s">
        <v>130</v>
      </c>
      <c r="CR1756" s="0" t="s">
        <v>130</v>
      </c>
      <c r="CS1756" s="0" t="s">
        <v>130</v>
      </c>
      <c r="CT1756" s="0" t="s">
        <v>5018</v>
      </c>
    </row>
    <row r="1757">
      <c r="A1757" s="14">
        <v>44569911</v>
      </c>
      <c r="B1757" s="0" t="s">
        <v>4615</v>
      </c>
      <c r="C1757" s="16">
        <f>HYPERLINK("https://eosportal.federatedhermes.com/companies/Q29tcGFueQppNTE2MzY=", "CK Hutchison Holdings Ltd")</f>
      </c>
      <c r="D1757" s="0" t="s">
        <v>25</v>
      </c>
      <c r="E1757" s="0" t="s">
        <v>5019</v>
      </c>
      <c r="F1757" s="16">
        <f>HYPERLINK("https://eosportal.federatedhermes.com/engagements/RW5nYWdlbWVudAppMzA1MDk=", "Separation of chair and CEO roles")</f>
      </c>
      <c r="G1757" s="14" t="s">
        <v>5020</v>
      </c>
      <c r="H1757" s="0" t="s">
        <v>141</v>
      </c>
      <c r="I1757" s="14" t="s">
        <v>191</v>
      </c>
      <c r="J1757" s="0" t="s">
        <v>145</v>
      </c>
      <c r="K1757" s="0" t="s">
        <v>164</v>
      </c>
      <c r="L1757" s="0" t="s">
        <v>165</v>
      </c>
      <c r="M1757" s="0" t="s">
        <v>802</v>
      </c>
      <c r="N1757" s="0" t="s">
        <v>803</v>
      </c>
      <c r="O1757" s="0" t="s">
        <v>176</v>
      </c>
      <c r="Q1757" s="0" t="s">
        <v>130</v>
      </c>
      <c r="R1757" s="0" t="s">
        <v>138</v>
      </c>
      <c r="S1757" s="14">
        <v>0</v>
      </c>
      <c r="T1757" s="0" t="s">
        <v>231</v>
      </c>
      <c r="U1757" s="0" t="s">
        <v>138</v>
      </c>
      <c r="V1757" s="14" t="s">
        <v>138</v>
      </c>
      <c r="W1757" s="0" t="s">
        <v>138</v>
      </c>
      <c r="X1757" s="14" t="s">
        <v>138</v>
      </c>
      <c r="Y1757" s="0" t="s">
        <v>138</v>
      </c>
      <c r="Z1757" s="14" t="s">
        <v>138</v>
      </c>
      <c r="AA1757" s="0" t="s">
        <v>138</v>
      </c>
      <c r="AB1757" s="14" t="s">
        <v>138</v>
      </c>
      <c r="AD1757" s="0" t="s">
        <v>138</v>
      </c>
      <c r="AF1757" s="0">
        <v>0</v>
      </c>
      <c r="AG1757" s="0">
        <v>0</v>
      </c>
      <c r="AH1757" s="0" t="s">
        <v>140</v>
      </c>
      <c r="AI1757" s="0" t="s">
        <v>138</v>
      </c>
      <c r="AL1757" s="14"/>
      <c r="AN1757" s="14"/>
      <c r="AQ1757" s="0" t="s">
        <v>130</v>
      </c>
      <c r="AR1757" s="0" t="s">
        <v>130</v>
      </c>
      <c r="AS1757" s="0" t="s">
        <v>130</v>
      </c>
      <c r="AT1757" s="0" t="s">
        <v>130</v>
      </c>
      <c r="AU1757" s="0" t="s">
        <v>130</v>
      </c>
      <c r="AV1757" s="0" t="s">
        <v>130</v>
      </c>
      <c r="AW1757" s="0" t="s">
        <v>130</v>
      </c>
      <c r="AX1757" s="0" t="s">
        <v>130</v>
      </c>
      <c r="AY1757" s="0" t="s">
        <v>130</v>
      </c>
      <c r="AZ1757" s="0" t="s">
        <v>130</v>
      </c>
      <c r="BA1757" s="0" t="s">
        <v>130</v>
      </c>
      <c r="BB1757" s="0" t="s">
        <v>130</v>
      </c>
      <c r="BC1757" s="0" t="s">
        <v>130</v>
      </c>
      <c r="BD1757" s="0" t="s">
        <v>130</v>
      </c>
      <c r="BE1757" s="0" t="s">
        <v>130</v>
      </c>
      <c r="BF1757" s="0" t="s">
        <v>130</v>
      </c>
      <c r="BG1757" s="0" t="s">
        <v>130</v>
      </c>
      <c r="BH1757" s="0" t="s">
        <v>130</v>
      </c>
      <c r="BI1757" s="0" t="s">
        <v>130</v>
      </c>
      <c r="BJ1757" s="0" t="s">
        <v>130</v>
      </c>
      <c r="BK1757" s="0" t="s">
        <v>130</v>
      </c>
      <c r="BL1757" s="0" t="s">
        <v>130</v>
      </c>
      <c r="BM1757" s="0" t="s">
        <v>130</v>
      </c>
      <c r="BN1757" s="0" t="s">
        <v>130</v>
      </c>
      <c r="BO1757" s="0" t="s">
        <v>130</v>
      </c>
      <c r="BP1757" s="0" t="s">
        <v>130</v>
      </c>
      <c r="BQ1757" s="0" t="s">
        <v>130</v>
      </c>
      <c r="BR1757" s="0" t="s">
        <v>130</v>
      </c>
      <c r="BS1757" s="0" t="s">
        <v>130</v>
      </c>
      <c r="BT1757" s="0" t="s">
        <v>130</v>
      </c>
      <c r="BU1757" s="0" t="s">
        <v>130</v>
      </c>
      <c r="BV1757" s="0" t="s">
        <v>130</v>
      </c>
      <c r="BW1757" s="0" t="s">
        <v>130</v>
      </c>
      <c r="BX1757" s="0" t="s">
        <v>130</v>
      </c>
      <c r="BY1757" s="0" t="s">
        <v>130</v>
      </c>
      <c r="BZ1757" s="0" t="s">
        <v>130</v>
      </c>
      <c r="CA1757" s="0" t="s">
        <v>130</v>
      </c>
      <c r="CB1757" s="0" t="s">
        <v>130</v>
      </c>
      <c r="CC1757" s="0" t="s">
        <v>130</v>
      </c>
      <c r="CD1757" s="0" t="s">
        <v>130</v>
      </c>
      <c r="CE1757" s="0" t="s">
        <v>130</v>
      </c>
      <c r="CF1757" s="0" t="s">
        <v>130</v>
      </c>
      <c r="CG1757" s="0" t="s">
        <v>130</v>
      </c>
      <c r="CH1757" s="0" t="s">
        <v>130</v>
      </c>
      <c r="CI1757" s="0" t="s">
        <v>130</v>
      </c>
      <c r="CJ1757" s="0" t="s">
        <v>130</v>
      </c>
      <c r="CK1757" s="0" t="s">
        <v>130</v>
      </c>
      <c r="CL1757" s="0" t="s">
        <v>130</v>
      </c>
      <c r="CM1757" s="0" t="s">
        <v>130</v>
      </c>
      <c r="CN1757" s="0" t="s">
        <v>130</v>
      </c>
      <c r="CO1757" s="0" t="s">
        <v>130</v>
      </c>
      <c r="CP1757" s="0" t="s">
        <v>130</v>
      </c>
      <c r="CQ1757" s="0" t="s">
        <v>130</v>
      </c>
      <c r="CR1757" s="0" t="s">
        <v>130</v>
      </c>
      <c r="CS1757" s="0" t="s">
        <v>130</v>
      </c>
      <c r="CT1757" s="0" t="s">
        <v>5021</v>
      </c>
    </row>
    <row r="1758">
      <c r="A1758" s="14">
        <v>112571</v>
      </c>
      <c r="B1758" s="0" t="s">
        <v>1056</v>
      </c>
      <c r="C1758" s="16">
        <f>HYPERLINK("https://eosportal.federatedhermes.com/companies/Q29tcGFueQppNTIxNzE=", "Nestle SA")</f>
      </c>
      <c r="D1758" s="0" t="s">
        <v>25</v>
      </c>
      <c r="E1758" s="0" t="s">
        <v>5022</v>
      </c>
      <c r="F1758" s="16">
        <f>HYPERLINK("https://eosportal.federatedhermes.com/engagements/RW5nYWdlbWVudAppMzA1MTY=", "Methane")</f>
      </c>
      <c r="G1758" s="14" t="s">
        <v>5023</v>
      </c>
      <c r="H1758" s="0" t="s">
        <v>141</v>
      </c>
      <c r="I1758" s="14" t="s">
        <v>191</v>
      </c>
      <c r="J1758" s="0" t="s">
        <v>197</v>
      </c>
      <c r="K1758" s="0" t="s">
        <v>198</v>
      </c>
      <c r="L1758" s="0" t="s">
        <v>216</v>
      </c>
      <c r="M1758" s="0" t="s">
        <v>378</v>
      </c>
      <c r="N1758" s="0" t="s">
        <v>1059</v>
      </c>
      <c r="O1758" s="0" t="s">
        <v>332</v>
      </c>
      <c r="Q1758" s="0" t="s">
        <v>130</v>
      </c>
      <c r="R1758" s="0" t="s">
        <v>138</v>
      </c>
      <c r="S1758" s="14">
        <v>0</v>
      </c>
      <c r="T1758" s="0" t="s">
        <v>231</v>
      </c>
      <c r="U1758" s="0" t="s">
        <v>138</v>
      </c>
      <c r="V1758" s="14" t="s">
        <v>138</v>
      </c>
      <c r="W1758" s="0" t="s">
        <v>138</v>
      </c>
      <c r="X1758" s="14" t="s">
        <v>138</v>
      </c>
      <c r="Y1758" s="0" t="s">
        <v>138</v>
      </c>
      <c r="Z1758" s="14" t="s">
        <v>138</v>
      </c>
      <c r="AA1758" s="0" t="s">
        <v>138</v>
      </c>
      <c r="AB1758" s="14" t="s">
        <v>138</v>
      </c>
      <c r="AD1758" s="0" t="s">
        <v>138</v>
      </c>
      <c r="AF1758" s="0">
        <v>0</v>
      </c>
      <c r="AG1758" s="0">
        <v>0</v>
      </c>
      <c r="AH1758" s="0" t="s">
        <v>140</v>
      </c>
      <c r="AI1758" s="0" t="s">
        <v>138</v>
      </c>
      <c r="AL1758" s="14"/>
      <c r="AN1758" s="14"/>
      <c r="AQ1758" s="0" t="s">
        <v>130</v>
      </c>
      <c r="AR1758" s="0" t="s">
        <v>130</v>
      </c>
      <c r="AS1758" s="0" t="s">
        <v>130</v>
      </c>
      <c r="AT1758" s="0" t="s">
        <v>130</v>
      </c>
      <c r="AU1758" s="0" t="s">
        <v>130</v>
      </c>
      <c r="AV1758" s="0" t="s">
        <v>130</v>
      </c>
      <c r="AW1758" s="0" t="s">
        <v>141</v>
      </c>
      <c r="AX1758" s="0" t="s">
        <v>130</v>
      </c>
      <c r="AY1758" s="0" t="s">
        <v>130</v>
      </c>
      <c r="AZ1758" s="0" t="s">
        <v>130</v>
      </c>
      <c r="BA1758" s="0" t="s">
        <v>130</v>
      </c>
      <c r="BB1758" s="0" t="s">
        <v>130</v>
      </c>
      <c r="BC1758" s="0" t="s">
        <v>141</v>
      </c>
      <c r="BD1758" s="0" t="s">
        <v>130</v>
      </c>
      <c r="BE1758" s="0" t="s">
        <v>130</v>
      </c>
      <c r="BF1758" s="0" t="s">
        <v>130</v>
      </c>
      <c r="BG1758" s="0" t="s">
        <v>130</v>
      </c>
      <c r="BH1758" s="0" t="s">
        <v>141</v>
      </c>
      <c r="BI1758" s="0" t="s">
        <v>141</v>
      </c>
      <c r="BJ1758" s="0" t="s">
        <v>141</v>
      </c>
      <c r="BK1758" s="0" t="s">
        <v>130</v>
      </c>
      <c r="BL1758" s="0" t="s">
        <v>130</v>
      </c>
      <c r="BM1758" s="0" t="s">
        <v>130</v>
      </c>
      <c r="BN1758" s="0" t="s">
        <v>130</v>
      </c>
      <c r="BO1758" s="0" t="s">
        <v>130</v>
      </c>
      <c r="BP1758" s="0" t="s">
        <v>130</v>
      </c>
      <c r="BQ1758" s="0" t="s">
        <v>130</v>
      </c>
      <c r="BR1758" s="0" t="s">
        <v>130</v>
      </c>
      <c r="BS1758" s="0" t="s">
        <v>130</v>
      </c>
      <c r="BT1758" s="0" t="s">
        <v>130</v>
      </c>
      <c r="BU1758" s="0" t="s">
        <v>130</v>
      </c>
      <c r="BV1758" s="0" t="s">
        <v>141</v>
      </c>
      <c r="BW1758" s="0" t="s">
        <v>141</v>
      </c>
      <c r="BX1758" s="0" t="s">
        <v>130</v>
      </c>
      <c r="BY1758" s="0" t="s">
        <v>130</v>
      </c>
      <c r="BZ1758" s="0" t="s">
        <v>130</v>
      </c>
      <c r="CA1758" s="0" t="s">
        <v>130</v>
      </c>
      <c r="CB1758" s="0" t="s">
        <v>130</v>
      </c>
      <c r="CC1758" s="0" t="s">
        <v>130</v>
      </c>
      <c r="CD1758" s="0" t="s">
        <v>130</v>
      </c>
      <c r="CE1758" s="0" t="s">
        <v>130</v>
      </c>
      <c r="CF1758" s="0" t="s">
        <v>130</v>
      </c>
      <c r="CG1758" s="0" t="s">
        <v>130</v>
      </c>
      <c r="CH1758" s="0" t="s">
        <v>130</v>
      </c>
      <c r="CI1758" s="0" t="s">
        <v>130</v>
      </c>
      <c r="CJ1758" s="0" t="s">
        <v>130</v>
      </c>
      <c r="CK1758" s="0" t="s">
        <v>130</v>
      </c>
      <c r="CL1758" s="0" t="s">
        <v>130</v>
      </c>
      <c r="CM1758" s="0" t="s">
        <v>130</v>
      </c>
      <c r="CN1758" s="0" t="s">
        <v>130</v>
      </c>
      <c r="CO1758" s="0" t="s">
        <v>130</v>
      </c>
      <c r="CP1758" s="0" t="s">
        <v>130</v>
      </c>
      <c r="CQ1758" s="0" t="s">
        <v>130</v>
      </c>
      <c r="CR1758" s="0" t="s">
        <v>130</v>
      </c>
      <c r="CS1758" s="0" t="s">
        <v>130</v>
      </c>
      <c r="CT1758" s="0" t="s">
        <v>5024</v>
      </c>
    </row>
    <row r="1759">
      <c r="A1759" s="14">
        <v>8779219</v>
      </c>
      <c r="B1759" s="0" t="s">
        <v>3920</v>
      </c>
      <c r="C1759" s="16">
        <f>HYPERLINK("https://eosportal.federatedhermes.com/companies/Q29tcGFueQppNTIxNzU=", "T-Mobile US Inc")</f>
      </c>
      <c r="D1759" s="0" t="s">
        <v>25</v>
      </c>
      <c r="E1759" s="0" t="s">
        <v>5025</v>
      </c>
      <c r="F1759" s="16">
        <f>HYPERLINK("https://eosportal.federatedhermes.com/engagements/RW5nYWdlbWVudAppMzA1MTc=", "Minimum shareholding")</f>
      </c>
      <c r="G1759" s="14" t="s">
        <v>5026</v>
      </c>
      <c r="H1759" s="0" t="s">
        <v>141</v>
      </c>
      <c r="I1759" s="14" t="s">
        <v>636</v>
      </c>
      <c r="J1759" s="0" t="s">
        <v>145</v>
      </c>
      <c r="K1759" s="0" t="s">
        <v>146</v>
      </c>
      <c r="L1759" s="0" t="s">
        <v>147</v>
      </c>
      <c r="M1759" s="0" t="s">
        <v>135</v>
      </c>
      <c r="N1759" s="0" t="s">
        <v>136</v>
      </c>
      <c r="O1759" s="0" t="s">
        <v>137</v>
      </c>
      <c r="Q1759" s="0" t="s">
        <v>130</v>
      </c>
      <c r="R1759" s="0" t="s">
        <v>138</v>
      </c>
      <c r="S1759" s="14">
        <v>0</v>
      </c>
      <c r="T1759" s="0" t="s">
        <v>231</v>
      </c>
      <c r="U1759" s="0" t="s">
        <v>138</v>
      </c>
      <c r="V1759" s="14" t="s">
        <v>138</v>
      </c>
      <c r="W1759" s="0" t="s">
        <v>138</v>
      </c>
      <c r="X1759" s="14" t="s">
        <v>138</v>
      </c>
      <c r="Y1759" s="0" t="s">
        <v>138</v>
      </c>
      <c r="Z1759" s="14" t="s">
        <v>138</v>
      </c>
      <c r="AA1759" s="0" t="s">
        <v>138</v>
      </c>
      <c r="AB1759" s="14" t="s">
        <v>138</v>
      </c>
      <c r="AD1759" s="0" t="s">
        <v>138</v>
      </c>
      <c r="AF1759" s="0">
        <v>0</v>
      </c>
      <c r="AG1759" s="0">
        <v>0</v>
      </c>
      <c r="AH1759" s="0" t="s">
        <v>140</v>
      </c>
      <c r="AI1759" s="0" t="s">
        <v>138</v>
      </c>
      <c r="AL1759" s="14"/>
      <c r="AN1759" s="14"/>
      <c r="AQ1759" s="0" t="s">
        <v>130</v>
      </c>
      <c r="AR1759" s="0" t="s">
        <v>130</v>
      </c>
      <c r="AS1759" s="0" t="s">
        <v>130</v>
      </c>
      <c r="AT1759" s="0" t="s">
        <v>130</v>
      </c>
      <c r="AU1759" s="0" t="s">
        <v>130</v>
      </c>
      <c r="AV1759" s="0" t="s">
        <v>130</v>
      </c>
      <c r="AW1759" s="0" t="s">
        <v>130</v>
      </c>
      <c r="AX1759" s="0" t="s">
        <v>130</v>
      </c>
      <c r="AY1759" s="0" t="s">
        <v>130</v>
      </c>
      <c r="AZ1759" s="0" t="s">
        <v>130</v>
      </c>
      <c r="BA1759" s="0" t="s">
        <v>130</v>
      </c>
      <c r="BB1759" s="0" t="s">
        <v>130</v>
      </c>
      <c r="BC1759" s="0" t="s">
        <v>130</v>
      </c>
      <c r="BD1759" s="0" t="s">
        <v>130</v>
      </c>
      <c r="BE1759" s="0" t="s">
        <v>130</v>
      </c>
      <c r="BF1759" s="0" t="s">
        <v>130</v>
      </c>
      <c r="BG1759" s="0" t="s">
        <v>130</v>
      </c>
      <c r="BH1759" s="0" t="s">
        <v>130</v>
      </c>
      <c r="BI1759" s="0" t="s">
        <v>130</v>
      </c>
      <c r="BJ1759" s="0" t="s">
        <v>130</v>
      </c>
      <c r="BK1759" s="0" t="s">
        <v>130</v>
      </c>
      <c r="BL1759" s="0" t="s">
        <v>130</v>
      </c>
      <c r="BM1759" s="0" t="s">
        <v>130</v>
      </c>
      <c r="BN1759" s="0" t="s">
        <v>130</v>
      </c>
      <c r="BO1759" s="0" t="s">
        <v>130</v>
      </c>
      <c r="BP1759" s="0" t="s">
        <v>130</v>
      </c>
      <c r="BQ1759" s="0" t="s">
        <v>130</v>
      </c>
      <c r="BR1759" s="0" t="s">
        <v>130</v>
      </c>
      <c r="BS1759" s="0" t="s">
        <v>130</v>
      </c>
      <c r="BT1759" s="0" t="s">
        <v>130</v>
      </c>
      <c r="BU1759" s="0" t="s">
        <v>130</v>
      </c>
      <c r="BV1759" s="0" t="s">
        <v>130</v>
      </c>
      <c r="BW1759" s="0" t="s">
        <v>130</v>
      </c>
      <c r="BX1759" s="0" t="s">
        <v>130</v>
      </c>
      <c r="BY1759" s="0" t="s">
        <v>130</v>
      </c>
      <c r="BZ1759" s="0" t="s">
        <v>130</v>
      </c>
      <c r="CA1759" s="0" t="s">
        <v>130</v>
      </c>
      <c r="CB1759" s="0" t="s">
        <v>130</v>
      </c>
      <c r="CC1759" s="0" t="s">
        <v>130</v>
      </c>
      <c r="CD1759" s="0" t="s">
        <v>130</v>
      </c>
      <c r="CE1759" s="0" t="s">
        <v>130</v>
      </c>
      <c r="CF1759" s="0" t="s">
        <v>130</v>
      </c>
      <c r="CG1759" s="0" t="s">
        <v>130</v>
      </c>
      <c r="CH1759" s="0" t="s">
        <v>130</v>
      </c>
      <c r="CI1759" s="0" t="s">
        <v>130</v>
      </c>
      <c r="CJ1759" s="0" t="s">
        <v>130</v>
      </c>
      <c r="CK1759" s="0" t="s">
        <v>130</v>
      </c>
      <c r="CL1759" s="0" t="s">
        <v>130</v>
      </c>
      <c r="CM1759" s="0" t="s">
        <v>130</v>
      </c>
      <c r="CN1759" s="0" t="s">
        <v>130</v>
      </c>
      <c r="CO1759" s="0" t="s">
        <v>130</v>
      </c>
      <c r="CP1759" s="0" t="s">
        <v>130</v>
      </c>
      <c r="CQ1759" s="0" t="s">
        <v>130</v>
      </c>
      <c r="CR1759" s="0" t="s">
        <v>130</v>
      </c>
      <c r="CS1759" s="0" t="s">
        <v>130</v>
      </c>
      <c r="CT1759" s="0" t="s">
        <v>5027</v>
      </c>
    </row>
    <row r="1760">
      <c r="A1760" s="14">
        <v>8779219</v>
      </c>
      <c r="B1760" s="0" t="s">
        <v>3920</v>
      </c>
      <c r="C1760" s="16">
        <f>HYPERLINK("https://eosportal.federatedhermes.com/companies/Q29tcGFueQppNTIxNzU=", "T-Mobile US Inc")</f>
      </c>
      <c r="D1760" s="0" t="s">
        <v>25</v>
      </c>
      <c r="E1760" s="0" t="s">
        <v>5028</v>
      </c>
      <c r="F1760" s="16">
        <f>HYPERLINK("https://eosportal.federatedhermes.com/engagements/RW5nYWdlbWVudAppMzA1MTg=", "Compensation committee not majority independent")</f>
      </c>
      <c r="G1760" s="14" t="s">
        <v>5029</v>
      </c>
      <c r="H1760" s="0" t="s">
        <v>141</v>
      </c>
      <c r="I1760" s="14" t="s">
        <v>636</v>
      </c>
      <c r="J1760" s="0" t="s">
        <v>145</v>
      </c>
      <c r="K1760" s="0" t="s">
        <v>164</v>
      </c>
      <c r="L1760" s="0" t="s">
        <v>165</v>
      </c>
      <c r="M1760" s="0" t="s">
        <v>135</v>
      </c>
      <c r="N1760" s="0" t="s">
        <v>136</v>
      </c>
      <c r="O1760" s="0" t="s">
        <v>137</v>
      </c>
      <c r="Q1760" s="0" t="s">
        <v>130</v>
      </c>
      <c r="R1760" s="0" t="s">
        <v>138</v>
      </c>
      <c r="S1760" s="14">
        <v>0</v>
      </c>
      <c r="T1760" s="0" t="s">
        <v>231</v>
      </c>
      <c r="U1760" s="0" t="s">
        <v>138</v>
      </c>
      <c r="V1760" s="14" t="s">
        <v>138</v>
      </c>
      <c r="W1760" s="0" t="s">
        <v>138</v>
      </c>
      <c r="X1760" s="14" t="s">
        <v>138</v>
      </c>
      <c r="Y1760" s="0" t="s">
        <v>138</v>
      </c>
      <c r="Z1760" s="14" t="s">
        <v>138</v>
      </c>
      <c r="AA1760" s="0" t="s">
        <v>138</v>
      </c>
      <c r="AB1760" s="14" t="s">
        <v>138</v>
      </c>
      <c r="AD1760" s="0" t="s">
        <v>138</v>
      </c>
      <c r="AF1760" s="0">
        <v>0</v>
      </c>
      <c r="AG1760" s="0">
        <v>0</v>
      </c>
      <c r="AH1760" s="0" t="s">
        <v>140</v>
      </c>
      <c r="AI1760" s="0" t="s">
        <v>138</v>
      </c>
      <c r="AL1760" s="14"/>
      <c r="AN1760" s="14"/>
      <c r="AQ1760" s="0" t="s">
        <v>130</v>
      </c>
      <c r="AR1760" s="0" t="s">
        <v>130</v>
      </c>
      <c r="AS1760" s="0" t="s">
        <v>130</v>
      </c>
      <c r="AT1760" s="0" t="s">
        <v>130</v>
      </c>
      <c r="AU1760" s="0" t="s">
        <v>130</v>
      </c>
      <c r="AV1760" s="0" t="s">
        <v>130</v>
      </c>
      <c r="AW1760" s="0" t="s">
        <v>130</v>
      </c>
      <c r="AX1760" s="0" t="s">
        <v>130</v>
      </c>
      <c r="AY1760" s="0" t="s">
        <v>130</v>
      </c>
      <c r="AZ1760" s="0" t="s">
        <v>130</v>
      </c>
      <c r="BA1760" s="0" t="s">
        <v>130</v>
      </c>
      <c r="BB1760" s="0" t="s">
        <v>130</v>
      </c>
      <c r="BC1760" s="0" t="s">
        <v>130</v>
      </c>
      <c r="BD1760" s="0" t="s">
        <v>130</v>
      </c>
      <c r="BE1760" s="0" t="s">
        <v>130</v>
      </c>
      <c r="BF1760" s="0" t="s">
        <v>130</v>
      </c>
      <c r="BG1760" s="0" t="s">
        <v>130</v>
      </c>
      <c r="BH1760" s="0" t="s">
        <v>130</v>
      </c>
      <c r="BI1760" s="0" t="s">
        <v>130</v>
      </c>
      <c r="BJ1760" s="0" t="s">
        <v>130</v>
      </c>
      <c r="BK1760" s="0" t="s">
        <v>130</v>
      </c>
      <c r="BL1760" s="0" t="s">
        <v>130</v>
      </c>
      <c r="BM1760" s="0" t="s">
        <v>130</v>
      </c>
      <c r="BN1760" s="0" t="s">
        <v>130</v>
      </c>
      <c r="BO1760" s="0" t="s">
        <v>130</v>
      </c>
      <c r="BP1760" s="0" t="s">
        <v>130</v>
      </c>
      <c r="BQ1760" s="0" t="s">
        <v>130</v>
      </c>
      <c r="BR1760" s="0" t="s">
        <v>130</v>
      </c>
      <c r="BS1760" s="0" t="s">
        <v>130</v>
      </c>
      <c r="BT1760" s="0" t="s">
        <v>130</v>
      </c>
      <c r="BU1760" s="0" t="s">
        <v>130</v>
      </c>
      <c r="BV1760" s="0" t="s">
        <v>130</v>
      </c>
      <c r="BW1760" s="0" t="s">
        <v>130</v>
      </c>
      <c r="BX1760" s="0" t="s">
        <v>130</v>
      </c>
      <c r="BY1760" s="0" t="s">
        <v>130</v>
      </c>
      <c r="BZ1760" s="0" t="s">
        <v>130</v>
      </c>
      <c r="CA1760" s="0" t="s">
        <v>130</v>
      </c>
      <c r="CB1760" s="0" t="s">
        <v>130</v>
      </c>
      <c r="CC1760" s="0" t="s">
        <v>130</v>
      </c>
      <c r="CD1760" s="0" t="s">
        <v>130</v>
      </c>
      <c r="CE1760" s="0" t="s">
        <v>130</v>
      </c>
      <c r="CF1760" s="0" t="s">
        <v>130</v>
      </c>
      <c r="CG1760" s="0" t="s">
        <v>130</v>
      </c>
      <c r="CH1760" s="0" t="s">
        <v>130</v>
      </c>
      <c r="CI1760" s="0" t="s">
        <v>130</v>
      </c>
      <c r="CJ1760" s="0" t="s">
        <v>130</v>
      </c>
      <c r="CK1760" s="0" t="s">
        <v>130</v>
      </c>
      <c r="CL1760" s="0" t="s">
        <v>130</v>
      </c>
      <c r="CM1760" s="0" t="s">
        <v>130</v>
      </c>
      <c r="CN1760" s="0" t="s">
        <v>130</v>
      </c>
      <c r="CO1760" s="0" t="s">
        <v>130</v>
      </c>
      <c r="CP1760" s="0" t="s">
        <v>130</v>
      </c>
      <c r="CQ1760" s="0" t="s">
        <v>130</v>
      </c>
      <c r="CR1760" s="0" t="s">
        <v>130</v>
      </c>
      <c r="CS1760" s="0" t="s">
        <v>130</v>
      </c>
      <c r="CT1760" s="0" t="s">
        <v>5030</v>
      </c>
    </row>
    <row r="1761">
      <c r="A1761" s="14">
        <v>101215</v>
      </c>
      <c r="B1761" s="0" t="s">
        <v>1464</v>
      </c>
      <c r="C1761" s="16">
        <f>HYPERLINK("https://eosportal.federatedhermes.com/companies/Q29tcGFueQppNTIxNzY=", "Procter &amp; Gamble Co/The")</f>
      </c>
      <c r="D1761" s="0" t="s">
        <v>25</v>
      </c>
      <c r="E1761" s="0" t="s">
        <v>427</v>
      </c>
      <c r="F1761" s="16">
        <f>HYPERLINK("https://eosportal.federatedhermes.com/engagements/RW5nYWdlbWVudAppMzA1MTk=", "Circular economy")</f>
      </c>
      <c r="G1761" s="14" t="s">
        <v>5031</v>
      </c>
      <c r="H1761" s="0" t="s">
        <v>141</v>
      </c>
      <c r="I1761" s="14" t="s">
        <v>191</v>
      </c>
      <c r="J1761" s="0" t="s">
        <v>197</v>
      </c>
      <c r="K1761" s="0" t="s">
        <v>348</v>
      </c>
      <c r="L1761" s="0" t="s">
        <v>349</v>
      </c>
      <c r="M1761" s="0" t="s">
        <v>135</v>
      </c>
      <c r="N1761" s="0" t="s">
        <v>136</v>
      </c>
      <c r="O1761" s="0" t="s">
        <v>332</v>
      </c>
      <c r="Q1761" s="0" t="s">
        <v>141</v>
      </c>
      <c r="R1761" s="0" t="s">
        <v>138</v>
      </c>
      <c r="S1761" s="14">
        <v>1</v>
      </c>
      <c r="T1761" s="0" t="s">
        <v>597</v>
      </c>
      <c r="U1761" s="0" t="s">
        <v>138</v>
      </c>
      <c r="V1761" s="14" t="s">
        <v>138</v>
      </c>
      <c r="W1761" s="0" t="s">
        <v>138</v>
      </c>
      <c r="X1761" s="14" t="s">
        <v>138</v>
      </c>
      <c r="Y1761" s="0" t="s">
        <v>138</v>
      </c>
      <c r="Z1761" s="14" t="s">
        <v>138</v>
      </c>
      <c r="AA1761" s="0" t="s">
        <v>138</v>
      </c>
      <c r="AB1761" s="14" t="s">
        <v>138</v>
      </c>
      <c r="AD1761" s="0" t="s">
        <v>138</v>
      </c>
      <c r="AF1761" s="0">
        <v>0</v>
      </c>
      <c r="AG1761" s="0">
        <v>0</v>
      </c>
      <c r="AH1761" s="0" t="s">
        <v>140</v>
      </c>
      <c r="AI1761" s="0" t="s">
        <v>138</v>
      </c>
      <c r="AK1761" s="0" t="s">
        <v>2019</v>
      </c>
      <c r="AL1761" s="14"/>
      <c r="AN1761" s="14"/>
      <c r="AQ1761" s="0" t="s">
        <v>130</v>
      </c>
      <c r="AR1761" s="0" t="s">
        <v>130</v>
      </c>
      <c r="AS1761" s="0" t="s">
        <v>130</v>
      </c>
      <c r="AT1761" s="0" t="s">
        <v>130</v>
      </c>
      <c r="AU1761" s="0" t="s">
        <v>130</v>
      </c>
      <c r="AV1761" s="0" t="s">
        <v>130</v>
      </c>
      <c r="AW1761" s="0" t="s">
        <v>130</v>
      </c>
      <c r="AX1761" s="0" t="s">
        <v>130</v>
      </c>
      <c r="AY1761" s="0" t="s">
        <v>130</v>
      </c>
      <c r="AZ1761" s="0" t="s">
        <v>130</v>
      </c>
      <c r="BA1761" s="0" t="s">
        <v>130</v>
      </c>
      <c r="BB1761" s="0" t="s">
        <v>141</v>
      </c>
      <c r="BC1761" s="0" t="s">
        <v>130</v>
      </c>
      <c r="BD1761" s="0" t="s">
        <v>130</v>
      </c>
      <c r="BE1761" s="0" t="s">
        <v>130</v>
      </c>
      <c r="BF1761" s="0" t="s">
        <v>130</v>
      </c>
      <c r="BG1761" s="0" t="s">
        <v>130</v>
      </c>
      <c r="BH1761" s="0" t="s">
        <v>130</v>
      </c>
      <c r="BI1761" s="0" t="s">
        <v>130</v>
      </c>
      <c r="BJ1761" s="0" t="s">
        <v>130</v>
      </c>
      <c r="BK1761" s="0" t="s">
        <v>130</v>
      </c>
      <c r="BL1761" s="0" t="s">
        <v>130</v>
      </c>
      <c r="BM1761" s="0" t="s">
        <v>130</v>
      </c>
      <c r="BN1761" s="0" t="s">
        <v>130</v>
      </c>
      <c r="BO1761" s="0" t="s">
        <v>130</v>
      </c>
      <c r="BP1761" s="0" t="s">
        <v>130</v>
      </c>
      <c r="BQ1761" s="0" t="s">
        <v>130</v>
      </c>
      <c r="BR1761" s="0" t="s">
        <v>130</v>
      </c>
      <c r="BS1761" s="0" t="s">
        <v>130</v>
      </c>
      <c r="BT1761" s="0" t="s">
        <v>130</v>
      </c>
      <c r="BU1761" s="0" t="s">
        <v>130</v>
      </c>
      <c r="BV1761" s="0" t="s">
        <v>130</v>
      </c>
      <c r="BW1761" s="0" t="s">
        <v>130</v>
      </c>
      <c r="BX1761" s="0" t="s">
        <v>130</v>
      </c>
      <c r="BY1761" s="0" t="s">
        <v>130</v>
      </c>
      <c r="BZ1761" s="0" t="s">
        <v>130</v>
      </c>
      <c r="CA1761" s="0" t="s">
        <v>130</v>
      </c>
      <c r="CB1761" s="0" t="s">
        <v>130</v>
      </c>
      <c r="CC1761" s="0" t="s">
        <v>130</v>
      </c>
      <c r="CD1761" s="0" t="s">
        <v>141</v>
      </c>
      <c r="CE1761" s="0" t="s">
        <v>130</v>
      </c>
      <c r="CF1761" s="0" t="s">
        <v>130</v>
      </c>
      <c r="CG1761" s="0" t="s">
        <v>130</v>
      </c>
      <c r="CH1761" s="0" t="s">
        <v>130</v>
      </c>
      <c r="CI1761" s="0" t="s">
        <v>130</v>
      </c>
      <c r="CJ1761" s="0" t="s">
        <v>130</v>
      </c>
      <c r="CK1761" s="0" t="s">
        <v>130</v>
      </c>
      <c r="CL1761" s="0" t="s">
        <v>130</v>
      </c>
      <c r="CM1761" s="0" t="s">
        <v>130</v>
      </c>
      <c r="CN1761" s="0" t="s">
        <v>130</v>
      </c>
      <c r="CO1761" s="0" t="s">
        <v>130</v>
      </c>
      <c r="CP1761" s="0" t="s">
        <v>130</v>
      </c>
      <c r="CQ1761" s="0" t="s">
        <v>130</v>
      </c>
      <c r="CR1761" s="0" t="s">
        <v>130</v>
      </c>
      <c r="CS1761" s="0" t="s">
        <v>130</v>
      </c>
      <c r="CT1761" s="0" t="s">
        <v>5032</v>
      </c>
    </row>
    <row r="1762">
      <c r="A1762" s="14">
        <v>9917432</v>
      </c>
      <c r="B1762" s="0" t="s">
        <v>4101</v>
      </c>
      <c r="C1762" s="16">
        <f>HYPERLINK("https://eosportal.federatedhermes.com/companies/Q29tcGFueQppNTIxODY=", "Seven &amp; i Holdings Co Ltd")</f>
      </c>
      <c r="D1762" s="0" t="s">
        <v>25</v>
      </c>
      <c r="E1762" s="0" t="s">
        <v>5033</v>
      </c>
      <c r="F1762" s="16">
        <f>HYPERLINK("https://eosportal.federatedhermes.com/engagements/RW5nYWdlbWVudAppMzA1MjI=", "Board governance")</f>
      </c>
      <c r="G1762" s="14" t="s">
        <v>5034</v>
      </c>
      <c r="H1762" s="0" t="s">
        <v>141</v>
      </c>
      <c r="I1762" s="14" t="s">
        <v>131</v>
      </c>
      <c r="J1762" s="0" t="s">
        <v>145</v>
      </c>
      <c r="K1762" s="0" t="s">
        <v>164</v>
      </c>
      <c r="L1762" s="0" t="s">
        <v>970</v>
      </c>
      <c r="M1762" s="0" t="s">
        <v>802</v>
      </c>
      <c r="N1762" s="0" t="s">
        <v>952</v>
      </c>
      <c r="O1762" s="0" t="s">
        <v>643</v>
      </c>
      <c r="Q1762" s="0" t="s">
        <v>141</v>
      </c>
      <c r="R1762" s="0" t="s">
        <v>138</v>
      </c>
      <c r="S1762" s="14">
        <v>1</v>
      </c>
      <c r="T1762" s="0" t="s">
        <v>231</v>
      </c>
      <c r="U1762" s="0" t="s">
        <v>138</v>
      </c>
      <c r="V1762" s="14" t="s">
        <v>138</v>
      </c>
      <c r="W1762" s="0" t="s">
        <v>138</v>
      </c>
      <c r="X1762" s="14" t="s">
        <v>138</v>
      </c>
      <c r="Y1762" s="0" t="s">
        <v>138</v>
      </c>
      <c r="Z1762" s="14" t="s">
        <v>138</v>
      </c>
      <c r="AA1762" s="0" t="s">
        <v>138</v>
      </c>
      <c r="AB1762" s="14" t="s">
        <v>138</v>
      </c>
      <c r="AD1762" s="0" t="s">
        <v>138</v>
      </c>
      <c r="AF1762" s="0">
        <v>0</v>
      </c>
      <c r="AG1762" s="0">
        <v>0</v>
      </c>
      <c r="AH1762" s="0" t="s">
        <v>140</v>
      </c>
      <c r="AI1762" s="0" t="s">
        <v>138</v>
      </c>
      <c r="AK1762" s="0" t="s">
        <v>3789</v>
      </c>
      <c r="AL1762" s="14"/>
      <c r="AN1762" s="14"/>
      <c r="AQ1762" s="0" t="s">
        <v>130</v>
      </c>
      <c r="AR1762" s="0" t="s">
        <v>130</v>
      </c>
      <c r="AS1762" s="0" t="s">
        <v>130</v>
      </c>
      <c r="AT1762" s="0" t="s">
        <v>130</v>
      </c>
      <c r="AU1762" s="0" t="s">
        <v>130</v>
      </c>
      <c r="AV1762" s="0" t="s">
        <v>130</v>
      </c>
      <c r="AW1762" s="0" t="s">
        <v>130</v>
      </c>
      <c r="AX1762" s="0" t="s">
        <v>130</v>
      </c>
      <c r="AY1762" s="0" t="s">
        <v>130</v>
      </c>
      <c r="AZ1762" s="0" t="s">
        <v>130</v>
      </c>
      <c r="BA1762" s="0" t="s">
        <v>130</v>
      </c>
      <c r="BB1762" s="0" t="s">
        <v>130</v>
      </c>
      <c r="BC1762" s="0" t="s">
        <v>130</v>
      </c>
      <c r="BD1762" s="0" t="s">
        <v>130</v>
      </c>
      <c r="BE1762" s="0" t="s">
        <v>130</v>
      </c>
      <c r="BF1762" s="0" t="s">
        <v>130</v>
      </c>
      <c r="BG1762" s="0" t="s">
        <v>130</v>
      </c>
      <c r="BH1762" s="0" t="s">
        <v>130</v>
      </c>
      <c r="BI1762" s="0" t="s">
        <v>130</v>
      </c>
      <c r="BJ1762" s="0" t="s">
        <v>130</v>
      </c>
      <c r="BK1762" s="0" t="s">
        <v>130</v>
      </c>
      <c r="BL1762" s="0" t="s">
        <v>130</v>
      </c>
      <c r="BM1762" s="0" t="s">
        <v>130</v>
      </c>
      <c r="BN1762" s="0" t="s">
        <v>130</v>
      </c>
      <c r="BO1762" s="0" t="s">
        <v>130</v>
      </c>
      <c r="BP1762" s="0" t="s">
        <v>130</v>
      </c>
      <c r="BQ1762" s="0" t="s">
        <v>130</v>
      </c>
      <c r="BR1762" s="0" t="s">
        <v>130</v>
      </c>
      <c r="BS1762" s="0" t="s">
        <v>130</v>
      </c>
      <c r="BT1762" s="0" t="s">
        <v>130</v>
      </c>
      <c r="BU1762" s="0" t="s">
        <v>130</v>
      </c>
      <c r="BV1762" s="0" t="s">
        <v>130</v>
      </c>
      <c r="BW1762" s="0" t="s">
        <v>130</v>
      </c>
      <c r="BX1762" s="0" t="s">
        <v>130</v>
      </c>
      <c r="BY1762" s="0" t="s">
        <v>130</v>
      </c>
      <c r="BZ1762" s="0" t="s">
        <v>130</v>
      </c>
      <c r="CA1762" s="0" t="s">
        <v>130</v>
      </c>
      <c r="CB1762" s="0" t="s">
        <v>130</v>
      </c>
      <c r="CC1762" s="0" t="s">
        <v>130</v>
      </c>
      <c r="CD1762" s="0" t="s">
        <v>130</v>
      </c>
      <c r="CE1762" s="0" t="s">
        <v>130</v>
      </c>
      <c r="CF1762" s="0" t="s">
        <v>130</v>
      </c>
      <c r="CG1762" s="0" t="s">
        <v>130</v>
      </c>
      <c r="CH1762" s="0" t="s">
        <v>130</v>
      </c>
      <c r="CI1762" s="0" t="s">
        <v>130</v>
      </c>
      <c r="CJ1762" s="0" t="s">
        <v>130</v>
      </c>
      <c r="CK1762" s="0" t="s">
        <v>130</v>
      </c>
      <c r="CL1762" s="0" t="s">
        <v>130</v>
      </c>
      <c r="CM1762" s="0" t="s">
        <v>130</v>
      </c>
      <c r="CN1762" s="0" t="s">
        <v>130</v>
      </c>
      <c r="CO1762" s="0" t="s">
        <v>130</v>
      </c>
      <c r="CP1762" s="0" t="s">
        <v>130</v>
      </c>
      <c r="CQ1762" s="0" t="s">
        <v>130</v>
      </c>
      <c r="CR1762" s="0" t="s">
        <v>130</v>
      </c>
      <c r="CS1762" s="0" t="s">
        <v>130</v>
      </c>
      <c r="CT1762" s="0" t="s">
        <v>5035</v>
      </c>
    </row>
    <row r="1763">
      <c r="A1763" s="14">
        <v>100602</v>
      </c>
      <c r="B1763" s="0" t="s">
        <v>827</v>
      </c>
      <c r="C1763" s="16">
        <f>HYPERLINK("https://eosportal.federatedhermes.com/companies/Q29tcGFueQppNTQxNzY=", "Ford Motor Co")</f>
      </c>
      <c r="D1763" s="0" t="s">
        <v>25</v>
      </c>
      <c r="E1763" s="0" t="s">
        <v>5010</v>
      </c>
      <c r="F1763" s="16">
        <f>HYPERLINK("https://eosportal.federatedhermes.com/engagements/RW5nYWdlbWVudAppMzA1Mzk=", "Russia-Ukraine Conflict")</f>
      </c>
      <c r="G1763" s="14" t="s">
        <v>5036</v>
      </c>
      <c r="H1763" s="0" t="s">
        <v>141</v>
      </c>
      <c r="I1763" s="14" t="s">
        <v>191</v>
      </c>
      <c r="J1763" s="0" t="s">
        <v>153</v>
      </c>
      <c r="K1763" s="0" t="s">
        <v>243</v>
      </c>
      <c r="L1763" s="0" t="s">
        <v>456</v>
      </c>
      <c r="M1763" s="0" t="s">
        <v>135</v>
      </c>
      <c r="N1763" s="0" t="s">
        <v>136</v>
      </c>
      <c r="O1763" s="0" t="s">
        <v>425</v>
      </c>
      <c r="Q1763" s="0" t="s">
        <v>130</v>
      </c>
      <c r="R1763" s="0" t="s">
        <v>138</v>
      </c>
      <c r="S1763" s="14">
        <v>0</v>
      </c>
      <c r="T1763" s="0" t="s">
        <v>583</v>
      </c>
      <c r="U1763" s="0" t="s">
        <v>138</v>
      </c>
      <c r="V1763" s="14" t="s">
        <v>138</v>
      </c>
      <c r="W1763" s="0" t="s">
        <v>138</v>
      </c>
      <c r="X1763" s="14" t="s">
        <v>138</v>
      </c>
      <c r="Y1763" s="0" t="s">
        <v>138</v>
      </c>
      <c r="Z1763" s="14" t="s">
        <v>138</v>
      </c>
      <c r="AA1763" s="0" t="s">
        <v>138</v>
      </c>
      <c r="AB1763" s="14" t="s">
        <v>138</v>
      </c>
      <c r="AD1763" s="0" t="s">
        <v>138</v>
      </c>
      <c r="AF1763" s="0">
        <v>0</v>
      </c>
      <c r="AG1763" s="0">
        <v>0</v>
      </c>
      <c r="AH1763" s="0" t="s">
        <v>140</v>
      </c>
      <c r="AI1763" s="0" t="s">
        <v>138</v>
      </c>
      <c r="AL1763" s="14"/>
      <c r="AN1763" s="14"/>
      <c r="AQ1763" s="0" t="s">
        <v>130</v>
      </c>
      <c r="AR1763" s="0" t="s">
        <v>130</v>
      </c>
      <c r="AS1763" s="0" t="s">
        <v>130</v>
      </c>
      <c r="AT1763" s="0" t="s">
        <v>130</v>
      </c>
      <c r="AU1763" s="0" t="s">
        <v>130</v>
      </c>
      <c r="AV1763" s="0" t="s">
        <v>130</v>
      </c>
      <c r="AW1763" s="0" t="s">
        <v>130</v>
      </c>
      <c r="AX1763" s="0" t="s">
        <v>141</v>
      </c>
      <c r="AY1763" s="0" t="s">
        <v>130</v>
      </c>
      <c r="AZ1763" s="0" t="s">
        <v>130</v>
      </c>
      <c r="BA1763" s="0" t="s">
        <v>130</v>
      </c>
      <c r="BB1763" s="0" t="s">
        <v>130</v>
      </c>
      <c r="BC1763" s="0" t="s">
        <v>130</v>
      </c>
      <c r="BD1763" s="0" t="s">
        <v>130</v>
      </c>
      <c r="BE1763" s="0" t="s">
        <v>130</v>
      </c>
      <c r="BF1763" s="0" t="s">
        <v>141</v>
      </c>
      <c r="BG1763" s="0" t="s">
        <v>130</v>
      </c>
      <c r="BH1763" s="0" t="s">
        <v>130</v>
      </c>
      <c r="BI1763" s="0" t="s">
        <v>130</v>
      </c>
      <c r="BJ1763" s="0" t="s">
        <v>130</v>
      </c>
      <c r="BK1763" s="0" t="s">
        <v>130</v>
      </c>
      <c r="BL1763" s="0" t="s">
        <v>130</v>
      </c>
      <c r="BM1763" s="0" t="s">
        <v>130</v>
      </c>
      <c r="BN1763" s="0" t="s">
        <v>130</v>
      </c>
      <c r="BO1763" s="0" t="s">
        <v>130</v>
      </c>
      <c r="BP1763" s="0" t="s">
        <v>130</v>
      </c>
      <c r="BQ1763" s="0" t="s">
        <v>130</v>
      </c>
      <c r="BR1763" s="0" t="s">
        <v>130</v>
      </c>
      <c r="BS1763" s="0" t="s">
        <v>130</v>
      </c>
      <c r="BT1763" s="0" t="s">
        <v>130</v>
      </c>
      <c r="BU1763" s="0" t="s">
        <v>130</v>
      </c>
      <c r="BV1763" s="0" t="s">
        <v>130</v>
      </c>
      <c r="BW1763" s="0" t="s">
        <v>130</v>
      </c>
      <c r="BX1763" s="0" t="s">
        <v>130</v>
      </c>
      <c r="BY1763" s="0" t="s">
        <v>130</v>
      </c>
      <c r="BZ1763" s="0" t="s">
        <v>130</v>
      </c>
      <c r="CA1763" s="0" t="s">
        <v>130</v>
      </c>
      <c r="CB1763" s="0" t="s">
        <v>130</v>
      </c>
      <c r="CC1763" s="0" t="s">
        <v>130</v>
      </c>
      <c r="CD1763" s="0" t="s">
        <v>130</v>
      </c>
      <c r="CE1763" s="0" t="s">
        <v>130</v>
      </c>
      <c r="CF1763" s="0" t="s">
        <v>130</v>
      </c>
      <c r="CG1763" s="0" t="s">
        <v>130</v>
      </c>
      <c r="CH1763" s="0" t="s">
        <v>130</v>
      </c>
      <c r="CI1763" s="0" t="s">
        <v>130</v>
      </c>
      <c r="CJ1763" s="0" t="s">
        <v>130</v>
      </c>
      <c r="CK1763" s="0" t="s">
        <v>130</v>
      </c>
      <c r="CL1763" s="0" t="s">
        <v>130</v>
      </c>
      <c r="CM1763" s="0" t="s">
        <v>130</v>
      </c>
      <c r="CN1763" s="0" t="s">
        <v>130</v>
      </c>
      <c r="CO1763" s="0" t="s">
        <v>130</v>
      </c>
      <c r="CP1763" s="0" t="s">
        <v>130</v>
      </c>
      <c r="CQ1763" s="0" t="s">
        <v>130</v>
      </c>
      <c r="CR1763" s="0" t="s">
        <v>130</v>
      </c>
      <c r="CS1763" s="0" t="s">
        <v>130</v>
      </c>
      <c r="CT1763" s="0" t="s">
        <v>5037</v>
      </c>
    </row>
    <row r="1764">
      <c r="A1764" s="14">
        <v>100602</v>
      </c>
      <c r="B1764" s="0" t="s">
        <v>827</v>
      </c>
      <c r="C1764" s="16">
        <f>HYPERLINK("https://eosportal.federatedhermes.com/companies/Q29tcGFueQppNTQxNzY=", "Ford Motor Co")</f>
      </c>
      <c r="D1764" s="0" t="s">
        <v>25</v>
      </c>
      <c r="E1764" s="0" t="s">
        <v>5038</v>
      </c>
      <c r="F1764" s="16">
        <f>HYPERLINK("https://eosportal.federatedhermes.com/engagements/RW5nYWdlbWVudAppMzA1NDA=", "Auditor Tenure")</f>
      </c>
      <c r="G1764" s="14" t="s">
        <v>5039</v>
      </c>
      <c r="H1764" s="0" t="s">
        <v>141</v>
      </c>
      <c r="I1764" s="14" t="s">
        <v>191</v>
      </c>
      <c r="J1764" s="0" t="s">
        <v>132</v>
      </c>
      <c r="K1764" s="0" t="s">
        <v>170</v>
      </c>
      <c r="L1764" s="0" t="s">
        <v>310</v>
      </c>
      <c r="M1764" s="0" t="s">
        <v>135</v>
      </c>
      <c r="N1764" s="0" t="s">
        <v>136</v>
      </c>
      <c r="O1764" s="0" t="s">
        <v>425</v>
      </c>
      <c r="Q1764" s="0" t="s">
        <v>130</v>
      </c>
      <c r="R1764" s="0" t="s">
        <v>138</v>
      </c>
      <c r="S1764" s="14">
        <v>0</v>
      </c>
      <c r="T1764" s="0" t="s">
        <v>231</v>
      </c>
      <c r="U1764" s="0" t="s">
        <v>138</v>
      </c>
      <c r="V1764" s="14" t="s">
        <v>138</v>
      </c>
      <c r="W1764" s="0" t="s">
        <v>138</v>
      </c>
      <c r="X1764" s="14" t="s">
        <v>138</v>
      </c>
      <c r="Y1764" s="0" t="s">
        <v>138</v>
      </c>
      <c r="Z1764" s="14" t="s">
        <v>138</v>
      </c>
      <c r="AA1764" s="0" t="s">
        <v>138</v>
      </c>
      <c r="AB1764" s="14" t="s">
        <v>138</v>
      </c>
      <c r="AD1764" s="0" t="s">
        <v>138</v>
      </c>
      <c r="AF1764" s="0">
        <v>0</v>
      </c>
      <c r="AG1764" s="0">
        <v>0</v>
      </c>
      <c r="AH1764" s="0" t="s">
        <v>140</v>
      </c>
      <c r="AI1764" s="0" t="s">
        <v>138</v>
      </c>
      <c r="AL1764" s="14"/>
      <c r="AN1764" s="14"/>
      <c r="AQ1764" s="0" t="s">
        <v>130</v>
      </c>
      <c r="AR1764" s="0" t="s">
        <v>130</v>
      </c>
      <c r="AS1764" s="0" t="s">
        <v>130</v>
      </c>
      <c r="AT1764" s="0" t="s">
        <v>130</v>
      </c>
      <c r="AU1764" s="0" t="s">
        <v>130</v>
      </c>
      <c r="AV1764" s="0" t="s">
        <v>130</v>
      </c>
      <c r="AW1764" s="0" t="s">
        <v>130</v>
      </c>
      <c r="AX1764" s="0" t="s">
        <v>130</v>
      </c>
      <c r="AY1764" s="0" t="s">
        <v>130</v>
      </c>
      <c r="AZ1764" s="0" t="s">
        <v>130</v>
      </c>
      <c r="BA1764" s="0" t="s">
        <v>130</v>
      </c>
      <c r="BB1764" s="0" t="s">
        <v>130</v>
      </c>
      <c r="BC1764" s="0" t="s">
        <v>130</v>
      </c>
      <c r="BD1764" s="0" t="s">
        <v>130</v>
      </c>
      <c r="BE1764" s="0" t="s">
        <v>130</v>
      </c>
      <c r="BF1764" s="0" t="s">
        <v>130</v>
      </c>
      <c r="BG1764" s="0" t="s">
        <v>130</v>
      </c>
      <c r="BH1764" s="0" t="s">
        <v>130</v>
      </c>
      <c r="BI1764" s="0" t="s">
        <v>130</v>
      </c>
      <c r="BJ1764" s="0" t="s">
        <v>130</v>
      </c>
      <c r="BK1764" s="0" t="s">
        <v>130</v>
      </c>
      <c r="BL1764" s="0" t="s">
        <v>130</v>
      </c>
      <c r="BM1764" s="0" t="s">
        <v>130</v>
      </c>
      <c r="BN1764" s="0" t="s">
        <v>130</v>
      </c>
      <c r="BO1764" s="0" t="s">
        <v>130</v>
      </c>
      <c r="BP1764" s="0" t="s">
        <v>130</v>
      </c>
      <c r="BQ1764" s="0" t="s">
        <v>130</v>
      </c>
      <c r="BR1764" s="0" t="s">
        <v>130</v>
      </c>
      <c r="BS1764" s="0" t="s">
        <v>130</v>
      </c>
      <c r="BT1764" s="0" t="s">
        <v>130</v>
      </c>
      <c r="BU1764" s="0" t="s">
        <v>130</v>
      </c>
      <c r="BV1764" s="0" t="s">
        <v>130</v>
      </c>
      <c r="BW1764" s="0" t="s">
        <v>130</v>
      </c>
      <c r="BX1764" s="0" t="s">
        <v>130</v>
      </c>
      <c r="BY1764" s="0" t="s">
        <v>130</v>
      </c>
      <c r="BZ1764" s="0" t="s">
        <v>130</v>
      </c>
      <c r="CA1764" s="0" t="s">
        <v>130</v>
      </c>
      <c r="CB1764" s="0" t="s">
        <v>130</v>
      </c>
      <c r="CC1764" s="0" t="s">
        <v>130</v>
      </c>
      <c r="CD1764" s="0" t="s">
        <v>130</v>
      </c>
      <c r="CE1764" s="0" t="s">
        <v>130</v>
      </c>
      <c r="CF1764" s="0" t="s">
        <v>130</v>
      </c>
      <c r="CG1764" s="0" t="s">
        <v>130</v>
      </c>
      <c r="CH1764" s="0" t="s">
        <v>130</v>
      </c>
      <c r="CI1764" s="0" t="s">
        <v>130</v>
      </c>
      <c r="CJ1764" s="0" t="s">
        <v>130</v>
      </c>
      <c r="CK1764" s="0" t="s">
        <v>130</v>
      </c>
      <c r="CL1764" s="0" t="s">
        <v>130</v>
      </c>
      <c r="CM1764" s="0" t="s">
        <v>130</v>
      </c>
      <c r="CN1764" s="0" t="s">
        <v>130</v>
      </c>
      <c r="CO1764" s="0" t="s">
        <v>130</v>
      </c>
      <c r="CP1764" s="0" t="s">
        <v>130</v>
      </c>
      <c r="CQ1764" s="0" t="s">
        <v>130</v>
      </c>
      <c r="CR1764" s="0" t="s">
        <v>130</v>
      </c>
      <c r="CS1764" s="0" t="s">
        <v>130</v>
      </c>
      <c r="CT1764" s="0" t="s">
        <v>5040</v>
      </c>
    </row>
    <row r="1765">
      <c r="A1765" s="14">
        <v>100602</v>
      </c>
      <c r="B1765" s="0" t="s">
        <v>827</v>
      </c>
      <c r="C1765" s="16">
        <f>HYPERLINK("https://eosportal.federatedhermes.com/companies/Q29tcGFueQppNTQxNzY=", "Ford Motor Co")</f>
      </c>
      <c r="D1765" s="0" t="s">
        <v>25</v>
      </c>
      <c r="E1765" s="0" t="s">
        <v>5041</v>
      </c>
      <c r="F1765" s="16">
        <f>HYPERLINK("https://eosportal.federatedhermes.com/engagements/RW5nYWdlbWVudAppMzA1NDE=", "EV supply chain risks")</f>
      </c>
      <c r="G1765" s="14" t="s">
        <v>5042</v>
      </c>
      <c r="H1765" s="0" t="s">
        <v>141</v>
      </c>
      <c r="I1765" s="14" t="s">
        <v>191</v>
      </c>
      <c r="J1765" s="0" t="s">
        <v>132</v>
      </c>
      <c r="K1765" s="0" t="s">
        <v>260</v>
      </c>
      <c r="L1765" s="0" t="s">
        <v>261</v>
      </c>
      <c r="M1765" s="0" t="s">
        <v>135</v>
      </c>
      <c r="N1765" s="0" t="s">
        <v>136</v>
      </c>
      <c r="O1765" s="0" t="s">
        <v>425</v>
      </c>
      <c r="Q1765" s="0" t="s">
        <v>130</v>
      </c>
      <c r="R1765" s="0" t="s">
        <v>138</v>
      </c>
      <c r="S1765" s="14">
        <v>0</v>
      </c>
      <c r="T1765" s="0" t="s">
        <v>231</v>
      </c>
      <c r="U1765" s="0" t="s">
        <v>138</v>
      </c>
      <c r="V1765" s="14" t="s">
        <v>138</v>
      </c>
      <c r="W1765" s="0" t="s">
        <v>138</v>
      </c>
      <c r="X1765" s="14" t="s">
        <v>138</v>
      </c>
      <c r="Y1765" s="0" t="s">
        <v>138</v>
      </c>
      <c r="Z1765" s="14" t="s">
        <v>138</v>
      </c>
      <c r="AA1765" s="0" t="s">
        <v>138</v>
      </c>
      <c r="AB1765" s="14" t="s">
        <v>138</v>
      </c>
      <c r="AD1765" s="0" t="s">
        <v>138</v>
      </c>
      <c r="AF1765" s="0">
        <v>0</v>
      </c>
      <c r="AG1765" s="0">
        <v>0</v>
      </c>
      <c r="AH1765" s="0" t="s">
        <v>140</v>
      </c>
      <c r="AI1765" s="0" t="s">
        <v>138</v>
      </c>
      <c r="AL1765" s="14"/>
      <c r="AN1765" s="14"/>
      <c r="AQ1765" s="0" t="s">
        <v>130</v>
      </c>
      <c r="AR1765" s="0" t="s">
        <v>130</v>
      </c>
      <c r="AS1765" s="0" t="s">
        <v>130</v>
      </c>
      <c r="AT1765" s="0" t="s">
        <v>130</v>
      </c>
      <c r="AU1765" s="0" t="s">
        <v>130</v>
      </c>
      <c r="AV1765" s="0" t="s">
        <v>130</v>
      </c>
      <c r="AW1765" s="0" t="s">
        <v>130</v>
      </c>
      <c r="AX1765" s="0" t="s">
        <v>130</v>
      </c>
      <c r="AY1765" s="0" t="s">
        <v>130</v>
      </c>
      <c r="AZ1765" s="0" t="s">
        <v>130</v>
      </c>
      <c r="BA1765" s="0" t="s">
        <v>130</v>
      </c>
      <c r="BB1765" s="0" t="s">
        <v>130</v>
      </c>
      <c r="BC1765" s="0" t="s">
        <v>130</v>
      </c>
      <c r="BD1765" s="0" t="s">
        <v>130</v>
      </c>
      <c r="BE1765" s="0" t="s">
        <v>130</v>
      </c>
      <c r="BF1765" s="0" t="s">
        <v>130</v>
      </c>
      <c r="BG1765" s="0" t="s">
        <v>130</v>
      </c>
      <c r="BH1765" s="0" t="s">
        <v>130</v>
      </c>
      <c r="BI1765" s="0" t="s">
        <v>130</v>
      </c>
      <c r="BJ1765" s="0" t="s">
        <v>130</v>
      </c>
      <c r="BK1765" s="0" t="s">
        <v>130</v>
      </c>
      <c r="BL1765" s="0" t="s">
        <v>130</v>
      </c>
      <c r="BM1765" s="0" t="s">
        <v>130</v>
      </c>
      <c r="BN1765" s="0" t="s">
        <v>130</v>
      </c>
      <c r="BO1765" s="0" t="s">
        <v>130</v>
      </c>
      <c r="BP1765" s="0" t="s">
        <v>130</v>
      </c>
      <c r="BQ1765" s="0" t="s">
        <v>130</v>
      </c>
      <c r="BR1765" s="0" t="s">
        <v>130</v>
      </c>
      <c r="BS1765" s="0" t="s">
        <v>130</v>
      </c>
      <c r="BT1765" s="0" t="s">
        <v>130</v>
      </c>
      <c r="BU1765" s="0" t="s">
        <v>130</v>
      </c>
      <c r="BV1765" s="0" t="s">
        <v>130</v>
      </c>
      <c r="BW1765" s="0" t="s">
        <v>130</v>
      </c>
      <c r="BX1765" s="0" t="s">
        <v>130</v>
      </c>
      <c r="BY1765" s="0" t="s">
        <v>130</v>
      </c>
      <c r="BZ1765" s="0" t="s">
        <v>130</v>
      </c>
      <c r="CA1765" s="0" t="s">
        <v>130</v>
      </c>
      <c r="CB1765" s="0" t="s">
        <v>130</v>
      </c>
      <c r="CC1765" s="0" t="s">
        <v>130</v>
      </c>
      <c r="CD1765" s="0" t="s">
        <v>130</v>
      </c>
      <c r="CE1765" s="0" t="s">
        <v>130</v>
      </c>
      <c r="CF1765" s="0" t="s">
        <v>130</v>
      </c>
      <c r="CG1765" s="0" t="s">
        <v>130</v>
      </c>
      <c r="CH1765" s="0" t="s">
        <v>130</v>
      </c>
      <c r="CI1765" s="0" t="s">
        <v>130</v>
      </c>
      <c r="CJ1765" s="0" t="s">
        <v>130</v>
      </c>
      <c r="CK1765" s="0" t="s">
        <v>130</v>
      </c>
      <c r="CL1765" s="0" t="s">
        <v>130</v>
      </c>
      <c r="CM1765" s="0" t="s">
        <v>130</v>
      </c>
      <c r="CN1765" s="0" t="s">
        <v>130</v>
      </c>
      <c r="CO1765" s="0" t="s">
        <v>130</v>
      </c>
      <c r="CP1765" s="0" t="s">
        <v>130</v>
      </c>
      <c r="CQ1765" s="0" t="s">
        <v>130</v>
      </c>
      <c r="CR1765" s="0" t="s">
        <v>130</v>
      </c>
      <c r="CS1765" s="0" t="s">
        <v>130</v>
      </c>
      <c r="CT1765" s="0" t="s">
        <v>5043</v>
      </c>
    </row>
    <row r="1766">
      <c r="A1766" s="14">
        <v>100602</v>
      </c>
      <c r="B1766" s="0" t="s">
        <v>827</v>
      </c>
      <c r="C1766" s="16">
        <f>HYPERLINK("https://eosportal.federatedhermes.com/companies/Q29tcGFueQppNTQxNzY=", "Ford Motor Co")</f>
      </c>
      <c r="D1766" s="0" t="s">
        <v>25</v>
      </c>
      <c r="E1766" s="0" t="s">
        <v>5044</v>
      </c>
      <c r="F1766" s="16">
        <f>HYPERLINK("https://eosportal.federatedhermes.com/engagements/RW5nYWdlbWVudAppMzA1NDI=", "EV strategy execution risks")</f>
      </c>
      <c r="G1766" s="14" t="s">
        <v>5045</v>
      </c>
      <c r="H1766" s="0" t="s">
        <v>141</v>
      </c>
      <c r="I1766" s="14" t="s">
        <v>191</v>
      </c>
      <c r="J1766" s="0" t="s">
        <v>132</v>
      </c>
      <c r="K1766" s="0" t="s">
        <v>260</v>
      </c>
      <c r="L1766" s="0" t="s">
        <v>261</v>
      </c>
      <c r="M1766" s="0" t="s">
        <v>135</v>
      </c>
      <c r="N1766" s="0" t="s">
        <v>136</v>
      </c>
      <c r="O1766" s="0" t="s">
        <v>425</v>
      </c>
      <c r="Q1766" s="0" t="s">
        <v>130</v>
      </c>
      <c r="R1766" s="0" t="s">
        <v>138</v>
      </c>
      <c r="S1766" s="14">
        <v>0</v>
      </c>
      <c r="T1766" s="0" t="s">
        <v>231</v>
      </c>
      <c r="U1766" s="0" t="s">
        <v>138</v>
      </c>
      <c r="V1766" s="14" t="s">
        <v>138</v>
      </c>
      <c r="W1766" s="0" t="s">
        <v>138</v>
      </c>
      <c r="X1766" s="14" t="s">
        <v>138</v>
      </c>
      <c r="Y1766" s="0" t="s">
        <v>138</v>
      </c>
      <c r="Z1766" s="14" t="s">
        <v>138</v>
      </c>
      <c r="AA1766" s="0" t="s">
        <v>138</v>
      </c>
      <c r="AB1766" s="14" t="s">
        <v>138</v>
      </c>
      <c r="AD1766" s="0" t="s">
        <v>138</v>
      </c>
      <c r="AF1766" s="0">
        <v>0</v>
      </c>
      <c r="AG1766" s="0">
        <v>0</v>
      </c>
      <c r="AH1766" s="0" t="s">
        <v>140</v>
      </c>
      <c r="AI1766" s="0" t="s">
        <v>138</v>
      </c>
      <c r="AL1766" s="14"/>
      <c r="AN1766" s="14"/>
      <c r="AQ1766" s="0" t="s">
        <v>130</v>
      </c>
      <c r="AR1766" s="0" t="s">
        <v>130</v>
      </c>
      <c r="AS1766" s="0" t="s">
        <v>130</v>
      </c>
      <c r="AT1766" s="0" t="s">
        <v>130</v>
      </c>
      <c r="AU1766" s="0" t="s">
        <v>130</v>
      </c>
      <c r="AV1766" s="0" t="s">
        <v>130</v>
      </c>
      <c r="AW1766" s="0" t="s">
        <v>130</v>
      </c>
      <c r="AX1766" s="0" t="s">
        <v>130</v>
      </c>
      <c r="AY1766" s="0" t="s">
        <v>130</v>
      </c>
      <c r="AZ1766" s="0" t="s">
        <v>130</v>
      </c>
      <c r="BA1766" s="0" t="s">
        <v>130</v>
      </c>
      <c r="BB1766" s="0" t="s">
        <v>130</v>
      </c>
      <c r="BC1766" s="0" t="s">
        <v>130</v>
      </c>
      <c r="BD1766" s="0" t="s">
        <v>130</v>
      </c>
      <c r="BE1766" s="0" t="s">
        <v>130</v>
      </c>
      <c r="BF1766" s="0" t="s">
        <v>130</v>
      </c>
      <c r="BG1766" s="0" t="s">
        <v>130</v>
      </c>
      <c r="BH1766" s="0" t="s">
        <v>130</v>
      </c>
      <c r="BI1766" s="0" t="s">
        <v>130</v>
      </c>
      <c r="BJ1766" s="0" t="s">
        <v>130</v>
      </c>
      <c r="BK1766" s="0" t="s">
        <v>130</v>
      </c>
      <c r="BL1766" s="0" t="s">
        <v>130</v>
      </c>
      <c r="BM1766" s="0" t="s">
        <v>130</v>
      </c>
      <c r="BN1766" s="0" t="s">
        <v>130</v>
      </c>
      <c r="BO1766" s="0" t="s">
        <v>130</v>
      </c>
      <c r="BP1766" s="0" t="s">
        <v>130</v>
      </c>
      <c r="BQ1766" s="0" t="s">
        <v>130</v>
      </c>
      <c r="BR1766" s="0" t="s">
        <v>130</v>
      </c>
      <c r="BS1766" s="0" t="s">
        <v>130</v>
      </c>
      <c r="BT1766" s="0" t="s">
        <v>130</v>
      </c>
      <c r="BU1766" s="0" t="s">
        <v>130</v>
      </c>
      <c r="BV1766" s="0" t="s">
        <v>130</v>
      </c>
      <c r="BW1766" s="0" t="s">
        <v>130</v>
      </c>
      <c r="BX1766" s="0" t="s">
        <v>130</v>
      </c>
      <c r="BY1766" s="0" t="s">
        <v>130</v>
      </c>
      <c r="BZ1766" s="0" t="s">
        <v>130</v>
      </c>
      <c r="CA1766" s="0" t="s">
        <v>130</v>
      </c>
      <c r="CB1766" s="0" t="s">
        <v>130</v>
      </c>
      <c r="CC1766" s="0" t="s">
        <v>130</v>
      </c>
      <c r="CD1766" s="0" t="s">
        <v>130</v>
      </c>
      <c r="CE1766" s="0" t="s">
        <v>130</v>
      </c>
      <c r="CF1766" s="0" t="s">
        <v>130</v>
      </c>
      <c r="CG1766" s="0" t="s">
        <v>130</v>
      </c>
      <c r="CH1766" s="0" t="s">
        <v>130</v>
      </c>
      <c r="CI1766" s="0" t="s">
        <v>130</v>
      </c>
      <c r="CJ1766" s="0" t="s">
        <v>130</v>
      </c>
      <c r="CK1766" s="0" t="s">
        <v>130</v>
      </c>
      <c r="CL1766" s="0" t="s">
        <v>130</v>
      </c>
      <c r="CM1766" s="0" t="s">
        <v>130</v>
      </c>
      <c r="CN1766" s="0" t="s">
        <v>130</v>
      </c>
      <c r="CO1766" s="0" t="s">
        <v>130</v>
      </c>
      <c r="CP1766" s="0" t="s">
        <v>130</v>
      </c>
      <c r="CQ1766" s="0" t="s">
        <v>130</v>
      </c>
      <c r="CR1766" s="0" t="s">
        <v>130</v>
      </c>
      <c r="CS1766" s="0" t="s">
        <v>130</v>
      </c>
      <c r="CT1766" s="0" t="s">
        <v>5046</v>
      </c>
    </row>
    <row r="1767">
      <c r="A1767" s="14">
        <v>376102</v>
      </c>
      <c r="B1767" s="0" t="s">
        <v>3751</v>
      </c>
      <c r="C1767" s="16">
        <f>HYPERLINK("https://eosportal.federatedhermes.com/companies/Q29tcGFueQppNTU3NDY=", "Carter's Inc")</f>
      </c>
      <c r="D1767" s="0" t="s">
        <v>25</v>
      </c>
      <c r="E1767" s="0" t="s">
        <v>5047</v>
      </c>
      <c r="F1767" s="16">
        <f>HYPERLINK("https://eosportal.federatedhermes.com/engagements/RW5nYWdlbWVudAppMzA1NjU=", "Disclosure Scope 3")</f>
      </c>
      <c r="G1767" s="14" t="s">
        <v>5048</v>
      </c>
      <c r="H1767" s="0" t="s">
        <v>130</v>
      </c>
      <c r="I1767" s="14" t="s">
        <v>319</v>
      </c>
      <c r="J1767" s="0" t="s">
        <v>197</v>
      </c>
      <c r="K1767" s="0" t="s">
        <v>198</v>
      </c>
      <c r="L1767" s="0" t="s">
        <v>199</v>
      </c>
      <c r="M1767" s="0" t="s">
        <v>135</v>
      </c>
      <c r="N1767" s="0" t="s">
        <v>136</v>
      </c>
      <c r="O1767" s="0" t="s">
        <v>332</v>
      </c>
      <c r="Q1767" s="0" t="s">
        <v>141</v>
      </c>
      <c r="R1767" s="0" t="s">
        <v>138</v>
      </c>
      <c r="S1767" s="14">
        <v>1</v>
      </c>
      <c r="T1767" s="0" t="s">
        <v>231</v>
      </c>
      <c r="U1767" s="0" t="s">
        <v>138</v>
      </c>
      <c r="V1767" s="14" t="s">
        <v>138</v>
      </c>
      <c r="W1767" s="0" t="s">
        <v>138</v>
      </c>
      <c r="X1767" s="14" t="s">
        <v>138</v>
      </c>
      <c r="Y1767" s="0" t="s">
        <v>138</v>
      </c>
      <c r="Z1767" s="14" t="s">
        <v>138</v>
      </c>
      <c r="AA1767" s="0" t="s">
        <v>138</v>
      </c>
      <c r="AB1767" s="14" t="s">
        <v>138</v>
      </c>
      <c r="AD1767" s="0" t="s">
        <v>138</v>
      </c>
      <c r="AF1767" s="0">
        <v>0</v>
      </c>
      <c r="AG1767" s="0">
        <v>0</v>
      </c>
      <c r="AH1767" s="0" t="s">
        <v>140</v>
      </c>
      <c r="AI1767" s="0" t="s">
        <v>138</v>
      </c>
      <c r="AK1767" s="0" t="s">
        <v>3753</v>
      </c>
      <c r="AL1767" s="14"/>
      <c r="AN1767" s="14"/>
      <c r="AQ1767" s="0" t="s">
        <v>130</v>
      </c>
      <c r="AR1767" s="0" t="s">
        <v>130</v>
      </c>
      <c r="AS1767" s="0" t="s">
        <v>130</v>
      </c>
      <c r="AT1767" s="0" t="s">
        <v>130</v>
      </c>
      <c r="AU1767" s="0" t="s">
        <v>130</v>
      </c>
      <c r="AV1767" s="0" t="s">
        <v>130</v>
      </c>
      <c r="AW1767" s="0" t="s">
        <v>130</v>
      </c>
      <c r="AX1767" s="0" t="s">
        <v>130</v>
      </c>
      <c r="AY1767" s="0" t="s">
        <v>130</v>
      </c>
      <c r="AZ1767" s="0" t="s">
        <v>130</v>
      </c>
      <c r="BA1767" s="0" t="s">
        <v>130</v>
      </c>
      <c r="BB1767" s="0" t="s">
        <v>141</v>
      </c>
      <c r="BC1767" s="0" t="s">
        <v>130</v>
      </c>
      <c r="BD1767" s="0" t="s">
        <v>130</v>
      </c>
      <c r="BE1767" s="0" t="s">
        <v>130</v>
      </c>
      <c r="BF1767" s="0" t="s">
        <v>130</v>
      </c>
      <c r="BG1767" s="0" t="s">
        <v>130</v>
      </c>
      <c r="BH1767" s="0" t="s">
        <v>130</v>
      </c>
      <c r="BI1767" s="0" t="s">
        <v>130</v>
      </c>
      <c r="BJ1767" s="0" t="s">
        <v>130</v>
      </c>
      <c r="BK1767" s="0" t="s">
        <v>130</v>
      </c>
      <c r="BL1767" s="0" t="s">
        <v>130</v>
      </c>
      <c r="BM1767" s="0" t="s">
        <v>130</v>
      </c>
      <c r="BN1767" s="0" t="s">
        <v>130</v>
      </c>
      <c r="BO1767" s="0" t="s">
        <v>130</v>
      </c>
      <c r="BP1767" s="0" t="s">
        <v>130</v>
      </c>
      <c r="BQ1767" s="0" t="s">
        <v>130</v>
      </c>
      <c r="BR1767" s="0" t="s">
        <v>130</v>
      </c>
      <c r="BS1767" s="0" t="s">
        <v>130</v>
      </c>
      <c r="BT1767" s="0" t="s">
        <v>130</v>
      </c>
      <c r="BU1767" s="0" t="s">
        <v>130</v>
      </c>
      <c r="BV1767" s="0" t="s">
        <v>130</v>
      </c>
      <c r="BW1767" s="0" t="s">
        <v>130</v>
      </c>
      <c r="BX1767" s="0" t="s">
        <v>130</v>
      </c>
      <c r="BY1767" s="0" t="s">
        <v>130</v>
      </c>
      <c r="BZ1767" s="0" t="s">
        <v>130</v>
      </c>
      <c r="CA1767" s="0" t="s">
        <v>130</v>
      </c>
      <c r="CB1767" s="0" t="s">
        <v>130</v>
      </c>
      <c r="CC1767" s="0" t="s">
        <v>130</v>
      </c>
      <c r="CD1767" s="0" t="s">
        <v>130</v>
      </c>
      <c r="CE1767" s="0" t="s">
        <v>130</v>
      </c>
      <c r="CF1767" s="0" t="s">
        <v>130</v>
      </c>
      <c r="CG1767" s="0" t="s">
        <v>130</v>
      </c>
      <c r="CH1767" s="0" t="s">
        <v>130</v>
      </c>
      <c r="CI1767" s="0" t="s">
        <v>130</v>
      </c>
      <c r="CJ1767" s="0" t="s">
        <v>130</v>
      </c>
      <c r="CK1767" s="0" t="s">
        <v>130</v>
      </c>
      <c r="CL1767" s="0" t="s">
        <v>130</v>
      </c>
      <c r="CM1767" s="0" t="s">
        <v>130</v>
      </c>
      <c r="CN1767" s="0" t="s">
        <v>130</v>
      </c>
      <c r="CO1767" s="0" t="s">
        <v>130</v>
      </c>
      <c r="CP1767" s="0" t="s">
        <v>130</v>
      </c>
      <c r="CQ1767" s="0" t="s">
        <v>130</v>
      </c>
      <c r="CR1767" s="0" t="s">
        <v>130</v>
      </c>
      <c r="CS1767" s="0" t="s">
        <v>130</v>
      </c>
      <c r="CT1767" s="0" t="s">
        <v>5049</v>
      </c>
    </row>
    <row r="1768">
      <c r="A1768" s="14">
        <v>376102</v>
      </c>
      <c r="B1768" s="0" t="s">
        <v>3751</v>
      </c>
      <c r="C1768" s="16">
        <f>HYPERLINK("https://eosportal.federatedhermes.com/companies/Q29tcGFueQppNTU3NDY=", "Carter's Inc")</f>
      </c>
      <c r="D1768" s="0" t="s">
        <v>25</v>
      </c>
      <c r="E1768" s="0" t="s">
        <v>5050</v>
      </c>
      <c r="F1768" s="16">
        <f>HYPERLINK("https://eosportal.federatedhermes.com/engagements/RW5nYWdlbWVudAppMzA1NjY=", "Net zero commitment")</f>
      </c>
      <c r="G1768" s="14" t="s">
        <v>5051</v>
      </c>
      <c r="H1768" s="0" t="s">
        <v>130</v>
      </c>
      <c r="I1768" s="14" t="s">
        <v>319</v>
      </c>
      <c r="J1768" s="0" t="s">
        <v>197</v>
      </c>
      <c r="K1768" s="0" t="s">
        <v>198</v>
      </c>
      <c r="L1768" s="0" t="s">
        <v>216</v>
      </c>
      <c r="M1768" s="0" t="s">
        <v>135</v>
      </c>
      <c r="N1768" s="0" t="s">
        <v>136</v>
      </c>
      <c r="O1768" s="0" t="s">
        <v>332</v>
      </c>
      <c r="Q1768" s="0" t="s">
        <v>141</v>
      </c>
      <c r="R1768" s="0" t="s">
        <v>138</v>
      </c>
      <c r="S1768" s="14">
        <v>1</v>
      </c>
      <c r="T1768" s="0" t="s">
        <v>231</v>
      </c>
      <c r="U1768" s="0" t="s">
        <v>138</v>
      </c>
      <c r="V1768" s="14" t="s">
        <v>138</v>
      </c>
      <c r="W1768" s="0" t="s">
        <v>138</v>
      </c>
      <c r="X1768" s="14" t="s">
        <v>138</v>
      </c>
      <c r="Y1768" s="0" t="s">
        <v>138</v>
      </c>
      <c r="Z1768" s="14" t="s">
        <v>138</v>
      </c>
      <c r="AA1768" s="0" t="s">
        <v>138</v>
      </c>
      <c r="AB1768" s="14" t="s">
        <v>138</v>
      </c>
      <c r="AD1768" s="0" t="s">
        <v>138</v>
      </c>
      <c r="AF1768" s="0">
        <v>0</v>
      </c>
      <c r="AG1768" s="0">
        <v>0</v>
      </c>
      <c r="AH1768" s="0" t="s">
        <v>140</v>
      </c>
      <c r="AI1768" s="0" t="s">
        <v>138</v>
      </c>
      <c r="AK1768" s="0" t="s">
        <v>3753</v>
      </c>
      <c r="AL1768" s="14"/>
      <c r="AN1768" s="14"/>
      <c r="AQ1768" s="0" t="s">
        <v>130</v>
      </c>
      <c r="AR1768" s="0" t="s">
        <v>130</v>
      </c>
      <c r="AS1768" s="0" t="s">
        <v>130</v>
      </c>
      <c r="AT1768" s="0" t="s">
        <v>130</v>
      </c>
      <c r="AU1768" s="0" t="s">
        <v>130</v>
      </c>
      <c r="AV1768" s="0" t="s">
        <v>130</v>
      </c>
      <c r="AW1768" s="0" t="s">
        <v>141</v>
      </c>
      <c r="AX1768" s="0" t="s">
        <v>130</v>
      </c>
      <c r="AY1768" s="0" t="s">
        <v>130</v>
      </c>
      <c r="AZ1768" s="0" t="s">
        <v>130</v>
      </c>
      <c r="BA1768" s="0" t="s">
        <v>130</v>
      </c>
      <c r="BB1768" s="0" t="s">
        <v>130</v>
      </c>
      <c r="BC1768" s="0" t="s">
        <v>141</v>
      </c>
      <c r="BD1768" s="0" t="s">
        <v>130</v>
      </c>
      <c r="BE1768" s="0" t="s">
        <v>130</v>
      </c>
      <c r="BF1768" s="0" t="s">
        <v>130</v>
      </c>
      <c r="BG1768" s="0" t="s">
        <v>130</v>
      </c>
      <c r="BH1768" s="0" t="s">
        <v>141</v>
      </c>
      <c r="BI1768" s="0" t="s">
        <v>141</v>
      </c>
      <c r="BJ1768" s="0" t="s">
        <v>141</v>
      </c>
      <c r="BK1768" s="0" t="s">
        <v>130</v>
      </c>
      <c r="BL1768" s="0" t="s">
        <v>130</v>
      </c>
      <c r="BM1768" s="0" t="s">
        <v>130</v>
      </c>
      <c r="BN1768" s="0" t="s">
        <v>130</v>
      </c>
      <c r="BO1768" s="0" t="s">
        <v>130</v>
      </c>
      <c r="BP1768" s="0" t="s">
        <v>130</v>
      </c>
      <c r="BQ1768" s="0" t="s">
        <v>130</v>
      </c>
      <c r="BR1768" s="0" t="s">
        <v>130</v>
      </c>
      <c r="BS1768" s="0" t="s">
        <v>130</v>
      </c>
      <c r="BT1768" s="0" t="s">
        <v>130</v>
      </c>
      <c r="BU1768" s="0" t="s">
        <v>130</v>
      </c>
      <c r="BV1768" s="0" t="s">
        <v>141</v>
      </c>
      <c r="BW1768" s="0" t="s">
        <v>141</v>
      </c>
      <c r="BX1768" s="0" t="s">
        <v>130</v>
      </c>
      <c r="BY1768" s="0" t="s">
        <v>130</v>
      </c>
      <c r="BZ1768" s="0" t="s">
        <v>130</v>
      </c>
      <c r="CA1768" s="0" t="s">
        <v>130</v>
      </c>
      <c r="CB1768" s="0" t="s">
        <v>130</v>
      </c>
      <c r="CC1768" s="0" t="s">
        <v>130</v>
      </c>
      <c r="CD1768" s="0" t="s">
        <v>130</v>
      </c>
      <c r="CE1768" s="0" t="s">
        <v>130</v>
      </c>
      <c r="CF1768" s="0" t="s">
        <v>130</v>
      </c>
      <c r="CG1768" s="0" t="s">
        <v>130</v>
      </c>
      <c r="CH1768" s="0" t="s">
        <v>130</v>
      </c>
      <c r="CI1768" s="0" t="s">
        <v>130</v>
      </c>
      <c r="CJ1768" s="0" t="s">
        <v>130</v>
      </c>
      <c r="CK1768" s="0" t="s">
        <v>130</v>
      </c>
      <c r="CL1768" s="0" t="s">
        <v>130</v>
      </c>
      <c r="CM1768" s="0" t="s">
        <v>130</v>
      </c>
      <c r="CN1768" s="0" t="s">
        <v>130</v>
      </c>
      <c r="CO1768" s="0" t="s">
        <v>130</v>
      </c>
      <c r="CP1768" s="0" t="s">
        <v>130</v>
      </c>
      <c r="CQ1768" s="0" t="s">
        <v>130</v>
      </c>
      <c r="CR1768" s="0" t="s">
        <v>130</v>
      </c>
      <c r="CS1768" s="0" t="s">
        <v>130</v>
      </c>
      <c r="CT1768" s="0" t="s">
        <v>5052</v>
      </c>
    </row>
    <row r="1769">
      <c r="A1769" s="14">
        <v>376102</v>
      </c>
      <c r="B1769" s="0" t="s">
        <v>3751</v>
      </c>
      <c r="C1769" s="16">
        <f>HYPERLINK("https://eosportal.federatedhermes.com/companies/Q29tcGFueQppNTU3NDY=", "Carter's Inc")</f>
      </c>
      <c r="D1769" s="0" t="s">
        <v>25</v>
      </c>
      <c r="E1769" s="0" t="s">
        <v>574</v>
      </c>
      <c r="F1769" s="16">
        <f>HYPERLINK("https://eosportal.federatedhermes.com/engagements/RW5nYWdlbWVudAppMzA1Njc=", "Biodiversity")</f>
      </c>
      <c r="G1769" s="14" t="s">
        <v>5053</v>
      </c>
      <c r="H1769" s="0" t="s">
        <v>130</v>
      </c>
      <c r="I1769" s="14" t="s">
        <v>319</v>
      </c>
      <c r="J1769" s="0" t="s">
        <v>197</v>
      </c>
      <c r="K1769" s="0" t="s">
        <v>337</v>
      </c>
      <c r="L1769" s="0" t="s">
        <v>576</v>
      </c>
      <c r="M1769" s="0" t="s">
        <v>135</v>
      </c>
      <c r="N1769" s="0" t="s">
        <v>136</v>
      </c>
      <c r="O1769" s="0" t="s">
        <v>332</v>
      </c>
      <c r="Q1769" s="0" t="s">
        <v>141</v>
      </c>
      <c r="R1769" s="0" t="s">
        <v>138</v>
      </c>
      <c r="S1769" s="14">
        <v>1</v>
      </c>
      <c r="T1769" s="0" t="s">
        <v>231</v>
      </c>
      <c r="U1769" s="0" t="s">
        <v>138</v>
      </c>
      <c r="V1769" s="14" t="s">
        <v>138</v>
      </c>
      <c r="W1769" s="0" t="s">
        <v>138</v>
      </c>
      <c r="X1769" s="14" t="s">
        <v>138</v>
      </c>
      <c r="Y1769" s="0" t="s">
        <v>138</v>
      </c>
      <c r="Z1769" s="14" t="s">
        <v>138</v>
      </c>
      <c r="AA1769" s="0" t="s">
        <v>138</v>
      </c>
      <c r="AB1769" s="14" t="s">
        <v>138</v>
      </c>
      <c r="AD1769" s="0" t="s">
        <v>138</v>
      </c>
      <c r="AF1769" s="0">
        <v>0</v>
      </c>
      <c r="AG1769" s="0">
        <v>0</v>
      </c>
      <c r="AH1769" s="0" t="s">
        <v>140</v>
      </c>
      <c r="AI1769" s="0" t="s">
        <v>138</v>
      </c>
      <c r="AK1769" s="0" t="s">
        <v>3753</v>
      </c>
      <c r="AL1769" s="14"/>
      <c r="AN1769" s="14"/>
      <c r="AQ1769" s="0" t="s">
        <v>130</v>
      </c>
      <c r="AR1769" s="0" t="s">
        <v>141</v>
      </c>
      <c r="AS1769" s="0" t="s">
        <v>130</v>
      </c>
      <c r="AT1769" s="0" t="s">
        <v>130</v>
      </c>
      <c r="AU1769" s="0" t="s">
        <v>130</v>
      </c>
      <c r="AV1769" s="0" t="s">
        <v>141</v>
      </c>
      <c r="AW1769" s="0" t="s">
        <v>130</v>
      </c>
      <c r="AX1769" s="0" t="s">
        <v>130</v>
      </c>
      <c r="AY1769" s="0" t="s">
        <v>130</v>
      </c>
      <c r="AZ1769" s="0" t="s">
        <v>130</v>
      </c>
      <c r="BA1769" s="0" t="s">
        <v>141</v>
      </c>
      <c r="BB1769" s="0" t="s">
        <v>141</v>
      </c>
      <c r="BC1769" s="0" t="s">
        <v>130</v>
      </c>
      <c r="BD1769" s="0" t="s">
        <v>141</v>
      </c>
      <c r="BE1769" s="0" t="s">
        <v>141</v>
      </c>
      <c r="BF1769" s="0" t="s">
        <v>130</v>
      </c>
      <c r="BG1769" s="0" t="s">
        <v>130</v>
      </c>
      <c r="BH1769" s="0" t="s">
        <v>130</v>
      </c>
      <c r="BI1769" s="0" t="s">
        <v>130</v>
      </c>
      <c r="BJ1769" s="0" t="s">
        <v>130</v>
      </c>
      <c r="BK1769" s="0" t="s">
        <v>130</v>
      </c>
      <c r="BL1769" s="0" t="s">
        <v>130</v>
      </c>
      <c r="BM1769" s="0" t="s">
        <v>130</v>
      </c>
      <c r="BN1769" s="0" t="s">
        <v>130</v>
      </c>
      <c r="BO1769" s="0" t="s">
        <v>130</v>
      </c>
      <c r="BP1769" s="0" t="s">
        <v>130</v>
      </c>
      <c r="BQ1769" s="0" t="s">
        <v>130</v>
      </c>
      <c r="BR1769" s="0" t="s">
        <v>130</v>
      </c>
      <c r="BS1769" s="0" t="s">
        <v>130</v>
      </c>
      <c r="BT1769" s="0" t="s">
        <v>130</v>
      </c>
      <c r="BU1769" s="0" t="s">
        <v>130</v>
      </c>
      <c r="BV1769" s="0" t="s">
        <v>130</v>
      </c>
      <c r="BW1769" s="0" t="s">
        <v>130</v>
      </c>
      <c r="BX1769" s="0" t="s">
        <v>130</v>
      </c>
      <c r="BY1769" s="0" t="s">
        <v>130</v>
      </c>
      <c r="BZ1769" s="0" t="s">
        <v>130</v>
      </c>
      <c r="CA1769" s="0" t="s">
        <v>130</v>
      </c>
      <c r="CB1769" s="0" t="s">
        <v>130</v>
      </c>
      <c r="CC1769" s="0" t="s">
        <v>130</v>
      </c>
      <c r="CD1769" s="0" t="s">
        <v>130</v>
      </c>
      <c r="CE1769" s="0" t="s">
        <v>130</v>
      </c>
      <c r="CF1769" s="0" t="s">
        <v>130</v>
      </c>
      <c r="CG1769" s="0" t="s">
        <v>130</v>
      </c>
      <c r="CH1769" s="0" t="s">
        <v>130</v>
      </c>
      <c r="CI1769" s="0" t="s">
        <v>130</v>
      </c>
      <c r="CJ1769" s="0" t="s">
        <v>130</v>
      </c>
      <c r="CK1769" s="0" t="s">
        <v>130</v>
      </c>
      <c r="CL1769" s="0" t="s">
        <v>130</v>
      </c>
      <c r="CM1769" s="0" t="s">
        <v>130</v>
      </c>
      <c r="CN1769" s="0" t="s">
        <v>130</v>
      </c>
      <c r="CO1769" s="0" t="s">
        <v>130</v>
      </c>
      <c r="CP1769" s="0" t="s">
        <v>130</v>
      </c>
      <c r="CQ1769" s="0" t="s">
        <v>130</v>
      </c>
      <c r="CR1769" s="0" t="s">
        <v>130</v>
      </c>
      <c r="CS1769" s="0" t="s">
        <v>130</v>
      </c>
      <c r="CT1769" s="0" t="s">
        <v>5054</v>
      </c>
    </row>
    <row r="1770">
      <c r="A1770" s="14">
        <v>376102</v>
      </c>
      <c r="B1770" s="0" t="s">
        <v>3751</v>
      </c>
      <c r="C1770" s="16">
        <f>HYPERLINK("https://eosportal.federatedhermes.com/companies/Q29tcGFueQppNTU3NDY=", "Carter's Inc")</f>
      </c>
      <c r="D1770" s="0" t="s">
        <v>25</v>
      </c>
      <c r="E1770" s="0" t="s">
        <v>4529</v>
      </c>
      <c r="F1770" s="16">
        <f>HYPERLINK("https://eosportal.federatedhermes.com/engagements/RW5nYWdlbWVudAppMzA1Njg=", "Water")</f>
      </c>
      <c r="G1770" s="14" t="s">
        <v>5055</v>
      </c>
      <c r="H1770" s="0" t="s">
        <v>130</v>
      </c>
      <c r="I1770" s="14" t="s">
        <v>319</v>
      </c>
      <c r="J1770" s="0" t="s">
        <v>197</v>
      </c>
      <c r="K1770" s="0" t="s">
        <v>337</v>
      </c>
      <c r="L1770" s="0" t="s">
        <v>338</v>
      </c>
      <c r="M1770" s="0" t="s">
        <v>135</v>
      </c>
      <c r="N1770" s="0" t="s">
        <v>136</v>
      </c>
      <c r="O1770" s="0" t="s">
        <v>332</v>
      </c>
      <c r="Q1770" s="0" t="s">
        <v>141</v>
      </c>
      <c r="R1770" s="0" t="s">
        <v>138</v>
      </c>
      <c r="S1770" s="14">
        <v>1</v>
      </c>
      <c r="T1770" s="0" t="s">
        <v>231</v>
      </c>
      <c r="U1770" s="0" t="s">
        <v>138</v>
      </c>
      <c r="V1770" s="14" t="s">
        <v>138</v>
      </c>
      <c r="W1770" s="0" t="s">
        <v>138</v>
      </c>
      <c r="X1770" s="14" t="s">
        <v>138</v>
      </c>
      <c r="Y1770" s="0" t="s">
        <v>138</v>
      </c>
      <c r="Z1770" s="14" t="s">
        <v>138</v>
      </c>
      <c r="AA1770" s="0" t="s">
        <v>138</v>
      </c>
      <c r="AB1770" s="14" t="s">
        <v>138</v>
      </c>
      <c r="AD1770" s="0" t="s">
        <v>138</v>
      </c>
      <c r="AF1770" s="0">
        <v>0</v>
      </c>
      <c r="AG1770" s="0">
        <v>0</v>
      </c>
      <c r="AH1770" s="0" t="s">
        <v>140</v>
      </c>
      <c r="AI1770" s="0" t="s">
        <v>138</v>
      </c>
      <c r="AK1770" s="0" t="s">
        <v>3753</v>
      </c>
      <c r="AL1770" s="14"/>
      <c r="AN1770" s="14"/>
      <c r="AQ1770" s="0" t="s">
        <v>130</v>
      </c>
      <c r="AR1770" s="0" t="s">
        <v>130</v>
      </c>
      <c r="AS1770" s="0" t="s">
        <v>130</v>
      </c>
      <c r="AT1770" s="0" t="s">
        <v>130</v>
      </c>
      <c r="AU1770" s="0" t="s">
        <v>130</v>
      </c>
      <c r="AV1770" s="0" t="s">
        <v>141</v>
      </c>
      <c r="AW1770" s="0" t="s">
        <v>130</v>
      </c>
      <c r="AX1770" s="0" t="s">
        <v>130</v>
      </c>
      <c r="AY1770" s="0" t="s">
        <v>130</v>
      </c>
      <c r="AZ1770" s="0" t="s">
        <v>130</v>
      </c>
      <c r="BA1770" s="0" t="s">
        <v>130</v>
      </c>
      <c r="BB1770" s="0" t="s">
        <v>130</v>
      </c>
      <c r="BC1770" s="0" t="s">
        <v>130</v>
      </c>
      <c r="BD1770" s="0" t="s">
        <v>130</v>
      </c>
      <c r="BE1770" s="0" t="s">
        <v>130</v>
      </c>
      <c r="BF1770" s="0" t="s">
        <v>130</v>
      </c>
      <c r="BG1770" s="0" t="s">
        <v>130</v>
      </c>
      <c r="BH1770" s="0" t="s">
        <v>130</v>
      </c>
      <c r="BI1770" s="0" t="s">
        <v>130</v>
      </c>
      <c r="BJ1770" s="0" t="s">
        <v>130</v>
      </c>
      <c r="BK1770" s="0" t="s">
        <v>130</v>
      </c>
      <c r="BL1770" s="0" t="s">
        <v>130</v>
      </c>
      <c r="BM1770" s="0" t="s">
        <v>130</v>
      </c>
      <c r="BN1770" s="0" t="s">
        <v>130</v>
      </c>
      <c r="BO1770" s="0" t="s">
        <v>130</v>
      </c>
      <c r="BP1770" s="0" t="s">
        <v>130</v>
      </c>
      <c r="BQ1770" s="0" t="s">
        <v>130</v>
      </c>
      <c r="BR1770" s="0" t="s">
        <v>130</v>
      </c>
      <c r="BS1770" s="0" t="s">
        <v>130</v>
      </c>
      <c r="BT1770" s="0" t="s">
        <v>130</v>
      </c>
      <c r="BU1770" s="0" t="s">
        <v>130</v>
      </c>
      <c r="BV1770" s="0" t="s">
        <v>130</v>
      </c>
      <c r="BW1770" s="0" t="s">
        <v>130</v>
      </c>
      <c r="BX1770" s="0" t="s">
        <v>141</v>
      </c>
      <c r="BY1770" s="0" t="s">
        <v>130</v>
      </c>
      <c r="BZ1770" s="0" t="s">
        <v>130</v>
      </c>
      <c r="CA1770" s="0" t="s">
        <v>130</v>
      </c>
      <c r="CB1770" s="0" t="s">
        <v>130</v>
      </c>
      <c r="CC1770" s="0" t="s">
        <v>130</v>
      </c>
      <c r="CD1770" s="0" t="s">
        <v>130</v>
      </c>
      <c r="CE1770" s="0" t="s">
        <v>130</v>
      </c>
      <c r="CF1770" s="0" t="s">
        <v>130</v>
      </c>
      <c r="CG1770" s="0" t="s">
        <v>130</v>
      </c>
      <c r="CH1770" s="0" t="s">
        <v>130</v>
      </c>
      <c r="CI1770" s="0" t="s">
        <v>130</v>
      </c>
      <c r="CJ1770" s="0" t="s">
        <v>130</v>
      </c>
      <c r="CK1770" s="0" t="s">
        <v>130</v>
      </c>
      <c r="CL1770" s="0" t="s">
        <v>130</v>
      </c>
      <c r="CM1770" s="0" t="s">
        <v>130</v>
      </c>
      <c r="CN1770" s="0" t="s">
        <v>130</v>
      </c>
      <c r="CO1770" s="0" t="s">
        <v>130</v>
      </c>
      <c r="CP1770" s="0" t="s">
        <v>130</v>
      </c>
      <c r="CQ1770" s="0" t="s">
        <v>130</v>
      </c>
      <c r="CR1770" s="0" t="s">
        <v>130</v>
      </c>
      <c r="CS1770" s="0" t="s">
        <v>130</v>
      </c>
      <c r="CT1770" s="0" t="s">
        <v>5056</v>
      </c>
    </row>
    <row r="1771">
      <c r="A1771" s="14">
        <v>156276</v>
      </c>
      <c r="B1771" s="0" t="s">
        <v>4955</v>
      </c>
      <c r="C1771" s="16">
        <f>HYPERLINK("https://eosportal.federatedhermes.com/companies/Q29tcGFueQppNTY2Njc=", "Lonza Group AG")</f>
      </c>
      <c r="D1771" s="0" t="s">
        <v>25</v>
      </c>
      <c r="E1771" s="0" t="s">
        <v>912</v>
      </c>
      <c r="F1771" s="16">
        <f>HYPERLINK("https://eosportal.federatedhermes.com/engagements/RW5nYWdlbWVudAppMzA1NzM=", "Executive remuneration")</f>
      </c>
      <c r="G1771" s="14" t="s">
        <v>5057</v>
      </c>
      <c r="H1771" s="0" t="s">
        <v>130</v>
      </c>
      <c r="I1771" s="14" t="s">
        <v>319</v>
      </c>
      <c r="J1771" s="0" t="s">
        <v>145</v>
      </c>
      <c r="K1771" s="0" t="s">
        <v>146</v>
      </c>
      <c r="L1771" s="0" t="s">
        <v>147</v>
      </c>
      <c r="M1771" s="0" t="s">
        <v>378</v>
      </c>
      <c r="N1771" s="0" t="s">
        <v>1059</v>
      </c>
      <c r="O1771" s="0" t="s">
        <v>274</v>
      </c>
      <c r="Q1771" s="0" t="s">
        <v>130</v>
      </c>
      <c r="R1771" s="0" t="s">
        <v>138</v>
      </c>
      <c r="S1771" s="14">
        <v>0</v>
      </c>
      <c r="T1771" s="0" t="s">
        <v>231</v>
      </c>
      <c r="U1771" s="0" t="s">
        <v>138</v>
      </c>
      <c r="V1771" s="14" t="s">
        <v>138</v>
      </c>
      <c r="W1771" s="0" t="s">
        <v>138</v>
      </c>
      <c r="X1771" s="14" t="s">
        <v>138</v>
      </c>
      <c r="Y1771" s="0" t="s">
        <v>138</v>
      </c>
      <c r="Z1771" s="14" t="s">
        <v>138</v>
      </c>
      <c r="AA1771" s="0" t="s">
        <v>138</v>
      </c>
      <c r="AB1771" s="14" t="s">
        <v>138</v>
      </c>
      <c r="AD1771" s="0" t="s">
        <v>138</v>
      </c>
      <c r="AF1771" s="0">
        <v>0</v>
      </c>
      <c r="AG1771" s="0">
        <v>0</v>
      </c>
      <c r="AH1771" s="0" t="s">
        <v>140</v>
      </c>
      <c r="AI1771" s="0" t="s">
        <v>138</v>
      </c>
      <c r="AL1771" s="14"/>
      <c r="AN1771" s="14"/>
      <c r="AQ1771" s="0" t="s">
        <v>130</v>
      </c>
      <c r="AR1771" s="0" t="s">
        <v>130</v>
      </c>
      <c r="AS1771" s="0" t="s">
        <v>130</v>
      </c>
      <c r="AT1771" s="0" t="s">
        <v>130</v>
      </c>
      <c r="AU1771" s="0" t="s">
        <v>130</v>
      </c>
      <c r="AV1771" s="0" t="s">
        <v>130</v>
      </c>
      <c r="AW1771" s="0" t="s">
        <v>130</v>
      </c>
      <c r="AX1771" s="0" t="s">
        <v>130</v>
      </c>
      <c r="AY1771" s="0" t="s">
        <v>130</v>
      </c>
      <c r="AZ1771" s="0" t="s">
        <v>130</v>
      </c>
      <c r="BA1771" s="0" t="s">
        <v>130</v>
      </c>
      <c r="BB1771" s="0" t="s">
        <v>130</v>
      </c>
      <c r="BC1771" s="0" t="s">
        <v>130</v>
      </c>
      <c r="BD1771" s="0" t="s">
        <v>130</v>
      </c>
      <c r="BE1771" s="0" t="s">
        <v>130</v>
      </c>
      <c r="BF1771" s="0" t="s">
        <v>130</v>
      </c>
      <c r="BG1771" s="0" t="s">
        <v>130</v>
      </c>
      <c r="BH1771" s="0" t="s">
        <v>130</v>
      </c>
      <c r="BI1771" s="0" t="s">
        <v>130</v>
      </c>
      <c r="BJ1771" s="0" t="s">
        <v>130</v>
      </c>
      <c r="BK1771" s="0" t="s">
        <v>130</v>
      </c>
      <c r="BL1771" s="0" t="s">
        <v>130</v>
      </c>
      <c r="BM1771" s="0" t="s">
        <v>130</v>
      </c>
      <c r="BN1771" s="0" t="s">
        <v>130</v>
      </c>
      <c r="BO1771" s="0" t="s">
        <v>130</v>
      </c>
      <c r="BP1771" s="0" t="s">
        <v>130</v>
      </c>
      <c r="BQ1771" s="0" t="s">
        <v>130</v>
      </c>
      <c r="BR1771" s="0" t="s">
        <v>130</v>
      </c>
      <c r="BS1771" s="0" t="s">
        <v>130</v>
      </c>
      <c r="BT1771" s="0" t="s">
        <v>130</v>
      </c>
      <c r="BU1771" s="0" t="s">
        <v>130</v>
      </c>
      <c r="BV1771" s="0" t="s">
        <v>130</v>
      </c>
      <c r="BW1771" s="0" t="s">
        <v>130</v>
      </c>
      <c r="BX1771" s="0" t="s">
        <v>130</v>
      </c>
      <c r="BY1771" s="0" t="s">
        <v>130</v>
      </c>
      <c r="BZ1771" s="0" t="s">
        <v>130</v>
      </c>
      <c r="CA1771" s="0" t="s">
        <v>130</v>
      </c>
      <c r="CB1771" s="0" t="s">
        <v>130</v>
      </c>
      <c r="CC1771" s="0" t="s">
        <v>130</v>
      </c>
      <c r="CD1771" s="0" t="s">
        <v>130</v>
      </c>
      <c r="CE1771" s="0" t="s">
        <v>130</v>
      </c>
      <c r="CF1771" s="0" t="s">
        <v>130</v>
      </c>
      <c r="CG1771" s="0" t="s">
        <v>130</v>
      </c>
      <c r="CH1771" s="0" t="s">
        <v>130</v>
      </c>
      <c r="CI1771" s="0" t="s">
        <v>130</v>
      </c>
      <c r="CJ1771" s="0" t="s">
        <v>130</v>
      </c>
      <c r="CK1771" s="0" t="s">
        <v>130</v>
      </c>
      <c r="CL1771" s="0" t="s">
        <v>130</v>
      </c>
      <c r="CM1771" s="0" t="s">
        <v>130</v>
      </c>
      <c r="CN1771" s="0" t="s">
        <v>130</v>
      </c>
      <c r="CO1771" s="0" t="s">
        <v>130</v>
      </c>
      <c r="CP1771" s="0" t="s">
        <v>130</v>
      </c>
      <c r="CQ1771" s="0" t="s">
        <v>130</v>
      </c>
      <c r="CR1771" s="0" t="s">
        <v>130</v>
      </c>
      <c r="CS1771" s="0" t="s">
        <v>130</v>
      </c>
      <c r="CT1771" s="0" t="s">
        <v>5058</v>
      </c>
    </row>
    <row r="1772">
      <c r="A1772" s="14">
        <v>117976</v>
      </c>
      <c r="B1772" s="0" t="s">
        <v>4944</v>
      </c>
      <c r="C1772" s="16">
        <f>HYPERLINK("https://eosportal.federatedhermes.com/companies/Q29tcGFueQppNTg5MTU=", "Sika AG")</f>
      </c>
      <c r="D1772" s="0" t="s">
        <v>25</v>
      </c>
      <c r="E1772" s="0" t="s">
        <v>341</v>
      </c>
      <c r="F1772" s="16">
        <f>HYPERLINK("https://eosportal.federatedhermes.com/engagements/RW5nYWdlbWVudAppMzA1ODM=", "Remuneration")</f>
      </c>
      <c r="G1772" s="14" t="s">
        <v>5059</v>
      </c>
      <c r="H1772" s="0" t="s">
        <v>141</v>
      </c>
      <c r="I1772" s="14" t="s">
        <v>191</v>
      </c>
      <c r="J1772" s="0" t="s">
        <v>145</v>
      </c>
      <c r="K1772" s="0" t="s">
        <v>146</v>
      </c>
      <c r="L1772" s="0" t="s">
        <v>147</v>
      </c>
      <c r="M1772" s="0" t="s">
        <v>378</v>
      </c>
      <c r="N1772" s="0" t="s">
        <v>1059</v>
      </c>
      <c r="O1772" s="0" t="s">
        <v>706</v>
      </c>
      <c r="Q1772" s="0" t="s">
        <v>130</v>
      </c>
      <c r="R1772" s="0" t="s">
        <v>138</v>
      </c>
      <c r="S1772" s="14">
        <v>0</v>
      </c>
      <c r="T1772" s="0" t="s">
        <v>583</v>
      </c>
      <c r="U1772" s="0" t="s">
        <v>138</v>
      </c>
      <c r="V1772" s="14" t="s">
        <v>138</v>
      </c>
      <c r="W1772" s="0" t="s">
        <v>138</v>
      </c>
      <c r="X1772" s="14" t="s">
        <v>138</v>
      </c>
      <c r="Y1772" s="0" t="s">
        <v>138</v>
      </c>
      <c r="Z1772" s="14" t="s">
        <v>138</v>
      </c>
      <c r="AA1772" s="0" t="s">
        <v>138</v>
      </c>
      <c r="AB1772" s="14" t="s">
        <v>138</v>
      </c>
      <c r="AD1772" s="0" t="s">
        <v>138</v>
      </c>
      <c r="AF1772" s="0">
        <v>0</v>
      </c>
      <c r="AG1772" s="0">
        <v>0</v>
      </c>
      <c r="AH1772" s="0" t="s">
        <v>140</v>
      </c>
      <c r="AI1772" s="0" t="s">
        <v>138</v>
      </c>
      <c r="AL1772" s="14"/>
      <c r="AN1772" s="14"/>
      <c r="AQ1772" s="0" t="s">
        <v>130</v>
      </c>
      <c r="AR1772" s="0" t="s">
        <v>130</v>
      </c>
      <c r="AS1772" s="0" t="s">
        <v>130</v>
      </c>
      <c r="AT1772" s="0" t="s">
        <v>130</v>
      </c>
      <c r="AU1772" s="0" t="s">
        <v>130</v>
      </c>
      <c r="AV1772" s="0" t="s">
        <v>130</v>
      </c>
      <c r="AW1772" s="0" t="s">
        <v>130</v>
      </c>
      <c r="AX1772" s="0" t="s">
        <v>130</v>
      </c>
      <c r="AY1772" s="0" t="s">
        <v>130</v>
      </c>
      <c r="AZ1772" s="0" t="s">
        <v>130</v>
      </c>
      <c r="BA1772" s="0" t="s">
        <v>130</v>
      </c>
      <c r="BB1772" s="0" t="s">
        <v>130</v>
      </c>
      <c r="BC1772" s="0" t="s">
        <v>130</v>
      </c>
      <c r="BD1772" s="0" t="s">
        <v>130</v>
      </c>
      <c r="BE1772" s="0" t="s">
        <v>130</v>
      </c>
      <c r="BF1772" s="0" t="s">
        <v>130</v>
      </c>
      <c r="BG1772" s="0" t="s">
        <v>130</v>
      </c>
      <c r="BH1772" s="0" t="s">
        <v>130</v>
      </c>
      <c r="BI1772" s="0" t="s">
        <v>130</v>
      </c>
      <c r="BJ1772" s="0" t="s">
        <v>130</v>
      </c>
      <c r="BK1772" s="0" t="s">
        <v>130</v>
      </c>
      <c r="BL1772" s="0" t="s">
        <v>130</v>
      </c>
      <c r="BM1772" s="0" t="s">
        <v>130</v>
      </c>
      <c r="BN1772" s="0" t="s">
        <v>130</v>
      </c>
      <c r="BO1772" s="0" t="s">
        <v>130</v>
      </c>
      <c r="BP1772" s="0" t="s">
        <v>130</v>
      </c>
      <c r="BQ1772" s="0" t="s">
        <v>130</v>
      </c>
      <c r="BR1772" s="0" t="s">
        <v>130</v>
      </c>
      <c r="BS1772" s="0" t="s">
        <v>130</v>
      </c>
      <c r="BT1772" s="0" t="s">
        <v>130</v>
      </c>
      <c r="BU1772" s="0" t="s">
        <v>130</v>
      </c>
      <c r="BV1772" s="0" t="s">
        <v>130</v>
      </c>
      <c r="BW1772" s="0" t="s">
        <v>130</v>
      </c>
      <c r="BX1772" s="0" t="s">
        <v>130</v>
      </c>
      <c r="BY1772" s="0" t="s">
        <v>130</v>
      </c>
      <c r="BZ1772" s="0" t="s">
        <v>130</v>
      </c>
      <c r="CA1772" s="0" t="s">
        <v>130</v>
      </c>
      <c r="CB1772" s="0" t="s">
        <v>130</v>
      </c>
      <c r="CC1772" s="0" t="s">
        <v>130</v>
      </c>
      <c r="CD1772" s="0" t="s">
        <v>130</v>
      </c>
      <c r="CE1772" s="0" t="s">
        <v>130</v>
      </c>
      <c r="CF1772" s="0" t="s">
        <v>130</v>
      </c>
      <c r="CG1772" s="0" t="s">
        <v>130</v>
      </c>
      <c r="CH1772" s="0" t="s">
        <v>130</v>
      </c>
      <c r="CI1772" s="0" t="s">
        <v>130</v>
      </c>
      <c r="CJ1772" s="0" t="s">
        <v>130</v>
      </c>
      <c r="CK1772" s="0" t="s">
        <v>130</v>
      </c>
      <c r="CL1772" s="0" t="s">
        <v>130</v>
      </c>
      <c r="CM1772" s="0" t="s">
        <v>130</v>
      </c>
      <c r="CN1772" s="0" t="s">
        <v>130</v>
      </c>
      <c r="CO1772" s="0" t="s">
        <v>130</v>
      </c>
      <c r="CP1772" s="0" t="s">
        <v>130</v>
      </c>
      <c r="CQ1772" s="0" t="s">
        <v>130</v>
      </c>
      <c r="CR1772" s="0" t="s">
        <v>130</v>
      </c>
      <c r="CS1772" s="0" t="s">
        <v>130</v>
      </c>
      <c r="CT1772" s="0" t="s">
        <v>5060</v>
      </c>
    </row>
    <row r="1773">
      <c r="A1773" s="14">
        <v>101758</v>
      </c>
      <c r="B1773" s="0" t="s">
        <v>1952</v>
      </c>
      <c r="C1773" s="16">
        <f>HYPERLINK("https://eosportal.federatedhermes.com/companies/Q29tcGFueQppNTg5MzI=", "Costco Wholesale Corp")</f>
      </c>
      <c r="D1773" s="0" t="s">
        <v>25</v>
      </c>
      <c r="E1773" s="0" t="s">
        <v>3381</v>
      </c>
      <c r="F1773" s="16">
        <f>HYPERLINK("https://eosportal.federatedhermes.com/engagements/RW5nYWdlbWVudAppMzA1ODY=", "Carbon reduction targets")</f>
      </c>
      <c r="G1773" s="14" t="s">
        <v>5061</v>
      </c>
      <c r="H1773" s="0" t="s">
        <v>141</v>
      </c>
      <c r="I1773" s="14" t="s">
        <v>636</v>
      </c>
      <c r="J1773" s="0" t="s">
        <v>197</v>
      </c>
      <c r="K1773" s="0" t="s">
        <v>198</v>
      </c>
      <c r="L1773" s="0" t="s">
        <v>216</v>
      </c>
      <c r="M1773" s="0" t="s">
        <v>135</v>
      </c>
      <c r="N1773" s="0" t="s">
        <v>136</v>
      </c>
      <c r="O1773" s="0" t="s">
        <v>643</v>
      </c>
      <c r="Q1773" s="0" t="s">
        <v>130</v>
      </c>
      <c r="R1773" s="0" t="s">
        <v>138</v>
      </c>
      <c r="S1773" s="14">
        <v>0</v>
      </c>
      <c r="T1773" s="0" t="s">
        <v>583</v>
      </c>
      <c r="U1773" s="0" t="s">
        <v>138</v>
      </c>
      <c r="V1773" s="14" t="s">
        <v>138</v>
      </c>
      <c r="W1773" s="0" t="s">
        <v>138</v>
      </c>
      <c r="X1773" s="14" t="s">
        <v>138</v>
      </c>
      <c r="Y1773" s="0" t="s">
        <v>138</v>
      </c>
      <c r="Z1773" s="14" t="s">
        <v>138</v>
      </c>
      <c r="AA1773" s="0" t="s">
        <v>138</v>
      </c>
      <c r="AB1773" s="14" t="s">
        <v>138</v>
      </c>
      <c r="AD1773" s="0" t="s">
        <v>138</v>
      </c>
      <c r="AF1773" s="0">
        <v>0</v>
      </c>
      <c r="AG1773" s="0">
        <v>0</v>
      </c>
      <c r="AH1773" s="0" t="s">
        <v>140</v>
      </c>
      <c r="AI1773" s="0" t="s">
        <v>138</v>
      </c>
      <c r="AL1773" s="14"/>
      <c r="AN1773" s="14"/>
      <c r="AQ1773" s="0" t="s">
        <v>130</v>
      </c>
      <c r="AR1773" s="0" t="s">
        <v>130</v>
      </c>
      <c r="AS1773" s="0" t="s">
        <v>130</v>
      </c>
      <c r="AT1773" s="0" t="s">
        <v>130</v>
      </c>
      <c r="AU1773" s="0" t="s">
        <v>130</v>
      </c>
      <c r="AV1773" s="0" t="s">
        <v>130</v>
      </c>
      <c r="AW1773" s="0" t="s">
        <v>141</v>
      </c>
      <c r="AX1773" s="0" t="s">
        <v>130</v>
      </c>
      <c r="AY1773" s="0" t="s">
        <v>130</v>
      </c>
      <c r="AZ1773" s="0" t="s">
        <v>130</v>
      </c>
      <c r="BA1773" s="0" t="s">
        <v>130</v>
      </c>
      <c r="BB1773" s="0" t="s">
        <v>130</v>
      </c>
      <c r="BC1773" s="0" t="s">
        <v>141</v>
      </c>
      <c r="BD1773" s="0" t="s">
        <v>130</v>
      </c>
      <c r="BE1773" s="0" t="s">
        <v>130</v>
      </c>
      <c r="BF1773" s="0" t="s">
        <v>130</v>
      </c>
      <c r="BG1773" s="0" t="s">
        <v>130</v>
      </c>
      <c r="BH1773" s="0" t="s">
        <v>141</v>
      </c>
      <c r="BI1773" s="0" t="s">
        <v>141</v>
      </c>
      <c r="BJ1773" s="0" t="s">
        <v>141</v>
      </c>
      <c r="BK1773" s="0" t="s">
        <v>130</v>
      </c>
      <c r="BL1773" s="0" t="s">
        <v>130</v>
      </c>
      <c r="BM1773" s="0" t="s">
        <v>130</v>
      </c>
      <c r="BN1773" s="0" t="s">
        <v>130</v>
      </c>
      <c r="BO1773" s="0" t="s">
        <v>130</v>
      </c>
      <c r="BP1773" s="0" t="s">
        <v>130</v>
      </c>
      <c r="BQ1773" s="0" t="s">
        <v>130</v>
      </c>
      <c r="BR1773" s="0" t="s">
        <v>130</v>
      </c>
      <c r="BS1773" s="0" t="s">
        <v>130</v>
      </c>
      <c r="BT1773" s="0" t="s">
        <v>130</v>
      </c>
      <c r="BU1773" s="0" t="s">
        <v>130</v>
      </c>
      <c r="BV1773" s="0" t="s">
        <v>141</v>
      </c>
      <c r="BW1773" s="0" t="s">
        <v>141</v>
      </c>
      <c r="BX1773" s="0" t="s">
        <v>130</v>
      </c>
      <c r="BY1773" s="0" t="s">
        <v>130</v>
      </c>
      <c r="BZ1773" s="0" t="s">
        <v>130</v>
      </c>
      <c r="CA1773" s="0" t="s">
        <v>130</v>
      </c>
      <c r="CB1773" s="0" t="s">
        <v>130</v>
      </c>
      <c r="CC1773" s="0" t="s">
        <v>130</v>
      </c>
      <c r="CD1773" s="0" t="s">
        <v>130</v>
      </c>
      <c r="CE1773" s="0" t="s">
        <v>130</v>
      </c>
      <c r="CF1773" s="0" t="s">
        <v>130</v>
      </c>
      <c r="CG1773" s="0" t="s">
        <v>130</v>
      </c>
      <c r="CH1773" s="0" t="s">
        <v>130</v>
      </c>
      <c r="CI1773" s="0" t="s">
        <v>130</v>
      </c>
      <c r="CJ1773" s="0" t="s">
        <v>130</v>
      </c>
      <c r="CK1773" s="0" t="s">
        <v>130</v>
      </c>
      <c r="CL1773" s="0" t="s">
        <v>130</v>
      </c>
      <c r="CM1773" s="0" t="s">
        <v>130</v>
      </c>
      <c r="CN1773" s="0" t="s">
        <v>130</v>
      </c>
      <c r="CO1773" s="0" t="s">
        <v>130</v>
      </c>
      <c r="CP1773" s="0" t="s">
        <v>130</v>
      </c>
      <c r="CQ1773" s="0" t="s">
        <v>130</v>
      </c>
      <c r="CR1773" s="0" t="s">
        <v>130</v>
      </c>
      <c r="CS1773" s="0" t="s">
        <v>130</v>
      </c>
      <c r="CT1773" s="0" t="s">
        <v>5062</v>
      </c>
    </row>
    <row r="1774">
      <c r="A1774" s="14">
        <v>101661</v>
      </c>
      <c r="B1774" s="0" t="s">
        <v>1793</v>
      </c>
      <c r="C1774" s="16">
        <f>HYPERLINK("https://eosportal.federatedhermes.com/companies/Q29tcGFueQppNTg5ODA=", "Williams Cos Inc/The")</f>
      </c>
      <c r="D1774" s="0" t="s">
        <v>25</v>
      </c>
      <c r="E1774" s="0" t="s">
        <v>821</v>
      </c>
      <c r="F1774" s="16">
        <f>HYPERLINK("https://eosportal.federatedhermes.com/engagements/RW5nYWdlbWVudAppMzA1OTc=", "Board Diversity")</f>
      </c>
      <c r="G1774" s="14" t="s">
        <v>5063</v>
      </c>
      <c r="H1774" s="0" t="s">
        <v>130</v>
      </c>
      <c r="I1774" s="14" t="s">
        <v>131</v>
      </c>
      <c r="J1774" s="0" t="s">
        <v>145</v>
      </c>
      <c r="K1774" s="0" t="s">
        <v>164</v>
      </c>
      <c r="L1774" s="0" t="s">
        <v>165</v>
      </c>
      <c r="M1774" s="0" t="s">
        <v>135</v>
      </c>
      <c r="N1774" s="0" t="s">
        <v>136</v>
      </c>
      <c r="O1774" s="0" t="s">
        <v>542</v>
      </c>
      <c r="Q1774" s="0" t="s">
        <v>130</v>
      </c>
      <c r="R1774" s="0" t="s">
        <v>138</v>
      </c>
      <c r="S1774" s="14">
        <v>0</v>
      </c>
      <c r="T1774" s="0" t="s">
        <v>231</v>
      </c>
      <c r="U1774" s="0" t="s">
        <v>138</v>
      </c>
      <c r="V1774" s="14" t="s">
        <v>138</v>
      </c>
      <c r="W1774" s="0" t="s">
        <v>138</v>
      </c>
      <c r="X1774" s="14" t="s">
        <v>138</v>
      </c>
      <c r="Y1774" s="0" t="s">
        <v>138</v>
      </c>
      <c r="Z1774" s="14" t="s">
        <v>138</v>
      </c>
      <c r="AA1774" s="0" t="s">
        <v>138</v>
      </c>
      <c r="AB1774" s="14" t="s">
        <v>138</v>
      </c>
      <c r="AD1774" s="0" t="s">
        <v>138</v>
      </c>
      <c r="AF1774" s="0">
        <v>0</v>
      </c>
      <c r="AG1774" s="0">
        <v>0</v>
      </c>
      <c r="AH1774" s="0" t="s">
        <v>140</v>
      </c>
      <c r="AI1774" s="0" t="s">
        <v>138</v>
      </c>
      <c r="AL1774" s="14"/>
      <c r="AN1774" s="14"/>
      <c r="AQ1774" s="0" t="s">
        <v>130</v>
      </c>
      <c r="AR1774" s="0" t="s">
        <v>130</v>
      </c>
      <c r="AS1774" s="0" t="s">
        <v>130</v>
      </c>
      <c r="AT1774" s="0" t="s">
        <v>130</v>
      </c>
      <c r="AU1774" s="0" t="s">
        <v>141</v>
      </c>
      <c r="AV1774" s="0" t="s">
        <v>130</v>
      </c>
      <c r="AW1774" s="0" t="s">
        <v>130</v>
      </c>
      <c r="AX1774" s="0" t="s">
        <v>130</v>
      </c>
      <c r="AY1774" s="0" t="s">
        <v>130</v>
      </c>
      <c r="AZ1774" s="0" t="s">
        <v>141</v>
      </c>
      <c r="BA1774" s="0" t="s">
        <v>130</v>
      </c>
      <c r="BB1774" s="0" t="s">
        <v>130</v>
      </c>
      <c r="BC1774" s="0" t="s">
        <v>130</v>
      </c>
      <c r="BD1774" s="0" t="s">
        <v>130</v>
      </c>
      <c r="BE1774" s="0" t="s">
        <v>130</v>
      </c>
      <c r="BF1774" s="0" t="s">
        <v>130</v>
      </c>
      <c r="BG1774" s="0" t="s">
        <v>130</v>
      </c>
      <c r="BH1774" s="0" t="s">
        <v>130</v>
      </c>
      <c r="BI1774" s="0" t="s">
        <v>130</v>
      </c>
      <c r="BJ1774" s="0" t="s">
        <v>130</v>
      </c>
      <c r="BK1774" s="0" t="s">
        <v>130</v>
      </c>
      <c r="BL1774" s="0" t="s">
        <v>130</v>
      </c>
      <c r="BM1774" s="0" t="s">
        <v>130</v>
      </c>
      <c r="BN1774" s="0" t="s">
        <v>130</v>
      </c>
      <c r="BO1774" s="0" t="s">
        <v>130</v>
      </c>
      <c r="BP1774" s="0" t="s">
        <v>130</v>
      </c>
      <c r="BQ1774" s="0" t="s">
        <v>130</v>
      </c>
      <c r="BR1774" s="0" t="s">
        <v>130</v>
      </c>
      <c r="BS1774" s="0" t="s">
        <v>130</v>
      </c>
      <c r="BT1774" s="0" t="s">
        <v>130</v>
      </c>
      <c r="BU1774" s="0" t="s">
        <v>130</v>
      </c>
      <c r="BV1774" s="0" t="s">
        <v>130</v>
      </c>
      <c r="BW1774" s="0" t="s">
        <v>130</v>
      </c>
      <c r="BX1774" s="0" t="s">
        <v>130</v>
      </c>
      <c r="BY1774" s="0" t="s">
        <v>130</v>
      </c>
      <c r="BZ1774" s="0" t="s">
        <v>130</v>
      </c>
      <c r="CA1774" s="0" t="s">
        <v>130</v>
      </c>
      <c r="CB1774" s="0" t="s">
        <v>130</v>
      </c>
      <c r="CC1774" s="0" t="s">
        <v>130</v>
      </c>
      <c r="CD1774" s="0" t="s">
        <v>130</v>
      </c>
      <c r="CE1774" s="0" t="s">
        <v>130</v>
      </c>
      <c r="CF1774" s="0" t="s">
        <v>130</v>
      </c>
      <c r="CG1774" s="0" t="s">
        <v>130</v>
      </c>
      <c r="CH1774" s="0" t="s">
        <v>130</v>
      </c>
      <c r="CI1774" s="0" t="s">
        <v>130</v>
      </c>
      <c r="CJ1774" s="0" t="s">
        <v>130</v>
      </c>
      <c r="CK1774" s="0" t="s">
        <v>130</v>
      </c>
      <c r="CL1774" s="0" t="s">
        <v>130</v>
      </c>
      <c r="CM1774" s="0" t="s">
        <v>130</v>
      </c>
      <c r="CN1774" s="0" t="s">
        <v>130</v>
      </c>
      <c r="CO1774" s="0" t="s">
        <v>130</v>
      </c>
      <c r="CP1774" s="0" t="s">
        <v>130</v>
      </c>
      <c r="CQ1774" s="0" t="s">
        <v>130</v>
      </c>
      <c r="CR1774" s="0" t="s">
        <v>130</v>
      </c>
      <c r="CS1774" s="0" t="s">
        <v>130</v>
      </c>
      <c r="CT1774" s="0" t="s">
        <v>5064</v>
      </c>
    </row>
    <row r="1775">
      <c r="A1775" s="14">
        <v>101214</v>
      </c>
      <c r="B1775" s="0" t="s">
        <v>1420</v>
      </c>
      <c r="C1775" s="16">
        <f>HYPERLINK("https://eosportal.federatedhermes.com/companies/Q29tcGFueQppNTg5OTE=", "Citigroup Inc")</f>
      </c>
      <c r="D1775" s="0" t="s">
        <v>25</v>
      </c>
      <c r="E1775" s="0" t="s">
        <v>5010</v>
      </c>
      <c r="F1775" s="16">
        <f>HYPERLINK("https://eosportal.federatedhermes.com/engagements/RW5nYWdlbWVudAppMzA1OTk=", "Russia-Ukraine Conflict")</f>
      </c>
      <c r="G1775" s="14" t="s">
        <v>5065</v>
      </c>
      <c r="H1775" s="0" t="s">
        <v>141</v>
      </c>
      <c r="I1775" s="14" t="s">
        <v>191</v>
      </c>
      <c r="J1775" s="0" t="s">
        <v>153</v>
      </c>
      <c r="K1775" s="0" t="s">
        <v>243</v>
      </c>
      <c r="L1775" s="0" t="s">
        <v>456</v>
      </c>
      <c r="M1775" s="0" t="s">
        <v>135</v>
      </c>
      <c r="N1775" s="0" t="s">
        <v>136</v>
      </c>
      <c r="O1775" s="0" t="s">
        <v>238</v>
      </c>
      <c r="Q1775" s="0" t="s">
        <v>130</v>
      </c>
      <c r="R1775" s="0" t="s">
        <v>138</v>
      </c>
      <c r="S1775" s="14">
        <v>0</v>
      </c>
      <c r="T1775" s="0" t="s">
        <v>583</v>
      </c>
      <c r="U1775" s="0" t="s">
        <v>138</v>
      </c>
      <c r="V1775" s="14" t="s">
        <v>138</v>
      </c>
      <c r="W1775" s="0" t="s">
        <v>138</v>
      </c>
      <c r="X1775" s="14" t="s">
        <v>138</v>
      </c>
      <c r="Y1775" s="0" t="s">
        <v>138</v>
      </c>
      <c r="Z1775" s="14" t="s">
        <v>138</v>
      </c>
      <c r="AA1775" s="0" t="s">
        <v>138</v>
      </c>
      <c r="AB1775" s="14" t="s">
        <v>138</v>
      </c>
      <c r="AD1775" s="0" t="s">
        <v>138</v>
      </c>
      <c r="AF1775" s="0">
        <v>0</v>
      </c>
      <c r="AG1775" s="0">
        <v>0</v>
      </c>
      <c r="AH1775" s="0" t="s">
        <v>140</v>
      </c>
      <c r="AI1775" s="0" t="s">
        <v>138</v>
      </c>
      <c r="AL1775" s="14"/>
      <c r="AN1775" s="14"/>
      <c r="AQ1775" s="0" t="s">
        <v>130</v>
      </c>
      <c r="AR1775" s="0" t="s">
        <v>130</v>
      </c>
      <c r="AS1775" s="0" t="s">
        <v>130</v>
      </c>
      <c r="AT1775" s="0" t="s">
        <v>130</v>
      </c>
      <c r="AU1775" s="0" t="s">
        <v>130</v>
      </c>
      <c r="AV1775" s="0" t="s">
        <v>130</v>
      </c>
      <c r="AW1775" s="0" t="s">
        <v>130</v>
      </c>
      <c r="AX1775" s="0" t="s">
        <v>141</v>
      </c>
      <c r="AY1775" s="0" t="s">
        <v>130</v>
      </c>
      <c r="AZ1775" s="0" t="s">
        <v>130</v>
      </c>
      <c r="BA1775" s="0" t="s">
        <v>130</v>
      </c>
      <c r="BB1775" s="0" t="s">
        <v>130</v>
      </c>
      <c r="BC1775" s="0" t="s">
        <v>130</v>
      </c>
      <c r="BD1775" s="0" t="s">
        <v>130</v>
      </c>
      <c r="BE1775" s="0" t="s">
        <v>130</v>
      </c>
      <c r="BF1775" s="0" t="s">
        <v>141</v>
      </c>
      <c r="BG1775" s="0" t="s">
        <v>130</v>
      </c>
      <c r="BH1775" s="0" t="s">
        <v>130</v>
      </c>
      <c r="BI1775" s="0" t="s">
        <v>130</v>
      </c>
      <c r="BJ1775" s="0" t="s">
        <v>130</v>
      </c>
      <c r="BK1775" s="0" t="s">
        <v>130</v>
      </c>
      <c r="BL1775" s="0" t="s">
        <v>130</v>
      </c>
      <c r="BM1775" s="0" t="s">
        <v>130</v>
      </c>
      <c r="BN1775" s="0" t="s">
        <v>130</v>
      </c>
      <c r="BO1775" s="0" t="s">
        <v>130</v>
      </c>
      <c r="BP1775" s="0" t="s">
        <v>130</v>
      </c>
      <c r="BQ1775" s="0" t="s">
        <v>130</v>
      </c>
      <c r="BR1775" s="0" t="s">
        <v>130</v>
      </c>
      <c r="BS1775" s="0" t="s">
        <v>130</v>
      </c>
      <c r="BT1775" s="0" t="s">
        <v>130</v>
      </c>
      <c r="BU1775" s="0" t="s">
        <v>130</v>
      </c>
      <c r="BV1775" s="0" t="s">
        <v>130</v>
      </c>
      <c r="BW1775" s="0" t="s">
        <v>130</v>
      </c>
      <c r="BX1775" s="0" t="s">
        <v>130</v>
      </c>
      <c r="BY1775" s="0" t="s">
        <v>130</v>
      </c>
      <c r="BZ1775" s="0" t="s">
        <v>130</v>
      </c>
      <c r="CA1775" s="0" t="s">
        <v>130</v>
      </c>
      <c r="CB1775" s="0" t="s">
        <v>130</v>
      </c>
      <c r="CC1775" s="0" t="s">
        <v>130</v>
      </c>
      <c r="CD1775" s="0" t="s">
        <v>130</v>
      </c>
      <c r="CE1775" s="0" t="s">
        <v>130</v>
      </c>
      <c r="CF1775" s="0" t="s">
        <v>130</v>
      </c>
      <c r="CG1775" s="0" t="s">
        <v>130</v>
      </c>
      <c r="CH1775" s="0" t="s">
        <v>130</v>
      </c>
      <c r="CI1775" s="0" t="s">
        <v>130</v>
      </c>
      <c r="CJ1775" s="0" t="s">
        <v>130</v>
      </c>
      <c r="CK1775" s="0" t="s">
        <v>130</v>
      </c>
      <c r="CL1775" s="0" t="s">
        <v>130</v>
      </c>
      <c r="CM1775" s="0" t="s">
        <v>130</v>
      </c>
      <c r="CN1775" s="0" t="s">
        <v>130</v>
      </c>
      <c r="CO1775" s="0" t="s">
        <v>130</v>
      </c>
      <c r="CP1775" s="0" t="s">
        <v>130</v>
      </c>
      <c r="CQ1775" s="0" t="s">
        <v>130</v>
      </c>
      <c r="CR1775" s="0" t="s">
        <v>130</v>
      </c>
      <c r="CS1775" s="0" t="s">
        <v>130</v>
      </c>
      <c r="CT1775" s="0" t="s">
        <v>5066</v>
      </c>
    </row>
    <row r="1776">
      <c r="A1776" s="14">
        <v>100312</v>
      </c>
      <c r="B1776" s="0" t="s">
        <v>476</v>
      </c>
      <c r="C1776" s="16">
        <f>HYPERLINK("https://eosportal.federatedhermes.com/companies/Q29tcGFueQppNTg5OTQ=", "JPMorgan Chase &amp; Co")</f>
      </c>
      <c r="D1776" s="0" t="s">
        <v>25</v>
      </c>
      <c r="E1776" s="0" t="s">
        <v>5067</v>
      </c>
      <c r="F1776" s="16">
        <f>HYPERLINK("https://eosportal.federatedhermes.com/engagements/RW5nYWdlbWVudAppMzA2MDE=", "Racial equity audit")</f>
      </c>
      <c r="G1776" s="14" t="s">
        <v>5068</v>
      </c>
      <c r="H1776" s="0" t="s">
        <v>141</v>
      </c>
      <c r="I1776" s="14" t="s">
        <v>191</v>
      </c>
      <c r="J1776" s="0" t="s">
        <v>153</v>
      </c>
      <c r="K1776" s="0" t="s">
        <v>154</v>
      </c>
      <c r="L1776" s="0" t="s">
        <v>268</v>
      </c>
      <c r="M1776" s="0" t="s">
        <v>135</v>
      </c>
      <c r="N1776" s="0" t="s">
        <v>136</v>
      </c>
      <c r="O1776" s="0" t="s">
        <v>238</v>
      </c>
      <c r="Q1776" s="0" t="s">
        <v>130</v>
      </c>
      <c r="R1776" s="0" t="s">
        <v>138</v>
      </c>
      <c r="S1776" s="14">
        <v>0</v>
      </c>
      <c r="T1776" s="0" t="s">
        <v>206</v>
      </c>
      <c r="U1776" s="0" t="s">
        <v>138</v>
      </c>
      <c r="V1776" s="14" t="s">
        <v>138</v>
      </c>
      <c r="W1776" s="0" t="s">
        <v>138</v>
      </c>
      <c r="X1776" s="14" t="s">
        <v>138</v>
      </c>
      <c r="Y1776" s="0" t="s">
        <v>138</v>
      </c>
      <c r="Z1776" s="14" t="s">
        <v>138</v>
      </c>
      <c r="AA1776" s="0" t="s">
        <v>138</v>
      </c>
      <c r="AB1776" s="14" t="s">
        <v>138</v>
      </c>
      <c r="AD1776" s="0" t="s">
        <v>138</v>
      </c>
      <c r="AF1776" s="0">
        <v>0</v>
      </c>
      <c r="AG1776" s="0">
        <v>0</v>
      </c>
      <c r="AH1776" s="0" t="s">
        <v>140</v>
      </c>
      <c r="AI1776" s="0" t="s">
        <v>138</v>
      </c>
      <c r="AL1776" s="14"/>
      <c r="AN1776" s="14"/>
      <c r="AQ1776" s="0" t="s">
        <v>130</v>
      </c>
      <c r="AR1776" s="0" t="s">
        <v>130</v>
      </c>
      <c r="AS1776" s="0" t="s">
        <v>130</v>
      </c>
      <c r="AT1776" s="0" t="s">
        <v>130</v>
      </c>
      <c r="AU1776" s="0" t="s">
        <v>130</v>
      </c>
      <c r="AV1776" s="0" t="s">
        <v>130</v>
      </c>
      <c r="AW1776" s="0" t="s">
        <v>130</v>
      </c>
      <c r="AX1776" s="0" t="s">
        <v>130</v>
      </c>
      <c r="AY1776" s="0" t="s">
        <v>130</v>
      </c>
      <c r="AZ1776" s="0" t="s">
        <v>130</v>
      </c>
      <c r="BA1776" s="0" t="s">
        <v>130</v>
      </c>
      <c r="BB1776" s="0" t="s">
        <v>130</v>
      </c>
      <c r="BC1776" s="0" t="s">
        <v>130</v>
      </c>
      <c r="BD1776" s="0" t="s">
        <v>130</v>
      </c>
      <c r="BE1776" s="0" t="s">
        <v>130</v>
      </c>
      <c r="BF1776" s="0" t="s">
        <v>130</v>
      </c>
      <c r="BG1776" s="0" t="s">
        <v>130</v>
      </c>
      <c r="BH1776" s="0" t="s">
        <v>130</v>
      </c>
      <c r="BI1776" s="0" t="s">
        <v>130</v>
      </c>
      <c r="BJ1776" s="0" t="s">
        <v>130</v>
      </c>
      <c r="BK1776" s="0" t="s">
        <v>130</v>
      </c>
      <c r="BL1776" s="0" t="s">
        <v>130</v>
      </c>
      <c r="BM1776" s="0" t="s">
        <v>130</v>
      </c>
      <c r="BN1776" s="0" t="s">
        <v>130</v>
      </c>
      <c r="BO1776" s="0" t="s">
        <v>130</v>
      </c>
      <c r="BP1776" s="0" t="s">
        <v>130</v>
      </c>
      <c r="BQ1776" s="0" t="s">
        <v>130</v>
      </c>
      <c r="BR1776" s="0" t="s">
        <v>130</v>
      </c>
      <c r="BS1776" s="0" t="s">
        <v>130</v>
      </c>
      <c r="BT1776" s="0" t="s">
        <v>130</v>
      </c>
      <c r="BU1776" s="0" t="s">
        <v>130</v>
      </c>
      <c r="BV1776" s="0" t="s">
        <v>130</v>
      </c>
      <c r="BW1776" s="0" t="s">
        <v>130</v>
      </c>
      <c r="BX1776" s="0" t="s">
        <v>130</v>
      </c>
      <c r="BY1776" s="0" t="s">
        <v>130</v>
      </c>
      <c r="BZ1776" s="0" t="s">
        <v>130</v>
      </c>
      <c r="CA1776" s="0" t="s">
        <v>130</v>
      </c>
      <c r="CB1776" s="0" t="s">
        <v>130</v>
      </c>
      <c r="CC1776" s="0" t="s">
        <v>130</v>
      </c>
      <c r="CD1776" s="0" t="s">
        <v>130</v>
      </c>
      <c r="CE1776" s="0" t="s">
        <v>130</v>
      </c>
      <c r="CF1776" s="0" t="s">
        <v>130</v>
      </c>
      <c r="CG1776" s="0" t="s">
        <v>130</v>
      </c>
      <c r="CH1776" s="0" t="s">
        <v>130</v>
      </c>
      <c r="CI1776" s="0" t="s">
        <v>130</v>
      </c>
      <c r="CJ1776" s="0" t="s">
        <v>130</v>
      </c>
      <c r="CK1776" s="0" t="s">
        <v>141</v>
      </c>
      <c r="CL1776" s="0" t="s">
        <v>130</v>
      </c>
      <c r="CM1776" s="0" t="s">
        <v>130</v>
      </c>
      <c r="CN1776" s="0" t="s">
        <v>130</v>
      </c>
      <c r="CO1776" s="0" t="s">
        <v>130</v>
      </c>
      <c r="CP1776" s="0" t="s">
        <v>130</v>
      </c>
      <c r="CQ1776" s="0" t="s">
        <v>130</v>
      </c>
      <c r="CR1776" s="0" t="s">
        <v>130</v>
      </c>
      <c r="CS1776" s="0" t="s">
        <v>130</v>
      </c>
      <c r="CT1776" s="0" t="s">
        <v>5069</v>
      </c>
    </row>
    <row r="1777">
      <c r="A1777" s="14">
        <v>117142</v>
      </c>
      <c r="B1777" s="0" t="s">
        <v>2790</v>
      </c>
      <c r="C1777" s="16">
        <f>HYPERLINK("https://eosportal.federatedhermes.com/companies/Q29tcGFueQppNTkyMTI=", "O'Reilly Automotive Inc")</f>
      </c>
      <c r="D1777" s="0" t="s">
        <v>25</v>
      </c>
      <c r="E1777" s="0" t="s">
        <v>143</v>
      </c>
      <c r="F1777" s="16">
        <f>HYPERLINK("https://eosportal.federatedhermes.com/engagements/RW5nYWdlbWVudAppMzA2MDc=", "Executive compensation")</f>
      </c>
      <c r="G1777" s="14" t="s">
        <v>5070</v>
      </c>
      <c r="H1777" s="0" t="s">
        <v>141</v>
      </c>
      <c r="I1777" s="14" t="s">
        <v>131</v>
      </c>
      <c r="J1777" s="0" t="s">
        <v>145</v>
      </c>
      <c r="K1777" s="0" t="s">
        <v>146</v>
      </c>
      <c r="L1777" s="0" t="s">
        <v>147</v>
      </c>
      <c r="M1777" s="0" t="s">
        <v>135</v>
      </c>
      <c r="N1777" s="0" t="s">
        <v>136</v>
      </c>
      <c r="O1777" s="0" t="s">
        <v>643</v>
      </c>
      <c r="Q1777" s="0" t="s">
        <v>130</v>
      </c>
      <c r="R1777" s="0" t="s">
        <v>138</v>
      </c>
      <c r="S1777" s="14">
        <v>0</v>
      </c>
      <c r="T1777" s="0" t="s">
        <v>231</v>
      </c>
      <c r="U1777" s="0" t="s">
        <v>138</v>
      </c>
      <c r="V1777" s="14" t="s">
        <v>138</v>
      </c>
      <c r="W1777" s="0" t="s">
        <v>138</v>
      </c>
      <c r="X1777" s="14" t="s">
        <v>138</v>
      </c>
      <c r="Y1777" s="0" t="s">
        <v>138</v>
      </c>
      <c r="Z1777" s="14" t="s">
        <v>138</v>
      </c>
      <c r="AA1777" s="0" t="s">
        <v>138</v>
      </c>
      <c r="AB1777" s="14" t="s">
        <v>138</v>
      </c>
      <c r="AD1777" s="0" t="s">
        <v>138</v>
      </c>
      <c r="AF1777" s="0">
        <v>0</v>
      </c>
      <c r="AG1777" s="0">
        <v>0</v>
      </c>
      <c r="AH1777" s="0" t="s">
        <v>140</v>
      </c>
      <c r="AI1777" s="0" t="s">
        <v>138</v>
      </c>
      <c r="AL1777" s="14"/>
      <c r="AN1777" s="14"/>
      <c r="AQ1777" s="0" t="s">
        <v>130</v>
      </c>
      <c r="AR1777" s="0" t="s">
        <v>130</v>
      </c>
      <c r="AS1777" s="0" t="s">
        <v>130</v>
      </c>
      <c r="AT1777" s="0" t="s">
        <v>130</v>
      </c>
      <c r="AU1777" s="0" t="s">
        <v>130</v>
      </c>
      <c r="AV1777" s="0" t="s">
        <v>130</v>
      </c>
      <c r="AW1777" s="0" t="s">
        <v>130</v>
      </c>
      <c r="AX1777" s="0" t="s">
        <v>130</v>
      </c>
      <c r="AY1777" s="0" t="s">
        <v>130</v>
      </c>
      <c r="AZ1777" s="0" t="s">
        <v>130</v>
      </c>
      <c r="BA1777" s="0" t="s">
        <v>130</v>
      </c>
      <c r="BB1777" s="0" t="s">
        <v>130</v>
      </c>
      <c r="BC1777" s="0" t="s">
        <v>130</v>
      </c>
      <c r="BD1777" s="0" t="s">
        <v>130</v>
      </c>
      <c r="BE1777" s="0" t="s">
        <v>130</v>
      </c>
      <c r="BF1777" s="0" t="s">
        <v>130</v>
      </c>
      <c r="BG1777" s="0" t="s">
        <v>130</v>
      </c>
      <c r="BH1777" s="0" t="s">
        <v>130</v>
      </c>
      <c r="BI1777" s="0" t="s">
        <v>130</v>
      </c>
      <c r="BJ1777" s="0" t="s">
        <v>130</v>
      </c>
      <c r="BK1777" s="0" t="s">
        <v>130</v>
      </c>
      <c r="BL1777" s="0" t="s">
        <v>130</v>
      </c>
      <c r="BM1777" s="0" t="s">
        <v>130</v>
      </c>
      <c r="BN1777" s="0" t="s">
        <v>130</v>
      </c>
      <c r="BO1777" s="0" t="s">
        <v>130</v>
      </c>
      <c r="BP1777" s="0" t="s">
        <v>130</v>
      </c>
      <c r="BQ1777" s="0" t="s">
        <v>130</v>
      </c>
      <c r="BR1777" s="0" t="s">
        <v>130</v>
      </c>
      <c r="BS1777" s="0" t="s">
        <v>130</v>
      </c>
      <c r="BT1777" s="0" t="s">
        <v>130</v>
      </c>
      <c r="BU1777" s="0" t="s">
        <v>130</v>
      </c>
      <c r="BV1777" s="0" t="s">
        <v>130</v>
      </c>
      <c r="BW1777" s="0" t="s">
        <v>130</v>
      </c>
      <c r="BX1777" s="0" t="s">
        <v>130</v>
      </c>
      <c r="BY1777" s="0" t="s">
        <v>130</v>
      </c>
      <c r="BZ1777" s="0" t="s">
        <v>130</v>
      </c>
      <c r="CA1777" s="0" t="s">
        <v>130</v>
      </c>
      <c r="CB1777" s="0" t="s">
        <v>130</v>
      </c>
      <c r="CC1777" s="0" t="s">
        <v>130</v>
      </c>
      <c r="CD1777" s="0" t="s">
        <v>130</v>
      </c>
      <c r="CE1777" s="0" t="s">
        <v>130</v>
      </c>
      <c r="CF1777" s="0" t="s">
        <v>130</v>
      </c>
      <c r="CG1777" s="0" t="s">
        <v>130</v>
      </c>
      <c r="CH1777" s="0" t="s">
        <v>130</v>
      </c>
      <c r="CI1777" s="0" t="s">
        <v>130</v>
      </c>
      <c r="CJ1777" s="0" t="s">
        <v>130</v>
      </c>
      <c r="CK1777" s="0" t="s">
        <v>130</v>
      </c>
      <c r="CL1777" s="0" t="s">
        <v>130</v>
      </c>
      <c r="CM1777" s="0" t="s">
        <v>130</v>
      </c>
      <c r="CN1777" s="0" t="s">
        <v>130</v>
      </c>
      <c r="CO1777" s="0" t="s">
        <v>130</v>
      </c>
      <c r="CP1777" s="0" t="s">
        <v>130</v>
      </c>
      <c r="CQ1777" s="0" t="s">
        <v>130</v>
      </c>
      <c r="CR1777" s="0" t="s">
        <v>130</v>
      </c>
      <c r="CS1777" s="0" t="s">
        <v>130</v>
      </c>
      <c r="CT1777" s="0" t="s">
        <v>5071</v>
      </c>
    </row>
    <row r="1778">
      <c r="A1778" s="14">
        <v>176795</v>
      </c>
      <c r="B1778" s="0" t="s">
        <v>3127</v>
      </c>
      <c r="C1778" s="16">
        <f>HYPERLINK("https://eosportal.federatedhermes.com/companies/Q29tcGFueQppNjA1NzI=", "Merck KGaA")</f>
      </c>
      <c r="D1778" s="0" t="s">
        <v>25</v>
      </c>
      <c r="E1778" s="0" t="s">
        <v>441</v>
      </c>
      <c r="F1778" s="16">
        <f>HYPERLINK("https://eosportal.federatedhermes.com/engagements/RW5nYWdlbWVudAppMzA2MTI=", "Auditor tenure")</f>
      </c>
      <c r="G1778" s="14" t="s">
        <v>5072</v>
      </c>
      <c r="H1778" s="0" t="s">
        <v>130</v>
      </c>
      <c r="I1778" s="14" t="s">
        <v>319</v>
      </c>
      <c r="J1778" s="0" t="s">
        <v>132</v>
      </c>
      <c r="K1778" s="0" t="s">
        <v>170</v>
      </c>
      <c r="L1778" s="0" t="s">
        <v>310</v>
      </c>
      <c r="M1778" s="0" t="s">
        <v>378</v>
      </c>
      <c r="N1778" s="0" t="s">
        <v>2485</v>
      </c>
      <c r="O1778" s="0" t="s">
        <v>274</v>
      </c>
      <c r="Q1778" s="0" t="s">
        <v>130</v>
      </c>
      <c r="R1778" s="0" t="s">
        <v>138</v>
      </c>
      <c r="S1778" s="14">
        <v>0</v>
      </c>
      <c r="T1778" s="0" t="s">
        <v>231</v>
      </c>
      <c r="U1778" s="0" t="s">
        <v>138</v>
      </c>
      <c r="V1778" s="14" t="s">
        <v>138</v>
      </c>
      <c r="W1778" s="0" t="s">
        <v>138</v>
      </c>
      <c r="X1778" s="14" t="s">
        <v>138</v>
      </c>
      <c r="Y1778" s="0" t="s">
        <v>138</v>
      </c>
      <c r="Z1778" s="14" t="s">
        <v>138</v>
      </c>
      <c r="AA1778" s="0" t="s">
        <v>138</v>
      </c>
      <c r="AB1778" s="14" t="s">
        <v>138</v>
      </c>
      <c r="AD1778" s="0" t="s">
        <v>138</v>
      </c>
      <c r="AF1778" s="0">
        <v>0</v>
      </c>
      <c r="AG1778" s="0">
        <v>0</v>
      </c>
      <c r="AH1778" s="0" t="s">
        <v>140</v>
      </c>
      <c r="AI1778" s="0" t="s">
        <v>138</v>
      </c>
      <c r="AL1778" s="14"/>
      <c r="AN1778" s="14"/>
      <c r="AQ1778" s="0" t="s">
        <v>130</v>
      </c>
      <c r="AR1778" s="0" t="s">
        <v>130</v>
      </c>
      <c r="AS1778" s="0" t="s">
        <v>130</v>
      </c>
      <c r="AT1778" s="0" t="s">
        <v>130</v>
      </c>
      <c r="AU1778" s="0" t="s">
        <v>130</v>
      </c>
      <c r="AV1778" s="0" t="s">
        <v>130</v>
      </c>
      <c r="AW1778" s="0" t="s">
        <v>130</v>
      </c>
      <c r="AX1778" s="0" t="s">
        <v>130</v>
      </c>
      <c r="AY1778" s="0" t="s">
        <v>130</v>
      </c>
      <c r="AZ1778" s="0" t="s">
        <v>130</v>
      </c>
      <c r="BA1778" s="0" t="s">
        <v>130</v>
      </c>
      <c r="BB1778" s="0" t="s">
        <v>130</v>
      </c>
      <c r="BC1778" s="0" t="s">
        <v>130</v>
      </c>
      <c r="BD1778" s="0" t="s">
        <v>130</v>
      </c>
      <c r="BE1778" s="0" t="s">
        <v>130</v>
      </c>
      <c r="BF1778" s="0" t="s">
        <v>130</v>
      </c>
      <c r="BG1778" s="0" t="s">
        <v>130</v>
      </c>
      <c r="BH1778" s="0" t="s">
        <v>130</v>
      </c>
      <c r="BI1778" s="0" t="s">
        <v>130</v>
      </c>
      <c r="BJ1778" s="0" t="s">
        <v>130</v>
      </c>
      <c r="BK1778" s="0" t="s">
        <v>130</v>
      </c>
      <c r="BL1778" s="0" t="s">
        <v>130</v>
      </c>
      <c r="BM1778" s="0" t="s">
        <v>130</v>
      </c>
      <c r="BN1778" s="0" t="s">
        <v>130</v>
      </c>
      <c r="BO1778" s="0" t="s">
        <v>130</v>
      </c>
      <c r="BP1778" s="0" t="s">
        <v>130</v>
      </c>
      <c r="BQ1778" s="0" t="s">
        <v>130</v>
      </c>
      <c r="BR1778" s="0" t="s">
        <v>130</v>
      </c>
      <c r="BS1778" s="0" t="s">
        <v>130</v>
      </c>
      <c r="BT1778" s="0" t="s">
        <v>130</v>
      </c>
      <c r="BU1778" s="0" t="s">
        <v>130</v>
      </c>
      <c r="BV1778" s="0" t="s">
        <v>130</v>
      </c>
      <c r="BW1778" s="0" t="s">
        <v>130</v>
      </c>
      <c r="BX1778" s="0" t="s">
        <v>130</v>
      </c>
      <c r="BY1778" s="0" t="s">
        <v>130</v>
      </c>
      <c r="BZ1778" s="0" t="s">
        <v>130</v>
      </c>
      <c r="CA1778" s="0" t="s">
        <v>130</v>
      </c>
      <c r="CB1778" s="0" t="s">
        <v>130</v>
      </c>
      <c r="CC1778" s="0" t="s">
        <v>130</v>
      </c>
      <c r="CD1778" s="0" t="s">
        <v>130</v>
      </c>
      <c r="CE1778" s="0" t="s">
        <v>130</v>
      </c>
      <c r="CF1778" s="0" t="s">
        <v>130</v>
      </c>
      <c r="CG1778" s="0" t="s">
        <v>130</v>
      </c>
      <c r="CH1778" s="0" t="s">
        <v>130</v>
      </c>
      <c r="CI1778" s="0" t="s">
        <v>130</v>
      </c>
      <c r="CJ1778" s="0" t="s">
        <v>130</v>
      </c>
      <c r="CK1778" s="0" t="s">
        <v>130</v>
      </c>
      <c r="CL1778" s="0" t="s">
        <v>130</v>
      </c>
      <c r="CM1778" s="0" t="s">
        <v>130</v>
      </c>
      <c r="CN1778" s="0" t="s">
        <v>130</v>
      </c>
      <c r="CO1778" s="0" t="s">
        <v>130</v>
      </c>
      <c r="CP1778" s="0" t="s">
        <v>130</v>
      </c>
      <c r="CQ1778" s="0" t="s">
        <v>130</v>
      </c>
      <c r="CR1778" s="0" t="s">
        <v>130</v>
      </c>
      <c r="CS1778" s="0" t="s">
        <v>130</v>
      </c>
      <c r="CT1778" s="0" t="s">
        <v>5073</v>
      </c>
    </row>
    <row r="1779">
      <c r="A1779" s="14">
        <v>69512787</v>
      </c>
      <c r="B1779" s="0" t="s">
        <v>4833</v>
      </c>
      <c r="C1779" s="16">
        <f>HYPERLINK("https://eosportal.federatedhermes.com/companies/Q29tcGFueQppODExMjQ=", "Seagate Technology Holdings PLC")</f>
      </c>
      <c r="D1779" s="0" t="s">
        <v>25</v>
      </c>
      <c r="E1779" s="0" t="s">
        <v>5074</v>
      </c>
      <c r="F1779" s="16">
        <f>HYPERLINK("https://eosportal.federatedhermes.com/engagements/RW5nYWdlbWVudAppMzA2MTU=", "Russia-Ukraine conflict")</f>
      </c>
      <c r="G1779" s="14" t="s">
        <v>5075</v>
      </c>
      <c r="H1779" s="0" t="s">
        <v>130</v>
      </c>
      <c r="I1779" s="14" t="s">
        <v>131</v>
      </c>
      <c r="J1779" s="0" t="s">
        <v>153</v>
      </c>
      <c r="K1779" s="0" t="s">
        <v>243</v>
      </c>
      <c r="L1779" s="0" t="s">
        <v>456</v>
      </c>
      <c r="M1779" s="0" t="s">
        <v>135</v>
      </c>
      <c r="N1779" s="0" t="s">
        <v>136</v>
      </c>
      <c r="O1779" s="0" t="s">
        <v>1125</v>
      </c>
      <c r="Q1779" s="0" t="s">
        <v>130</v>
      </c>
      <c r="R1779" s="0" t="s">
        <v>138</v>
      </c>
      <c r="S1779" s="14">
        <v>0</v>
      </c>
      <c r="T1779" s="0" t="s">
        <v>583</v>
      </c>
      <c r="U1779" s="0" t="s">
        <v>138</v>
      </c>
      <c r="V1779" s="14" t="s">
        <v>138</v>
      </c>
      <c r="W1779" s="0" t="s">
        <v>138</v>
      </c>
      <c r="X1779" s="14" t="s">
        <v>138</v>
      </c>
      <c r="Y1779" s="0" t="s">
        <v>138</v>
      </c>
      <c r="Z1779" s="14" t="s">
        <v>138</v>
      </c>
      <c r="AA1779" s="0" t="s">
        <v>138</v>
      </c>
      <c r="AB1779" s="14" t="s">
        <v>138</v>
      </c>
      <c r="AD1779" s="0" t="s">
        <v>138</v>
      </c>
      <c r="AF1779" s="0">
        <v>0</v>
      </c>
      <c r="AG1779" s="0">
        <v>0</v>
      </c>
      <c r="AH1779" s="0" t="s">
        <v>140</v>
      </c>
      <c r="AI1779" s="0" t="s">
        <v>138</v>
      </c>
      <c r="AL1779" s="14"/>
      <c r="AN1779" s="14"/>
      <c r="AQ1779" s="0" t="s">
        <v>130</v>
      </c>
      <c r="AR1779" s="0" t="s">
        <v>130</v>
      </c>
      <c r="AS1779" s="0" t="s">
        <v>130</v>
      </c>
      <c r="AT1779" s="0" t="s">
        <v>130</v>
      </c>
      <c r="AU1779" s="0" t="s">
        <v>130</v>
      </c>
      <c r="AV1779" s="0" t="s">
        <v>130</v>
      </c>
      <c r="AW1779" s="0" t="s">
        <v>130</v>
      </c>
      <c r="AX1779" s="0" t="s">
        <v>141</v>
      </c>
      <c r="AY1779" s="0" t="s">
        <v>130</v>
      </c>
      <c r="AZ1779" s="0" t="s">
        <v>130</v>
      </c>
      <c r="BA1779" s="0" t="s">
        <v>130</v>
      </c>
      <c r="BB1779" s="0" t="s">
        <v>130</v>
      </c>
      <c r="BC1779" s="0" t="s">
        <v>130</v>
      </c>
      <c r="BD1779" s="0" t="s">
        <v>130</v>
      </c>
      <c r="BE1779" s="0" t="s">
        <v>130</v>
      </c>
      <c r="BF1779" s="0" t="s">
        <v>141</v>
      </c>
      <c r="BG1779" s="0" t="s">
        <v>130</v>
      </c>
      <c r="BH1779" s="0" t="s">
        <v>130</v>
      </c>
      <c r="BI1779" s="0" t="s">
        <v>130</v>
      </c>
      <c r="BJ1779" s="0" t="s">
        <v>130</v>
      </c>
      <c r="BK1779" s="0" t="s">
        <v>130</v>
      </c>
      <c r="BL1779" s="0" t="s">
        <v>130</v>
      </c>
      <c r="BM1779" s="0" t="s">
        <v>130</v>
      </c>
      <c r="BN1779" s="0" t="s">
        <v>130</v>
      </c>
      <c r="BO1779" s="0" t="s">
        <v>130</v>
      </c>
      <c r="BP1779" s="0" t="s">
        <v>130</v>
      </c>
      <c r="BQ1779" s="0" t="s">
        <v>130</v>
      </c>
      <c r="BR1779" s="0" t="s">
        <v>130</v>
      </c>
      <c r="BS1779" s="0" t="s">
        <v>130</v>
      </c>
      <c r="BT1779" s="0" t="s">
        <v>130</v>
      </c>
      <c r="BU1779" s="0" t="s">
        <v>130</v>
      </c>
      <c r="BV1779" s="0" t="s">
        <v>130</v>
      </c>
      <c r="BW1779" s="0" t="s">
        <v>130</v>
      </c>
      <c r="BX1779" s="0" t="s">
        <v>130</v>
      </c>
      <c r="BY1779" s="0" t="s">
        <v>130</v>
      </c>
      <c r="BZ1779" s="0" t="s">
        <v>130</v>
      </c>
      <c r="CA1779" s="0" t="s">
        <v>130</v>
      </c>
      <c r="CB1779" s="0" t="s">
        <v>130</v>
      </c>
      <c r="CC1779" s="0" t="s">
        <v>130</v>
      </c>
      <c r="CD1779" s="0" t="s">
        <v>130</v>
      </c>
      <c r="CE1779" s="0" t="s">
        <v>130</v>
      </c>
      <c r="CF1779" s="0" t="s">
        <v>130</v>
      </c>
      <c r="CG1779" s="0" t="s">
        <v>130</v>
      </c>
      <c r="CH1779" s="0" t="s">
        <v>130</v>
      </c>
      <c r="CI1779" s="0" t="s">
        <v>130</v>
      </c>
      <c r="CJ1779" s="0" t="s">
        <v>130</v>
      </c>
      <c r="CK1779" s="0" t="s">
        <v>130</v>
      </c>
      <c r="CL1779" s="0" t="s">
        <v>130</v>
      </c>
      <c r="CM1779" s="0" t="s">
        <v>130</v>
      </c>
      <c r="CN1779" s="0" t="s">
        <v>130</v>
      </c>
      <c r="CO1779" s="0" t="s">
        <v>130</v>
      </c>
      <c r="CP1779" s="0" t="s">
        <v>130</v>
      </c>
      <c r="CQ1779" s="0" t="s">
        <v>130</v>
      </c>
      <c r="CR1779" s="0" t="s">
        <v>130</v>
      </c>
      <c r="CS1779" s="0" t="s">
        <v>130</v>
      </c>
      <c r="CT1779" s="0" t="s">
        <v>5076</v>
      </c>
    </row>
    <row r="1780">
      <c r="A1780" s="14">
        <v>58890738</v>
      </c>
      <c r="B1780" s="0" t="s">
        <v>4704</v>
      </c>
      <c r="C1780" s="16">
        <f>HYPERLINK("https://eosportal.federatedhermes.com/companies/Q29tcGFueQppNjE1MTM=", "Epiroc AB")</f>
      </c>
      <c r="D1780" s="0" t="s">
        <v>25</v>
      </c>
      <c r="E1780" s="0" t="s">
        <v>5077</v>
      </c>
      <c r="F1780" s="16">
        <f>HYPERLINK("https://eosportal.federatedhermes.com/engagements/RW5nYWdlbWVudAppMzA2MTY=", "Directorships")</f>
      </c>
      <c r="G1780" s="14" t="s">
        <v>5078</v>
      </c>
      <c r="H1780" s="0" t="s">
        <v>130</v>
      </c>
      <c r="I1780" s="14" t="s">
        <v>131</v>
      </c>
      <c r="J1780" s="0" t="s">
        <v>145</v>
      </c>
      <c r="K1780" s="0" t="s">
        <v>164</v>
      </c>
      <c r="L1780" s="0" t="s">
        <v>165</v>
      </c>
      <c r="M1780" s="0" t="s">
        <v>378</v>
      </c>
      <c r="N1780" s="0" t="s">
        <v>4706</v>
      </c>
      <c r="O1780" s="0" t="s">
        <v>425</v>
      </c>
      <c r="Q1780" s="0" t="s">
        <v>130</v>
      </c>
      <c r="R1780" s="0" t="s">
        <v>138</v>
      </c>
      <c r="S1780" s="14">
        <v>0</v>
      </c>
      <c r="T1780" s="0" t="s">
        <v>231</v>
      </c>
      <c r="U1780" s="0" t="s">
        <v>138</v>
      </c>
      <c r="V1780" s="14" t="s">
        <v>138</v>
      </c>
      <c r="W1780" s="0" t="s">
        <v>138</v>
      </c>
      <c r="X1780" s="14" t="s">
        <v>138</v>
      </c>
      <c r="Y1780" s="0" t="s">
        <v>138</v>
      </c>
      <c r="Z1780" s="14" t="s">
        <v>138</v>
      </c>
      <c r="AA1780" s="0" t="s">
        <v>138</v>
      </c>
      <c r="AB1780" s="14" t="s">
        <v>138</v>
      </c>
      <c r="AD1780" s="0" t="s">
        <v>138</v>
      </c>
      <c r="AF1780" s="0">
        <v>0</v>
      </c>
      <c r="AG1780" s="0">
        <v>0</v>
      </c>
      <c r="AH1780" s="0" t="s">
        <v>140</v>
      </c>
      <c r="AI1780" s="0" t="s">
        <v>138</v>
      </c>
      <c r="AL1780" s="14"/>
      <c r="AN1780" s="14"/>
      <c r="AQ1780" s="0" t="s">
        <v>130</v>
      </c>
      <c r="AR1780" s="0" t="s">
        <v>130</v>
      </c>
      <c r="AS1780" s="0" t="s">
        <v>130</v>
      </c>
      <c r="AT1780" s="0" t="s">
        <v>130</v>
      </c>
      <c r="AU1780" s="0" t="s">
        <v>130</v>
      </c>
      <c r="AV1780" s="0" t="s">
        <v>130</v>
      </c>
      <c r="AW1780" s="0" t="s">
        <v>130</v>
      </c>
      <c r="AX1780" s="0" t="s">
        <v>130</v>
      </c>
      <c r="AY1780" s="0" t="s">
        <v>130</v>
      </c>
      <c r="AZ1780" s="0" t="s">
        <v>130</v>
      </c>
      <c r="BA1780" s="0" t="s">
        <v>130</v>
      </c>
      <c r="BB1780" s="0" t="s">
        <v>130</v>
      </c>
      <c r="BC1780" s="0" t="s">
        <v>130</v>
      </c>
      <c r="BD1780" s="0" t="s">
        <v>130</v>
      </c>
      <c r="BE1780" s="0" t="s">
        <v>130</v>
      </c>
      <c r="BF1780" s="0" t="s">
        <v>130</v>
      </c>
      <c r="BG1780" s="0" t="s">
        <v>130</v>
      </c>
      <c r="BH1780" s="0" t="s">
        <v>130</v>
      </c>
      <c r="BI1780" s="0" t="s">
        <v>130</v>
      </c>
      <c r="BJ1780" s="0" t="s">
        <v>130</v>
      </c>
      <c r="BK1780" s="0" t="s">
        <v>130</v>
      </c>
      <c r="BL1780" s="0" t="s">
        <v>130</v>
      </c>
      <c r="BM1780" s="0" t="s">
        <v>130</v>
      </c>
      <c r="BN1780" s="0" t="s">
        <v>130</v>
      </c>
      <c r="BO1780" s="0" t="s">
        <v>130</v>
      </c>
      <c r="BP1780" s="0" t="s">
        <v>130</v>
      </c>
      <c r="BQ1780" s="0" t="s">
        <v>130</v>
      </c>
      <c r="BR1780" s="0" t="s">
        <v>130</v>
      </c>
      <c r="BS1780" s="0" t="s">
        <v>130</v>
      </c>
      <c r="BT1780" s="0" t="s">
        <v>130</v>
      </c>
      <c r="BU1780" s="0" t="s">
        <v>130</v>
      </c>
      <c r="BV1780" s="0" t="s">
        <v>130</v>
      </c>
      <c r="BW1780" s="0" t="s">
        <v>130</v>
      </c>
      <c r="BX1780" s="0" t="s">
        <v>130</v>
      </c>
      <c r="BY1780" s="0" t="s">
        <v>130</v>
      </c>
      <c r="BZ1780" s="0" t="s">
        <v>130</v>
      </c>
      <c r="CA1780" s="0" t="s">
        <v>130</v>
      </c>
      <c r="CB1780" s="0" t="s">
        <v>130</v>
      </c>
      <c r="CC1780" s="0" t="s">
        <v>130</v>
      </c>
      <c r="CD1780" s="0" t="s">
        <v>130</v>
      </c>
      <c r="CE1780" s="0" t="s">
        <v>130</v>
      </c>
      <c r="CF1780" s="0" t="s">
        <v>130</v>
      </c>
      <c r="CG1780" s="0" t="s">
        <v>130</v>
      </c>
      <c r="CH1780" s="0" t="s">
        <v>130</v>
      </c>
      <c r="CI1780" s="0" t="s">
        <v>130</v>
      </c>
      <c r="CJ1780" s="0" t="s">
        <v>130</v>
      </c>
      <c r="CK1780" s="0" t="s">
        <v>130</v>
      </c>
      <c r="CL1780" s="0" t="s">
        <v>130</v>
      </c>
      <c r="CM1780" s="0" t="s">
        <v>130</v>
      </c>
      <c r="CN1780" s="0" t="s">
        <v>130</v>
      </c>
      <c r="CO1780" s="0" t="s">
        <v>130</v>
      </c>
      <c r="CP1780" s="0" t="s">
        <v>130</v>
      </c>
      <c r="CQ1780" s="0" t="s">
        <v>130</v>
      </c>
      <c r="CR1780" s="0" t="s">
        <v>130</v>
      </c>
      <c r="CS1780" s="0" t="s">
        <v>130</v>
      </c>
      <c r="CT1780" s="0" t="s">
        <v>5079</v>
      </c>
    </row>
    <row r="1781">
      <c r="A1781" s="14">
        <v>101372</v>
      </c>
      <c r="B1781" s="0" t="s">
        <v>1566</v>
      </c>
      <c r="C1781" s="16">
        <f>HYPERLINK("https://eosportal.federatedhermes.com/companies/Q29tcGFueQppNjI0NjU=", "Truist Financial Corp")</f>
      </c>
      <c r="D1781" s="0" t="s">
        <v>25</v>
      </c>
      <c r="E1781" s="0" t="s">
        <v>5080</v>
      </c>
      <c r="F1781" s="16">
        <f>HYPERLINK("https://eosportal.federatedhermes.com/engagements/RW5nYWdlbWVudAppMzA2Mjk=", "Deforestation")</f>
      </c>
      <c r="G1781" s="14" t="s">
        <v>5081</v>
      </c>
      <c r="H1781" s="0" t="s">
        <v>130</v>
      </c>
      <c r="I1781" s="14" t="s">
        <v>131</v>
      </c>
      <c r="J1781" s="0" t="s">
        <v>197</v>
      </c>
      <c r="K1781" s="0" t="s">
        <v>337</v>
      </c>
      <c r="L1781" s="0" t="s">
        <v>576</v>
      </c>
      <c r="M1781" s="0" t="s">
        <v>135</v>
      </c>
      <c r="N1781" s="0" t="s">
        <v>136</v>
      </c>
      <c r="O1781" s="0" t="s">
        <v>238</v>
      </c>
      <c r="Q1781" s="0" t="s">
        <v>130</v>
      </c>
      <c r="R1781" s="0" t="s">
        <v>138</v>
      </c>
      <c r="S1781" s="14">
        <v>0</v>
      </c>
      <c r="T1781" s="0" t="s">
        <v>231</v>
      </c>
      <c r="U1781" s="0" t="s">
        <v>138</v>
      </c>
      <c r="V1781" s="14" t="s">
        <v>138</v>
      </c>
      <c r="W1781" s="0" t="s">
        <v>138</v>
      </c>
      <c r="X1781" s="14" t="s">
        <v>138</v>
      </c>
      <c r="Y1781" s="0" t="s">
        <v>138</v>
      </c>
      <c r="Z1781" s="14" t="s">
        <v>138</v>
      </c>
      <c r="AA1781" s="0" t="s">
        <v>138</v>
      </c>
      <c r="AB1781" s="14" t="s">
        <v>138</v>
      </c>
      <c r="AD1781" s="0" t="s">
        <v>138</v>
      </c>
      <c r="AF1781" s="0">
        <v>0</v>
      </c>
      <c r="AG1781" s="0">
        <v>0</v>
      </c>
      <c r="AH1781" s="0" t="s">
        <v>140</v>
      </c>
      <c r="AI1781" s="0" t="s">
        <v>138</v>
      </c>
      <c r="AL1781" s="14"/>
      <c r="AN1781" s="14"/>
      <c r="AQ1781" s="0" t="s">
        <v>130</v>
      </c>
      <c r="AR1781" s="0" t="s">
        <v>130</v>
      </c>
      <c r="AS1781" s="0" t="s">
        <v>130</v>
      </c>
      <c r="AT1781" s="0" t="s">
        <v>130</v>
      </c>
      <c r="AU1781" s="0" t="s">
        <v>130</v>
      </c>
      <c r="AV1781" s="0" t="s">
        <v>130</v>
      </c>
      <c r="AW1781" s="0" t="s">
        <v>130</v>
      </c>
      <c r="AX1781" s="0" t="s">
        <v>130</v>
      </c>
      <c r="AY1781" s="0" t="s">
        <v>130</v>
      </c>
      <c r="AZ1781" s="0" t="s">
        <v>130</v>
      </c>
      <c r="BA1781" s="0" t="s">
        <v>130</v>
      </c>
      <c r="BB1781" s="0" t="s">
        <v>141</v>
      </c>
      <c r="BC1781" s="0" t="s">
        <v>130</v>
      </c>
      <c r="BD1781" s="0" t="s">
        <v>130</v>
      </c>
      <c r="BE1781" s="0" t="s">
        <v>141</v>
      </c>
      <c r="BF1781" s="0" t="s">
        <v>130</v>
      </c>
      <c r="BG1781" s="0" t="s">
        <v>130</v>
      </c>
      <c r="BH1781" s="0" t="s">
        <v>130</v>
      </c>
      <c r="BI1781" s="0" t="s">
        <v>130</v>
      </c>
      <c r="BJ1781" s="0" t="s">
        <v>130</v>
      </c>
      <c r="BK1781" s="0" t="s">
        <v>130</v>
      </c>
      <c r="BL1781" s="0" t="s">
        <v>130</v>
      </c>
      <c r="BM1781" s="0" t="s">
        <v>130</v>
      </c>
      <c r="BN1781" s="0" t="s">
        <v>130</v>
      </c>
      <c r="BO1781" s="0" t="s">
        <v>130</v>
      </c>
      <c r="BP1781" s="0" t="s">
        <v>130</v>
      </c>
      <c r="BQ1781" s="0" t="s">
        <v>130</v>
      </c>
      <c r="BR1781" s="0" t="s">
        <v>130</v>
      </c>
      <c r="BS1781" s="0" t="s">
        <v>130</v>
      </c>
      <c r="BT1781" s="0" t="s">
        <v>130</v>
      </c>
      <c r="BU1781" s="0" t="s">
        <v>130</v>
      </c>
      <c r="BV1781" s="0" t="s">
        <v>130</v>
      </c>
      <c r="BW1781" s="0" t="s">
        <v>130</v>
      </c>
      <c r="BX1781" s="0" t="s">
        <v>130</v>
      </c>
      <c r="BY1781" s="0" t="s">
        <v>130</v>
      </c>
      <c r="BZ1781" s="0" t="s">
        <v>130</v>
      </c>
      <c r="CA1781" s="0" t="s">
        <v>130</v>
      </c>
      <c r="CB1781" s="0" t="s">
        <v>130</v>
      </c>
      <c r="CC1781" s="0" t="s">
        <v>130</v>
      </c>
      <c r="CD1781" s="0" t="s">
        <v>130</v>
      </c>
      <c r="CE1781" s="0" t="s">
        <v>130</v>
      </c>
      <c r="CF1781" s="0" t="s">
        <v>130</v>
      </c>
      <c r="CG1781" s="0" t="s">
        <v>130</v>
      </c>
      <c r="CH1781" s="0" t="s">
        <v>130</v>
      </c>
      <c r="CI1781" s="0" t="s">
        <v>130</v>
      </c>
      <c r="CJ1781" s="0" t="s">
        <v>130</v>
      </c>
      <c r="CK1781" s="0" t="s">
        <v>130</v>
      </c>
      <c r="CL1781" s="0" t="s">
        <v>130</v>
      </c>
      <c r="CM1781" s="0" t="s">
        <v>130</v>
      </c>
      <c r="CN1781" s="0" t="s">
        <v>130</v>
      </c>
      <c r="CO1781" s="0" t="s">
        <v>130</v>
      </c>
      <c r="CP1781" s="0" t="s">
        <v>130</v>
      </c>
      <c r="CQ1781" s="0" t="s">
        <v>130</v>
      </c>
      <c r="CR1781" s="0" t="s">
        <v>130</v>
      </c>
      <c r="CS1781" s="0" t="s">
        <v>130</v>
      </c>
      <c r="CT1781" s="0" t="s">
        <v>5082</v>
      </c>
    </row>
    <row r="1782">
      <c r="A1782" s="14">
        <v>115230</v>
      </c>
      <c r="B1782" s="0" t="s">
        <v>2352</v>
      </c>
      <c r="C1782" s="16">
        <f>HYPERLINK("https://eosportal.federatedhermes.com/companies/Q29tcGFueQppNjI0OTg=", "Air Liquide SA")</f>
      </c>
      <c r="D1782" s="0" t="s">
        <v>25</v>
      </c>
      <c r="E1782" s="0" t="s">
        <v>5083</v>
      </c>
      <c r="F1782" s="16">
        <f>HYPERLINK("https://eosportal.federatedhermes.com/engagements/RW5nYWdlbWVudAppMzA2Mzg=", "Human rights harms - Ukraine and Russia conflict")</f>
      </c>
      <c r="G1782" s="14" t="s">
        <v>5084</v>
      </c>
      <c r="H1782" s="0" t="s">
        <v>141</v>
      </c>
      <c r="I1782" s="14" t="s">
        <v>1645</v>
      </c>
      <c r="J1782" s="0" t="s">
        <v>153</v>
      </c>
      <c r="K1782" s="0" t="s">
        <v>243</v>
      </c>
      <c r="L1782" s="0" t="s">
        <v>456</v>
      </c>
      <c r="M1782" s="0" t="s">
        <v>378</v>
      </c>
      <c r="N1782" s="0" t="s">
        <v>1646</v>
      </c>
      <c r="O1782" s="0" t="s">
        <v>706</v>
      </c>
      <c r="Q1782" s="0" t="s">
        <v>130</v>
      </c>
      <c r="R1782" s="0" t="s">
        <v>138</v>
      </c>
      <c r="S1782" s="14">
        <v>0</v>
      </c>
      <c r="T1782" s="0" t="s">
        <v>583</v>
      </c>
      <c r="U1782" s="0" t="s">
        <v>138</v>
      </c>
      <c r="V1782" s="14" t="s">
        <v>138</v>
      </c>
      <c r="W1782" s="0" t="s">
        <v>138</v>
      </c>
      <c r="X1782" s="14" t="s">
        <v>138</v>
      </c>
      <c r="Y1782" s="0" t="s">
        <v>138</v>
      </c>
      <c r="Z1782" s="14" t="s">
        <v>138</v>
      </c>
      <c r="AA1782" s="0" t="s">
        <v>138</v>
      </c>
      <c r="AB1782" s="14" t="s">
        <v>138</v>
      </c>
      <c r="AD1782" s="0" t="s">
        <v>138</v>
      </c>
      <c r="AF1782" s="0">
        <v>0</v>
      </c>
      <c r="AG1782" s="0">
        <v>0</v>
      </c>
      <c r="AH1782" s="0" t="s">
        <v>140</v>
      </c>
      <c r="AI1782" s="0" t="s">
        <v>138</v>
      </c>
      <c r="AL1782" s="14"/>
      <c r="AN1782" s="14"/>
      <c r="AQ1782" s="0" t="s">
        <v>130</v>
      </c>
      <c r="AR1782" s="0" t="s">
        <v>130</v>
      </c>
      <c r="AS1782" s="0" t="s">
        <v>130</v>
      </c>
      <c r="AT1782" s="0" t="s">
        <v>130</v>
      </c>
      <c r="AU1782" s="0" t="s">
        <v>130</v>
      </c>
      <c r="AV1782" s="0" t="s">
        <v>130</v>
      </c>
      <c r="AW1782" s="0" t="s">
        <v>130</v>
      </c>
      <c r="AX1782" s="0" t="s">
        <v>141</v>
      </c>
      <c r="AY1782" s="0" t="s">
        <v>130</v>
      </c>
      <c r="AZ1782" s="0" t="s">
        <v>130</v>
      </c>
      <c r="BA1782" s="0" t="s">
        <v>130</v>
      </c>
      <c r="BB1782" s="0" t="s">
        <v>130</v>
      </c>
      <c r="BC1782" s="0" t="s">
        <v>130</v>
      </c>
      <c r="BD1782" s="0" t="s">
        <v>130</v>
      </c>
      <c r="BE1782" s="0" t="s">
        <v>130</v>
      </c>
      <c r="BF1782" s="0" t="s">
        <v>141</v>
      </c>
      <c r="BG1782" s="0" t="s">
        <v>130</v>
      </c>
      <c r="BH1782" s="0" t="s">
        <v>130</v>
      </c>
      <c r="BI1782" s="0" t="s">
        <v>130</v>
      </c>
      <c r="BJ1782" s="0" t="s">
        <v>130</v>
      </c>
      <c r="BK1782" s="0" t="s">
        <v>130</v>
      </c>
      <c r="BL1782" s="0" t="s">
        <v>130</v>
      </c>
      <c r="BM1782" s="0" t="s">
        <v>130</v>
      </c>
      <c r="BN1782" s="0" t="s">
        <v>130</v>
      </c>
      <c r="BO1782" s="0" t="s">
        <v>130</v>
      </c>
      <c r="BP1782" s="0" t="s">
        <v>130</v>
      </c>
      <c r="BQ1782" s="0" t="s">
        <v>130</v>
      </c>
      <c r="BR1782" s="0" t="s">
        <v>130</v>
      </c>
      <c r="BS1782" s="0" t="s">
        <v>130</v>
      </c>
      <c r="BT1782" s="0" t="s">
        <v>130</v>
      </c>
      <c r="BU1782" s="0" t="s">
        <v>130</v>
      </c>
      <c r="BV1782" s="0" t="s">
        <v>130</v>
      </c>
      <c r="BW1782" s="0" t="s">
        <v>130</v>
      </c>
      <c r="BX1782" s="0" t="s">
        <v>130</v>
      </c>
      <c r="BY1782" s="0" t="s">
        <v>130</v>
      </c>
      <c r="BZ1782" s="0" t="s">
        <v>130</v>
      </c>
      <c r="CA1782" s="0" t="s">
        <v>130</v>
      </c>
      <c r="CB1782" s="0" t="s">
        <v>130</v>
      </c>
      <c r="CC1782" s="0" t="s">
        <v>130</v>
      </c>
      <c r="CD1782" s="0" t="s">
        <v>130</v>
      </c>
      <c r="CE1782" s="0" t="s">
        <v>130</v>
      </c>
      <c r="CF1782" s="0" t="s">
        <v>130</v>
      </c>
      <c r="CG1782" s="0" t="s">
        <v>130</v>
      </c>
      <c r="CH1782" s="0" t="s">
        <v>130</v>
      </c>
      <c r="CI1782" s="0" t="s">
        <v>130</v>
      </c>
      <c r="CJ1782" s="0" t="s">
        <v>130</v>
      </c>
      <c r="CK1782" s="0" t="s">
        <v>130</v>
      </c>
      <c r="CL1782" s="0" t="s">
        <v>130</v>
      </c>
      <c r="CM1782" s="0" t="s">
        <v>130</v>
      </c>
      <c r="CN1782" s="0" t="s">
        <v>130</v>
      </c>
      <c r="CO1782" s="0" t="s">
        <v>130</v>
      </c>
      <c r="CP1782" s="0" t="s">
        <v>130</v>
      </c>
      <c r="CQ1782" s="0" t="s">
        <v>130</v>
      </c>
      <c r="CR1782" s="0" t="s">
        <v>130</v>
      </c>
      <c r="CS1782" s="0" t="s">
        <v>130</v>
      </c>
      <c r="CT1782" s="0" t="s">
        <v>5085</v>
      </c>
    </row>
    <row r="1783">
      <c r="A1783" s="14">
        <v>1442748</v>
      </c>
      <c r="B1783" s="0" t="s">
        <v>3624</v>
      </c>
      <c r="C1783" s="16">
        <f>HYPERLINK("https://eosportal.federatedhermes.com/companies/Q29tcGFueQppNjI1MDA=", "Mitsubishi UFJ Financial Group Inc")</f>
      </c>
      <c r="D1783" s="0" t="s">
        <v>25</v>
      </c>
      <c r="E1783" s="0" t="s">
        <v>5010</v>
      </c>
      <c r="F1783" s="16">
        <f>HYPERLINK("https://eosportal.federatedhermes.com/engagements/RW5nYWdlbWVudAppMzA2Mzk=", "Russia-Ukraine Conflict")</f>
      </c>
      <c r="G1783" s="14" t="s">
        <v>5065</v>
      </c>
      <c r="H1783" s="0" t="s">
        <v>141</v>
      </c>
      <c r="I1783" s="14" t="s">
        <v>1645</v>
      </c>
      <c r="J1783" s="0" t="s">
        <v>153</v>
      </c>
      <c r="K1783" s="0" t="s">
        <v>243</v>
      </c>
      <c r="L1783" s="0" t="s">
        <v>456</v>
      </c>
      <c r="M1783" s="0" t="s">
        <v>802</v>
      </c>
      <c r="N1783" s="0" t="s">
        <v>952</v>
      </c>
      <c r="O1783" s="0" t="s">
        <v>238</v>
      </c>
      <c r="Q1783" s="0" t="s">
        <v>130</v>
      </c>
      <c r="R1783" s="0" t="s">
        <v>138</v>
      </c>
      <c r="S1783" s="14">
        <v>0</v>
      </c>
      <c r="T1783" s="0" t="s">
        <v>583</v>
      </c>
      <c r="U1783" s="0" t="s">
        <v>138</v>
      </c>
      <c r="V1783" s="14" t="s">
        <v>138</v>
      </c>
      <c r="W1783" s="0" t="s">
        <v>138</v>
      </c>
      <c r="X1783" s="14" t="s">
        <v>138</v>
      </c>
      <c r="Y1783" s="0" t="s">
        <v>138</v>
      </c>
      <c r="Z1783" s="14" t="s">
        <v>138</v>
      </c>
      <c r="AA1783" s="0" t="s">
        <v>138</v>
      </c>
      <c r="AB1783" s="14" t="s">
        <v>138</v>
      </c>
      <c r="AD1783" s="0" t="s">
        <v>138</v>
      </c>
      <c r="AF1783" s="0">
        <v>0</v>
      </c>
      <c r="AG1783" s="0">
        <v>0</v>
      </c>
      <c r="AH1783" s="0" t="s">
        <v>140</v>
      </c>
      <c r="AI1783" s="0" t="s">
        <v>138</v>
      </c>
      <c r="AL1783" s="14"/>
      <c r="AN1783" s="14"/>
      <c r="AQ1783" s="0" t="s">
        <v>130</v>
      </c>
      <c r="AR1783" s="0" t="s">
        <v>130</v>
      </c>
      <c r="AS1783" s="0" t="s">
        <v>130</v>
      </c>
      <c r="AT1783" s="0" t="s">
        <v>130</v>
      </c>
      <c r="AU1783" s="0" t="s">
        <v>130</v>
      </c>
      <c r="AV1783" s="0" t="s">
        <v>130</v>
      </c>
      <c r="AW1783" s="0" t="s">
        <v>130</v>
      </c>
      <c r="AX1783" s="0" t="s">
        <v>141</v>
      </c>
      <c r="AY1783" s="0" t="s">
        <v>130</v>
      </c>
      <c r="AZ1783" s="0" t="s">
        <v>130</v>
      </c>
      <c r="BA1783" s="0" t="s">
        <v>130</v>
      </c>
      <c r="BB1783" s="0" t="s">
        <v>130</v>
      </c>
      <c r="BC1783" s="0" t="s">
        <v>130</v>
      </c>
      <c r="BD1783" s="0" t="s">
        <v>130</v>
      </c>
      <c r="BE1783" s="0" t="s">
        <v>130</v>
      </c>
      <c r="BF1783" s="0" t="s">
        <v>141</v>
      </c>
      <c r="BG1783" s="0" t="s">
        <v>130</v>
      </c>
      <c r="BH1783" s="0" t="s">
        <v>130</v>
      </c>
      <c r="BI1783" s="0" t="s">
        <v>130</v>
      </c>
      <c r="BJ1783" s="0" t="s">
        <v>130</v>
      </c>
      <c r="BK1783" s="0" t="s">
        <v>130</v>
      </c>
      <c r="BL1783" s="0" t="s">
        <v>130</v>
      </c>
      <c r="BM1783" s="0" t="s">
        <v>130</v>
      </c>
      <c r="BN1783" s="0" t="s">
        <v>130</v>
      </c>
      <c r="BO1783" s="0" t="s">
        <v>130</v>
      </c>
      <c r="BP1783" s="0" t="s">
        <v>130</v>
      </c>
      <c r="BQ1783" s="0" t="s">
        <v>130</v>
      </c>
      <c r="BR1783" s="0" t="s">
        <v>130</v>
      </c>
      <c r="BS1783" s="0" t="s">
        <v>130</v>
      </c>
      <c r="BT1783" s="0" t="s">
        <v>130</v>
      </c>
      <c r="BU1783" s="0" t="s">
        <v>130</v>
      </c>
      <c r="BV1783" s="0" t="s">
        <v>130</v>
      </c>
      <c r="BW1783" s="0" t="s">
        <v>130</v>
      </c>
      <c r="BX1783" s="0" t="s">
        <v>130</v>
      </c>
      <c r="BY1783" s="0" t="s">
        <v>130</v>
      </c>
      <c r="BZ1783" s="0" t="s">
        <v>130</v>
      </c>
      <c r="CA1783" s="0" t="s">
        <v>130</v>
      </c>
      <c r="CB1783" s="0" t="s">
        <v>130</v>
      </c>
      <c r="CC1783" s="0" t="s">
        <v>130</v>
      </c>
      <c r="CD1783" s="0" t="s">
        <v>130</v>
      </c>
      <c r="CE1783" s="0" t="s">
        <v>130</v>
      </c>
      <c r="CF1783" s="0" t="s">
        <v>130</v>
      </c>
      <c r="CG1783" s="0" t="s">
        <v>130</v>
      </c>
      <c r="CH1783" s="0" t="s">
        <v>130</v>
      </c>
      <c r="CI1783" s="0" t="s">
        <v>130</v>
      </c>
      <c r="CJ1783" s="0" t="s">
        <v>130</v>
      </c>
      <c r="CK1783" s="0" t="s">
        <v>130</v>
      </c>
      <c r="CL1783" s="0" t="s">
        <v>130</v>
      </c>
      <c r="CM1783" s="0" t="s">
        <v>130</v>
      </c>
      <c r="CN1783" s="0" t="s">
        <v>130</v>
      </c>
      <c r="CO1783" s="0" t="s">
        <v>130</v>
      </c>
      <c r="CP1783" s="0" t="s">
        <v>130</v>
      </c>
      <c r="CQ1783" s="0" t="s">
        <v>130</v>
      </c>
      <c r="CR1783" s="0" t="s">
        <v>130</v>
      </c>
      <c r="CS1783" s="0" t="s">
        <v>130</v>
      </c>
      <c r="CT1783" s="0" t="s">
        <v>5086</v>
      </c>
    </row>
    <row r="1784">
      <c r="A1784" s="14">
        <v>101605</v>
      </c>
      <c r="B1784" s="0" t="s">
        <v>1797</v>
      </c>
      <c r="C1784" s="16">
        <f>HYPERLINK("https://eosportal.federatedhermes.com/companies/Q29tcGFueQppNjI1MDc=", "Vodafone Group PLC")</f>
      </c>
      <c r="D1784" s="0" t="s">
        <v>25</v>
      </c>
      <c r="E1784" s="0" t="s">
        <v>5087</v>
      </c>
      <c r="F1784" s="16">
        <f>HYPERLINK("https://eosportal.federatedhermes.com/engagements/RW5nYWdlbWVudAppMzA2NDA=", "Board ethnic diversity")</f>
      </c>
      <c r="G1784" s="14" t="s">
        <v>5088</v>
      </c>
      <c r="H1784" s="0" t="s">
        <v>130</v>
      </c>
      <c r="I1784" s="14" t="s">
        <v>319</v>
      </c>
      <c r="J1784" s="0" t="s">
        <v>145</v>
      </c>
      <c r="K1784" s="0" t="s">
        <v>164</v>
      </c>
      <c r="L1784" s="0" t="s">
        <v>165</v>
      </c>
      <c r="M1784" s="0" t="s">
        <v>272</v>
      </c>
      <c r="N1784" s="0" t="s">
        <v>273</v>
      </c>
      <c r="O1784" s="0" t="s">
        <v>137</v>
      </c>
      <c r="Q1784" s="0" t="s">
        <v>130</v>
      </c>
      <c r="R1784" s="0" t="s">
        <v>138</v>
      </c>
      <c r="S1784" s="14">
        <v>0</v>
      </c>
      <c r="T1784" s="0" t="s">
        <v>597</v>
      </c>
      <c r="U1784" s="0" t="s">
        <v>138</v>
      </c>
      <c r="V1784" s="14" t="s">
        <v>138</v>
      </c>
      <c r="W1784" s="0" t="s">
        <v>138</v>
      </c>
      <c r="X1784" s="14" t="s">
        <v>138</v>
      </c>
      <c r="Y1784" s="0" t="s">
        <v>138</v>
      </c>
      <c r="Z1784" s="14" t="s">
        <v>138</v>
      </c>
      <c r="AA1784" s="0" t="s">
        <v>138</v>
      </c>
      <c r="AB1784" s="14" t="s">
        <v>138</v>
      </c>
      <c r="AD1784" s="0" t="s">
        <v>138</v>
      </c>
      <c r="AF1784" s="0">
        <v>0</v>
      </c>
      <c r="AG1784" s="0">
        <v>0</v>
      </c>
      <c r="AH1784" s="0" t="s">
        <v>140</v>
      </c>
      <c r="AI1784" s="0" t="s">
        <v>138</v>
      </c>
      <c r="AL1784" s="14"/>
      <c r="AN1784" s="14"/>
      <c r="AQ1784" s="0" t="s">
        <v>130</v>
      </c>
      <c r="AR1784" s="0" t="s">
        <v>130</v>
      </c>
      <c r="AS1784" s="0" t="s">
        <v>130</v>
      </c>
      <c r="AT1784" s="0" t="s">
        <v>130</v>
      </c>
      <c r="AU1784" s="0" t="s">
        <v>130</v>
      </c>
      <c r="AV1784" s="0" t="s">
        <v>130</v>
      </c>
      <c r="AW1784" s="0" t="s">
        <v>130</v>
      </c>
      <c r="AX1784" s="0" t="s">
        <v>130</v>
      </c>
      <c r="AY1784" s="0" t="s">
        <v>130</v>
      </c>
      <c r="AZ1784" s="0" t="s">
        <v>141</v>
      </c>
      <c r="BA1784" s="0" t="s">
        <v>130</v>
      </c>
      <c r="BB1784" s="0" t="s">
        <v>130</v>
      </c>
      <c r="BC1784" s="0" t="s">
        <v>130</v>
      </c>
      <c r="BD1784" s="0" t="s">
        <v>130</v>
      </c>
      <c r="BE1784" s="0" t="s">
        <v>130</v>
      </c>
      <c r="BF1784" s="0" t="s">
        <v>130</v>
      </c>
      <c r="BG1784" s="0" t="s">
        <v>130</v>
      </c>
      <c r="BH1784" s="0" t="s">
        <v>130</v>
      </c>
      <c r="BI1784" s="0" t="s">
        <v>130</v>
      </c>
      <c r="BJ1784" s="0" t="s">
        <v>130</v>
      </c>
      <c r="BK1784" s="0" t="s">
        <v>130</v>
      </c>
      <c r="BL1784" s="0" t="s">
        <v>130</v>
      </c>
      <c r="BM1784" s="0" t="s">
        <v>130</v>
      </c>
      <c r="BN1784" s="0" t="s">
        <v>130</v>
      </c>
      <c r="BO1784" s="0" t="s">
        <v>130</v>
      </c>
      <c r="BP1784" s="0" t="s">
        <v>130</v>
      </c>
      <c r="BQ1784" s="0" t="s">
        <v>130</v>
      </c>
      <c r="BR1784" s="0" t="s">
        <v>130</v>
      </c>
      <c r="BS1784" s="0" t="s">
        <v>130</v>
      </c>
      <c r="BT1784" s="0" t="s">
        <v>130</v>
      </c>
      <c r="BU1784" s="0" t="s">
        <v>130</v>
      </c>
      <c r="BV1784" s="0" t="s">
        <v>130</v>
      </c>
      <c r="BW1784" s="0" t="s">
        <v>130</v>
      </c>
      <c r="BX1784" s="0" t="s">
        <v>130</v>
      </c>
      <c r="BY1784" s="0" t="s">
        <v>130</v>
      </c>
      <c r="BZ1784" s="0" t="s">
        <v>130</v>
      </c>
      <c r="CA1784" s="0" t="s">
        <v>130</v>
      </c>
      <c r="CB1784" s="0" t="s">
        <v>130</v>
      </c>
      <c r="CC1784" s="0" t="s">
        <v>130</v>
      </c>
      <c r="CD1784" s="0" t="s">
        <v>130</v>
      </c>
      <c r="CE1784" s="0" t="s">
        <v>130</v>
      </c>
      <c r="CF1784" s="0" t="s">
        <v>130</v>
      </c>
      <c r="CG1784" s="0" t="s">
        <v>130</v>
      </c>
      <c r="CH1784" s="0" t="s">
        <v>130</v>
      </c>
      <c r="CI1784" s="0" t="s">
        <v>130</v>
      </c>
      <c r="CJ1784" s="0" t="s">
        <v>130</v>
      </c>
      <c r="CK1784" s="0" t="s">
        <v>130</v>
      </c>
      <c r="CL1784" s="0" t="s">
        <v>130</v>
      </c>
      <c r="CM1784" s="0" t="s">
        <v>130</v>
      </c>
      <c r="CN1784" s="0" t="s">
        <v>130</v>
      </c>
      <c r="CO1784" s="0" t="s">
        <v>130</v>
      </c>
      <c r="CP1784" s="0" t="s">
        <v>130</v>
      </c>
      <c r="CQ1784" s="0" t="s">
        <v>130</v>
      </c>
      <c r="CR1784" s="0" t="s">
        <v>130</v>
      </c>
      <c r="CS1784" s="0" t="s">
        <v>130</v>
      </c>
      <c r="CT1784" s="0" t="s">
        <v>5089</v>
      </c>
    </row>
    <row r="1785">
      <c r="A1785" s="14">
        <v>115518</v>
      </c>
      <c r="B1785" s="0" t="s">
        <v>2451</v>
      </c>
      <c r="C1785" s="16">
        <f>HYPERLINK("https://eosportal.federatedhermes.com/companies/Q29tcGFueQppNjMxNjU=", "Schneider Electric SE")</f>
      </c>
      <c r="D1785" s="0" t="s">
        <v>25</v>
      </c>
      <c r="E1785" s="0" t="s">
        <v>146</v>
      </c>
      <c r="F1785" s="16">
        <f>HYPERLINK("https://eosportal.federatedhermes.com/engagements/RW5nYWdlbWVudAppMzA2NDc=", "Executive Remuneration")</f>
      </c>
      <c r="G1785" s="14" t="s">
        <v>5090</v>
      </c>
      <c r="H1785" s="0" t="s">
        <v>141</v>
      </c>
      <c r="I1785" s="14" t="s">
        <v>131</v>
      </c>
      <c r="J1785" s="0" t="s">
        <v>145</v>
      </c>
      <c r="K1785" s="0" t="s">
        <v>146</v>
      </c>
      <c r="L1785" s="0" t="s">
        <v>147</v>
      </c>
      <c r="M1785" s="0" t="s">
        <v>378</v>
      </c>
      <c r="N1785" s="0" t="s">
        <v>1646</v>
      </c>
      <c r="O1785" s="0" t="s">
        <v>176</v>
      </c>
      <c r="Q1785" s="0" t="s">
        <v>130</v>
      </c>
      <c r="R1785" s="0" t="s">
        <v>138</v>
      </c>
      <c r="S1785" s="14">
        <v>0</v>
      </c>
      <c r="T1785" s="0" t="s">
        <v>231</v>
      </c>
      <c r="U1785" s="0" t="s">
        <v>138</v>
      </c>
      <c r="V1785" s="14" t="s">
        <v>138</v>
      </c>
      <c r="W1785" s="0" t="s">
        <v>138</v>
      </c>
      <c r="X1785" s="14" t="s">
        <v>138</v>
      </c>
      <c r="Y1785" s="0" t="s">
        <v>138</v>
      </c>
      <c r="Z1785" s="14" t="s">
        <v>138</v>
      </c>
      <c r="AA1785" s="0" t="s">
        <v>138</v>
      </c>
      <c r="AB1785" s="14" t="s">
        <v>138</v>
      </c>
      <c r="AD1785" s="0" t="s">
        <v>138</v>
      </c>
      <c r="AF1785" s="0">
        <v>0</v>
      </c>
      <c r="AG1785" s="0">
        <v>0</v>
      </c>
      <c r="AH1785" s="0" t="s">
        <v>140</v>
      </c>
      <c r="AI1785" s="0" t="s">
        <v>138</v>
      </c>
      <c r="AL1785" s="14"/>
      <c r="AN1785" s="14"/>
      <c r="AQ1785" s="0" t="s">
        <v>130</v>
      </c>
      <c r="AR1785" s="0" t="s">
        <v>130</v>
      </c>
      <c r="AS1785" s="0" t="s">
        <v>130</v>
      </c>
      <c r="AT1785" s="0" t="s">
        <v>130</v>
      </c>
      <c r="AU1785" s="0" t="s">
        <v>130</v>
      </c>
      <c r="AV1785" s="0" t="s">
        <v>130</v>
      </c>
      <c r="AW1785" s="0" t="s">
        <v>130</v>
      </c>
      <c r="AX1785" s="0" t="s">
        <v>130</v>
      </c>
      <c r="AY1785" s="0" t="s">
        <v>130</v>
      </c>
      <c r="AZ1785" s="0" t="s">
        <v>130</v>
      </c>
      <c r="BA1785" s="0" t="s">
        <v>130</v>
      </c>
      <c r="BB1785" s="0" t="s">
        <v>130</v>
      </c>
      <c r="BC1785" s="0" t="s">
        <v>130</v>
      </c>
      <c r="BD1785" s="0" t="s">
        <v>130</v>
      </c>
      <c r="BE1785" s="0" t="s">
        <v>130</v>
      </c>
      <c r="BF1785" s="0" t="s">
        <v>130</v>
      </c>
      <c r="BG1785" s="0" t="s">
        <v>130</v>
      </c>
      <c r="BH1785" s="0" t="s">
        <v>130</v>
      </c>
      <c r="BI1785" s="0" t="s">
        <v>130</v>
      </c>
      <c r="BJ1785" s="0" t="s">
        <v>130</v>
      </c>
      <c r="BK1785" s="0" t="s">
        <v>130</v>
      </c>
      <c r="BL1785" s="0" t="s">
        <v>130</v>
      </c>
      <c r="BM1785" s="0" t="s">
        <v>130</v>
      </c>
      <c r="BN1785" s="0" t="s">
        <v>130</v>
      </c>
      <c r="BO1785" s="0" t="s">
        <v>130</v>
      </c>
      <c r="BP1785" s="0" t="s">
        <v>130</v>
      </c>
      <c r="BQ1785" s="0" t="s">
        <v>130</v>
      </c>
      <c r="BR1785" s="0" t="s">
        <v>130</v>
      </c>
      <c r="BS1785" s="0" t="s">
        <v>130</v>
      </c>
      <c r="BT1785" s="0" t="s">
        <v>130</v>
      </c>
      <c r="BU1785" s="0" t="s">
        <v>130</v>
      </c>
      <c r="BV1785" s="0" t="s">
        <v>130</v>
      </c>
      <c r="BW1785" s="0" t="s">
        <v>130</v>
      </c>
      <c r="BX1785" s="0" t="s">
        <v>130</v>
      </c>
      <c r="BY1785" s="0" t="s">
        <v>130</v>
      </c>
      <c r="BZ1785" s="0" t="s">
        <v>130</v>
      </c>
      <c r="CA1785" s="0" t="s">
        <v>130</v>
      </c>
      <c r="CB1785" s="0" t="s">
        <v>130</v>
      </c>
      <c r="CC1785" s="0" t="s">
        <v>130</v>
      </c>
      <c r="CD1785" s="0" t="s">
        <v>130</v>
      </c>
      <c r="CE1785" s="0" t="s">
        <v>130</v>
      </c>
      <c r="CF1785" s="0" t="s">
        <v>130</v>
      </c>
      <c r="CG1785" s="0" t="s">
        <v>130</v>
      </c>
      <c r="CH1785" s="0" t="s">
        <v>130</v>
      </c>
      <c r="CI1785" s="0" t="s">
        <v>130</v>
      </c>
      <c r="CJ1785" s="0" t="s">
        <v>130</v>
      </c>
      <c r="CK1785" s="0" t="s">
        <v>130</v>
      </c>
      <c r="CL1785" s="0" t="s">
        <v>130</v>
      </c>
      <c r="CM1785" s="0" t="s">
        <v>130</v>
      </c>
      <c r="CN1785" s="0" t="s">
        <v>130</v>
      </c>
      <c r="CO1785" s="0" t="s">
        <v>130</v>
      </c>
      <c r="CP1785" s="0" t="s">
        <v>130</v>
      </c>
      <c r="CQ1785" s="0" t="s">
        <v>130</v>
      </c>
      <c r="CR1785" s="0" t="s">
        <v>130</v>
      </c>
      <c r="CS1785" s="0" t="s">
        <v>130</v>
      </c>
      <c r="CT1785" s="0" t="s">
        <v>5091</v>
      </c>
    </row>
    <row r="1786">
      <c r="A1786" s="14">
        <v>101491</v>
      </c>
      <c r="B1786" s="0" t="s">
        <v>1642</v>
      </c>
      <c r="C1786" s="16">
        <f>HYPERLINK("https://eosportal.federatedhermes.com/companies/Q29tcGFueQppNjMzMzM=", "TotalEnergies SE")</f>
      </c>
      <c r="D1786" s="0" t="s">
        <v>25</v>
      </c>
      <c r="E1786" s="0" t="s">
        <v>341</v>
      </c>
      <c r="F1786" s="16">
        <f>HYPERLINK("https://eosportal.federatedhermes.com/engagements/RW5nYWdlbWVudAppMzA2NTE=", "Remuneration")</f>
      </c>
      <c r="G1786" s="14" t="s">
        <v>5092</v>
      </c>
      <c r="H1786" s="0" t="s">
        <v>141</v>
      </c>
      <c r="I1786" s="14" t="s">
        <v>1645</v>
      </c>
      <c r="J1786" s="0" t="s">
        <v>145</v>
      </c>
      <c r="K1786" s="0" t="s">
        <v>146</v>
      </c>
      <c r="L1786" s="0" t="s">
        <v>147</v>
      </c>
      <c r="M1786" s="0" t="s">
        <v>378</v>
      </c>
      <c r="N1786" s="0" t="s">
        <v>1646</v>
      </c>
      <c r="O1786" s="0" t="s">
        <v>542</v>
      </c>
      <c r="Q1786" s="0" t="s">
        <v>130</v>
      </c>
      <c r="R1786" s="0" t="s">
        <v>138</v>
      </c>
      <c r="S1786" s="14">
        <v>0</v>
      </c>
      <c r="T1786" s="0" t="s">
        <v>355</v>
      </c>
      <c r="U1786" s="0" t="s">
        <v>138</v>
      </c>
      <c r="V1786" s="14" t="s">
        <v>138</v>
      </c>
      <c r="W1786" s="0" t="s">
        <v>138</v>
      </c>
      <c r="X1786" s="14" t="s">
        <v>138</v>
      </c>
      <c r="Y1786" s="0" t="s">
        <v>138</v>
      </c>
      <c r="Z1786" s="14" t="s">
        <v>138</v>
      </c>
      <c r="AA1786" s="0" t="s">
        <v>138</v>
      </c>
      <c r="AB1786" s="14" t="s">
        <v>138</v>
      </c>
      <c r="AD1786" s="0" t="s">
        <v>138</v>
      </c>
      <c r="AF1786" s="0">
        <v>0</v>
      </c>
      <c r="AG1786" s="0">
        <v>0</v>
      </c>
      <c r="AH1786" s="0" t="s">
        <v>140</v>
      </c>
      <c r="AI1786" s="0" t="s">
        <v>138</v>
      </c>
      <c r="AL1786" s="14"/>
      <c r="AN1786" s="14"/>
      <c r="AQ1786" s="0" t="s">
        <v>130</v>
      </c>
      <c r="AR1786" s="0" t="s">
        <v>130</v>
      </c>
      <c r="AS1786" s="0" t="s">
        <v>130</v>
      </c>
      <c r="AT1786" s="0" t="s">
        <v>130</v>
      </c>
      <c r="AU1786" s="0" t="s">
        <v>130</v>
      </c>
      <c r="AV1786" s="0" t="s">
        <v>130</v>
      </c>
      <c r="AW1786" s="0" t="s">
        <v>130</v>
      </c>
      <c r="AX1786" s="0" t="s">
        <v>130</v>
      </c>
      <c r="AY1786" s="0" t="s">
        <v>130</v>
      </c>
      <c r="AZ1786" s="0" t="s">
        <v>130</v>
      </c>
      <c r="BA1786" s="0" t="s">
        <v>130</v>
      </c>
      <c r="BB1786" s="0" t="s">
        <v>130</v>
      </c>
      <c r="BC1786" s="0" t="s">
        <v>130</v>
      </c>
      <c r="BD1786" s="0" t="s">
        <v>130</v>
      </c>
      <c r="BE1786" s="0" t="s">
        <v>130</v>
      </c>
      <c r="BF1786" s="0" t="s">
        <v>130</v>
      </c>
      <c r="BG1786" s="0" t="s">
        <v>130</v>
      </c>
      <c r="BH1786" s="0" t="s">
        <v>130</v>
      </c>
      <c r="BI1786" s="0" t="s">
        <v>130</v>
      </c>
      <c r="BJ1786" s="0" t="s">
        <v>130</v>
      </c>
      <c r="BK1786" s="0" t="s">
        <v>130</v>
      </c>
      <c r="BL1786" s="0" t="s">
        <v>130</v>
      </c>
      <c r="BM1786" s="0" t="s">
        <v>130</v>
      </c>
      <c r="BN1786" s="0" t="s">
        <v>130</v>
      </c>
      <c r="BO1786" s="0" t="s">
        <v>130</v>
      </c>
      <c r="BP1786" s="0" t="s">
        <v>130</v>
      </c>
      <c r="BQ1786" s="0" t="s">
        <v>130</v>
      </c>
      <c r="BR1786" s="0" t="s">
        <v>130</v>
      </c>
      <c r="BS1786" s="0" t="s">
        <v>130</v>
      </c>
      <c r="BT1786" s="0" t="s">
        <v>130</v>
      </c>
      <c r="BU1786" s="0" t="s">
        <v>130</v>
      </c>
      <c r="BV1786" s="0" t="s">
        <v>130</v>
      </c>
      <c r="BW1786" s="0" t="s">
        <v>130</v>
      </c>
      <c r="BX1786" s="0" t="s">
        <v>130</v>
      </c>
      <c r="BY1786" s="0" t="s">
        <v>130</v>
      </c>
      <c r="BZ1786" s="0" t="s">
        <v>130</v>
      </c>
      <c r="CA1786" s="0" t="s">
        <v>130</v>
      </c>
      <c r="CB1786" s="0" t="s">
        <v>130</v>
      </c>
      <c r="CC1786" s="0" t="s">
        <v>130</v>
      </c>
      <c r="CD1786" s="0" t="s">
        <v>130</v>
      </c>
      <c r="CE1786" s="0" t="s">
        <v>130</v>
      </c>
      <c r="CF1786" s="0" t="s">
        <v>130</v>
      </c>
      <c r="CG1786" s="0" t="s">
        <v>130</v>
      </c>
      <c r="CH1786" s="0" t="s">
        <v>130</v>
      </c>
      <c r="CI1786" s="0" t="s">
        <v>130</v>
      </c>
      <c r="CJ1786" s="0" t="s">
        <v>130</v>
      </c>
      <c r="CK1786" s="0" t="s">
        <v>130</v>
      </c>
      <c r="CL1786" s="0" t="s">
        <v>130</v>
      </c>
      <c r="CM1786" s="0" t="s">
        <v>130</v>
      </c>
      <c r="CN1786" s="0" t="s">
        <v>130</v>
      </c>
      <c r="CO1786" s="0" t="s">
        <v>130</v>
      </c>
      <c r="CP1786" s="0" t="s">
        <v>130</v>
      </c>
      <c r="CQ1786" s="0" t="s">
        <v>130</v>
      </c>
      <c r="CR1786" s="0" t="s">
        <v>130</v>
      </c>
      <c r="CS1786" s="0" t="s">
        <v>130</v>
      </c>
      <c r="CT1786" s="0" t="s">
        <v>5093</v>
      </c>
    </row>
    <row r="1787">
      <c r="A1787" s="14">
        <v>101073</v>
      </c>
      <c r="B1787" s="0" t="s">
        <v>1186</v>
      </c>
      <c r="C1787" s="16">
        <f>HYPERLINK("https://eosportal.federatedhermes.com/companies/Q29tcGFueQppNjQzNjY=", "NIKE Inc")</f>
      </c>
      <c r="D1787" s="0" t="s">
        <v>25</v>
      </c>
      <c r="E1787" s="0" t="s">
        <v>5010</v>
      </c>
      <c r="F1787" s="16">
        <f>HYPERLINK("https://eosportal.federatedhermes.com/engagements/RW5nYWdlbWVudAppMzA2NjE=", "Russia-Ukraine Conflict")</f>
      </c>
      <c r="G1787" s="14" t="s">
        <v>5094</v>
      </c>
      <c r="H1787" s="0" t="s">
        <v>141</v>
      </c>
      <c r="I1787" s="14" t="s">
        <v>191</v>
      </c>
      <c r="J1787" s="0" t="s">
        <v>153</v>
      </c>
      <c r="K1787" s="0" t="s">
        <v>243</v>
      </c>
      <c r="L1787" s="0" t="s">
        <v>456</v>
      </c>
      <c r="M1787" s="0" t="s">
        <v>135</v>
      </c>
      <c r="N1787" s="0" t="s">
        <v>136</v>
      </c>
      <c r="O1787" s="0" t="s">
        <v>332</v>
      </c>
      <c r="Q1787" s="0" t="s">
        <v>130</v>
      </c>
      <c r="R1787" s="0" t="s">
        <v>138</v>
      </c>
      <c r="S1787" s="14">
        <v>0</v>
      </c>
      <c r="T1787" s="0" t="s">
        <v>583</v>
      </c>
      <c r="U1787" s="0" t="s">
        <v>138</v>
      </c>
      <c r="V1787" s="14" t="s">
        <v>138</v>
      </c>
      <c r="W1787" s="0" t="s">
        <v>138</v>
      </c>
      <c r="X1787" s="14" t="s">
        <v>138</v>
      </c>
      <c r="Y1787" s="0" t="s">
        <v>138</v>
      </c>
      <c r="Z1787" s="14" t="s">
        <v>138</v>
      </c>
      <c r="AA1787" s="0" t="s">
        <v>138</v>
      </c>
      <c r="AB1787" s="14" t="s">
        <v>138</v>
      </c>
      <c r="AD1787" s="0" t="s">
        <v>138</v>
      </c>
      <c r="AF1787" s="0">
        <v>0</v>
      </c>
      <c r="AG1787" s="0">
        <v>0</v>
      </c>
      <c r="AH1787" s="0" t="s">
        <v>140</v>
      </c>
      <c r="AI1787" s="0" t="s">
        <v>138</v>
      </c>
      <c r="AL1787" s="14"/>
      <c r="AN1787" s="14"/>
      <c r="AQ1787" s="0" t="s">
        <v>130</v>
      </c>
      <c r="AR1787" s="0" t="s">
        <v>130</v>
      </c>
      <c r="AS1787" s="0" t="s">
        <v>130</v>
      </c>
      <c r="AT1787" s="0" t="s">
        <v>130</v>
      </c>
      <c r="AU1787" s="0" t="s">
        <v>130</v>
      </c>
      <c r="AV1787" s="0" t="s">
        <v>130</v>
      </c>
      <c r="AW1787" s="0" t="s">
        <v>130</v>
      </c>
      <c r="AX1787" s="0" t="s">
        <v>141</v>
      </c>
      <c r="AY1787" s="0" t="s">
        <v>130</v>
      </c>
      <c r="AZ1787" s="0" t="s">
        <v>130</v>
      </c>
      <c r="BA1787" s="0" t="s">
        <v>130</v>
      </c>
      <c r="BB1787" s="0" t="s">
        <v>130</v>
      </c>
      <c r="BC1787" s="0" t="s">
        <v>130</v>
      </c>
      <c r="BD1787" s="0" t="s">
        <v>130</v>
      </c>
      <c r="BE1787" s="0" t="s">
        <v>130</v>
      </c>
      <c r="BF1787" s="0" t="s">
        <v>141</v>
      </c>
      <c r="BG1787" s="0" t="s">
        <v>130</v>
      </c>
      <c r="BH1787" s="0" t="s">
        <v>130</v>
      </c>
      <c r="BI1787" s="0" t="s">
        <v>130</v>
      </c>
      <c r="BJ1787" s="0" t="s">
        <v>130</v>
      </c>
      <c r="BK1787" s="0" t="s">
        <v>130</v>
      </c>
      <c r="BL1787" s="0" t="s">
        <v>130</v>
      </c>
      <c r="BM1787" s="0" t="s">
        <v>130</v>
      </c>
      <c r="BN1787" s="0" t="s">
        <v>130</v>
      </c>
      <c r="BO1787" s="0" t="s">
        <v>130</v>
      </c>
      <c r="BP1787" s="0" t="s">
        <v>130</v>
      </c>
      <c r="BQ1787" s="0" t="s">
        <v>130</v>
      </c>
      <c r="BR1787" s="0" t="s">
        <v>130</v>
      </c>
      <c r="BS1787" s="0" t="s">
        <v>130</v>
      </c>
      <c r="BT1787" s="0" t="s">
        <v>130</v>
      </c>
      <c r="BU1787" s="0" t="s">
        <v>130</v>
      </c>
      <c r="BV1787" s="0" t="s">
        <v>130</v>
      </c>
      <c r="BW1787" s="0" t="s">
        <v>130</v>
      </c>
      <c r="BX1787" s="0" t="s">
        <v>130</v>
      </c>
      <c r="BY1787" s="0" t="s">
        <v>130</v>
      </c>
      <c r="BZ1787" s="0" t="s">
        <v>130</v>
      </c>
      <c r="CA1787" s="0" t="s">
        <v>130</v>
      </c>
      <c r="CB1787" s="0" t="s">
        <v>130</v>
      </c>
      <c r="CC1787" s="0" t="s">
        <v>130</v>
      </c>
      <c r="CD1787" s="0" t="s">
        <v>130</v>
      </c>
      <c r="CE1787" s="0" t="s">
        <v>130</v>
      </c>
      <c r="CF1787" s="0" t="s">
        <v>130</v>
      </c>
      <c r="CG1787" s="0" t="s">
        <v>130</v>
      </c>
      <c r="CH1787" s="0" t="s">
        <v>130</v>
      </c>
      <c r="CI1787" s="0" t="s">
        <v>130</v>
      </c>
      <c r="CJ1787" s="0" t="s">
        <v>130</v>
      </c>
      <c r="CK1787" s="0" t="s">
        <v>130</v>
      </c>
      <c r="CL1787" s="0" t="s">
        <v>130</v>
      </c>
      <c r="CM1787" s="0" t="s">
        <v>130</v>
      </c>
      <c r="CN1787" s="0" t="s">
        <v>130</v>
      </c>
      <c r="CO1787" s="0" t="s">
        <v>130</v>
      </c>
      <c r="CP1787" s="0" t="s">
        <v>130</v>
      </c>
      <c r="CQ1787" s="0" t="s">
        <v>130</v>
      </c>
      <c r="CR1787" s="0" t="s">
        <v>130</v>
      </c>
      <c r="CS1787" s="0" t="s">
        <v>130</v>
      </c>
      <c r="CT1787" s="0" t="s">
        <v>5095</v>
      </c>
    </row>
    <row r="1788">
      <c r="A1788" s="14">
        <v>108444</v>
      </c>
      <c r="B1788" s="0" t="s">
        <v>2214</v>
      </c>
      <c r="C1788" s="16">
        <f>HYPERLINK("https://eosportal.federatedhermes.com/companies/Q29tcGFueQppNjQzNzA=", "Bank of Montreal")</f>
      </c>
      <c r="D1788" s="0" t="s">
        <v>25</v>
      </c>
      <c r="E1788" s="0" t="s">
        <v>5096</v>
      </c>
      <c r="F1788" s="16">
        <f>HYPERLINK("https://eosportal.federatedhermes.com/engagements/RW5nYWdlbWVudAppMzA2NjI=", "Indigenous Peoples' rights")</f>
      </c>
      <c r="G1788" s="14" t="s">
        <v>5097</v>
      </c>
      <c r="H1788" s="0" t="s">
        <v>141</v>
      </c>
      <c r="I1788" s="14" t="s">
        <v>191</v>
      </c>
      <c r="J1788" s="0" t="s">
        <v>153</v>
      </c>
      <c r="K1788" s="0" t="s">
        <v>243</v>
      </c>
      <c r="L1788" s="0" t="s">
        <v>571</v>
      </c>
      <c r="M1788" s="0" t="s">
        <v>135</v>
      </c>
      <c r="N1788" s="0" t="s">
        <v>1678</v>
      </c>
      <c r="O1788" s="0" t="s">
        <v>238</v>
      </c>
      <c r="Q1788" s="0" t="s">
        <v>141</v>
      </c>
      <c r="R1788" s="0" t="s">
        <v>138</v>
      </c>
      <c r="S1788" s="14">
        <v>1</v>
      </c>
      <c r="T1788" s="0" t="s">
        <v>583</v>
      </c>
      <c r="U1788" s="0" t="s">
        <v>138</v>
      </c>
      <c r="V1788" s="14" t="s">
        <v>138</v>
      </c>
      <c r="W1788" s="0" t="s">
        <v>138</v>
      </c>
      <c r="X1788" s="14" t="s">
        <v>138</v>
      </c>
      <c r="Y1788" s="0" t="s">
        <v>138</v>
      </c>
      <c r="Z1788" s="14" t="s">
        <v>138</v>
      </c>
      <c r="AA1788" s="0" t="s">
        <v>138</v>
      </c>
      <c r="AB1788" s="14" t="s">
        <v>138</v>
      </c>
      <c r="AD1788" s="0" t="s">
        <v>138</v>
      </c>
      <c r="AF1788" s="0">
        <v>0</v>
      </c>
      <c r="AG1788" s="0">
        <v>0</v>
      </c>
      <c r="AH1788" s="0" t="s">
        <v>140</v>
      </c>
      <c r="AI1788" s="0" t="s">
        <v>138</v>
      </c>
      <c r="AK1788" s="0" t="s">
        <v>339</v>
      </c>
      <c r="AL1788" s="14"/>
      <c r="AN1788" s="14"/>
      <c r="AQ1788" s="0" t="s">
        <v>130</v>
      </c>
      <c r="AR1788" s="0" t="s">
        <v>130</v>
      </c>
      <c r="AS1788" s="0" t="s">
        <v>130</v>
      </c>
      <c r="AT1788" s="0" t="s">
        <v>130</v>
      </c>
      <c r="AU1788" s="0" t="s">
        <v>130</v>
      </c>
      <c r="AV1788" s="0" t="s">
        <v>130</v>
      </c>
      <c r="AW1788" s="0" t="s">
        <v>130</v>
      </c>
      <c r="AX1788" s="0" t="s">
        <v>130</v>
      </c>
      <c r="AY1788" s="0" t="s">
        <v>130</v>
      </c>
      <c r="AZ1788" s="0" t="s">
        <v>141</v>
      </c>
      <c r="BA1788" s="0" t="s">
        <v>141</v>
      </c>
      <c r="BB1788" s="0" t="s">
        <v>130</v>
      </c>
      <c r="BC1788" s="0" t="s">
        <v>130</v>
      </c>
      <c r="BD1788" s="0" t="s">
        <v>130</v>
      </c>
      <c r="BE1788" s="0" t="s">
        <v>130</v>
      </c>
      <c r="BF1788" s="0" t="s">
        <v>141</v>
      </c>
      <c r="BG1788" s="0" t="s">
        <v>130</v>
      </c>
      <c r="BH1788" s="0" t="s">
        <v>130</v>
      </c>
      <c r="BI1788" s="0" t="s">
        <v>130</v>
      </c>
      <c r="BJ1788" s="0" t="s">
        <v>130</v>
      </c>
      <c r="BK1788" s="0" t="s">
        <v>130</v>
      </c>
      <c r="BL1788" s="0" t="s">
        <v>130</v>
      </c>
      <c r="BM1788" s="0" t="s">
        <v>130</v>
      </c>
      <c r="BN1788" s="0" t="s">
        <v>130</v>
      </c>
      <c r="BO1788" s="0" t="s">
        <v>130</v>
      </c>
      <c r="BP1788" s="0" t="s">
        <v>130</v>
      </c>
      <c r="BQ1788" s="0" t="s">
        <v>130</v>
      </c>
      <c r="BR1788" s="0" t="s">
        <v>130</v>
      </c>
      <c r="BS1788" s="0" t="s">
        <v>130</v>
      </c>
      <c r="BT1788" s="0" t="s">
        <v>130</v>
      </c>
      <c r="BU1788" s="0" t="s">
        <v>130</v>
      </c>
      <c r="BV1788" s="0" t="s">
        <v>130</v>
      </c>
      <c r="BW1788" s="0" t="s">
        <v>130</v>
      </c>
      <c r="BX1788" s="0" t="s">
        <v>130</v>
      </c>
      <c r="BY1788" s="0" t="s">
        <v>130</v>
      </c>
      <c r="BZ1788" s="0" t="s">
        <v>130</v>
      </c>
      <c r="CA1788" s="0" t="s">
        <v>130</v>
      </c>
      <c r="CB1788" s="0" t="s">
        <v>130</v>
      </c>
      <c r="CC1788" s="0" t="s">
        <v>130</v>
      </c>
      <c r="CD1788" s="0" t="s">
        <v>130</v>
      </c>
      <c r="CE1788" s="0" t="s">
        <v>130</v>
      </c>
      <c r="CF1788" s="0" t="s">
        <v>130</v>
      </c>
      <c r="CG1788" s="0" t="s">
        <v>130</v>
      </c>
      <c r="CH1788" s="0" t="s">
        <v>130</v>
      </c>
      <c r="CI1788" s="0" t="s">
        <v>130</v>
      </c>
      <c r="CJ1788" s="0" t="s">
        <v>130</v>
      </c>
      <c r="CK1788" s="0" t="s">
        <v>130</v>
      </c>
      <c r="CL1788" s="0" t="s">
        <v>130</v>
      </c>
      <c r="CM1788" s="0" t="s">
        <v>130</v>
      </c>
      <c r="CN1788" s="0" t="s">
        <v>130</v>
      </c>
      <c r="CO1788" s="0" t="s">
        <v>130</v>
      </c>
      <c r="CP1788" s="0" t="s">
        <v>130</v>
      </c>
      <c r="CQ1788" s="0" t="s">
        <v>130</v>
      </c>
      <c r="CR1788" s="0" t="s">
        <v>130</v>
      </c>
      <c r="CS1788" s="0" t="s">
        <v>130</v>
      </c>
      <c r="CT1788" s="0" t="s">
        <v>5098</v>
      </c>
    </row>
    <row r="1789">
      <c r="A1789" s="14">
        <v>108445</v>
      </c>
      <c r="B1789" s="0" t="s">
        <v>2234</v>
      </c>
      <c r="C1789" s="16">
        <f>HYPERLINK("https://eosportal.federatedhermes.com/companies/Q29tcGFueQppNjQzNzE=", "Bank of Nova Scotia/The")</f>
      </c>
      <c r="D1789" s="0" t="s">
        <v>25</v>
      </c>
      <c r="E1789" s="0" t="s">
        <v>441</v>
      </c>
      <c r="F1789" s="16">
        <f>HYPERLINK("https://eosportal.federatedhermes.com/engagements/RW5nYWdlbWVudAppMzA2NjM=", "Auditor tenure")</f>
      </c>
      <c r="G1789" s="14" t="s">
        <v>5099</v>
      </c>
      <c r="H1789" s="0" t="s">
        <v>141</v>
      </c>
      <c r="I1789" s="14" t="s">
        <v>131</v>
      </c>
      <c r="J1789" s="0" t="s">
        <v>132</v>
      </c>
      <c r="K1789" s="0" t="s">
        <v>170</v>
      </c>
      <c r="L1789" s="0" t="s">
        <v>310</v>
      </c>
      <c r="M1789" s="0" t="s">
        <v>135</v>
      </c>
      <c r="N1789" s="0" t="s">
        <v>1678</v>
      </c>
      <c r="O1789" s="0" t="s">
        <v>238</v>
      </c>
      <c r="Q1789" s="0" t="s">
        <v>130</v>
      </c>
      <c r="R1789" s="0" t="s">
        <v>138</v>
      </c>
      <c r="S1789" s="14">
        <v>0</v>
      </c>
      <c r="T1789" s="0" t="s">
        <v>583</v>
      </c>
      <c r="U1789" s="0" t="s">
        <v>138</v>
      </c>
      <c r="V1789" s="14" t="s">
        <v>138</v>
      </c>
      <c r="W1789" s="0" t="s">
        <v>138</v>
      </c>
      <c r="X1789" s="14" t="s">
        <v>138</v>
      </c>
      <c r="Y1789" s="0" t="s">
        <v>138</v>
      </c>
      <c r="Z1789" s="14" t="s">
        <v>138</v>
      </c>
      <c r="AA1789" s="0" t="s">
        <v>138</v>
      </c>
      <c r="AB1789" s="14" t="s">
        <v>138</v>
      </c>
      <c r="AD1789" s="0" t="s">
        <v>138</v>
      </c>
      <c r="AF1789" s="0">
        <v>0</v>
      </c>
      <c r="AG1789" s="0">
        <v>0</v>
      </c>
      <c r="AH1789" s="0" t="s">
        <v>140</v>
      </c>
      <c r="AI1789" s="0" t="s">
        <v>138</v>
      </c>
      <c r="AL1789" s="14"/>
      <c r="AN1789" s="14"/>
      <c r="AQ1789" s="0" t="s">
        <v>130</v>
      </c>
      <c r="AR1789" s="0" t="s">
        <v>130</v>
      </c>
      <c r="AS1789" s="0" t="s">
        <v>130</v>
      </c>
      <c r="AT1789" s="0" t="s">
        <v>130</v>
      </c>
      <c r="AU1789" s="0" t="s">
        <v>130</v>
      </c>
      <c r="AV1789" s="0" t="s">
        <v>130</v>
      </c>
      <c r="AW1789" s="0" t="s">
        <v>130</v>
      </c>
      <c r="AX1789" s="0" t="s">
        <v>130</v>
      </c>
      <c r="AY1789" s="0" t="s">
        <v>130</v>
      </c>
      <c r="AZ1789" s="0" t="s">
        <v>130</v>
      </c>
      <c r="BA1789" s="0" t="s">
        <v>130</v>
      </c>
      <c r="BB1789" s="0" t="s">
        <v>130</v>
      </c>
      <c r="BC1789" s="0" t="s">
        <v>130</v>
      </c>
      <c r="BD1789" s="0" t="s">
        <v>130</v>
      </c>
      <c r="BE1789" s="0" t="s">
        <v>130</v>
      </c>
      <c r="BF1789" s="0" t="s">
        <v>130</v>
      </c>
      <c r="BG1789" s="0" t="s">
        <v>130</v>
      </c>
      <c r="BH1789" s="0" t="s">
        <v>130</v>
      </c>
      <c r="BI1789" s="0" t="s">
        <v>130</v>
      </c>
      <c r="BJ1789" s="0" t="s">
        <v>130</v>
      </c>
      <c r="BK1789" s="0" t="s">
        <v>130</v>
      </c>
      <c r="BL1789" s="0" t="s">
        <v>130</v>
      </c>
      <c r="BM1789" s="0" t="s">
        <v>130</v>
      </c>
      <c r="BN1789" s="0" t="s">
        <v>130</v>
      </c>
      <c r="BO1789" s="0" t="s">
        <v>130</v>
      </c>
      <c r="BP1789" s="0" t="s">
        <v>130</v>
      </c>
      <c r="BQ1789" s="0" t="s">
        <v>130</v>
      </c>
      <c r="BR1789" s="0" t="s">
        <v>130</v>
      </c>
      <c r="BS1789" s="0" t="s">
        <v>130</v>
      </c>
      <c r="BT1789" s="0" t="s">
        <v>130</v>
      </c>
      <c r="BU1789" s="0" t="s">
        <v>130</v>
      </c>
      <c r="BV1789" s="0" t="s">
        <v>130</v>
      </c>
      <c r="BW1789" s="0" t="s">
        <v>130</v>
      </c>
      <c r="BX1789" s="0" t="s">
        <v>130</v>
      </c>
      <c r="BY1789" s="0" t="s">
        <v>130</v>
      </c>
      <c r="BZ1789" s="0" t="s">
        <v>130</v>
      </c>
      <c r="CA1789" s="0" t="s">
        <v>130</v>
      </c>
      <c r="CB1789" s="0" t="s">
        <v>130</v>
      </c>
      <c r="CC1789" s="0" t="s">
        <v>130</v>
      </c>
      <c r="CD1789" s="0" t="s">
        <v>130</v>
      </c>
      <c r="CE1789" s="0" t="s">
        <v>130</v>
      </c>
      <c r="CF1789" s="0" t="s">
        <v>130</v>
      </c>
      <c r="CG1789" s="0" t="s">
        <v>130</v>
      </c>
      <c r="CH1789" s="0" t="s">
        <v>130</v>
      </c>
      <c r="CI1789" s="0" t="s">
        <v>130</v>
      </c>
      <c r="CJ1789" s="0" t="s">
        <v>130</v>
      </c>
      <c r="CK1789" s="0" t="s">
        <v>130</v>
      </c>
      <c r="CL1789" s="0" t="s">
        <v>130</v>
      </c>
      <c r="CM1789" s="0" t="s">
        <v>130</v>
      </c>
      <c r="CN1789" s="0" t="s">
        <v>130</v>
      </c>
      <c r="CO1789" s="0" t="s">
        <v>130</v>
      </c>
      <c r="CP1789" s="0" t="s">
        <v>130</v>
      </c>
      <c r="CQ1789" s="0" t="s">
        <v>130</v>
      </c>
      <c r="CR1789" s="0" t="s">
        <v>130</v>
      </c>
      <c r="CS1789" s="0" t="s">
        <v>130</v>
      </c>
      <c r="CT1789" s="0" t="s">
        <v>5100</v>
      </c>
    </row>
    <row r="1790">
      <c r="A1790" s="14">
        <v>108445</v>
      </c>
      <c r="B1790" s="0" t="s">
        <v>2234</v>
      </c>
      <c r="C1790" s="16">
        <f>HYPERLINK("https://eosportal.federatedhermes.com/companies/Q29tcGFueQppNjQzNzE=", "Bank of Nova Scotia/The")</f>
      </c>
      <c r="D1790" s="0" t="s">
        <v>25</v>
      </c>
      <c r="E1790" s="0" t="s">
        <v>3011</v>
      </c>
      <c r="F1790" s="16">
        <f>HYPERLINK("https://eosportal.federatedhermes.com/engagements/RW5nYWdlbWVudAppMzA2NjQ=", "Indigenous and community rights")</f>
      </c>
      <c r="G1790" s="14" t="s">
        <v>5101</v>
      </c>
      <c r="H1790" s="0" t="s">
        <v>141</v>
      </c>
      <c r="I1790" s="14" t="s">
        <v>131</v>
      </c>
      <c r="J1790" s="0" t="s">
        <v>153</v>
      </c>
      <c r="K1790" s="0" t="s">
        <v>243</v>
      </c>
      <c r="L1790" s="0" t="s">
        <v>571</v>
      </c>
      <c r="M1790" s="0" t="s">
        <v>135</v>
      </c>
      <c r="N1790" s="0" t="s">
        <v>1678</v>
      </c>
      <c r="O1790" s="0" t="s">
        <v>238</v>
      </c>
      <c r="Q1790" s="0" t="s">
        <v>141</v>
      </c>
      <c r="R1790" s="0" t="s">
        <v>138</v>
      </c>
      <c r="S1790" s="14">
        <v>1</v>
      </c>
      <c r="T1790" s="0" t="s">
        <v>583</v>
      </c>
      <c r="U1790" s="0" t="s">
        <v>138</v>
      </c>
      <c r="V1790" s="14" t="s">
        <v>138</v>
      </c>
      <c r="W1790" s="0" t="s">
        <v>138</v>
      </c>
      <c r="X1790" s="14" t="s">
        <v>138</v>
      </c>
      <c r="Y1790" s="0" t="s">
        <v>138</v>
      </c>
      <c r="Z1790" s="14" t="s">
        <v>138</v>
      </c>
      <c r="AA1790" s="0" t="s">
        <v>138</v>
      </c>
      <c r="AB1790" s="14" t="s">
        <v>138</v>
      </c>
      <c r="AD1790" s="0" t="s">
        <v>138</v>
      </c>
      <c r="AF1790" s="0">
        <v>0</v>
      </c>
      <c r="AG1790" s="0">
        <v>0</v>
      </c>
      <c r="AH1790" s="0" t="s">
        <v>140</v>
      </c>
      <c r="AI1790" s="0" t="s">
        <v>138</v>
      </c>
      <c r="AK1790" s="0" t="s">
        <v>2239</v>
      </c>
      <c r="AL1790" s="14"/>
      <c r="AN1790" s="14"/>
      <c r="AQ1790" s="0" t="s">
        <v>130</v>
      </c>
      <c r="AR1790" s="0" t="s">
        <v>130</v>
      </c>
      <c r="AS1790" s="0" t="s">
        <v>130</v>
      </c>
      <c r="AT1790" s="0" t="s">
        <v>130</v>
      </c>
      <c r="AU1790" s="0" t="s">
        <v>130</v>
      </c>
      <c r="AV1790" s="0" t="s">
        <v>130</v>
      </c>
      <c r="AW1790" s="0" t="s">
        <v>130</v>
      </c>
      <c r="AX1790" s="0" t="s">
        <v>130</v>
      </c>
      <c r="AY1790" s="0" t="s">
        <v>130</v>
      </c>
      <c r="AZ1790" s="0" t="s">
        <v>141</v>
      </c>
      <c r="BA1790" s="0" t="s">
        <v>141</v>
      </c>
      <c r="BB1790" s="0" t="s">
        <v>130</v>
      </c>
      <c r="BC1790" s="0" t="s">
        <v>130</v>
      </c>
      <c r="BD1790" s="0" t="s">
        <v>130</v>
      </c>
      <c r="BE1790" s="0" t="s">
        <v>130</v>
      </c>
      <c r="BF1790" s="0" t="s">
        <v>141</v>
      </c>
      <c r="BG1790" s="0" t="s">
        <v>130</v>
      </c>
      <c r="BH1790" s="0" t="s">
        <v>130</v>
      </c>
      <c r="BI1790" s="0" t="s">
        <v>130</v>
      </c>
      <c r="BJ1790" s="0" t="s">
        <v>130</v>
      </c>
      <c r="BK1790" s="0" t="s">
        <v>130</v>
      </c>
      <c r="BL1790" s="0" t="s">
        <v>130</v>
      </c>
      <c r="BM1790" s="0" t="s">
        <v>130</v>
      </c>
      <c r="BN1790" s="0" t="s">
        <v>130</v>
      </c>
      <c r="BO1790" s="0" t="s">
        <v>130</v>
      </c>
      <c r="BP1790" s="0" t="s">
        <v>130</v>
      </c>
      <c r="BQ1790" s="0" t="s">
        <v>130</v>
      </c>
      <c r="BR1790" s="0" t="s">
        <v>130</v>
      </c>
      <c r="BS1790" s="0" t="s">
        <v>130</v>
      </c>
      <c r="BT1790" s="0" t="s">
        <v>130</v>
      </c>
      <c r="BU1790" s="0" t="s">
        <v>130</v>
      </c>
      <c r="BV1790" s="0" t="s">
        <v>130</v>
      </c>
      <c r="BW1790" s="0" t="s">
        <v>130</v>
      </c>
      <c r="BX1790" s="0" t="s">
        <v>130</v>
      </c>
      <c r="BY1790" s="0" t="s">
        <v>130</v>
      </c>
      <c r="BZ1790" s="0" t="s">
        <v>130</v>
      </c>
      <c r="CA1790" s="0" t="s">
        <v>130</v>
      </c>
      <c r="CB1790" s="0" t="s">
        <v>130</v>
      </c>
      <c r="CC1790" s="0" t="s">
        <v>130</v>
      </c>
      <c r="CD1790" s="0" t="s">
        <v>130</v>
      </c>
      <c r="CE1790" s="0" t="s">
        <v>130</v>
      </c>
      <c r="CF1790" s="0" t="s">
        <v>130</v>
      </c>
      <c r="CG1790" s="0" t="s">
        <v>130</v>
      </c>
      <c r="CH1790" s="0" t="s">
        <v>130</v>
      </c>
      <c r="CI1790" s="0" t="s">
        <v>130</v>
      </c>
      <c r="CJ1790" s="0" t="s">
        <v>130</v>
      </c>
      <c r="CK1790" s="0" t="s">
        <v>130</v>
      </c>
      <c r="CL1790" s="0" t="s">
        <v>130</v>
      </c>
      <c r="CM1790" s="0" t="s">
        <v>130</v>
      </c>
      <c r="CN1790" s="0" t="s">
        <v>130</v>
      </c>
      <c r="CO1790" s="0" t="s">
        <v>130</v>
      </c>
      <c r="CP1790" s="0" t="s">
        <v>130</v>
      </c>
      <c r="CQ1790" s="0" t="s">
        <v>130</v>
      </c>
      <c r="CR1790" s="0" t="s">
        <v>130</v>
      </c>
      <c r="CS1790" s="0" t="s">
        <v>130</v>
      </c>
      <c r="CT1790" s="0" t="s">
        <v>5102</v>
      </c>
    </row>
    <row r="1791">
      <c r="A1791" s="14">
        <v>101001</v>
      </c>
      <c r="B1791" s="0" t="s">
        <v>1142</v>
      </c>
      <c r="C1791" s="16">
        <f>HYPERLINK("https://eosportal.federatedhermes.com/companies/Q29tcGFueQppNjQzOTA=", "3M Co")</f>
      </c>
      <c r="D1791" s="0" t="s">
        <v>25</v>
      </c>
      <c r="E1791" s="0" t="s">
        <v>5103</v>
      </c>
      <c r="F1791" s="16">
        <f>HYPERLINK("https://eosportal.federatedhermes.com/engagements/RW5nYWdlbWVudAppMzA2NzU=", "Abolition of options")</f>
      </c>
      <c r="G1791" s="14" t="s">
        <v>5104</v>
      </c>
      <c r="H1791" s="0" t="s">
        <v>141</v>
      </c>
      <c r="I1791" s="14" t="s">
        <v>191</v>
      </c>
      <c r="J1791" s="0" t="s">
        <v>145</v>
      </c>
      <c r="K1791" s="0" t="s">
        <v>146</v>
      </c>
      <c r="L1791" s="0" t="s">
        <v>147</v>
      </c>
      <c r="M1791" s="0" t="s">
        <v>135</v>
      </c>
      <c r="N1791" s="0" t="s">
        <v>136</v>
      </c>
      <c r="O1791" s="0" t="s">
        <v>176</v>
      </c>
      <c r="Q1791" s="0" t="s">
        <v>130</v>
      </c>
      <c r="R1791" s="0" t="s">
        <v>138</v>
      </c>
      <c r="S1791" s="14">
        <v>0</v>
      </c>
      <c r="T1791" s="0" t="s">
        <v>231</v>
      </c>
      <c r="U1791" s="0" t="s">
        <v>138</v>
      </c>
      <c r="V1791" s="14" t="s">
        <v>138</v>
      </c>
      <c r="W1791" s="0" t="s">
        <v>138</v>
      </c>
      <c r="X1791" s="14" t="s">
        <v>138</v>
      </c>
      <c r="Y1791" s="0" t="s">
        <v>138</v>
      </c>
      <c r="Z1791" s="14" t="s">
        <v>138</v>
      </c>
      <c r="AA1791" s="0" t="s">
        <v>138</v>
      </c>
      <c r="AB1791" s="14" t="s">
        <v>138</v>
      </c>
      <c r="AD1791" s="0" t="s">
        <v>138</v>
      </c>
      <c r="AF1791" s="0">
        <v>0</v>
      </c>
      <c r="AG1791" s="0">
        <v>0</v>
      </c>
      <c r="AH1791" s="0" t="s">
        <v>140</v>
      </c>
      <c r="AI1791" s="0" t="s">
        <v>138</v>
      </c>
      <c r="AL1791" s="14"/>
      <c r="AN1791" s="14"/>
      <c r="AQ1791" s="0" t="s">
        <v>130</v>
      </c>
      <c r="AR1791" s="0" t="s">
        <v>130</v>
      </c>
      <c r="AS1791" s="0" t="s">
        <v>130</v>
      </c>
      <c r="AT1791" s="0" t="s">
        <v>130</v>
      </c>
      <c r="AU1791" s="0" t="s">
        <v>130</v>
      </c>
      <c r="AV1791" s="0" t="s">
        <v>130</v>
      </c>
      <c r="AW1791" s="0" t="s">
        <v>130</v>
      </c>
      <c r="AX1791" s="0" t="s">
        <v>130</v>
      </c>
      <c r="AY1791" s="0" t="s">
        <v>130</v>
      </c>
      <c r="AZ1791" s="0" t="s">
        <v>130</v>
      </c>
      <c r="BA1791" s="0" t="s">
        <v>130</v>
      </c>
      <c r="BB1791" s="0" t="s">
        <v>130</v>
      </c>
      <c r="BC1791" s="0" t="s">
        <v>130</v>
      </c>
      <c r="BD1791" s="0" t="s">
        <v>130</v>
      </c>
      <c r="BE1791" s="0" t="s">
        <v>130</v>
      </c>
      <c r="BF1791" s="0" t="s">
        <v>130</v>
      </c>
      <c r="BG1791" s="0" t="s">
        <v>130</v>
      </c>
      <c r="BH1791" s="0" t="s">
        <v>130</v>
      </c>
      <c r="BI1791" s="0" t="s">
        <v>130</v>
      </c>
      <c r="BJ1791" s="0" t="s">
        <v>130</v>
      </c>
      <c r="BK1791" s="0" t="s">
        <v>130</v>
      </c>
      <c r="BL1791" s="0" t="s">
        <v>130</v>
      </c>
      <c r="BM1791" s="0" t="s">
        <v>130</v>
      </c>
      <c r="BN1791" s="0" t="s">
        <v>130</v>
      </c>
      <c r="BO1791" s="0" t="s">
        <v>130</v>
      </c>
      <c r="BP1791" s="0" t="s">
        <v>130</v>
      </c>
      <c r="BQ1791" s="0" t="s">
        <v>130</v>
      </c>
      <c r="BR1791" s="0" t="s">
        <v>130</v>
      </c>
      <c r="BS1791" s="0" t="s">
        <v>130</v>
      </c>
      <c r="BT1791" s="0" t="s">
        <v>130</v>
      </c>
      <c r="BU1791" s="0" t="s">
        <v>130</v>
      </c>
      <c r="BV1791" s="0" t="s">
        <v>130</v>
      </c>
      <c r="BW1791" s="0" t="s">
        <v>130</v>
      </c>
      <c r="BX1791" s="0" t="s">
        <v>130</v>
      </c>
      <c r="BY1791" s="0" t="s">
        <v>130</v>
      </c>
      <c r="BZ1791" s="0" t="s">
        <v>130</v>
      </c>
      <c r="CA1791" s="0" t="s">
        <v>130</v>
      </c>
      <c r="CB1791" s="0" t="s">
        <v>130</v>
      </c>
      <c r="CC1791" s="0" t="s">
        <v>130</v>
      </c>
      <c r="CD1791" s="0" t="s">
        <v>130</v>
      </c>
      <c r="CE1791" s="0" t="s">
        <v>130</v>
      </c>
      <c r="CF1791" s="0" t="s">
        <v>130</v>
      </c>
      <c r="CG1791" s="0" t="s">
        <v>130</v>
      </c>
      <c r="CH1791" s="0" t="s">
        <v>130</v>
      </c>
      <c r="CI1791" s="0" t="s">
        <v>130</v>
      </c>
      <c r="CJ1791" s="0" t="s">
        <v>130</v>
      </c>
      <c r="CK1791" s="0" t="s">
        <v>130</v>
      </c>
      <c r="CL1791" s="0" t="s">
        <v>130</v>
      </c>
      <c r="CM1791" s="0" t="s">
        <v>130</v>
      </c>
      <c r="CN1791" s="0" t="s">
        <v>130</v>
      </c>
      <c r="CO1791" s="0" t="s">
        <v>130</v>
      </c>
      <c r="CP1791" s="0" t="s">
        <v>130</v>
      </c>
      <c r="CQ1791" s="0" t="s">
        <v>130</v>
      </c>
      <c r="CR1791" s="0" t="s">
        <v>130</v>
      </c>
      <c r="CS1791" s="0" t="s">
        <v>130</v>
      </c>
      <c r="CT1791" s="0" t="s">
        <v>5105</v>
      </c>
    </row>
    <row r="1792">
      <c r="A1792" s="14">
        <v>918049</v>
      </c>
      <c r="B1792" s="0" t="s">
        <v>3423</v>
      </c>
      <c r="C1792" s="16">
        <f>HYPERLINK("https://eosportal.federatedhermes.com/companies/Q29tcGFueQppNjQzOTQ=", "Enel SpA")</f>
      </c>
      <c r="D1792" s="0" t="s">
        <v>25</v>
      </c>
      <c r="E1792" s="0" t="s">
        <v>5106</v>
      </c>
      <c r="F1792" s="16">
        <f>HYPERLINK("https://eosportal.federatedhermes.com/engagements/RW5nYWdlbWVudAppMzA2Nzc=", "Supply chain human rights risks, including Uyghur forced labour")</f>
      </c>
      <c r="G1792" s="14" t="s">
        <v>5107</v>
      </c>
      <c r="H1792" s="0" t="s">
        <v>141</v>
      </c>
      <c r="I1792" s="14" t="s">
        <v>636</v>
      </c>
      <c r="J1792" s="0" t="s">
        <v>153</v>
      </c>
      <c r="K1792" s="0" t="s">
        <v>243</v>
      </c>
      <c r="L1792" s="0" t="s">
        <v>244</v>
      </c>
      <c r="M1792" s="0" t="s">
        <v>378</v>
      </c>
      <c r="N1792" s="0" t="s">
        <v>2898</v>
      </c>
      <c r="O1792" s="0" t="s">
        <v>192</v>
      </c>
      <c r="Q1792" s="0" t="s">
        <v>130</v>
      </c>
      <c r="R1792" s="0" t="s">
        <v>138</v>
      </c>
      <c r="S1792" s="14">
        <v>0</v>
      </c>
      <c r="T1792" s="0" t="s">
        <v>583</v>
      </c>
      <c r="U1792" s="0" t="s">
        <v>138</v>
      </c>
      <c r="V1792" s="14" t="s">
        <v>138</v>
      </c>
      <c r="W1792" s="0" t="s">
        <v>138</v>
      </c>
      <c r="X1792" s="14" t="s">
        <v>138</v>
      </c>
      <c r="Y1792" s="0" t="s">
        <v>138</v>
      </c>
      <c r="Z1792" s="14" t="s">
        <v>138</v>
      </c>
      <c r="AA1792" s="0" t="s">
        <v>138</v>
      </c>
      <c r="AB1792" s="14" t="s">
        <v>138</v>
      </c>
      <c r="AD1792" s="0" t="s">
        <v>138</v>
      </c>
      <c r="AF1792" s="0">
        <v>0</v>
      </c>
      <c r="AG1792" s="0">
        <v>0</v>
      </c>
      <c r="AH1792" s="0" t="s">
        <v>140</v>
      </c>
      <c r="AI1792" s="0" t="s">
        <v>138</v>
      </c>
      <c r="AL1792" s="14"/>
      <c r="AN1792" s="14"/>
      <c r="AQ1792" s="0" t="s">
        <v>130</v>
      </c>
      <c r="AR1792" s="0" t="s">
        <v>130</v>
      </c>
      <c r="AS1792" s="0" t="s">
        <v>130</v>
      </c>
      <c r="AT1792" s="0" t="s">
        <v>130</v>
      </c>
      <c r="AU1792" s="0" t="s">
        <v>130</v>
      </c>
      <c r="AV1792" s="0" t="s">
        <v>130</v>
      </c>
      <c r="AW1792" s="0" t="s">
        <v>130</v>
      </c>
      <c r="AX1792" s="0" t="s">
        <v>141</v>
      </c>
      <c r="AY1792" s="0" t="s">
        <v>130</v>
      </c>
      <c r="AZ1792" s="0" t="s">
        <v>130</v>
      </c>
      <c r="BA1792" s="0" t="s">
        <v>130</v>
      </c>
      <c r="BB1792" s="0" t="s">
        <v>130</v>
      </c>
      <c r="BC1792" s="0" t="s">
        <v>130</v>
      </c>
      <c r="BD1792" s="0" t="s">
        <v>130</v>
      </c>
      <c r="BE1792" s="0" t="s">
        <v>130</v>
      </c>
      <c r="BF1792" s="0" t="s">
        <v>130</v>
      </c>
      <c r="BG1792" s="0" t="s">
        <v>130</v>
      </c>
      <c r="BH1792" s="0" t="s">
        <v>130</v>
      </c>
      <c r="BI1792" s="0" t="s">
        <v>130</v>
      </c>
      <c r="BJ1792" s="0" t="s">
        <v>130</v>
      </c>
      <c r="BK1792" s="0" t="s">
        <v>130</v>
      </c>
      <c r="BL1792" s="0" t="s">
        <v>130</v>
      </c>
      <c r="BM1792" s="0" t="s">
        <v>130</v>
      </c>
      <c r="BN1792" s="0" t="s">
        <v>130</v>
      </c>
      <c r="BO1792" s="0" t="s">
        <v>130</v>
      </c>
      <c r="BP1792" s="0" t="s">
        <v>130</v>
      </c>
      <c r="BQ1792" s="0" t="s">
        <v>130</v>
      </c>
      <c r="BR1792" s="0" t="s">
        <v>130</v>
      </c>
      <c r="BS1792" s="0" t="s">
        <v>130</v>
      </c>
      <c r="BT1792" s="0" t="s">
        <v>130</v>
      </c>
      <c r="BU1792" s="0" t="s">
        <v>130</v>
      </c>
      <c r="BV1792" s="0" t="s">
        <v>130</v>
      </c>
      <c r="BW1792" s="0" t="s">
        <v>130</v>
      </c>
      <c r="BX1792" s="0" t="s">
        <v>130</v>
      </c>
      <c r="BY1792" s="0" t="s">
        <v>130</v>
      </c>
      <c r="BZ1792" s="0" t="s">
        <v>130</v>
      </c>
      <c r="CA1792" s="0" t="s">
        <v>130</v>
      </c>
      <c r="CB1792" s="0" t="s">
        <v>130</v>
      </c>
      <c r="CC1792" s="0" t="s">
        <v>130</v>
      </c>
      <c r="CD1792" s="0" t="s">
        <v>130</v>
      </c>
      <c r="CE1792" s="0" t="s">
        <v>130</v>
      </c>
      <c r="CF1792" s="0" t="s">
        <v>130</v>
      </c>
      <c r="CG1792" s="0" t="s">
        <v>130</v>
      </c>
      <c r="CH1792" s="0" t="s">
        <v>130</v>
      </c>
      <c r="CI1792" s="0" t="s">
        <v>130</v>
      </c>
      <c r="CJ1792" s="0" t="s">
        <v>130</v>
      </c>
      <c r="CK1792" s="0" t="s">
        <v>130</v>
      </c>
      <c r="CL1792" s="0" t="s">
        <v>130</v>
      </c>
      <c r="CM1792" s="0" t="s">
        <v>130</v>
      </c>
      <c r="CN1792" s="0" t="s">
        <v>130</v>
      </c>
      <c r="CO1792" s="0" t="s">
        <v>130</v>
      </c>
      <c r="CP1792" s="0" t="s">
        <v>130</v>
      </c>
      <c r="CQ1792" s="0" t="s">
        <v>130</v>
      </c>
      <c r="CR1792" s="0" t="s">
        <v>130</v>
      </c>
      <c r="CS1792" s="0" t="s">
        <v>130</v>
      </c>
      <c r="CT1792" s="0" t="s">
        <v>5108</v>
      </c>
    </row>
    <row r="1793">
      <c r="A1793" s="14">
        <v>101450</v>
      </c>
      <c r="B1793" s="0" t="s">
        <v>1601</v>
      </c>
      <c r="C1793" s="16">
        <f>HYPERLINK("https://eosportal.federatedhermes.com/companies/Q29tcGFueQppNjUwODQ=", "Telefonica SA")</f>
      </c>
      <c r="D1793" s="0" t="s">
        <v>25</v>
      </c>
      <c r="E1793" s="0" t="s">
        <v>5109</v>
      </c>
      <c r="F1793" s="16">
        <f>HYPERLINK("https://eosportal.federatedhermes.com/engagements/RW5nYWdlbWVudAppMzA2ODA=", "Two vice chairs")</f>
      </c>
      <c r="G1793" s="14" t="s">
        <v>5110</v>
      </c>
      <c r="H1793" s="0" t="s">
        <v>141</v>
      </c>
      <c r="I1793" s="14" t="s">
        <v>131</v>
      </c>
      <c r="J1793" s="0" t="s">
        <v>145</v>
      </c>
      <c r="K1793" s="0" t="s">
        <v>164</v>
      </c>
      <c r="L1793" s="0" t="s">
        <v>165</v>
      </c>
      <c r="M1793" s="0" t="s">
        <v>378</v>
      </c>
      <c r="N1793" s="0" t="s">
        <v>379</v>
      </c>
      <c r="O1793" s="0" t="s">
        <v>137</v>
      </c>
      <c r="Q1793" s="0" t="s">
        <v>130</v>
      </c>
      <c r="R1793" s="0" t="s">
        <v>138</v>
      </c>
      <c r="S1793" s="14">
        <v>0</v>
      </c>
      <c r="T1793" s="0" t="s">
        <v>231</v>
      </c>
      <c r="U1793" s="0" t="s">
        <v>138</v>
      </c>
      <c r="V1793" s="14" t="s">
        <v>138</v>
      </c>
      <c r="W1793" s="0" t="s">
        <v>138</v>
      </c>
      <c r="X1793" s="14" t="s">
        <v>138</v>
      </c>
      <c r="Y1793" s="0" t="s">
        <v>138</v>
      </c>
      <c r="Z1793" s="14" t="s">
        <v>138</v>
      </c>
      <c r="AA1793" s="0" t="s">
        <v>138</v>
      </c>
      <c r="AB1793" s="14" t="s">
        <v>138</v>
      </c>
      <c r="AD1793" s="0" t="s">
        <v>138</v>
      </c>
      <c r="AF1793" s="0">
        <v>0</v>
      </c>
      <c r="AG1793" s="0">
        <v>0</v>
      </c>
      <c r="AH1793" s="0" t="s">
        <v>140</v>
      </c>
      <c r="AI1793" s="0" t="s">
        <v>138</v>
      </c>
      <c r="AL1793" s="14"/>
      <c r="AN1793" s="14"/>
      <c r="AQ1793" s="0" t="s">
        <v>130</v>
      </c>
      <c r="AR1793" s="0" t="s">
        <v>130</v>
      </c>
      <c r="AS1793" s="0" t="s">
        <v>130</v>
      </c>
      <c r="AT1793" s="0" t="s">
        <v>130</v>
      </c>
      <c r="AU1793" s="0" t="s">
        <v>130</v>
      </c>
      <c r="AV1793" s="0" t="s">
        <v>130</v>
      </c>
      <c r="AW1793" s="0" t="s">
        <v>130</v>
      </c>
      <c r="AX1793" s="0" t="s">
        <v>130</v>
      </c>
      <c r="AY1793" s="0" t="s">
        <v>130</v>
      </c>
      <c r="AZ1793" s="0" t="s">
        <v>130</v>
      </c>
      <c r="BA1793" s="0" t="s">
        <v>130</v>
      </c>
      <c r="BB1793" s="0" t="s">
        <v>130</v>
      </c>
      <c r="BC1793" s="0" t="s">
        <v>130</v>
      </c>
      <c r="BD1793" s="0" t="s">
        <v>130</v>
      </c>
      <c r="BE1793" s="0" t="s">
        <v>130</v>
      </c>
      <c r="BF1793" s="0" t="s">
        <v>130</v>
      </c>
      <c r="BG1793" s="0" t="s">
        <v>130</v>
      </c>
      <c r="BH1793" s="0" t="s">
        <v>130</v>
      </c>
      <c r="BI1793" s="0" t="s">
        <v>130</v>
      </c>
      <c r="BJ1793" s="0" t="s">
        <v>130</v>
      </c>
      <c r="BK1793" s="0" t="s">
        <v>130</v>
      </c>
      <c r="BL1793" s="0" t="s">
        <v>130</v>
      </c>
      <c r="BM1793" s="0" t="s">
        <v>130</v>
      </c>
      <c r="BN1793" s="0" t="s">
        <v>130</v>
      </c>
      <c r="BO1793" s="0" t="s">
        <v>130</v>
      </c>
      <c r="BP1793" s="0" t="s">
        <v>130</v>
      </c>
      <c r="BQ1793" s="0" t="s">
        <v>130</v>
      </c>
      <c r="BR1793" s="0" t="s">
        <v>130</v>
      </c>
      <c r="BS1793" s="0" t="s">
        <v>130</v>
      </c>
      <c r="BT1793" s="0" t="s">
        <v>130</v>
      </c>
      <c r="BU1793" s="0" t="s">
        <v>130</v>
      </c>
      <c r="BV1793" s="0" t="s">
        <v>130</v>
      </c>
      <c r="BW1793" s="0" t="s">
        <v>130</v>
      </c>
      <c r="BX1793" s="0" t="s">
        <v>130</v>
      </c>
      <c r="BY1793" s="0" t="s">
        <v>130</v>
      </c>
      <c r="BZ1793" s="0" t="s">
        <v>130</v>
      </c>
      <c r="CA1793" s="0" t="s">
        <v>130</v>
      </c>
      <c r="CB1793" s="0" t="s">
        <v>130</v>
      </c>
      <c r="CC1793" s="0" t="s">
        <v>130</v>
      </c>
      <c r="CD1793" s="0" t="s">
        <v>130</v>
      </c>
      <c r="CE1793" s="0" t="s">
        <v>130</v>
      </c>
      <c r="CF1793" s="0" t="s">
        <v>130</v>
      </c>
      <c r="CG1793" s="0" t="s">
        <v>130</v>
      </c>
      <c r="CH1793" s="0" t="s">
        <v>130</v>
      </c>
      <c r="CI1793" s="0" t="s">
        <v>130</v>
      </c>
      <c r="CJ1793" s="0" t="s">
        <v>130</v>
      </c>
      <c r="CK1793" s="0" t="s">
        <v>130</v>
      </c>
      <c r="CL1793" s="0" t="s">
        <v>130</v>
      </c>
      <c r="CM1793" s="0" t="s">
        <v>130</v>
      </c>
      <c r="CN1793" s="0" t="s">
        <v>130</v>
      </c>
      <c r="CO1793" s="0" t="s">
        <v>130</v>
      </c>
      <c r="CP1793" s="0" t="s">
        <v>130</v>
      </c>
      <c r="CQ1793" s="0" t="s">
        <v>130</v>
      </c>
      <c r="CR1793" s="0" t="s">
        <v>130</v>
      </c>
      <c r="CS1793" s="0" t="s">
        <v>130</v>
      </c>
      <c r="CT1793" s="0" t="s">
        <v>5111</v>
      </c>
    </row>
    <row r="1794">
      <c r="A1794" s="14">
        <v>114322</v>
      </c>
      <c r="B1794" s="0" t="s">
        <v>2042</v>
      </c>
      <c r="C1794" s="16">
        <f>HYPERLINK("https://eosportal.federatedhermes.com/companies/Q29tcGFueQppNjc3MjY=", "Nintendo Co Ltd")</f>
      </c>
      <c r="D1794" s="0" t="s">
        <v>25</v>
      </c>
      <c r="E1794" s="0" t="s">
        <v>386</v>
      </c>
      <c r="F1794" s="16">
        <f>HYPERLINK("https://eosportal.federatedhermes.com/engagements/RW5nYWdlbWVudAppMzA3MDI=", "Board independence")</f>
      </c>
      <c r="G1794" s="14" t="s">
        <v>5112</v>
      </c>
      <c r="H1794" s="0" t="s">
        <v>141</v>
      </c>
      <c r="I1794" s="14" t="s">
        <v>131</v>
      </c>
      <c r="J1794" s="0" t="s">
        <v>145</v>
      </c>
      <c r="K1794" s="0" t="s">
        <v>164</v>
      </c>
      <c r="L1794" s="0" t="s">
        <v>165</v>
      </c>
      <c r="M1794" s="0" t="s">
        <v>802</v>
      </c>
      <c r="N1794" s="0" t="s">
        <v>952</v>
      </c>
      <c r="O1794" s="0" t="s">
        <v>137</v>
      </c>
      <c r="Q1794" s="0" t="s">
        <v>141</v>
      </c>
      <c r="R1794" s="0" t="s">
        <v>138</v>
      </c>
      <c r="S1794" s="14">
        <v>2</v>
      </c>
      <c r="T1794" s="0" t="s">
        <v>231</v>
      </c>
      <c r="U1794" s="0" t="s">
        <v>138</v>
      </c>
      <c r="V1794" s="14" t="s">
        <v>138</v>
      </c>
      <c r="W1794" s="0" t="s">
        <v>138</v>
      </c>
      <c r="X1794" s="14" t="s">
        <v>138</v>
      </c>
      <c r="Y1794" s="0" t="s">
        <v>138</v>
      </c>
      <c r="Z1794" s="14" t="s">
        <v>138</v>
      </c>
      <c r="AA1794" s="0" t="s">
        <v>138</v>
      </c>
      <c r="AB1794" s="14" t="s">
        <v>138</v>
      </c>
      <c r="AD1794" s="0" t="s">
        <v>138</v>
      </c>
      <c r="AF1794" s="0">
        <v>0</v>
      </c>
      <c r="AG1794" s="0">
        <v>0</v>
      </c>
      <c r="AH1794" s="0" t="s">
        <v>140</v>
      </c>
      <c r="AI1794" s="0" t="s">
        <v>138</v>
      </c>
      <c r="AK1794" s="0" t="s">
        <v>2044</v>
      </c>
      <c r="AL1794" s="14"/>
      <c r="AN1794" s="14"/>
      <c r="AQ1794" s="0" t="s">
        <v>130</v>
      </c>
      <c r="AR1794" s="0" t="s">
        <v>130</v>
      </c>
      <c r="AS1794" s="0" t="s">
        <v>130</v>
      </c>
      <c r="AT1794" s="0" t="s">
        <v>130</v>
      </c>
      <c r="AU1794" s="0" t="s">
        <v>130</v>
      </c>
      <c r="AV1794" s="0" t="s">
        <v>130</v>
      </c>
      <c r="AW1794" s="0" t="s">
        <v>130</v>
      </c>
      <c r="AX1794" s="0" t="s">
        <v>130</v>
      </c>
      <c r="AY1794" s="0" t="s">
        <v>130</v>
      </c>
      <c r="AZ1794" s="0" t="s">
        <v>130</v>
      </c>
      <c r="BA1794" s="0" t="s">
        <v>130</v>
      </c>
      <c r="BB1794" s="0" t="s">
        <v>130</v>
      </c>
      <c r="BC1794" s="0" t="s">
        <v>130</v>
      </c>
      <c r="BD1794" s="0" t="s">
        <v>130</v>
      </c>
      <c r="BE1794" s="0" t="s">
        <v>130</v>
      </c>
      <c r="BF1794" s="0" t="s">
        <v>130</v>
      </c>
      <c r="BG1794" s="0" t="s">
        <v>130</v>
      </c>
      <c r="BH1794" s="0" t="s">
        <v>130</v>
      </c>
      <c r="BI1794" s="0" t="s">
        <v>130</v>
      </c>
      <c r="BJ1794" s="0" t="s">
        <v>130</v>
      </c>
      <c r="BK1794" s="0" t="s">
        <v>130</v>
      </c>
      <c r="BL1794" s="0" t="s">
        <v>130</v>
      </c>
      <c r="BM1794" s="0" t="s">
        <v>130</v>
      </c>
      <c r="BN1794" s="0" t="s">
        <v>130</v>
      </c>
      <c r="BO1794" s="0" t="s">
        <v>130</v>
      </c>
      <c r="BP1794" s="0" t="s">
        <v>130</v>
      </c>
      <c r="BQ1794" s="0" t="s">
        <v>130</v>
      </c>
      <c r="BR1794" s="0" t="s">
        <v>130</v>
      </c>
      <c r="BS1794" s="0" t="s">
        <v>130</v>
      </c>
      <c r="BT1794" s="0" t="s">
        <v>130</v>
      </c>
      <c r="BU1794" s="0" t="s">
        <v>130</v>
      </c>
      <c r="BV1794" s="0" t="s">
        <v>130</v>
      </c>
      <c r="BW1794" s="0" t="s">
        <v>130</v>
      </c>
      <c r="BX1794" s="0" t="s">
        <v>130</v>
      </c>
      <c r="BY1794" s="0" t="s">
        <v>130</v>
      </c>
      <c r="BZ1794" s="0" t="s">
        <v>130</v>
      </c>
      <c r="CA1794" s="0" t="s">
        <v>130</v>
      </c>
      <c r="CB1794" s="0" t="s">
        <v>130</v>
      </c>
      <c r="CC1794" s="0" t="s">
        <v>130</v>
      </c>
      <c r="CD1794" s="0" t="s">
        <v>130</v>
      </c>
      <c r="CE1794" s="0" t="s">
        <v>130</v>
      </c>
      <c r="CF1794" s="0" t="s">
        <v>130</v>
      </c>
      <c r="CG1794" s="0" t="s">
        <v>130</v>
      </c>
      <c r="CH1794" s="0" t="s">
        <v>130</v>
      </c>
      <c r="CI1794" s="0" t="s">
        <v>130</v>
      </c>
      <c r="CJ1794" s="0" t="s">
        <v>130</v>
      </c>
      <c r="CK1794" s="0" t="s">
        <v>130</v>
      </c>
      <c r="CL1794" s="0" t="s">
        <v>130</v>
      </c>
      <c r="CM1794" s="0" t="s">
        <v>130</v>
      </c>
      <c r="CN1794" s="0" t="s">
        <v>130</v>
      </c>
      <c r="CO1794" s="0" t="s">
        <v>130</v>
      </c>
      <c r="CP1794" s="0" t="s">
        <v>130</v>
      </c>
      <c r="CQ1794" s="0" t="s">
        <v>130</v>
      </c>
      <c r="CR1794" s="0" t="s">
        <v>130</v>
      </c>
      <c r="CS1794" s="0" t="s">
        <v>130</v>
      </c>
      <c r="CT1794" s="0" t="s">
        <v>5113</v>
      </c>
    </row>
    <row r="1795">
      <c r="A1795" s="14">
        <v>28046509</v>
      </c>
      <c r="B1795" s="0" t="s">
        <v>4333</v>
      </c>
      <c r="C1795" s="16">
        <f>HYPERLINK("https://eosportal.federatedhermes.com/companies/Q29tcGFueQppNzM3NjA=", "AbbVie Inc")</f>
      </c>
      <c r="D1795" s="0" t="s">
        <v>25</v>
      </c>
      <c r="E1795" s="0" t="s">
        <v>143</v>
      </c>
      <c r="F1795" s="16">
        <f>HYPERLINK("https://eosportal.federatedhermes.com/engagements/RW5nYWdlbWVudAppMzA3NTM=", "Executive compensation")</f>
      </c>
      <c r="G1795" s="14" t="s">
        <v>5114</v>
      </c>
      <c r="H1795" s="0" t="s">
        <v>141</v>
      </c>
      <c r="I1795" s="14" t="s">
        <v>131</v>
      </c>
      <c r="J1795" s="0" t="s">
        <v>145</v>
      </c>
      <c r="K1795" s="0" t="s">
        <v>146</v>
      </c>
      <c r="L1795" s="0" t="s">
        <v>147</v>
      </c>
      <c r="M1795" s="0" t="s">
        <v>135</v>
      </c>
      <c r="N1795" s="0" t="s">
        <v>136</v>
      </c>
      <c r="O1795" s="0" t="s">
        <v>274</v>
      </c>
      <c r="Q1795" s="0" t="s">
        <v>130</v>
      </c>
      <c r="R1795" s="0" t="s">
        <v>138</v>
      </c>
      <c r="S1795" s="14">
        <v>0</v>
      </c>
      <c r="T1795" s="0" t="s">
        <v>231</v>
      </c>
      <c r="U1795" s="0" t="s">
        <v>138</v>
      </c>
      <c r="V1795" s="14" t="s">
        <v>138</v>
      </c>
      <c r="W1795" s="0" t="s">
        <v>138</v>
      </c>
      <c r="X1795" s="14" t="s">
        <v>138</v>
      </c>
      <c r="Y1795" s="0" t="s">
        <v>138</v>
      </c>
      <c r="Z1795" s="14" t="s">
        <v>138</v>
      </c>
      <c r="AA1795" s="0" t="s">
        <v>138</v>
      </c>
      <c r="AB1795" s="14" t="s">
        <v>138</v>
      </c>
      <c r="AD1795" s="0" t="s">
        <v>138</v>
      </c>
      <c r="AF1795" s="0">
        <v>0</v>
      </c>
      <c r="AG1795" s="0">
        <v>0</v>
      </c>
      <c r="AH1795" s="0" t="s">
        <v>140</v>
      </c>
      <c r="AI1795" s="0" t="s">
        <v>138</v>
      </c>
      <c r="AL1795" s="14"/>
      <c r="AN1795" s="14"/>
      <c r="AQ1795" s="0" t="s">
        <v>130</v>
      </c>
      <c r="AR1795" s="0" t="s">
        <v>130</v>
      </c>
      <c r="AS1795" s="0" t="s">
        <v>130</v>
      </c>
      <c r="AT1795" s="0" t="s">
        <v>130</v>
      </c>
      <c r="AU1795" s="0" t="s">
        <v>130</v>
      </c>
      <c r="AV1795" s="0" t="s">
        <v>130</v>
      </c>
      <c r="AW1795" s="0" t="s">
        <v>130</v>
      </c>
      <c r="AX1795" s="0" t="s">
        <v>130</v>
      </c>
      <c r="AY1795" s="0" t="s">
        <v>130</v>
      </c>
      <c r="AZ1795" s="0" t="s">
        <v>130</v>
      </c>
      <c r="BA1795" s="0" t="s">
        <v>130</v>
      </c>
      <c r="BB1795" s="0" t="s">
        <v>130</v>
      </c>
      <c r="BC1795" s="0" t="s">
        <v>130</v>
      </c>
      <c r="BD1795" s="0" t="s">
        <v>130</v>
      </c>
      <c r="BE1795" s="0" t="s">
        <v>130</v>
      </c>
      <c r="BF1795" s="0" t="s">
        <v>130</v>
      </c>
      <c r="BG1795" s="0" t="s">
        <v>130</v>
      </c>
      <c r="BH1795" s="0" t="s">
        <v>130</v>
      </c>
      <c r="BI1795" s="0" t="s">
        <v>130</v>
      </c>
      <c r="BJ1795" s="0" t="s">
        <v>130</v>
      </c>
      <c r="BK1795" s="0" t="s">
        <v>130</v>
      </c>
      <c r="BL1795" s="0" t="s">
        <v>130</v>
      </c>
      <c r="BM1795" s="0" t="s">
        <v>130</v>
      </c>
      <c r="BN1795" s="0" t="s">
        <v>130</v>
      </c>
      <c r="BO1795" s="0" t="s">
        <v>130</v>
      </c>
      <c r="BP1795" s="0" t="s">
        <v>130</v>
      </c>
      <c r="BQ1795" s="0" t="s">
        <v>130</v>
      </c>
      <c r="BR1795" s="0" t="s">
        <v>130</v>
      </c>
      <c r="BS1795" s="0" t="s">
        <v>130</v>
      </c>
      <c r="BT1795" s="0" t="s">
        <v>130</v>
      </c>
      <c r="BU1795" s="0" t="s">
        <v>130</v>
      </c>
      <c r="BV1795" s="0" t="s">
        <v>130</v>
      </c>
      <c r="BW1795" s="0" t="s">
        <v>130</v>
      </c>
      <c r="BX1795" s="0" t="s">
        <v>130</v>
      </c>
      <c r="BY1795" s="0" t="s">
        <v>130</v>
      </c>
      <c r="BZ1795" s="0" t="s">
        <v>130</v>
      </c>
      <c r="CA1795" s="0" t="s">
        <v>130</v>
      </c>
      <c r="CB1795" s="0" t="s">
        <v>130</v>
      </c>
      <c r="CC1795" s="0" t="s">
        <v>130</v>
      </c>
      <c r="CD1795" s="0" t="s">
        <v>130</v>
      </c>
      <c r="CE1795" s="0" t="s">
        <v>130</v>
      </c>
      <c r="CF1795" s="0" t="s">
        <v>130</v>
      </c>
      <c r="CG1795" s="0" t="s">
        <v>130</v>
      </c>
      <c r="CH1795" s="0" t="s">
        <v>130</v>
      </c>
      <c r="CI1795" s="0" t="s">
        <v>130</v>
      </c>
      <c r="CJ1795" s="0" t="s">
        <v>130</v>
      </c>
      <c r="CK1795" s="0" t="s">
        <v>130</v>
      </c>
      <c r="CL1795" s="0" t="s">
        <v>130</v>
      </c>
      <c r="CM1795" s="0" t="s">
        <v>130</v>
      </c>
      <c r="CN1795" s="0" t="s">
        <v>130</v>
      </c>
      <c r="CO1795" s="0" t="s">
        <v>130</v>
      </c>
      <c r="CP1795" s="0" t="s">
        <v>130</v>
      </c>
      <c r="CQ1795" s="0" t="s">
        <v>130</v>
      </c>
      <c r="CR1795" s="0" t="s">
        <v>130</v>
      </c>
      <c r="CS1795" s="0" t="s">
        <v>130</v>
      </c>
      <c r="CT1795" s="0" t="s">
        <v>5115</v>
      </c>
    </row>
    <row r="1796">
      <c r="A1796" s="14">
        <v>28046509</v>
      </c>
      <c r="B1796" s="0" t="s">
        <v>4333</v>
      </c>
      <c r="C1796" s="16">
        <f>HYPERLINK("https://eosportal.federatedhermes.com/companies/Q29tcGFueQppNzM3NjA=", "AbbVie Inc")</f>
      </c>
      <c r="D1796" s="0" t="s">
        <v>25</v>
      </c>
      <c r="E1796" s="0" t="s">
        <v>5116</v>
      </c>
      <c r="F1796" s="16">
        <f>HYPERLINK("https://eosportal.federatedhermes.com/engagements/RW5nYWdlbWVudAppMzA3NTQ=", "Independent board leadership")</f>
      </c>
      <c r="G1796" s="14" t="s">
        <v>5117</v>
      </c>
      <c r="H1796" s="0" t="s">
        <v>141</v>
      </c>
      <c r="I1796" s="14" t="s">
        <v>131</v>
      </c>
      <c r="J1796" s="0" t="s">
        <v>145</v>
      </c>
      <c r="K1796" s="0" t="s">
        <v>164</v>
      </c>
      <c r="L1796" s="0" t="s">
        <v>165</v>
      </c>
      <c r="M1796" s="0" t="s">
        <v>135</v>
      </c>
      <c r="N1796" s="0" t="s">
        <v>136</v>
      </c>
      <c r="O1796" s="0" t="s">
        <v>274</v>
      </c>
      <c r="Q1796" s="0" t="s">
        <v>130</v>
      </c>
      <c r="R1796" s="0" t="s">
        <v>138</v>
      </c>
      <c r="S1796" s="14">
        <v>0</v>
      </c>
      <c r="T1796" s="0" t="s">
        <v>583</v>
      </c>
      <c r="U1796" s="0" t="s">
        <v>138</v>
      </c>
      <c r="V1796" s="14" t="s">
        <v>138</v>
      </c>
      <c r="W1796" s="0" t="s">
        <v>138</v>
      </c>
      <c r="X1796" s="14" t="s">
        <v>138</v>
      </c>
      <c r="Y1796" s="0" t="s">
        <v>138</v>
      </c>
      <c r="Z1796" s="14" t="s">
        <v>138</v>
      </c>
      <c r="AA1796" s="0" t="s">
        <v>138</v>
      </c>
      <c r="AB1796" s="14" t="s">
        <v>138</v>
      </c>
      <c r="AD1796" s="0" t="s">
        <v>138</v>
      </c>
      <c r="AF1796" s="0">
        <v>0</v>
      </c>
      <c r="AG1796" s="0">
        <v>0</v>
      </c>
      <c r="AH1796" s="0" t="s">
        <v>140</v>
      </c>
      <c r="AI1796" s="0" t="s">
        <v>138</v>
      </c>
      <c r="AL1796" s="14"/>
      <c r="AN1796" s="14"/>
      <c r="AQ1796" s="0" t="s">
        <v>130</v>
      </c>
      <c r="AR1796" s="0" t="s">
        <v>130</v>
      </c>
      <c r="AS1796" s="0" t="s">
        <v>130</v>
      </c>
      <c r="AT1796" s="0" t="s">
        <v>130</v>
      </c>
      <c r="AU1796" s="0" t="s">
        <v>130</v>
      </c>
      <c r="AV1796" s="0" t="s">
        <v>130</v>
      </c>
      <c r="AW1796" s="0" t="s">
        <v>130</v>
      </c>
      <c r="AX1796" s="0" t="s">
        <v>130</v>
      </c>
      <c r="AY1796" s="0" t="s">
        <v>130</v>
      </c>
      <c r="AZ1796" s="0" t="s">
        <v>130</v>
      </c>
      <c r="BA1796" s="0" t="s">
        <v>130</v>
      </c>
      <c r="BB1796" s="0" t="s">
        <v>130</v>
      </c>
      <c r="BC1796" s="0" t="s">
        <v>130</v>
      </c>
      <c r="BD1796" s="0" t="s">
        <v>130</v>
      </c>
      <c r="BE1796" s="0" t="s">
        <v>130</v>
      </c>
      <c r="BF1796" s="0" t="s">
        <v>130</v>
      </c>
      <c r="BG1796" s="0" t="s">
        <v>130</v>
      </c>
      <c r="BH1796" s="0" t="s">
        <v>130</v>
      </c>
      <c r="BI1796" s="0" t="s">
        <v>130</v>
      </c>
      <c r="BJ1796" s="0" t="s">
        <v>130</v>
      </c>
      <c r="BK1796" s="0" t="s">
        <v>130</v>
      </c>
      <c r="BL1796" s="0" t="s">
        <v>130</v>
      </c>
      <c r="BM1796" s="0" t="s">
        <v>130</v>
      </c>
      <c r="BN1796" s="0" t="s">
        <v>130</v>
      </c>
      <c r="BO1796" s="0" t="s">
        <v>130</v>
      </c>
      <c r="BP1796" s="0" t="s">
        <v>130</v>
      </c>
      <c r="BQ1796" s="0" t="s">
        <v>130</v>
      </c>
      <c r="BR1796" s="0" t="s">
        <v>130</v>
      </c>
      <c r="BS1796" s="0" t="s">
        <v>130</v>
      </c>
      <c r="BT1796" s="0" t="s">
        <v>130</v>
      </c>
      <c r="BU1796" s="0" t="s">
        <v>130</v>
      </c>
      <c r="BV1796" s="0" t="s">
        <v>130</v>
      </c>
      <c r="BW1796" s="0" t="s">
        <v>130</v>
      </c>
      <c r="BX1796" s="0" t="s">
        <v>130</v>
      </c>
      <c r="BY1796" s="0" t="s">
        <v>130</v>
      </c>
      <c r="BZ1796" s="0" t="s">
        <v>130</v>
      </c>
      <c r="CA1796" s="0" t="s">
        <v>130</v>
      </c>
      <c r="CB1796" s="0" t="s">
        <v>130</v>
      </c>
      <c r="CC1796" s="0" t="s">
        <v>130</v>
      </c>
      <c r="CD1796" s="0" t="s">
        <v>130</v>
      </c>
      <c r="CE1796" s="0" t="s">
        <v>130</v>
      </c>
      <c r="CF1796" s="0" t="s">
        <v>130</v>
      </c>
      <c r="CG1796" s="0" t="s">
        <v>130</v>
      </c>
      <c r="CH1796" s="0" t="s">
        <v>130</v>
      </c>
      <c r="CI1796" s="0" t="s">
        <v>130</v>
      </c>
      <c r="CJ1796" s="0" t="s">
        <v>130</v>
      </c>
      <c r="CK1796" s="0" t="s">
        <v>130</v>
      </c>
      <c r="CL1796" s="0" t="s">
        <v>130</v>
      </c>
      <c r="CM1796" s="0" t="s">
        <v>130</v>
      </c>
      <c r="CN1796" s="0" t="s">
        <v>130</v>
      </c>
      <c r="CO1796" s="0" t="s">
        <v>130</v>
      </c>
      <c r="CP1796" s="0" t="s">
        <v>130</v>
      </c>
      <c r="CQ1796" s="0" t="s">
        <v>130</v>
      </c>
      <c r="CR1796" s="0" t="s">
        <v>130</v>
      </c>
      <c r="CS1796" s="0" t="s">
        <v>130</v>
      </c>
      <c r="CT1796" s="0" t="s">
        <v>5118</v>
      </c>
    </row>
    <row r="1797">
      <c r="A1797" s="14">
        <v>307493</v>
      </c>
      <c r="B1797" s="0" t="s">
        <v>3560</v>
      </c>
      <c r="C1797" s="16">
        <f>HYPERLINK("https://eosportal.federatedhermes.com/companies/Q29tcGFueQppNzM3Njc=", "Crown Castle Inc")</f>
      </c>
      <c r="D1797" s="0" t="s">
        <v>25</v>
      </c>
      <c r="E1797" s="0" t="s">
        <v>5119</v>
      </c>
      <c r="F1797" s="16">
        <f>HYPERLINK("https://eosportal.federatedhermes.com/engagements/RW5nYWdlbWVudAppMzA3NTk=", "Assess and disclose employee pay gaps")</f>
      </c>
      <c r="G1797" s="14" t="s">
        <v>5120</v>
      </c>
      <c r="H1797" s="0" t="s">
        <v>130</v>
      </c>
      <c r="I1797" s="14" t="s">
        <v>131</v>
      </c>
      <c r="J1797" s="0" t="s">
        <v>153</v>
      </c>
      <c r="K1797" s="0" t="s">
        <v>154</v>
      </c>
      <c r="L1797" s="0" t="s">
        <v>268</v>
      </c>
      <c r="M1797" s="0" t="s">
        <v>135</v>
      </c>
      <c r="N1797" s="0" t="s">
        <v>136</v>
      </c>
      <c r="O1797" s="0" t="s">
        <v>238</v>
      </c>
      <c r="Q1797" s="0" t="s">
        <v>130</v>
      </c>
      <c r="R1797" s="0" t="s">
        <v>138</v>
      </c>
      <c r="S1797" s="14">
        <v>0</v>
      </c>
      <c r="T1797" s="0" t="s">
        <v>583</v>
      </c>
      <c r="U1797" s="0" t="s">
        <v>138</v>
      </c>
      <c r="V1797" s="14" t="s">
        <v>138</v>
      </c>
      <c r="W1797" s="0" t="s">
        <v>138</v>
      </c>
      <c r="X1797" s="14" t="s">
        <v>138</v>
      </c>
      <c r="Y1797" s="0" t="s">
        <v>138</v>
      </c>
      <c r="Z1797" s="14" t="s">
        <v>138</v>
      </c>
      <c r="AA1797" s="0" t="s">
        <v>138</v>
      </c>
      <c r="AB1797" s="14" t="s">
        <v>138</v>
      </c>
      <c r="AD1797" s="0" t="s">
        <v>138</v>
      </c>
      <c r="AF1797" s="0">
        <v>0</v>
      </c>
      <c r="AG1797" s="0">
        <v>0</v>
      </c>
      <c r="AH1797" s="0" t="s">
        <v>140</v>
      </c>
      <c r="AI1797" s="0" t="s">
        <v>138</v>
      </c>
      <c r="AL1797" s="14"/>
      <c r="AN1797" s="14"/>
      <c r="AQ1797" s="0" t="s">
        <v>130</v>
      </c>
      <c r="AR1797" s="0" t="s">
        <v>130</v>
      </c>
      <c r="AS1797" s="0" t="s">
        <v>130</v>
      </c>
      <c r="AT1797" s="0" t="s">
        <v>130</v>
      </c>
      <c r="AU1797" s="0" t="s">
        <v>130</v>
      </c>
      <c r="AV1797" s="0" t="s">
        <v>130</v>
      </c>
      <c r="AW1797" s="0" t="s">
        <v>130</v>
      </c>
      <c r="AX1797" s="0" t="s">
        <v>141</v>
      </c>
      <c r="AY1797" s="0" t="s">
        <v>130</v>
      </c>
      <c r="AZ1797" s="0" t="s">
        <v>130</v>
      </c>
      <c r="BA1797" s="0" t="s">
        <v>130</v>
      </c>
      <c r="BB1797" s="0" t="s">
        <v>130</v>
      </c>
      <c r="BC1797" s="0" t="s">
        <v>130</v>
      </c>
      <c r="BD1797" s="0" t="s">
        <v>130</v>
      </c>
      <c r="BE1797" s="0" t="s">
        <v>130</v>
      </c>
      <c r="BF1797" s="0" t="s">
        <v>130</v>
      </c>
      <c r="BG1797" s="0" t="s">
        <v>130</v>
      </c>
      <c r="BH1797" s="0" t="s">
        <v>130</v>
      </c>
      <c r="BI1797" s="0" t="s">
        <v>130</v>
      </c>
      <c r="BJ1797" s="0" t="s">
        <v>130</v>
      </c>
      <c r="BK1797" s="0" t="s">
        <v>130</v>
      </c>
      <c r="BL1797" s="0" t="s">
        <v>130</v>
      </c>
      <c r="BM1797" s="0" t="s">
        <v>130</v>
      </c>
      <c r="BN1797" s="0" t="s">
        <v>130</v>
      </c>
      <c r="BO1797" s="0" t="s">
        <v>130</v>
      </c>
      <c r="BP1797" s="0" t="s">
        <v>130</v>
      </c>
      <c r="BQ1797" s="0" t="s">
        <v>130</v>
      </c>
      <c r="BR1797" s="0" t="s">
        <v>130</v>
      </c>
      <c r="BS1797" s="0" t="s">
        <v>130</v>
      </c>
      <c r="BT1797" s="0" t="s">
        <v>130</v>
      </c>
      <c r="BU1797" s="0" t="s">
        <v>130</v>
      </c>
      <c r="BV1797" s="0" t="s">
        <v>130</v>
      </c>
      <c r="BW1797" s="0" t="s">
        <v>130</v>
      </c>
      <c r="BX1797" s="0" t="s">
        <v>130</v>
      </c>
      <c r="BY1797" s="0" t="s">
        <v>130</v>
      </c>
      <c r="BZ1797" s="0" t="s">
        <v>130</v>
      </c>
      <c r="CA1797" s="0" t="s">
        <v>130</v>
      </c>
      <c r="CB1797" s="0" t="s">
        <v>130</v>
      </c>
      <c r="CC1797" s="0" t="s">
        <v>130</v>
      </c>
      <c r="CD1797" s="0" t="s">
        <v>130</v>
      </c>
      <c r="CE1797" s="0" t="s">
        <v>130</v>
      </c>
      <c r="CF1797" s="0" t="s">
        <v>130</v>
      </c>
      <c r="CG1797" s="0" t="s">
        <v>130</v>
      </c>
      <c r="CH1797" s="0" t="s">
        <v>130</v>
      </c>
      <c r="CI1797" s="0" t="s">
        <v>130</v>
      </c>
      <c r="CJ1797" s="0" t="s">
        <v>130</v>
      </c>
      <c r="CK1797" s="0" t="s">
        <v>141</v>
      </c>
      <c r="CL1797" s="0" t="s">
        <v>130</v>
      </c>
      <c r="CM1797" s="0" t="s">
        <v>130</v>
      </c>
      <c r="CN1797" s="0" t="s">
        <v>130</v>
      </c>
      <c r="CO1797" s="0" t="s">
        <v>130</v>
      </c>
      <c r="CP1797" s="0" t="s">
        <v>130</v>
      </c>
      <c r="CQ1797" s="0" t="s">
        <v>130</v>
      </c>
      <c r="CR1797" s="0" t="s">
        <v>130</v>
      </c>
      <c r="CS1797" s="0" t="s">
        <v>130</v>
      </c>
      <c r="CT1797" s="0" t="s">
        <v>5121</v>
      </c>
    </row>
    <row r="1798">
      <c r="A1798" s="14">
        <v>101752</v>
      </c>
      <c r="B1798" s="0" t="s">
        <v>1938</v>
      </c>
      <c r="C1798" s="16">
        <f>HYPERLINK("https://eosportal.federatedhermes.com/companies/Q29tcGFueQppNzM3NzA=", "Oracle Corp")</f>
      </c>
      <c r="D1798" s="0" t="s">
        <v>25</v>
      </c>
      <c r="E1798" s="0" t="s">
        <v>5010</v>
      </c>
      <c r="F1798" s="16">
        <f>HYPERLINK("https://eosportal.federatedhermes.com/engagements/RW5nYWdlbWVudAppMzA3NjA=", "Russia-Ukraine Conflict")</f>
      </c>
      <c r="G1798" s="14" t="s">
        <v>5065</v>
      </c>
      <c r="H1798" s="0" t="s">
        <v>141</v>
      </c>
      <c r="I1798" s="14" t="s">
        <v>131</v>
      </c>
      <c r="J1798" s="0" t="s">
        <v>153</v>
      </c>
      <c r="K1798" s="0" t="s">
        <v>243</v>
      </c>
      <c r="L1798" s="0" t="s">
        <v>456</v>
      </c>
      <c r="M1798" s="0" t="s">
        <v>135</v>
      </c>
      <c r="N1798" s="0" t="s">
        <v>136</v>
      </c>
      <c r="O1798" s="0" t="s">
        <v>137</v>
      </c>
      <c r="Q1798" s="0" t="s">
        <v>130</v>
      </c>
      <c r="R1798" s="0" t="s">
        <v>138</v>
      </c>
      <c r="S1798" s="14">
        <v>0</v>
      </c>
      <c r="T1798" s="0" t="s">
        <v>583</v>
      </c>
      <c r="U1798" s="0" t="s">
        <v>138</v>
      </c>
      <c r="V1798" s="14" t="s">
        <v>138</v>
      </c>
      <c r="W1798" s="0" t="s">
        <v>138</v>
      </c>
      <c r="X1798" s="14" t="s">
        <v>138</v>
      </c>
      <c r="Y1798" s="0" t="s">
        <v>138</v>
      </c>
      <c r="Z1798" s="14" t="s">
        <v>138</v>
      </c>
      <c r="AA1798" s="0" t="s">
        <v>138</v>
      </c>
      <c r="AB1798" s="14" t="s">
        <v>138</v>
      </c>
      <c r="AD1798" s="0" t="s">
        <v>138</v>
      </c>
      <c r="AF1798" s="0">
        <v>0</v>
      </c>
      <c r="AG1798" s="0">
        <v>0</v>
      </c>
      <c r="AH1798" s="0" t="s">
        <v>140</v>
      </c>
      <c r="AI1798" s="0" t="s">
        <v>138</v>
      </c>
      <c r="AL1798" s="14"/>
      <c r="AN1798" s="14"/>
      <c r="AQ1798" s="0" t="s">
        <v>130</v>
      </c>
      <c r="AR1798" s="0" t="s">
        <v>130</v>
      </c>
      <c r="AS1798" s="0" t="s">
        <v>130</v>
      </c>
      <c r="AT1798" s="0" t="s">
        <v>130</v>
      </c>
      <c r="AU1798" s="0" t="s">
        <v>130</v>
      </c>
      <c r="AV1798" s="0" t="s">
        <v>130</v>
      </c>
      <c r="AW1798" s="0" t="s">
        <v>130</v>
      </c>
      <c r="AX1798" s="0" t="s">
        <v>141</v>
      </c>
      <c r="AY1798" s="0" t="s">
        <v>130</v>
      </c>
      <c r="AZ1798" s="0" t="s">
        <v>130</v>
      </c>
      <c r="BA1798" s="0" t="s">
        <v>130</v>
      </c>
      <c r="BB1798" s="0" t="s">
        <v>130</v>
      </c>
      <c r="BC1798" s="0" t="s">
        <v>130</v>
      </c>
      <c r="BD1798" s="0" t="s">
        <v>130</v>
      </c>
      <c r="BE1798" s="0" t="s">
        <v>130</v>
      </c>
      <c r="BF1798" s="0" t="s">
        <v>141</v>
      </c>
      <c r="BG1798" s="0" t="s">
        <v>130</v>
      </c>
      <c r="BH1798" s="0" t="s">
        <v>130</v>
      </c>
      <c r="BI1798" s="0" t="s">
        <v>130</v>
      </c>
      <c r="BJ1798" s="0" t="s">
        <v>130</v>
      </c>
      <c r="BK1798" s="0" t="s">
        <v>130</v>
      </c>
      <c r="BL1798" s="0" t="s">
        <v>130</v>
      </c>
      <c r="BM1798" s="0" t="s">
        <v>130</v>
      </c>
      <c r="BN1798" s="0" t="s">
        <v>130</v>
      </c>
      <c r="BO1798" s="0" t="s">
        <v>130</v>
      </c>
      <c r="BP1798" s="0" t="s">
        <v>130</v>
      </c>
      <c r="BQ1798" s="0" t="s">
        <v>130</v>
      </c>
      <c r="BR1798" s="0" t="s">
        <v>130</v>
      </c>
      <c r="BS1798" s="0" t="s">
        <v>130</v>
      </c>
      <c r="BT1798" s="0" t="s">
        <v>130</v>
      </c>
      <c r="BU1798" s="0" t="s">
        <v>130</v>
      </c>
      <c r="BV1798" s="0" t="s">
        <v>130</v>
      </c>
      <c r="BW1798" s="0" t="s">
        <v>130</v>
      </c>
      <c r="BX1798" s="0" t="s">
        <v>130</v>
      </c>
      <c r="BY1798" s="0" t="s">
        <v>130</v>
      </c>
      <c r="BZ1798" s="0" t="s">
        <v>130</v>
      </c>
      <c r="CA1798" s="0" t="s">
        <v>130</v>
      </c>
      <c r="CB1798" s="0" t="s">
        <v>130</v>
      </c>
      <c r="CC1798" s="0" t="s">
        <v>130</v>
      </c>
      <c r="CD1798" s="0" t="s">
        <v>130</v>
      </c>
      <c r="CE1798" s="0" t="s">
        <v>130</v>
      </c>
      <c r="CF1798" s="0" t="s">
        <v>130</v>
      </c>
      <c r="CG1798" s="0" t="s">
        <v>130</v>
      </c>
      <c r="CH1798" s="0" t="s">
        <v>130</v>
      </c>
      <c r="CI1798" s="0" t="s">
        <v>130</v>
      </c>
      <c r="CJ1798" s="0" t="s">
        <v>130</v>
      </c>
      <c r="CK1798" s="0" t="s">
        <v>130</v>
      </c>
      <c r="CL1798" s="0" t="s">
        <v>130</v>
      </c>
      <c r="CM1798" s="0" t="s">
        <v>130</v>
      </c>
      <c r="CN1798" s="0" t="s">
        <v>130</v>
      </c>
      <c r="CO1798" s="0" t="s">
        <v>130</v>
      </c>
      <c r="CP1798" s="0" t="s">
        <v>130</v>
      </c>
      <c r="CQ1798" s="0" t="s">
        <v>130</v>
      </c>
      <c r="CR1798" s="0" t="s">
        <v>130</v>
      </c>
      <c r="CS1798" s="0" t="s">
        <v>130</v>
      </c>
      <c r="CT1798" s="0" t="s">
        <v>5122</v>
      </c>
    </row>
    <row r="1799">
      <c r="A1799" s="14">
        <v>136114</v>
      </c>
      <c r="B1799" s="0" t="s">
        <v>3038</v>
      </c>
      <c r="C1799" s="16">
        <f>HYPERLINK("https://eosportal.federatedhermes.com/companies/Q29tcGFueQppNzM3Nzc=", "Petroleo Brasileiro SA - Petrobras")</f>
      </c>
      <c r="D1799" s="0" t="s">
        <v>25</v>
      </c>
      <c r="E1799" s="0" t="s">
        <v>5123</v>
      </c>
      <c r="F1799" s="16">
        <f>HYPERLINK("https://eosportal.federatedhermes.com/engagements/RW5nYWdlbWVudAppMzA3NjE=", "Compliance Programme")</f>
      </c>
      <c r="G1799" s="14" t="s">
        <v>5124</v>
      </c>
      <c r="H1799" s="0" t="s">
        <v>141</v>
      </c>
      <c r="I1799" s="14" t="s">
        <v>191</v>
      </c>
      <c r="J1799" s="0" t="s">
        <v>132</v>
      </c>
      <c r="K1799" s="0" t="s">
        <v>260</v>
      </c>
      <c r="L1799" s="0" t="s">
        <v>261</v>
      </c>
      <c r="M1799" s="0" t="s">
        <v>2807</v>
      </c>
      <c r="N1799" s="0" t="s">
        <v>3041</v>
      </c>
      <c r="O1799" s="0" t="s">
        <v>542</v>
      </c>
      <c r="Q1799" s="0" t="s">
        <v>130</v>
      </c>
      <c r="R1799" s="0" t="s">
        <v>138</v>
      </c>
      <c r="S1799" s="14">
        <v>0</v>
      </c>
      <c r="T1799" s="0" t="s">
        <v>231</v>
      </c>
      <c r="U1799" s="0" t="s">
        <v>138</v>
      </c>
      <c r="V1799" s="14" t="s">
        <v>138</v>
      </c>
      <c r="W1799" s="0" t="s">
        <v>138</v>
      </c>
      <c r="X1799" s="14" t="s">
        <v>138</v>
      </c>
      <c r="Y1799" s="0" t="s">
        <v>138</v>
      </c>
      <c r="Z1799" s="14" t="s">
        <v>138</v>
      </c>
      <c r="AA1799" s="0" t="s">
        <v>138</v>
      </c>
      <c r="AB1799" s="14" t="s">
        <v>138</v>
      </c>
      <c r="AD1799" s="0" t="s">
        <v>138</v>
      </c>
      <c r="AF1799" s="0">
        <v>0</v>
      </c>
      <c r="AG1799" s="0">
        <v>0</v>
      </c>
      <c r="AH1799" s="0" t="s">
        <v>140</v>
      </c>
      <c r="AI1799" s="0" t="s">
        <v>138</v>
      </c>
      <c r="AL1799" s="14"/>
      <c r="AN1799" s="14"/>
      <c r="AQ1799" s="0" t="s">
        <v>130</v>
      </c>
      <c r="AR1799" s="0" t="s">
        <v>130</v>
      </c>
      <c r="AS1799" s="0" t="s">
        <v>130</v>
      </c>
      <c r="AT1799" s="0" t="s">
        <v>130</v>
      </c>
      <c r="AU1799" s="0" t="s">
        <v>130</v>
      </c>
      <c r="AV1799" s="0" t="s">
        <v>130</v>
      </c>
      <c r="AW1799" s="0" t="s">
        <v>130</v>
      </c>
      <c r="AX1799" s="0" t="s">
        <v>130</v>
      </c>
      <c r="AY1799" s="0" t="s">
        <v>130</v>
      </c>
      <c r="AZ1799" s="0" t="s">
        <v>130</v>
      </c>
      <c r="BA1799" s="0" t="s">
        <v>130</v>
      </c>
      <c r="BB1799" s="0" t="s">
        <v>130</v>
      </c>
      <c r="BC1799" s="0" t="s">
        <v>130</v>
      </c>
      <c r="BD1799" s="0" t="s">
        <v>130</v>
      </c>
      <c r="BE1799" s="0" t="s">
        <v>130</v>
      </c>
      <c r="BF1799" s="0" t="s">
        <v>130</v>
      </c>
      <c r="BG1799" s="0" t="s">
        <v>130</v>
      </c>
      <c r="BH1799" s="0" t="s">
        <v>130</v>
      </c>
      <c r="BI1799" s="0" t="s">
        <v>130</v>
      </c>
      <c r="BJ1799" s="0" t="s">
        <v>130</v>
      </c>
      <c r="BK1799" s="0" t="s">
        <v>130</v>
      </c>
      <c r="BL1799" s="0" t="s">
        <v>130</v>
      </c>
      <c r="BM1799" s="0" t="s">
        <v>130</v>
      </c>
      <c r="BN1799" s="0" t="s">
        <v>130</v>
      </c>
      <c r="BO1799" s="0" t="s">
        <v>130</v>
      </c>
      <c r="BP1799" s="0" t="s">
        <v>130</v>
      </c>
      <c r="BQ1799" s="0" t="s">
        <v>130</v>
      </c>
      <c r="BR1799" s="0" t="s">
        <v>130</v>
      </c>
      <c r="BS1799" s="0" t="s">
        <v>130</v>
      </c>
      <c r="BT1799" s="0" t="s">
        <v>130</v>
      </c>
      <c r="BU1799" s="0" t="s">
        <v>130</v>
      </c>
      <c r="BV1799" s="0" t="s">
        <v>130</v>
      </c>
      <c r="BW1799" s="0" t="s">
        <v>130</v>
      </c>
      <c r="BX1799" s="0" t="s">
        <v>130</v>
      </c>
      <c r="BY1799" s="0" t="s">
        <v>130</v>
      </c>
      <c r="BZ1799" s="0" t="s">
        <v>130</v>
      </c>
      <c r="CA1799" s="0" t="s">
        <v>130</v>
      </c>
      <c r="CB1799" s="0" t="s">
        <v>130</v>
      </c>
      <c r="CC1799" s="0" t="s">
        <v>130</v>
      </c>
      <c r="CD1799" s="0" t="s">
        <v>130</v>
      </c>
      <c r="CE1799" s="0" t="s">
        <v>130</v>
      </c>
      <c r="CF1799" s="0" t="s">
        <v>130</v>
      </c>
      <c r="CG1799" s="0" t="s">
        <v>130</v>
      </c>
      <c r="CH1799" s="0" t="s">
        <v>130</v>
      </c>
      <c r="CI1799" s="0" t="s">
        <v>130</v>
      </c>
      <c r="CJ1799" s="0" t="s">
        <v>130</v>
      </c>
      <c r="CK1799" s="0" t="s">
        <v>130</v>
      </c>
      <c r="CL1799" s="0" t="s">
        <v>130</v>
      </c>
      <c r="CM1799" s="0" t="s">
        <v>130</v>
      </c>
      <c r="CN1799" s="0" t="s">
        <v>130</v>
      </c>
      <c r="CO1799" s="0" t="s">
        <v>130</v>
      </c>
      <c r="CP1799" s="0" t="s">
        <v>130</v>
      </c>
      <c r="CQ1799" s="0" t="s">
        <v>130</v>
      </c>
      <c r="CR1799" s="0" t="s">
        <v>130</v>
      </c>
      <c r="CS1799" s="0" t="s">
        <v>130</v>
      </c>
      <c r="CT1799" s="0" t="s">
        <v>5125</v>
      </c>
    </row>
    <row r="1800">
      <c r="A1800" s="14">
        <v>58121995</v>
      </c>
      <c r="B1800" s="0" t="s">
        <v>4629</v>
      </c>
      <c r="C1800" s="16">
        <f>HYPERLINK("https://eosportal.federatedhermes.com/companies/Q29tcGFueQppNzM3OTU=", "Nutrien Ltd")</f>
      </c>
      <c r="D1800" s="0" t="s">
        <v>25</v>
      </c>
      <c r="E1800" s="0" t="s">
        <v>5126</v>
      </c>
      <c r="F1800" s="16">
        <f>HYPERLINK("https://eosportal.federatedhermes.com/engagements/RW5nYWdlbWVudAppMzA3Njc=", "Regenerative agriculture")</f>
      </c>
      <c r="G1800" s="14" t="s">
        <v>5127</v>
      </c>
      <c r="H1800" s="0" t="s">
        <v>141</v>
      </c>
      <c r="I1800" s="14" t="s">
        <v>131</v>
      </c>
      <c r="J1800" s="0" t="s">
        <v>197</v>
      </c>
      <c r="K1800" s="0" t="s">
        <v>337</v>
      </c>
      <c r="L1800" s="0" t="s">
        <v>576</v>
      </c>
      <c r="M1800" s="0" t="s">
        <v>135</v>
      </c>
      <c r="N1800" s="0" t="s">
        <v>1678</v>
      </c>
      <c r="O1800" s="0" t="s">
        <v>706</v>
      </c>
      <c r="Q1800" s="0" t="s">
        <v>130</v>
      </c>
      <c r="R1800" s="0" t="s">
        <v>138</v>
      </c>
      <c r="S1800" s="14">
        <v>0</v>
      </c>
      <c r="T1800" s="0" t="s">
        <v>583</v>
      </c>
      <c r="U1800" s="0" t="s">
        <v>138</v>
      </c>
      <c r="V1800" s="14" t="s">
        <v>138</v>
      </c>
      <c r="W1800" s="0" t="s">
        <v>138</v>
      </c>
      <c r="X1800" s="14" t="s">
        <v>138</v>
      </c>
      <c r="Y1800" s="0" t="s">
        <v>138</v>
      </c>
      <c r="Z1800" s="14" t="s">
        <v>138</v>
      </c>
      <c r="AA1800" s="0" t="s">
        <v>138</v>
      </c>
      <c r="AB1800" s="14" t="s">
        <v>138</v>
      </c>
      <c r="AD1800" s="0" t="s">
        <v>138</v>
      </c>
      <c r="AF1800" s="0">
        <v>0</v>
      </c>
      <c r="AG1800" s="0">
        <v>0</v>
      </c>
      <c r="AH1800" s="0" t="s">
        <v>140</v>
      </c>
      <c r="AI1800" s="0" t="s">
        <v>138</v>
      </c>
      <c r="AL1800" s="14"/>
      <c r="AN1800" s="14"/>
      <c r="AQ1800" s="0" t="s">
        <v>130</v>
      </c>
      <c r="AR1800" s="0" t="s">
        <v>141</v>
      </c>
      <c r="AS1800" s="0" t="s">
        <v>130</v>
      </c>
      <c r="AT1800" s="0" t="s">
        <v>130</v>
      </c>
      <c r="AU1800" s="0" t="s">
        <v>130</v>
      </c>
      <c r="AV1800" s="0" t="s">
        <v>130</v>
      </c>
      <c r="AW1800" s="0" t="s">
        <v>130</v>
      </c>
      <c r="AX1800" s="0" t="s">
        <v>130</v>
      </c>
      <c r="AY1800" s="0" t="s">
        <v>130</v>
      </c>
      <c r="AZ1800" s="0" t="s">
        <v>130</v>
      </c>
      <c r="BA1800" s="0" t="s">
        <v>130</v>
      </c>
      <c r="BB1800" s="0" t="s">
        <v>141</v>
      </c>
      <c r="BC1800" s="0" t="s">
        <v>130</v>
      </c>
      <c r="BD1800" s="0" t="s">
        <v>130</v>
      </c>
      <c r="BE1800" s="0" t="s">
        <v>141</v>
      </c>
      <c r="BF1800" s="0" t="s">
        <v>130</v>
      </c>
      <c r="BG1800" s="0" t="s">
        <v>130</v>
      </c>
      <c r="BH1800" s="0" t="s">
        <v>130</v>
      </c>
      <c r="BI1800" s="0" t="s">
        <v>130</v>
      </c>
      <c r="BJ1800" s="0" t="s">
        <v>130</v>
      </c>
      <c r="BK1800" s="0" t="s">
        <v>130</v>
      </c>
      <c r="BL1800" s="0" t="s">
        <v>130</v>
      </c>
      <c r="BM1800" s="0" t="s">
        <v>130</v>
      </c>
      <c r="BN1800" s="0" t="s">
        <v>130</v>
      </c>
      <c r="BO1800" s="0" t="s">
        <v>130</v>
      </c>
      <c r="BP1800" s="0" t="s">
        <v>130</v>
      </c>
      <c r="BQ1800" s="0" t="s">
        <v>130</v>
      </c>
      <c r="BR1800" s="0" t="s">
        <v>130</v>
      </c>
      <c r="BS1800" s="0" t="s">
        <v>130</v>
      </c>
      <c r="BT1800" s="0" t="s">
        <v>130</v>
      </c>
      <c r="BU1800" s="0" t="s">
        <v>130</v>
      </c>
      <c r="BV1800" s="0" t="s">
        <v>130</v>
      </c>
      <c r="BW1800" s="0" t="s">
        <v>130</v>
      </c>
      <c r="BX1800" s="0" t="s">
        <v>130</v>
      </c>
      <c r="BY1800" s="0" t="s">
        <v>130</v>
      </c>
      <c r="BZ1800" s="0" t="s">
        <v>130</v>
      </c>
      <c r="CA1800" s="0" t="s">
        <v>130</v>
      </c>
      <c r="CB1800" s="0" t="s">
        <v>130</v>
      </c>
      <c r="CC1800" s="0" t="s">
        <v>130</v>
      </c>
      <c r="CD1800" s="0" t="s">
        <v>130</v>
      </c>
      <c r="CE1800" s="0" t="s">
        <v>130</v>
      </c>
      <c r="CF1800" s="0" t="s">
        <v>130</v>
      </c>
      <c r="CG1800" s="0" t="s">
        <v>130</v>
      </c>
      <c r="CH1800" s="0" t="s">
        <v>130</v>
      </c>
      <c r="CI1800" s="0" t="s">
        <v>130</v>
      </c>
      <c r="CJ1800" s="0" t="s">
        <v>130</v>
      </c>
      <c r="CK1800" s="0" t="s">
        <v>130</v>
      </c>
      <c r="CL1800" s="0" t="s">
        <v>130</v>
      </c>
      <c r="CM1800" s="0" t="s">
        <v>130</v>
      </c>
      <c r="CN1800" s="0" t="s">
        <v>130</v>
      </c>
      <c r="CO1800" s="0" t="s">
        <v>130</v>
      </c>
      <c r="CP1800" s="0" t="s">
        <v>130</v>
      </c>
      <c r="CQ1800" s="0" t="s">
        <v>130</v>
      </c>
      <c r="CR1800" s="0" t="s">
        <v>130</v>
      </c>
      <c r="CS1800" s="0" t="s">
        <v>130</v>
      </c>
      <c r="CT1800" s="0" t="s">
        <v>5128</v>
      </c>
    </row>
    <row r="1801">
      <c r="A1801" s="14">
        <v>364913</v>
      </c>
      <c r="B1801" s="0" t="s">
        <v>3725</v>
      </c>
      <c r="C1801" s="16">
        <f>HYPERLINK("https://eosportal.federatedhermes.com/companies/Q29tcGFueQppNzQwNjQ=", "Centene Corp")</f>
      </c>
      <c r="D1801" s="0" t="s">
        <v>25</v>
      </c>
      <c r="E1801" s="0" t="s">
        <v>5129</v>
      </c>
      <c r="F1801" s="16">
        <f>HYPERLINK("https://eosportal.federatedhermes.com/engagements/RW5nYWdlbWVudAppMzA3NzE=", "Equal access to affordable healthcare")</f>
      </c>
      <c r="G1801" s="14" t="s">
        <v>5130</v>
      </c>
      <c r="H1801" s="0" t="s">
        <v>130</v>
      </c>
      <c r="I1801" s="14" t="s">
        <v>319</v>
      </c>
      <c r="J1801" s="0" t="s">
        <v>153</v>
      </c>
      <c r="K1801" s="0" t="s">
        <v>243</v>
      </c>
      <c r="L1801" s="0" t="s">
        <v>292</v>
      </c>
      <c r="M1801" s="0" t="s">
        <v>135</v>
      </c>
      <c r="N1801" s="0" t="s">
        <v>136</v>
      </c>
      <c r="O1801" s="0" t="s">
        <v>274</v>
      </c>
      <c r="Q1801" s="0" t="s">
        <v>130</v>
      </c>
      <c r="R1801" s="0" t="s">
        <v>138</v>
      </c>
      <c r="S1801" s="14">
        <v>0</v>
      </c>
      <c r="T1801" s="0" t="s">
        <v>231</v>
      </c>
      <c r="U1801" s="0" t="s">
        <v>138</v>
      </c>
      <c r="V1801" s="14" t="s">
        <v>138</v>
      </c>
      <c r="W1801" s="0" t="s">
        <v>138</v>
      </c>
      <c r="X1801" s="14" t="s">
        <v>138</v>
      </c>
      <c r="Y1801" s="0" t="s">
        <v>138</v>
      </c>
      <c r="Z1801" s="14" t="s">
        <v>138</v>
      </c>
      <c r="AA1801" s="0" t="s">
        <v>138</v>
      </c>
      <c r="AB1801" s="14" t="s">
        <v>138</v>
      </c>
      <c r="AD1801" s="0" t="s">
        <v>138</v>
      </c>
      <c r="AF1801" s="0">
        <v>0</v>
      </c>
      <c r="AG1801" s="0">
        <v>0</v>
      </c>
      <c r="AH1801" s="0" t="s">
        <v>140</v>
      </c>
      <c r="AI1801" s="0" t="s">
        <v>138</v>
      </c>
      <c r="AL1801" s="14"/>
      <c r="AN1801" s="14"/>
      <c r="AQ1801" s="0" t="s">
        <v>141</v>
      </c>
      <c r="AR1801" s="0" t="s">
        <v>130</v>
      </c>
      <c r="AS1801" s="0" t="s">
        <v>141</v>
      </c>
      <c r="AT1801" s="0" t="s">
        <v>130</v>
      </c>
      <c r="AU1801" s="0" t="s">
        <v>130</v>
      </c>
      <c r="AV1801" s="0" t="s">
        <v>130</v>
      </c>
      <c r="AW1801" s="0" t="s">
        <v>130</v>
      </c>
      <c r="AX1801" s="0" t="s">
        <v>130</v>
      </c>
      <c r="AY1801" s="0" t="s">
        <v>130</v>
      </c>
      <c r="AZ1801" s="0" t="s">
        <v>130</v>
      </c>
      <c r="BA1801" s="0" t="s">
        <v>130</v>
      </c>
      <c r="BB1801" s="0" t="s">
        <v>130</v>
      </c>
      <c r="BC1801" s="0" t="s">
        <v>130</v>
      </c>
      <c r="BD1801" s="0" t="s">
        <v>130</v>
      </c>
      <c r="BE1801" s="0" t="s">
        <v>130</v>
      </c>
      <c r="BF1801" s="0" t="s">
        <v>130</v>
      </c>
      <c r="BG1801" s="0" t="s">
        <v>130</v>
      </c>
      <c r="BH1801" s="0" t="s">
        <v>130</v>
      </c>
      <c r="BI1801" s="0" t="s">
        <v>130</v>
      </c>
      <c r="BJ1801" s="0" t="s">
        <v>130</v>
      </c>
      <c r="BK1801" s="0" t="s">
        <v>130</v>
      </c>
      <c r="BL1801" s="0" t="s">
        <v>130</v>
      </c>
      <c r="BM1801" s="0" t="s">
        <v>130</v>
      </c>
      <c r="BN1801" s="0" t="s">
        <v>130</v>
      </c>
      <c r="BO1801" s="0" t="s">
        <v>130</v>
      </c>
      <c r="BP1801" s="0" t="s">
        <v>130</v>
      </c>
      <c r="BQ1801" s="0" t="s">
        <v>130</v>
      </c>
      <c r="BR1801" s="0" t="s">
        <v>130</v>
      </c>
      <c r="BS1801" s="0" t="s">
        <v>130</v>
      </c>
      <c r="BT1801" s="0" t="s">
        <v>130</v>
      </c>
      <c r="BU1801" s="0" t="s">
        <v>130</v>
      </c>
      <c r="BV1801" s="0" t="s">
        <v>130</v>
      </c>
      <c r="BW1801" s="0" t="s">
        <v>130</v>
      </c>
      <c r="BX1801" s="0" t="s">
        <v>130</v>
      </c>
      <c r="BY1801" s="0" t="s">
        <v>130</v>
      </c>
      <c r="BZ1801" s="0" t="s">
        <v>130</v>
      </c>
      <c r="CA1801" s="0" t="s">
        <v>130</v>
      </c>
      <c r="CB1801" s="0" t="s">
        <v>130</v>
      </c>
      <c r="CC1801" s="0" t="s">
        <v>130</v>
      </c>
      <c r="CD1801" s="0" t="s">
        <v>130</v>
      </c>
      <c r="CE1801" s="0" t="s">
        <v>130</v>
      </c>
      <c r="CF1801" s="0" t="s">
        <v>130</v>
      </c>
      <c r="CG1801" s="0" t="s">
        <v>130</v>
      </c>
      <c r="CH1801" s="0" t="s">
        <v>130</v>
      </c>
      <c r="CI1801" s="0" t="s">
        <v>130</v>
      </c>
      <c r="CJ1801" s="0" t="s">
        <v>130</v>
      </c>
      <c r="CK1801" s="0" t="s">
        <v>130</v>
      </c>
      <c r="CL1801" s="0" t="s">
        <v>130</v>
      </c>
      <c r="CM1801" s="0" t="s">
        <v>130</v>
      </c>
      <c r="CN1801" s="0" t="s">
        <v>130</v>
      </c>
      <c r="CO1801" s="0" t="s">
        <v>130</v>
      </c>
      <c r="CP1801" s="0" t="s">
        <v>130</v>
      </c>
      <c r="CQ1801" s="0" t="s">
        <v>130</v>
      </c>
      <c r="CR1801" s="0" t="s">
        <v>130</v>
      </c>
      <c r="CS1801" s="0" t="s">
        <v>130</v>
      </c>
      <c r="CT1801" s="0" t="s">
        <v>5131</v>
      </c>
    </row>
    <row r="1802">
      <c r="A1802" s="14">
        <v>58244711</v>
      </c>
      <c r="B1802" s="0" t="s">
        <v>4639</v>
      </c>
      <c r="C1802" s="16">
        <f>HYPERLINK("https://eosportal.federatedhermes.com/companies/Q29tcGFueQppNzU2NjQ=", "ASE Technology Holding Co Ltd")</f>
      </c>
      <c r="D1802" s="0" t="s">
        <v>25</v>
      </c>
      <c r="E1802" s="0" t="s">
        <v>3027</v>
      </c>
      <c r="F1802" s="16">
        <f>HYPERLINK("https://eosportal.federatedhermes.com/engagements/RW5nYWdlbWVudAppMzA3Nzk=", "Board gender diversity")</f>
      </c>
      <c r="G1802" s="14" t="s">
        <v>5132</v>
      </c>
      <c r="H1802" s="0" t="s">
        <v>130</v>
      </c>
      <c r="I1802" s="14" t="s">
        <v>131</v>
      </c>
      <c r="J1802" s="0" t="s">
        <v>145</v>
      </c>
      <c r="K1802" s="0" t="s">
        <v>164</v>
      </c>
      <c r="L1802" s="0" t="s">
        <v>165</v>
      </c>
      <c r="M1802" s="0" t="s">
        <v>802</v>
      </c>
      <c r="N1802" s="0" t="s">
        <v>2941</v>
      </c>
      <c r="O1802" s="0" t="s">
        <v>1125</v>
      </c>
      <c r="Q1802" s="0" t="s">
        <v>130</v>
      </c>
      <c r="R1802" s="0" t="s">
        <v>138</v>
      </c>
      <c r="S1802" s="14">
        <v>0</v>
      </c>
      <c r="T1802" s="0" t="s">
        <v>583</v>
      </c>
      <c r="U1802" s="0" t="s">
        <v>138</v>
      </c>
      <c r="V1802" s="14" t="s">
        <v>138</v>
      </c>
      <c r="W1802" s="0" t="s">
        <v>138</v>
      </c>
      <c r="X1802" s="14" t="s">
        <v>138</v>
      </c>
      <c r="Y1802" s="0" t="s">
        <v>138</v>
      </c>
      <c r="Z1802" s="14" t="s">
        <v>138</v>
      </c>
      <c r="AA1802" s="0" t="s">
        <v>138</v>
      </c>
      <c r="AB1802" s="14" t="s">
        <v>138</v>
      </c>
      <c r="AD1802" s="0" t="s">
        <v>138</v>
      </c>
      <c r="AF1802" s="0">
        <v>0</v>
      </c>
      <c r="AG1802" s="0">
        <v>0</v>
      </c>
      <c r="AH1802" s="0" t="s">
        <v>140</v>
      </c>
      <c r="AI1802" s="0" t="s">
        <v>138</v>
      </c>
      <c r="AL1802" s="14"/>
      <c r="AN1802" s="14"/>
      <c r="AQ1802" s="0" t="s">
        <v>130</v>
      </c>
      <c r="AR1802" s="0" t="s">
        <v>130</v>
      </c>
      <c r="AS1802" s="0" t="s">
        <v>130</v>
      </c>
      <c r="AT1802" s="0" t="s">
        <v>130</v>
      </c>
      <c r="AU1802" s="0" t="s">
        <v>141</v>
      </c>
      <c r="AV1802" s="0" t="s">
        <v>130</v>
      </c>
      <c r="AW1802" s="0" t="s">
        <v>130</v>
      </c>
      <c r="AX1802" s="0" t="s">
        <v>130</v>
      </c>
      <c r="AY1802" s="0" t="s">
        <v>130</v>
      </c>
      <c r="AZ1802" s="0" t="s">
        <v>130</v>
      </c>
      <c r="BA1802" s="0" t="s">
        <v>130</v>
      </c>
      <c r="BB1802" s="0" t="s">
        <v>130</v>
      </c>
      <c r="BC1802" s="0" t="s">
        <v>130</v>
      </c>
      <c r="BD1802" s="0" t="s">
        <v>130</v>
      </c>
      <c r="BE1802" s="0" t="s">
        <v>130</v>
      </c>
      <c r="BF1802" s="0" t="s">
        <v>130</v>
      </c>
      <c r="BG1802" s="0" t="s">
        <v>130</v>
      </c>
      <c r="BH1802" s="0" t="s">
        <v>130</v>
      </c>
      <c r="BI1802" s="0" t="s">
        <v>130</v>
      </c>
      <c r="BJ1802" s="0" t="s">
        <v>130</v>
      </c>
      <c r="BK1802" s="0" t="s">
        <v>130</v>
      </c>
      <c r="BL1802" s="0" t="s">
        <v>130</v>
      </c>
      <c r="BM1802" s="0" t="s">
        <v>130</v>
      </c>
      <c r="BN1802" s="0" t="s">
        <v>130</v>
      </c>
      <c r="BO1802" s="0" t="s">
        <v>130</v>
      </c>
      <c r="BP1802" s="0" t="s">
        <v>130</v>
      </c>
      <c r="BQ1802" s="0" t="s">
        <v>130</v>
      </c>
      <c r="BR1802" s="0" t="s">
        <v>130</v>
      </c>
      <c r="BS1802" s="0" t="s">
        <v>130</v>
      </c>
      <c r="BT1802" s="0" t="s">
        <v>130</v>
      </c>
      <c r="BU1802" s="0" t="s">
        <v>130</v>
      </c>
      <c r="BV1802" s="0" t="s">
        <v>130</v>
      </c>
      <c r="BW1802" s="0" t="s">
        <v>130</v>
      </c>
      <c r="BX1802" s="0" t="s">
        <v>130</v>
      </c>
      <c r="BY1802" s="0" t="s">
        <v>130</v>
      </c>
      <c r="BZ1802" s="0" t="s">
        <v>130</v>
      </c>
      <c r="CA1802" s="0" t="s">
        <v>130</v>
      </c>
      <c r="CB1802" s="0" t="s">
        <v>130</v>
      </c>
      <c r="CC1802" s="0" t="s">
        <v>130</v>
      </c>
      <c r="CD1802" s="0" t="s">
        <v>130</v>
      </c>
      <c r="CE1802" s="0" t="s">
        <v>130</v>
      </c>
      <c r="CF1802" s="0" t="s">
        <v>130</v>
      </c>
      <c r="CG1802" s="0" t="s">
        <v>130</v>
      </c>
      <c r="CH1802" s="0" t="s">
        <v>130</v>
      </c>
      <c r="CI1802" s="0" t="s">
        <v>130</v>
      </c>
      <c r="CJ1802" s="0" t="s">
        <v>130</v>
      </c>
      <c r="CK1802" s="0" t="s">
        <v>130</v>
      </c>
      <c r="CL1802" s="0" t="s">
        <v>130</v>
      </c>
      <c r="CM1802" s="0" t="s">
        <v>130</v>
      </c>
      <c r="CN1802" s="0" t="s">
        <v>130</v>
      </c>
      <c r="CO1802" s="0" t="s">
        <v>130</v>
      </c>
      <c r="CP1802" s="0" t="s">
        <v>130</v>
      </c>
      <c r="CQ1802" s="0" t="s">
        <v>130</v>
      </c>
      <c r="CR1802" s="0" t="s">
        <v>130</v>
      </c>
      <c r="CS1802" s="0" t="s">
        <v>130</v>
      </c>
      <c r="CT1802" s="0" t="s">
        <v>5133</v>
      </c>
    </row>
    <row r="1803">
      <c r="A1803" s="14">
        <v>101341</v>
      </c>
      <c r="B1803" s="0" t="s">
        <v>1478</v>
      </c>
      <c r="C1803" s="16">
        <f>HYPERLINK("https://eosportal.federatedhermes.com/companies/Q29tcGFueQppNzU2ODE=", "Sherwin-Williams Co/The")</f>
      </c>
      <c r="D1803" s="0" t="s">
        <v>25</v>
      </c>
      <c r="E1803" s="0" t="s">
        <v>441</v>
      </c>
      <c r="F1803" s="16">
        <f>HYPERLINK("https://eosportal.federatedhermes.com/engagements/RW5nYWdlbWVudAppMzA3ODA=", "Auditor tenure")</f>
      </c>
      <c r="G1803" s="14" t="s">
        <v>5134</v>
      </c>
      <c r="H1803" s="0" t="s">
        <v>130</v>
      </c>
      <c r="I1803" s="14" t="s">
        <v>319</v>
      </c>
      <c r="J1803" s="0" t="s">
        <v>132</v>
      </c>
      <c r="K1803" s="0" t="s">
        <v>170</v>
      </c>
      <c r="L1803" s="0" t="s">
        <v>310</v>
      </c>
      <c r="M1803" s="0" t="s">
        <v>135</v>
      </c>
      <c r="N1803" s="0" t="s">
        <v>136</v>
      </c>
      <c r="O1803" s="0" t="s">
        <v>706</v>
      </c>
      <c r="Q1803" s="0" t="s">
        <v>130</v>
      </c>
      <c r="R1803" s="0" t="s">
        <v>138</v>
      </c>
      <c r="S1803" s="14">
        <v>0</v>
      </c>
      <c r="T1803" s="0" t="s">
        <v>231</v>
      </c>
      <c r="U1803" s="0" t="s">
        <v>138</v>
      </c>
      <c r="V1803" s="14" t="s">
        <v>138</v>
      </c>
      <c r="W1803" s="0" t="s">
        <v>138</v>
      </c>
      <c r="X1803" s="14" t="s">
        <v>138</v>
      </c>
      <c r="Y1803" s="0" t="s">
        <v>138</v>
      </c>
      <c r="Z1803" s="14" t="s">
        <v>138</v>
      </c>
      <c r="AA1803" s="0" t="s">
        <v>138</v>
      </c>
      <c r="AB1803" s="14" t="s">
        <v>138</v>
      </c>
      <c r="AD1803" s="0" t="s">
        <v>138</v>
      </c>
      <c r="AF1803" s="0">
        <v>0</v>
      </c>
      <c r="AG1803" s="0">
        <v>0</v>
      </c>
      <c r="AH1803" s="0" t="s">
        <v>140</v>
      </c>
      <c r="AI1803" s="0" t="s">
        <v>138</v>
      </c>
      <c r="AL1803" s="14"/>
      <c r="AN1803" s="14"/>
      <c r="AQ1803" s="0" t="s">
        <v>130</v>
      </c>
      <c r="AR1803" s="0" t="s">
        <v>130</v>
      </c>
      <c r="AS1803" s="0" t="s">
        <v>130</v>
      </c>
      <c r="AT1803" s="0" t="s">
        <v>130</v>
      </c>
      <c r="AU1803" s="0" t="s">
        <v>130</v>
      </c>
      <c r="AV1803" s="0" t="s">
        <v>130</v>
      </c>
      <c r="AW1803" s="0" t="s">
        <v>130</v>
      </c>
      <c r="AX1803" s="0" t="s">
        <v>130</v>
      </c>
      <c r="AY1803" s="0" t="s">
        <v>130</v>
      </c>
      <c r="AZ1803" s="0" t="s">
        <v>130</v>
      </c>
      <c r="BA1803" s="0" t="s">
        <v>130</v>
      </c>
      <c r="BB1803" s="0" t="s">
        <v>130</v>
      </c>
      <c r="BC1803" s="0" t="s">
        <v>130</v>
      </c>
      <c r="BD1803" s="0" t="s">
        <v>130</v>
      </c>
      <c r="BE1803" s="0" t="s">
        <v>130</v>
      </c>
      <c r="BF1803" s="0" t="s">
        <v>130</v>
      </c>
      <c r="BG1803" s="0" t="s">
        <v>130</v>
      </c>
      <c r="BH1803" s="0" t="s">
        <v>130</v>
      </c>
      <c r="BI1803" s="0" t="s">
        <v>130</v>
      </c>
      <c r="BJ1803" s="0" t="s">
        <v>130</v>
      </c>
      <c r="BK1803" s="0" t="s">
        <v>130</v>
      </c>
      <c r="BL1803" s="0" t="s">
        <v>130</v>
      </c>
      <c r="BM1803" s="0" t="s">
        <v>130</v>
      </c>
      <c r="BN1803" s="0" t="s">
        <v>130</v>
      </c>
      <c r="BO1803" s="0" t="s">
        <v>130</v>
      </c>
      <c r="BP1803" s="0" t="s">
        <v>130</v>
      </c>
      <c r="BQ1803" s="0" t="s">
        <v>130</v>
      </c>
      <c r="BR1803" s="0" t="s">
        <v>130</v>
      </c>
      <c r="BS1803" s="0" t="s">
        <v>130</v>
      </c>
      <c r="BT1803" s="0" t="s">
        <v>130</v>
      </c>
      <c r="BU1803" s="0" t="s">
        <v>130</v>
      </c>
      <c r="BV1803" s="0" t="s">
        <v>130</v>
      </c>
      <c r="BW1803" s="0" t="s">
        <v>130</v>
      </c>
      <c r="BX1803" s="0" t="s">
        <v>130</v>
      </c>
      <c r="BY1803" s="0" t="s">
        <v>130</v>
      </c>
      <c r="BZ1803" s="0" t="s">
        <v>130</v>
      </c>
      <c r="CA1803" s="0" t="s">
        <v>130</v>
      </c>
      <c r="CB1803" s="0" t="s">
        <v>130</v>
      </c>
      <c r="CC1803" s="0" t="s">
        <v>130</v>
      </c>
      <c r="CD1803" s="0" t="s">
        <v>130</v>
      </c>
      <c r="CE1803" s="0" t="s">
        <v>130</v>
      </c>
      <c r="CF1803" s="0" t="s">
        <v>130</v>
      </c>
      <c r="CG1803" s="0" t="s">
        <v>130</v>
      </c>
      <c r="CH1803" s="0" t="s">
        <v>130</v>
      </c>
      <c r="CI1803" s="0" t="s">
        <v>130</v>
      </c>
      <c r="CJ1803" s="0" t="s">
        <v>130</v>
      </c>
      <c r="CK1803" s="0" t="s">
        <v>130</v>
      </c>
      <c r="CL1803" s="0" t="s">
        <v>130</v>
      </c>
      <c r="CM1803" s="0" t="s">
        <v>130</v>
      </c>
      <c r="CN1803" s="0" t="s">
        <v>130</v>
      </c>
      <c r="CO1803" s="0" t="s">
        <v>130</v>
      </c>
      <c r="CP1803" s="0" t="s">
        <v>130</v>
      </c>
      <c r="CQ1803" s="0" t="s">
        <v>130</v>
      </c>
      <c r="CR1803" s="0" t="s">
        <v>130</v>
      </c>
      <c r="CS1803" s="0" t="s">
        <v>130</v>
      </c>
      <c r="CT1803" s="0" t="s">
        <v>5135</v>
      </c>
    </row>
    <row r="1804">
      <c r="A1804" s="14">
        <v>154561</v>
      </c>
      <c r="B1804" s="0" t="s">
        <v>2966</v>
      </c>
      <c r="C1804" s="16">
        <f>HYPERLINK("https://eosportal.federatedhermes.com/companies/Q29tcGFueQppNzU2ODg=", "Tata Steel Ltd")</f>
      </c>
      <c r="D1804" s="0" t="s">
        <v>25</v>
      </c>
      <c r="E1804" s="0" t="s">
        <v>4539</v>
      </c>
      <c r="F1804" s="16">
        <f>HYPERLINK("https://eosportal.federatedhermes.com/engagements/RW5nYWdlbWVudAppMzA3ODM=", "Climate change risk and opportunity management")</f>
      </c>
      <c r="G1804" s="14" t="s">
        <v>5136</v>
      </c>
      <c r="H1804" s="0" t="s">
        <v>141</v>
      </c>
      <c r="I1804" s="14" t="s">
        <v>636</v>
      </c>
      <c r="J1804" s="0" t="s">
        <v>197</v>
      </c>
      <c r="K1804" s="0" t="s">
        <v>198</v>
      </c>
      <c r="L1804" s="0" t="s">
        <v>199</v>
      </c>
      <c r="M1804" s="0" t="s">
        <v>2807</v>
      </c>
      <c r="N1804" s="0" t="s">
        <v>2969</v>
      </c>
      <c r="O1804" s="0" t="s">
        <v>373</v>
      </c>
      <c r="Q1804" s="0" t="s">
        <v>141</v>
      </c>
      <c r="R1804" s="0" t="s">
        <v>138</v>
      </c>
      <c r="S1804" s="14">
        <v>1</v>
      </c>
      <c r="T1804" s="0" t="s">
        <v>583</v>
      </c>
      <c r="U1804" s="0" t="s">
        <v>138</v>
      </c>
      <c r="V1804" s="14" t="s">
        <v>138</v>
      </c>
      <c r="W1804" s="0" t="s">
        <v>138</v>
      </c>
      <c r="X1804" s="14" t="s">
        <v>138</v>
      </c>
      <c r="Y1804" s="0" t="s">
        <v>138</v>
      </c>
      <c r="Z1804" s="14" t="s">
        <v>138</v>
      </c>
      <c r="AA1804" s="0" t="s">
        <v>138</v>
      </c>
      <c r="AB1804" s="14" t="s">
        <v>138</v>
      </c>
      <c r="AD1804" s="0" t="s">
        <v>138</v>
      </c>
      <c r="AF1804" s="0">
        <v>0</v>
      </c>
      <c r="AG1804" s="0">
        <v>0</v>
      </c>
      <c r="AH1804" s="0" t="s">
        <v>140</v>
      </c>
      <c r="AI1804" s="0" t="s">
        <v>138</v>
      </c>
      <c r="AK1804" s="0" t="s">
        <v>233</v>
      </c>
      <c r="AL1804" s="14"/>
      <c r="AN1804" s="14"/>
      <c r="AQ1804" s="0" t="s">
        <v>130</v>
      </c>
      <c r="AR1804" s="0" t="s">
        <v>130</v>
      </c>
      <c r="AS1804" s="0" t="s">
        <v>130</v>
      </c>
      <c r="AT1804" s="0" t="s">
        <v>130</v>
      </c>
      <c r="AU1804" s="0" t="s">
        <v>130</v>
      </c>
      <c r="AV1804" s="0" t="s">
        <v>130</v>
      </c>
      <c r="AW1804" s="0" t="s">
        <v>130</v>
      </c>
      <c r="AX1804" s="0" t="s">
        <v>130</v>
      </c>
      <c r="AY1804" s="0" t="s">
        <v>130</v>
      </c>
      <c r="AZ1804" s="0" t="s">
        <v>130</v>
      </c>
      <c r="BA1804" s="0" t="s">
        <v>130</v>
      </c>
      <c r="BB1804" s="0" t="s">
        <v>141</v>
      </c>
      <c r="BC1804" s="0" t="s">
        <v>141</v>
      </c>
      <c r="BD1804" s="0" t="s">
        <v>130</v>
      </c>
      <c r="BE1804" s="0" t="s">
        <v>130</v>
      </c>
      <c r="BF1804" s="0" t="s">
        <v>130</v>
      </c>
      <c r="BG1804" s="0" t="s">
        <v>130</v>
      </c>
      <c r="BH1804" s="0" t="s">
        <v>130</v>
      </c>
      <c r="BI1804" s="0" t="s">
        <v>130</v>
      </c>
      <c r="BJ1804" s="0" t="s">
        <v>130</v>
      </c>
      <c r="BK1804" s="0" t="s">
        <v>130</v>
      </c>
      <c r="BL1804" s="0" t="s">
        <v>130</v>
      </c>
      <c r="BM1804" s="0" t="s">
        <v>130</v>
      </c>
      <c r="BN1804" s="0" t="s">
        <v>130</v>
      </c>
      <c r="BO1804" s="0" t="s">
        <v>130</v>
      </c>
      <c r="BP1804" s="0" t="s">
        <v>130</v>
      </c>
      <c r="BQ1804" s="0" t="s">
        <v>130</v>
      </c>
      <c r="BR1804" s="0" t="s">
        <v>130</v>
      </c>
      <c r="BS1804" s="0" t="s">
        <v>130</v>
      </c>
      <c r="BT1804" s="0" t="s">
        <v>130</v>
      </c>
      <c r="BU1804" s="0" t="s">
        <v>130</v>
      </c>
      <c r="BV1804" s="0" t="s">
        <v>130</v>
      </c>
      <c r="BW1804" s="0" t="s">
        <v>130</v>
      </c>
      <c r="BX1804" s="0" t="s">
        <v>130</v>
      </c>
      <c r="BY1804" s="0" t="s">
        <v>130</v>
      </c>
      <c r="BZ1804" s="0" t="s">
        <v>130</v>
      </c>
      <c r="CA1804" s="0" t="s">
        <v>130</v>
      </c>
      <c r="CB1804" s="0" t="s">
        <v>130</v>
      </c>
      <c r="CC1804" s="0" t="s">
        <v>130</v>
      </c>
      <c r="CD1804" s="0" t="s">
        <v>130</v>
      </c>
      <c r="CE1804" s="0" t="s">
        <v>130</v>
      </c>
      <c r="CF1804" s="0" t="s">
        <v>130</v>
      </c>
      <c r="CG1804" s="0" t="s">
        <v>130</v>
      </c>
      <c r="CH1804" s="0" t="s">
        <v>130</v>
      </c>
      <c r="CI1804" s="0" t="s">
        <v>130</v>
      </c>
      <c r="CJ1804" s="0" t="s">
        <v>130</v>
      </c>
      <c r="CK1804" s="0" t="s">
        <v>130</v>
      </c>
      <c r="CL1804" s="0" t="s">
        <v>130</v>
      </c>
      <c r="CM1804" s="0" t="s">
        <v>130</v>
      </c>
      <c r="CN1804" s="0" t="s">
        <v>130</v>
      </c>
      <c r="CO1804" s="0" t="s">
        <v>130</v>
      </c>
      <c r="CP1804" s="0" t="s">
        <v>130</v>
      </c>
      <c r="CQ1804" s="0" t="s">
        <v>130</v>
      </c>
      <c r="CR1804" s="0" t="s">
        <v>130</v>
      </c>
      <c r="CS1804" s="0" t="s">
        <v>130</v>
      </c>
      <c r="CT1804" s="0" t="s">
        <v>5137</v>
      </c>
    </row>
    <row r="1805">
      <c r="A1805" s="14">
        <v>154561</v>
      </c>
      <c r="B1805" s="0" t="s">
        <v>2966</v>
      </c>
      <c r="C1805" s="16">
        <f>HYPERLINK("https://eosportal.federatedhermes.com/companies/Q29tcGFueQppNzU2ODg=", "Tata Steel Ltd")</f>
      </c>
      <c r="D1805" s="0" t="s">
        <v>25</v>
      </c>
      <c r="E1805" s="0" t="s">
        <v>943</v>
      </c>
      <c r="F1805" s="16">
        <f>HYPERLINK("https://eosportal.federatedhermes.com/engagements/RW5nYWdlbWVudAppMzA3ODQ=", "Diversity")</f>
      </c>
      <c r="G1805" s="14" t="s">
        <v>5138</v>
      </c>
      <c r="H1805" s="0" t="s">
        <v>141</v>
      </c>
      <c r="I1805" s="14" t="s">
        <v>636</v>
      </c>
      <c r="J1805" s="0" t="s">
        <v>145</v>
      </c>
      <c r="K1805" s="0" t="s">
        <v>164</v>
      </c>
      <c r="L1805" s="0" t="s">
        <v>165</v>
      </c>
      <c r="M1805" s="0" t="s">
        <v>2807</v>
      </c>
      <c r="N1805" s="0" t="s">
        <v>2969</v>
      </c>
      <c r="O1805" s="0" t="s">
        <v>373</v>
      </c>
      <c r="Q1805" s="0" t="s">
        <v>130</v>
      </c>
      <c r="R1805" s="0" t="s">
        <v>138</v>
      </c>
      <c r="S1805" s="14">
        <v>0</v>
      </c>
      <c r="T1805" s="0" t="s">
        <v>597</v>
      </c>
      <c r="U1805" s="0" t="s">
        <v>138</v>
      </c>
      <c r="V1805" s="14" t="s">
        <v>138</v>
      </c>
      <c r="W1805" s="0" t="s">
        <v>138</v>
      </c>
      <c r="X1805" s="14" t="s">
        <v>138</v>
      </c>
      <c r="Y1805" s="0" t="s">
        <v>138</v>
      </c>
      <c r="Z1805" s="14" t="s">
        <v>138</v>
      </c>
      <c r="AA1805" s="0" t="s">
        <v>138</v>
      </c>
      <c r="AB1805" s="14" t="s">
        <v>138</v>
      </c>
      <c r="AD1805" s="0" t="s">
        <v>138</v>
      </c>
      <c r="AF1805" s="0">
        <v>0</v>
      </c>
      <c r="AG1805" s="0">
        <v>0</v>
      </c>
      <c r="AH1805" s="0" t="s">
        <v>140</v>
      </c>
      <c r="AI1805" s="0" t="s">
        <v>138</v>
      </c>
      <c r="AL1805" s="14"/>
      <c r="AN1805" s="14"/>
      <c r="AQ1805" s="0" t="s">
        <v>130</v>
      </c>
      <c r="AR1805" s="0" t="s">
        <v>130</v>
      </c>
      <c r="AS1805" s="0" t="s">
        <v>130</v>
      </c>
      <c r="AT1805" s="0" t="s">
        <v>130</v>
      </c>
      <c r="AU1805" s="0" t="s">
        <v>141</v>
      </c>
      <c r="AV1805" s="0" t="s">
        <v>130</v>
      </c>
      <c r="AW1805" s="0" t="s">
        <v>130</v>
      </c>
      <c r="AX1805" s="0" t="s">
        <v>130</v>
      </c>
      <c r="AY1805" s="0" t="s">
        <v>130</v>
      </c>
      <c r="AZ1805" s="0" t="s">
        <v>130</v>
      </c>
      <c r="BA1805" s="0" t="s">
        <v>130</v>
      </c>
      <c r="BB1805" s="0" t="s">
        <v>130</v>
      </c>
      <c r="BC1805" s="0" t="s">
        <v>130</v>
      </c>
      <c r="BD1805" s="0" t="s">
        <v>130</v>
      </c>
      <c r="BE1805" s="0" t="s">
        <v>130</v>
      </c>
      <c r="BF1805" s="0" t="s">
        <v>130</v>
      </c>
      <c r="BG1805" s="0" t="s">
        <v>130</v>
      </c>
      <c r="BH1805" s="0" t="s">
        <v>130</v>
      </c>
      <c r="BI1805" s="0" t="s">
        <v>130</v>
      </c>
      <c r="BJ1805" s="0" t="s">
        <v>130</v>
      </c>
      <c r="BK1805" s="0" t="s">
        <v>130</v>
      </c>
      <c r="BL1805" s="0" t="s">
        <v>130</v>
      </c>
      <c r="BM1805" s="0" t="s">
        <v>130</v>
      </c>
      <c r="BN1805" s="0" t="s">
        <v>130</v>
      </c>
      <c r="BO1805" s="0" t="s">
        <v>130</v>
      </c>
      <c r="BP1805" s="0" t="s">
        <v>130</v>
      </c>
      <c r="BQ1805" s="0" t="s">
        <v>130</v>
      </c>
      <c r="BR1805" s="0" t="s">
        <v>130</v>
      </c>
      <c r="BS1805" s="0" t="s">
        <v>130</v>
      </c>
      <c r="BT1805" s="0" t="s">
        <v>130</v>
      </c>
      <c r="BU1805" s="0" t="s">
        <v>130</v>
      </c>
      <c r="BV1805" s="0" t="s">
        <v>130</v>
      </c>
      <c r="BW1805" s="0" t="s">
        <v>130</v>
      </c>
      <c r="BX1805" s="0" t="s">
        <v>130</v>
      </c>
      <c r="BY1805" s="0" t="s">
        <v>130</v>
      </c>
      <c r="BZ1805" s="0" t="s">
        <v>130</v>
      </c>
      <c r="CA1805" s="0" t="s">
        <v>130</v>
      </c>
      <c r="CB1805" s="0" t="s">
        <v>130</v>
      </c>
      <c r="CC1805" s="0" t="s">
        <v>130</v>
      </c>
      <c r="CD1805" s="0" t="s">
        <v>130</v>
      </c>
      <c r="CE1805" s="0" t="s">
        <v>130</v>
      </c>
      <c r="CF1805" s="0" t="s">
        <v>130</v>
      </c>
      <c r="CG1805" s="0" t="s">
        <v>130</v>
      </c>
      <c r="CH1805" s="0" t="s">
        <v>130</v>
      </c>
      <c r="CI1805" s="0" t="s">
        <v>130</v>
      </c>
      <c r="CJ1805" s="0" t="s">
        <v>130</v>
      </c>
      <c r="CK1805" s="0" t="s">
        <v>130</v>
      </c>
      <c r="CL1805" s="0" t="s">
        <v>130</v>
      </c>
      <c r="CM1805" s="0" t="s">
        <v>130</v>
      </c>
      <c r="CN1805" s="0" t="s">
        <v>130</v>
      </c>
      <c r="CO1805" s="0" t="s">
        <v>130</v>
      </c>
      <c r="CP1805" s="0" t="s">
        <v>130</v>
      </c>
      <c r="CQ1805" s="0" t="s">
        <v>130</v>
      </c>
      <c r="CR1805" s="0" t="s">
        <v>130</v>
      </c>
      <c r="CS1805" s="0" t="s">
        <v>130</v>
      </c>
      <c r="CT1805" s="0" t="s">
        <v>5139</v>
      </c>
    </row>
    <row r="1806">
      <c r="A1806" s="14">
        <v>114151</v>
      </c>
      <c r="B1806" s="0" t="s">
        <v>1981</v>
      </c>
      <c r="C1806" s="16">
        <f>HYPERLINK("https://eosportal.federatedhermes.com/companies/Q29tcGFueQppNzU2OTQ=", "Mitsubishi Corp")</f>
      </c>
      <c r="D1806" s="0" t="s">
        <v>25</v>
      </c>
      <c r="E1806" s="0" t="s">
        <v>208</v>
      </c>
      <c r="F1806" s="16">
        <f>HYPERLINK("https://eosportal.federatedhermes.com/engagements/RW5nYWdlbWVudAppMzA3ODY=", "Just Transition")</f>
      </c>
      <c r="G1806" s="14" t="s">
        <v>5140</v>
      </c>
      <c r="H1806" s="0" t="s">
        <v>141</v>
      </c>
      <c r="I1806" s="14" t="s">
        <v>191</v>
      </c>
      <c r="J1806" s="0" t="s">
        <v>197</v>
      </c>
      <c r="K1806" s="0" t="s">
        <v>198</v>
      </c>
      <c r="L1806" s="0" t="s">
        <v>199</v>
      </c>
      <c r="M1806" s="0" t="s">
        <v>802</v>
      </c>
      <c r="N1806" s="0" t="s">
        <v>952</v>
      </c>
      <c r="O1806" s="0" t="s">
        <v>176</v>
      </c>
      <c r="Q1806" s="0" t="s">
        <v>130</v>
      </c>
      <c r="R1806" s="0" t="s">
        <v>138</v>
      </c>
      <c r="S1806" s="14">
        <v>0</v>
      </c>
      <c r="T1806" s="0" t="s">
        <v>231</v>
      </c>
      <c r="U1806" s="0" t="s">
        <v>138</v>
      </c>
      <c r="V1806" s="14" t="s">
        <v>138</v>
      </c>
      <c r="W1806" s="0" t="s">
        <v>138</v>
      </c>
      <c r="X1806" s="14" t="s">
        <v>138</v>
      </c>
      <c r="Y1806" s="0" t="s">
        <v>138</v>
      </c>
      <c r="Z1806" s="14" t="s">
        <v>138</v>
      </c>
      <c r="AA1806" s="0" t="s">
        <v>138</v>
      </c>
      <c r="AB1806" s="14" t="s">
        <v>138</v>
      </c>
      <c r="AD1806" s="0" t="s">
        <v>138</v>
      </c>
      <c r="AF1806" s="0">
        <v>0</v>
      </c>
      <c r="AG1806" s="0">
        <v>0</v>
      </c>
      <c r="AH1806" s="0" t="s">
        <v>140</v>
      </c>
      <c r="AI1806" s="0" t="s">
        <v>138</v>
      </c>
      <c r="AL1806" s="14"/>
      <c r="AN1806" s="14"/>
      <c r="AQ1806" s="0" t="s">
        <v>130</v>
      </c>
      <c r="AR1806" s="0" t="s">
        <v>130</v>
      </c>
      <c r="AS1806" s="0" t="s">
        <v>130</v>
      </c>
      <c r="AT1806" s="0" t="s">
        <v>130</v>
      </c>
      <c r="AU1806" s="0" t="s">
        <v>130</v>
      </c>
      <c r="AV1806" s="0" t="s">
        <v>130</v>
      </c>
      <c r="AW1806" s="0" t="s">
        <v>130</v>
      </c>
      <c r="AX1806" s="0" t="s">
        <v>130</v>
      </c>
      <c r="AY1806" s="0" t="s">
        <v>130</v>
      </c>
      <c r="AZ1806" s="0" t="s">
        <v>130</v>
      </c>
      <c r="BA1806" s="0" t="s">
        <v>130</v>
      </c>
      <c r="BB1806" s="0" t="s">
        <v>141</v>
      </c>
      <c r="BC1806" s="0" t="s">
        <v>130</v>
      </c>
      <c r="BD1806" s="0" t="s">
        <v>130</v>
      </c>
      <c r="BE1806" s="0" t="s">
        <v>130</v>
      </c>
      <c r="BF1806" s="0" t="s">
        <v>130</v>
      </c>
      <c r="BG1806" s="0" t="s">
        <v>130</v>
      </c>
      <c r="BH1806" s="0" t="s">
        <v>130</v>
      </c>
      <c r="BI1806" s="0" t="s">
        <v>130</v>
      </c>
      <c r="BJ1806" s="0" t="s">
        <v>130</v>
      </c>
      <c r="BK1806" s="0" t="s">
        <v>130</v>
      </c>
      <c r="BL1806" s="0" t="s">
        <v>130</v>
      </c>
      <c r="BM1806" s="0" t="s">
        <v>130</v>
      </c>
      <c r="BN1806" s="0" t="s">
        <v>130</v>
      </c>
      <c r="BO1806" s="0" t="s">
        <v>130</v>
      </c>
      <c r="BP1806" s="0" t="s">
        <v>130</v>
      </c>
      <c r="BQ1806" s="0" t="s">
        <v>130</v>
      </c>
      <c r="BR1806" s="0" t="s">
        <v>130</v>
      </c>
      <c r="BS1806" s="0" t="s">
        <v>130</v>
      </c>
      <c r="BT1806" s="0" t="s">
        <v>130</v>
      </c>
      <c r="BU1806" s="0" t="s">
        <v>130</v>
      </c>
      <c r="BV1806" s="0" t="s">
        <v>130</v>
      </c>
      <c r="BW1806" s="0" t="s">
        <v>130</v>
      </c>
      <c r="BX1806" s="0" t="s">
        <v>130</v>
      </c>
      <c r="BY1806" s="0" t="s">
        <v>130</v>
      </c>
      <c r="BZ1806" s="0" t="s">
        <v>130</v>
      </c>
      <c r="CA1806" s="0" t="s">
        <v>130</v>
      </c>
      <c r="CB1806" s="0" t="s">
        <v>130</v>
      </c>
      <c r="CC1806" s="0" t="s">
        <v>130</v>
      </c>
      <c r="CD1806" s="0" t="s">
        <v>130</v>
      </c>
      <c r="CE1806" s="0" t="s">
        <v>130</v>
      </c>
      <c r="CF1806" s="0" t="s">
        <v>130</v>
      </c>
      <c r="CG1806" s="0" t="s">
        <v>130</v>
      </c>
      <c r="CH1806" s="0" t="s">
        <v>130</v>
      </c>
      <c r="CI1806" s="0" t="s">
        <v>130</v>
      </c>
      <c r="CJ1806" s="0" t="s">
        <v>130</v>
      </c>
      <c r="CK1806" s="0" t="s">
        <v>130</v>
      </c>
      <c r="CL1806" s="0" t="s">
        <v>130</v>
      </c>
      <c r="CM1806" s="0" t="s">
        <v>130</v>
      </c>
      <c r="CN1806" s="0" t="s">
        <v>130</v>
      </c>
      <c r="CO1806" s="0" t="s">
        <v>130</v>
      </c>
      <c r="CP1806" s="0" t="s">
        <v>130</v>
      </c>
      <c r="CQ1806" s="0" t="s">
        <v>130</v>
      </c>
      <c r="CR1806" s="0" t="s">
        <v>130</v>
      </c>
      <c r="CS1806" s="0" t="s">
        <v>130</v>
      </c>
      <c r="CT1806" s="0" t="s">
        <v>5141</v>
      </c>
    </row>
    <row r="1807">
      <c r="A1807" s="14">
        <v>114805</v>
      </c>
      <c r="B1807" s="0" t="s">
        <v>2134</v>
      </c>
      <c r="C1807" s="16">
        <f>HYPERLINK("https://eosportal.federatedhermes.com/companies/Q29tcGFueQppNzU2OTc=", "Sumitomo Corp")</f>
      </c>
      <c r="D1807" s="0" t="s">
        <v>25</v>
      </c>
      <c r="E1807" s="0" t="s">
        <v>5142</v>
      </c>
      <c r="F1807" s="16">
        <f>HYPERLINK("https://eosportal.federatedhermes.com/engagements/RW5nYWdlbWVudAppMzA3ODc=", "Biodiversity and ecosystem protection")</f>
      </c>
      <c r="G1807" s="14" t="s">
        <v>5143</v>
      </c>
      <c r="H1807" s="0" t="s">
        <v>141</v>
      </c>
      <c r="I1807" s="14" t="s">
        <v>636</v>
      </c>
      <c r="J1807" s="0" t="s">
        <v>197</v>
      </c>
      <c r="K1807" s="0" t="s">
        <v>337</v>
      </c>
      <c r="L1807" s="0" t="s">
        <v>576</v>
      </c>
      <c r="M1807" s="0" t="s">
        <v>802</v>
      </c>
      <c r="N1807" s="0" t="s">
        <v>952</v>
      </c>
      <c r="O1807" s="0" t="s">
        <v>176</v>
      </c>
      <c r="Q1807" s="0" t="s">
        <v>130</v>
      </c>
      <c r="R1807" s="0" t="s">
        <v>138</v>
      </c>
      <c r="S1807" s="14">
        <v>0</v>
      </c>
      <c r="T1807" s="0" t="s">
        <v>231</v>
      </c>
      <c r="U1807" s="0" t="s">
        <v>138</v>
      </c>
      <c r="V1807" s="14" t="s">
        <v>138</v>
      </c>
      <c r="W1807" s="0" t="s">
        <v>138</v>
      </c>
      <c r="X1807" s="14" t="s">
        <v>138</v>
      </c>
      <c r="Y1807" s="0" t="s">
        <v>138</v>
      </c>
      <c r="Z1807" s="14" t="s">
        <v>138</v>
      </c>
      <c r="AA1807" s="0" t="s">
        <v>138</v>
      </c>
      <c r="AB1807" s="14" t="s">
        <v>138</v>
      </c>
      <c r="AD1807" s="0" t="s">
        <v>138</v>
      </c>
      <c r="AF1807" s="0">
        <v>0</v>
      </c>
      <c r="AG1807" s="0">
        <v>0</v>
      </c>
      <c r="AH1807" s="0" t="s">
        <v>140</v>
      </c>
      <c r="AI1807" s="0" t="s">
        <v>138</v>
      </c>
      <c r="AL1807" s="14"/>
      <c r="AN1807" s="14"/>
      <c r="AQ1807" s="0" t="s">
        <v>130</v>
      </c>
      <c r="AR1807" s="0" t="s">
        <v>141</v>
      </c>
      <c r="AS1807" s="0" t="s">
        <v>130</v>
      </c>
      <c r="AT1807" s="0" t="s">
        <v>130</v>
      </c>
      <c r="AU1807" s="0" t="s">
        <v>130</v>
      </c>
      <c r="AV1807" s="0" t="s">
        <v>130</v>
      </c>
      <c r="AW1807" s="0" t="s">
        <v>130</v>
      </c>
      <c r="AX1807" s="0" t="s">
        <v>130</v>
      </c>
      <c r="AY1807" s="0" t="s">
        <v>130</v>
      </c>
      <c r="AZ1807" s="0" t="s">
        <v>130</v>
      </c>
      <c r="BA1807" s="0" t="s">
        <v>130</v>
      </c>
      <c r="BB1807" s="0" t="s">
        <v>141</v>
      </c>
      <c r="BC1807" s="0" t="s">
        <v>130</v>
      </c>
      <c r="BD1807" s="0" t="s">
        <v>130</v>
      </c>
      <c r="BE1807" s="0" t="s">
        <v>141</v>
      </c>
      <c r="BF1807" s="0" t="s">
        <v>130</v>
      </c>
      <c r="BG1807" s="0" t="s">
        <v>130</v>
      </c>
      <c r="BH1807" s="0" t="s">
        <v>130</v>
      </c>
      <c r="BI1807" s="0" t="s">
        <v>130</v>
      </c>
      <c r="BJ1807" s="0" t="s">
        <v>130</v>
      </c>
      <c r="BK1807" s="0" t="s">
        <v>130</v>
      </c>
      <c r="BL1807" s="0" t="s">
        <v>130</v>
      </c>
      <c r="BM1807" s="0" t="s">
        <v>130</v>
      </c>
      <c r="BN1807" s="0" t="s">
        <v>130</v>
      </c>
      <c r="BO1807" s="0" t="s">
        <v>130</v>
      </c>
      <c r="BP1807" s="0" t="s">
        <v>130</v>
      </c>
      <c r="BQ1807" s="0" t="s">
        <v>130</v>
      </c>
      <c r="BR1807" s="0" t="s">
        <v>130</v>
      </c>
      <c r="BS1807" s="0" t="s">
        <v>130</v>
      </c>
      <c r="BT1807" s="0" t="s">
        <v>130</v>
      </c>
      <c r="BU1807" s="0" t="s">
        <v>130</v>
      </c>
      <c r="BV1807" s="0" t="s">
        <v>130</v>
      </c>
      <c r="BW1807" s="0" t="s">
        <v>130</v>
      </c>
      <c r="BX1807" s="0" t="s">
        <v>130</v>
      </c>
      <c r="BY1807" s="0" t="s">
        <v>130</v>
      </c>
      <c r="BZ1807" s="0" t="s">
        <v>130</v>
      </c>
      <c r="CA1807" s="0" t="s">
        <v>130</v>
      </c>
      <c r="CB1807" s="0" t="s">
        <v>130</v>
      </c>
      <c r="CC1807" s="0" t="s">
        <v>130</v>
      </c>
      <c r="CD1807" s="0" t="s">
        <v>130</v>
      </c>
      <c r="CE1807" s="0" t="s">
        <v>130</v>
      </c>
      <c r="CF1807" s="0" t="s">
        <v>130</v>
      </c>
      <c r="CG1807" s="0" t="s">
        <v>130</v>
      </c>
      <c r="CH1807" s="0" t="s">
        <v>130</v>
      </c>
      <c r="CI1807" s="0" t="s">
        <v>130</v>
      </c>
      <c r="CJ1807" s="0" t="s">
        <v>130</v>
      </c>
      <c r="CK1807" s="0" t="s">
        <v>130</v>
      </c>
      <c r="CL1807" s="0" t="s">
        <v>130</v>
      </c>
      <c r="CM1807" s="0" t="s">
        <v>130</v>
      </c>
      <c r="CN1807" s="0" t="s">
        <v>130</v>
      </c>
      <c r="CO1807" s="0" t="s">
        <v>130</v>
      </c>
      <c r="CP1807" s="0" t="s">
        <v>130</v>
      </c>
      <c r="CQ1807" s="0" t="s">
        <v>130</v>
      </c>
      <c r="CR1807" s="0" t="s">
        <v>130</v>
      </c>
      <c r="CS1807" s="0" t="s">
        <v>130</v>
      </c>
      <c r="CT1807" s="0" t="s">
        <v>5144</v>
      </c>
    </row>
    <row r="1808">
      <c r="A1808" s="14">
        <v>101466</v>
      </c>
      <c r="B1808" s="0" t="s">
        <v>1628</v>
      </c>
      <c r="C1808" s="16">
        <f>HYPERLINK("https://eosportal.federatedhermes.com/companies/Q29tcGFueQppNzU3MDQ=", "Thermo Fisher Scientific Inc")</f>
      </c>
      <c r="D1808" s="0" t="s">
        <v>25</v>
      </c>
      <c r="E1808" s="0" t="s">
        <v>5010</v>
      </c>
      <c r="F1808" s="16">
        <f>HYPERLINK("https://eosportal.federatedhermes.com/engagements/RW5nYWdlbWVudAppMzA3OTI=", "Russia-Ukraine Conflict")</f>
      </c>
      <c r="G1808" s="14" t="s">
        <v>5145</v>
      </c>
      <c r="H1808" s="0" t="s">
        <v>141</v>
      </c>
      <c r="I1808" s="14" t="s">
        <v>636</v>
      </c>
      <c r="J1808" s="0" t="s">
        <v>153</v>
      </c>
      <c r="K1808" s="0" t="s">
        <v>243</v>
      </c>
      <c r="L1808" s="0" t="s">
        <v>456</v>
      </c>
      <c r="M1808" s="0" t="s">
        <v>135</v>
      </c>
      <c r="N1808" s="0" t="s">
        <v>136</v>
      </c>
      <c r="O1808" s="0" t="s">
        <v>274</v>
      </c>
      <c r="Q1808" s="0" t="s">
        <v>130</v>
      </c>
      <c r="R1808" s="0" t="s">
        <v>138</v>
      </c>
      <c r="S1808" s="14">
        <v>0</v>
      </c>
      <c r="T1808" s="0" t="s">
        <v>583</v>
      </c>
      <c r="U1808" s="0" t="s">
        <v>138</v>
      </c>
      <c r="V1808" s="14" t="s">
        <v>138</v>
      </c>
      <c r="W1808" s="0" t="s">
        <v>138</v>
      </c>
      <c r="X1808" s="14" t="s">
        <v>138</v>
      </c>
      <c r="Y1808" s="0" t="s">
        <v>138</v>
      </c>
      <c r="Z1808" s="14" t="s">
        <v>138</v>
      </c>
      <c r="AA1808" s="0" t="s">
        <v>138</v>
      </c>
      <c r="AB1808" s="14" t="s">
        <v>138</v>
      </c>
      <c r="AD1808" s="0" t="s">
        <v>138</v>
      </c>
      <c r="AF1808" s="0">
        <v>0</v>
      </c>
      <c r="AG1808" s="0">
        <v>0</v>
      </c>
      <c r="AH1808" s="0" t="s">
        <v>140</v>
      </c>
      <c r="AI1808" s="0" t="s">
        <v>138</v>
      </c>
      <c r="AL1808" s="14"/>
      <c r="AN1808" s="14"/>
      <c r="AQ1808" s="0" t="s">
        <v>130</v>
      </c>
      <c r="AR1808" s="0" t="s">
        <v>130</v>
      </c>
      <c r="AS1808" s="0" t="s">
        <v>130</v>
      </c>
      <c r="AT1808" s="0" t="s">
        <v>130</v>
      </c>
      <c r="AU1808" s="0" t="s">
        <v>130</v>
      </c>
      <c r="AV1808" s="0" t="s">
        <v>130</v>
      </c>
      <c r="AW1808" s="0" t="s">
        <v>130</v>
      </c>
      <c r="AX1808" s="0" t="s">
        <v>141</v>
      </c>
      <c r="AY1808" s="0" t="s">
        <v>130</v>
      </c>
      <c r="AZ1808" s="0" t="s">
        <v>130</v>
      </c>
      <c r="BA1808" s="0" t="s">
        <v>130</v>
      </c>
      <c r="BB1808" s="0" t="s">
        <v>130</v>
      </c>
      <c r="BC1808" s="0" t="s">
        <v>130</v>
      </c>
      <c r="BD1808" s="0" t="s">
        <v>130</v>
      </c>
      <c r="BE1808" s="0" t="s">
        <v>130</v>
      </c>
      <c r="BF1808" s="0" t="s">
        <v>141</v>
      </c>
      <c r="BG1808" s="0" t="s">
        <v>130</v>
      </c>
      <c r="BH1808" s="0" t="s">
        <v>130</v>
      </c>
      <c r="BI1808" s="0" t="s">
        <v>130</v>
      </c>
      <c r="BJ1808" s="0" t="s">
        <v>130</v>
      </c>
      <c r="BK1808" s="0" t="s">
        <v>130</v>
      </c>
      <c r="BL1808" s="0" t="s">
        <v>130</v>
      </c>
      <c r="BM1808" s="0" t="s">
        <v>130</v>
      </c>
      <c r="BN1808" s="0" t="s">
        <v>130</v>
      </c>
      <c r="BO1808" s="0" t="s">
        <v>130</v>
      </c>
      <c r="BP1808" s="0" t="s">
        <v>130</v>
      </c>
      <c r="BQ1808" s="0" t="s">
        <v>130</v>
      </c>
      <c r="BR1808" s="0" t="s">
        <v>130</v>
      </c>
      <c r="BS1808" s="0" t="s">
        <v>130</v>
      </c>
      <c r="BT1808" s="0" t="s">
        <v>130</v>
      </c>
      <c r="BU1808" s="0" t="s">
        <v>130</v>
      </c>
      <c r="BV1808" s="0" t="s">
        <v>130</v>
      </c>
      <c r="BW1808" s="0" t="s">
        <v>130</v>
      </c>
      <c r="BX1808" s="0" t="s">
        <v>130</v>
      </c>
      <c r="BY1808" s="0" t="s">
        <v>130</v>
      </c>
      <c r="BZ1808" s="0" t="s">
        <v>130</v>
      </c>
      <c r="CA1808" s="0" t="s">
        <v>130</v>
      </c>
      <c r="CB1808" s="0" t="s">
        <v>130</v>
      </c>
      <c r="CC1808" s="0" t="s">
        <v>130</v>
      </c>
      <c r="CD1808" s="0" t="s">
        <v>130</v>
      </c>
      <c r="CE1808" s="0" t="s">
        <v>130</v>
      </c>
      <c r="CF1808" s="0" t="s">
        <v>130</v>
      </c>
      <c r="CG1808" s="0" t="s">
        <v>130</v>
      </c>
      <c r="CH1808" s="0" t="s">
        <v>130</v>
      </c>
      <c r="CI1808" s="0" t="s">
        <v>130</v>
      </c>
      <c r="CJ1808" s="0" t="s">
        <v>130</v>
      </c>
      <c r="CK1808" s="0" t="s">
        <v>130</v>
      </c>
      <c r="CL1808" s="0" t="s">
        <v>130</v>
      </c>
      <c r="CM1808" s="0" t="s">
        <v>130</v>
      </c>
      <c r="CN1808" s="0" t="s">
        <v>130</v>
      </c>
      <c r="CO1808" s="0" t="s">
        <v>130</v>
      </c>
      <c r="CP1808" s="0" t="s">
        <v>130</v>
      </c>
      <c r="CQ1808" s="0" t="s">
        <v>130</v>
      </c>
      <c r="CR1808" s="0" t="s">
        <v>130</v>
      </c>
      <c r="CS1808" s="0" t="s">
        <v>130</v>
      </c>
      <c r="CT1808" s="0" t="s">
        <v>5146</v>
      </c>
    </row>
    <row r="1809">
      <c r="A1809" s="14">
        <v>101466</v>
      </c>
      <c r="B1809" s="0" t="s">
        <v>1628</v>
      </c>
      <c r="C1809" s="16">
        <f>HYPERLINK("https://eosportal.federatedhermes.com/companies/Q29tcGFueQppNzU3MDQ=", "Thermo Fisher Scientific Inc")</f>
      </c>
      <c r="D1809" s="0" t="s">
        <v>25</v>
      </c>
      <c r="E1809" s="0" t="s">
        <v>5147</v>
      </c>
      <c r="F1809" s="16">
        <f>HYPERLINK("https://eosportal.federatedhermes.com/engagements/RW5nYWdlbWVudAppMzA3OTM=", "Financial value of social programmes")</f>
      </c>
      <c r="G1809" s="14" t="s">
        <v>5148</v>
      </c>
      <c r="H1809" s="0" t="s">
        <v>141</v>
      </c>
      <c r="I1809" s="14" t="s">
        <v>636</v>
      </c>
      <c r="J1809" s="0" t="s">
        <v>153</v>
      </c>
      <c r="K1809" s="0" t="s">
        <v>154</v>
      </c>
      <c r="L1809" s="0" t="s">
        <v>268</v>
      </c>
      <c r="M1809" s="0" t="s">
        <v>135</v>
      </c>
      <c r="N1809" s="0" t="s">
        <v>136</v>
      </c>
      <c r="O1809" s="0" t="s">
        <v>274</v>
      </c>
      <c r="Q1809" s="0" t="s">
        <v>130</v>
      </c>
      <c r="R1809" s="0" t="s">
        <v>138</v>
      </c>
      <c r="S1809" s="14">
        <v>0</v>
      </c>
      <c r="T1809" s="0" t="s">
        <v>231</v>
      </c>
      <c r="U1809" s="0" t="s">
        <v>138</v>
      </c>
      <c r="V1809" s="14" t="s">
        <v>138</v>
      </c>
      <c r="W1809" s="0" t="s">
        <v>138</v>
      </c>
      <c r="X1809" s="14" t="s">
        <v>138</v>
      </c>
      <c r="Y1809" s="0" t="s">
        <v>138</v>
      </c>
      <c r="Z1809" s="14" t="s">
        <v>138</v>
      </c>
      <c r="AA1809" s="0" t="s">
        <v>138</v>
      </c>
      <c r="AB1809" s="14" t="s">
        <v>138</v>
      </c>
      <c r="AD1809" s="0" t="s">
        <v>138</v>
      </c>
      <c r="AF1809" s="0">
        <v>0</v>
      </c>
      <c r="AG1809" s="0">
        <v>0</v>
      </c>
      <c r="AH1809" s="0" t="s">
        <v>140</v>
      </c>
      <c r="AI1809" s="0" t="s">
        <v>138</v>
      </c>
      <c r="AL1809" s="14"/>
      <c r="AN1809" s="14"/>
      <c r="AQ1809" s="0" t="s">
        <v>130</v>
      </c>
      <c r="AR1809" s="0" t="s">
        <v>130</v>
      </c>
      <c r="AS1809" s="0" t="s">
        <v>130</v>
      </c>
      <c r="AT1809" s="0" t="s">
        <v>130</v>
      </c>
      <c r="AU1809" s="0" t="s">
        <v>130</v>
      </c>
      <c r="AV1809" s="0" t="s">
        <v>130</v>
      </c>
      <c r="AW1809" s="0" t="s">
        <v>130</v>
      </c>
      <c r="AX1809" s="0" t="s">
        <v>130</v>
      </c>
      <c r="AY1809" s="0" t="s">
        <v>130</v>
      </c>
      <c r="AZ1809" s="0" t="s">
        <v>130</v>
      </c>
      <c r="BA1809" s="0" t="s">
        <v>130</v>
      </c>
      <c r="BB1809" s="0" t="s">
        <v>130</v>
      </c>
      <c r="BC1809" s="0" t="s">
        <v>130</v>
      </c>
      <c r="BD1809" s="0" t="s">
        <v>130</v>
      </c>
      <c r="BE1809" s="0" t="s">
        <v>130</v>
      </c>
      <c r="BF1809" s="0" t="s">
        <v>130</v>
      </c>
      <c r="BG1809" s="0" t="s">
        <v>130</v>
      </c>
      <c r="BH1809" s="0" t="s">
        <v>130</v>
      </c>
      <c r="BI1809" s="0" t="s">
        <v>130</v>
      </c>
      <c r="BJ1809" s="0" t="s">
        <v>130</v>
      </c>
      <c r="BK1809" s="0" t="s">
        <v>130</v>
      </c>
      <c r="BL1809" s="0" t="s">
        <v>130</v>
      </c>
      <c r="BM1809" s="0" t="s">
        <v>130</v>
      </c>
      <c r="BN1809" s="0" t="s">
        <v>130</v>
      </c>
      <c r="BO1809" s="0" t="s">
        <v>130</v>
      </c>
      <c r="BP1809" s="0" t="s">
        <v>130</v>
      </c>
      <c r="BQ1809" s="0" t="s">
        <v>130</v>
      </c>
      <c r="BR1809" s="0" t="s">
        <v>130</v>
      </c>
      <c r="BS1809" s="0" t="s">
        <v>130</v>
      </c>
      <c r="BT1809" s="0" t="s">
        <v>130</v>
      </c>
      <c r="BU1809" s="0" t="s">
        <v>130</v>
      </c>
      <c r="BV1809" s="0" t="s">
        <v>130</v>
      </c>
      <c r="BW1809" s="0" t="s">
        <v>130</v>
      </c>
      <c r="BX1809" s="0" t="s">
        <v>130</v>
      </c>
      <c r="BY1809" s="0" t="s">
        <v>130</v>
      </c>
      <c r="BZ1809" s="0" t="s">
        <v>130</v>
      </c>
      <c r="CA1809" s="0" t="s">
        <v>130</v>
      </c>
      <c r="CB1809" s="0" t="s">
        <v>130</v>
      </c>
      <c r="CC1809" s="0" t="s">
        <v>130</v>
      </c>
      <c r="CD1809" s="0" t="s">
        <v>130</v>
      </c>
      <c r="CE1809" s="0" t="s">
        <v>130</v>
      </c>
      <c r="CF1809" s="0" t="s">
        <v>130</v>
      </c>
      <c r="CG1809" s="0" t="s">
        <v>130</v>
      </c>
      <c r="CH1809" s="0" t="s">
        <v>130</v>
      </c>
      <c r="CI1809" s="0" t="s">
        <v>130</v>
      </c>
      <c r="CJ1809" s="0" t="s">
        <v>130</v>
      </c>
      <c r="CK1809" s="0" t="s">
        <v>141</v>
      </c>
      <c r="CL1809" s="0" t="s">
        <v>130</v>
      </c>
      <c r="CM1809" s="0" t="s">
        <v>130</v>
      </c>
      <c r="CN1809" s="0" t="s">
        <v>130</v>
      </c>
      <c r="CO1809" s="0" t="s">
        <v>130</v>
      </c>
      <c r="CP1809" s="0" t="s">
        <v>130</v>
      </c>
      <c r="CQ1809" s="0" t="s">
        <v>130</v>
      </c>
      <c r="CR1809" s="0" t="s">
        <v>130</v>
      </c>
      <c r="CS1809" s="0" t="s">
        <v>130</v>
      </c>
      <c r="CT1809" s="0" t="s">
        <v>5149</v>
      </c>
    </row>
    <row r="1810">
      <c r="A1810" s="14">
        <v>111129</v>
      </c>
      <c r="B1810" s="0" t="s">
        <v>329</v>
      </c>
      <c r="C1810" s="16">
        <f>HYPERLINK("https://eosportal.federatedhermes.com/companies/Q29tcGFueQppNzU3MjA=", "Associated British Foods PLC")</f>
      </c>
      <c r="D1810" s="0" t="s">
        <v>25</v>
      </c>
      <c r="E1810" s="0" t="s">
        <v>5150</v>
      </c>
      <c r="F1810" s="16">
        <f>HYPERLINK("https://eosportal.federatedhermes.com/engagements/RW5nYWdlbWVudAppMzA4MDY=", "Hazardous chemicals")</f>
      </c>
      <c r="G1810" s="14" t="s">
        <v>5151</v>
      </c>
      <c r="H1810" s="0" t="s">
        <v>141</v>
      </c>
      <c r="I1810" s="14" t="s">
        <v>191</v>
      </c>
      <c r="J1810" s="0" t="s">
        <v>197</v>
      </c>
      <c r="K1810" s="0" t="s">
        <v>348</v>
      </c>
      <c r="L1810" s="0" t="s">
        <v>650</v>
      </c>
      <c r="M1810" s="0" t="s">
        <v>272</v>
      </c>
      <c r="N1810" s="0" t="s">
        <v>273</v>
      </c>
      <c r="O1810" s="0" t="s">
        <v>332</v>
      </c>
      <c r="Q1810" s="0" t="s">
        <v>130</v>
      </c>
      <c r="R1810" s="0" t="s">
        <v>138</v>
      </c>
      <c r="S1810" s="14">
        <v>0</v>
      </c>
      <c r="T1810" s="0" t="s">
        <v>231</v>
      </c>
      <c r="U1810" s="0" t="s">
        <v>138</v>
      </c>
      <c r="V1810" s="14" t="s">
        <v>138</v>
      </c>
      <c r="W1810" s="0" t="s">
        <v>138</v>
      </c>
      <c r="X1810" s="14" t="s">
        <v>138</v>
      </c>
      <c r="Y1810" s="0" t="s">
        <v>138</v>
      </c>
      <c r="Z1810" s="14" t="s">
        <v>138</v>
      </c>
      <c r="AA1810" s="0" t="s">
        <v>138</v>
      </c>
      <c r="AB1810" s="14" t="s">
        <v>138</v>
      </c>
      <c r="AD1810" s="0" t="s">
        <v>138</v>
      </c>
      <c r="AF1810" s="0">
        <v>0</v>
      </c>
      <c r="AG1810" s="0">
        <v>0</v>
      </c>
      <c r="AH1810" s="0" t="s">
        <v>140</v>
      </c>
      <c r="AI1810" s="0" t="s">
        <v>138</v>
      </c>
      <c r="AL1810" s="14"/>
      <c r="AN1810" s="14"/>
      <c r="AQ1810" s="0" t="s">
        <v>130</v>
      </c>
      <c r="AR1810" s="0" t="s">
        <v>130</v>
      </c>
      <c r="AS1810" s="0" t="s">
        <v>141</v>
      </c>
      <c r="AT1810" s="0" t="s">
        <v>130</v>
      </c>
      <c r="AU1810" s="0" t="s">
        <v>130</v>
      </c>
      <c r="AV1810" s="0" t="s">
        <v>130</v>
      </c>
      <c r="AW1810" s="0" t="s">
        <v>130</v>
      </c>
      <c r="AX1810" s="0" t="s">
        <v>130</v>
      </c>
      <c r="AY1810" s="0" t="s">
        <v>130</v>
      </c>
      <c r="AZ1810" s="0" t="s">
        <v>130</v>
      </c>
      <c r="BA1810" s="0" t="s">
        <v>130</v>
      </c>
      <c r="BB1810" s="0" t="s">
        <v>141</v>
      </c>
      <c r="BC1810" s="0" t="s">
        <v>130</v>
      </c>
      <c r="BD1810" s="0" t="s">
        <v>130</v>
      </c>
      <c r="BE1810" s="0" t="s">
        <v>130</v>
      </c>
      <c r="BF1810" s="0" t="s">
        <v>130</v>
      </c>
      <c r="BG1810" s="0" t="s">
        <v>130</v>
      </c>
      <c r="BH1810" s="0" t="s">
        <v>130</v>
      </c>
      <c r="BI1810" s="0" t="s">
        <v>130</v>
      </c>
      <c r="BJ1810" s="0" t="s">
        <v>130</v>
      </c>
      <c r="BK1810" s="0" t="s">
        <v>130</v>
      </c>
      <c r="BL1810" s="0" t="s">
        <v>130</v>
      </c>
      <c r="BM1810" s="0" t="s">
        <v>130</v>
      </c>
      <c r="BN1810" s="0" t="s">
        <v>130</v>
      </c>
      <c r="BO1810" s="0" t="s">
        <v>130</v>
      </c>
      <c r="BP1810" s="0" t="s">
        <v>130</v>
      </c>
      <c r="BQ1810" s="0" t="s">
        <v>130</v>
      </c>
      <c r="BR1810" s="0" t="s">
        <v>130</v>
      </c>
      <c r="BS1810" s="0" t="s">
        <v>130</v>
      </c>
      <c r="BT1810" s="0" t="s">
        <v>130</v>
      </c>
      <c r="BU1810" s="0" t="s">
        <v>130</v>
      </c>
      <c r="BV1810" s="0" t="s">
        <v>130</v>
      </c>
      <c r="BW1810" s="0" t="s">
        <v>130</v>
      </c>
      <c r="BX1810" s="0" t="s">
        <v>130</v>
      </c>
      <c r="BY1810" s="0" t="s">
        <v>130</v>
      </c>
      <c r="BZ1810" s="0" t="s">
        <v>130</v>
      </c>
      <c r="CA1810" s="0" t="s">
        <v>130</v>
      </c>
      <c r="CB1810" s="0" t="s">
        <v>130</v>
      </c>
      <c r="CC1810" s="0" t="s">
        <v>130</v>
      </c>
      <c r="CD1810" s="0" t="s">
        <v>130</v>
      </c>
      <c r="CE1810" s="0" t="s">
        <v>130</v>
      </c>
      <c r="CF1810" s="0" t="s">
        <v>130</v>
      </c>
      <c r="CG1810" s="0" t="s">
        <v>130</v>
      </c>
      <c r="CH1810" s="0" t="s">
        <v>130</v>
      </c>
      <c r="CI1810" s="0" t="s">
        <v>130</v>
      </c>
      <c r="CJ1810" s="0" t="s">
        <v>130</v>
      </c>
      <c r="CK1810" s="0" t="s">
        <v>130</v>
      </c>
      <c r="CL1810" s="0" t="s">
        <v>130</v>
      </c>
      <c r="CM1810" s="0" t="s">
        <v>130</v>
      </c>
      <c r="CN1810" s="0" t="s">
        <v>130</v>
      </c>
      <c r="CO1810" s="0" t="s">
        <v>130</v>
      </c>
      <c r="CP1810" s="0" t="s">
        <v>130</v>
      </c>
      <c r="CQ1810" s="0" t="s">
        <v>130</v>
      </c>
      <c r="CR1810" s="0" t="s">
        <v>130</v>
      </c>
      <c r="CS1810" s="0" t="s">
        <v>130</v>
      </c>
      <c r="CT1810" s="0" t="s">
        <v>5152</v>
      </c>
    </row>
    <row r="1811">
      <c r="A1811" s="14">
        <v>108620</v>
      </c>
      <c r="B1811" s="0" t="s">
        <v>2194</v>
      </c>
      <c r="C1811" s="16">
        <f>HYPERLINK("https://eosportal.federatedhermes.com/companies/Q29tcGFueQppNzU3MjE=", "Canadian Imperial Bank of Commerce")</f>
      </c>
      <c r="D1811" s="0" t="s">
        <v>25</v>
      </c>
      <c r="E1811" s="0" t="s">
        <v>3011</v>
      </c>
      <c r="F1811" s="16">
        <f>HYPERLINK("https://eosportal.federatedhermes.com/engagements/RW5nYWdlbWVudAppMzA4MDc=", "Indigenous and community rights")</f>
      </c>
      <c r="G1811" s="14" t="s">
        <v>5153</v>
      </c>
      <c r="H1811" s="0" t="s">
        <v>141</v>
      </c>
      <c r="I1811" s="14" t="s">
        <v>191</v>
      </c>
      <c r="J1811" s="0" t="s">
        <v>153</v>
      </c>
      <c r="K1811" s="0" t="s">
        <v>243</v>
      </c>
      <c r="L1811" s="0" t="s">
        <v>571</v>
      </c>
      <c r="M1811" s="0" t="s">
        <v>135</v>
      </c>
      <c r="N1811" s="0" t="s">
        <v>1678</v>
      </c>
      <c r="O1811" s="0" t="s">
        <v>238</v>
      </c>
      <c r="Q1811" s="0" t="s">
        <v>130</v>
      </c>
      <c r="R1811" s="0" t="s">
        <v>138</v>
      </c>
      <c r="S1811" s="14">
        <v>0</v>
      </c>
      <c r="T1811" s="0" t="s">
        <v>583</v>
      </c>
      <c r="U1811" s="0" t="s">
        <v>138</v>
      </c>
      <c r="V1811" s="14" t="s">
        <v>138</v>
      </c>
      <c r="W1811" s="0" t="s">
        <v>138</v>
      </c>
      <c r="X1811" s="14" t="s">
        <v>138</v>
      </c>
      <c r="Y1811" s="0" t="s">
        <v>138</v>
      </c>
      <c r="Z1811" s="14" t="s">
        <v>138</v>
      </c>
      <c r="AA1811" s="0" t="s">
        <v>138</v>
      </c>
      <c r="AB1811" s="14" t="s">
        <v>138</v>
      </c>
      <c r="AD1811" s="0" t="s">
        <v>138</v>
      </c>
      <c r="AF1811" s="0">
        <v>0</v>
      </c>
      <c r="AG1811" s="0">
        <v>0</v>
      </c>
      <c r="AH1811" s="0" t="s">
        <v>140</v>
      </c>
      <c r="AI1811" s="0" t="s">
        <v>138</v>
      </c>
      <c r="AL1811" s="14"/>
      <c r="AN1811" s="14"/>
      <c r="AQ1811" s="0" t="s">
        <v>130</v>
      </c>
      <c r="AR1811" s="0" t="s">
        <v>130</v>
      </c>
      <c r="AS1811" s="0" t="s">
        <v>130</v>
      </c>
      <c r="AT1811" s="0" t="s">
        <v>130</v>
      </c>
      <c r="AU1811" s="0" t="s">
        <v>130</v>
      </c>
      <c r="AV1811" s="0" t="s">
        <v>130</v>
      </c>
      <c r="AW1811" s="0" t="s">
        <v>130</v>
      </c>
      <c r="AX1811" s="0" t="s">
        <v>130</v>
      </c>
      <c r="AY1811" s="0" t="s">
        <v>130</v>
      </c>
      <c r="AZ1811" s="0" t="s">
        <v>141</v>
      </c>
      <c r="BA1811" s="0" t="s">
        <v>141</v>
      </c>
      <c r="BB1811" s="0" t="s">
        <v>130</v>
      </c>
      <c r="BC1811" s="0" t="s">
        <v>130</v>
      </c>
      <c r="BD1811" s="0" t="s">
        <v>130</v>
      </c>
      <c r="BE1811" s="0" t="s">
        <v>130</v>
      </c>
      <c r="BF1811" s="0" t="s">
        <v>141</v>
      </c>
      <c r="BG1811" s="0" t="s">
        <v>130</v>
      </c>
      <c r="BH1811" s="0" t="s">
        <v>130</v>
      </c>
      <c r="BI1811" s="0" t="s">
        <v>130</v>
      </c>
      <c r="BJ1811" s="0" t="s">
        <v>130</v>
      </c>
      <c r="BK1811" s="0" t="s">
        <v>130</v>
      </c>
      <c r="BL1811" s="0" t="s">
        <v>130</v>
      </c>
      <c r="BM1811" s="0" t="s">
        <v>130</v>
      </c>
      <c r="BN1811" s="0" t="s">
        <v>130</v>
      </c>
      <c r="BO1811" s="0" t="s">
        <v>130</v>
      </c>
      <c r="BP1811" s="0" t="s">
        <v>130</v>
      </c>
      <c r="BQ1811" s="0" t="s">
        <v>130</v>
      </c>
      <c r="BR1811" s="0" t="s">
        <v>130</v>
      </c>
      <c r="BS1811" s="0" t="s">
        <v>130</v>
      </c>
      <c r="BT1811" s="0" t="s">
        <v>130</v>
      </c>
      <c r="BU1811" s="0" t="s">
        <v>130</v>
      </c>
      <c r="BV1811" s="0" t="s">
        <v>130</v>
      </c>
      <c r="BW1811" s="0" t="s">
        <v>130</v>
      </c>
      <c r="BX1811" s="0" t="s">
        <v>130</v>
      </c>
      <c r="BY1811" s="0" t="s">
        <v>130</v>
      </c>
      <c r="BZ1811" s="0" t="s">
        <v>130</v>
      </c>
      <c r="CA1811" s="0" t="s">
        <v>130</v>
      </c>
      <c r="CB1811" s="0" t="s">
        <v>130</v>
      </c>
      <c r="CC1811" s="0" t="s">
        <v>130</v>
      </c>
      <c r="CD1811" s="0" t="s">
        <v>130</v>
      </c>
      <c r="CE1811" s="0" t="s">
        <v>130</v>
      </c>
      <c r="CF1811" s="0" t="s">
        <v>130</v>
      </c>
      <c r="CG1811" s="0" t="s">
        <v>130</v>
      </c>
      <c r="CH1811" s="0" t="s">
        <v>130</v>
      </c>
      <c r="CI1811" s="0" t="s">
        <v>130</v>
      </c>
      <c r="CJ1811" s="0" t="s">
        <v>130</v>
      </c>
      <c r="CK1811" s="0" t="s">
        <v>130</v>
      </c>
      <c r="CL1811" s="0" t="s">
        <v>130</v>
      </c>
      <c r="CM1811" s="0" t="s">
        <v>130</v>
      </c>
      <c r="CN1811" s="0" t="s">
        <v>130</v>
      </c>
      <c r="CO1811" s="0" t="s">
        <v>130</v>
      </c>
      <c r="CP1811" s="0" t="s">
        <v>130</v>
      </c>
      <c r="CQ1811" s="0" t="s">
        <v>130</v>
      </c>
      <c r="CR1811" s="0" t="s">
        <v>130</v>
      </c>
      <c r="CS1811" s="0" t="s">
        <v>130</v>
      </c>
      <c r="CT1811" s="0" t="s">
        <v>5154</v>
      </c>
    </row>
    <row r="1812">
      <c r="A1812" s="14">
        <v>180001</v>
      </c>
      <c r="B1812" s="0" t="s">
        <v>3137</v>
      </c>
      <c r="C1812" s="16">
        <f>HYPERLINK("https://eosportal.federatedhermes.com/companies/Q29tcGFueQppNzcwNDM=", "adidas AG")</f>
      </c>
      <c r="D1812" s="0" t="s">
        <v>25</v>
      </c>
      <c r="E1812" s="0" t="s">
        <v>5155</v>
      </c>
      <c r="F1812" s="16">
        <f>HYPERLINK("https://eosportal.federatedhermes.com/engagements/RW5nYWdlbWVudAppMzA4MTY=", "Hazardous Chemicals")</f>
      </c>
      <c r="G1812" s="14" t="s">
        <v>5156</v>
      </c>
      <c r="H1812" s="0" t="s">
        <v>141</v>
      </c>
      <c r="I1812" s="14" t="s">
        <v>191</v>
      </c>
      <c r="J1812" s="0" t="s">
        <v>197</v>
      </c>
      <c r="K1812" s="0" t="s">
        <v>348</v>
      </c>
      <c r="L1812" s="0" t="s">
        <v>650</v>
      </c>
      <c r="M1812" s="0" t="s">
        <v>378</v>
      </c>
      <c r="N1812" s="0" t="s">
        <v>2485</v>
      </c>
      <c r="O1812" s="0" t="s">
        <v>332</v>
      </c>
      <c r="Q1812" s="0" t="s">
        <v>130</v>
      </c>
      <c r="R1812" s="0" t="s">
        <v>138</v>
      </c>
      <c r="S1812" s="14">
        <v>0</v>
      </c>
      <c r="T1812" s="0" t="s">
        <v>583</v>
      </c>
      <c r="U1812" s="0" t="s">
        <v>138</v>
      </c>
      <c r="V1812" s="14" t="s">
        <v>138</v>
      </c>
      <c r="W1812" s="0" t="s">
        <v>138</v>
      </c>
      <c r="X1812" s="14" t="s">
        <v>138</v>
      </c>
      <c r="Y1812" s="0" t="s">
        <v>138</v>
      </c>
      <c r="Z1812" s="14" t="s">
        <v>138</v>
      </c>
      <c r="AA1812" s="0" t="s">
        <v>138</v>
      </c>
      <c r="AB1812" s="14" t="s">
        <v>138</v>
      </c>
      <c r="AD1812" s="0" t="s">
        <v>138</v>
      </c>
      <c r="AF1812" s="0">
        <v>0</v>
      </c>
      <c r="AG1812" s="0">
        <v>0</v>
      </c>
      <c r="AH1812" s="0" t="s">
        <v>140</v>
      </c>
      <c r="AI1812" s="0" t="s">
        <v>138</v>
      </c>
      <c r="AL1812" s="14"/>
      <c r="AN1812" s="14"/>
      <c r="AQ1812" s="0" t="s">
        <v>130</v>
      </c>
      <c r="AR1812" s="0" t="s">
        <v>130</v>
      </c>
      <c r="AS1812" s="0" t="s">
        <v>141</v>
      </c>
      <c r="AT1812" s="0" t="s">
        <v>130</v>
      </c>
      <c r="AU1812" s="0" t="s">
        <v>130</v>
      </c>
      <c r="AV1812" s="0" t="s">
        <v>130</v>
      </c>
      <c r="AW1812" s="0" t="s">
        <v>130</v>
      </c>
      <c r="AX1812" s="0" t="s">
        <v>130</v>
      </c>
      <c r="AY1812" s="0" t="s">
        <v>130</v>
      </c>
      <c r="AZ1812" s="0" t="s">
        <v>130</v>
      </c>
      <c r="BA1812" s="0" t="s">
        <v>130</v>
      </c>
      <c r="BB1812" s="0" t="s">
        <v>141</v>
      </c>
      <c r="BC1812" s="0" t="s">
        <v>130</v>
      </c>
      <c r="BD1812" s="0" t="s">
        <v>130</v>
      </c>
      <c r="BE1812" s="0" t="s">
        <v>130</v>
      </c>
      <c r="BF1812" s="0" t="s">
        <v>130</v>
      </c>
      <c r="BG1812" s="0" t="s">
        <v>130</v>
      </c>
      <c r="BH1812" s="0" t="s">
        <v>130</v>
      </c>
      <c r="BI1812" s="0" t="s">
        <v>130</v>
      </c>
      <c r="BJ1812" s="0" t="s">
        <v>130</v>
      </c>
      <c r="BK1812" s="0" t="s">
        <v>130</v>
      </c>
      <c r="BL1812" s="0" t="s">
        <v>130</v>
      </c>
      <c r="BM1812" s="0" t="s">
        <v>130</v>
      </c>
      <c r="BN1812" s="0" t="s">
        <v>130</v>
      </c>
      <c r="BO1812" s="0" t="s">
        <v>130</v>
      </c>
      <c r="BP1812" s="0" t="s">
        <v>130</v>
      </c>
      <c r="BQ1812" s="0" t="s">
        <v>130</v>
      </c>
      <c r="BR1812" s="0" t="s">
        <v>130</v>
      </c>
      <c r="BS1812" s="0" t="s">
        <v>130</v>
      </c>
      <c r="BT1812" s="0" t="s">
        <v>130</v>
      </c>
      <c r="BU1812" s="0" t="s">
        <v>130</v>
      </c>
      <c r="BV1812" s="0" t="s">
        <v>130</v>
      </c>
      <c r="BW1812" s="0" t="s">
        <v>130</v>
      </c>
      <c r="BX1812" s="0" t="s">
        <v>130</v>
      </c>
      <c r="BY1812" s="0" t="s">
        <v>130</v>
      </c>
      <c r="BZ1812" s="0" t="s">
        <v>130</v>
      </c>
      <c r="CA1812" s="0" t="s">
        <v>130</v>
      </c>
      <c r="CB1812" s="0" t="s">
        <v>130</v>
      </c>
      <c r="CC1812" s="0" t="s">
        <v>130</v>
      </c>
      <c r="CD1812" s="0" t="s">
        <v>130</v>
      </c>
      <c r="CE1812" s="0" t="s">
        <v>130</v>
      </c>
      <c r="CF1812" s="0" t="s">
        <v>130</v>
      </c>
      <c r="CG1812" s="0" t="s">
        <v>130</v>
      </c>
      <c r="CH1812" s="0" t="s">
        <v>130</v>
      </c>
      <c r="CI1812" s="0" t="s">
        <v>130</v>
      </c>
      <c r="CJ1812" s="0" t="s">
        <v>130</v>
      </c>
      <c r="CK1812" s="0" t="s">
        <v>130</v>
      </c>
      <c r="CL1812" s="0" t="s">
        <v>130</v>
      </c>
      <c r="CM1812" s="0" t="s">
        <v>130</v>
      </c>
      <c r="CN1812" s="0" t="s">
        <v>130</v>
      </c>
      <c r="CO1812" s="0" t="s">
        <v>130</v>
      </c>
      <c r="CP1812" s="0" t="s">
        <v>130</v>
      </c>
      <c r="CQ1812" s="0" t="s">
        <v>130</v>
      </c>
      <c r="CR1812" s="0" t="s">
        <v>130</v>
      </c>
      <c r="CS1812" s="0" t="s">
        <v>130</v>
      </c>
      <c r="CT1812" s="0" t="s">
        <v>5157</v>
      </c>
    </row>
    <row r="1813">
      <c r="A1813" s="14">
        <v>180001</v>
      </c>
      <c r="B1813" s="0" t="s">
        <v>3137</v>
      </c>
      <c r="C1813" s="16">
        <f>HYPERLINK("https://eosportal.federatedhermes.com/companies/Q29tcGFueQppNzcwNDM=", "adidas AG")</f>
      </c>
      <c r="D1813" s="0" t="s">
        <v>25</v>
      </c>
      <c r="E1813" s="0" t="s">
        <v>5150</v>
      </c>
      <c r="F1813" s="16">
        <f>HYPERLINK("https://eosportal.federatedhermes.com/engagements/RW5nYWdlbWVudAppMzA4MTc=", "Hazardous chemicals")</f>
      </c>
      <c r="G1813" s="14" t="s">
        <v>5151</v>
      </c>
      <c r="H1813" s="0" t="s">
        <v>141</v>
      </c>
      <c r="I1813" s="14" t="s">
        <v>191</v>
      </c>
      <c r="J1813" s="0" t="s">
        <v>197</v>
      </c>
      <c r="K1813" s="0" t="s">
        <v>348</v>
      </c>
      <c r="L1813" s="0" t="s">
        <v>650</v>
      </c>
      <c r="M1813" s="0" t="s">
        <v>378</v>
      </c>
      <c r="N1813" s="0" t="s">
        <v>2485</v>
      </c>
      <c r="O1813" s="0" t="s">
        <v>332</v>
      </c>
      <c r="Q1813" s="0" t="s">
        <v>141</v>
      </c>
      <c r="R1813" s="0" t="s">
        <v>138</v>
      </c>
      <c r="S1813" s="14">
        <v>2</v>
      </c>
      <c r="T1813" s="0" t="s">
        <v>231</v>
      </c>
      <c r="U1813" s="0" t="s">
        <v>138</v>
      </c>
      <c r="V1813" s="14" t="s">
        <v>138</v>
      </c>
      <c r="W1813" s="0" t="s">
        <v>138</v>
      </c>
      <c r="X1813" s="14" t="s">
        <v>138</v>
      </c>
      <c r="Y1813" s="0" t="s">
        <v>138</v>
      </c>
      <c r="Z1813" s="14" t="s">
        <v>138</v>
      </c>
      <c r="AA1813" s="0" t="s">
        <v>138</v>
      </c>
      <c r="AB1813" s="14" t="s">
        <v>138</v>
      </c>
      <c r="AD1813" s="0" t="s">
        <v>138</v>
      </c>
      <c r="AF1813" s="0">
        <v>0</v>
      </c>
      <c r="AG1813" s="0">
        <v>0</v>
      </c>
      <c r="AH1813" s="0" t="s">
        <v>140</v>
      </c>
      <c r="AI1813" s="0" t="s">
        <v>138</v>
      </c>
      <c r="AK1813" s="0" t="s">
        <v>749</v>
      </c>
      <c r="AL1813" s="14"/>
      <c r="AN1813" s="14"/>
      <c r="AQ1813" s="0" t="s">
        <v>130</v>
      </c>
      <c r="AR1813" s="0" t="s">
        <v>130</v>
      </c>
      <c r="AS1813" s="0" t="s">
        <v>141</v>
      </c>
      <c r="AT1813" s="0" t="s">
        <v>130</v>
      </c>
      <c r="AU1813" s="0" t="s">
        <v>130</v>
      </c>
      <c r="AV1813" s="0" t="s">
        <v>130</v>
      </c>
      <c r="AW1813" s="0" t="s">
        <v>130</v>
      </c>
      <c r="AX1813" s="0" t="s">
        <v>130</v>
      </c>
      <c r="AY1813" s="0" t="s">
        <v>130</v>
      </c>
      <c r="AZ1813" s="0" t="s">
        <v>130</v>
      </c>
      <c r="BA1813" s="0" t="s">
        <v>130</v>
      </c>
      <c r="BB1813" s="0" t="s">
        <v>141</v>
      </c>
      <c r="BC1813" s="0" t="s">
        <v>130</v>
      </c>
      <c r="BD1813" s="0" t="s">
        <v>130</v>
      </c>
      <c r="BE1813" s="0" t="s">
        <v>130</v>
      </c>
      <c r="BF1813" s="0" t="s">
        <v>130</v>
      </c>
      <c r="BG1813" s="0" t="s">
        <v>130</v>
      </c>
      <c r="BH1813" s="0" t="s">
        <v>130</v>
      </c>
      <c r="BI1813" s="0" t="s">
        <v>130</v>
      </c>
      <c r="BJ1813" s="0" t="s">
        <v>130</v>
      </c>
      <c r="BK1813" s="0" t="s">
        <v>130</v>
      </c>
      <c r="BL1813" s="0" t="s">
        <v>130</v>
      </c>
      <c r="BM1813" s="0" t="s">
        <v>130</v>
      </c>
      <c r="BN1813" s="0" t="s">
        <v>130</v>
      </c>
      <c r="BO1813" s="0" t="s">
        <v>130</v>
      </c>
      <c r="BP1813" s="0" t="s">
        <v>130</v>
      </c>
      <c r="BQ1813" s="0" t="s">
        <v>130</v>
      </c>
      <c r="BR1813" s="0" t="s">
        <v>130</v>
      </c>
      <c r="BS1813" s="0" t="s">
        <v>130</v>
      </c>
      <c r="BT1813" s="0" t="s">
        <v>130</v>
      </c>
      <c r="BU1813" s="0" t="s">
        <v>130</v>
      </c>
      <c r="BV1813" s="0" t="s">
        <v>130</v>
      </c>
      <c r="BW1813" s="0" t="s">
        <v>130</v>
      </c>
      <c r="BX1813" s="0" t="s">
        <v>130</v>
      </c>
      <c r="BY1813" s="0" t="s">
        <v>130</v>
      </c>
      <c r="BZ1813" s="0" t="s">
        <v>130</v>
      </c>
      <c r="CA1813" s="0" t="s">
        <v>130</v>
      </c>
      <c r="CB1813" s="0" t="s">
        <v>130</v>
      </c>
      <c r="CC1813" s="0" t="s">
        <v>130</v>
      </c>
      <c r="CD1813" s="0" t="s">
        <v>130</v>
      </c>
      <c r="CE1813" s="0" t="s">
        <v>130</v>
      </c>
      <c r="CF1813" s="0" t="s">
        <v>130</v>
      </c>
      <c r="CG1813" s="0" t="s">
        <v>130</v>
      </c>
      <c r="CH1813" s="0" t="s">
        <v>130</v>
      </c>
      <c r="CI1813" s="0" t="s">
        <v>130</v>
      </c>
      <c r="CJ1813" s="0" t="s">
        <v>130</v>
      </c>
      <c r="CK1813" s="0" t="s">
        <v>130</v>
      </c>
      <c r="CL1813" s="0" t="s">
        <v>130</v>
      </c>
      <c r="CM1813" s="0" t="s">
        <v>130</v>
      </c>
      <c r="CN1813" s="0" t="s">
        <v>130</v>
      </c>
      <c r="CO1813" s="0" t="s">
        <v>130</v>
      </c>
      <c r="CP1813" s="0" t="s">
        <v>130</v>
      </c>
      <c r="CQ1813" s="0" t="s">
        <v>130</v>
      </c>
      <c r="CR1813" s="0" t="s">
        <v>130</v>
      </c>
      <c r="CS1813" s="0" t="s">
        <v>130</v>
      </c>
      <c r="CT1813" s="0" t="s">
        <v>5158</v>
      </c>
    </row>
    <row r="1814">
      <c r="A1814" s="14">
        <v>180001</v>
      </c>
      <c r="B1814" s="0" t="s">
        <v>3137</v>
      </c>
      <c r="C1814" s="16">
        <f>HYPERLINK("https://eosportal.federatedhermes.com/companies/Q29tcGFueQppNzcwNDM=", "adidas AG")</f>
      </c>
      <c r="D1814" s="0" t="s">
        <v>25</v>
      </c>
      <c r="E1814" s="0" t="s">
        <v>3755</v>
      </c>
      <c r="F1814" s="16">
        <f>HYPERLINK("https://eosportal.federatedhermes.com/engagements/RW5nYWdlbWVudAppMzA4MTg=", "Value chain rights")</f>
      </c>
      <c r="G1814" s="14" t="s">
        <v>5159</v>
      </c>
      <c r="H1814" s="0" t="s">
        <v>141</v>
      </c>
      <c r="I1814" s="14" t="s">
        <v>191</v>
      </c>
      <c r="J1814" s="0" t="s">
        <v>153</v>
      </c>
      <c r="K1814" s="0" t="s">
        <v>243</v>
      </c>
      <c r="L1814" s="0" t="s">
        <v>244</v>
      </c>
      <c r="M1814" s="0" t="s">
        <v>378</v>
      </c>
      <c r="N1814" s="0" t="s">
        <v>2485</v>
      </c>
      <c r="O1814" s="0" t="s">
        <v>332</v>
      </c>
      <c r="Q1814" s="0" t="s">
        <v>141</v>
      </c>
      <c r="R1814" s="0" t="s">
        <v>138</v>
      </c>
      <c r="S1814" s="14">
        <v>1</v>
      </c>
      <c r="T1814" s="0" t="s">
        <v>231</v>
      </c>
      <c r="U1814" s="0" t="s">
        <v>138</v>
      </c>
      <c r="V1814" s="14" t="s">
        <v>138</v>
      </c>
      <c r="W1814" s="0" t="s">
        <v>138</v>
      </c>
      <c r="X1814" s="14" t="s">
        <v>138</v>
      </c>
      <c r="Y1814" s="0" t="s">
        <v>138</v>
      </c>
      <c r="Z1814" s="14" t="s">
        <v>138</v>
      </c>
      <c r="AA1814" s="0" t="s">
        <v>138</v>
      </c>
      <c r="AB1814" s="14" t="s">
        <v>138</v>
      </c>
      <c r="AD1814" s="0" t="s">
        <v>138</v>
      </c>
      <c r="AF1814" s="0">
        <v>0</v>
      </c>
      <c r="AG1814" s="0">
        <v>0</v>
      </c>
      <c r="AH1814" s="0" t="s">
        <v>140</v>
      </c>
      <c r="AI1814" s="0" t="s">
        <v>138</v>
      </c>
      <c r="AK1814" s="0" t="s">
        <v>749</v>
      </c>
      <c r="AL1814" s="14"/>
      <c r="AN1814" s="14"/>
      <c r="AQ1814" s="0" t="s">
        <v>130</v>
      </c>
      <c r="AR1814" s="0" t="s">
        <v>130</v>
      </c>
      <c r="AS1814" s="0" t="s">
        <v>130</v>
      </c>
      <c r="AT1814" s="0" t="s">
        <v>130</v>
      </c>
      <c r="AU1814" s="0" t="s">
        <v>130</v>
      </c>
      <c r="AV1814" s="0" t="s">
        <v>130</v>
      </c>
      <c r="AW1814" s="0" t="s">
        <v>130</v>
      </c>
      <c r="AX1814" s="0" t="s">
        <v>141</v>
      </c>
      <c r="AY1814" s="0" t="s">
        <v>130</v>
      </c>
      <c r="AZ1814" s="0" t="s">
        <v>130</v>
      </c>
      <c r="BA1814" s="0" t="s">
        <v>130</v>
      </c>
      <c r="BB1814" s="0" t="s">
        <v>130</v>
      </c>
      <c r="BC1814" s="0" t="s">
        <v>130</v>
      </c>
      <c r="BD1814" s="0" t="s">
        <v>130</v>
      </c>
      <c r="BE1814" s="0" t="s">
        <v>130</v>
      </c>
      <c r="BF1814" s="0" t="s">
        <v>130</v>
      </c>
      <c r="BG1814" s="0" t="s">
        <v>130</v>
      </c>
      <c r="BH1814" s="0" t="s">
        <v>130</v>
      </c>
      <c r="BI1814" s="0" t="s">
        <v>130</v>
      </c>
      <c r="BJ1814" s="0" t="s">
        <v>130</v>
      </c>
      <c r="BK1814" s="0" t="s">
        <v>130</v>
      </c>
      <c r="BL1814" s="0" t="s">
        <v>130</v>
      </c>
      <c r="BM1814" s="0" t="s">
        <v>130</v>
      </c>
      <c r="BN1814" s="0" t="s">
        <v>130</v>
      </c>
      <c r="BO1814" s="0" t="s">
        <v>130</v>
      </c>
      <c r="BP1814" s="0" t="s">
        <v>130</v>
      </c>
      <c r="BQ1814" s="0" t="s">
        <v>130</v>
      </c>
      <c r="BR1814" s="0" t="s">
        <v>130</v>
      </c>
      <c r="BS1814" s="0" t="s">
        <v>130</v>
      </c>
      <c r="BT1814" s="0" t="s">
        <v>130</v>
      </c>
      <c r="BU1814" s="0" t="s">
        <v>130</v>
      </c>
      <c r="BV1814" s="0" t="s">
        <v>130</v>
      </c>
      <c r="BW1814" s="0" t="s">
        <v>130</v>
      </c>
      <c r="BX1814" s="0" t="s">
        <v>130</v>
      </c>
      <c r="BY1814" s="0" t="s">
        <v>130</v>
      </c>
      <c r="BZ1814" s="0" t="s">
        <v>130</v>
      </c>
      <c r="CA1814" s="0" t="s">
        <v>130</v>
      </c>
      <c r="CB1814" s="0" t="s">
        <v>130</v>
      </c>
      <c r="CC1814" s="0" t="s">
        <v>130</v>
      </c>
      <c r="CD1814" s="0" t="s">
        <v>130</v>
      </c>
      <c r="CE1814" s="0" t="s">
        <v>130</v>
      </c>
      <c r="CF1814" s="0" t="s">
        <v>130</v>
      </c>
      <c r="CG1814" s="0" t="s">
        <v>130</v>
      </c>
      <c r="CH1814" s="0" t="s">
        <v>130</v>
      </c>
      <c r="CI1814" s="0" t="s">
        <v>130</v>
      </c>
      <c r="CJ1814" s="0" t="s">
        <v>130</v>
      </c>
      <c r="CK1814" s="0" t="s">
        <v>130</v>
      </c>
      <c r="CL1814" s="0" t="s">
        <v>130</v>
      </c>
      <c r="CM1814" s="0" t="s">
        <v>130</v>
      </c>
      <c r="CN1814" s="0" t="s">
        <v>130</v>
      </c>
      <c r="CO1814" s="0" t="s">
        <v>130</v>
      </c>
      <c r="CP1814" s="0" t="s">
        <v>130</v>
      </c>
      <c r="CQ1814" s="0" t="s">
        <v>130</v>
      </c>
      <c r="CR1814" s="0" t="s">
        <v>130</v>
      </c>
      <c r="CS1814" s="0" t="s">
        <v>130</v>
      </c>
      <c r="CT1814" s="0" t="s">
        <v>5160</v>
      </c>
    </row>
    <row r="1815">
      <c r="A1815" s="14">
        <v>180001</v>
      </c>
      <c r="B1815" s="0" t="s">
        <v>3137</v>
      </c>
      <c r="C1815" s="16">
        <f>HYPERLINK("https://eosportal.federatedhermes.com/companies/Q29tcGFueQppNzcwNDM=", "adidas AG")</f>
      </c>
      <c r="D1815" s="0" t="s">
        <v>25</v>
      </c>
      <c r="E1815" s="0" t="s">
        <v>574</v>
      </c>
      <c r="F1815" s="16">
        <f>HYPERLINK("https://eosportal.federatedhermes.com/engagements/RW5nYWdlbWVudAppMzA4MTk=", "Biodiversity")</f>
      </c>
      <c r="G1815" s="14" t="s">
        <v>5161</v>
      </c>
      <c r="H1815" s="0" t="s">
        <v>141</v>
      </c>
      <c r="I1815" s="14" t="s">
        <v>191</v>
      </c>
      <c r="J1815" s="0" t="s">
        <v>197</v>
      </c>
      <c r="K1815" s="0" t="s">
        <v>337</v>
      </c>
      <c r="L1815" s="0" t="s">
        <v>576</v>
      </c>
      <c r="M1815" s="0" t="s">
        <v>378</v>
      </c>
      <c r="N1815" s="0" t="s">
        <v>2485</v>
      </c>
      <c r="O1815" s="0" t="s">
        <v>332</v>
      </c>
      <c r="Q1815" s="0" t="s">
        <v>141</v>
      </c>
      <c r="R1815" s="0" t="s">
        <v>138</v>
      </c>
      <c r="S1815" s="14">
        <v>2</v>
      </c>
      <c r="T1815" s="0" t="s">
        <v>231</v>
      </c>
      <c r="U1815" s="0" t="s">
        <v>138</v>
      </c>
      <c r="V1815" s="14" t="s">
        <v>138</v>
      </c>
      <c r="W1815" s="0" t="s">
        <v>138</v>
      </c>
      <c r="X1815" s="14" t="s">
        <v>138</v>
      </c>
      <c r="Y1815" s="0" t="s">
        <v>138</v>
      </c>
      <c r="Z1815" s="14" t="s">
        <v>138</v>
      </c>
      <c r="AA1815" s="0" t="s">
        <v>138</v>
      </c>
      <c r="AB1815" s="14" t="s">
        <v>138</v>
      </c>
      <c r="AD1815" s="0" t="s">
        <v>138</v>
      </c>
      <c r="AF1815" s="0">
        <v>0</v>
      </c>
      <c r="AG1815" s="0">
        <v>0</v>
      </c>
      <c r="AH1815" s="0" t="s">
        <v>140</v>
      </c>
      <c r="AI1815" s="0" t="s">
        <v>138</v>
      </c>
      <c r="AK1815" s="0" t="s">
        <v>749</v>
      </c>
      <c r="AL1815" s="14"/>
      <c r="AN1815" s="14"/>
      <c r="AQ1815" s="0" t="s">
        <v>130</v>
      </c>
      <c r="AR1815" s="0" t="s">
        <v>141</v>
      </c>
      <c r="AS1815" s="0" t="s">
        <v>130</v>
      </c>
      <c r="AT1815" s="0" t="s">
        <v>130</v>
      </c>
      <c r="AU1815" s="0" t="s">
        <v>130</v>
      </c>
      <c r="AV1815" s="0" t="s">
        <v>141</v>
      </c>
      <c r="AW1815" s="0" t="s">
        <v>130</v>
      </c>
      <c r="AX1815" s="0" t="s">
        <v>130</v>
      </c>
      <c r="AY1815" s="0" t="s">
        <v>130</v>
      </c>
      <c r="AZ1815" s="0" t="s">
        <v>130</v>
      </c>
      <c r="BA1815" s="0" t="s">
        <v>141</v>
      </c>
      <c r="BB1815" s="0" t="s">
        <v>141</v>
      </c>
      <c r="BC1815" s="0" t="s">
        <v>130</v>
      </c>
      <c r="BD1815" s="0" t="s">
        <v>141</v>
      </c>
      <c r="BE1815" s="0" t="s">
        <v>141</v>
      </c>
      <c r="BF1815" s="0" t="s">
        <v>130</v>
      </c>
      <c r="BG1815" s="0" t="s">
        <v>130</v>
      </c>
      <c r="BH1815" s="0" t="s">
        <v>130</v>
      </c>
      <c r="BI1815" s="0" t="s">
        <v>130</v>
      </c>
      <c r="BJ1815" s="0" t="s">
        <v>130</v>
      </c>
      <c r="BK1815" s="0" t="s">
        <v>130</v>
      </c>
      <c r="BL1815" s="0" t="s">
        <v>130</v>
      </c>
      <c r="BM1815" s="0" t="s">
        <v>130</v>
      </c>
      <c r="BN1815" s="0" t="s">
        <v>130</v>
      </c>
      <c r="BO1815" s="0" t="s">
        <v>130</v>
      </c>
      <c r="BP1815" s="0" t="s">
        <v>130</v>
      </c>
      <c r="BQ1815" s="0" t="s">
        <v>130</v>
      </c>
      <c r="BR1815" s="0" t="s">
        <v>130</v>
      </c>
      <c r="BS1815" s="0" t="s">
        <v>130</v>
      </c>
      <c r="BT1815" s="0" t="s">
        <v>130</v>
      </c>
      <c r="BU1815" s="0" t="s">
        <v>130</v>
      </c>
      <c r="BV1815" s="0" t="s">
        <v>130</v>
      </c>
      <c r="BW1815" s="0" t="s">
        <v>130</v>
      </c>
      <c r="BX1815" s="0" t="s">
        <v>130</v>
      </c>
      <c r="BY1815" s="0" t="s">
        <v>130</v>
      </c>
      <c r="BZ1815" s="0" t="s">
        <v>130</v>
      </c>
      <c r="CA1815" s="0" t="s">
        <v>130</v>
      </c>
      <c r="CB1815" s="0" t="s">
        <v>130</v>
      </c>
      <c r="CC1815" s="0" t="s">
        <v>130</v>
      </c>
      <c r="CD1815" s="0" t="s">
        <v>130</v>
      </c>
      <c r="CE1815" s="0" t="s">
        <v>130</v>
      </c>
      <c r="CF1815" s="0" t="s">
        <v>130</v>
      </c>
      <c r="CG1815" s="0" t="s">
        <v>130</v>
      </c>
      <c r="CH1815" s="0" t="s">
        <v>130</v>
      </c>
      <c r="CI1815" s="0" t="s">
        <v>130</v>
      </c>
      <c r="CJ1815" s="0" t="s">
        <v>130</v>
      </c>
      <c r="CK1815" s="0" t="s">
        <v>130</v>
      </c>
      <c r="CL1815" s="0" t="s">
        <v>130</v>
      </c>
      <c r="CM1815" s="0" t="s">
        <v>130</v>
      </c>
      <c r="CN1815" s="0" t="s">
        <v>130</v>
      </c>
      <c r="CO1815" s="0" t="s">
        <v>130</v>
      </c>
      <c r="CP1815" s="0" t="s">
        <v>130</v>
      </c>
      <c r="CQ1815" s="0" t="s">
        <v>130</v>
      </c>
      <c r="CR1815" s="0" t="s">
        <v>130</v>
      </c>
      <c r="CS1815" s="0" t="s">
        <v>130</v>
      </c>
      <c r="CT1815" s="0" t="s">
        <v>5162</v>
      </c>
    </row>
    <row r="1816">
      <c r="A1816" s="14">
        <v>26327793</v>
      </c>
      <c r="B1816" s="0" t="s">
        <v>4323</v>
      </c>
      <c r="C1816" s="16">
        <f>HYPERLINK("https://eosportal.federatedhermes.com/companies/Q29tcGFueQppNzcwNDY=", "Zalando SE")</f>
      </c>
      <c r="D1816" s="0" t="s">
        <v>25</v>
      </c>
      <c r="E1816" s="0" t="s">
        <v>5163</v>
      </c>
      <c r="F1816" s="16">
        <f>HYPERLINK("https://eosportal.federatedhermes.com/engagements/RW5nYWdlbWVudAppMzA4MzE=", "Plastic Waste")</f>
      </c>
      <c r="G1816" s="14" t="s">
        <v>5164</v>
      </c>
      <c r="H1816" s="0" t="s">
        <v>130</v>
      </c>
      <c r="I1816" s="14" t="s">
        <v>319</v>
      </c>
      <c r="J1816" s="0" t="s">
        <v>197</v>
      </c>
      <c r="K1816" s="0" t="s">
        <v>348</v>
      </c>
      <c r="L1816" s="0" t="s">
        <v>349</v>
      </c>
      <c r="M1816" s="0" t="s">
        <v>378</v>
      </c>
      <c r="N1816" s="0" t="s">
        <v>2485</v>
      </c>
      <c r="O1816" s="0" t="s">
        <v>643</v>
      </c>
      <c r="Q1816" s="0" t="s">
        <v>130</v>
      </c>
      <c r="R1816" s="0" t="s">
        <v>138</v>
      </c>
      <c r="S1816" s="14">
        <v>0</v>
      </c>
      <c r="T1816" s="0" t="s">
        <v>231</v>
      </c>
      <c r="U1816" s="0" t="s">
        <v>138</v>
      </c>
      <c r="V1816" s="14" t="s">
        <v>138</v>
      </c>
      <c r="W1816" s="0" t="s">
        <v>138</v>
      </c>
      <c r="X1816" s="14" t="s">
        <v>138</v>
      </c>
      <c r="Y1816" s="0" t="s">
        <v>138</v>
      </c>
      <c r="Z1816" s="14" t="s">
        <v>138</v>
      </c>
      <c r="AA1816" s="0" t="s">
        <v>138</v>
      </c>
      <c r="AB1816" s="14" t="s">
        <v>138</v>
      </c>
      <c r="AD1816" s="0" t="s">
        <v>138</v>
      </c>
      <c r="AF1816" s="0">
        <v>0</v>
      </c>
      <c r="AG1816" s="0">
        <v>0</v>
      </c>
      <c r="AH1816" s="0" t="s">
        <v>140</v>
      </c>
      <c r="AI1816" s="0" t="s">
        <v>138</v>
      </c>
      <c r="AL1816" s="14"/>
      <c r="AN1816" s="14"/>
      <c r="AQ1816" s="0" t="s">
        <v>130</v>
      </c>
      <c r="AR1816" s="0" t="s">
        <v>130</v>
      </c>
      <c r="AS1816" s="0" t="s">
        <v>130</v>
      </c>
      <c r="AT1816" s="0" t="s">
        <v>130</v>
      </c>
      <c r="AU1816" s="0" t="s">
        <v>130</v>
      </c>
      <c r="AV1816" s="0" t="s">
        <v>130</v>
      </c>
      <c r="AW1816" s="0" t="s">
        <v>130</v>
      </c>
      <c r="AX1816" s="0" t="s">
        <v>130</v>
      </c>
      <c r="AY1816" s="0" t="s">
        <v>130</v>
      </c>
      <c r="AZ1816" s="0" t="s">
        <v>130</v>
      </c>
      <c r="BA1816" s="0" t="s">
        <v>130</v>
      </c>
      <c r="BB1816" s="0" t="s">
        <v>141</v>
      </c>
      <c r="BC1816" s="0" t="s">
        <v>130</v>
      </c>
      <c r="BD1816" s="0" t="s">
        <v>130</v>
      </c>
      <c r="BE1816" s="0" t="s">
        <v>130</v>
      </c>
      <c r="BF1816" s="0" t="s">
        <v>130</v>
      </c>
      <c r="BG1816" s="0" t="s">
        <v>130</v>
      </c>
      <c r="BH1816" s="0" t="s">
        <v>130</v>
      </c>
      <c r="BI1816" s="0" t="s">
        <v>130</v>
      </c>
      <c r="BJ1816" s="0" t="s">
        <v>130</v>
      </c>
      <c r="BK1816" s="0" t="s">
        <v>130</v>
      </c>
      <c r="BL1816" s="0" t="s">
        <v>130</v>
      </c>
      <c r="BM1816" s="0" t="s">
        <v>130</v>
      </c>
      <c r="BN1816" s="0" t="s">
        <v>130</v>
      </c>
      <c r="BO1816" s="0" t="s">
        <v>130</v>
      </c>
      <c r="BP1816" s="0" t="s">
        <v>130</v>
      </c>
      <c r="BQ1816" s="0" t="s">
        <v>130</v>
      </c>
      <c r="BR1816" s="0" t="s">
        <v>130</v>
      </c>
      <c r="BS1816" s="0" t="s">
        <v>130</v>
      </c>
      <c r="BT1816" s="0" t="s">
        <v>130</v>
      </c>
      <c r="BU1816" s="0" t="s">
        <v>130</v>
      </c>
      <c r="BV1816" s="0" t="s">
        <v>130</v>
      </c>
      <c r="BW1816" s="0" t="s">
        <v>130</v>
      </c>
      <c r="BX1816" s="0" t="s">
        <v>130</v>
      </c>
      <c r="BY1816" s="0" t="s">
        <v>130</v>
      </c>
      <c r="BZ1816" s="0" t="s">
        <v>130</v>
      </c>
      <c r="CA1816" s="0" t="s">
        <v>130</v>
      </c>
      <c r="CB1816" s="0" t="s">
        <v>130</v>
      </c>
      <c r="CC1816" s="0" t="s">
        <v>130</v>
      </c>
      <c r="CD1816" s="0" t="s">
        <v>141</v>
      </c>
      <c r="CE1816" s="0" t="s">
        <v>130</v>
      </c>
      <c r="CF1816" s="0" t="s">
        <v>130</v>
      </c>
      <c r="CG1816" s="0" t="s">
        <v>130</v>
      </c>
      <c r="CH1816" s="0" t="s">
        <v>130</v>
      </c>
      <c r="CI1816" s="0" t="s">
        <v>130</v>
      </c>
      <c r="CJ1816" s="0" t="s">
        <v>130</v>
      </c>
      <c r="CK1816" s="0" t="s">
        <v>130</v>
      </c>
      <c r="CL1816" s="0" t="s">
        <v>130</v>
      </c>
      <c r="CM1816" s="0" t="s">
        <v>130</v>
      </c>
      <c r="CN1816" s="0" t="s">
        <v>130</v>
      </c>
      <c r="CO1816" s="0" t="s">
        <v>130</v>
      </c>
      <c r="CP1816" s="0" t="s">
        <v>130</v>
      </c>
      <c r="CQ1816" s="0" t="s">
        <v>130</v>
      </c>
      <c r="CR1816" s="0" t="s">
        <v>130</v>
      </c>
      <c r="CS1816" s="0" t="s">
        <v>130</v>
      </c>
      <c r="CT1816" s="0" t="s">
        <v>5165</v>
      </c>
    </row>
    <row r="1817">
      <c r="A1817" s="14">
        <v>26327793</v>
      </c>
      <c r="B1817" s="0" t="s">
        <v>4323</v>
      </c>
      <c r="C1817" s="16">
        <f>HYPERLINK("https://eosportal.federatedhermes.com/companies/Q29tcGFueQppNzcwNDY=", "Zalando SE")</f>
      </c>
      <c r="D1817" s="0" t="s">
        <v>25</v>
      </c>
      <c r="E1817" s="0" t="s">
        <v>574</v>
      </c>
      <c r="F1817" s="16">
        <f>HYPERLINK("https://eosportal.federatedhermes.com/engagements/RW5nYWdlbWVudAppMzA4MzI=", "Biodiversity")</f>
      </c>
      <c r="G1817" s="14" t="s">
        <v>5166</v>
      </c>
      <c r="H1817" s="0" t="s">
        <v>130</v>
      </c>
      <c r="I1817" s="14" t="s">
        <v>319</v>
      </c>
      <c r="J1817" s="0" t="s">
        <v>197</v>
      </c>
      <c r="K1817" s="0" t="s">
        <v>337</v>
      </c>
      <c r="L1817" s="0" t="s">
        <v>576</v>
      </c>
      <c r="M1817" s="0" t="s">
        <v>378</v>
      </c>
      <c r="N1817" s="0" t="s">
        <v>2485</v>
      </c>
      <c r="O1817" s="0" t="s">
        <v>643</v>
      </c>
      <c r="Q1817" s="0" t="s">
        <v>130</v>
      </c>
      <c r="R1817" s="0" t="s">
        <v>138</v>
      </c>
      <c r="S1817" s="14">
        <v>0</v>
      </c>
      <c r="T1817" s="0" t="s">
        <v>231</v>
      </c>
      <c r="U1817" s="0" t="s">
        <v>138</v>
      </c>
      <c r="V1817" s="14" t="s">
        <v>138</v>
      </c>
      <c r="W1817" s="0" t="s">
        <v>138</v>
      </c>
      <c r="X1817" s="14" t="s">
        <v>138</v>
      </c>
      <c r="Y1817" s="0" t="s">
        <v>138</v>
      </c>
      <c r="Z1817" s="14" t="s">
        <v>138</v>
      </c>
      <c r="AA1817" s="0" t="s">
        <v>138</v>
      </c>
      <c r="AB1817" s="14" t="s">
        <v>138</v>
      </c>
      <c r="AD1817" s="0" t="s">
        <v>138</v>
      </c>
      <c r="AF1817" s="0">
        <v>0</v>
      </c>
      <c r="AG1817" s="0">
        <v>0</v>
      </c>
      <c r="AH1817" s="0" t="s">
        <v>140</v>
      </c>
      <c r="AI1817" s="0" t="s">
        <v>138</v>
      </c>
      <c r="AL1817" s="14"/>
      <c r="AN1817" s="14"/>
      <c r="AQ1817" s="0" t="s">
        <v>130</v>
      </c>
      <c r="AR1817" s="0" t="s">
        <v>141</v>
      </c>
      <c r="AS1817" s="0" t="s">
        <v>130</v>
      </c>
      <c r="AT1817" s="0" t="s">
        <v>130</v>
      </c>
      <c r="AU1817" s="0" t="s">
        <v>130</v>
      </c>
      <c r="AV1817" s="0" t="s">
        <v>141</v>
      </c>
      <c r="AW1817" s="0" t="s">
        <v>130</v>
      </c>
      <c r="AX1817" s="0" t="s">
        <v>130</v>
      </c>
      <c r="AY1817" s="0" t="s">
        <v>130</v>
      </c>
      <c r="AZ1817" s="0" t="s">
        <v>130</v>
      </c>
      <c r="BA1817" s="0" t="s">
        <v>141</v>
      </c>
      <c r="BB1817" s="0" t="s">
        <v>141</v>
      </c>
      <c r="BC1817" s="0" t="s">
        <v>130</v>
      </c>
      <c r="BD1817" s="0" t="s">
        <v>141</v>
      </c>
      <c r="BE1817" s="0" t="s">
        <v>141</v>
      </c>
      <c r="BF1817" s="0" t="s">
        <v>130</v>
      </c>
      <c r="BG1817" s="0" t="s">
        <v>130</v>
      </c>
      <c r="BH1817" s="0" t="s">
        <v>130</v>
      </c>
      <c r="BI1817" s="0" t="s">
        <v>130</v>
      </c>
      <c r="BJ1817" s="0" t="s">
        <v>130</v>
      </c>
      <c r="BK1817" s="0" t="s">
        <v>130</v>
      </c>
      <c r="BL1817" s="0" t="s">
        <v>130</v>
      </c>
      <c r="BM1817" s="0" t="s">
        <v>130</v>
      </c>
      <c r="BN1817" s="0" t="s">
        <v>130</v>
      </c>
      <c r="BO1817" s="0" t="s">
        <v>130</v>
      </c>
      <c r="BP1817" s="0" t="s">
        <v>130</v>
      </c>
      <c r="BQ1817" s="0" t="s">
        <v>130</v>
      </c>
      <c r="BR1817" s="0" t="s">
        <v>130</v>
      </c>
      <c r="BS1817" s="0" t="s">
        <v>130</v>
      </c>
      <c r="BT1817" s="0" t="s">
        <v>130</v>
      </c>
      <c r="BU1817" s="0" t="s">
        <v>130</v>
      </c>
      <c r="BV1817" s="0" t="s">
        <v>130</v>
      </c>
      <c r="BW1817" s="0" t="s">
        <v>130</v>
      </c>
      <c r="BX1817" s="0" t="s">
        <v>130</v>
      </c>
      <c r="BY1817" s="0" t="s">
        <v>130</v>
      </c>
      <c r="BZ1817" s="0" t="s">
        <v>130</v>
      </c>
      <c r="CA1817" s="0" t="s">
        <v>130</v>
      </c>
      <c r="CB1817" s="0" t="s">
        <v>130</v>
      </c>
      <c r="CC1817" s="0" t="s">
        <v>130</v>
      </c>
      <c r="CD1817" s="0" t="s">
        <v>130</v>
      </c>
      <c r="CE1817" s="0" t="s">
        <v>130</v>
      </c>
      <c r="CF1817" s="0" t="s">
        <v>130</v>
      </c>
      <c r="CG1817" s="0" t="s">
        <v>130</v>
      </c>
      <c r="CH1817" s="0" t="s">
        <v>130</v>
      </c>
      <c r="CI1817" s="0" t="s">
        <v>130</v>
      </c>
      <c r="CJ1817" s="0" t="s">
        <v>130</v>
      </c>
      <c r="CK1817" s="0" t="s">
        <v>130</v>
      </c>
      <c r="CL1817" s="0" t="s">
        <v>130</v>
      </c>
      <c r="CM1817" s="0" t="s">
        <v>130</v>
      </c>
      <c r="CN1817" s="0" t="s">
        <v>130</v>
      </c>
      <c r="CO1817" s="0" t="s">
        <v>130</v>
      </c>
      <c r="CP1817" s="0" t="s">
        <v>130</v>
      </c>
      <c r="CQ1817" s="0" t="s">
        <v>130</v>
      </c>
      <c r="CR1817" s="0" t="s">
        <v>130</v>
      </c>
      <c r="CS1817" s="0" t="s">
        <v>130</v>
      </c>
      <c r="CT1817" s="0" t="s">
        <v>5167</v>
      </c>
    </row>
    <row r="1818">
      <c r="A1818" s="14">
        <v>26327793</v>
      </c>
      <c r="B1818" s="0" t="s">
        <v>4323</v>
      </c>
      <c r="C1818" s="16">
        <f>HYPERLINK("https://eosportal.federatedhermes.com/companies/Q29tcGFueQppNzcwNDY=", "Zalando SE")</f>
      </c>
      <c r="D1818" s="0" t="s">
        <v>25</v>
      </c>
      <c r="E1818" s="0" t="s">
        <v>5168</v>
      </c>
      <c r="F1818" s="16">
        <f>HYPERLINK("https://eosportal.federatedhermes.com/engagements/RW5nYWdlbWVudAppMzA4MzM=", "Renewable Energy")</f>
      </c>
      <c r="G1818" s="14" t="s">
        <v>5169</v>
      </c>
      <c r="H1818" s="0" t="s">
        <v>130</v>
      </c>
      <c r="I1818" s="14" t="s">
        <v>319</v>
      </c>
      <c r="J1818" s="0" t="s">
        <v>197</v>
      </c>
      <c r="K1818" s="0" t="s">
        <v>198</v>
      </c>
      <c r="L1818" s="0" t="s">
        <v>216</v>
      </c>
      <c r="M1818" s="0" t="s">
        <v>378</v>
      </c>
      <c r="N1818" s="0" t="s">
        <v>2485</v>
      </c>
      <c r="O1818" s="0" t="s">
        <v>643</v>
      </c>
      <c r="Q1818" s="0" t="s">
        <v>130</v>
      </c>
      <c r="R1818" s="0" t="s">
        <v>138</v>
      </c>
      <c r="S1818" s="14">
        <v>0</v>
      </c>
      <c r="T1818" s="0" t="s">
        <v>231</v>
      </c>
      <c r="U1818" s="0" t="s">
        <v>138</v>
      </c>
      <c r="V1818" s="14" t="s">
        <v>138</v>
      </c>
      <c r="W1818" s="0" t="s">
        <v>138</v>
      </c>
      <c r="X1818" s="14" t="s">
        <v>138</v>
      </c>
      <c r="Y1818" s="0" t="s">
        <v>138</v>
      </c>
      <c r="Z1818" s="14" t="s">
        <v>138</v>
      </c>
      <c r="AA1818" s="0" t="s">
        <v>138</v>
      </c>
      <c r="AB1818" s="14" t="s">
        <v>138</v>
      </c>
      <c r="AD1818" s="0" t="s">
        <v>138</v>
      </c>
      <c r="AF1818" s="0">
        <v>0</v>
      </c>
      <c r="AG1818" s="0">
        <v>0</v>
      </c>
      <c r="AH1818" s="0" t="s">
        <v>140</v>
      </c>
      <c r="AI1818" s="0" t="s">
        <v>138</v>
      </c>
      <c r="AL1818" s="14"/>
      <c r="AN1818" s="14"/>
      <c r="AQ1818" s="0" t="s">
        <v>130</v>
      </c>
      <c r="AR1818" s="0" t="s">
        <v>130</v>
      </c>
      <c r="AS1818" s="0" t="s">
        <v>130</v>
      </c>
      <c r="AT1818" s="0" t="s">
        <v>130</v>
      </c>
      <c r="AU1818" s="0" t="s">
        <v>130</v>
      </c>
      <c r="AV1818" s="0" t="s">
        <v>130</v>
      </c>
      <c r="AW1818" s="0" t="s">
        <v>141</v>
      </c>
      <c r="AX1818" s="0" t="s">
        <v>130</v>
      </c>
      <c r="AY1818" s="0" t="s">
        <v>141</v>
      </c>
      <c r="AZ1818" s="0" t="s">
        <v>130</v>
      </c>
      <c r="BA1818" s="0" t="s">
        <v>130</v>
      </c>
      <c r="BB1818" s="0" t="s">
        <v>130</v>
      </c>
      <c r="BC1818" s="0" t="s">
        <v>141</v>
      </c>
      <c r="BD1818" s="0" t="s">
        <v>130</v>
      </c>
      <c r="BE1818" s="0" t="s">
        <v>130</v>
      </c>
      <c r="BF1818" s="0" t="s">
        <v>130</v>
      </c>
      <c r="BG1818" s="0" t="s">
        <v>130</v>
      </c>
      <c r="BH1818" s="0" t="s">
        <v>141</v>
      </c>
      <c r="BI1818" s="0" t="s">
        <v>141</v>
      </c>
      <c r="BJ1818" s="0" t="s">
        <v>141</v>
      </c>
      <c r="BK1818" s="0" t="s">
        <v>130</v>
      </c>
      <c r="BL1818" s="0" t="s">
        <v>130</v>
      </c>
      <c r="BM1818" s="0" t="s">
        <v>130</v>
      </c>
      <c r="BN1818" s="0" t="s">
        <v>130</v>
      </c>
      <c r="BO1818" s="0" t="s">
        <v>130</v>
      </c>
      <c r="BP1818" s="0" t="s">
        <v>130</v>
      </c>
      <c r="BQ1818" s="0" t="s">
        <v>130</v>
      </c>
      <c r="BR1818" s="0" t="s">
        <v>130</v>
      </c>
      <c r="BS1818" s="0" t="s">
        <v>130</v>
      </c>
      <c r="BT1818" s="0" t="s">
        <v>130</v>
      </c>
      <c r="BU1818" s="0" t="s">
        <v>130</v>
      </c>
      <c r="BV1818" s="0" t="s">
        <v>141</v>
      </c>
      <c r="BW1818" s="0" t="s">
        <v>141</v>
      </c>
      <c r="BX1818" s="0" t="s">
        <v>130</v>
      </c>
      <c r="BY1818" s="0" t="s">
        <v>130</v>
      </c>
      <c r="BZ1818" s="0" t="s">
        <v>130</v>
      </c>
      <c r="CA1818" s="0" t="s">
        <v>130</v>
      </c>
      <c r="CB1818" s="0" t="s">
        <v>130</v>
      </c>
      <c r="CC1818" s="0" t="s">
        <v>130</v>
      </c>
      <c r="CD1818" s="0" t="s">
        <v>130</v>
      </c>
      <c r="CE1818" s="0" t="s">
        <v>130</v>
      </c>
      <c r="CF1818" s="0" t="s">
        <v>130</v>
      </c>
      <c r="CG1818" s="0" t="s">
        <v>130</v>
      </c>
      <c r="CH1818" s="0" t="s">
        <v>130</v>
      </c>
      <c r="CI1818" s="0" t="s">
        <v>130</v>
      </c>
      <c r="CJ1818" s="0" t="s">
        <v>130</v>
      </c>
      <c r="CK1818" s="0" t="s">
        <v>130</v>
      </c>
      <c r="CL1818" s="0" t="s">
        <v>130</v>
      </c>
      <c r="CM1818" s="0" t="s">
        <v>130</v>
      </c>
      <c r="CN1818" s="0" t="s">
        <v>130</v>
      </c>
      <c r="CO1818" s="0" t="s">
        <v>130</v>
      </c>
      <c r="CP1818" s="0" t="s">
        <v>130</v>
      </c>
      <c r="CQ1818" s="0" t="s">
        <v>130</v>
      </c>
      <c r="CR1818" s="0" t="s">
        <v>130</v>
      </c>
      <c r="CS1818" s="0" t="s">
        <v>130</v>
      </c>
      <c r="CT1818" s="0" t="s">
        <v>5170</v>
      </c>
    </row>
    <row r="1819">
      <c r="A1819" s="14">
        <v>26327793</v>
      </c>
      <c r="B1819" s="0" t="s">
        <v>4323</v>
      </c>
      <c r="C1819" s="16">
        <f>HYPERLINK("https://eosportal.federatedhermes.com/companies/Q29tcGFueQppNzcwNDY=", "Zalando SE")</f>
      </c>
      <c r="D1819" s="0" t="s">
        <v>25</v>
      </c>
      <c r="E1819" s="0" t="s">
        <v>244</v>
      </c>
      <c r="F1819" s="16">
        <f>HYPERLINK("https://eosportal.federatedhermes.com/engagements/RW5nYWdlbWVudAppMzA4MzQ=", "Supply Chain Rights")</f>
      </c>
      <c r="G1819" s="14" t="s">
        <v>5171</v>
      </c>
      <c r="H1819" s="0" t="s">
        <v>130</v>
      </c>
      <c r="I1819" s="14" t="s">
        <v>319</v>
      </c>
      <c r="J1819" s="0" t="s">
        <v>153</v>
      </c>
      <c r="K1819" s="0" t="s">
        <v>243</v>
      </c>
      <c r="L1819" s="0" t="s">
        <v>244</v>
      </c>
      <c r="M1819" s="0" t="s">
        <v>378</v>
      </c>
      <c r="N1819" s="0" t="s">
        <v>2485</v>
      </c>
      <c r="O1819" s="0" t="s">
        <v>643</v>
      </c>
      <c r="Q1819" s="0" t="s">
        <v>141</v>
      </c>
      <c r="R1819" s="0" t="s">
        <v>138</v>
      </c>
      <c r="S1819" s="14">
        <v>1</v>
      </c>
      <c r="T1819" s="0" t="s">
        <v>231</v>
      </c>
      <c r="U1819" s="0" t="s">
        <v>138</v>
      </c>
      <c r="V1819" s="14" t="s">
        <v>138</v>
      </c>
      <c r="W1819" s="0" t="s">
        <v>138</v>
      </c>
      <c r="X1819" s="14" t="s">
        <v>138</v>
      </c>
      <c r="Y1819" s="0" t="s">
        <v>138</v>
      </c>
      <c r="Z1819" s="14" t="s">
        <v>138</v>
      </c>
      <c r="AA1819" s="0" t="s">
        <v>138</v>
      </c>
      <c r="AB1819" s="14" t="s">
        <v>138</v>
      </c>
      <c r="AD1819" s="0" t="s">
        <v>138</v>
      </c>
      <c r="AF1819" s="0">
        <v>0</v>
      </c>
      <c r="AG1819" s="0">
        <v>0</v>
      </c>
      <c r="AH1819" s="0" t="s">
        <v>140</v>
      </c>
      <c r="AI1819" s="0" t="s">
        <v>138</v>
      </c>
      <c r="AK1819" s="0" t="s">
        <v>675</v>
      </c>
      <c r="AL1819" s="14"/>
      <c r="AN1819" s="14"/>
      <c r="AQ1819" s="0" t="s">
        <v>130</v>
      </c>
      <c r="AR1819" s="0" t="s">
        <v>130</v>
      </c>
      <c r="AS1819" s="0" t="s">
        <v>130</v>
      </c>
      <c r="AT1819" s="0" t="s">
        <v>130</v>
      </c>
      <c r="AU1819" s="0" t="s">
        <v>130</v>
      </c>
      <c r="AV1819" s="0" t="s">
        <v>130</v>
      </c>
      <c r="AW1819" s="0" t="s">
        <v>130</v>
      </c>
      <c r="AX1819" s="0" t="s">
        <v>141</v>
      </c>
      <c r="AY1819" s="0" t="s">
        <v>130</v>
      </c>
      <c r="AZ1819" s="0" t="s">
        <v>130</v>
      </c>
      <c r="BA1819" s="0" t="s">
        <v>130</v>
      </c>
      <c r="BB1819" s="0" t="s">
        <v>130</v>
      </c>
      <c r="BC1819" s="0" t="s">
        <v>130</v>
      </c>
      <c r="BD1819" s="0" t="s">
        <v>130</v>
      </c>
      <c r="BE1819" s="0" t="s">
        <v>130</v>
      </c>
      <c r="BF1819" s="0" t="s">
        <v>130</v>
      </c>
      <c r="BG1819" s="0" t="s">
        <v>130</v>
      </c>
      <c r="BH1819" s="0" t="s">
        <v>130</v>
      </c>
      <c r="BI1819" s="0" t="s">
        <v>130</v>
      </c>
      <c r="BJ1819" s="0" t="s">
        <v>130</v>
      </c>
      <c r="BK1819" s="0" t="s">
        <v>130</v>
      </c>
      <c r="BL1819" s="0" t="s">
        <v>130</v>
      </c>
      <c r="BM1819" s="0" t="s">
        <v>130</v>
      </c>
      <c r="BN1819" s="0" t="s">
        <v>130</v>
      </c>
      <c r="BO1819" s="0" t="s">
        <v>130</v>
      </c>
      <c r="BP1819" s="0" t="s">
        <v>130</v>
      </c>
      <c r="BQ1819" s="0" t="s">
        <v>130</v>
      </c>
      <c r="BR1819" s="0" t="s">
        <v>130</v>
      </c>
      <c r="BS1819" s="0" t="s">
        <v>130</v>
      </c>
      <c r="BT1819" s="0" t="s">
        <v>130</v>
      </c>
      <c r="BU1819" s="0" t="s">
        <v>130</v>
      </c>
      <c r="BV1819" s="0" t="s">
        <v>130</v>
      </c>
      <c r="BW1819" s="0" t="s">
        <v>130</v>
      </c>
      <c r="BX1819" s="0" t="s">
        <v>130</v>
      </c>
      <c r="BY1819" s="0" t="s">
        <v>130</v>
      </c>
      <c r="BZ1819" s="0" t="s">
        <v>130</v>
      </c>
      <c r="CA1819" s="0" t="s">
        <v>130</v>
      </c>
      <c r="CB1819" s="0" t="s">
        <v>130</v>
      </c>
      <c r="CC1819" s="0" t="s">
        <v>130</v>
      </c>
      <c r="CD1819" s="0" t="s">
        <v>130</v>
      </c>
      <c r="CE1819" s="0" t="s">
        <v>130</v>
      </c>
      <c r="CF1819" s="0" t="s">
        <v>130</v>
      </c>
      <c r="CG1819" s="0" t="s">
        <v>130</v>
      </c>
      <c r="CH1819" s="0" t="s">
        <v>130</v>
      </c>
      <c r="CI1819" s="0" t="s">
        <v>130</v>
      </c>
      <c r="CJ1819" s="0" t="s">
        <v>130</v>
      </c>
      <c r="CK1819" s="0" t="s">
        <v>130</v>
      </c>
      <c r="CL1819" s="0" t="s">
        <v>130</v>
      </c>
      <c r="CM1819" s="0" t="s">
        <v>130</v>
      </c>
      <c r="CN1819" s="0" t="s">
        <v>130</v>
      </c>
      <c r="CO1819" s="0" t="s">
        <v>130</v>
      </c>
      <c r="CP1819" s="0" t="s">
        <v>130</v>
      </c>
      <c r="CQ1819" s="0" t="s">
        <v>130</v>
      </c>
      <c r="CR1819" s="0" t="s">
        <v>130</v>
      </c>
      <c r="CS1819" s="0" t="s">
        <v>130</v>
      </c>
      <c r="CT1819" s="0" t="s">
        <v>5172</v>
      </c>
    </row>
    <row r="1820">
      <c r="A1820" s="14">
        <v>100315</v>
      </c>
      <c r="B1820" s="0" t="s">
        <v>539</v>
      </c>
      <c r="C1820" s="16">
        <f>HYPERLINK("https://eosportal.federatedhermes.com/companies/Q29tcGFueQppNzcwNTA=", "Chevron Corp")</f>
      </c>
      <c r="D1820" s="0" t="s">
        <v>25</v>
      </c>
      <c r="E1820" s="0" t="s">
        <v>5010</v>
      </c>
      <c r="F1820" s="16">
        <f>HYPERLINK("https://eosportal.federatedhermes.com/engagements/RW5nYWdlbWVudAppMzA4MzU=", "Russia-Ukraine Conflict")</f>
      </c>
      <c r="G1820" s="14" t="s">
        <v>5011</v>
      </c>
      <c r="H1820" s="0" t="s">
        <v>141</v>
      </c>
      <c r="I1820" s="14" t="s">
        <v>191</v>
      </c>
      <c r="J1820" s="0" t="s">
        <v>153</v>
      </c>
      <c r="K1820" s="0" t="s">
        <v>243</v>
      </c>
      <c r="L1820" s="0" t="s">
        <v>456</v>
      </c>
      <c r="M1820" s="0" t="s">
        <v>135</v>
      </c>
      <c r="N1820" s="0" t="s">
        <v>136</v>
      </c>
      <c r="O1820" s="0" t="s">
        <v>542</v>
      </c>
      <c r="Q1820" s="0" t="s">
        <v>130</v>
      </c>
      <c r="R1820" s="0" t="s">
        <v>138</v>
      </c>
      <c r="S1820" s="14">
        <v>0</v>
      </c>
      <c r="T1820" s="0" t="s">
        <v>583</v>
      </c>
      <c r="U1820" s="0" t="s">
        <v>138</v>
      </c>
      <c r="V1820" s="14" t="s">
        <v>138</v>
      </c>
      <c r="W1820" s="0" t="s">
        <v>138</v>
      </c>
      <c r="X1820" s="14" t="s">
        <v>138</v>
      </c>
      <c r="Y1820" s="0" t="s">
        <v>138</v>
      </c>
      <c r="Z1820" s="14" t="s">
        <v>138</v>
      </c>
      <c r="AA1820" s="0" t="s">
        <v>138</v>
      </c>
      <c r="AB1820" s="14" t="s">
        <v>138</v>
      </c>
      <c r="AD1820" s="0" t="s">
        <v>138</v>
      </c>
      <c r="AF1820" s="0">
        <v>0</v>
      </c>
      <c r="AG1820" s="0">
        <v>0</v>
      </c>
      <c r="AH1820" s="0" t="s">
        <v>140</v>
      </c>
      <c r="AI1820" s="0" t="s">
        <v>138</v>
      </c>
      <c r="AL1820" s="14"/>
      <c r="AN1820" s="14"/>
      <c r="AQ1820" s="0" t="s">
        <v>130</v>
      </c>
      <c r="AR1820" s="0" t="s">
        <v>130</v>
      </c>
      <c r="AS1820" s="0" t="s">
        <v>130</v>
      </c>
      <c r="AT1820" s="0" t="s">
        <v>130</v>
      </c>
      <c r="AU1820" s="0" t="s">
        <v>130</v>
      </c>
      <c r="AV1820" s="0" t="s">
        <v>130</v>
      </c>
      <c r="AW1820" s="0" t="s">
        <v>130</v>
      </c>
      <c r="AX1820" s="0" t="s">
        <v>141</v>
      </c>
      <c r="AY1820" s="0" t="s">
        <v>130</v>
      </c>
      <c r="AZ1820" s="0" t="s">
        <v>130</v>
      </c>
      <c r="BA1820" s="0" t="s">
        <v>130</v>
      </c>
      <c r="BB1820" s="0" t="s">
        <v>130</v>
      </c>
      <c r="BC1820" s="0" t="s">
        <v>130</v>
      </c>
      <c r="BD1820" s="0" t="s">
        <v>130</v>
      </c>
      <c r="BE1820" s="0" t="s">
        <v>130</v>
      </c>
      <c r="BF1820" s="0" t="s">
        <v>141</v>
      </c>
      <c r="BG1820" s="0" t="s">
        <v>130</v>
      </c>
      <c r="BH1820" s="0" t="s">
        <v>130</v>
      </c>
      <c r="BI1820" s="0" t="s">
        <v>130</v>
      </c>
      <c r="BJ1820" s="0" t="s">
        <v>130</v>
      </c>
      <c r="BK1820" s="0" t="s">
        <v>130</v>
      </c>
      <c r="BL1820" s="0" t="s">
        <v>130</v>
      </c>
      <c r="BM1820" s="0" t="s">
        <v>130</v>
      </c>
      <c r="BN1820" s="0" t="s">
        <v>130</v>
      </c>
      <c r="BO1820" s="0" t="s">
        <v>130</v>
      </c>
      <c r="BP1820" s="0" t="s">
        <v>130</v>
      </c>
      <c r="BQ1820" s="0" t="s">
        <v>130</v>
      </c>
      <c r="BR1820" s="0" t="s">
        <v>130</v>
      </c>
      <c r="BS1820" s="0" t="s">
        <v>130</v>
      </c>
      <c r="BT1820" s="0" t="s">
        <v>130</v>
      </c>
      <c r="BU1820" s="0" t="s">
        <v>130</v>
      </c>
      <c r="BV1820" s="0" t="s">
        <v>130</v>
      </c>
      <c r="BW1820" s="0" t="s">
        <v>130</v>
      </c>
      <c r="BX1820" s="0" t="s">
        <v>130</v>
      </c>
      <c r="BY1820" s="0" t="s">
        <v>130</v>
      </c>
      <c r="BZ1820" s="0" t="s">
        <v>130</v>
      </c>
      <c r="CA1820" s="0" t="s">
        <v>130</v>
      </c>
      <c r="CB1820" s="0" t="s">
        <v>130</v>
      </c>
      <c r="CC1820" s="0" t="s">
        <v>130</v>
      </c>
      <c r="CD1820" s="0" t="s">
        <v>130</v>
      </c>
      <c r="CE1820" s="0" t="s">
        <v>130</v>
      </c>
      <c r="CF1820" s="0" t="s">
        <v>130</v>
      </c>
      <c r="CG1820" s="0" t="s">
        <v>130</v>
      </c>
      <c r="CH1820" s="0" t="s">
        <v>130</v>
      </c>
      <c r="CI1820" s="0" t="s">
        <v>130</v>
      </c>
      <c r="CJ1820" s="0" t="s">
        <v>130</v>
      </c>
      <c r="CK1820" s="0" t="s">
        <v>130</v>
      </c>
      <c r="CL1820" s="0" t="s">
        <v>130</v>
      </c>
      <c r="CM1820" s="0" t="s">
        <v>130</v>
      </c>
      <c r="CN1820" s="0" t="s">
        <v>130</v>
      </c>
      <c r="CO1820" s="0" t="s">
        <v>130</v>
      </c>
      <c r="CP1820" s="0" t="s">
        <v>130</v>
      </c>
      <c r="CQ1820" s="0" t="s">
        <v>130</v>
      </c>
      <c r="CR1820" s="0" t="s">
        <v>130</v>
      </c>
      <c r="CS1820" s="0" t="s">
        <v>130</v>
      </c>
      <c r="CT1820" s="0" t="s">
        <v>5173</v>
      </c>
    </row>
    <row r="1821">
      <c r="A1821" s="14">
        <v>304149</v>
      </c>
      <c r="B1821" s="0" t="s">
        <v>3541</v>
      </c>
      <c r="C1821" s="16">
        <f>HYPERLINK("https://eosportal.federatedhermes.com/companies/Q29tcGFueQppNzc5MjM=", "ICICI Bank Ltd")</f>
      </c>
      <c r="D1821" s="0" t="s">
        <v>25</v>
      </c>
      <c r="E1821" s="0" t="s">
        <v>5016</v>
      </c>
      <c r="F1821" s="16">
        <f>HYPERLINK("https://eosportal.federatedhermes.com/engagements/RW5nYWdlbWVudAppMzA4NDI=", "Russia/Ukraine conflict")</f>
      </c>
      <c r="G1821" s="14" t="s">
        <v>5017</v>
      </c>
      <c r="H1821" s="0" t="s">
        <v>141</v>
      </c>
      <c r="I1821" s="14" t="s">
        <v>131</v>
      </c>
      <c r="J1821" s="0" t="s">
        <v>153</v>
      </c>
      <c r="K1821" s="0" t="s">
        <v>243</v>
      </c>
      <c r="L1821" s="0" t="s">
        <v>456</v>
      </c>
      <c r="M1821" s="0" t="s">
        <v>2807</v>
      </c>
      <c r="N1821" s="0" t="s">
        <v>2969</v>
      </c>
      <c r="O1821" s="0" t="s">
        <v>238</v>
      </c>
      <c r="Q1821" s="0" t="s">
        <v>130</v>
      </c>
      <c r="R1821" s="0" t="s">
        <v>138</v>
      </c>
      <c r="S1821" s="14">
        <v>0</v>
      </c>
      <c r="T1821" s="0" t="s">
        <v>583</v>
      </c>
      <c r="U1821" s="0" t="s">
        <v>138</v>
      </c>
      <c r="V1821" s="14" t="s">
        <v>138</v>
      </c>
      <c r="W1821" s="0" t="s">
        <v>138</v>
      </c>
      <c r="X1821" s="14" t="s">
        <v>138</v>
      </c>
      <c r="Y1821" s="0" t="s">
        <v>138</v>
      </c>
      <c r="Z1821" s="14" t="s">
        <v>138</v>
      </c>
      <c r="AA1821" s="0" t="s">
        <v>138</v>
      </c>
      <c r="AB1821" s="14" t="s">
        <v>138</v>
      </c>
      <c r="AD1821" s="0" t="s">
        <v>138</v>
      </c>
      <c r="AF1821" s="0">
        <v>0</v>
      </c>
      <c r="AG1821" s="0">
        <v>0</v>
      </c>
      <c r="AH1821" s="0" t="s">
        <v>140</v>
      </c>
      <c r="AI1821" s="0" t="s">
        <v>138</v>
      </c>
      <c r="AL1821" s="14"/>
      <c r="AN1821" s="14"/>
      <c r="AQ1821" s="0" t="s">
        <v>130</v>
      </c>
      <c r="AR1821" s="0" t="s">
        <v>130</v>
      </c>
      <c r="AS1821" s="0" t="s">
        <v>130</v>
      </c>
      <c r="AT1821" s="0" t="s">
        <v>130</v>
      </c>
      <c r="AU1821" s="0" t="s">
        <v>130</v>
      </c>
      <c r="AV1821" s="0" t="s">
        <v>130</v>
      </c>
      <c r="AW1821" s="0" t="s">
        <v>130</v>
      </c>
      <c r="AX1821" s="0" t="s">
        <v>141</v>
      </c>
      <c r="AY1821" s="0" t="s">
        <v>130</v>
      </c>
      <c r="AZ1821" s="0" t="s">
        <v>130</v>
      </c>
      <c r="BA1821" s="0" t="s">
        <v>130</v>
      </c>
      <c r="BB1821" s="0" t="s">
        <v>130</v>
      </c>
      <c r="BC1821" s="0" t="s">
        <v>130</v>
      </c>
      <c r="BD1821" s="0" t="s">
        <v>130</v>
      </c>
      <c r="BE1821" s="0" t="s">
        <v>130</v>
      </c>
      <c r="BF1821" s="0" t="s">
        <v>141</v>
      </c>
      <c r="BG1821" s="0" t="s">
        <v>130</v>
      </c>
      <c r="BH1821" s="0" t="s">
        <v>130</v>
      </c>
      <c r="BI1821" s="0" t="s">
        <v>130</v>
      </c>
      <c r="BJ1821" s="0" t="s">
        <v>130</v>
      </c>
      <c r="BK1821" s="0" t="s">
        <v>130</v>
      </c>
      <c r="BL1821" s="0" t="s">
        <v>130</v>
      </c>
      <c r="BM1821" s="0" t="s">
        <v>130</v>
      </c>
      <c r="BN1821" s="0" t="s">
        <v>130</v>
      </c>
      <c r="BO1821" s="0" t="s">
        <v>130</v>
      </c>
      <c r="BP1821" s="0" t="s">
        <v>130</v>
      </c>
      <c r="BQ1821" s="0" t="s">
        <v>130</v>
      </c>
      <c r="BR1821" s="0" t="s">
        <v>130</v>
      </c>
      <c r="BS1821" s="0" t="s">
        <v>130</v>
      </c>
      <c r="BT1821" s="0" t="s">
        <v>130</v>
      </c>
      <c r="BU1821" s="0" t="s">
        <v>130</v>
      </c>
      <c r="BV1821" s="0" t="s">
        <v>130</v>
      </c>
      <c r="BW1821" s="0" t="s">
        <v>130</v>
      </c>
      <c r="BX1821" s="0" t="s">
        <v>130</v>
      </c>
      <c r="BY1821" s="0" t="s">
        <v>130</v>
      </c>
      <c r="BZ1821" s="0" t="s">
        <v>130</v>
      </c>
      <c r="CA1821" s="0" t="s">
        <v>130</v>
      </c>
      <c r="CB1821" s="0" t="s">
        <v>130</v>
      </c>
      <c r="CC1821" s="0" t="s">
        <v>130</v>
      </c>
      <c r="CD1821" s="0" t="s">
        <v>130</v>
      </c>
      <c r="CE1821" s="0" t="s">
        <v>130</v>
      </c>
      <c r="CF1821" s="0" t="s">
        <v>130</v>
      </c>
      <c r="CG1821" s="0" t="s">
        <v>130</v>
      </c>
      <c r="CH1821" s="0" t="s">
        <v>130</v>
      </c>
      <c r="CI1821" s="0" t="s">
        <v>130</v>
      </c>
      <c r="CJ1821" s="0" t="s">
        <v>130</v>
      </c>
      <c r="CK1821" s="0" t="s">
        <v>130</v>
      </c>
      <c r="CL1821" s="0" t="s">
        <v>130</v>
      </c>
      <c r="CM1821" s="0" t="s">
        <v>130</v>
      </c>
      <c r="CN1821" s="0" t="s">
        <v>130</v>
      </c>
      <c r="CO1821" s="0" t="s">
        <v>130</v>
      </c>
      <c r="CP1821" s="0" t="s">
        <v>130</v>
      </c>
      <c r="CQ1821" s="0" t="s">
        <v>130</v>
      </c>
      <c r="CR1821" s="0" t="s">
        <v>130</v>
      </c>
      <c r="CS1821" s="0" t="s">
        <v>130</v>
      </c>
      <c r="CT1821" s="0" t="s">
        <v>5174</v>
      </c>
    </row>
    <row r="1822">
      <c r="A1822" s="14">
        <v>110411</v>
      </c>
      <c r="B1822" s="0" t="s">
        <v>2250</v>
      </c>
      <c r="C1822" s="16">
        <f>HYPERLINK("https://eosportal.federatedhermes.com/companies/Q29tcGFueQppNzc5MjQ=", "Royal Bank of Canada")</f>
      </c>
      <c r="D1822" s="0" t="s">
        <v>25</v>
      </c>
      <c r="E1822" s="0" t="s">
        <v>5175</v>
      </c>
      <c r="F1822" s="16">
        <f>HYPERLINK("https://eosportal.federatedhermes.com/engagements/RW5nYWdlbWVudAppMzA4NDM=", "Line 3, oil sands projects and FPIC")</f>
      </c>
      <c r="G1822" s="14" t="s">
        <v>5176</v>
      </c>
      <c r="H1822" s="0" t="s">
        <v>141</v>
      </c>
      <c r="I1822" s="14" t="s">
        <v>191</v>
      </c>
      <c r="J1822" s="0" t="s">
        <v>153</v>
      </c>
      <c r="K1822" s="0" t="s">
        <v>243</v>
      </c>
      <c r="L1822" s="0" t="s">
        <v>571</v>
      </c>
      <c r="M1822" s="0" t="s">
        <v>135</v>
      </c>
      <c r="N1822" s="0" t="s">
        <v>1678</v>
      </c>
      <c r="O1822" s="0" t="s">
        <v>238</v>
      </c>
      <c r="Q1822" s="0" t="s">
        <v>130</v>
      </c>
      <c r="R1822" s="0" t="s">
        <v>138</v>
      </c>
      <c r="S1822" s="14">
        <v>0</v>
      </c>
      <c r="T1822" s="0" t="s">
        <v>583</v>
      </c>
      <c r="U1822" s="0" t="s">
        <v>138</v>
      </c>
      <c r="V1822" s="14" t="s">
        <v>138</v>
      </c>
      <c r="W1822" s="0" t="s">
        <v>138</v>
      </c>
      <c r="X1822" s="14" t="s">
        <v>138</v>
      </c>
      <c r="Y1822" s="0" t="s">
        <v>138</v>
      </c>
      <c r="Z1822" s="14" t="s">
        <v>138</v>
      </c>
      <c r="AA1822" s="0" t="s">
        <v>138</v>
      </c>
      <c r="AB1822" s="14" t="s">
        <v>138</v>
      </c>
      <c r="AD1822" s="0" t="s">
        <v>138</v>
      </c>
      <c r="AF1822" s="0">
        <v>0</v>
      </c>
      <c r="AG1822" s="0">
        <v>0</v>
      </c>
      <c r="AH1822" s="0" t="s">
        <v>140</v>
      </c>
      <c r="AI1822" s="0" t="s">
        <v>138</v>
      </c>
      <c r="AL1822" s="14"/>
      <c r="AN1822" s="14"/>
      <c r="AQ1822" s="0" t="s">
        <v>130</v>
      </c>
      <c r="AR1822" s="0" t="s">
        <v>130</v>
      </c>
      <c r="AS1822" s="0" t="s">
        <v>130</v>
      </c>
      <c r="AT1822" s="0" t="s">
        <v>130</v>
      </c>
      <c r="AU1822" s="0" t="s">
        <v>130</v>
      </c>
      <c r="AV1822" s="0" t="s">
        <v>130</v>
      </c>
      <c r="AW1822" s="0" t="s">
        <v>130</v>
      </c>
      <c r="AX1822" s="0" t="s">
        <v>130</v>
      </c>
      <c r="AY1822" s="0" t="s">
        <v>130</v>
      </c>
      <c r="AZ1822" s="0" t="s">
        <v>141</v>
      </c>
      <c r="BA1822" s="0" t="s">
        <v>141</v>
      </c>
      <c r="BB1822" s="0" t="s">
        <v>130</v>
      </c>
      <c r="BC1822" s="0" t="s">
        <v>130</v>
      </c>
      <c r="BD1822" s="0" t="s">
        <v>130</v>
      </c>
      <c r="BE1822" s="0" t="s">
        <v>130</v>
      </c>
      <c r="BF1822" s="0" t="s">
        <v>141</v>
      </c>
      <c r="BG1822" s="0" t="s">
        <v>130</v>
      </c>
      <c r="BH1822" s="0" t="s">
        <v>130</v>
      </c>
      <c r="BI1822" s="0" t="s">
        <v>130</v>
      </c>
      <c r="BJ1822" s="0" t="s">
        <v>130</v>
      </c>
      <c r="BK1822" s="0" t="s">
        <v>130</v>
      </c>
      <c r="BL1822" s="0" t="s">
        <v>130</v>
      </c>
      <c r="BM1822" s="0" t="s">
        <v>130</v>
      </c>
      <c r="BN1822" s="0" t="s">
        <v>130</v>
      </c>
      <c r="BO1822" s="0" t="s">
        <v>130</v>
      </c>
      <c r="BP1822" s="0" t="s">
        <v>130</v>
      </c>
      <c r="BQ1822" s="0" t="s">
        <v>130</v>
      </c>
      <c r="BR1822" s="0" t="s">
        <v>130</v>
      </c>
      <c r="BS1822" s="0" t="s">
        <v>130</v>
      </c>
      <c r="BT1822" s="0" t="s">
        <v>130</v>
      </c>
      <c r="BU1822" s="0" t="s">
        <v>130</v>
      </c>
      <c r="BV1822" s="0" t="s">
        <v>130</v>
      </c>
      <c r="BW1822" s="0" t="s">
        <v>130</v>
      </c>
      <c r="BX1822" s="0" t="s">
        <v>130</v>
      </c>
      <c r="BY1822" s="0" t="s">
        <v>130</v>
      </c>
      <c r="BZ1822" s="0" t="s">
        <v>130</v>
      </c>
      <c r="CA1822" s="0" t="s">
        <v>130</v>
      </c>
      <c r="CB1822" s="0" t="s">
        <v>130</v>
      </c>
      <c r="CC1822" s="0" t="s">
        <v>130</v>
      </c>
      <c r="CD1822" s="0" t="s">
        <v>130</v>
      </c>
      <c r="CE1822" s="0" t="s">
        <v>130</v>
      </c>
      <c r="CF1822" s="0" t="s">
        <v>130</v>
      </c>
      <c r="CG1822" s="0" t="s">
        <v>130</v>
      </c>
      <c r="CH1822" s="0" t="s">
        <v>130</v>
      </c>
      <c r="CI1822" s="0" t="s">
        <v>130</v>
      </c>
      <c r="CJ1822" s="0" t="s">
        <v>130</v>
      </c>
      <c r="CK1822" s="0" t="s">
        <v>130</v>
      </c>
      <c r="CL1822" s="0" t="s">
        <v>130</v>
      </c>
      <c r="CM1822" s="0" t="s">
        <v>130</v>
      </c>
      <c r="CN1822" s="0" t="s">
        <v>130</v>
      </c>
      <c r="CO1822" s="0" t="s">
        <v>130</v>
      </c>
      <c r="CP1822" s="0" t="s">
        <v>130</v>
      </c>
      <c r="CQ1822" s="0" t="s">
        <v>130</v>
      </c>
      <c r="CR1822" s="0" t="s">
        <v>130</v>
      </c>
      <c r="CS1822" s="0" t="s">
        <v>130</v>
      </c>
      <c r="CT1822" s="0" t="s">
        <v>5177</v>
      </c>
    </row>
    <row r="1823">
      <c r="A1823" s="14">
        <v>1750153</v>
      </c>
      <c r="B1823" s="0" t="s">
        <v>3705</v>
      </c>
      <c r="C1823" s="16">
        <f>HYPERLINK("https://eosportal.federatedhermes.com/companies/Q29tcGFueQppNzc5MjU=", "Mastercard Inc")</f>
      </c>
      <c r="D1823" s="0" t="s">
        <v>25</v>
      </c>
      <c r="E1823" s="0" t="s">
        <v>5178</v>
      </c>
      <c r="F1823" s="16">
        <f>HYPERLINK("https://eosportal.federatedhermes.com/engagements/RW5nYWdlbWVudAppMzA4NDQ=", "Gender pay gap reporting")</f>
      </c>
      <c r="G1823" s="14" t="s">
        <v>5179</v>
      </c>
      <c r="H1823" s="0" t="s">
        <v>141</v>
      </c>
      <c r="I1823" s="14" t="s">
        <v>131</v>
      </c>
      <c r="J1823" s="0" t="s">
        <v>153</v>
      </c>
      <c r="K1823" s="0" t="s">
        <v>154</v>
      </c>
      <c r="L1823" s="0" t="s">
        <v>268</v>
      </c>
      <c r="M1823" s="0" t="s">
        <v>135</v>
      </c>
      <c r="N1823" s="0" t="s">
        <v>136</v>
      </c>
      <c r="O1823" s="0" t="s">
        <v>137</v>
      </c>
      <c r="Q1823" s="0" t="s">
        <v>130</v>
      </c>
      <c r="R1823" s="0" t="s">
        <v>138</v>
      </c>
      <c r="S1823" s="14">
        <v>0</v>
      </c>
      <c r="T1823" s="0" t="s">
        <v>166</v>
      </c>
      <c r="U1823" s="0" t="s">
        <v>138</v>
      </c>
      <c r="V1823" s="14" t="s">
        <v>138</v>
      </c>
      <c r="W1823" s="0" t="s">
        <v>138</v>
      </c>
      <c r="X1823" s="14" t="s">
        <v>138</v>
      </c>
      <c r="Y1823" s="0" t="s">
        <v>138</v>
      </c>
      <c r="Z1823" s="14" t="s">
        <v>138</v>
      </c>
      <c r="AA1823" s="0" t="s">
        <v>138</v>
      </c>
      <c r="AB1823" s="14" t="s">
        <v>138</v>
      </c>
      <c r="AD1823" s="0" t="s">
        <v>138</v>
      </c>
      <c r="AF1823" s="0">
        <v>0</v>
      </c>
      <c r="AG1823" s="0">
        <v>0</v>
      </c>
      <c r="AH1823" s="0" t="s">
        <v>140</v>
      </c>
      <c r="AI1823" s="0" t="s">
        <v>138</v>
      </c>
      <c r="AL1823" s="14"/>
      <c r="AN1823" s="14"/>
      <c r="AQ1823" s="0" t="s">
        <v>130</v>
      </c>
      <c r="AR1823" s="0" t="s">
        <v>130</v>
      </c>
      <c r="AS1823" s="0" t="s">
        <v>130</v>
      </c>
      <c r="AT1823" s="0" t="s">
        <v>130</v>
      </c>
      <c r="AU1823" s="0" t="s">
        <v>130</v>
      </c>
      <c r="AV1823" s="0" t="s">
        <v>130</v>
      </c>
      <c r="AW1823" s="0" t="s">
        <v>130</v>
      </c>
      <c r="AX1823" s="0" t="s">
        <v>141</v>
      </c>
      <c r="AY1823" s="0" t="s">
        <v>130</v>
      </c>
      <c r="AZ1823" s="0" t="s">
        <v>130</v>
      </c>
      <c r="BA1823" s="0" t="s">
        <v>130</v>
      </c>
      <c r="BB1823" s="0" t="s">
        <v>130</v>
      </c>
      <c r="BC1823" s="0" t="s">
        <v>130</v>
      </c>
      <c r="BD1823" s="0" t="s">
        <v>130</v>
      </c>
      <c r="BE1823" s="0" t="s">
        <v>130</v>
      </c>
      <c r="BF1823" s="0" t="s">
        <v>130</v>
      </c>
      <c r="BG1823" s="0" t="s">
        <v>130</v>
      </c>
      <c r="BH1823" s="0" t="s">
        <v>130</v>
      </c>
      <c r="BI1823" s="0" t="s">
        <v>130</v>
      </c>
      <c r="BJ1823" s="0" t="s">
        <v>130</v>
      </c>
      <c r="BK1823" s="0" t="s">
        <v>130</v>
      </c>
      <c r="BL1823" s="0" t="s">
        <v>130</v>
      </c>
      <c r="BM1823" s="0" t="s">
        <v>130</v>
      </c>
      <c r="BN1823" s="0" t="s">
        <v>130</v>
      </c>
      <c r="BO1823" s="0" t="s">
        <v>130</v>
      </c>
      <c r="BP1823" s="0" t="s">
        <v>130</v>
      </c>
      <c r="BQ1823" s="0" t="s">
        <v>130</v>
      </c>
      <c r="BR1823" s="0" t="s">
        <v>130</v>
      </c>
      <c r="BS1823" s="0" t="s">
        <v>130</v>
      </c>
      <c r="BT1823" s="0" t="s">
        <v>130</v>
      </c>
      <c r="BU1823" s="0" t="s">
        <v>130</v>
      </c>
      <c r="BV1823" s="0" t="s">
        <v>130</v>
      </c>
      <c r="BW1823" s="0" t="s">
        <v>130</v>
      </c>
      <c r="BX1823" s="0" t="s">
        <v>130</v>
      </c>
      <c r="BY1823" s="0" t="s">
        <v>130</v>
      </c>
      <c r="BZ1823" s="0" t="s">
        <v>130</v>
      </c>
      <c r="CA1823" s="0" t="s">
        <v>130</v>
      </c>
      <c r="CB1823" s="0" t="s">
        <v>130</v>
      </c>
      <c r="CC1823" s="0" t="s">
        <v>130</v>
      </c>
      <c r="CD1823" s="0" t="s">
        <v>130</v>
      </c>
      <c r="CE1823" s="0" t="s">
        <v>130</v>
      </c>
      <c r="CF1823" s="0" t="s">
        <v>130</v>
      </c>
      <c r="CG1823" s="0" t="s">
        <v>130</v>
      </c>
      <c r="CH1823" s="0" t="s">
        <v>130</v>
      </c>
      <c r="CI1823" s="0" t="s">
        <v>130</v>
      </c>
      <c r="CJ1823" s="0" t="s">
        <v>130</v>
      </c>
      <c r="CK1823" s="0" t="s">
        <v>141</v>
      </c>
      <c r="CL1823" s="0" t="s">
        <v>130</v>
      </c>
      <c r="CM1823" s="0" t="s">
        <v>130</v>
      </c>
      <c r="CN1823" s="0" t="s">
        <v>130</v>
      </c>
      <c r="CO1823" s="0" t="s">
        <v>130</v>
      </c>
      <c r="CP1823" s="0" t="s">
        <v>130</v>
      </c>
      <c r="CQ1823" s="0" t="s">
        <v>130</v>
      </c>
      <c r="CR1823" s="0" t="s">
        <v>130</v>
      </c>
      <c r="CS1823" s="0" t="s">
        <v>130</v>
      </c>
      <c r="CT1823" s="0" t="s">
        <v>5180</v>
      </c>
    </row>
    <row r="1824">
      <c r="A1824" s="14">
        <v>186941</v>
      </c>
      <c r="B1824" s="0" t="s">
        <v>3270</v>
      </c>
      <c r="C1824" s="16">
        <f>HYPERLINK("https://eosportal.federatedhermes.com/companies/Q29tcGFueQppNzc5MzA=", "China Construction Bank Corp")</f>
      </c>
      <c r="D1824" s="0" t="s">
        <v>25</v>
      </c>
      <c r="E1824" s="0" t="s">
        <v>5181</v>
      </c>
      <c r="F1824" s="16">
        <f>HYPERLINK("https://eosportal.federatedhermes.com/engagements/RW5nYWdlbWVudAppMzA4NDY=", "Uyghur forced labour concerns")</f>
      </c>
      <c r="G1824" s="14" t="s">
        <v>5182</v>
      </c>
      <c r="H1824" s="0" t="s">
        <v>141</v>
      </c>
      <c r="I1824" s="14" t="s">
        <v>131</v>
      </c>
      <c r="J1824" s="0" t="s">
        <v>153</v>
      </c>
      <c r="K1824" s="0" t="s">
        <v>243</v>
      </c>
      <c r="L1824" s="0" t="s">
        <v>456</v>
      </c>
      <c r="M1824" s="0" t="s">
        <v>2807</v>
      </c>
      <c r="N1824" s="0" t="s">
        <v>3272</v>
      </c>
      <c r="O1824" s="0" t="s">
        <v>238</v>
      </c>
      <c r="Q1824" s="0" t="s">
        <v>130</v>
      </c>
      <c r="R1824" s="0" t="s">
        <v>138</v>
      </c>
      <c r="S1824" s="14">
        <v>0</v>
      </c>
      <c r="T1824" s="0" t="s">
        <v>583</v>
      </c>
      <c r="U1824" s="0" t="s">
        <v>138</v>
      </c>
      <c r="V1824" s="14" t="s">
        <v>138</v>
      </c>
      <c r="W1824" s="0" t="s">
        <v>138</v>
      </c>
      <c r="X1824" s="14" t="s">
        <v>138</v>
      </c>
      <c r="Y1824" s="0" t="s">
        <v>138</v>
      </c>
      <c r="Z1824" s="14" t="s">
        <v>138</v>
      </c>
      <c r="AA1824" s="0" t="s">
        <v>138</v>
      </c>
      <c r="AB1824" s="14" t="s">
        <v>138</v>
      </c>
      <c r="AD1824" s="0" t="s">
        <v>138</v>
      </c>
      <c r="AF1824" s="0">
        <v>0</v>
      </c>
      <c r="AG1824" s="0">
        <v>0</v>
      </c>
      <c r="AH1824" s="0" t="s">
        <v>140</v>
      </c>
      <c r="AI1824" s="0" t="s">
        <v>138</v>
      </c>
      <c r="AL1824" s="14"/>
      <c r="AN1824" s="14"/>
      <c r="AQ1824" s="0" t="s">
        <v>130</v>
      </c>
      <c r="AR1824" s="0" t="s">
        <v>130</v>
      </c>
      <c r="AS1824" s="0" t="s">
        <v>130</v>
      </c>
      <c r="AT1824" s="0" t="s">
        <v>130</v>
      </c>
      <c r="AU1824" s="0" t="s">
        <v>130</v>
      </c>
      <c r="AV1824" s="0" t="s">
        <v>130</v>
      </c>
      <c r="AW1824" s="0" t="s">
        <v>130</v>
      </c>
      <c r="AX1824" s="0" t="s">
        <v>141</v>
      </c>
      <c r="AY1824" s="0" t="s">
        <v>130</v>
      </c>
      <c r="AZ1824" s="0" t="s">
        <v>130</v>
      </c>
      <c r="BA1824" s="0" t="s">
        <v>130</v>
      </c>
      <c r="BB1824" s="0" t="s">
        <v>130</v>
      </c>
      <c r="BC1824" s="0" t="s">
        <v>130</v>
      </c>
      <c r="BD1824" s="0" t="s">
        <v>130</v>
      </c>
      <c r="BE1824" s="0" t="s">
        <v>130</v>
      </c>
      <c r="BF1824" s="0" t="s">
        <v>141</v>
      </c>
      <c r="BG1824" s="0" t="s">
        <v>130</v>
      </c>
      <c r="BH1824" s="0" t="s">
        <v>130</v>
      </c>
      <c r="BI1824" s="0" t="s">
        <v>130</v>
      </c>
      <c r="BJ1824" s="0" t="s">
        <v>130</v>
      </c>
      <c r="BK1824" s="0" t="s">
        <v>130</v>
      </c>
      <c r="BL1824" s="0" t="s">
        <v>130</v>
      </c>
      <c r="BM1824" s="0" t="s">
        <v>130</v>
      </c>
      <c r="BN1824" s="0" t="s">
        <v>130</v>
      </c>
      <c r="BO1824" s="0" t="s">
        <v>130</v>
      </c>
      <c r="BP1824" s="0" t="s">
        <v>130</v>
      </c>
      <c r="BQ1824" s="0" t="s">
        <v>130</v>
      </c>
      <c r="BR1824" s="0" t="s">
        <v>130</v>
      </c>
      <c r="BS1824" s="0" t="s">
        <v>130</v>
      </c>
      <c r="BT1824" s="0" t="s">
        <v>130</v>
      </c>
      <c r="BU1824" s="0" t="s">
        <v>130</v>
      </c>
      <c r="BV1824" s="0" t="s">
        <v>130</v>
      </c>
      <c r="BW1824" s="0" t="s">
        <v>130</v>
      </c>
      <c r="BX1824" s="0" t="s">
        <v>130</v>
      </c>
      <c r="BY1824" s="0" t="s">
        <v>130</v>
      </c>
      <c r="BZ1824" s="0" t="s">
        <v>130</v>
      </c>
      <c r="CA1824" s="0" t="s">
        <v>130</v>
      </c>
      <c r="CB1824" s="0" t="s">
        <v>130</v>
      </c>
      <c r="CC1824" s="0" t="s">
        <v>130</v>
      </c>
      <c r="CD1824" s="0" t="s">
        <v>130</v>
      </c>
      <c r="CE1824" s="0" t="s">
        <v>130</v>
      </c>
      <c r="CF1824" s="0" t="s">
        <v>130</v>
      </c>
      <c r="CG1824" s="0" t="s">
        <v>130</v>
      </c>
      <c r="CH1824" s="0" t="s">
        <v>130</v>
      </c>
      <c r="CI1824" s="0" t="s">
        <v>130</v>
      </c>
      <c r="CJ1824" s="0" t="s">
        <v>130</v>
      </c>
      <c r="CK1824" s="0" t="s">
        <v>130</v>
      </c>
      <c r="CL1824" s="0" t="s">
        <v>130</v>
      </c>
      <c r="CM1824" s="0" t="s">
        <v>130</v>
      </c>
      <c r="CN1824" s="0" t="s">
        <v>130</v>
      </c>
      <c r="CO1824" s="0" t="s">
        <v>130</v>
      </c>
      <c r="CP1824" s="0" t="s">
        <v>130</v>
      </c>
      <c r="CQ1824" s="0" t="s">
        <v>130</v>
      </c>
      <c r="CR1824" s="0" t="s">
        <v>130</v>
      </c>
      <c r="CS1824" s="0" t="s">
        <v>130</v>
      </c>
      <c r="CT1824" s="0" t="s">
        <v>5183</v>
      </c>
    </row>
    <row r="1825">
      <c r="A1825" s="14">
        <v>111435</v>
      </c>
      <c r="B1825" s="0" t="s">
        <v>406</v>
      </c>
      <c r="C1825" s="16">
        <f>HYPERLINK("https://eosportal.federatedhermes.com/companies/Q29tcGFueQppNzgyNjk=", "CRH PLC")</f>
      </c>
      <c r="D1825" s="0" t="s">
        <v>25</v>
      </c>
      <c r="E1825" s="0" t="s">
        <v>5184</v>
      </c>
      <c r="F1825" s="16">
        <f>HYPERLINK("https://eosportal.federatedhermes.com/engagements/RW5nYWdlbWVudAppMzA4NTE=", "Cost of living crisis")</f>
      </c>
      <c r="G1825" s="14" t="s">
        <v>5185</v>
      </c>
      <c r="H1825" s="0" t="s">
        <v>141</v>
      </c>
      <c r="I1825" s="14" t="s">
        <v>191</v>
      </c>
      <c r="J1825" s="0" t="s">
        <v>153</v>
      </c>
      <c r="K1825" s="0" t="s">
        <v>154</v>
      </c>
      <c r="L1825" s="0" t="s">
        <v>306</v>
      </c>
      <c r="M1825" s="0" t="s">
        <v>378</v>
      </c>
      <c r="N1825" s="0" t="s">
        <v>409</v>
      </c>
      <c r="O1825" s="0" t="s">
        <v>373</v>
      </c>
      <c r="Q1825" s="0" t="s">
        <v>130</v>
      </c>
      <c r="R1825" s="0" t="s">
        <v>138</v>
      </c>
      <c r="S1825" s="14">
        <v>0</v>
      </c>
      <c r="T1825" s="0" t="s">
        <v>597</v>
      </c>
      <c r="U1825" s="0" t="s">
        <v>138</v>
      </c>
      <c r="V1825" s="14" t="s">
        <v>138</v>
      </c>
      <c r="W1825" s="0" t="s">
        <v>138</v>
      </c>
      <c r="X1825" s="14" t="s">
        <v>138</v>
      </c>
      <c r="Y1825" s="0" t="s">
        <v>138</v>
      </c>
      <c r="Z1825" s="14" t="s">
        <v>138</v>
      </c>
      <c r="AA1825" s="0" t="s">
        <v>138</v>
      </c>
      <c r="AB1825" s="14" t="s">
        <v>138</v>
      </c>
      <c r="AD1825" s="0" t="s">
        <v>138</v>
      </c>
      <c r="AF1825" s="0">
        <v>0</v>
      </c>
      <c r="AG1825" s="0">
        <v>0</v>
      </c>
      <c r="AH1825" s="0" t="s">
        <v>140</v>
      </c>
      <c r="AI1825" s="0" t="s">
        <v>138</v>
      </c>
      <c r="AL1825" s="14"/>
      <c r="AN1825" s="14"/>
      <c r="AQ1825" s="0" t="s">
        <v>141</v>
      </c>
      <c r="AR1825" s="0" t="s">
        <v>130</v>
      </c>
      <c r="AS1825" s="0" t="s">
        <v>130</v>
      </c>
      <c r="AT1825" s="0" t="s">
        <v>130</v>
      </c>
      <c r="AU1825" s="0" t="s">
        <v>130</v>
      </c>
      <c r="AV1825" s="0" t="s">
        <v>130</v>
      </c>
      <c r="AW1825" s="0" t="s">
        <v>130</v>
      </c>
      <c r="AX1825" s="0" t="s">
        <v>141</v>
      </c>
      <c r="AY1825" s="0" t="s">
        <v>130</v>
      </c>
      <c r="AZ1825" s="0" t="s">
        <v>141</v>
      </c>
      <c r="BA1825" s="0" t="s">
        <v>130</v>
      </c>
      <c r="BB1825" s="0" t="s">
        <v>130</v>
      </c>
      <c r="BC1825" s="0" t="s">
        <v>130</v>
      </c>
      <c r="BD1825" s="0" t="s">
        <v>130</v>
      </c>
      <c r="BE1825" s="0" t="s">
        <v>130</v>
      </c>
      <c r="BF1825" s="0" t="s">
        <v>130</v>
      </c>
      <c r="BG1825" s="0" t="s">
        <v>130</v>
      </c>
      <c r="BH1825" s="0" t="s">
        <v>130</v>
      </c>
      <c r="BI1825" s="0" t="s">
        <v>130</v>
      </c>
      <c r="BJ1825" s="0" t="s">
        <v>130</v>
      </c>
      <c r="BK1825" s="0" t="s">
        <v>130</v>
      </c>
      <c r="BL1825" s="0" t="s">
        <v>130</v>
      </c>
      <c r="BM1825" s="0" t="s">
        <v>130</v>
      </c>
      <c r="BN1825" s="0" t="s">
        <v>130</v>
      </c>
      <c r="BO1825" s="0" t="s">
        <v>130</v>
      </c>
      <c r="BP1825" s="0" t="s">
        <v>130</v>
      </c>
      <c r="BQ1825" s="0" t="s">
        <v>130</v>
      </c>
      <c r="BR1825" s="0" t="s">
        <v>130</v>
      </c>
      <c r="BS1825" s="0" t="s">
        <v>130</v>
      </c>
      <c r="BT1825" s="0" t="s">
        <v>130</v>
      </c>
      <c r="BU1825" s="0" t="s">
        <v>130</v>
      </c>
      <c r="BV1825" s="0" t="s">
        <v>130</v>
      </c>
      <c r="BW1825" s="0" t="s">
        <v>130</v>
      </c>
      <c r="BX1825" s="0" t="s">
        <v>130</v>
      </c>
      <c r="BY1825" s="0" t="s">
        <v>130</v>
      </c>
      <c r="BZ1825" s="0" t="s">
        <v>130</v>
      </c>
      <c r="CA1825" s="0" t="s">
        <v>130</v>
      </c>
      <c r="CB1825" s="0" t="s">
        <v>130</v>
      </c>
      <c r="CC1825" s="0" t="s">
        <v>130</v>
      </c>
      <c r="CD1825" s="0" t="s">
        <v>130</v>
      </c>
      <c r="CE1825" s="0" t="s">
        <v>130</v>
      </c>
      <c r="CF1825" s="0" t="s">
        <v>130</v>
      </c>
      <c r="CG1825" s="0" t="s">
        <v>130</v>
      </c>
      <c r="CH1825" s="0" t="s">
        <v>130</v>
      </c>
      <c r="CI1825" s="0" t="s">
        <v>130</v>
      </c>
      <c r="CJ1825" s="0" t="s">
        <v>130</v>
      </c>
      <c r="CK1825" s="0" t="s">
        <v>130</v>
      </c>
      <c r="CL1825" s="0" t="s">
        <v>130</v>
      </c>
      <c r="CM1825" s="0" t="s">
        <v>130</v>
      </c>
      <c r="CN1825" s="0" t="s">
        <v>130</v>
      </c>
      <c r="CO1825" s="0" t="s">
        <v>130</v>
      </c>
      <c r="CP1825" s="0" t="s">
        <v>130</v>
      </c>
      <c r="CQ1825" s="0" t="s">
        <v>130</v>
      </c>
      <c r="CR1825" s="0" t="s">
        <v>130</v>
      </c>
      <c r="CS1825" s="0" t="s">
        <v>130</v>
      </c>
      <c r="CT1825" s="0" t="s">
        <v>5186</v>
      </c>
    </row>
    <row r="1826">
      <c r="A1826" s="14">
        <v>48298702</v>
      </c>
      <c r="B1826" s="0" t="s">
        <v>5187</v>
      </c>
      <c r="C1826" s="16">
        <f>HYPERLINK("https://eosportal.federatedhermes.com/companies/Q29tcGFueQppODExMTM=", "Crowdstrike Holdings Inc")</f>
      </c>
      <c r="D1826" s="0" t="s">
        <v>25</v>
      </c>
      <c r="E1826" s="0" t="s">
        <v>1044</v>
      </c>
      <c r="F1826" s="16">
        <f>HYPERLINK("https://eosportal.federatedhermes.com/engagements/RW5nYWdlbWVudAppMzA4NzA=", "Classified board")</f>
      </c>
      <c r="G1826" s="14" t="s">
        <v>5188</v>
      </c>
      <c r="H1826" s="0" t="s">
        <v>141</v>
      </c>
      <c r="I1826" s="14" t="s">
        <v>131</v>
      </c>
      <c r="J1826" s="0" t="s">
        <v>145</v>
      </c>
      <c r="K1826" s="0" t="s">
        <v>400</v>
      </c>
      <c r="L1826" s="0" t="s">
        <v>507</v>
      </c>
      <c r="M1826" s="0" t="s">
        <v>135</v>
      </c>
      <c r="N1826" s="0" t="s">
        <v>136</v>
      </c>
      <c r="O1826" s="0" t="s">
        <v>137</v>
      </c>
      <c r="Q1826" s="0" t="s">
        <v>141</v>
      </c>
      <c r="R1826" s="0" t="s">
        <v>138</v>
      </c>
      <c r="S1826" s="14">
        <v>1</v>
      </c>
      <c r="T1826" s="0" t="s">
        <v>231</v>
      </c>
      <c r="U1826" s="0" t="s">
        <v>138</v>
      </c>
      <c r="V1826" s="14" t="s">
        <v>138</v>
      </c>
      <c r="W1826" s="0" t="s">
        <v>138</v>
      </c>
      <c r="X1826" s="14" t="s">
        <v>138</v>
      </c>
      <c r="Y1826" s="0" t="s">
        <v>138</v>
      </c>
      <c r="Z1826" s="14" t="s">
        <v>138</v>
      </c>
      <c r="AA1826" s="0" t="s">
        <v>138</v>
      </c>
      <c r="AB1826" s="14" t="s">
        <v>138</v>
      </c>
      <c r="AD1826" s="0" t="s">
        <v>138</v>
      </c>
      <c r="AF1826" s="0">
        <v>0</v>
      </c>
      <c r="AG1826" s="0">
        <v>0</v>
      </c>
      <c r="AH1826" s="0" t="s">
        <v>140</v>
      </c>
      <c r="AI1826" s="0" t="s">
        <v>138</v>
      </c>
      <c r="AK1826" s="0" t="s">
        <v>2529</v>
      </c>
      <c r="AL1826" s="14"/>
      <c r="AN1826" s="14"/>
      <c r="AQ1826" s="0" t="s">
        <v>130</v>
      </c>
      <c r="AR1826" s="0" t="s">
        <v>130</v>
      </c>
      <c r="AS1826" s="0" t="s">
        <v>130</v>
      </c>
      <c r="AT1826" s="0" t="s">
        <v>130</v>
      </c>
      <c r="AU1826" s="0" t="s">
        <v>130</v>
      </c>
      <c r="AV1826" s="0" t="s">
        <v>130</v>
      </c>
      <c r="AW1826" s="0" t="s">
        <v>130</v>
      </c>
      <c r="AX1826" s="0" t="s">
        <v>130</v>
      </c>
      <c r="AY1826" s="0" t="s">
        <v>130</v>
      </c>
      <c r="AZ1826" s="0" t="s">
        <v>130</v>
      </c>
      <c r="BA1826" s="0" t="s">
        <v>130</v>
      </c>
      <c r="BB1826" s="0" t="s">
        <v>130</v>
      </c>
      <c r="BC1826" s="0" t="s">
        <v>130</v>
      </c>
      <c r="BD1826" s="0" t="s">
        <v>130</v>
      </c>
      <c r="BE1826" s="0" t="s">
        <v>130</v>
      </c>
      <c r="BF1826" s="0" t="s">
        <v>130</v>
      </c>
      <c r="BG1826" s="0" t="s">
        <v>130</v>
      </c>
      <c r="BH1826" s="0" t="s">
        <v>130</v>
      </c>
      <c r="BI1826" s="0" t="s">
        <v>130</v>
      </c>
      <c r="BJ1826" s="0" t="s">
        <v>130</v>
      </c>
      <c r="BK1826" s="0" t="s">
        <v>130</v>
      </c>
      <c r="BL1826" s="0" t="s">
        <v>130</v>
      </c>
      <c r="BM1826" s="0" t="s">
        <v>130</v>
      </c>
      <c r="BN1826" s="0" t="s">
        <v>130</v>
      </c>
      <c r="BO1826" s="0" t="s">
        <v>130</v>
      </c>
      <c r="BP1826" s="0" t="s">
        <v>130</v>
      </c>
      <c r="BQ1826" s="0" t="s">
        <v>130</v>
      </c>
      <c r="BR1826" s="0" t="s">
        <v>130</v>
      </c>
      <c r="BS1826" s="0" t="s">
        <v>130</v>
      </c>
      <c r="BT1826" s="0" t="s">
        <v>130</v>
      </c>
      <c r="BU1826" s="0" t="s">
        <v>130</v>
      </c>
      <c r="BV1826" s="0" t="s">
        <v>130</v>
      </c>
      <c r="BW1826" s="0" t="s">
        <v>130</v>
      </c>
      <c r="BX1826" s="0" t="s">
        <v>130</v>
      </c>
      <c r="BY1826" s="0" t="s">
        <v>130</v>
      </c>
      <c r="BZ1826" s="0" t="s">
        <v>130</v>
      </c>
      <c r="CA1826" s="0" t="s">
        <v>130</v>
      </c>
      <c r="CB1826" s="0" t="s">
        <v>130</v>
      </c>
      <c r="CC1826" s="0" t="s">
        <v>130</v>
      </c>
      <c r="CD1826" s="0" t="s">
        <v>130</v>
      </c>
      <c r="CE1826" s="0" t="s">
        <v>130</v>
      </c>
      <c r="CF1826" s="0" t="s">
        <v>130</v>
      </c>
      <c r="CG1826" s="0" t="s">
        <v>130</v>
      </c>
      <c r="CH1826" s="0" t="s">
        <v>130</v>
      </c>
      <c r="CI1826" s="0" t="s">
        <v>130</v>
      </c>
      <c r="CJ1826" s="0" t="s">
        <v>130</v>
      </c>
      <c r="CK1826" s="0" t="s">
        <v>130</v>
      </c>
      <c r="CL1826" s="0" t="s">
        <v>130</v>
      </c>
      <c r="CM1826" s="0" t="s">
        <v>130</v>
      </c>
      <c r="CN1826" s="0" t="s">
        <v>130</v>
      </c>
      <c r="CO1826" s="0" t="s">
        <v>130</v>
      </c>
      <c r="CP1826" s="0" t="s">
        <v>130</v>
      </c>
      <c r="CQ1826" s="0" t="s">
        <v>130</v>
      </c>
      <c r="CR1826" s="0" t="s">
        <v>130</v>
      </c>
      <c r="CS1826" s="0" t="s">
        <v>130</v>
      </c>
      <c r="CT1826" s="0" t="s">
        <v>5189</v>
      </c>
    </row>
    <row r="1827">
      <c r="A1827" s="14">
        <v>110631</v>
      </c>
      <c r="B1827" s="0" t="s">
        <v>2283</v>
      </c>
      <c r="C1827" s="16">
        <f>HYPERLINK("https://eosportal.federatedhermes.com/companies/Q29tcGFueQppODExMjM=", "Suncor Energy Inc")</f>
      </c>
      <c r="D1827" s="0" t="s">
        <v>25</v>
      </c>
      <c r="E1827" s="0" t="s">
        <v>5010</v>
      </c>
      <c r="F1827" s="16">
        <f>HYPERLINK("https://eosportal.federatedhermes.com/engagements/RW5nYWdlbWVudAppMzA4NzI=", "Russia-Ukraine Conflict")</f>
      </c>
      <c r="G1827" s="14" t="s">
        <v>5011</v>
      </c>
      <c r="H1827" s="0" t="s">
        <v>141</v>
      </c>
      <c r="I1827" s="14" t="s">
        <v>636</v>
      </c>
      <c r="J1827" s="0" t="s">
        <v>153</v>
      </c>
      <c r="K1827" s="0" t="s">
        <v>243</v>
      </c>
      <c r="L1827" s="0" t="s">
        <v>456</v>
      </c>
      <c r="M1827" s="0" t="s">
        <v>135</v>
      </c>
      <c r="N1827" s="0" t="s">
        <v>1678</v>
      </c>
      <c r="O1827" s="0" t="s">
        <v>542</v>
      </c>
      <c r="Q1827" s="0" t="s">
        <v>130</v>
      </c>
      <c r="R1827" s="0" t="s">
        <v>138</v>
      </c>
      <c r="S1827" s="14">
        <v>0</v>
      </c>
      <c r="T1827" s="0" t="s">
        <v>583</v>
      </c>
      <c r="U1827" s="0" t="s">
        <v>138</v>
      </c>
      <c r="V1827" s="14" t="s">
        <v>138</v>
      </c>
      <c r="W1827" s="0" t="s">
        <v>138</v>
      </c>
      <c r="X1827" s="14" t="s">
        <v>138</v>
      </c>
      <c r="Y1827" s="0" t="s">
        <v>138</v>
      </c>
      <c r="Z1827" s="14" t="s">
        <v>138</v>
      </c>
      <c r="AA1827" s="0" t="s">
        <v>138</v>
      </c>
      <c r="AB1827" s="14" t="s">
        <v>138</v>
      </c>
      <c r="AD1827" s="0" t="s">
        <v>138</v>
      </c>
      <c r="AF1827" s="0">
        <v>0</v>
      </c>
      <c r="AG1827" s="0">
        <v>0</v>
      </c>
      <c r="AH1827" s="0" t="s">
        <v>140</v>
      </c>
      <c r="AI1827" s="0" t="s">
        <v>138</v>
      </c>
      <c r="AL1827" s="14"/>
      <c r="AN1827" s="14"/>
      <c r="AQ1827" s="0" t="s">
        <v>130</v>
      </c>
      <c r="AR1827" s="0" t="s">
        <v>130</v>
      </c>
      <c r="AS1827" s="0" t="s">
        <v>130</v>
      </c>
      <c r="AT1827" s="0" t="s">
        <v>130</v>
      </c>
      <c r="AU1827" s="0" t="s">
        <v>130</v>
      </c>
      <c r="AV1827" s="0" t="s">
        <v>130</v>
      </c>
      <c r="AW1827" s="0" t="s">
        <v>130</v>
      </c>
      <c r="AX1827" s="0" t="s">
        <v>141</v>
      </c>
      <c r="AY1827" s="0" t="s">
        <v>130</v>
      </c>
      <c r="AZ1827" s="0" t="s">
        <v>130</v>
      </c>
      <c r="BA1827" s="0" t="s">
        <v>130</v>
      </c>
      <c r="BB1827" s="0" t="s">
        <v>130</v>
      </c>
      <c r="BC1827" s="0" t="s">
        <v>130</v>
      </c>
      <c r="BD1827" s="0" t="s">
        <v>130</v>
      </c>
      <c r="BE1827" s="0" t="s">
        <v>130</v>
      </c>
      <c r="BF1827" s="0" t="s">
        <v>141</v>
      </c>
      <c r="BG1827" s="0" t="s">
        <v>130</v>
      </c>
      <c r="BH1827" s="0" t="s">
        <v>130</v>
      </c>
      <c r="BI1827" s="0" t="s">
        <v>130</v>
      </c>
      <c r="BJ1827" s="0" t="s">
        <v>130</v>
      </c>
      <c r="BK1827" s="0" t="s">
        <v>130</v>
      </c>
      <c r="BL1827" s="0" t="s">
        <v>130</v>
      </c>
      <c r="BM1827" s="0" t="s">
        <v>130</v>
      </c>
      <c r="BN1827" s="0" t="s">
        <v>130</v>
      </c>
      <c r="BO1827" s="0" t="s">
        <v>130</v>
      </c>
      <c r="BP1827" s="0" t="s">
        <v>130</v>
      </c>
      <c r="BQ1827" s="0" t="s">
        <v>130</v>
      </c>
      <c r="BR1827" s="0" t="s">
        <v>130</v>
      </c>
      <c r="BS1827" s="0" t="s">
        <v>130</v>
      </c>
      <c r="BT1827" s="0" t="s">
        <v>130</v>
      </c>
      <c r="BU1827" s="0" t="s">
        <v>130</v>
      </c>
      <c r="BV1827" s="0" t="s">
        <v>130</v>
      </c>
      <c r="BW1827" s="0" t="s">
        <v>130</v>
      </c>
      <c r="BX1827" s="0" t="s">
        <v>130</v>
      </c>
      <c r="BY1827" s="0" t="s">
        <v>130</v>
      </c>
      <c r="BZ1827" s="0" t="s">
        <v>130</v>
      </c>
      <c r="CA1827" s="0" t="s">
        <v>130</v>
      </c>
      <c r="CB1827" s="0" t="s">
        <v>130</v>
      </c>
      <c r="CC1827" s="0" t="s">
        <v>130</v>
      </c>
      <c r="CD1827" s="0" t="s">
        <v>130</v>
      </c>
      <c r="CE1827" s="0" t="s">
        <v>130</v>
      </c>
      <c r="CF1827" s="0" t="s">
        <v>130</v>
      </c>
      <c r="CG1827" s="0" t="s">
        <v>130</v>
      </c>
      <c r="CH1827" s="0" t="s">
        <v>130</v>
      </c>
      <c r="CI1827" s="0" t="s">
        <v>130</v>
      </c>
      <c r="CJ1827" s="0" t="s">
        <v>130</v>
      </c>
      <c r="CK1827" s="0" t="s">
        <v>130</v>
      </c>
      <c r="CL1827" s="0" t="s">
        <v>130</v>
      </c>
      <c r="CM1827" s="0" t="s">
        <v>130</v>
      </c>
      <c r="CN1827" s="0" t="s">
        <v>130</v>
      </c>
      <c r="CO1827" s="0" t="s">
        <v>130</v>
      </c>
      <c r="CP1827" s="0" t="s">
        <v>130</v>
      </c>
      <c r="CQ1827" s="0" t="s">
        <v>130</v>
      </c>
      <c r="CR1827" s="0" t="s">
        <v>130</v>
      </c>
      <c r="CS1827" s="0" t="s">
        <v>130</v>
      </c>
      <c r="CT1827" s="0" t="s">
        <v>5190</v>
      </c>
    </row>
    <row r="1828">
      <c r="A1828" s="14">
        <v>9785761</v>
      </c>
      <c r="B1828" s="0" t="s">
        <v>4063</v>
      </c>
      <c r="C1828" s="16">
        <f>HYPERLINK("https://eosportal.federatedhermes.com/companies/Q29tcGFueQppODMwNTM=", "CF Industries Holdings Inc")</f>
      </c>
      <c r="D1828" s="0" t="s">
        <v>25</v>
      </c>
      <c r="E1828" s="0" t="s">
        <v>5074</v>
      </c>
      <c r="F1828" s="16">
        <f>HYPERLINK("https://eosportal.federatedhermes.com/engagements/RW5nYWdlbWVudAppMzA4Nzk=", "Russia-Ukraine conflict")</f>
      </c>
      <c r="G1828" s="14" t="s">
        <v>5075</v>
      </c>
      <c r="H1828" s="0" t="s">
        <v>130</v>
      </c>
      <c r="I1828" s="14" t="s">
        <v>131</v>
      </c>
      <c r="J1828" s="0" t="s">
        <v>153</v>
      </c>
      <c r="K1828" s="0" t="s">
        <v>243</v>
      </c>
      <c r="L1828" s="0" t="s">
        <v>456</v>
      </c>
      <c r="M1828" s="0" t="s">
        <v>135</v>
      </c>
      <c r="N1828" s="0" t="s">
        <v>136</v>
      </c>
      <c r="O1828" s="0" t="s">
        <v>706</v>
      </c>
      <c r="Q1828" s="0" t="s">
        <v>130</v>
      </c>
      <c r="R1828" s="0" t="s">
        <v>138</v>
      </c>
      <c r="S1828" s="14">
        <v>0</v>
      </c>
      <c r="T1828" s="0" t="s">
        <v>583</v>
      </c>
      <c r="U1828" s="0" t="s">
        <v>138</v>
      </c>
      <c r="V1828" s="14" t="s">
        <v>138</v>
      </c>
      <c r="W1828" s="0" t="s">
        <v>138</v>
      </c>
      <c r="X1828" s="14" t="s">
        <v>138</v>
      </c>
      <c r="Y1828" s="0" t="s">
        <v>138</v>
      </c>
      <c r="Z1828" s="14" t="s">
        <v>138</v>
      </c>
      <c r="AA1828" s="0" t="s">
        <v>138</v>
      </c>
      <c r="AB1828" s="14" t="s">
        <v>138</v>
      </c>
      <c r="AD1828" s="0" t="s">
        <v>138</v>
      </c>
      <c r="AF1828" s="0">
        <v>0</v>
      </c>
      <c r="AG1828" s="0">
        <v>0</v>
      </c>
      <c r="AH1828" s="0" t="s">
        <v>140</v>
      </c>
      <c r="AI1828" s="0" t="s">
        <v>138</v>
      </c>
      <c r="AL1828" s="14"/>
      <c r="AN1828" s="14"/>
      <c r="AQ1828" s="0" t="s">
        <v>130</v>
      </c>
      <c r="AR1828" s="0" t="s">
        <v>130</v>
      </c>
      <c r="AS1828" s="0" t="s">
        <v>130</v>
      </c>
      <c r="AT1828" s="0" t="s">
        <v>130</v>
      </c>
      <c r="AU1828" s="0" t="s">
        <v>130</v>
      </c>
      <c r="AV1828" s="0" t="s">
        <v>130</v>
      </c>
      <c r="AW1828" s="0" t="s">
        <v>130</v>
      </c>
      <c r="AX1828" s="0" t="s">
        <v>141</v>
      </c>
      <c r="AY1828" s="0" t="s">
        <v>130</v>
      </c>
      <c r="AZ1828" s="0" t="s">
        <v>130</v>
      </c>
      <c r="BA1828" s="0" t="s">
        <v>130</v>
      </c>
      <c r="BB1828" s="0" t="s">
        <v>130</v>
      </c>
      <c r="BC1828" s="0" t="s">
        <v>130</v>
      </c>
      <c r="BD1828" s="0" t="s">
        <v>130</v>
      </c>
      <c r="BE1828" s="0" t="s">
        <v>130</v>
      </c>
      <c r="BF1828" s="0" t="s">
        <v>141</v>
      </c>
      <c r="BG1828" s="0" t="s">
        <v>130</v>
      </c>
      <c r="BH1828" s="0" t="s">
        <v>130</v>
      </c>
      <c r="BI1828" s="0" t="s">
        <v>130</v>
      </c>
      <c r="BJ1828" s="0" t="s">
        <v>130</v>
      </c>
      <c r="BK1828" s="0" t="s">
        <v>130</v>
      </c>
      <c r="BL1828" s="0" t="s">
        <v>130</v>
      </c>
      <c r="BM1828" s="0" t="s">
        <v>130</v>
      </c>
      <c r="BN1828" s="0" t="s">
        <v>130</v>
      </c>
      <c r="BO1828" s="0" t="s">
        <v>130</v>
      </c>
      <c r="BP1828" s="0" t="s">
        <v>130</v>
      </c>
      <c r="BQ1828" s="0" t="s">
        <v>130</v>
      </c>
      <c r="BR1828" s="0" t="s">
        <v>130</v>
      </c>
      <c r="BS1828" s="0" t="s">
        <v>130</v>
      </c>
      <c r="BT1828" s="0" t="s">
        <v>130</v>
      </c>
      <c r="BU1828" s="0" t="s">
        <v>130</v>
      </c>
      <c r="BV1828" s="0" t="s">
        <v>130</v>
      </c>
      <c r="BW1828" s="0" t="s">
        <v>130</v>
      </c>
      <c r="BX1828" s="0" t="s">
        <v>130</v>
      </c>
      <c r="BY1828" s="0" t="s">
        <v>130</v>
      </c>
      <c r="BZ1828" s="0" t="s">
        <v>130</v>
      </c>
      <c r="CA1828" s="0" t="s">
        <v>130</v>
      </c>
      <c r="CB1828" s="0" t="s">
        <v>130</v>
      </c>
      <c r="CC1828" s="0" t="s">
        <v>130</v>
      </c>
      <c r="CD1828" s="0" t="s">
        <v>130</v>
      </c>
      <c r="CE1828" s="0" t="s">
        <v>130</v>
      </c>
      <c r="CF1828" s="0" t="s">
        <v>130</v>
      </c>
      <c r="CG1828" s="0" t="s">
        <v>130</v>
      </c>
      <c r="CH1828" s="0" t="s">
        <v>130</v>
      </c>
      <c r="CI1828" s="0" t="s">
        <v>130</v>
      </c>
      <c r="CJ1828" s="0" t="s">
        <v>130</v>
      </c>
      <c r="CK1828" s="0" t="s">
        <v>130</v>
      </c>
      <c r="CL1828" s="0" t="s">
        <v>130</v>
      </c>
      <c r="CM1828" s="0" t="s">
        <v>130</v>
      </c>
      <c r="CN1828" s="0" t="s">
        <v>130</v>
      </c>
      <c r="CO1828" s="0" t="s">
        <v>130</v>
      </c>
      <c r="CP1828" s="0" t="s">
        <v>130</v>
      </c>
      <c r="CQ1828" s="0" t="s">
        <v>130</v>
      </c>
      <c r="CR1828" s="0" t="s">
        <v>130</v>
      </c>
      <c r="CS1828" s="0" t="s">
        <v>130</v>
      </c>
      <c r="CT1828" s="0" t="s">
        <v>5191</v>
      </c>
    </row>
    <row r="1829">
      <c r="A1829" s="14">
        <v>8023686</v>
      </c>
      <c r="B1829" s="0" t="s">
        <v>3886</v>
      </c>
      <c r="C1829" s="16">
        <f>HYPERLINK("https://eosportal.federatedhermes.com/companies/Q29tcGFueQppODQwNjc=", "Mizuho Financial Group Inc")</f>
      </c>
      <c r="D1829" s="0" t="s">
        <v>25</v>
      </c>
      <c r="E1829" s="0" t="s">
        <v>5010</v>
      </c>
      <c r="F1829" s="16">
        <f>HYPERLINK("https://eosportal.federatedhermes.com/engagements/RW5nYWdlbWVudAppMzA4ODM=", "Russia-Ukraine Conflict")</f>
      </c>
      <c r="G1829" s="14" t="s">
        <v>5065</v>
      </c>
      <c r="H1829" s="0" t="s">
        <v>141</v>
      </c>
      <c r="I1829" s="14" t="s">
        <v>191</v>
      </c>
      <c r="J1829" s="0" t="s">
        <v>153</v>
      </c>
      <c r="K1829" s="0" t="s">
        <v>243</v>
      </c>
      <c r="L1829" s="0" t="s">
        <v>456</v>
      </c>
      <c r="M1829" s="0" t="s">
        <v>802</v>
      </c>
      <c r="N1829" s="0" t="s">
        <v>952</v>
      </c>
      <c r="O1829" s="0" t="s">
        <v>238</v>
      </c>
      <c r="Q1829" s="0" t="s">
        <v>130</v>
      </c>
      <c r="R1829" s="0" t="s">
        <v>138</v>
      </c>
      <c r="S1829" s="14">
        <v>0</v>
      </c>
      <c r="T1829" s="0" t="s">
        <v>583</v>
      </c>
      <c r="U1829" s="0" t="s">
        <v>138</v>
      </c>
      <c r="V1829" s="14" t="s">
        <v>138</v>
      </c>
      <c r="W1829" s="0" t="s">
        <v>138</v>
      </c>
      <c r="X1829" s="14" t="s">
        <v>138</v>
      </c>
      <c r="Y1829" s="0" t="s">
        <v>138</v>
      </c>
      <c r="Z1829" s="14" t="s">
        <v>138</v>
      </c>
      <c r="AA1829" s="0" t="s">
        <v>138</v>
      </c>
      <c r="AB1829" s="14" t="s">
        <v>138</v>
      </c>
      <c r="AD1829" s="0" t="s">
        <v>138</v>
      </c>
      <c r="AF1829" s="0">
        <v>0</v>
      </c>
      <c r="AG1829" s="0">
        <v>0</v>
      </c>
      <c r="AH1829" s="0" t="s">
        <v>140</v>
      </c>
      <c r="AI1829" s="0" t="s">
        <v>138</v>
      </c>
      <c r="AL1829" s="14"/>
      <c r="AN1829" s="14"/>
      <c r="AQ1829" s="0" t="s">
        <v>130</v>
      </c>
      <c r="AR1829" s="0" t="s">
        <v>130</v>
      </c>
      <c r="AS1829" s="0" t="s">
        <v>130</v>
      </c>
      <c r="AT1829" s="0" t="s">
        <v>130</v>
      </c>
      <c r="AU1829" s="0" t="s">
        <v>130</v>
      </c>
      <c r="AV1829" s="0" t="s">
        <v>130</v>
      </c>
      <c r="AW1829" s="0" t="s">
        <v>130</v>
      </c>
      <c r="AX1829" s="0" t="s">
        <v>141</v>
      </c>
      <c r="AY1829" s="0" t="s">
        <v>130</v>
      </c>
      <c r="AZ1829" s="0" t="s">
        <v>130</v>
      </c>
      <c r="BA1829" s="0" t="s">
        <v>130</v>
      </c>
      <c r="BB1829" s="0" t="s">
        <v>130</v>
      </c>
      <c r="BC1829" s="0" t="s">
        <v>130</v>
      </c>
      <c r="BD1829" s="0" t="s">
        <v>130</v>
      </c>
      <c r="BE1829" s="0" t="s">
        <v>130</v>
      </c>
      <c r="BF1829" s="0" t="s">
        <v>141</v>
      </c>
      <c r="BG1829" s="0" t="s">
        <v>130</v>
      </c>
      <c r="BH1829" s="0" t="s">
        <v>130</v>
      </c>
      <c r="BI1829" s="0" t="s">
        <v>130</v>
      </c>
      <c r="BJ1829" s="0" t="s">
        <v>130</v>
      </c>
      <c r="BK1829" s="0" t="s">
        <v>130</v>
      </c>
      <c r="BL1829" s="0" t="s">
        <v>130</v>
      </c>
      <c r="BM1829" s="0" t="s">
        <v>130</v>
      </c>
      <c r="BN1829" s="0" t="s">
        <v>130</v>
      </c>
      <c r="BO1829" s="0" t="s">
        <v>130</v>
      </c>
      <c r="BP1829" s="0" t="s">
        <v>130</v>
      </c>
      <c r="BQ1829" s="0" t="s">
        <v>130</v>
      </c>
      <c r="BR1829" s="0" t="s">
        <v>130</v>
      </c>
      <c r="BS1829" s="0" t="s">
        <v>130</v>
      </c>
      <c r="BT1829" s="0" t="s">
        <v>130</v>
      </c>
      <c r="BU1829" s="0" t="s">
        <v>130</v>
      </c>
      <c r="BV1829" s="0" t="s">
        <v>130</v>
      </c>
      <c r="BW1829" s="0" t="s">
        <v>130</v>
      </c>
      <c r="BX1829" s="0" t="s">
        <v>130</v>
      </c>
      <c r="BY1829" s="0" t="s">
        <v>130</v>
      </c>
      <c r="BZ1829" s="0" t="s">
        <v>130</v>
      </c>
      <c r="CA1829" s="0" t="s">
        <v>130</v>
      </c>
      <c r="CB1829" s="0" t="s">
        <v>130</v>
      </c>
      <c r="CC1829" s="0" t="s">
        <v>130</v>
      </c>
      <c r="CD1829" s="0" t="s">
        <v>130</v>
      </c>
      <c r="CE1829" s="0" t="s">
        <v>130</v>
      </c>
      <c r="CF1829" s="0" t="s">
        <v>130</v>
      </c>
      <c r="CG1829" s="0" t="s">
        <v>130</v>
      </c>
      <c r="CH1829" s="0" t="s">
        <v>130</v>
      </c>
      <c r="CI1829" s="0" t="s">
        <v>130</v>
      </c>
      <c r="CJ1829" s="0" t="s">
        <v>130</v>
      </c>
      <c r="CK1829" s="0" t="s">
        <v>130</v>
      </c>
      <c r="CL1829" s="0" t="s">
        <v>130</v>
      </c>
      <c r="CM1829" s="0" t="s">
        <v>130</v>
      </c>
      <c r="CN1829" s="0" t="s">
        <v>130</v>
      </c>
      <c r="CO1829" s="0" t="s">
        <v>130</v>
      </c>
      <c r="CP1829" s="0" t="s">
        <v>130</v>
      </c>
      <c r="CQ1829" s="0" t="s">
        <v>130</v>
      </c>
      <c r="CR1829" s="0" t="s">
        <v>130</v>
      </c>
      <c r="CS1829" s="0" t="s">
        <v>130</v>
      </c>
      <c r="CT1829" s="0" t="s">
        <v>5192</v>
      </c>
    </row>
    <row r="1830">
      <c r="A1830" s="14">
        <v>18154628</v>
      </c>
      <c r="B1830" s="0" t="s">
        <v>4393</v>
      </c>
      <c r="C1830" s="16">
        <f>HYPERLINK("https://eosportal.federatedhermes.com/companies/Q29tcGFueQppODUyMTU=", "AIA Group Ltd")</f>
      </c>
      <c r="D1830" s="0" t="s">
        <v>25</v>
      </c>
      <c r="E1830" s="0" t="s">
        <v>5016</v>
      </c>
      <c r="F1830" s="16">
        <f>HYPERLINK("https://eosportal.federatedhermes.com/engagements/RW5nYWdlbWVudAppMzA4OTE=", "Russia/Ukraine conflict")</f>
      </c>
      <c r="G1830" s="14" t="s">
        <v>5017</v>
      </c>
      <c r="H1830" s="0" t="s">
        <v>141</v>
      </c>
      <c r="I1830" s="14" t="s">
        <v>131</v>
      </c>
      <c r="J1830" s="0" t="s">
        <v>153</v>
      </c>
      <c r="K1830" s="0" t="s">
        <v>243</v>
      </c>
      <c r="L1830" s="0" t="s">
        <v>456</v>
      </c>
      <c r="M1830" s="0" t="s">
        <v>802</v>
      </c>
      <c r="N1830" s="0" t="s">
        <v>803</v>
      </c>
      <c r="O1830" s="0" t="s">
        <v>238</v>
      </c>
      <c r="Q1830" s="0" t="s">
        <v>130</v>
      </c>
      <c r="R1830" s="0" t="s">
        <v>138</v>
      </c>
      <c r="S1830" s="14">
        <v>0</v>
      </c>
      <c r="T1830" s="0" t="s">
        <v>583</v>
      </c>
      <c r="U1830" s="0" t="s">
        <v>138</v>
      </c>
      <c r="V1830" s="14" t="s">
        <v>138</v>
      </c>
      <c r="W1830" s="0" t="s">
        <v>138</v>
      </c>
      <c r="X1830" s="14" t="s">
        <v>138</v>
      </c>
      <c r="Y1830" s="0" t="s">
        <v>138</v>
      </c>
      <c r="Z1830" s="14" t="s">
        <v>138</v>
      </c>
      <c r="AA1830" s="0" t="s">
        <v>138</v>
      </c>
      <c r="AB1830" s="14" t="s">
        <v>138</v>
      </c>
      <c r="AD1830" s="0" t="s">
        <v>138</v>
      </c>
      <c r="AF1830" s="0">
        <v>0</v>
      </c>
      <c r="AG1830" s="0">
        <v>0</v>
      </c>
      <c r="AH1830" s="0" t="s">
        <v>140</v>
      </c>
      <c r="AI1830" s="0" t="s">
        <v>138</v>
      </c>
      <c r="AL1830" s="14"/>
      <c r="AN1830" s="14"/>
      <c r="AQ1830" s="0" t="s">
        <v>130</v>
      </c>
      <c r="AR1830" s="0" t="s">
        <v>130</v>
      </c>
      <c r="AS1830" s="0" t="s">
        <v>130</v>
      </c>
      <c r="AT1830" s="0" t="s">
        <v>130</v>
      </c>
      <c r="AU1830" s="0" t="s">
        <v>130</v>
      </c>
      <c r="AV1830" s="0" t="s">
        <v>130</v>
      </c>
      <c r="AW1830" s="0" t="s">
        <v>130</v>
      </c>
      <c r="AX1830" s="0" t="s">
        <v>141</v>
      </c>
      <c r="AY1830" s="0" t="s">
        <v>130</v>
      </c>
      <c r="AZ1830" s="0" t="s">
        <v>130</v>
      </c>
      <c r="BA1830" s="0" t="s">
        <v>130</v>
      </c>
      <c r="BB1830" s="0" t="s">
        <v>130</v>
      </c>
      <c r="BC1830" s="0" t="s">
        <v>130</v>
      </c>
      <c r="BD1830" s="0" t="s">
        <v>130</v>
      </c>
      <c r="BE1830" s="0" t="s">
        <v>130</v>
      </c>
      <c r="BF1830" s="0" t="s">
        <v>141</v>
      </c>
      <c r="BG1830" s="0" t="s">
        <v>130</v>
      </c>
      <c r="BH1830" s="0" t="s">
        <v>130</v>
      </c>
      <c r="BI1830" s="0" t="s">
        <v>130</v>
      </c>
      <c r="BJ1830" s="0" t="s">
        <v>130</v>
      </c>
      <c r="BK1830" s="0" t="s">
        <v>130</v>
      </c>
      <c r="BL1830" s="0" t="s">
        <v>130</v>
      </c>
      <c r="BM1830" s="0" t="s">
        <v>130</v>
      </c>
      <c r="BN1830" s="0" t="s">
        <v>130</v>
      </c>
      <c r="BO1830" s="0" t="s">
        <v>130</v>
      </c>
      <c r="BP1830" s="0" t="s">
        <v>130</v>
      </c>
      <c r="BQ1830" s="0" t="s">
        <v>130</v>
      </c>
      <c r="BR1830" s="0" t="s">
        <v>130</v>
      </c>
      <c r="BS1830" s="0" t="s">
        <v>130</v>
      </c>
      <c r="BT1830" s="0" t="s">
        <v>130</v>
      </c>
      <c r="BU1830" s="0" t="s">
        <v>130</v>
      </c>
      <c r="BV1830" s="0" t="s">
        <v>130</v>
      </c>
      <c r="BW1830" s="0" t="s">
        <v>130</v>
      </c>
      <c r="BX1830" s="0" t="s">
        <v>130</v>
      </c>
      <c r="BY1830" s="0" t="s">
        <v>130</v>
      </c>
      <c r="BZ1830" s="0" t="s">
        <v>130</v>
      </c>
      <c r="CA1830" s="0" t="s">
        <v>130</v>
      </c>
      <c r="CB1830" s="0" t="s">
        <v>130</v>
      </c>
      <c r="CC1830" s="0" t="s">
        <v>130</v>
      </c>
      <c r="CD1830" s="0" t="s">
        <v>130</v>
      </c>
      <c r="CE1830" s="0" t="s">
        <v>130</v>
      </c>
      <c r="CF1830" s="0" t="s">
        <v>130</v>
      </c>
      <c r="CG1830" s="0" t="s">
        <v>130</v>
      </c>
      <c r="CH1830" s="0" t="s">
        <v>130</v>
      </c>
      <c r="CI1830" s="0" t="s">
        <v>130</v>
      </c>
      <c r="CJ1830" s="0" t="s">
        <v>130</v>
      </c>
      <c r="CK1830" s="0" t="s">
        <v>130</v>
      </c>
      <c r="CL1830" s="0" t="s">
        <v>130</v>
      </c>
      <c r="CM1830" s="0" t="s">
        <v>130</v>
      </c>
      <c r="CN1830" s="0" t="s">
        <v>130</v>
      </c>
      <c r="CO1830" s="0" t="s">
        <v>130</v>
      </c>
      <c r="CP1830" s="0" t="s">
        <v>130</v>
      </c>
      <c r="CQ1830" s="0" t="s">
        <v>130</v>
      </c>
      <c r="CR1830" s="0" t="s">
        <v>130</v>
      </c>
      <c r="CS1830" s="0" t="s">
        <v>130</v>
      </c>
      <c r="CT1830" s="0" t="s">
        <v>5193</v>
      </c>
    </row>
    <row r="1831">
      <c r="A1831" s="14">
        <v>11583006</v>
      </c>
      <c r="B1831" s="0" t="s">
        <v>4054</v>
      </c>
      <c r="C1831" s="16">
        <f>HYPERLINK("https://eosportal.federatedhermes.com/companies/Q29tcGFueQppODUyMTc=", "Rexel SA")</f>
      </c>
      <c r="D1831" s="0" t="s">
        <v>25</v>
      </c>
      <c r="E1831" s="0" t="s">
        <v>5194</v>
      </c>
      <c r="F1831" s="16">
        <f>HYPERLINK("https://eosportal.federatedhermes.com/engagements/RW5nYWdlbWVudAppMzA4OTI=", "Board refreshment")</f>
      </c>
      <c r="G1831" s="14" t="s">
        <v>5195</v>
      </c>
      <c r="H1831" s="0" t="s">
        <v>130</v>
      </c>
      <c r="I1831" s="14" t="s">
        <v>131</v>
      </c>
      <c r="J1831" s="0" t="s">
        <v>145</v>
      </c>
      <c r="K1831" s="0" t="s">
        <v>164</v>
      </c>
      <c r="L1831" s="0" t="s">
        <v>277</v>
      </c>
      <c r="M1831" s="0" t="s">
        <v>378</v>
      </c>
      <c r="N1831" s="0" t="s">
        <v>1646</v>
      </c>
      <c r="O1831" s="0" t="s">
        <v>176</v>
      </c>
      <c r="Q1831" s="0" t="s">
        <v>130</v>
      </c>
      <c r="R1831" s="0" t="s">
        <v>138</v>
      </c>
      <c r="S1831" s="14">
        <v>0</v>
      </c>
      <c r="T1831" s="0" t="s">
        <v>231</v>
      </c>
      <c r="U1831" s="0" t="s">
        <v>138</v>
      </c>
      <c r="V1831" s="14" t="s">
        <v>138</v>
      </c>
      <c r="W1831" s="0" t="s">
        <v>138</v>
      </c>
      <c r="X1831" s="14" t="s">
        <v>138</v>
      </c>
      <c r="Y1831" s="0" t="s">
        <v>138</v>
      </c>
      <c r="Z1831" s="14" t="s">
        <v>138</v>
      </c>
      <c r="AA1831" s="0" t="s">
        <v>138</v>
      </c>
      <c r="AB1831" s="14" t="s">
        <v>138</v>
      </c>
      <c r="AD1831" s="0" t="s">
        <v>138</v>
      </c>
      <c r="AF1831" s="0">
        <v>0</v>
      </c>
      <c r="AG1831" s="0">
        <v>0</v>
      </c>
      <c r="AH1831" s="0" t="s">
        <v>140</v>
      </c>
      <c r="AI1831" s="0" t="s">
        <v>138</v>
      </c>
      <c r="AL1831" s="14"/>
      <c r="AN1831" s="14"/>
      <c r="AQ1831" s="0" t="s">
        <v>130</v>
      </c>
      <c r="AR1831" s="0" t="s">
        <v>130</v>
      </c>
      <c r="AS1831" s="0" t="s">
        <v>130</v>
      </c>
      <c r="AT1831" s="0" t="s">
        <v>130</v>
      </c>
      <c r="AU1831" s="0" t="s">
        <v>130</v>
      </c>
      <c r="AV1831" s="0" t="s">
        <v>130</v>
      </c>
      <c r="AW1831" s="0" t="s">
        <v>130</v>
      </c>
      <c r="AX1831" s="0" t="s">
        <v>130</v>
      </c>
      <c r="AY1831" s="0" t="s">
        <v>130</v>
      </c>
      <c r="AZ1831" s="0" t="s">
        <v>130</v>
      </c>
      <c r="BA1831" s="0" t="s">
        <v>130</v>
      </c>
      <c r="BB1831" s="0" t="s">
        <v>130</v>
      </c>
      <c r="BC1831" s="0" t="s">
        <v>130</v>
      </c>
      <c r="BD1831" s="0" t="s">
        <v>130</v>
      </c>
      <c r="BE1831" s="0" t="s">
        <v>130</v>
      </c>
      <c r="BF1831" s="0" t="s">
        <v>130</v>
      </c>
      <c r="BG1831" s="0" t="s">
        <v>130</v>
      </c>
      <c r="BH1831" s="0" t="s">
        <v>130</v>
      </c>
      <c r="BI1831" s="0" t="s">
        <v>130</v>
      </c>
      <c r="BJ1831" s="0" t="s">
        <v>130</v>
      </c>
      <c r="BK1831" s="0" t="s">
        <v>130</v>
      </c>
      <c r="BL1831" s="0" t="s">
        <v>130</v>
      </c>
      <c r="BM1831" s="0" t="s">
        <v>130</v>
      </c>
      <c r="BN1831" s="0" t="s">
        <v>130</v>
      </c>
      <c r="BO1831" s="0" t="s">
        <v>130</v>
      </c>
      <c r="BP1831" s="0" t="s">
        <v>130</v>
      </c>
      <c r="BQ1831" s="0" t="s">
        <v>130</v>
      </c>
      <c r="BR1831" s="0" t="s">
        <v>130</v>
      </c>
      <c r="BS1831" s="0" t="s">
        <v>130</v>
      </c>
      <c r="BT1831" s="0" t="s">
        <v>130</v>
      </c>
      <c r="BU1831" s="0" t="s">
        <v>130</v>
      </c>
      <c r="BV1831" s="0" t="s">
        <v>130</v>
      </c>
      <c r="BW1831" s="0" t="s">
        <v>130</v>
      </c>
      <c r="BX1831" s="0" t="s">
        <v>130</v>
      </c>
      <c r="BY1831" s="0" t="s">
        <v>130</v>
      </c>
      <c r="BZ1831" s="0" t="s">
        <v>130</v>
      </c>
      <c r="CA1831" s="0" t="s">
        <v>130</v>
      </c>
      <c r="CB1831" s="0" t="s">
        <v>130</v>
      </c>
      <c r="CC1831" s="0" t="s">
        <v>130</v>
      </c>
      <c r="CD1831" s="0" t="s">
        <v>130</v>
      </c>
      <c r="CE1831" s="0" t="s">
        <v>130</v>
      </c>
      <c r="CF1831" s="0" t="s">
        <v>130</v>
      </c>
      <c r="CG1831" s="0" t="s">
        <v>130</v>
      </c>
      <c r="CH1831" s="0" t="s">
        <v>130</v>
      </c>
      <c r="CI1831" s="0" t="s">
        <v>130</v>
      </c>
      <c r="CJ1831" s="0" t="s">
        <v>130</v>
      </c>
      <c r="CK1831" s="0" t="s">
        <v>130</v>
      </c>
      <c r="CL1831" s="0" t="s">
        <v>130</v>
      </c>
      <c r="CM1831" s="0" t="s">
        <v>130</v>
      </c>
      <c r="CN1831" s="0" t="s">
        <v>130</v>
      </c>
      <c r="CO1831" s="0" t="s">
        <v>130</v>
      </c>
      <c r="CP1831" s="0" t="s">
        <v>130</v>
      </c>
      <c r="CQ1831" s="0" t="s">
        <v>130</v>
      </c>
      <c r="CR1831" s="0" t="s">
        <v>130</v>
      </c>
      <c r="CS1831" s="0" t="s">
        <v>130</v>
      </c>
      <c r="CT1831" s="0" t="s">
        <v>5196</v>
      </c>
    </row>
    <row r="1832">
      <c r="A1832" s="14">
        <v>70940270</v>
      </c>
      <c r="B1832" s="0" t="s">
        <v>4590</v>
      </c>
      <c r="C1832" s="16">
        <f>HYPERLINK("https://eosportal.federatedhermes.com/companies/Q29tcGFueQppODU0MTY=", "Linde PLC")</f>
      </c>
      <c r="D1832" s="0" t="s">
        <v>25</v>
      </c>
      <c r="E1832" s="0" t="s">
        <v>5197</v>
      </c>
      <c r="F1832" s="16">
        <f>HYPERLINK("https://eosportal.federatedhermes.com/engagements/RW5nYWdlbWVudAppMzA4OTU=", "Operations in Russia and Ukraine")</f>
      </c>
      <c r="G1832" s="14" t="s">
        <v>5198</v>
      </c>
      <c r="H1832" s="0" t="s">
        <v>141</v>
      </c>
      <c r="I1832" s="14" t="s">
        <v>191</v>
      </c>
      <c r="J1832" s="0" t="s">
        <v>153</v>
      </c>
      <c r="K1832" s="0" t="s">
        <v>243</v>
      </c>
      <c r="L1832" s="0" t="s">
        <v>456</v>
      </c>
      <c r="M1832" s="0" t="s">
        <v>135</v>
      </c>
      <c r="N1832" s="0" t="s">
        <v>136</v>
      </c>
      <c r="O1832" s="0" t="s">
        <v>706</v>
      </c>
      <c r="Q1832" s="0" t="s">
        <v>130</v>
      </c>
      <c r="R1832" s="0" t="s">
        <v>138</v>
      </c>
      <c r="S1832" s="14">
        <v>0</v>
      </c>
      <c r="T1832" s="0" t="s">
        <v>583</v>
      </c>
      <c r="U1832" s="0" t="s">
        <v>138</v>
      </c>
      <c r="V1832" s="14" t="s">
        <v>138</v>
      </c>
      <c r="W1832" s="0" t="s">
        <v>138</v>
      </c>
      <c r="X1832" s="14" t="s">
        <v>138</v>
      </c>
      <c r="Y1832" s="0" t="s">
        <v>138</v>
      </c>
      <c r="Z1832" s="14" t="s">
        <v>138</v>
      </c>
      <c r="AA1832" s="0" t="s">
        <v>138</v>
      </c>
      <c r="AB1832" s="14" t="s">
        <v>138</v>
      </c>
      <c r="AD1832" s="0" t="s">
        <v>138</v>
      </c>
      <c r="AF1832" s="0">
        <v>0</v>
      </c>
      <c r="AG1832" s="0">
        <v>0</v>
      </c>
      <c r="AH1832" s="0" t="s">
        <v>140</v>
      </c>
      <c r="AI1832" s="0" t="s">
        <v>138</v>
      </c>
      <c r="AL1832" s="14"/>
      <c r="AN1832" s="14"/>
      <c r="AQ1832" s="0" t="s">
        <v>130</v>
      </c>
      <c r="AR1832" s="0" t="s">
        <v>130</v>
      </c>
      <c r="AS1832" s="0" t="s">
        <v>130</v>
      </c>
      <c r="AT1832" s="0" t="s">
        <v>130</v>
      </c>
      <c r="AU1832" s="0" t="s">
        <v>130</v>
      </c>
      <c r="AV1832" s="0" t="s">
        <v>130</v>
      </c>
      <c r="AW1832" s="0" t="s">
        <v>130</v>
      </c>
      <c r="AX1832" s="0" t="s">
        <v>141</v>
      </c>
      <c r="AY1832" s="0" t="s">
        <v>130</v>
      </c>
      <c r="AZ1832" s="0" t="s">
        <v>130</v>
      </c>
      <c r="BA1832" s="0" t="s">
        <v>130</v>
      </c>
      <c r="BB1832" s="0" t="s">
        <v>130</v>
      </c>
      <c r="BC1832" s="0" t="s">
        <v>130</v>
      </c>
      <c r="BD1832" s="0" t="s">
        <v>130</v>
      </c>
      <c r="BE1832" s="0" t="s">
        <v>130</v>
      </c>
      <c r="BF1832" s="0" t="s">
        <v>141</v>
      </c>
      <c r="BG1832" s="0" t="s">
        <v>130</v>
      </c>
      <c r="BH1832" s="0" t="s">
        <v>130</v>
      </c>
      <c r="BI1832" s="0" t="s">
        <v>130</v>
      </c>
      <c r="BJ1832" s="0" t="s">
        <v>130</v>
      </c>
      <c r="BK1832" s="0" t="s">
        <v>130</v>
      </c>
      <c r="BL1832" s="0" t="s">
        <v>130</v>
      </c>
      <c r="BM1832" s="0" t="s">
        <v>130</v>
      </c>
      <c r="BN1832" s="0" t="s">
        <v>130</v>
      </c>
      <c r="BO1832" s="0" t="s">
        <v>130</v>
      </c>
      <c r="BP1832" s="0" t="s">
        <v>130</v>
      </c>
      <c r="BQ1832" s="0" t="s">
        <v>130</v>
      </c>
      <c r="BR1832" s="0" t="s">
        <v>130</v>
      </c>
      <c r="BS1832" s="0" t="s">
        <v>130</v>
      </c>
      <c r="BT1832" s="0" t="s">
        <v>130</v>
      </c>
      <c r="BU1832" s="0" t="s">
        <v>130</v>
      </c>
      <c r="BV1832" s="0" t="s">
        <v>130</v>
      </c>
      <c r="BW1832" s="0" t="s">
        <v>130</v>
      </c>
      <c r="BX1832" s="0" t="s">
        <v>130</v>
      </c>
      <c r="BY1832" s="0" t="s">
        <v>130</v>
      </c>
      <c r="BZ1832" s="0" t="s">
        <v>130</v>
      </c>
      <c r="CA1832" s="0" t="s">
        <v>130</v>
      </c>
      <c r="CB1832" s="0" t="s">
        <v>130</v>
      </c>
      <c r="CC1832" s="0" t="s">
        <v>130</v>
      </c>
      <c r="CD1832" s="0" t="s">
        <v>130</v>
      </c>
      <c r="CE1832" s="0" t="s">
        <v>130</v>
      </c>
      <c r="CF1832" s="0" t="s">
        <v>130</v>
      </c>
      <c r="CG1832" s="0" t="s">
        <v>130</v>
      </c>
      <c r="CH1832" s="0" t="s">
        <v>130</v>
      </c>
      <c r="CI1832" s="0" t="s">
        <v>130</v>
      </c>
      <c r="CJ1832" s="0" t="s">
        <v>130</v>
      </c>
      <c r="CK1832" s="0" t="s">
        <v>130</v>
      </c>
      <c r="CL1832" s="0" t="s">
        <v>130</v>
      </c>
      <c r="CM1832" s="0" t="s">
        <v>130</v>
      </c>
      <c r="CN1832" s="0" t="s">
        <v>130</v>
      </c>
      <c r="CO1832" s="0" t="s">
        <v>130</v>
      </c>
      <c r="CP1832" s="0" t="s">
        <v>130</v>
      </c>
      <c r="CQ1832" s="0" t="s">
        <v>130</v>
      </c>
      <c r="CR1832" s="0" t="s">
        <v>130</v>
      </c>
      <c r="CS1832" s="0" t="s">
        <v>130</v>
      </c>
      <c r="CT1832" s="0" t="s">
        <v>5199</v>
      </c>
    </row>
    <row r="1833">
      <c r="A1833" s="14">
        <v>70940270</v>
      </c>
      <c r="B1833" s="0" t="s">
        <v>4590</v>
      </c>
      <c r="C1833" s="16">
        <f>HYPERLINK("https://eosportal.federatedhermes.com/companies/Q29tcGFueQppODU0MTY=", "Linde PLC")</f>
      </c>
      <c r="D1833" s="0" t="s">
        <v>25</v>
      </c>
      <c r="E1833" s="0" t="s">
        <v>5155</v>
      </c>
      <c r="F1833" s="16">
        <f>HYPERLINK("https://eosportal.federatedhermes.com/engagements/RW5nYWdlbWVudAppMzA4OTY=", "Hazardous Chemicals")</f>
      </c>
      <c r="G1833" s="14" t="s">
        <v>5200</v>
      </c>
      <c r="H1833" s="0" t="s">
        <v>141</v>
      </c>
      <c r="I1833" s="14" t="s">
        <v>191</v>
      </c>
      <c r="J1833" s="0" t="s">
        <v>197</v>
      </c>
      <c r="K1833" s="0" t="s">
        <v>348</v>
      </c>
      <c r="L1833" s="0" t="s">
        <v>650</v>
      </c>
      <c r="M1833" s="0" t="s">
        <v>135</v>
      </c>
      <c r="N1833" s="0" t="s">
        <v>136</v>
      </c>
      <c r="O1833" s="0" t="s">
        <v>706</v>
      </c>
      <c r="Q1833" s="0" t="s">
        <v>130</v>
      </c>
      <c r="R1833" s="0" t="s">
        <v>138</v>
      </c>
      <c r="S1833" s="14">
        <v>0</v>
      </c>
      <c r="T1833" s="0" t="s">
        <v>231</v>
      </c>
      <c r="U1833" s="0" t="s">
        <v>138</v>
      </c>
      <c r="V1833" s="14" t="s">
        <v>138</v>
      </c>
      <c r="W1833" s="0" t="s">
        <v>138</v>
      </c>
      <c r="X1833" s="14" t="s">
        <v>138</v>
      </c>
      <c r="Y1833" s="0" t="s">
        <v>138</v>
      </c>
      <c r="Z1833" s="14" t="s">
        <v>138</v>
      </c>
      <c r="AA1833" s="0" t="s">
        <v>138</v>
      </c>
      <c r="AB1833" s="14" t="s">
        <v>138</v>
      </c>
      <c r="AD1833" s="0" t="s">
        <v>138</v>
      </c>
      <c r="AF1833" s="0">
        <v>0</v>
      </c>
      <c r="AG1833" s="0">
        <v>0</v>
      </c>
      <c r="AH1833" s="0" t="s">
        <v>140</v>
      </c>
      <c r="AI1833" s="0" t="s">
        <v>138</v>
      </c>
      <c r="AL1833" s="14"/>
      <c r="AN1833" s="14"/>
      <c r="AQ1833" s="0" t="s">
        <v>130</v>
      </c>
      <c r="AR1833" s="0" t="s">
        <v>130</v>
      </c>
      <c r="AS1833" s="0" t="s">
        <v>141</v>
      </c>
      <c r="AT1833" s="0" t="s">
        <v>130</v>
      </c>
      <c r="AU1833" s="0" t="s">
        <v>130</v>
      </c>
      <c r="AV1833" s="0" t="s">
        <v>130</v>
      </c>
      <c r="AW1833" s="0" t="s">
        <v>130</v>
      </c>
      <c r="AX1833" s="0" t="s">
        <v>130</v>
      </c>
      <c r="AY1833" s="0" t="s">
        <v>130</v>
      </c>
      <c r="AZ1833" s="0" t="s">
        <v>130</v>
      </c>
      <c r="BA1833" s="0" t="s">
        <v>130</v>
      </c>
      <c r="BB1833" s="0" t="s">
        <v>141</v>
      </c>
      <c r="BC1833" s="0" t="s">
        <v>130</v>
      </c>
      <c r="BD1833" s="0" t="s">
        <v>130</v>
      </c>
      <c r="BE1833" s="0" t="s">
        <v>130</v>
      </c>
      <c r="BF1833" s="0" t="s">
        <v>130</v>
      </c>
      <c r="BG1833" s="0" t="s">
        <v>130</v>
      </c>
      <c r="BH1833" s="0" t="s">
        <v>130</v>
      </c>
      <c r="BI1833" s="0" t="s">
        <v>130</v>
      </c>
      <c r="BJ1833" s="0" t="s">
        <v>130</v>
      </c>
      <c r="BK1833" s="0" t="s">
        <v>130</v>
      </c>
      <c r="BL1833" s="0" t="s">
        <v>130</v>
      </c>
      <c r="BM1833" s="0" t="s">
        <v>130</v>
      </c>
      <c r="BN1833" s="0" t="s">
        <v>130</v>
      </c>
      <c r="BO1833" s="0" t="s">
        <v>130</v>
      </c>
      <c r="BP1833" s="0" t="s">
        <v>130</v>
      </c>
      <c r="BQ1833" s="0" t="s">
        <v>130</v>
      </c>
      <c r="BR1833" s="0" t="s">
        <v>130</v>
      </c>
      <c r="BS1833" s="0" t="s">
        <v>130</v>
      </c>
      <c r="BT1833" s="0" t="s">
        <v>130</v>
      </c>
      <c r="BU1833" s="0" t="s">
        <v>130</v>
      </c>
      <c r="BV1833" s="0" t="s">
        <v>130</v>
      </c>
      <c r="BW1833" s="0" t="s">
        <v>130</v>
      </c>
      <c r="BX1833" s="0" t="s">
        <v>130</v>
      </c>
      <c r="BY1833" s="0" t="s">
        <v>130</v>
      </c>
      <c r="BZ1833" s="0" t="s">
        <v>130</v>
      </c>
      <c r="CA1833" s="0" t="s">
        <v>130</v>
      </c>
      <c r="CB1833" s="0" t="s">
        <v>130</v>
      </c>
      <c r="CC1833" s="0" t="s">
        <v>130</v>
      </c>
      <c r="CD1833" s="0" t="s">
        <v>130</v>
      </c>
      <c r="CE1833" s="0" t="s">
        <v>130</v>
      </c>
      <c r="CF1833" s="0" t="s">
        <v>130</v>
      </c>
      <c r="CG1833" s="0" t="s">
        <v>130</v>
      </c>
      <c r="CH1833" s="0" t="s">
        <v>130</v>
      </c>
      <c r="CI1833" s="0" t="s">
        <v>130</v>
      </c>
      <c r="CJ1833" s="0" t="s">
        <v>130</v>
      </c>
      <c r="CK1833" s="0" t="s">
        <v>130</v>
      </c>
      <c r="CL1833" s="0" t="s">
        <v>130</v>
      </c>
      <c r="CM1833" s="0" t="s">
        <v>130</v>
      </c>
      <c r="CN1833" s="0" t="s">
        <v>130</v>
      </c>
      <c r="CO1833" s="0" t="s">
        <v>130</v>
      </c>
      <c r="CP1833" s="0" t="s">
        <v>130</v>
      </c>
      <c r="CQ1833" s="0" t="s">
        <v>130</v>
      </c>
      <c r="CR1833" s="0" t="s">
        <v>130</v>
      </c>
      <c r="CS1833" s="0" t="s">
        <v>130</v>
      </c>
      <c r="CT1833" s="0" t="s">
        <v>5201</v>
      </c>
    </row>
    <row r="1834">
      <c r="A1834" s="14">
        <v>70940270</v>
      </c>
      <c r="B1834" s="0" t="s">
        <v>4590</v>
      </c>
      <c r="C1834" s="16">
        <f>HYPERLINK("https://eosportal.federatedhermes.com/companies/Q29tcGFueQppODU0MTY=", "Linde PLC")</f>
      </c>
      <c r="D1834" s="0" t="s">
        <v>25</v>
      </c>
      <c r="E1834" s="0" t="s">
        <v>5202</v>
      </c>
      <c r="F1834" s="16">
        <f>HYPERLINK("https://eosportal.federatedhermes.com/engagements/RW5nYWdlbWVudAppMzA4OTc=", "Access and shareholder engagement")</f>
      </c>
      <c r="G1834" s="14" t="s">
        <v>5203</v>
      </c>
      <c r="H1834" s="0" t="s">
        <v>141</v>
      </c>
      <c r="I1834" s="14" t="s">
        <v>191</v>
      </c>
      <c r="J1834" s="0" t="s">
        <v>145</v>
      </c>
      <c r="K1834" s="0" t="s">
        <v>400</v>
      </c>
      <c r="L1834" s="0" t="s">
        <v>401</v>
      </c>
      <c r="M1834" s="0" t="s">
        <v>135</v>
      </c>
      <c r="N1834" s="0" t="s">
        <v>136</v>
      </c>
      <c r="O1834" s="0" t="s">
        <v>706</v>
      </c>
      <c r="Q1834" s="0" t="s">
        <v>130</v>
      </c>
      <c r="R1834" s="0" t="s">
        <v>138</v>
      </c>
      <c r="S1834" s="14">
        <v>0</v>
      </c>
      <c r="T1834" s="0" t="s">
        <v>231</v>
      </c>
      <c r="U1834" s="0" t="s">
        <v>138</v>
      </c>
      <c r="V1834" s="14" t="s">
        <v>138</v>
      </c>
      <c r="W1834" s="0" t="s">
        <v>138</v>
      </c>
      <c r="X1834" s="14" t="s">
        <v>138</v>
      </c>
      <c r="Y1834" s="0" t="s">
        <v>138</v>
      </c>
      <c r="Z1834" s="14" t="s">
        <v>138</v>
      </c>
      <c r="AA1834" s="0" t="s">
        <v>138</v>
      </c>
      <c r="AB1834" s="14" t="s">
        <v>138</v>
      </c>
      <c r="AD1834" s="0" t="s">
        <v>138</v>
      </c>
      <c r="AF1834" s="0">
        <v>0</v>
      </c>
      <c r="AG1834" s="0">
        <v>0</v>
      </c>
      <c r="AH1834" s="0" t="s">
        <v>140</v>
      </c>
      <c r="AI1834" s="0" t="s">
        <v>138</v>
      </c>
      <c r="AL1834" s="14"/>
      <c r="AN1834" s="14"/>
      <c r="AQ1834" s="0" t="s">
        <v>130</v>
      </c>
      <c r="AR1834" s="0" t="s">
        <v>130</v>
      </c>
      <c r="AS1834" s="0" t="s">
        <v>130</v>
      </c>
      <c r="AT1834" s="0" t="s">
        <v>130</v>
      </c>
      <c r="AU1834" s="0" t="s">
        <v>130</v>
      </c>
      <c r="AV1834" s="0" t="s">
        <v>130</v>
      </c>
      <c r="AW1834" s="0" t="s">
        <v>130</v>
      </c>
      <c r="AX1834" s="0" t="s">
        <v>130</v>
      </c>
      <c r="AY1834" s="0" t="s">
        <v>130</v>
      </c>
      <c r="AZ1834" s="0" t="s">
        <v>130</v>
      </c>
      <c r="BA1834" s="0" t="s">
        <v>130</v>
      </c>
      <c r="BB1834" s="0" t="s">
        <v>130</v>
      </c>
      <c r="BC1834" s="0" t="s">
        <v>130</v>
      </c>
      <c r="BD1834" s="0" t="s">
        <v>130</v>
      </c>
      <c r="BE1834" s="0" t="s">
        <v>130</v>
      </c>
      <c r="BF1834" s="0" t="s">
        <v>130</v>
      </c>
      <c r="BG1834" s="0" t="s">
        <v>130</v>
      </c>
      <c r="BH1834" s="0" t="s">
        <v>130</v>
      </c>
      <c r="BI1834" s="0" t="s">
        <v>130</v>
      </c>
      <c r="BJ1834" s="0" t="s">
        <v>130</v>
      </c>
      <c r="BK1834" s="0" t="s">
        <v>130</v>
      </c>
      <c r="BL1834" s="0" t="s">
        <v>130</v>
      </c>
      <c r="BM1834" s="0" t="s">
        <v>130</v>
      </c>
      <c r="BN1834" s="0" t="s">
        <v>130</v>
      </c>
      <c r="BO1834" s="0" t="s">
        <v>130</v>
      </c>
      <c r="BP1834" s="0" t="s">
        <v>130</v>
      </c>
      <c r="BQ1834" s="0" t="s">
        <v>130</v>
      </c>
      <c r="BR1834" s="0" t="s">
        <v>130</v>
      </c>
      <c r="BS1834" s="0" t="s">
        <v>130</v>
      </c>
      <c r="BT1834" s="0" t="s">
        <v>130</v>
      </c>
      <c r="BU1834" s="0" t="s">
        <v>130</v>
      </c>
      <c r="BV1834" s="0" t="s">
        <v>130</v>
      </c>
      <c r="BW1834" s="0" t="s">
        <v>130</v>
      </c>
      <c r="BX1834" s="0" t="s">
        <v>130</v>
      </c>
      <c r="BY1834" s="0" t="s">
        <v>130</v>
      </c>
      <c r="BZ1834" s="0" t="s">
        <v>130</v>
      </c>
      <c r="CA1834" s="0" t="s">
        <v>130</v>
      </c>
      <c r="CB1834" s="0" t="s">
        <v>130</v>
      </c>
      <c r="CC1834" s="0" t="s">
        <v>130</v>
      </c>
      <c r="CD1834" s="0" t="s">
        <v>130</v>
      </c>
      <c r="CE1834" s="0" t="s">
        <v>130</v>
      </c>
      <c r="CF1834" s="0" t="s">
        <v>130</v>
      </c>
      <c r="CG1834" s="0" t="s">
        <v>130</v>
      </c>
      <c r="CH1834" s="0" t="s">
        <v>130</v>
      </c>
      <c r="CI1834" s="0" t="s">
        <v>130</v>
      </c>
      <c r="CJ1834" s="0" t="s">
        <v>130</v>
      </c>
      <c r="CK1834" s="0" t="s">
        <v>130</v>
      </c>
      <c r="CL1834" s="0" t="s">
        <v>130</v>
      </c>
      <c r="CM1834" s="0" t="s">
        <v>130</v>
      </c>
      <c r="CN1834" s="0" t="s">
        <v>130</v>
      </c>
      <c r="CO1834" s="0" t="s">
        <v>130</v>
      </c>
      <c r="CP1834" s="0" t="s">
        <v>130</v>
      </c>
      <c r="CQ1834" s="0" t="s">
        <v>130</v>
      </c>
      <c r="CR1834" s="0" t="s">
        <v>130</v>
      </c>
      <c r="CS1834" s="0" t="s">
        <v>130</v>
      </c>
      <c r="CT1834" s="0" t="s">
        <v>5204</v>
      </c>
    </row>
    <row r="1835">
      <c r="A1835" s="14">
        <v>115785</v>
      </c>
      <c r="B1835" s="0" t="s">
        <v>2695</v>
      </c>
      <c r="C1835" s="16">
        <f>HYPERLINK("https://eosportal.federatedhermes.com/companies/Q29tcGFueQppODU0NDE=", "Roche Holding AG")</f>
      </c>
      <c r="D1835" s="0" t="s">
        <v>25</v>
      </c>
      <c r="E1835" s="0" t="s">
        <v>5205</v>
      </c>
      <c r="F1835" s="16">
        <f>HYPERLINK("https://eosportal.federatedhermes.com/engagements/RW5nYWdlbWVudAppMzA4OTg=", "Product Stewardship")</f>
      </c>
      <c r="G1835" s="14" t="s">
        <v>5206</v>
      </c>
      <c r="H1835" s="0" t="s">
        <v>141</v>
      </c>
      <c r="I1835" s="14" t="s">
        <v>191</v>
      </c>
      <c r="J1835" s="0" t="s">
        <v>153</v>
      </c>
      <c r="K1835" s="0" t="s">
        <v>185</v>
      </c>
      <c r="L1835" s="0" t="s">
        <v>626</v>
      </c>
      <c r="M1835" s="0" t="s">
        <v>378</v>
      </c>
      <c r="N1835" s="0" t="s">
        <v>1059</v>
      </c>
      <c r="O1835" s="0" t="s">
        <v>274</v>
      </c>
      <c r="Q1835" s="0" t="s">
        <v>130</v>
      </c>
      <c r="R1835" s="0" t="s">
        <v>138</v>
      </c>
      <c r="S1835" s="14">
        <v>0</v>
      </c>
      <c r="T1835" s="0" t="s">
        <v>597</v>
      </c>
      <c r="U1835" s="0" t="s">
        <v>138</v>
      </c>
      <c r="V1835" s="14" t="s">
        <v>138</v>
      </c>
      <c r="W1835" s="0" t="s">
        <v>138</v>
      </c>
      <c r="X1835" s="14" t="s">
        <v>138</v>
      </c>
      <c r="Y1835" s="0" t="s">
        <v>138</v>
      </c>
      <c r="Z1835" s="14" t="s">
        <v>138</v>
      </c>
      <c r="AA1835" s="0" t="s">
        <v>138</v>
      </c>
      <c r="AB1835" s="14" t="s">
        <v>138</v>
      </c>
      <c r="AD1835" s="0" t="s">
        <v>138</v>
      </c>
      <c r="AF1835" s="0">
        <v>0</v>
      </c>
      <c r="AG1835" s="0">
        <v>0</v>
      </c>
      <c r="AH1835" s="0" t="s">
        <v>140</v>
      </c>
      <c r="AI1835" s="0" t="s">
        <v>138</v>
      </c>
      <c r="AL1835" s="14"/>
      <c r="AN1835" s="14"/>
      <c r="AQ1835" s="0" t="s">
        <v>130</v>
      </c>
      <c r="AR1835" s="0" t="s">
        <v>130</v>
      </c>
      <c r="AS1835" s="0" t="s">
        <v>130</v>
      </c>
      <c r="AT1835" s="0" t="s">
        <v>130</v>
      </c>
      <c r="AU1835" s="0" t="s">
        <v>130</v>
      </c>
      <c r="AV1835" s="0" t="s">
        <v>130</v>
      </c>
      <c r="AW1835" s="0" t="s">
        <v>130</v>
      </c>
      <c r="AX1835" s="0" t="s">
        <v>130</v>
      </c>
      <c r="AY1835" s="0" t="s">
        <v>130</v>
      </c>
      <c r="AZ1835" s="0" t="s">
        <v>130</v>
      </c>
      <c r="BA1835" s="0" t="s">
        <v>130</v>
      </c>
      <c r="BB1835" s="0" t="s">
        <v>130</v>
      </c>
      <c r="BC1835" s="0" t="s">
        <v>130</v>
      </c>
      <c r="BD1835" s="0" t="s">
        <v>130</v>
      </c>
      <c r="BE1835" s="0" t="s">
        <v>130</v>
      </c>
      <c r="BF1835" s="0" t="s">
        <v>130</v>
      </c>
      <c r="BG1835" s="0" t="s">
        <v>130</v>
      </c>
      <c r="BH1835" s="0" t="s">
        <v>130</v>
      </c>
      <c r="BI1835" s="0" t="s">
        <v>130</v>
      </c>
      <c r="BJ1835" s="0" t="s">
        <v>130</v>
      </c>
      <c r="BK1835" s="0" t="s">
        <v>130</v>
      </c>
      <c r="BL1835" s="0" t="s">
        <v>130</v>
      </c>
      <c r="BM1835" s="0" t="s">
        <v>130</v>
      </c>
      <c r="BN1835" s="0" t="s">
        <v>130</v>
      </c>
      <c r="BO1835" s="0" t="s">
        <v>130</v>
      </c>
      <c r="BP1835" s="0" t="s">
        <v>130</v>
      </c>
      <c r="BQ1835" s="0" t="s">
        <v>130</v>
      </c>
      <c r="BR1835" s="0" t="s">
        <v>130</v>
      </c>
      <c r="BS1835" s="0" t="s">
        <v>130</v>
      </c>
      <c r="BT1835" s="0" t="s">
        <v>130</v>
      </c>
      <c r="BU1835" s="0" t="s">
        <v>130</v>
      </c>
      <c r="BV1835" s="0" t="s">
        <v>130</v>
      </c>
      <c r="BW1835" s="0" t="s">
        <v>130</v>
      </c>
      <c r="BX1835" s="0" t="s">
        <v>130</v>
      </c>
      <c r="BY1835" s="0" t="s">
        <v>130</v>
      </c>
      <c r="BZ1835" s="0" t="s">
        <v>130</v>
      </c>
      <c r="CA1835" s="0" t="s">
        <v>130</v>
      </c>
      <c r="CB1835" s="0" t="s">
        <v>130</v>
      </c>
      <c r="CC1835" s="0" t="s">
        <v>130</v>
      </c>
      <c r="CD1835" s="0" t="s">
        <v>130</v>
      </c>
      <c r="CE1835" s="0" t="s">
        <v>130</v>
      </c>
      <c r="CF1835" s="0" t="s">
        <v>130</v>
      </c>
      <c r="CG1835" s="0" t="s">
        <v>130</v>
      </c>
      <c r="CH1835" s="0" t="s">
        <v>130</v>
      </c>
      <c r="CI1835" s="0" t="s">
        <v>130</v>
      </c>
      <c r="CJ1835" s="0" t="s">
        <v>130</v>
      </c>
      <c r="CK1835" s="0" t="s">
        <v>130</v>
      </c>
      <c r="CL1835" s="0" t="s">
        <v>130</v>
      </c>
      <c r="CM1835" s="0" t="s">
        <v>130</v>
      </c>
      <c r="CN1835" s="0" t="s">
        <v>130</v>
      </c>
      <c r="CO1835" s="0" t="s">
        <v>130</v>
      </c>
      <c r="CP1835" s="0" t="s">
        <v>130</v>
      </c>
      <c r="CQ1835" s="0" t="s">
        <v>130</v>
      </c>
      <c r="CR1835" s="0" t="s">
        <v>130</v>
      </c>
      <c r="CS1835" s="0" t="s">
        <v>130</v>
      </c>
      <c r="CT1835" s="0" t="s">
        <v>5207</v>
      </c>
    </row>
    <row r="1836">
      <c r="A1836" s="14">
        <v>60854400</v>
      </c>
      <c r="B1836" s="0" t="s">
        <v>4761</v>
      </c>
      <c r="C1836" s="16">
        <f>HYPERLINK("https://eosportal.federatedhermes.com/companies/Q29tcGFueQppODU0NTA=", "Walt Disney Co/The")</f>
      </c>
      <c r="D1836" s="0" t="s">
        <v>25</v>
      </c>
      <c r="E1836" s="0" t="s">
        <v>5208</v>
      </c>
      <c r="F1836" s="16">
        <f>HYPERLINK("https://eosportal.federatedhermes.com/engagements/RW5nYWdlbWVudAppMzA5MDM=", "Diversity and inclusion strategy")</f>
      </c>
      <c r="G1836" s="14" t="s">
        <v>5209</v>
      </c>
      <c r="H1836" s="0" t="s">
        <v>141</v>
      </c>
      <c r="I1836" s="14" t="s">
        <v>636</v>
      </c>
      <c r="J1836" s="0" t="s">
        <v>153</v>
      </c>
      <c r="K1836" s="0" t="s">
        <v>185</v>
      </c>
      <c r="L1836" s="0" t="s">
        <v>186</v>
      </c>
      <c r="M1836" s="0" t="s">
        <v>135</v>
      </c>
      <c r="N1836" s="0" t="s">
        <v>136</v>
      </c>
      <c r="O1836" s="0" t="s">
        <v>137</v>
      </c>
      <c r="Q1836" s="0" t="s">
        <v>130</v>
      </c>
      <c r="R1836" s="0" t="s">
        <v>138</v>
      </c>
      <c r="S1836" s="14">
        <v>0</v>
      </c>
      <c r="T1836" s="0" t="s">
        <v>583</v>
      </c>
      <c r="U1836" s="0" t="s">
        <v>138</v>
      </c>
      <c r="V1836" s="14" t="s">
        <v>138</v>
      </c>
      <c r="W1836" s="0" t="s">
        <v>138</v>
      </c>
      <c r="X1836" s="14" t="s">
        <v>138</v>
      </c>
      <c r="Y1836" s="0" t="s">
        <v>138</v>
      </c>
      <c r="Z1836" s="14" t="s">
        <v>138</v>
      </c>
      <c r="AA1836" s="0" t="s">
        <v>138</v>
      </c>
      <c r="AB1836" s="14" t="s">
        <v>138</v>
      </c>
      <c r="AD1836" s="0" t="s">
        <v>138</v>
      </c>
      <c r="AF1836" s="0">
        <v>0</v>
      </c>
      <c r="AG1836" s="0">
        <v>0</v>
      </c>
      <c r="AH1836" s="0" t="s">
        <v>140</v>
      </c>
      <c r="AI1836" s="0" t="s">
        <v>138</v>
      </c>
      <c r="AL1836" s="14"/>
      <c r="AN1836" s="14"/>
      <c r="AQ1836" s="0" t="s">
        <v>130</v>
      </c>
      <c r="AR1836" s="0" t="s">
        <v>130</v>
      </c>
      <c r="AS1836" s="0" t="s">
        <v>130</v>
      </c>
      <c r="AT1836" s="0" t="s">
        <v>130</v>
      </c>
      <c r="AU1836" s="0" t="s">
        <v>130</v>
      </c>
      <c r="AV1836" s="0" t="s">
        <v>130</v>
      </c>
      <c r="AW1836" s="0" t="s">
        <v>130</v>
      </c>
      <c r="AX1836" s="0" t="s">
        <v>130</v>
      </c>
      <c r="AY1836" s="0" t="s">
        <v>130</v>
      </c>
      <c r="AZ1836" s="0" t="s">
        <v>130</v>
      </c>
      <c r="BA1836" s="0" t="s">
        <v>130</v>
      </c>
      <c r="BB1836" s="0" t="s">
        <v>130</v>
      </c>
      <c r="BC1836" s="0" t="s">
        <v>130</v>
      </c>
      <c r="BD1836" s="0" t="s">
        <v>130</v>
      </c>
      <c r="BE1836" s="0" t="s">
        <v>130</v>
      </c>
      <c r="BF1836" s="0" t="s">
        <v>130</v>
      </c>
      <c r="BG1836" s="0" t="s">
        <v>130</v>
      </c>
      <c r="BH1836" s="0" t="s">
        <v>130</v>
      </c>
      <c r="BI1836" s="0" t="s">
        <v>130</v>
      </c>
      <c r="BJ1836" s="0" t="s">
        <v>130</v>
      </c>
      <c r="BK1836" s="0" t="s">
        <v>130</v>
      </c>
      <c r="BL1836" s="0" t="s">
        <v>130</v>
      </c>
      <c r="BM1836" s="0" t="s">
        <v>130</v>
      </c>
      <c r="BN1836" s="0" t="s">
        <v>130</v>
      </c>
      <c r="BO1836" s="0" t="s">
        <v>130</v>
      </c>
      <c r="BP1836" s="0" t="s">
        <v>130</v>
      </c>
      <c r="BQ1836" s="0" t="s">
        <v>130</v>
      </c>
      <c r="BR1836" s="0" t="s">
        <v>130</v>
      </c>
      <c r="BS1836" s="0" t="s">
        <v>130</v>
      </c>
      <c r="BT1836" s="0" t="s">
        <v>130</v>
      </c>
      <c r="BU1836" s="0" t="s">
        <v>130</v>
      </c>
      <c r="BV1836" s="0" t="s">
        <v>130</v>
      </c>
      <c r="BW1836" s="0" t="s">
        <v>130</v>
      </c>
      <c r="BX1836" s="0" t="s">
        <v>130</v>
      </c>
      <c r="BY1836" s="0" t="s">
        <v>130</v>
      </c>
      <c r="BZ1836" s="0" t="s">
        <v>130</v>
      </c>
      <c r="CA1836" s="0" t="s">
        <v>130</v>
      </c>
      <c r="CB1836" s="0" t="s">
        <v>130</v>
      </c>
      <c r="CC1836" s="0" t="s">
        <v>130</v>
      </c>
      <c r="CD1836" s="0" t="s">
        <v>130</v>
      </c>
      <c r="CE1836" s="0" t="s">
        <v>130</v>
      </c>
      <c r="CF1836" s="0" t="s">
        <v>130</v>
      </c>
      <c r="CG1836" s="0" t="s">
        <v>130</v>
      </c>
      <c r="CH1836" s="0" t="s">
        <v>130</v>
      </c>
      <c r="CI1836" s="0" t="s">
        <v>130</v>
      </c>
      <c r="CJ1836" s="0" t="s">
        <v>130</v>
      </c>
      <c r="CK1836" s="0" t="s">
        <v>130</v>
      </c>
      <c r="CL1836" s="0" t="s">
        <v>130</v>
      </c>
      <c r="CM1836" s="0" t="s">
        <v>130</v>
      </c>
      <c r="CN1836" s="0" t="s">
        <v>130</v>
      </c>
      <c r="CO1836" s="0" t="s">
        <v>130</v>
      </c>
      <c r="CP1836" s="0" t="s">
        <v>130</v>
      </c>
      <c r="CQ1836" s="0" t="s">
        <v>130</v>
      </c>
      <c r="CR1836" s="0" t="s">
        <v>130</v>
      </c>
      <c r="CS1836" s="0" t="s">
        <v>130</v>
      </c>
      <c r="CT1836" s="0" t="s">
        <v>5210</v>
      </c>
    </row>
    <row r="1837">
      <c r="A1837" s="14">
        <v>239787</v>
      </c>
      <c r="B1837" s="0" t="s">
        <v>3523</v>
      </c>
      <c r="C1837" s="16">
        <f>HYPERLINK("https://eosportal.federatedhermes.com/companies/Q29tcGFueQppODU4NzI=", "Eurofins Scientific SE")</f>
      </c>
      <c r="D1837" s="0" t="s">
        <v>25</v>
      </c>
      <c r="E1837" s="0" t="s">
        <v>5211</v>
      </c>
      <c r="F1837" s="16">
        <f>HYPERLINK("https://eosportal.federatedhermes.com/engagements/RW5nYWdlbWVudAppMzA5MDc=", "TCFD reporting")</f>
      </c>
      <c r="G1837" s="14" t="s">
        <v>5212</v>
      </c>
      <c r="H1837" s="0" t="s">
        <v>130</v>
      </c>
      <c r="I1837" s="14" t="s">
        <v>131</v>
      </c>
      <c r="J1837" s="0" t="s">
        <v>197</v>
      </c>
      <c r="K1837" s="0" t="s">
        <v>198</v>
      </c>
      <c r="L1837" s="0" t="s">
        <v>199</v>
      </c>
      <c r="M1837" s="0" t="s">
        <v>378</v>
      </c>
      <c r="N1837" s="0" t="s">
        <v>3435</v>
      </c>
      <c r="O1837" s="0" t="s">
        <v>274</v>
      </c>
      <c r="Q1837" s="0" t="s">
        <v>130</v>
      </c>
      <c r="R1837" s="0" t="s">
        <v>138</v>
      </c>
      <c r="S1837" s="14">
        <v>0</v>
      </c>
      <c r="T1837" s="0" t="s">
        <v>231</v>
      </c>
      <c r="U1837" s="0" t="s">
        <v>138</v>
      </c>
      <c r="V1837" s="14" t="s">
        <v>138</v>
      </c>
      <c r="W1837" s="0" t="s">
        <v>138</v>
      </c>
      <c r="X1837" s="14" t="s">
        <v>138</v>
      </c>
      <c r="Y1837" s="0" t="s">
        <v>138</v>
      </c>
      <c r="Z1837" s="14" t="s">
        <v>138</v>
      </c>
      <c r="AA1837" s="0" t="s">
        <v>138</v>
      </c>
      <c r="AB1837" s="14" t="s">
        <v>138</v>
      </c>
      <c r="AD1837" s="0" t="s">
        <v>138</v>
      </c>
      <c r="AF1837" s="0">
        <v>0</v>
      </c>
      <c r="AG1837" s="0">
        <v>0</v>
      </c>
      <c r="AH1837" s="0" t="s">
        <v>140</v>
      </c>
      <c r="AI1837" s="0" t="s">
        <v>138</v>
      </c>
      <c r="AL1837" s="14"/>
      <c r="AN1837" s="14"/>
      <c r="AQ1837" s="0" t="s">
        <v>130</v>
      </c>
      <c r="AR1837" s="0" t="s">
        <v>130</v>
      </c>
      <c r="AS1837" s="0" t="s">
        <v>130</v>
      </c>
      <c r="AT1837" s="0" t="s">
        <v>130</v>
      </c>
      <c r="AU1837" s="0" t="s">
        <v>130</v>
      </c>
      <c r="AV1837" s="0" t="s">
        <v>130</v>
      </c>
      <c r="AW1837" s="0" t="s">
        <v>130</v>
      </c>
      <c r="AX1837" s="0" t="s">
        <v>130</v>
      </c>
      <c r="AY1837" s="0" t="s">
        <v>130</v>
      </c>
      <c r="AZ1837" s="0" t="s">
        <v>130</v>
      </c>
      <c r="BA1837" s="0" t="s">
        <v>130</v>
      </c>
      <c r="BB1837" s="0" t="s">
        <v>141</v>
      </c>
      <c r="BC1837" s="0" t="s">
        <v>141</v>
      </c>
      <c r="BD1837" s="0" t="s">
        <v>130</v>
      </c>
      <c r="BE1837" s="0" t="s">
        <v>130</v>
      </c>
      <c r="BF1837" s="0" t="s">
        <v>130</v>
      </c>
      <c r="BG1837" s="0" t="s">
        <v>130</v>
      </c>
      <c r="BH1837" s="0" t="s">
        <v>130</v>
      </c>
      <c r="BI1837" s="0" t="s">
        <v>130</v>
      </c>
      <c r="BJ1837" s="0" t="s">
        <v>130</v>
      </c>
      <c r="BK1837" s="0" t="s">
        <v>130</v>
      </c>
      <c r="BL1837" s="0" t="s">
        <v>130</v>
      </c>
      <c r="BM1837" s="0" t="s">
        <v>130</v>
      </c>
      <c r="BN1837" s="0" t="s">
        <v>130</v>
      </c>
      <c r="BO1837" s="0" t="s">
        <v>130</v>
      </c>
      <c r="BP1837" s="0" t="s">
        <v>130</v>
      </c>
      <c r="BQ1837" s="0" t="s">
        <v>130</v>
      </c>
      <c r="BR1837" s="0" t="s">
        <v>130</v>
      </c>
      <c r="BS1837" s="0" t="s">
        <v>130</v>
      </c>
      <c r="BT1837" s="0" t="s">
        <v>130</v>
      </c>
      <c r="BU1837" s="0" t="s">
        <v>130</v>
      </c>
      <c r="BV1837" s="0" t="s">
        <v>130</v>
      </c>
      <c r="BW1837" s="0" t="s">
        <v>130</v>
      </c>
      <c r="BX1837" s="0" t="s">
        <v>130</v>
      </c>
      <c r="BY1837" s="0" t="s">
        <v>130</v>
      </c>
      <c r="BZ1837" s="0" t="s">
        <v>130</v>
      </c>
      <c r="CA1837" s="0" t="s">
        <v>130</v>
      </c>
      <c r="CB1837" s="0" t="s">
        <v>130</v>
      </c>
      <c r="CC1837" s="0" t="s">
        <v>130</v>
      </c>
      <c r="CD1837" s="0" t="s">
        <v>130</v>
      </c>
      <c r="CE1837" s="0" t="s">
        <v>130</v>
      </c>
      <c r="CF1837" s="0" t="s">
        <v>130</v>
      </c>
      <c r="CG1837" s="0" t="s">
        <v>130</v>
      </c>
      <c r="CH1837" s="0" t="s">
        <v>130</v>
      </c>
      <c r="CI1837" s="0" t="s">
        <v>130</v>
      </c>
      <c r="CJ1837" s="0" t="s">
        <v>130</v>
      </c>
      <c r="CK1837" s="0" t="s">
        <v>130</v>
      </c>
      <c r="CL1837" s="0" t="s">
        <v>130</v>
      </c>
      <c r="CM1837" s="0" t="s">
        <v>130</v>
      </c>
      <c r="CN1837" s="0" t="s">
        <v>130</v>
      </c>
      <c r="CO1837" s="0" t="s">
        <v>130</v>
      </c>
      <c r="CP1837" s="0" t="s">
        <v>130</v>
      </c>
      <c r="CQ1837" s="0" t="s">
        <v>130</v>
      </c>
      <c r="CR1837" s="0" t="s">
        <v>130</v>
      </c>
      <c r="CS1837" s="0" t="s">
        <v>130</v>
      </c>
      <c r="CT1837" s="0" t="s">
        <v>5213</v>
      </c>
    </row>
    <row r="1838">
      <c r="A1838" s="14">
        <v>182074</v>
      </c>
      <c r="B1838" s="0" t="s">
        <v>3209</v>
      </c>
      <c r="C1838" s="16">
        <f>HYPERLINK("https://eosportal.federatedhermes.com/companies/Q29tcGFueQppODU4NzQ=", "Equinor ASA")</f>
      </c>
      <c r="D1838" s="0" t="s">
        <v>25</v>
      </c>
      <c r="E1838" s="0" t="s">
        <v>5214</v>
      </c>
      <c r="F1838" s="16">
        <f>HYPERLINK("https://eosportal.federatedhermes.com/engagements/RW5nYWdlbWVudAppMzA5MDg=", "Paris-aligned lobbying")</f>
      </c>
      <c r="G1838" s="14" t="s">
        <v>5215</v>
      </c>
      <c r="H1838" s="0" t="s">
        <v>141</v>
      </c>
      <c r="I1838" s="14" t="s">
        <v>191</v>
      </c>
      <c r="J1838" s="0" t="s">
        <v>197</v>
      </c>
      <c r="K1838" s="0" t="s">
        <v>198</v>
      </c>
      <c r="L1838" s="0" t="s">
        <v>199</v>
      </c>
      <c r="M1838" s="0" t="s">
        <v>378</v>
      </c>
      <c r="N1838" s="0" t="s">
        <v>3211</v>
      </c>
      <c r="O1838" s="0" t="s">
        <v>542</v>
      </c>
      <c r="Q1838" s="0" t="s">
        <v>130</v>
      </c>
      <c r="R1838" s="0" t="s">
        <v>138</v>
      </c>
      <c r="S1838" s="14">
        <v>0</v>
      </c>
      <c r="T1838" s="0" t="s">
        <v>597</v>
      </c>
      <c r="U1838" s="0" t="s">
        <v>138</v>
      </c>
      <c r="V1838" s="14" t="s">
        <v>138</v>
      </c>
      <c r="W1838" s="0" t="s">
        <v>138</v>
      </c>
      <c r="X1838" s="14" t="s">
        <v>138</v>
      </c>
      <c r="Y1838" s="0" t="s">
        <v>138</v>
      </c>
      <c r="Z1838" s="14" t="s">
        <v>138</v>
      </c>
      <c r="AA1838" s="0" t="s">
        <v>138</v>
      </c>
      <c r="AB1838" s="14" t="s">
        <v>138</v>
      </c>
      <c r="AD1838" s="0" t="s">
        <v>138</v>
      </c>
      <c r="AF1838" s="0">
        <v>0</v>
      </c>
      <c r="AG1838" s="0">
        <v>0</v>
      </c>
      <c r="AH1838" s="0" t="s">
        <v>140</v>
      </c>
      <c r="AI1838" s="0" t="s">
        <v>138</v>
      </c>
      <c r="AL1838" s="14"/>
      <c r="AN1838" s="14"/>
      <c r="AQ1838" s="0" t="s">
        <v>130</v>
      </c>
      <c r="AR1838" s="0" t="s">
        <v>130</v>
      </c>
      <c r="AS1838" s="0" t="s">
        <v>130</v>
      </c>
      <c r="AT1838" s="0" t="s">
        <v>130</v>
      </c>
      <c r="AU1838" s="0" t="s">
        <v>130</v>
      </c>
      <c r="AV1838" s="0" t="s">
        <v>130</v>
      </c>
      <c r="AW1838" s="0" t="s">
        <v>130</v>
      </c>
      <c r="AX1838" s="0" t="s">
        <v>130</v>
      </c>
      <c r="AY1838" s="0" t="s">
        <v>130</v>
      </c>
      <c r="AZ1838" s="0" t="s">
        <v>130</v>
      </c>
      <c r="BA1838" s="0" t="s">
        <v>130</v>
      </c>
      <c r="BB1838" s="0" t="s">
        <v>141</v>
      </c>
      <c r="BC1838" s="0" t="s">
        <v>141</v>
      </c>
      <c r="BD1838" s="0" t="s">
        <v>130</v>
      </c>
      <c r="BE1838" s="0" t="s">
        <v>130</v>
      </c>
      <c r="BF1838" s="0" t="s">
        <v>130</v>
      </c>
      <c r="BG1838" s="0" t="s">
        <v>130</v>
      </c>
      <c r="BH1838" s="0" t="s">
        <v>130</v>
      </c>
      <c r="BI1838" s="0" t="s">
        <v>130</v>
      </c>
      <c r="BJ1838" s="0" t="s">
        <v>130</v>
      </c>
      <c r="BK1838" s="0" t="s">
        <v>130</v>
      </c>
      <c r="BL1838" s="0" t="s">
        <v>130</v>
      </c>
      <c r="BM1838" s="0" t="s">
        <v>130</v>
      </c>
      <c r="BN1838" s="0" t="s">
        <v>130</v>
      </c>
      <c r="BO1838" s="0" t="s">
        <v>130</v>
      </c>
      <c r="BP1838" s="0" t="s">
        <v>130</v>
      </c>
      <c r="BQ1838" s="0" t="s">
        <v>130</v>
      </c>
      <c r="BR1838" s="0" t="s">
        <v>130</v>
      </c>
      <c r="BS1838" s="0" t="s">
        <v>130</v>
      </c>
      <c r="BT1838" s="0" t="s">
        <v>130</v>
      </c>
      <c r="BU1838" s="0" t="s">
        <v>130</v>
      </c>
      <c r="BV1838" s="0" t="s">
        <v>130</v>
      </c>
      <c r="BW1838" s="0" t="s">
        <v>130</v>
      </c>
      <c r="BX1838" s="0" t="s">
        <v>130</v>
      </c>
      <c r="BY1838" s="0" t="s">
        <v>130</v>
      </c>
      <c r="BZ1838" s="0" t="s">
        <v>130</v>
      </c>
      <c r="CA1838" s="0" t="s">
        <v>130</v>
      </c>
      <c r="CB1838" s="0" t="s">
        <v>130</v>
      </c>
      <c r="CC1838" s="0" t="s">
        <v>130</v>
      </c>
      <c r="CD1838" s="0" t="s">
        <v>130</v>
      </c>
      <c r="CE1838" s="0" t="s">
        <v>130</v>
      </c>
      <c r="CF1838" s="0" t="s">
        <v>130</v>
      </c>
      <c r="CG1838" s="0" t="s">
        <v>130</v>
      </c>
      <c r="CH1838" s="0" t="s">
        <v>130</v>
      </c>
      <c r="CI1838" s="0" t="s">
        <v>130</v>
      </c>
      <c r="CJ1838" s="0" t="s">
        <v>130</v>
      </c>
      <c r="CK1838" s="0" t="s">
        <v>130</v>
      </c>
      <c r="CL1838" s="0" t="s">
        <v>130</v>
      </c>
      <c r="CM1838" s="0" t="s">
        <v>130</v>
      </c>
      <c r="CN1838" s="0" t="s">
        <v>130</v>
      </c>
      <c r="CO1838" s="0" t="s">
        <v>130</v>
      </c>
      <c r="CP1838" s="0" t="s">
        <v>130</v>
      </c>
      <c r="CQ1838" s="0" t="s">
        <v>130</v>
      </c>
      <c r="CR1838" s="0" t="s">
        <v>130</v>
      </c>
      <c r="CS1838" s="0" t="s">
        <v>130</v>
      </c>
      <c r="CT1838" s="0" t="s">
        <v>5216</v>
      </c>
    </row>
    <row r="1839">
      <c r="A1839" s="14">
        <v>182074</v>
      </c>
      <c r="B1839" s="0" t="s">
        <v>3209</v>
      </c>
      <c r="C1839" s="16">
        <f>HYPERLINK("https://eosportal.federatedhermes.com/companies/Q29tcGFueQppODU4NzQ=", "Equinor ASA")</f>
      </c>
      <c r="D1839" s="0" t="s">
        <v>25</v>
      </c>
      <c r="E1839" s="0" t="s">
        <v>5217</v>
      </c>
      <c r="F1839" s="16">
        <f>HYPERLINK("https://eosportal.federatedhermes.com/engagements/RW5nYWdlbWVudAppMzA5MDk=", "Pollution from operations")</f>
      </c>
      <c r="G1839" s="14" t="s">
        <v>5218</v>
      </c>
      <c r="H1839" s="0" t="s">
        <v>141</v>
      </c>
      <c r="I1839" s="14" t="s">
        <v>191</v>
      </c>
      <c r="J1839" s="0" t="s">
        <v>197</v>
      </c>
      <c r="K1839" s="0" t="s">
        <v>348</v>
      </c>
      <c r="L1839" s="0" t="s">
        <v>650</v>
      </c>
      <c r="M1839" s="0" t="s">
        <v>378</v>
      </c>
      <c r="N1839" s="0" t="s">
        <v>3211</v>
      </c>
      <c r="O1839" s="0" t="s">
        <v>542</v>
      </c>
      <c r="Q1839" s="0" t="s">
        <v>130</v>
      </c>
      <c r="R1839" s="0" t="s">
        <v>138</v>
      </c>
      <c r="S1839" s="14">
        <v>0</v>
      </c>
      <c r="T1839" s="0" t="s">
        <v>597</v>
      </c>
      <c r="U1839" s="0" t="s">
        <v>138</v>
      </c>
      <c r="V1839" s="14" t="s">
        <v>138</v>
      </c>
      <c r="W1839" s="0" t="s">
        <v>138</v>
      </c>
      <c r="X1839" s="14" t="s">
        <v>138</v>
      </c>
      <c r="Y1839" s="0" t="s">
        <v>138</v>
      </c>
      <c r="Z1839" s="14" t="s">
        <v>138</v>
      </c>
      <c r="AA1839" s="0" t="s">
        <v>138</v>
      </c>
      <c r="AB1839" s="14" t="s">
        <v>138</v>
      </c>
      <c r="AD1839" s="0" t="s">
        <v>138</v>
      </c>
      <c r="AF1839" s="0">
        <v>0</v>
      </c>
      <c r="AG1839" s="0">
        <v>0</v>
      </c>
      <c r="AH1839" s="0" t="s">
        <v>140</v>
      </c>
      <c r="AI1839" s="0" t="s">
        <v>138</v>
      </c>
      <c r="AL1839" s="14"/>
      <c r="AN1839" s="14"/>
      <c r="AQ1839" s="0" t="s">
        <v>130</v>
      </c>
      <c r="AR1839" s="0" t="s">
        <v>130</v>
      </c>
      <c r="AS1839" s="0" t="s">
        <v>141</v>
      </c>
      <c r="AT1839" s="0" t="s">
        <v>130</v>
      </c>
      <c r="AU1839" s="0" t="s">
        <v>130</v>
      </c>
      <c r="AV1839" s="0" t="s">
        <v>141</v>
      </c>
      <c r="AW1839" s="0" t="s">
        <v>130</v>
      </c>
      <c r="AX1839" s="0" t="s">
        <v>130</v>
      </c>
      <c r="AY1839" s="0" t="s">
        <v>130</v>
      </c>
      <c r="AZ1839" s="0" t="s">
        <v>130</v>
      </c>
      <c r="BA1839" s="0" t="s">
        <v>130</v>
      </c>
      <c r="BB1839" s="0" t="s">
        <v>130</v>
      </c>
      <c r="BC1839" s="0" t="s">
        <v>130</v>
      </c>
      <c r="BD1839" s="0" t="s">
        <v>141</v>
      </c>
      <c r="BE1839" s="0" t="s">
        <v>130</v>
      </c>
      <c r="BF1839" s="0" t="s">
        <v>130</v>
      </c>
      <c r="BG1839" s="0" t="s">
        <v>130</v>
      </c>
      <c r="BH1839" s="0" t="s">
        <v>130</v>
      </c>
      <c r="BI1839" s="0" t="s">
        <v>130</v>
      </c>
      <c r="BJ1839" s="0" t="s">
        <v>130</v>
      </c>
      <c r="BK1839" s="0" t="s">
        <v>130</v>
      </c>
      <c r="BL1839" s="0" t="s">
        <v>130</v>
      </c>
      <c r="BM1839" s="0" t="s">
        <v>130</v>
      </c>
      <c r="BN1839" s="0" t="s">
        <v>130</v>
      </c>
      <c r="BO1839" s="0" t="s">
        <v>130</v>
      </c>
      <c r="BP1839" s="0" t="s">
        <v>130</v>
      </c>
      <c r="BQ1839" s="0" t="s">
        <v>130</v>
      </c>
      <c r="BR1839" s="0" t="s">
        <v>130</v>
      </c>
      <c r="BS1839" s="0" t="s">
        <v>130</v>
      </c>
      <c r="BT1839" s="0" t="s">
        <v>130</v>
      </c>
      <c r="BU1839" s="0" t="s">
        <v>130</v>
      </c>
      <c r="BV1839" s="0" t="s">
        <v>130</v>
      </c>
      <c r="BW1839" s="0" t="s">
        <v>130</v>
      </c>
      <c r="BX1839" s="0" t="s">
        <v>130</v>
      </c>
      <c r="BY1839" s="0" t="s">
        <v>130</v>
      </c>
      <c r="BZ1839" s="0" t="s">
        <v>130</v>
      </c>
      <c r="CA1839" s="0" t="s">
        <v>130</v>
      </c>
      <c r="CB1839" s="0" t="s">
        <v>130</v>
      </c>
      <c r="CC1839" s="0" t="s">
        <v>130</v>
      </c>
      <c r="CD1839" s="0" t="s">
        <v>130</v>
      </c>
      <c r="CE1839" s="0" t="s">
        <v>130</v>
      </c>
      <c r="CF1839" s="0" t="s">
        <v>130</v>
      </c>
      <c r="CG1839" s="0" t="s">
        <v>130</v>
      </c>
      <c r="CH1839" s="0" t="s">
        <v>130</v>
      </c>
      <c r="CI1839" s="0" t="s">
        <v>130</v>
      </c>
      <c r="CJ1839" s="0" t="s">
        <v>130</v>
      </c>
      <c r="CK1839" s="0" t="s">
        <v>130</v>
      </c>
      <c r="CL1839" s="0" t="s">
        <v>130</v>
      </c>
      <c r="CM1839" s="0" t="s">
        <v>130</v>
      </c>
      <c r="CN1839" s="0" t="s">
        <v>130</v>
      </c>
      <c r="CO1839" s="0" t="s">
        <v>130</v>
      </c>
      <c r="CP1839" s="0" t="s">
        <v>130</v>
      </c>
      <c r="CQ1839" s="0" t="s">
        <v>130</v>
      </c>
      <c r="CR1839" s="0" t="s">
        <v>130</v>
      </c>
      <c r="CS1839" s="0" t="s">
        <v>130</v>
      </c>
      <c r="CT1839" s="0" t="s">
        <v>5219</v>
      </c>
    </row>
    <row r="1840">
      <c r="A1840" s="14">
        <v>110755</v>
      </c>
      <c r="B1840" s="0" t="s">
        <v>2303</v>
      </c>
      <c r="C1840" s="16">
        <f>HYPERLINK("https://eosportal.federatedhermes.com/companies/Q29tcGFueQppODYxNDM=", "Toronto-Dominion Bank/The")</f>
      </c>
      <c r="D1840" s="0" t="s">
        <v>25</v>
      </c>
      <c r="E1840" s="0" t="s">
        <v>3011</v>
      </c>
      <c r="F1840" s="16">
        <f>HYPERLINK("https://eosportal.federatedhermes.com/engagements/RW5nYWdlbWVudAppMzA5MjA=", "Indigenous and community rights")</f>
      </c>
      <c r="G1840" s="14" t="s">
        <v>5101</v>
      </c>
      <c r="H1840" s="0" t="s">
        <v>141</v>
      </c>
      <c r="I1840" s="14" t="s">
        <v>191</v>
      </c>
      <c r="J1840" s="0" t="s">
        <v>153</v>
      </c>
      <c r="K1840" s="0" t="s">
        <v>243</v>
      </c>
      <c r="L1840" s="0" t="s">
        <v>571</v>
      </c>
      <c r="M1840" s="0" t="s">
        <v>135</v>
      </c>
      <c r="N1840" s="0" t="s">
        <v>1678</v>
      </c>
      <c r="O1840" s="0" t="s">
        <v>238</v>
      </c>
      <c r="Q1840" s="0" t="s">
        <v>141</v>
      </c>
      <c r="R1840" s="0" t="s">
        <v>138</v>
      </c>
      <c r="S1840" s="14">
        <v>1</v>
      </c>
      <c r="T1840" s="0" t="s">
        <v>583</v>
      </c>
      <c r="U1840" s="0" t="s">
        <v>138</v>
      </c>
      <c r="V1840" s="14" t="s">
        <v>138</v>
      </c>
      <c r="W1840" s="0" t="s">
        <v>138</v>
      </c>
      <c r="X1840" s="14" t="s">
        <v>138</v>
      </c>
      <c r="Y1840" s="0" t="s">
        <v>138</v>
      </c>
      <c r="Z1840" s="14" t="s">
        <v>138</v>
      </c>
      <c r="AA1840" s="0" t="s">
        <v>138</v>
      </c>
      <c r="AB1840" s="14" t="s">
        <v>138</v>
      </c>
      <c r="AD1840" s="0" t="s">
        <v>138</v>
      </c>
      <c r="AF1840" s="0">
        <v>0</v>
      </c>
      <c r="AG1840" s="0">
        <v>0</v>
      </c>
      <c r="AH1840" s="0" t="s">
        <v>140</v>
      </c>
      <c r="AI1840" s="0" t="s">
        <v>138</v>
      </c>
      <c r="AK1840" s="0" t="s">
        <v>1386</v>
      </c>
      <c r="AL1840" s="14"/>
      <c r="AN1840" s="14"/>
      <c r="AQ1840" s="0" t="s">
        <v>130</v>
      </c>
      <c r="AR1840" s="0" t="s">
        <v>130</v>
      </c>
      <c r="AS1840" s="0" t="s">
        <v>130</v>
      </c>
      <c r="AT1840" s="0" t="s">
        <v>130</v>
      </c>
      <c r="AU1840" s="0" t="s">
        <v>130</v>
      </c>
      <c r="AV1840" s="0" t="s">
        <v>130</v>
      </c>
      <c r="AW1840" s="0" t="s">
        <v>130</v>
      </c>
      <c r="AX1840" s="0" t="s">
        <v>130</v>
      </c>
      <c r="AY1840" s="0" t="s">
        <v>130</v>
      </c>
      <c r="AZ1840" s="0" t="s">
        <v>141</v>
      </c>
      <c r="BA1840" s="0" t="s">
        <v>141</v>
      </c>
      <c r="BB1840" s="0" t="s">
        <v>130</v>
      </c>
      <c r="BC1840" s="0" t="s">
        <v>130</v>
      </c>
      <c r="BD1840" s="0" t="s">
        <v>130</v>
      </c>
      <c r="BE1840" s="0" t="s">
        <v>130</v>
      </c>
      <c r="BF1840" s="0" t="s">
        <v>141</v>
      </c>
      <c r="BG1840" s="0" t="s">
        <v>130</v>
      </c>
      <c r="BH1840" s="0" t="s">
        <v>130</v>
      </c>
      <c r="BI1840" s="0" t="s">
        <v>130</v>
      </c>
      <c r="BJ1840" s="0" t="s">
        <v>130</v>
      </c>
      <c r="BK1840" s="0" t="s">
        <v>130</v>
      </c>
      <c r="BL1840" s="0" t="s">
        <v>130</v>
      </c>
      <c r="BM1840" s="0" t="s">
        <v>130</v>
      </c>
      <c r="BN1840" s="0" t="s">
        <v>130</v>
      </c>
      <c r="BO1840" s="0" t="s">
        <v>130</v>
      </c>
      <c r="BP1840" s="0" t="s">
        <v>130</v>
      </c>
      <c r="BQ1840" s="0" t="s">
        <v>130</v>
      </c>
      <c r="BR1840" s="0" t="s">
        <v>130</v>
      </c>
      <c r="BS1840" s="0" t="s">
        <v>130</v>
      </c>
      <c r="BT1840" s="0" t="s">
        <v>130</v>
      </c>
      <c r="BU1840" s="0" t="s">
        <v>130</v>
      </c>
      <c r="BV1840" s="0" t="s">
        <v>130</v>
      </c>
      <c r="BW1840" s="0" t="s">
        <v>130</v>
      </c>
      <c r="BX1840" s="0" t="s">
        <v>130</v>
      </c>
      <c r="BY1840" s="0" t="s">
        <v>130</v>
      </c>
      <c r="BZ1840" s="0" t="s">
        <v>130</v>
      </c>
      <c r="CA1840" s="0" t="s">
        <v>130</v>
      </c>
      <c r="CB1840" s="0" t="s">
        <v>130</v>
      </c>
      <c r="CC1840" s="0" t="s">
        <v>130</v>
      </c>
      <c r="CD1840" s="0" t="s">
        <v>130</v>
      </c>
      <c r="CE1840" s="0" t="s">
        <v>130</v>
      </c>
      <c r="CF1840" s="0" t="s">
        <v>130</v>
      </c>
      <c r="CG1840" s="0" t="s">
        <v>130</v>
      </c>
      <c r="CH1840" s="0" t="s">
        <v>130</v>
      </c>
      <c r="CI1840" s="0" t="s">
        <v>130</v>
      </c>
      <c r="CJ1840" s="0" t="s">
        <v>130</v>
      </c>
      <c r="CK1840" s="0" t="s">
        <v>130</v>
      </c>
      <c r="CL1840" s="0" t="s">
        <v>130</v>
      </c>
      <c r="CM1840" s="0" t="s">
        <v>130</v>
      </c>
      <c r="CN1840" s="0" t="s">
        <v>130</v>
      </c>
      <c r="CO1840" s="0" t="s">
        <v>130</v>
      </c>
      <c r="CP1840" s="0" t="s">
        <v>130</v>
      </c>
      <c r="CQ1840" s="0" t="s">
        <v>130</v>
      </c>
      <c r="CR1840" s="0" t="s">
        <v>130</v>
      </c>
      <c r="CS1840" s="0" t="s">
        <v>130</v>
      </c>
      <c r="CT1840" s="0" t="s">
        <v>5220</v>
      </c>
    </row>
    <row r="1841">
      <c r="A1841" s="14">
        <v>253334</v>
      </c>
      <c r="B1841" s="0" t="s">
        <v>3516</v>
      </c>
      <c r="C1841" s="16">
        <f>HYPERLINK("https://eosportal.federatedhermes.com/companies/Q29tcGFueQppODY1MjA=", "GAIL India Ltd")</f>
      </c>
      <c r="D1841" s="0" t="s">
        <v>25</v>
      </c>
      <c r="E1841" s="0" t="s">
        <v>5221</v>
      </c>
      <c r="F1841" s="16">
        <f>HYPERLINK("https://eosportal.federatedhermes.com/engagements/RW5nYWdlbWVudAppMzA5MzI=", "Independence of committees")</f>
      </c>
      <c r="G1841" s="14" t="s">
        <v>5222</v>
      </c>
      <c r="H1841" s="0" t="s">
        <v>130</v>
      </c>
      <c r="I1841" s="14" t="s">
        <v>131</v>
      </c>
      <c r="J1841" s="0" t="s">
        <v>145</v>
      </c>
      <c r="K1841" s="0" t="s">
        <v>164</v>
      </c>
      <c r="L1841" s="0" t="s">
        <v>165</v>
      </c>
      <c r="M1841" s="0" t="s">
        <v>2807</v>
      </c>
      <c r="N1841" s="0" t="s">
        <v>2969</v>
      </c>
      <c r="O1841" s="0" t="s">
        <v>192</v>
      </c>
      <c r="Q1841" s="0" t="s">
        <v>130</v>
      </c>
      <c r="R1841" s="0" t="s">
        <v>138</v>
      </c>
      <c r="S1841" s="14">
        <v>0</v>
      </c>
      <c r="T1841" s="0" t="s">
        <v>597</v>
      </c>
      <c r="U1841" s="0" t="s">
        <v>138</v>
      </c>
      <c r="V1841" s="14" t="s">
        <v>138</v>
      </c>
      <c r="W1841" s="0" t="s">
        <v>138</v>
      </c>
      <c r="X1841" s="14" t="s">
        <v>138</v>
      </c>
      <c r="Y1841" s="0" t="s">
        <v>138</v>
      </c>
      <c r="Z1841" s="14" t="s">
        <v>138</v>
      </c>
      <c r="AA1841" s="0" t="s">
        <v>138</v>
      </c>
      <c r="AB1841" s="14" t="s">
        <v>138</v>
      </c>
      <c r="AD1841" s="0" t="s">
        <v>138</v>
      </c>
      <c r="AF1841" s="0">
        <v>0</v>
      </c>
      <c r="AG1841" s="0">
        <v>0</v>
      </c>
      <c r="AH1841" s="0" t="s">
        <v>140</v>
      </c>
      <c r="AI1841" s="0" t="s">
        <v>138</v>
      </c>
      <c r="AL1841" s="14"/>
      <c r="AN1841" s="14"/>
      <c r="AQ1841" s="0" t="s">
        <v>130</v>
      </c>
      <c r="AR1841" s="0" t="s">
        <v>130</v>
      </c>
      <c r="AS1841" s="0" t="s">
        <v>130</v>
      </c>
      <c r="AT1841" s="0" t="s">
        <v>130</v>
      </c>
      <c r="AU1841" s="0" t="s">
        <v>130</v>
      </c>
      <c r="AV1841" s="0" t="s">
        <v>130</v>
      </c>
      <c r="AW1841" s="0" t="s">
        <v>130</v>
      </c>
      <c r="AX1841" s="0" t="s">
        <v>130</v>
      </c>
      <c r="AY1841" s="0" t="s">
        <v>130</v>
      </c>
      <c r="AZ1841" s="0" t="s">
        <v>130</v>
      </c>
      <c r="BA1841" s="0" t="s">
        <v>130</v>
      </c>
      <c r="BB1841" s="0" t="s">
        <v>130</v>
      </c>
      <c r="BC1841" s="0" t="s">
        <v>130</v>
      </c>
      <c r="BD1841" s="0" t="s">
        <v>130</v>
      </c>
      <c r="BE1841" s="0" t="s">
        <v>130</v>
      </c>
      <c r="BF1841" s="0" t="s">
        <v>130</v>
      </c>
      <c r="BG1841" s="0" t="s">
        <v>130</v>
      </c>
      <c r="BH1841" s="0" t="s">
        <v>130</v>
      </c>
      <c r="BI1841" s="0" t="s">
        <v>130</v>
      </c>
      <c r="BJ1841" s="0" t="s">
        <v>130</v>
      </c>
      <c r="BK1841" s="0" t="s">
        <v>130</v>
      </c>
      <c r="BL1841" s="0" t="s">
        <v>130</v>
      </c>
      <c r="BM1841" s="0" t="s">
        <v>130</v>
      </c>
      <c r="BN1841" s="0" t="s">
        <v>130</v>
      </c>
      <c r="BO1841" s="0" t="s">
        <v>130</v>
      </c>
      <c r="BP1841" s="0" t="s">
        <v>130</v>
      </c>
      <c r="BQ1841" s="0" t="s">
        <v>130</v>
      </c>
      <c r="BR1841" s="0" t="s">
        <v>130</v>
      </c>
      <c r="BS1841" s="0" t="s">
        <v>130</v>
      </c>
      <c r="BT1841" s="0" t="s">
        <v>130</v>
      </c>
      <c r="BU1841" s="0" t="s">
        <v>130</v>
      </c>
      <c r="BV1841" s="0" t="s">
        <v>130</v>
      </c>
      <c r="BW1841" s="0" t="s">
        <v>130</v>
      </c>
      <c r="BX1841" s="0" t="s">
        <v>130</v>
      </c>
      <c r="BY1841" s="0" t="s">
        <v>130</v>
      </c>
      <c r="BZ1841" s="0" t="s">
        <v>130</v>
      </c>
      <c r="CA1841" s="0" t="s">
        <v>130</v>
      </c>
      <c r="CB1841" s="0" t="s">
        <v>130</v>
      </c>
      <c r="CC1841" s="0" t="s">
        <v>130</v>
      </c>
      <c r="CD1841" s="0" t="s">
        <v>130</v>
      </c>
      <c r="CE1841" s="0" t="s">
        <v>130</v>
      </c>
      <c r="CF1841" s="0" t="s">
        <v>130</v>
      </c>
      <c r="CG1841" s="0" t="s">
        <v>130</v>
      </c>
      <c r="CH1841" s="0" t="s">
        <v>130</v>
      </c>
      <c r="CI1841" s="0" t="s">
        <v>130</v>
      </c>
      <c r="CJ1841" s="0" t="s">
        <v>130</v>
      </c>
      <c r="CK1841" s="0" t="s">
        <v>130</v>
      </c>
      <c r="CL1841" s="0" t="s">
        <v>130</v>
      </c>
      <c r="CM1841" s="0" t="s">
        <v>130</v>
      </c>
      <c r="CN1841" s="0" t="s">
        <v>130</v>
      </c>
      <c r="CO1841" s="0" t="s">
        <v>130</v>
      </c>
      <c r="CP1841" s="0" t="s">
        <v>130</v>
      </c>
      <c r="CQ1841" s="0" t="s">
        <v>130</v>
      </c>
      <c r="CR1841" s="0" t="s">
        <v>130</v>
      </c>
      <c r="CS1841" s="0" t="s">
        <v>130</v>
      </c>
      <c r="CT1841" s="0" t="s">
        <v>5223</v>
      </c>
    </row>
    <row r="1842">
      <c r="A1842" s="14">
        <v>100614</v>
      </c>
      <c r="B1842" s="0" t="s">
        <v>902</v>
      </c>
      <c r="C1842" s="16">
        <f>HYPERLINK("https://eosportal.federatedhermes.com/companies/Q29tcGFueQppNjc3NDg=", "Freeport-McMoRan Inc")</f>
      </c>
      <c r="D1842" s="0" t="s">
        <v>23</v>
      </c>
      <c r="E1842" s="0" t="s">
        <v>5002</v>
      </c>
      <c r="F1842" s="16">
        <f>HYPERLINK("https://eosportal.federatedhermes.com/engagements/RW5nYWdlbWVudAppMzA5NTU=", "Climate strategy - enhanced scope")</f>
      </c>
      <c r="G1842" s="14" t="s">
        <v>5003</v>
      </c>
      <c r="H1842" s="0" t="s">
        <v>141</v>
      </c>
      <c r="I1842" s="14" t="s">
        <v>131</v>
      </c>
      <c r="J1842" s="0" t="s">
        <v>197</v>
      </c>
      <c r="K1842" s="0" t="s">
        <v>198</v>
      </c>
      <c r="L1842" s="0" t="s">
        <v>220</v>
      </c>
      <c r="M1842" s="0" t="s">
        <v>135</v>
      </c>
      <c r="N1842" s="0" t="s">
        <v>136</v>
      </c>
      <c r="O1842" s="0" t="s">
        <v>373</v>
      </c>
      <c r="Q1842" s="0" t="s">
        <v>130</v>
      </c>
      <c r="R1842" s="0" t="s">
        <v>130</v>
      </c>
      <c r="S1842" s="14">
        <v>0</v>
      </c>
      <c r="T1842" s="0" t="s">
        <v>231</v>
      </c>
      <c r="U1842" s="0" t="s">
        <v>221</v>
      </c>
      <c r="V1842" s="14" t="s">
        <v>231</v>
      </c>
      <c r="W1842" s="0" t="s">
        <v>221</v>
      </c>
      <c r="X1842" s="14" t="s">
        <v>446</v>
      </c>
      <c r="Y1842" s="0" t="s">
        <v>221</v>
      </c>
      <c r="Z1842" s="14" t="s">
        <v>4412</v>
      </c>
      <c r="AA1842" s="0" t="s">
        <v>223</v>
      </c>
      <c r="AB1842" s="14" t="s">
        <v>138</v>
      </c>
      <c r="AD1842" s="0" t="s">
        <v>20</v>
      </c>
      <c r="AF1842" s="0">
        <v>0</v>
      </c>
      <c r="AG1842" s="0">
        <v>0</v>
      </c>
      <c r="AH1842" s="0" t="s">
        <v>140</v>
      </c>
      <c r="AI1842" s="0" t="s">
        <v>479</v>
      </c>
      <c r="AL1842" s="14"/>
      <c r="AN1842" s="14"/>
      <c r="AQ1842" s="0" t="s">
        <v>130</v>
      </c>
      <c r="AR1842" s="0" t="s">
        <v>130</v>
      </c>
      <c r="AS1842" s="0" t="s">
        <v>130</v>
      </c>
      <c r="AT1842" s="0" t="s">
        <v>130</v>
      </c>
      <c r="AU1842" s="0" t="s">
        <v>130</v>
      </c>
      <c r="AV1842" s="0" t="s">
        <v>130</v>
      </c>
      <c r="AW1842" s="0" t="s">
        <v>141</v>
      </c>
      <c r="AX1842" s="0" t="s">
        <v>130</v>
      </c>
      <c r="AY1842" s="0" t="s">
        <v>141</v>
      </c>
      <c r="AZ1842" s="0" t="s">
        <v>130</v>
      </c>
      <c r="BA1842" s="0" t="s">
        <v>130</v>
      </c>
      <c r="BB1842" s="0" t="s">
        <v>130</v>
      </c>
      <c r="BC1842" s="0" t="s">
        <v>141</v>
      </c>
      <c r="BD1842" s="0" t="s">
        <v>130</v>
      </c>
      <c r="BE1842" s="0" t="s">
        <v>130</v>
      </c>
      <c r="BF1842" s="0" t="s">
        <v>130</v>
      </c>
      <c r="BG1842" s="0" t="s">
        <v>130</v>
      </c>
      <c r="BH1842" s="0" t="s">
        <v>141</v>
      </c>
      <c r="BI1842" s="0" t="s">
        <v>141</v>
      </c>
      <c r="BJ1842" s="0" t="s">
        <v>141</v>
      </c>
      <c r="BK1842" s="0" t="s">
        <v>130</v>
      </c>
      <c r="BL1842" s="0" t="s">
        <v>130</v>
      </c>
      <c r="BM1842" s="0" t="s">
        <v>130</v>
      </c>
      <c r="BN1842" s="0" t="s">
        <v>130</v>
      </c>
      <c r="BO1842" s="0" t="s">
        <v>130</v>
      </c>
      <c r="BP1842" s="0" t="s">
        <v>130</v>
      </c>
      <c r="BQ1842" s="0" t="s">
        <v>130</v>
      </c>
      <c r="BR1842" s="0" t="s">
        <v>130</v>
      </c>
      <c r="BS1842" s="0" t="s">
        <v>130</v>
      </c>
      <c r="BT1842" s="0" t="s">
        <v>130</v>
      </c>
      <c r="BU1842" s="0" t="s">
        <v>130</v>
      </c>
      <c r="BV1842" s="0" t="s">
        <v>141</v>
      </c>
      <c r="BW1842" s="0" t="s">
        <v>141</v>
      </c>
      <c r="BX1842" s="0" t="s">
        <v>130</v>
      </c>
      <c r="BY1842" s="0" t="s">
        <v>130</v>
      </c>
      <c r="BZ1842" s="0" t="s">
        <v>130</v>
      </c>
      <c r="CA1842" s="0" t="s">
        <v>130</v>
      </c>
      <c r="CB1842" s="0" t="s">
        <v>130</v>
      </c>
      <c r="CC1842" s="0" t="s">
        <v>130</v>
      </c>
      <c r="CD1842" s="0" t="s">
        <v>130</v>
      </c>
      <c r="CE1842" s="0" t="s">
        <v>130</v>
      </c>
      <c r="CF1842" s="0" t="s">
        <v>130</v>
      </c>
      <c r="CG1842" s="0" t="s">
        <v>130</v>
      </c>
      <c r="CH1842" s="0" t="s">
        <v>130</v>
      </c>
      <c r="CI1842" s="0" t="s">
        <v>130</v>
      </c>
      <c r="CJ1842" s="0" t="s">
        <v>130</v>
      </c>
      <c r="CK1842" s="0" t="s">
        <v>130</v>
      </c>
      <c r="CL1842" s="0" t="s">
        <v>130</v>
      </c>
      <c r="CM1842" s="0" t="s">
        <v>130</v>
      </c>
      <c r="CN1842" s="0" t="s">
        <v>130</v>
      </c>
      <c r="CO1842" s="0" t="s">
        <v>130</v>
      </c>
      <c r="CP1842" s="0" t="s">
        <v>130</v>
      </c>
      <c r="CQ1842" s="0" t="s">
        <v>130</v>
      </c>
      <c r="CR1842" s="0" t="s">
        <v>130</v>
      </c>
      <c r="CS1842" s="0" t="s">
        <v>130</v>
      </c>
      <c r="CT1842" s="0" t="s">
        <v>5224</v>
      </c>
    </row>
    <row r="1843">
      <c r="A1843" s="14">
        <v>100614</v>
      </c>
      <c r="B1843" s="0" t="s">
        <v>902</v>
      </c>
      <c r="C1843" s="16">
        <f>HYPERLINK("https://eosportal.federatedhermes.com/companies/Q29tcGFueQppNjc3NDg=", "Freeport-McMoRan Inc")</f>
      </c>
      <c r="D1843" s="0" t="s">
        <v>23</v>
      </c>
      <c r="E1843" s="0" t="s">
        <v>1859</v>
      </c>
      <c r="F1843" s="16">
        <f>HYPERLINK("https://eosportal.federatedhermes.com/engagements/RW5nYWdlbWVudAppMzA5NTY=", "Governance oversight of industry associations")</f>
      </c>
      <c r="G1843" s="14" t="s">
        <v>4545</v>
      </c>
      <c r="H1843" s="0" t="s">
        <v>141</v>
      </c>
      <c r="I1843" s="14" t="s">
        <v>131</v>
      </c>
      <c r="J1843" s="0" t="s">
        <v>197</v>
      </c>
      <c r="K1843" s="0" t="s">
        <v>198</v>
      </c>
      <c r="L1843" s="0" t="s">
        <v>199</v>
      </c>
      <c r="M1843" s="0" t="s">
        <v>135</v>
      </c>
      <c r="N1843" s="0" t="s">
        <v>136</v>
      </c>
      <c r="O1843" s="0" t="s">
        <v>373</v>
      </c>
      <c r="Q1843" s="0" t="s">
        <v>130</v>
      </c>
      <c r="R1843" s="0" t="s">
        <v>130</v>
      </c>
      <c r="S1843" s="14">
        <v>0</v>
      </c>
      <c r="T1843" s="0" t="s">
        <v>231</v>
      </c>
      <c r="U1843" s="0" t="s">
        <v>221</v>
      </c>
      <c r="V1843" s="14" t="s">
        <v>231</v>
      </c>
      <c r="W1843" s="0" t="s">
        <v>221</v>
      </c>
      <c r="X1843" s="14" t="s">
        <v>231</v>
      </c>
      <c r="Y1843" s="0" t="s">
        <v>221</v>
      </c>
      <c r="Z1843" s="14" t="s">
        <v>3562</v>
      </c>
      <c r="AA1843" s="0" t="s">
        <v>223</v>
      </c>
      <c r="AB1843" s="14" t="s">
        <v>138</v>
      </c>
      <c r="AD1843" s="0" t="s">
        <v>20</v>
      </c>
      <c r="AF1843" s="0">
        <v>0</v>
      </c>
      <c r="AG1843" s="0">
        <v>0</v>
      </c>
      <c r="AH1843" s="0" t="s">
        <v>140</v>
      </c>
      <c r="AI1843" s="0" t="s">
        <v>479</v>
      </c>
      <c r="AL1843" s="14"/>
      <c r="AN1843" s="14"/>
      <c r="AQ1843" s="0" t="s">
        <v>130</v>
      </c>
      <c r="AR1843" s="0" t="s">
        <v>130</v>
      </c>
      <c r="AS1843" s="0" t="s">
        <v>130</v>
      </c>
      <c r="AT1843" s="0" t="s">
        <v>130</v>
      </c>
      <c r="AU1843" s="0" t="s">
        <v>130</v>
      </c>
      <c r="AV1843" s="0" t="s">
        <v>130</v>
      </c>
      <c r="AW1843" s="0" t="s">
        <v>130</v>
      </c>
      <c r="AX1843" s="0" t="s">
        <v>130</v>
      </c>
      <c r="AY1843" s="0" t="s">
        <v>130</v>
      </c>
      <c r="AZ1843" s="0" t="s">
        <v>130</v>
      </c>
      <c r="BA1843" s="0" t="s">
        <v>130</v>
      </c>
      <c r="BB1843" s="0" t="s">
        <v>141</v>
      </c>
      <c r="BC1843" s="0" t="s">
        <v>130</v>
      </c>
      <c r="BD1843" s="0" t="s">
        <v>130</v>
      </c>
      <c r="BE1843" s="0" t="s">
        <v>130</v>
      </c>
      <c r="BF1843" s="0" t="s">
        <v>130</v>
      </c>
      <c r="BG1843" s="0" t="s">
        <v>130</v>
      </c>
      <c r="BH1843" s="0" t="s">
        <v>130</v>
      </c>
      <c r="BI1843" s="0" t="s">
        <v>130</v>
      </c>
      <c r="BJ1843" s="0" t="s">
        <v>130</v>
      </c>
      <c r="BK1843" s="0" t="s">
        <v>130</v>
      </c>
      <c r="BL1843" s="0" t="s">
        <v>130</v>
      </c>
      <c r="BM1843" s="0" t="s">
        <v>130</v>
      </c>
      <c r="BN1843" s="0" t="s">
        <v>130</v>
      </c>
      <c r="BO1843" s="0" t="s">
        <v>130</v>
      </c>
      <c r="BP1843" s="0" t="s">
        <v>130</v>
      </c>
      <c r="BQ1843" s="0" t="s">
        <v>130</v>
      </c>
      <c r="BR1843" s="0" t="s">
        <v>130</v>
      </c>
      <c r="BS1843" s="0" t="s">
        <v>130</v>
      </c>
      <c r="BT1843" s="0" t="s">
        <v>130</v>
      </c>
      <c r="BU1843" s="0" t="s">
        <v>130</v>
      </c>
      <c r="BV1843" s="0" t="s">
        <v>130</v>
      </c>
      <c r="BW1843" s="0" t="s">
        <v>130</v>
      </c>
      <c r="BX1843" s="0" t="s">
        <v>130</v>
      </c>
      <c r="BY1843" s="0" t="s">
        <v>130</v>
      </c>
      <c r="BZ1843" s="0" t="s">
        <v>130</v>
      </c>
      <c r="CA1843" s="0" t="s">
        <v>130</v>
      </c>
      <c r="CB1843" s="0" t="s">
        <v>130</v>
      </c>
      <c r="CC1843" s="0" t="s">
        <v>130</v>
      </c>
      <c r="CD1843" s="0" t="s">
        <v>130</v>
      </c>
      <c r="CE1843" s="0" t="s">
        <v>130</v>
      </c>
      <c r="CF1843" s="0" t="s">
        <v>130</v>
      </c>
      <c r="CG1843" s="0" t="s">
        <v>130</v>
      </c>
      <c r="CH1843" s="0" t="s">
        <v>130</v>
      </c>
      <c r="CI1843" s="0" t="s">
        <v>130</v>
      </c>
      <c r="CJ1843" s="0" t="s">
        <v>130</v>
      </c>
      <c r="CK1843" s="0" t="s">
        <v>130</v>
      </c>
      <c r="CL1843" s="0" t="s">
        <v>130</v>
      </c>
      <c r="CM1843" s="0" t="s">
        <v>130</v>
      </c>
      <c r="CN1843" s="0" t="s">
        <v>130</v>
      </c>
      <c r="CO1843" s="0" t="s">
        <v>130</v>
      </c>
      <c r="CP1843" s="0" t="s">
        <v>130</v>
      </c>
      <c r="CQ1843" s="0" t="s">
        <v>130</v>
      </c>
      <c r="CR1843" s="0" t="s">
        <v>130</v>
      </c>
      <c r="CS1843" s="0" t="s">
        <v>130</v>
      </c>
      <c r="CT1843" s="0" t="s">
        <v>5225</v>
      </c>
    </row>
    <row r="1844">
      <c r="A1844" s="14">
        <v>115785</v>
      </c>
      <c r="B1844" s="0" t="s">
        <v>2695</v>
      </c>
      <c r="C1844" s="16">
        <f>HYPERLINK("https://eosportal.federatedhermes.com/companies/Q29tcGFueQppODU0NDE=", "Roche Holding AG")</f>
      </c>
      <c r="D1844" s="0" t="s">
        <v>25</v>
      </c>
      <c r="E1844" s="0" t="s">
        <v>5226</v>
      </c>
      <c r="F1844" s="16">
        <f>HYPERLINK("https://eosportal.federatedhermes.com/engagements/RW5nYWdlbWVudAppMzA5Njg=", "SBTi targets")</f>
      </c>
      <c r="G1844" s="14" t="s">
        <v>5227</v>
      </c>
      <c r="H1844" s="0" t="s">
        <v>141</v>
      </c>
      <c r="I1844" s="14" t="s">
        <v>191</v>
      </c>
      <c r="J1844" s="0" t="s">
        <v>197</v>
      </c>
      <c r="K1844" s="0" t="s">
        <v>198</v>
      </c>
      <c r="L1844" s="0" t="s">
        <v>216</v>
      </c>
      <c r="M1844" s="0" t="s">
        <v>378</v>
      </c>
      <c r="N1844" s="0" t="s">
        <v>1059</v>
      </c>
      <c r="O1844" s="0" t="s">
        <v>274</v>
      </c>
      <c r="Q1844" s="0" t="s">
        <v>130</v>
      </c>
      <c r="R1844" s="0" t="s">
        <v>138</v>
      </c>
      <c r="S1844" s="14">
        <v>0</v>
      </c>
      <c r="T1844" s="0" t="s">
        <v>597</v>
      </c>
      <c r="U1844" s="0" t="s">
        <v>138</v>
      </c>
      <c r="V1844" s="14" t="s">
        <v>138</v>
      </c>
      <c r="W1844" s="0" t="s">
        <v>138</v>
      </c>
      <c r="X1844" s="14" t="s">
        <v>138</v>
      </c>
      <c r="Y1844" s="0" t="s">
        <v>138</v>
      </c>
      <c r="Z1844" s="14" t="s">
        <v>138</v>
      </c>
      <c r="AA1844" s="0" t="s">
        <v>138</v>
      </c>
      <c r="AB1844" s="14" t="s">
        <v>138</v>
      </c>
      <c r="AD1844" s="0" t="s">
        <v>138</v>
      </c>
      <c r="AF1844" s="0">
        <v>0</v>
      </c>
      <c r="AG1844" s="0">
        <v>0</v>
      </c>
      <c r="AH1844" s="0" t="s">
        <v>140</v>
      </c>
      <c r="AI1844" s="0" t="s">
        <v>138</v>
      </c>
      <c r="AL1844" s="14"/>
      <c r="AN1844" s="14"/>
      <c r="AQ1844" s="0" t="s">
        <v>130</v>
      </c>
      <c r="AR1844" s="0" t="s">
        <v>130</v>
      </c>
      <c r="AS1844" s="0" t="s">
        <v>130</v>
      </c>
      <c r="AT1844" s="0" t="s">
        <v>130</v>
      </c>
      <c r="AU1844" s="0" t="s">
        <v>130</v>
      </c>
      <c r="AV1844" s="0" t="s">
        <v>130</v>
      </c>
      <c r="AW1844" s="0" t="s">
        <v>141</v>
      </c>
      <c r="AX1844" s="0" t="s">
        <v>130</v>
      </c>
      <c r="AY1844" s="0" t="s">
        <v>130</v>
      </c>
      <c r="AZ1844" s="0" t="s">
        <v>130</v>
      </c>
      <c r="BA1844" s="0" t="s">
        <v>130</v>
      </c>
      <c r="BB1844" s="0" t="s">
        <v>130</v>
      </c>
      <c r="BC1844" s="0" t="s">
        <v>141</v>
      </c>
      <c r="BD1844" s="0" t="s">
        <v>130</v>
      </c>
      <c r="BE1844" s="0" t="s">
        <v>130</v>
      </c>
      <c r="BF1844" s="0" t="s">
        <v>130</v>
      </c>
      <c r="BG1844" s="0" t="s">
        <v>130</v>
      </c>
      <c r="BH1844" s="0" t="s">
        <v>141</v>
      </c>
      <c r="BI1844" s="0" t="s">
        <v>141</v>
      </c>
      <c r="BJ1844" s="0" t="s">
        <v>141</v>
      </c>
      <c r="BK1844" s="0" t="s">
        <v>130</v>
      </c>
      <c r="BL1844" s="0" t="s">
        <v>130</v>
      </c>
      <c r="BM1844" s="0" t="s">
        <v>130</v>
      </c>
      <c r="BN1844" s="0" t="s">
        <v>130</v>
      </c>
      <c r="BO1844" s="0" t="s">
        <v>130</v>
      </c>
      <c r="BP1844" s="0" t="s">
        <v>130</v>
      </c>
      <c r="BQ1844" s="0" t="s">
        <v>130</v>
      </c>
      <c r="BR1844" s="0" t="s">
        <v>130</v>
      </c>
      <c r="BS1844" s="0" t="s">
        <v>130</v>
      </c>
      <c r="BT1844" s="0" t="s">
        <v>130</v>
      </c>
      <c r="BU1844" s="0" t="s">
        <v>130</v>
      </c>
      <c r="BV1844" s="0" t="s">
        <v>141</v>
      </c>
      <c r="BW1844" s="0" t="s">
        <v>141</v>
      </c>
      <c r="BX1844" s="0" t="s">
        <v>130</v>
      </c>
      <c r="BY1844" s="0" t="s">
        <v>130</v>
      </c>
      <c r="BZ1844" s="0" t="s">
        <v>130</v>
      </c>
      <c r="CA1844" s="0" t="s">
        <v>130</v>
      </c>
      <c r="CB1844" s="0" t="s">
        <v>130</v>
      </c>
      <c r="CC1844" s="0" t="s">
        <v>130</v>
      </c>
      <c r="CD1844" s="0" t="s">
        <v>130</v>
      </c>
      <c r="CE1844" s="0" t="s">
        <v>130</v>
      </c>
      <c r="CF1844" s="0" t="s">
        <v>130</v>
      </c>
      <c r="CG1844" s="0" t="s">
        <v>130</v>
      </c>
      <c r="CH1844" s="0" t="s">
        <v>130</v>
      </c>
      <c r="CI1844" s="0" t="s">
        <v>130</v>
      </c>
      <c r="CJ1844" s="0" t="s">
        <v>130</v>
      </c>
      <c r="CK1844" s="0" t="s">
        <v>130</v>
      </c>
      <c r="CL1844" s="0" t="s">
        <v>130</v>
      </c>
      <c r="CM1844" s="0" t="s">
        <v>130</v>
      </c>
      <c r="CN1844" s="0" t="s">
        <v>130</v>
      </c>
      <c r="CO1844" s="0" t="s">
        <v>130</v>
      </c>
      <c r="CP1844" s="0" t="s">
        <v>130</v>
      </c>
      <c r="CQ1844" s="0" t="s">
        <v>130</v>
      </c>
      <c r="CR1844" s="0" t="s">
        <v>130</v>
      </c>
      <c r="CS1844" s="0" t="s">
        <v>130</v>
      </c>
      <c r="CT1844" s="0" t="s">
        <v>5228</v>
      </c>
    </row>
    <row r="1845">
      <c r="A1845" s="14">
        <v>101073</v>
      </c>
      <c r="B1845" s="0" t="s">
        <v>1186</v>
      </c>
      <c r="C1845" s="16">
        <f>HYPERLINK("https://eosportal.federatedhermes.com/companies/Q29tcGFueQppNjQzNjY=", "NIKE Inc")</f>
      </c>
      <c r="D1845" s="0" t="s">
        <v>23</v>
      </c>
      <c r="E1845" s="0" t="s">
        <v>5229</v>
      </c>
      <c r="F1845" s="16">
        <f>HYPERLINK("https://eosportal.federatedhermes.com/engagements/RW5nYWdlbWVudAppMzA5NzA=", "Human rights due diligence - supply chain")</f>
      </c>
      <c r="G1845" s="14" t="s">
        <v>5230</v>
      </c>
      <c r="H1845" s="0" t="s">
        <v>141</v>
      </c>
      <c r="I1845" s="14" t="s">
        <v>191</v>
      </c>
      <c r="J1845" s="0" t="s">
        <v>153</v>
      </c>
      <c r="K1845" s="0" t="s">
        <v>243</v>
      </c>
      <c r="L1845" s="0" t="s">
        <v>244</v>
      </c>
      <c r="M1845" s="0" t="s">
        <v>135</v>
      </c>
      <c r="N1845" s="0" t="s">
        <v>136</v>
      </c>
      <c r="O1845" s="0" t="s">
        <v>332</v>
      </c>
      <c r="Q1845" s="0" t="s">
        <v>141</v>
      </c>
      <c r="R1845" s="0" t="s">
        <v>130</v>
      </c>
      <c r="S1845" s="14">
        <v>1</v>
      </c>
      <c r="T1845" s="0" t="s">
        <v>597</v>
      </c>
      <c r="U1845" s="0" t="s">
        <v>221</v>
      </c>
      <c r="V1845" s="14" t="s">
        <v>597</v>
      </c>
      <c r="W1845" s="0" t="s">
        <v>221</v>
      </c>
      <c r="X1845" s="14" t="s">
        <v>360</v>
      </c>
      <c r="Y1845" s="0" t="s">
        <v>223</v>
      </c>
      <c r="Z1845" s="14" t="s">
        <v>138</v>
      </c>
      <c r="AA1845" s="0" t="s">
        <v>224</v>
      </c>
      <c r="AB1845" s="14" t="s">
        <v>138</v>
      </c>
      <c r="AD1845" s="0" t="s">
        <v>17</v>
      </c>
      <c r="AF1845" s="0">
        <v>0</v>
      </c>
      <c r="AG1845" s="0">
        <v>0</v>
      </c>
      <c r="AH1845" s="0" t="s">
        <v>140</v>
      </c>
      <c r="AI1845" s="0" t="s">
        <v>479</v>
      </c>
      <c r="AK1845" s="0" t="s">
        <v>1196</v>
      </c>
      <c r="AL1845" s="14"/>
      <c r="AN1845" s="14"/>
      <c r="AQ1845" s="0" t="s">
        <v>130</v>
      </c>
      <c r="AR1845" s="0" t="s">
        <v>130</v>
      </c>
      <c r="AS1845" s="0" t="s">
        <v>130</v>
      </c>
      <c r="AT1845" s="0" t="s">
        <v>130</v>
      </c>
      <c r="AU1845" s="0" t="s">
        <v>130</v>
      </c>
      <c r="AV1845" s="0" t="s">
        <v>130</v>
      </c>
      <c r="AW1845" s="0" t="s">
        <v>130</v>
      </c>
      <c r="AX1845" s="0" t="s">
        <v>141</v>
      </c>
      <c r="AY1845" s="0" t="s">
        <v>130</v>
      </c>
      <c r="AZ1845" s="0" t="s">
        <v>130</v>
      </c>
      <c r="BA1845" s="0" t="s">
        <v>130</v>
      </c>
      <c r="BB1845" s="0" t="s">
        <v>130</v>
      </c>
      <c r="BC1845" s="0" t="s">
        <v>130</v>
      </c>
      <c r="BD1845" s="0" t="s">
        <v>130</v>
      </c>
      <c r="BE1845" s="0" t="s">
        <v>130</v>
      </c>
      <c r="BF1845" s="0" t="s">
        <v>130</v>
      </c>
      <c r="BG1845" s="0" t="s">
        <v>130</v>
      </c>
      <c r="BH1845" s="0" t="s">
        <v>130</v>
      </c>
      <c r="BI1845" s="0" t="s">
        <v>130</v>
      </c>
      <c r="BJ1845" s="0" t="s">
        <v>130</v>
      </c>
      <c r="BK1845" s="0" t="s">
        <v>130</v>
      </c>
      <c r="BL1845" s="0" t="s">
        <v>130</v>
      </c>
      <c r="BM1845" s="0" t="s">
        <v>130</v>
      </c>
      <c r="BN1845" s="0" t="s">
        <v>130</v>
      </c>
      <c r="BO1845" s="0" t="s">
        <v>130</v>
      </c>
      <c r="BP1845" s="0" t="s">
        <v>130</v>
      </c>
      <c r="BQ1845" s="0" t="s">
        <v>130</v>
      </c>
      <c r="BR1845" s="0" t="s">
        <v>130</v>
      </c>
      <c r="BS1845" s="0" t="s">
        <v>130</v>
      </c>
      <c r="BT1845" s="0" t="s">
        <v>130</v>
      </c>
      <c r="BU1845" s="0" t="s">
        <v>130</v>
      </c>
      <c r="BV1845" s="0" t="s">
        <v>130</v>
      </c>
      <c r="BW1845" s="0" t="s">
        <v>130</v>
      </c>
      <c r="BX1845" s="0" t="s">
        <v>130</v>
      </c>
      <c r="BY1845" s="0" t="s">
        <v>130</v>
      </c>
      <c r="BZ1845" s="0" t="s">
        <v>130</v>
      </c>
      <c r="CA1845" s="0" t="s">
        <v>130</v>
      </c>
      <c r="CB1845" s="0" t="s">
        <v>130</v>
      </c>
      <c r="CC1845" s="0" t="s">
        <v>130</v>
      </c>
      <c r="CD1845" s="0" t="s">
        <v>130</v>
      </c>
      <c r="CE1845" s="0" t="s">
        <v>130</v>
      </c>
      <c r="CF1845" s="0" t="s">
        <v>130</v>
      </c>
      <c r="CG1845" s="0" t="s">
        <v>130</v>
      </c>
      <c r="CH1845" s="0" t="s">
        <v>130</v>
      </c>
      <c r="CI1845" s="0" t="s">
        <v>130</v>
      </c>
      <c r="CJ1845" s="0" t="s">
        <v>130</v>
      </c>
      <c r="CK1845" s="0" t="s">
        <v>130</v>
      </c>
      <c r="CL1845" s="0" t="s">
        <v>130</v>
      </c>
      <c r="CM1845" s="0" t="s">
        <v>130</v>
      </c>
      <c r="CN1845" s="0" t="s">
        <v>130</v>
      </c>
      <c r="CO1845" s="0" t="s">
        <v>130</v>
      </c>
      <c r="CP1845" s="0" t="s">
        <v>130</v>
      </c>
      <c r="CQ1845" s="0" t="s">
        <v>130</v>
      </c>
      <c r="CR1845" s="0" t="s">
        <v>130</v>
      </c>
      <c r="CS1845" s="0" t="s">
        <v>130</v>
      </c>
      <c r="CT1845" s="0" t="s">
        <v>5231</v>
      </c>
    </row>
    <row r="1846">
      <c r="A1846" s="14">
        <v>100747</v>
      </c>
      <c r="B1846" s="0" t="s">
        <v>949</v>
      </c>
      <c r="C1846" s="16">
        <f>HYPERLINK("https://eosportal.federatedhermes.com/companies/Q29tcGFueQppNzM3ODY=", "Honda Motor Co Ltd")</f>
      </c>
      <c r="D1846" s="0" t="s">
        <v>25</v>
      </c>
      <c r="E1846" s="0" t="s">
        <v>2143</v>
      </c>
      <c r="F1846" s="16">
        <f>HYPERLINK("https://eosportal.federatedhermes.com/engagements/RW5nYWdlbWVudAppMzA5ODM=", "Strategic shareholdings")</f>
      </c>
      <c r="G1846" s="14" t="s">
        <v>5232</v>
      </c>
      <c r="H1846" s="0" t="s">
        <v>141</v>
      </c>
      <c r="I1846" s="14" t="s">
        <v>636</v>
      </c>
      <c r="J1846" s="0" t="s">
        <v>145</v>
      </c>
      <c r="K1846" s="0" t="s">
        <v>400</v>
      </c>
      <c r="L1846" s="0" t="s">
        <v>507</v>
      </c>
      <c r="M1846" s="0" t="s">
        <v>802</v>
      </c>
      <c r="N1846" s="0" t="s">
        <v>952</v>
      </c>
      <c r="O1846" s="0" t="s">
        <v>425</v>
      </c>
      <c r="Q1846" s="0" t="s">
        <v>130</v>
      </c>
      <c r="R1846" s="0" t="s">
        <v>138</v>
      </c>
      <c r="S1846" s="14">
        <v>0</v>
      </c>
      <c r="T1846" s="0" t="s">
        <v>583</v>
      </c>
      <c r="U1846" s="0" t="s">
        <v>138</v>
      </c>
      <c r="V1846" s="14" t="s">
        <v>138</v>
      </c>
      <c r="W1846" s="0" t="s">
        <v>138</v>
      </c>
      <c r="X1846" s="14" t="s">
        <v>138</v>
      </c>
      <c r="Y1846" s="0" t="s">
        <v>138</v>
      </c>
      <c r="Z1846" s="14" t="s">
        <v>138</v>
      </c>
      <c r="AA1846" s="0" t="s">
        <v>138</v>
      </c>
      <c r="AB1846" s="14" t="s">
        <v>138</v>
      </c>
      <c r="AD1846" s="0" t="s">
        <v>138</v>
      </c>
      <c r="AF1846" s="0">
        <v>0</v>
      </c>
      <c r="AG1846" s="0">
        <v>0</v>
      </c>
      <c r="AH1846" s="0" t="s">
        <v>140</v>
      </c>
      <c r="AI1846" s="0" t="s">
        <v>138</v>
      </c>
      <c r="AL1846" s="14"/>
      <c r="AN1846" s="14"/>
      <c r="AQ1846" s="0" t="s">
        <v>130</v>
      </c>
      <c r="AR1846" s="0" t="s">
        <v>130</v>
      </c>
      <c r="AS1846" s="0" t="s">
        <v>130</v>
      </c>
      <c r="AT1846" s="0" t="s">
        <v>130</v>
      </c>
      <c r="AU1846" s="0" t="s">
        <v>130</v>
      </c>
      <c r="AV1846" s="0" t="s">
        <v>130</v>
      </c>
      <c r="AW1846" s="0" t="s">
        <v>130</v>
      </c>
      <c r="AX1846" s="0" t="s">
        <v>130</v>
      </c>
      <c r="AY1846" s="0" t="s">
        <v>130</v>
      </c>
      <c r="AZ1846" s="0" t="s">
        <v>130</v>
      </c>
      <c r="BA1846" s="0" t="s">
        <v>130</v>
      </c>
      <c r="BB1846" s="0" t="s">
        <v>130</v>
      </c>
      <c r="BC1846" s="0" t="s">
        <v>130</v>
      </c>
      <c r="BD1846" s="0" t="s">
        <v>130</v>
      </c>
      <c r="BE1846" s="0" t="s">
        <v>130</v>
      </c>
      <c r="BF1846" s="0" t="s">
        <v>130</v>
      </c>
      <c r="BG1846" s="0" t="s">
        <v>130</v>
      </c>
      <c r="BH1846" s="0" t="s">
        <v>130</v>
      </c>
      <c r="BI1846" s="0" t="s">
        <v>130</v>
      </c>
      <c r="BJ1846" s="0" t="s">
        <v>130</v>
      </c>
      <c r="BK1846" s="0" t="s">
        <v>130</v>
      </c>
      <c r="BL1846" s="0" t="s">
        <v>130</v>
      </c>
      <c r="BM1846" s="0" t="s">
        <v>130</v>
      </c>
      <c r="BN1846" s="0" t="s">
        <v>130</v>
      </c>
      <c r="BO1846" s="0" t="s">
        <v>130</v>
      </c>
      <c r="BP1846" s="0" t="s">
        <v>130</v>
      </c>
      <c r="BQ1846" s="0" t="s">
        <v>130</v>
      </c>
      <c r="BR1846" s="0" t="s">
        <v>130</v>
      </c>
      <c r="BS1846" s="0" t="s">
        <v>130</v>
      </c>
      <c r="BT1846" s="0" t="s">
        <v>130</v>
      </c>
      <c r="BU1846" s="0" t="s">
        <v>130</v>
      </c>
      <c r="BV1846" s="0" t="s">
        <v>130</v>
      </c>
      <c r="BW1846" s="0" t="s">
        <v>130</v>
      </c>
      <c r="BX1846" s="0" t="s">
        <v>130</v>
      </c>
      <c r="BY1846" s="0" t="s">
        <v>130</v>
      </c>
      <c r="BZ1846" s="0" t="s">
        <v>130</v>
      </c>
      <c r="CA1846" s="0" t="s">
        <v>130</v>
      </c>
      <c r="CB1846" s="0" t="s">
        <v>130</v>
      </c>
      <c r="CC1846" s="0" t="s">
        <v>130</v>
      </c>
      <c r="CD1846" s="0" t="s">
        <v>130</v>
      </c>
      <c r="CE1846" s="0" t="s">
        <v>130</v>
      </c>
      <c r="CF1846" s="0" t="s">
        <v>130</v>
      </c>
      <c r="CG1846" s="0" t="s">
        <v>130</v>
      </c>
      <c r="CH1846" s="0" t="s">
        <v>130</v>
      </c>
      <c r="CI1846" s="0" t="s">
        <v>130</v>
      </c>
      <c r="CJ1846" s="0" t="s">
        <v>130</v>
      </c>
      <c r="CK1846" s="0" t="s">
        <v>130</v>
      </c>
      <c r="CL1846" s="0" t="s">
        <v>130</v>
      </c>
      <c r="CM1846" s="0" t="s">
        <v>130</v>
      </c>
      <c r="CN1846" s="0" t="s">
        <v>130</v>
      </c>
      <c r="CO1846" s="0" t="s">
        <v>130</v>
      </c>
      <c r="CP1846" s="0" t="s">
        <v>130</v>
      </c>
      <c r="CQ1846" s="0" t="s">
        <v>130</v>
      </c>
      <c r="CR1846" s="0" t="s">
        <v>130</v>
      </c>
      <c r="CS1846" s="0" t="s">
        <v>130</v>
      </c>
      <c r="CT1846" s="0" t="s">
        <v>5233</v>
      </c>
    </row>
    <row r="1847">
      <c r="A1847" s="14">
        <v>101166</v>
      </c>
      <c r="B1847" s="0" t="s">
        <v>1275</v>
      </c>
      <c r="C1847" s="16">
        <f>HYPERLINK("https://eosportal.federatedhermes.com/companies/Q29tcGFueQppODU4OTI=", "Pfizer Inc")</f>
      </c>
      <c r="D1847" s="0" t="s">
        <v>25</v>
      </c>
      <c r="E1847" s="0" t="s">
        <v>5234</v>
      </c>
      <c r="F1847" s="16">
        <f>HYPERLINK("https://eosportal.federatedhermes.com/engagements/RW5nYWdlbWVudAppMzA5ODY=", "Antimicrobial resistance")</f>
      </c>
      <c r="G1847" s="14" t="s">
        <v>5235</v>
      </c>
      <c r="H1847" s="0" t="s">
        <v>141</v>
      </c>
      <c r="I1847" s="14" t="s">
        <v>636</v>
      </c>
      <c r="J1847" s="0" t="s">
        <v>197</v>
      </c>
      <c r="K1847" s="0" t="s">
        <v>337</v>
      </c>
      <c r="L1847" s="0" t="s">
        <v>1222</v>
      </c>
      <c r="M1847" s="0" t="s">
        <v>135</v>
      </c>
      <c r="N1847" s="0" t="s">
        <v>136</v>
      </c>
      <c r="O1847" s="0" t="s">
        <v>274</v>
      </c>
      <c r="Q1847" s="0" t="s">
        <v>130</v>
      </c>
      <c r="R1847" s="0" t="s">
        <v>138</v>
      </c>
      <c r="S1847" s="14">
        <v>0</v>
      </c>
      <c r="T1847" s="0" t="s">
        <v>583</v>
      </c>
      <c r="U1847" s="0" t="s">
        <v>138</v>
      </c>
      <c r="V1847" s="14" t="s">
        <v>138</v>
      </c>
      <c r="W1847" s="0" t="s">
        <v>138</v>
      </c>
      <c r="X1847" s="14" t="s">
        <v>138</v>
      </c>
      <c r="Y1847" s="0" t="s">
        <v>138</v>
      </c>
      <c r="Z1847" s="14" t="s">
        <v>138</v>
      </c>
      <c r="AA1847" s="0" t="s">
        <v>138</v>
      </c>
      <c r="AB1847" s="14" t="s">
        <v>138</v>
      </c>
      <c r="AD1847" s="0" t="s">
        <v>138</v>
      </c>
      <c r="AF1847" s="0">
        <v>0</v>
      </c>
      <c r="AG1847" s="0">
        <v>0</v>
      </c>
      <c r="AH1847" s="0" t="s">
        <v>140</v>
      </c>
      <c r="AI1847" s="0" t="s">
        <v>138</v>
      </c>
      <c r="AL1847" s="14"/>
      <c r="AN1847" s="14"/>
      <c r="AQ1847" s="0" t="s">
        <v>130</v>
      </c>
      <c r="AR1847" s="0" t="s">
        <v>130</v>
      </c>
      <c r="AS1847" s="0" t="s">
        <v>141</v>
      </c>
      <c r="AT1847" s="0" t="s">
        <v>130</v>
      </c>
      <c r="AU1847" s="0" t="s">
        <v>130</v>
      </c>
      <c r="AV1847" s="0" t="s">
        <v>130</v>
      </c>
      <c r="AW1847" s="0" t="s">
        <v>130</v>
      </c>
      <c r="AX1847" s="0" t="s">
        <v>130</v>
      </c>
      <c r="AY1847" s="0" t="s">
        <v>130</v>
      </c>
      <c r="AZ1847" s="0" t="s">
        <v>130</v>
      </c>
      <c r="BA1847" s="0" t="s">
        <v>130</v>
      </c>
      <c r="BB1847" s="0" t="s">
        <v>141</v>
      </c>
      <c r="BC1847" s="0" t="s">
        <v>130</v>
      </c>
      <c r="BD1847" s="0" t="s">
        <v>130</v>
      </c>
      <c r="BE1847" s="0" t="s">
        <v>130</v>
      </c>
      <c r="BF1847" s="0" t="s">
        <v>130</v>
      </c>
      <c r="BG1847" s="0" t="s">
        <v>130</v>
      </c>
      <c r="BH1847" s="0" t="s">
        <v>130</v>
      </c>
      <c r="BI1847" s="0" t="s">
        <v>130</v>
      </c>
      <c r="BJ1847" s="0" t="s">
        <v>130</v>
      </c>
      <c r="BK1847" s="0" t="s">
        <v>130</v>
      </c>
      <c r="BL1847" s="0" t="s">
        <v>130</v>
      </c>
      <c r="BM1847" s="0" t="s">
        <v>130</v>
      </c>
      <c r="BN1847" s="0" t="s">
        <v>130</v>
      </c>
      <c r="BO1847" s="0" t="s">
        <v>130</v>
      </c>
      <c r="BP1847" s="0" t="s">
        <v>130</v>
      </c>
      <c r="BQ1847" s="0" t="s">
        <v>130</v>
      </c>
      <c r="BR1847" s="0" t="s">
        <v>130</v>
      </c>
      <c r="BS1847" s="0" t="s">
        <v>130</v>
      </c>
      <c r="BT1847" s="0" t="s">
        <v>130</v>
      </c>
      <c r="BU1847" s="0" t="s">
        <v>130</v>
      </c>
      <c r="BV1847" s="0" t="s">
        <v>130</v>
      </c>
      <c r="BW1847" s="0" t="s">
        <v>130</v>
      </c>
      <c r="BX1847" s="0" t="s">
        <v>130</v>
      </c>
      <c r="BY1847" s="0" t="s">
        <v>130</v>
      </c>
      <c r="BZ1847" s="0" t="s">
        <v>130</v>
      </c>
      <c r="CA1847" s="0" t="s">
        <v>130</v>
      </c>
      <c r="CB1847" s="0" t="s">
        <v>130</v>
      </c>
      <c r="CC1847" s="0" t="s">
        <v>130</v>
      </c>
      <c r="CD1847" s="0" t="s">
        <v>130</v>
      </c>
      <c r="CE1847" s="0" t="s">
        <v>130</v>
      </c>
      <c r="CF1847" s="0" t="s">
        <v>130</v>
      </c>
      <c r="CG1847" s="0" t="s">
        <v>130</v>
      </c>
      <c r="CH1847" s="0" t="s">
        <v>130</v>
      </c>
      <c r="CI1847" s="0" t="s">
        <v>130</v>
      </c>
      <c r="CJ1847" s="0" t="s">
        <v>130</v>
      </c>
      <c r="CK1847" s="0" t="s">
        <v>130</v>
      </c>
      <c r="CL1847" s="0" t="s">
        <v>130</v>
      </c>
      <c r="CM1847" s="0" t="s">
        <v>130</v>
      </c>
      <c r="CN1847" s="0" t="s">
        <v>130</v>
      </c>
      <c r="CO1847" s="0" t="s">
        <v>130</v>
      </c>
      <c r="CP1847" s="0" t="s">
        <v>130</v>
      </c>
      <c r="CQ1847" s="0" t="s">
        <v>130</v>
      </c>
      <c r="CR1847" s="0" t="s">
        <v>130</v>
      </c>
      <c r="CS1847" s="0" t="s">
        <v>130</v>
      </c>
      <c r="CT1847" s="0" t="s">
        <v>5236</v>
      </c>
    </row>
    <row r="1848">
      <c r="A1848" s="14">
        <v>101376</v>
      </c>
      <c r="B1848" s="0" t="s">
        <v>1578</v>
      </c>
      <c r="C1848" s="16">
        <f>HYPERLINK("https://eosportal.federatedhermes.com/companies/Q29tcGFueQppNzU2NzU=", "AT&amp;T Inc")</f>
      </c>
      <c r="D1848" s="0" t="s">
        <v>25</v>
      </c>
      <c r="E1848" s="0" t="s">
        <v>5237</v>
      </c>
      <c r="F1848" s="16">
        <f>HYPERLINK("https://eosportal.federatedhermes.com/engagements/RW5nYWdlbWVudAppMzA5OTA=", "Renewables Strategy &amp; Targets")</f>
      </c>
      <c r="G1848" s="14" t="s">
        <v>5238</v>
      </c>
      <c r="H1848" s="0" t="s">
        <v>141</v>
      </c>
      <c r="I1848" s="14" t="s">
        <v>131</v>
      </c>
      <c r="J1848" s="0" t="s">
        <v>197</v>
      </c>
      <c r="K1848" s="0" t="s">
        <v>198</v>
      </c>
      <c r="L1848" s="0" t="s">
        <v>216</v>
      </c>
      <c r="M1848" s="0" t="s">
        <v>135</v>
      </c>
      <c r="N1848" s="0" t="s">
        <v>136</v>
      </c>
      <c r="O1848" s="0" t="s">
        <v>137</v>
      </c>
      <c r="Q1848" s="0" t="s">
        <v>130</v>
      </c>
      <c r="R1848" s="0" t="s">
        <v>138</v>
      </c>
      <c r="S1848" s="14">
        <v>0</v>
      </c>
      <c r="T1848" s="0" t="s">
        <v>583</v>
      </c>
      <c r="U1848" s="0" t="s">
        <v>138</v>
      </c>
      <c r="V1848" s="14" t="s">
        <v>138</v>
      </c>
      <c r="W1848" s="0" t="s">
        <v>138</v>
      </c>
      <c r="X1848" s="14" t="s">
        <v>138</v>
      </c>
      <c r="Y1848" s="0" t="s">
        <v>138</v>
      </c>
      <c r="Z1848" s="14" t="s">
        <v>138</v>
      </c>
      <c r="AA1848" s="0" t="s">
        <v>138</v>
      </c>
      <c r="AB1848" s="14" t="s">
        <v>138</v>
      </c>
      <c r="AD1848" s="0" t="s">
        <v>138</v>
      </c>
      <c r="AF1848" s="0">
        <v>0</v>
      </c>
      <c r="AG1848" s="0">
        <v>0</v>
      </c>
      <c r="AH1848" s="0" t="s">
        <v>140</v>
      </c>
      <c r="AI1848" s="0" t="s">
        <v>138</v>
      </c>
      <c r="AL1848" s="14"/>
      <c r="AN1848" s="14"/>
      <c r="AQ1848" s="0" t="s">
        <v>130</v>
      </c>
      <c r="AR1848" s="0" t="s">
        <v>130</v>
      </c>
      <c r="AS1848" s="0" t="s">
        <v>130</v>
      </c>
      <c r="AT1848" s="0" t="s">
        <v>130</v>
      </c>
      <c r="AU1848" s="0" t="s">
        <v>130</v>
      </c>
      <c r="AV1848" s="0" t="s">
        <v>130</v>
      </c>
      <c r="AW1848" s="0" t="s">
        <v>130</v>
      </c>
      <c r="AX1848" s="0" t="s">
        <v>130</v>
      </c>
      <c r="AY1848" s="0" t="s">
        <v>130</v>
      </c>
      <c r="AZ1848" s="0" t="s">
        <v>130</v>
      </c>
      <c r="BA1848" s="0" t="s">
        <v>130</v>
      </c>
      <c r="BB1848" s="0" t="s">
        <v>130</v>
      </c>
      <c r="BC1848" s="0" t="s">
        <v>130</v>
      </c>
      <c r="BD1848" s="0" t="s">
        <v>130</v>
      </c>
      <c r="BE1848" s="0" t="s">
        <v>130</v>
      </c>
      <c r="BF1848" s="0" t="s">
        <v>130</v>
      </c>
      <c r="BG1848" s="0" t="s">
        <v>130</v>
      </c>
      <c r="BH1848" s="0" t="s">
        <v>141</v>
      </c>
      <c r="BI1848" s="0" t="s">
        <v>141</v>
      </c>
      <c r="BJ1848" s="0" t="s">
        <v>141</v>
      </c>
      <c r="BK1848" s="0" t="s">
        <v>130</v>
      </c>
      <c r="BL1848" s="0" t="s">
        <v>130</v>
      </c>
      <c r="BM1848" s="0" t="s">
        <v>130</v>
      </c>
      <c r="BN1848" s="0" t="s">
        <v>130</v>
      </c>
      <c r="BO1848" s="0" t="s">
        <v>130</v>
      </c>
      <c r="BP1848" s="0" t="s">
        <v>130</v>
      </c>
      <c r="BQ1848" s="0" t="s">
        <v>130</v>
      </c>
      <c r="BR1848" s="0" t="s">
        <v>130</v>
      </c>
      <c r="BS1848" s="0" t="s">
        <v>130</v>
      </c>
      <c r="BT1848" s="0" t="s">
        <v>130</v>
      </c>
      <c r="BU1848" s="0" t="s">
        <v>130</v>
      </c>
      <c r="BV1848" s="0" t="s">
        <v>141</v>
      </c>
      <c r="BW1848" s="0" t="s">
        <v>141</v>
      </c>
      <c r="BX1848" s="0" t="s">
        <v>130</v>
      </c>
      <c r="BY1848" s="0" t="s">
        <v>130</v>
      </c>
      <c r="BZ1848" s="0" t="s">
        <v>130</v>
      </c>
      <c r="CA1848" s="0" t="s">
        <v>130</v>
      </c>
      <c r="CB1848" s="0" t="s">
        <v>130</v>
      </c>
      <c r="CC1848" s="0" t="s">
        <v>130</v>
      </c>
      <c r="CD1848" s="0" t="s">
        <v>130</v>
      </c>
      <c r="CE1848" s="0" t="s">
        <v>130</v>
      </c>
      <c r="CF1848" s="0" t="s">
        <v>130</v>
      </c>
      <c r="CG1848" s="0" t="s">
        <v>130</v>
      </c>
      <c r="CH1848" s="0" t="s">
        <v>130</v>
      </c>
      <c r="CI1848" s="0" t="s">
        <v>130</v>
      </c>
      <c r="CJ1848" s="0" t="s">
        <v>130</v>
      </c>
      <c r="CK1848" s="0" t="s">
        <v>130</v>
      </c>
      <c r="CL1848" s="0" t="s">
        <v>130</v>
      </c>
      <c r="CM1848" s="0" t="s">
        <v>130</v>
      </c>
      <c r="CN1848" s="0" t="s">
        <v>130</v>
      </c>
      <c r="CO1848" s="0" t="s">
        <v>130</v>
      </c>
      <c r="CP1848" s="0" t="s">
        <v>130</v>
      </c>
      <c r="CQ1848" s="0" t="s">
        <v>130</v>
      </c>
      <c r="CR1848" s="0" t="s">
        <v>130</v>
      </c>
      <c r="CS1848" s="0" t="s">
        <v>130</v>
      </c>
      <c r="CT1848" s="0" t="s">
        <v>5239</v>
      </c>
    </row>
    <row r="1849">
      <c r="A1849" s="14">
        <v>115518</v>
      </c>
      <c r="B1849" s="0" t="s">
        <v>2451</v>
      </c>
      <c r="C1849" s="16">
        <f>HYPERLINK("https://eosportal.federatedhermes.com/companies/Q29tcGFueQppNjMxNjU=", "Schneider Electric SE")</f>
      </c>
      <c r="D1849" s="0" t="s">
        <v>25</v>
      </c>
      <c r="E1849" s="0" t="s">
        <v>922</v>
      </c>
      <c r="F1849" s="16">
        <f>HYPERLINK("https://eosportal.federatedhermes.com/engagements/RW5nYWdlbWVudAppMzA5OTc=", "Human rights")</f>
      </c>
      <c r="G1849" s="14" t="s">
        <v>5240</v>
      </c>
      <c r="H1849" s="0" t="s">
        <v>141</v>
      </c>
      <c r="I1849" s="14" t="s">
        <v>131</v>
      </c>
      <c r="J1849" s="0" t="s">
        <v>153</v>
      </c>
      <c r="K1849" s="0" t="s">
        <v>243</v>
      </c>
      <c r="L1849" s="0" t="s">
        <v>244</v>
      </c>
      <c r="M1849" s="0" t="s">
        <v>378</v>
      </c>
      <c r="N1849" s="0" t="s">
        <v>1646</v>
      </c>
      <c r="O1849" s="0" t="s">
        <v>176</v>
      </c>
      <c r="Q1849" s="0" t="s">
        <v>130</v>
      </c>
      <c r="R1849" s="0" t="s">
        <v>138</v>
      </c>
      <c r="S1849" s="14">
        <v>0</v>
      </c>
      <c r="T1849" s="0" t="s">
        <v>583</v>
      </c>
      <c r="U1849" s="0" t="s">
        <v>138</v>
      </c>
      <c r="V1849" s="14" t="s">
        <v>138</v>
      </c>
      <c r="W1849" s="0" t="s">
        <v>138</v>
      </c>
      <c r="X1849" s="14" t="s">
        <v>138</v>
      </c>
      <c r="Y1849" s="0" t="s">
        <v>138</v>
      </c>
      <c r="Z1849" s="14" t="s">
        <v>138</v>
      </c>
      <c r="AA1849" s="0" t="s">
        <v>138</v>
      </c>
      <c r="AB1849" s="14" t="s">
        <v>138</v>
      </c>
      <c r="AD1849" s="0" t="s">
        <v>138</v>
      </c>
      <c r="AF1849" s="0">
        <v>0</v>
      </c>
      <c r="AG1849" s="0">
        <v>0</v>
      </c>
      <c r="AH1849" s="0" t="s">
        <v>140</v>
      </c>
      <c r="AI1849" s="0" t="s">
        <v>138</v>
      </c>
      <c r="AL1849" s="14"/>
      <c r="AN1849" s="14"/>
      <c r="AQ1849" s="0" t="s">
        <v>130</v>
      </c>
      <c r="AR1849" s="0" t="s">
        <v>130</v>
      </c>
      <c r="AS1849" s="0" t="s">
        <v>130</v>
      </c>
      <c r="AT1849" s="0" t="s">
        <v>130</v>
      </c>
      <c r="AU1849" s="0" t="s">
        <v>130</v>
      </c>
      <c r="AV1849" s="0" t="s">
        <v>130</v>
      </c>
      <c r="AW1849" s="0" t="s">
        <v>130</v>
      </c>
      <c r="AX1849" s="0" t="s">
        <v>130</v>
      </c>
      <c r="AY1849" s="0" t="s">
        <v>130</v>
      </c>
      <c r="AZ1849" s="0" t="s">
        <v>130</v>
      </c>
      <c r="BA1849" s="0" t="s">
        <v>130</v>
      </c>
      <c r="BB1849" s="0" t="s">
        <v>130</v>
      </c>
      <c r="BC1849" s="0" t="s">
        <v>130</v>
      </c>
      <c r="BD1849" s="0" t="s">
        <v>130</v>
      </c>
      <c r="BE1849" s="0" t="s">
        <v>130</v>
      </c>
      <c r="BF1849" s="0" t="s">
        <v>130</v>
      </c>
      <c r="BG1849" s="0" t="s">
        <v>130</v>
      </c>
      <c r="BH1849" s="0" t="s">
        <v>130</v>
      </c>
      <c r="BI1849" s="0" t="s">
        <v>130</v>
      </c>
      <c r="BJ1849" s="0" t="s">
        <v>130</v>
      </c>
      <c r="BK1849" s="0" t="s">
        <v>130</v>
      </c>
      <c r="BL1849" s="0" t="s">
        <v>130</v>
      </c>
      <c r="BM1849" s="0" t="s">
        <v>130</v>
      </c>
      <c r="BN1849" s="0" t="s">
        <v>130</v>
      </c>
      <c r="BO1849" s="0" t="s">
        <v>130</v>
      </c>
      <c r="BP1849" s="0" t="s">
        <v>130</v>
      </c>
      <c r="BQ1849" s="0" t="s">
        <v>130</v>
      </c>
      <c r="BR1849" s="0" t="s">
        <v>130</v>
      </c>
      <c r="BS1849" s="0" t="s">
        <v>130</v>
      </c>
      <c r="BT1849" s="0" t="s">
        <v>130</v>
      </c>
      <c r="BU1849" s="0" t="s">
        <v>130</v>
      </c>
      <c r="BV1849" s="0" t="s">
        <v>130</v>
      </c>
      <c r="BW1849" s="0" t="s">
        <v>130</v>
      </c>
      <c r="BX1849" s="0" t="s">
        <v>130</v>
      </c>
      <c r="BY1849" s="0" t="s">
        <v>130</v>
      </c>
      <c r="BZ1849" s="0" t="s">
        <v>130</v>
      </c>
      <c r="CA1849" s="0" t="s">
        <v>130</v>
      </c>
      <c r="CB1849" s="0" t="s">
        <v>130</v>
      </c>
      <c r="CC1849" s="0" t="s">
        <v>130</v>
      </c>
      <c r="CD1849" s="0" t="s">
        <v>130</v>
      </c>
      <c r="CE1849" s="0" t="s">
        <v>130</v>
      </c>
      <c r="CF1849" s="0" t="s">
        <v>130</v>
      </c>
      <c r="CG1849" s="0" t="s">
        <v>130</v>
      </c>
      <c r="CH1849" s="0" t="s">
        <v>130</v>
      </c>
      <c r="CI1849" s="0" t="s">
        <v>130</v>
      </c>
      <c r="CJ1849" s="0" t="s">
        <v>130</v>
      </c>
      <c r="CK1849" s="0" t="s">
        <v>130</v>
      </c>
      <c r="CL1849" s="0" t="s">
        <v>130</v>
      </c>
      <c r="CM1849" s="0" t="s">
        <v>130</v>
      </c>
      <c r="CN1849" s="0" t="s">
        <v>130</v>
      </c>
      <c r="CO1849" s="0" t="s">
        <v>130</v>
      </c>
      <c r="CP1849" s="0" t="s">
        <v>130</v>
      </c>
      <c r="CQ1849" s="0" t="s">
        <v>130</v>
      </c>
      <c r="CR1849" s="0" t="s">
        <v>130</v>
      </c>
      <c r="CS1849" s="0" t="s">
        <v>130</v>
      </c>
      <c r="CT1849" s="0" t="s">
        <v>5241</v>
      </c>
    </row>
    <row r="1850">
      <c r="A1850" s="14">
        <v>46946968</v>
      </c>
      <c r="B1850" s="0" t="s">
        <v>4663</v>
      </c>
      <c r="C1850" s="16">
        <f>HYPERLINK("https://eosportal.federatedhermes.com/companies/Q29tcGFueQppNTE1MjI=", "Alphabet Inc")</f>
      </c>
      <c r="D1850" s="0" t="s">
        <v>25</v>
      </c>
      <c r="E1850" s="0" t="s">
        <v>5242</v>
      </c>
      <c r="F1850" s="16">
        <f>HYPERLINK("https://eosportal.federatedhermes.com/engagements/RW5nYWdlbWVudAppMzEwMDk=", "Board oversight of whistleblowing hotline")</f>
      </c>
      <c r="G1850" s="14" t="s">
        <v>5243</v>
      </c>
      <c r="H1850" s="0" t="s">
        <v>141</v>
      </c>
      <c r="I1850" s="14" t="s">
        <v>191</v>
      </c>
      <c r="J1850" s="0" t="s">
        <v>145</v>
      </c>
      <c r="K1850" s="0" t="s">
        <v>164</v>
      </c>
      <c r="L1850" s="0" t="s">
        <v>970</v>
      </c>
      <c r="M1850" s="0" t="s">
        <v>135</v>
      </c>
      <c r="N1850" s="0" t="s">
        <v>136</v>
      </c>
      <c r="O1850" s="0" t="s">
        <v>137</v>
      </c>
      <c r="Q1850" s="0" t="s">
        <v>130</v>
      </c>
      <c r="R1850" s="0" t="s">
        <v>138</v>
      </c>
      <c r="S1850" s="14">
        <v>0</v>
      </c>
      <c r="T1850" s="0" t="s">
        <v>583</v>
      </c>
      <c r="U1850" s="0" t="s">
        <v>138</v>
      </c>
      <c r="V1850" s="14" t="s">
        <v>138</v>
      </c>
      <c r="W1850" s="0" t="s">
        <v>138</v>
      </c>
      <c r="X1850" s="14" t="s">
        <v>138</v>
      </c>
      <c r="Y1850" s="0" t="s">
        <v>138</v>
      </c>
      <c r="Z1850" s="14" t="s">
        <v>138</v>
      </c>
      <c r="AA1850" s="0" t="s">
        <v>138</v>
      </c>
      <c r="AB1850" s="14" t="s">
        <v>138</v>
      </c>
      <c r="AD1850" s="0" t="s">
        <v>138</v>
      </c>
      <c r="AF1850" s="0">
        <v>0</v>
      </c>
      <c r="AG1850" s="0">
        <v>0</v>
      </c>
      <c r="AH1850" s="0" t="s">
        <v>140</v>
      </c>
      <c r="AI1850" s="0" t="s">
        <v>138</v>
      </c>
      <c r="AL1850" s="14"/>
      <c r="AN1850" s="14"/>
      <c r="AQ1850" s="0" t="s">
        <v>130</v>
      </c>
      <c r="AR1850" s="0" t="s">
        <v>130</v>
      </c>
      <c r="AS1850" s="0" t="s">
        <v>130</v>
      </c>
      <c r="AT1850" s="0" t="s">
        <v>130</v>
      </c>
      <c r="AU1850" s="0" t="s">
        <v>130</v>
      </c>
      <c r="AV1850" s="0" t="s">
        <v>130</v>
      </c>
      <c r="AW1850" s="0" t="s">
        <v>130</v>
      </c>
      <c r="AX1850" s="0" t="s">
        <v>130</v>
      </c>
      <c r="AY1850" s="0" t="s">
        <v>130</v>
      </c>
      <c r="AZ1850" s="0" t="s">
        <v>130</v>
      </c>
      <c r="BA1850" s="0" t="s">
        <v>130</v>
      </c>
      <c r="BB1850" s="0" t="s">
        <v>130</v>
      </c>
      <c r="BC1850" s="0" t="s">
        <v>130</v>
      </c>
      <c r="BD1850" s="0" t="s">
        <v>130</v>
      </c>
      <c r="BE1850" s="0" t="s">
        <v>130</v>
      </c>
      <c r="BF1850" s="0" t="s">
        <v>130</v>
      </c>
      <c r="BG1850" s="0" t="s">
        <v>130</v>
      </c>
      <c r="BH1850" s="0" t="s">
        <v>130</v>
      </c>
      <c r="BI1850" s="0" t="s">
        <v>130</v>
      </c>
      <c r="BJ1850" s="0" t="s">
        <v>130</v>
      </c>
      <c r="BK1850" s="0" t="s">
        <v>130</v>
      </c>
      <c r="BL1850" s="0" t="s">
        <v>130</v>
      </c>
      <c r="BM1850" s="0" t="s">
        <v>130</v>
      </c>
      <c r="BN1850" s="0" t="s">
        <v>130</v>
      </c>
      <c r="BO1850" s="0" t="s">
        <v>130</v>
      </c>
      <c r="BP1850" s="0" t="s">
        <v>130</v>
      </c>
      <c r="BQ1850" s="0" t="s">
        <v>130</v>
      </c>
      <c r="BR1850" s="0" t="s">
        <v>130</v>
      </c>
      <c r="BS1850" s="0" t="s">
        <v>130</v>
      </c>
      <c r="BT1850" s="0" t="s">
        <v>130</v>
      </c>
      <c r="BU1850" s="0" t="s">
        <v>130</v>
      </c>
      <c r="BV1850" s="0" t="s">
        <v>130</v>
      </c>
      <c r="BW1850" s="0" t="s">
        <v>130</v>
      </c>
      <c r="BX1850" s="0" t="s">
        <v>130</v>
      </c>
      <c r="BY1850" s="0" t="s">
        <v>130</v>
      </c>
      <c r="BZ1850" s="0" t="s">
        <v>130</v>
      </c>
      <c r="CA1850" s="0" t="s">
        <v>130</v>
      </c>
      <c r="CB1850" s="0" t="s">
        <v>130</v>
      </c>
      <c r="CC1850" s="0" t="s">
        <v>130</v>
      </c>
      <c r="CD1850" s="0" t="s">
        <v>130</v>
      </c>
      <c r="CE1850" s="0" t="s">
        <v>130</v>
      </c>
      <c r="CF1850" s="0" t="s">
        <v>130</v>
      </c>
      <c r="CG1850" s="0" t="s">
        <v>130</v>
      </c>
      <c r="CH1850" s="0" t="s">
        <v>130</v>
      </c>
      <c r="CI1850" s="0" t="s">
        <v>130</v>
      </c>
      <c r="CJ1850" s="0" t="s">
        <v>130</v>
      </c>
      <c r="CK1850" s="0" t="s">
        <v>130</v>
      </c>
      <c r="CL1850" s="0" t="s">
        <v>130</v>
      </c>
      <c r="CM1850" s="0" t="s">
        <v>130</v>
      </c>
      <c r="CN1850" s="0" t="s">
        <v>130</v>
      </c>
      <c r="CO1850" s="0" t="s">
        <v>130</v>
      </c>
      <c r="CP1850" s="0" t="s">
        <v>130</v>
      </c>
      <c r="CQ1850" s="0" t="s">
        <v>130</v>
      </c>
      <c r="CR1850" s="0" t="s">
        <v>130</v>
      </c>
      <c r="CS1850" s="0" t="s">
        <v>130</v>
      </c>
      <c r="CT1850" s="0" t="s">
        <v>5244</v>
      </c>
    </row>
    <row r="1851">
      <c r="A1851" s="14">
        <v>101779</v>
      </c>
      <c r="B1851" s="0" t="s">
        <v>2006</v>
      </c>
      <c r="C1851" s="16">
        <f>HYPERLINK("https://eosportal.federatedhermes.com/companies/Q29tcGFueQppODE1NDU=", "Tyson Foods Inc")</f>
      </c>
      <c r="D1851" s="0" t="s">
        <v>23</v>
      </c>
      <c r="E1851" s="0" t="s">
        <v>5245</v>
      </c>
      <c r="F1851" s="16">
        <f>HYPERLINK("https://eosportal.federatedhermes.com/engagements/RW5nYWdlbWVudAppMzEwMTc=", "Regenerative Agriculture")</f>
      </c>
      <c r="G1851" s="14" t="s">
        <v>5246</v>
      </c>
      <c r="H1851" s="0" t="s">
        <v>141</v>
      </c>
      <c r="I1851" s="14" t="s">
        <v>131</v>
      </c>
      <c r="J1851" s="0" t="s">
        <v>197</v>
      </c>
      <c r="K1851" s="0" t="s">
        <v>337</v>
      </c>
      <c r="L1851" s="0" t="s">
        <v>576</v>
      </c>
      <c r="M1851" s="0" t="s">
        <v>135</v>
      </c>
      <c r="N1851" s="0" t="s">
        <v>136</v>
      </c>
      <c r="O1851" s="0" t="s">
        <v>332</v>
      </c>
      <c r="Q1851" s="0" t="s">
        <v>141</v>
      </c>
      <c r="R1851" s="0" t="s">
        <v>130</v>
      </c>
      <c r="S1851" s="14">
        <v>1</v>
      </c>
      <c r="T1851" s="0" t="s">
        <v>597</v>
      </c>
      <c r="U1851" s="0" t="s">
        <v>221</v>
      </c>
      <c r="V1851" s="14" t="s">
        <v>597</v>
      </c>
      <c r="W1851" s="0" t="s">
        <v>223</v>
      </c>
      <c r="X1851" s="14" t="s">
        <v>138</v>
      </c>
      <c r="Y1851" s="0" t="s">
        <v>224</v>
      </c>
      <c r="Z1851" s="14" t="s">
        <v>138</v>
      </c>
      <c r="AA1851" s="0" t="s">
        <v>224</v>
      </c>
      <c r="AB1851" s="14" t="s">
        <v>138</v>
      </c>
      <c r="AD1851" s="0" t="s">
        <v>14</v>
      </c>
      <c r="AF1851" s="0">
        <v>0</v>
      </c>
      <c r="AG1851" s="0">
        <v>0</v>
      </c>
      <c r="AH1851" s="0" t="s">
        <v>140</v>
      </c>
      <c r="AI1851" s="0" t="s">
        <v>225</v>
      </c>
      <c r="AK1851" s="0" t="s">
        <v>2019</v>
      </c>
      <c r="AL1851" s="14"/>
      <c r="AN1851" s="14"/>
      <c r="AQ1851" s="0" t="s">
        <v>130</v>
      </c>
      <c r="AR1851" s="0" t="s">
        <v>141</v>
      </c>
      <c r="AS1851" s="0" t="s">
        <v>130</v>
      </c>
      <c r="AT1851" s="0" t="s">
        <v>130</v>
      </c>
      <c r="AU1851" s="0" t="s">
        <v>130</v>
      </c>
      <c r="AV1851" s="0" t="s">
        <v>130</v>
      </c>
      <c r="AW1851" s="0" t="s">
        <v>130</v>
      </c>
      <c r="AX1851" s="0" t="s">
        <v>130</v>
      </c>
      <c r="AY1851" s="0" t="s">
        <v>130</v>
      </c>
      <c r="AZ1851" s="0" t="s">
        <v>130</v>
      </c>
      <c r="BA1851" s="0" t="s">
        <v>130</v>
      </c>
      <c r="BB1851" s="0" t="s">
        <v>141</v>
      </c>
      <c r="BC1851" s="0" t="s">
        <v>130</v>
      </c>
      <c r="BD1851" s="0" t="s">
        <v>130</v>
      </c>
      <c r="BE1851" s="0" t="s">
        <v>141</v>
      </c>
      <c r="BF1851" s="0" t="s">
        <v>130</v>
      </c>
      <c r="BG1851" s="0" t="s">
        <v>130</v>
      </c>
      <c r="BH1851" s="0" t="s">
        <v>130</v>
      </c>
      <c r="BI1851" s="0" t="s">
        <v>130</v>
      </c>
      <c r="BJ1851" s="0" t="s">
        <v>130</v>
      </c>
      <c r="BK1851" s="0" t="s">
        <v>130</v>
      </c>
      <c r="BL1851" s="0" t="s">
        <v>130</v>
      </c>
      <c r="BM1851" s="0" t="s">
        <v>130</v>
      </c>
      <c r="BN1851" s="0" t="s">
        <v>130</v>
      </c>
      <c r="BO1851" s="0" t="s">
        <v>130</v>
      </c>
      <c r="BP1851" s="0" t="s">
        <v>130</v>
      </c>
      <c r="BQ1851" s="0" t="s">
        <v>130</v>
      </c>
      <c r="BR1851" s="0" t="s">
        <v>130</v>
      </c>
      <c r="BS1851" s="0" t="s">
        <v>130</v>
      </c>
      <c r="BT1851" s="0" t="s">
        <v>130</v>
      </c>
      <c r="BU1851" s="0" t="s">
        <v>130</v>
      </c>
      <c r="BV1851" s="0" t="s">
        <v>130</v>
      </c>
      <c r="BW1851" s="0" t="s">
        <v>130</v>
      </c>
      <c r="BX1851" s="0" t="s">
        <v>130</v>
      </c>
      <c r="BY1851" s="0" t="s">
        <v>130</v>
      </c>
      <c r="BZ1851" s="0" t="s">
        <v>130</v>
      </c>
      <c r="CA1851" s="0" t="s">
        <v>130</v>
      </c>
      <c r="CB1851" s="0" t="s">
        <v>130</v>
      </c>
      <c r="CC1851" s="0" t="s">
        <v>130</v>
      </c>
      <c r="CD1851" s="0" t="s">
        <v>130</v>
      </c>
      <c r="CE1851" s="0" t="s">
        <v>130</v>
      </c>
      <c r="CF1851" s="0" t="s">
        <v>130</v>
      </c>
      <c r="CG1851" s="0" t="s">
        <v>130</v>
      </c>
      <c r="CH1851" s="0" t="s">
        <v>130</v>
      </c>
      <c r="CI1851" s="0" t="s">
        <v>130</v>
      </c>
      <c r="CJ1851" s="0" t="s">
        <v>130</v>
      </c>
      <c r="CK1851" s="0" t="s">
        <v>130</v>
      </c>
      <c r="CL1851" s="0" t="s">
        <v>130</v>
      </c>
      <c r="CM1851" s="0" t="s">
        <v>130</v>
      </c>
      <c r="CN1851" s="0" t="s">
        <v>130</v>
      </c>
      <c r="CO1851" s="0" t="s">
        <v>130</v>
      </c>
      <c r="CP1851" s="0" t="s">
        <v>130</v>
      </c>
      <c r="CQ1851" s="0" t="s">
        <v>130</v>
      </c>
      <c r="CR1851" s="0" t="s">
        <v>130</v>
      </c>
      <c r="CS1851" s="0" t="s">
        <v>130</v>
      </c>
      <c r="CT1851" s="0" t="s">
        <v>5247</v>
      </c>
    </row>
    <row r="1852">
      <c r="A1852" s="14">
        <v>101177</v>
      </c>
      <c r="B1852" s="0" t="s">
        <v>5248</v>
      </c>
      <c r="C1852" s="16">
        <f>HYPERLINK("https://eosportal.federatedhermes.com/companies/Q29tcGFueQppODUwMDc=", "PulteGroup Inc")</f>
      </c>
      <c r="D1852" s="0" t="s">
        <v>25</v>
      </c>
      <c r="E1852" s="0" t="s">
        <v>821</v>
      </c>
      <c r="F1852" s="16">
        <f>HYPERLINK("https://eosportal.federatedhermes.com/engagements/RW5nYWdlbWVudAppMzEwMjI=", "Board Diversity")</f>
      </c>
      <c r="G1852" s="14" t="s">
        <v>5249</v>
      </c>
      <c r="H1852" s="0" t="s">
        <v>130</v>
      </c>
      <c r="I1852" s="14" t="s">
        <v>131</v>
      </c>
      <c r="J1852" s="0" t="s">
        <v>145</v>
      </c>
      <c r="K1852" s="0" t="s">
        <v>164</v>
      </c>
      <c r="L1852" s="0" t="s">
        <v>165</v>
      </c>
      <c r="M1852" s="0" t="s">
        <v>135</v>
      </c>
      <c r="N1852" s="0" t="s">
        <v>136</v>
      </c>
      <c r="O1852" s="0" t="s">
        <v>332</v>
      </c>
      <c r="Q1852" s="0" t="s">
        <v>130</v>
      </c>
      <c r="R1852" s="0" t="s">
        <v>138</v>
      </c>
      <c r="S1852" s="14">
        <v>0</v>
      </c>
      <c r="T1852" s="0" t="s">
        <v>597</v>
      </c>
      <c r="U1852" s="0" t="s">
        <v>138</v>
      </c>
      <c r="V1852" s="14" t="s">
        <v>138</v>
      </c>
      <c r="W1852" s="0" t="s">
        <v>138</v>
      </c>
      <c r="X1852" s="14" t="s">
        <v>138</v>
      </c>
      <c r="Y1852" s="0" t="s">
        <v>138</v>
      </c>
      <c r="Z1852" s="14" t="s">
        <v>138</v>
      </c>
      <c r="AA1852" s="0" t="s">
        <v>138</v>
      </c>
      <c r="AB1852" s="14" t="s">
        <v>138</v>
      </c>
      <c r="AD1852" s="0" t="s">
        <v>138</v>
      </c>
      <c r="AF1852" s="0">
        <v>0</v>
      </c>
      <c r="AG1852" s="0">
        <v>0</v>
      </c>
      <c r="AH1852" s="0" t="s">
        <v>140</v>
      </c>
      <c r="AI1852" s="0" t="s">
        <v>138</v>
      </c>
      <c r="AL1852" s="14"/>
      <c r="AN1852" s="14"/>
      <c r="AQ1852" s="0" t="s">
        <v>130</v>
      </c>
      <c r="AR1852" s="0" t="s">
        <v>130</v>
      </c>
      <c r="AS1852" s="0" t="s">
        <v>130</v>
      </c>
      <c r="AT1852" s="0" t="s">
        <v>130</v>
      </c>
      <c r="AU1852" s="0" t="s">
        <v>141</v>
      </c>
      <c r="AV1852" s="0" t="s">
        <v>130</v>
      </c>
      <c r="AW1852" s="0" t="s">
        <v>130</v>
      </c>
      <c r="AX1852" s="0" t="s">
        <v>130</v>
      </c>
      <c r="AY1852" s="0" t="s">
        <v>130</v>
      </c>
      <c r="AZ1852" s="0" t="s">
        <v>130</v>
      </c>
      <c r="BA1852" s="0" t="s">
        <v>130</v>
      </c>
      <c r="BB1852" s="0" t="s">
        <v>130</v>
      </c>
      <c r="BC1852" s="0" t="s">
        <v>130</v>
      </c>
      <c r="BD1852" s="0" t="s">
        <v>130</v>
      </c>
      <c r="BE1852" s="0" t="s">
        <v>130</v>
      </c>
      <c r="BF1852" s="0" t="s">
        <v>130</v>
      </c>
      <c r="BG1852" s="0" t="s">
        <v>130</v>
      </c>
      <c r="BH1852" s="0" t="s">
        <v>130</v>
      </c>
      <c r="BI1852" s="0" t="s">
        <v>130</v>
      </c>
      <c r="BJ1852" s="0" t="s">
        <v>130</v>
      </c>
      <c r="BK1852" s="0" t="s">
        <v>130</v>
      </c>
      <c r="BL1852" s="0" t="s">
        <v>130</v>
      </c>
      <c r="BM1852" s="0" t="s">
        <v>130</v>
      </c>
      <c r="BN1852" s="0" t="s">
        <v>130</v>
      </c>
      <c r="BO1852" s="0" t="s">
        <v>130</v>
      </c>
      <c r="BP1852" s="0" t="s">
        <v>130</v>
      </c>
      <c r="BQ1852" s="0" t="s">
        <v>130</v>
      </c>
      <c r="BR1852" s="0" t="s">
        <v>130</v>
      </c>
      <c r="BS1852" s="0" t="s">
        <v>130</v>
      </c>
      <c r="BT1852" s="0" t="s">
        <v>130</v>
      </c>
      <c r="BU1852" s="0" t="s">
        <v>130</v>
      </c>
      <c r="BV1852" s="0" t="s">
        <v>130</v>
      </c>
      <c r="BW1852" s="0" t="s">
        <v>130</v>
      </c>
      <c r="BX1852" s="0" t="s">
        <v>130</v>
      </c>
      <c r="BY1852" s="0" t="s">
        <v>130</v>
      </c>
      <c r="BZ1852" s="0" t="s">
        <v>130</v>
      </c>
      <c r="CA1852" s="0" t="s">
        <v>130</v>
      </c>
      <c r="CB1852" s="0" t="s">
        <v>130</v>
      </c>
      <c r="CC1852" s="0" t="s">
        <v>130</v>
      </c>
      <c r="CD1852" s="0" t="s">
        <v>130</v>
      </c>
      <c r="CE1852" s="0" t="s">
        <v>130</v>
      </c>
      <c r="CF1852" s="0" t="s">
        <v>130</v>
      </c>
      <c r="CG1852" s="0" t="s">
        <v>130</v>
      </c>
      <c r="CH1852" s="0" t="s">
        <v>130</v>
      </c>
      <c r="CI1852" s="0" t="s">
        <v>130</v>
      </c>
      <c r="CJ1852" s="0" t="s">
        <v>130</v>
      </c>
      <c r="CK1852" s="0" t="s">
        <v>130</v>
      </c>
      <c r="CL1852" s="0" t="s">
        <v>130</v>
      </c>
      <c r="CM1852" s="0" t="s">
        <v>130</v>
      </c>
      <c r="CN1852" s="0" t="s">
        <v>130</v>
      </c>
      <c r="CO1852" s="0" t="s">
        <v>130</v>
      </c>
      <c r="CP1852" s="0" t="s">
        <v>130</v>
      </c>
      <c r="CQ1852" s="0" t="s">
        <v>130</v>
      </c>
      <c r="CR1852" s="0" t="s">
        <v>130</v>
      </c>
      <c r="CS1852" s="0" t="s">
        <v>130</v>
      </c>
      <c r="CT1852" s="0" t="s">
        <v>5250</v>
      </c>
    </row>
    <row r="1853">
      <c r="A1853" s="14">
        <v>58121995</v>
      </c>
      <c r="B1853" s="0" t="s">
        <v>4629</v>
      </c>
      <c r="C1853" s="16">
        <f>HYPERLINK("https://eosportal.federatedhermes.com/companies/Q29tcGFueQppNzM3OTU=", "Nutrien Ltd")</f>
      </c>
      <c r="D1853" s="0" t="s">
        <v>25</v>
      </c>
      <c r="E1853" s="0" t="s">
        <v>5251</v>
      </c>
      <c r="F1853" s="16">
        <f>HYPERLINK("https://eosportal.federatedhermes.com/engagements/RW5nYWdlbWVudAppMzEwMjM=", "Product stewardship")</f>
      </c>
      <c r="G1853" s="14" t="s">
        <v>5252</v>
      </c>
      <c r="H1853" s="0" t="s">
        <v>141</v>
      </c>
      <c r="I1853" s="14" t="s">
        <v>131</v>
      </c>
      <c r="J1853" s="0" t="s">
        <v>197</v>
      </c>
      <c r="K1853" s="0" t="s">
        <v>348</v>
      </c>
      <c r="L1853" s="0" t="s">
        <v>650</v>
      </c>
      <c r="M1853" s="0" t="s">
        <v>135</v>
      </c>
      <c r="N1853" s="0" t="s">
        <v>1678</v>
      </c>
      <c r="O1853" s="0" t="s">
        <v>706</v>
      </c>
      <c r="Q1853" s="0" t="s">
        <v>130</v>
      </c>
      <c r="R1853" s="0" t="s">
        <v>138</v>
      </c>
      <c r="S1853" s="14">
        <v>0</v>
      </c>
      <c r="T1853" s="0" t="s">
        <v>597</v>
      </c>
      <c r="U1853" s="0" t="s">
        <v>138</v>
      </c>
      <c r="V1853" s="14" t="s">
        <v>138</v>
      </c>
      <c r="W1853" s="0" t="s">
        <v>138</v>
      </c>
      <c r="X1853" s="14" t="s">
        <v>138</v>
      </c>
      <c r="Y1853" s="0" t="s">
        <v>138</v>
      </c>
      <c r="Z1853" s="14" t="s">
        <v>138</v>
      </c>
      <c r="AA1853" s="0" t="s">
        <v>138</v>
      </c>
      <c r="AB1853" s="14" t="s">
        <v>138</v>
      </c>
      <c r="AD1853" s="0" t="s">
        <v>138</v>
      </c>
      <c r="AF1853" s="0">
        <v>0</v>
      </c>
      <c r="AG1853" s="0">
        <v>0</v>
      </c>
      <c r="AH1853" s="0" t="s">
        <v>140</v>
      </c>
      <c r="AI1853" s="0" t="s">
        <v>138</v>
      </c>
      <c r="AL1853" s="14"/>
      <c r="AN1853" s="14"/>
      <c r="AQ1853" s="0" t="s">
        <v>130</v>
      </c>
      <c r="AR1853" s="0" t="s">
        <v>130</v>
      </c>
      <c r="AS1853" s="0" t="s">
        <v>141</v>
      </c>
      <c r="AT1853" s="0" t="s">
        <v>130</v>
      </c>
      <c r="AU1853" s="0" t="s">
        <v>130</v>
      </c>
      <c r="AV1853" s="0" t="s">
        <v>130</v>
      </c>
      <c r="AW1853" s="0" t="s">
        <v>130</v>
      </c>
      <c r="AX1853" s="0" t="s">
        <v>130</v>
      </c>
      <c r="AY1853" s="0" t="s">
        <v>130</v>
      </c>
      <c r="AZ1853" s="0" t="s">
        <v>130</v>
      </c>
      <c r="BA1853" s="0" t="s">
        <v>130</v>
      </c>
      <c r="BB1853" s="0" t="s">
        <v>141</v>
      </c>
      <c r="BC1853" s="0" t="s">
        <v>130</v>
      </c>
      <c r="BD1853" s="0" t="s">
        <v>130</v>
      </c>
      <c r="BE1853" s="0" t="s">
        <v>130</v>
      </c>
      <c r="BF1853" s="0" t="s">
        <v>130</v>
      </c>
      <c r="BG1853" s="0" t="s">
        <v>130</v>
      </c>
      <c r="BH1853" s="0" t="s">
        <v>130</v>
      </c>
      <c r="BI1853" s="0" t="s">
        <v>130</v>
      </c>
      <c r="BJ1853" s="0" t="s">
        <v>130</v>
      </c>
      <c r="BK1853" s="0" t="s">
        <v>130</v>
      </c>
      <c r="BL1853" s="0" t="s">
        <v>130</v>
      </c>
      <c r="BM1853" s="0" t="s">
        <v>130</v>
      </c>
      <c r="BN1853" s="0" t="s">
        <v>130</v>
      </c>
      <c r="BO1853" s="0" t="s">
        <v>130</v>
      </c>
      <c r="BP1853" s="0" t="s">
        <v>130</v>
      </c>
      <c r="BQ1853" s="0" t="s">
        <v>130</v>
      </c>
      <c r="BR1853" s="0" t="s">
        <v>130</v>
      </c>
      <c r="BS1853" s="0" t="s">
        <v>130</v>
      </c>
      <c r="BT1853" s="0" t="s">
        <v>130</v>
      </c>
      <c r="BU1853" s="0" t="s">
        <v>130</v>
      </c>
      <c r="BV1853" s="0" t="s">
        <v>130</v>
      </c>
      <c r="BW1853" s="0" t="s">
        <v>130</v>
      </c>
      <c r="BX1853" s="0" t="s">
        <v>130</v>
      </c>
      <c r="BY1853" s="0" t="s">
        <v>130</v>
      </c>
      <c r="BZ1853" s="0" t="s">
        <v>130</v>
      </c>
      <c r="CA1853" s="0" t="s">
        <v>130</v>
      </c>
      <c r="CB1853" s="0" t="s">
        <v>130</v>
      </c>
      <c r="CC1853" s="0" t="s">
        <v>130</v>
      </c>
      <c r="CD1853" s="0" t="s">
        <v>130</v>
      </c>
      <c r="CE1853" s="0" t="s">
        <v>130</v>
      </c>
      <c r="CF1853" s="0" t="s">
        <v>130</v>
      </c>
      <c r="CG1853" s="0" t="s">
        <v>130</v>
      </c>
      <c r="CH1853" s="0" t="s">
        <v>130</v>
      </c>
      <c r="CI1853" s="0" t="s">
        <v>130</v>
      </c>
      <c r="CJ1853" s="0" t="s">
        <v>130</v>
      </c>
      <c r="CK1853" s="0" t="s">
        <v>130</v>
      </c>
      <c r="CL1853" s="0" t="s">
        <v>130</v>
      </c>
      <c r="CM1853" s="0" t="s">
        <v>130</v>
      </c>
      <c r="CN1853" s="0" t="s">
        <v>130</v>
      </c>
      <c r="CO1853" s="0" t="s">
        <v>130</v>
      </c>
      <c r="CP1853" s="0" t="s">
        <v>130</v>
      </c>
      <c r="CQ1853" s="0" t="s">
        <v>130</v>
      </c>
      <c r="CR1853" s="0" t="s">
        <v>130</v>
      </c>
      <c r="CS1853" s="0" t="s">
        <v>130</v>
      </c>
      <c r="CT1853" s="0" t="s">
        <v>5253</v>
      </c>
    </row>
    <row r="1854">
      <c r="A1854" s="14">
        <v>7044851</v>
      </c>
      <c r="B1854" s="0" t="s">
        <v>3763</v>
      </c>
      <c r="C1854" s="16">
        <f>HYPERLINK("https://eosportal.federatedhermes.com/companies/Q29tcGFueQppODQ2NDc=", "Compass Group PLC")</f>
      </c>
      <c r="D1854" s="0" t="s">
        <v>23</v>
      </c>
      <c r="E1854" s="0" t="s">
        <v>5254</v>
      </c>
      <c r="F1854" s="16">
        <f>HYPERLINK("https://eosportal.federatedhermes.com/engagements/RW5nYWdlbWVudAppMzEwMjQ=", "Supply Chain Assessment")</f>
      </c>
      <c r="G1854" s="14" t="s">
        <v>5255</v>
      </c>
      <c r="H1854" s="0" t="s">
        <v>141</v>
      </c>
      <c r="I1854" s="14" t="s">
        <v>191</v>
      </c>
      <c r="J1854" s="0" t="s">
        <v>153</v>
      </c>
      <c r="K1854" s="0" t="s">
        <v>243</v>
      </c>
      <c r="L1854" s="0" t="s">
        <v>244</v>
      </c>
      <c r="M1854" s="0" t="s">
        <v>272</v>
      </c>
      <c r="N1854" s="0" t="s">
        <v>273</v>
      </c>
      <c r="O1854" s="0" t="s">
        <v>643</v>
      </c>
      <c r="Q1854" s="0" t="s">
        <v>141</v>
      </c>
      <c r="R1854" s="0" t="s">
        <v>130</v>
      </c>
      <c r="S1854" s="14">
        <v>1</v>
      </c>
      <c r="T1854" s="0" t="s">
        <v>597</v>
      </c>
      <c r="U1854" s="0" t="s">
        <v>221</v>
      </c>
      <c r="V1854" s="14" t="s">
        <v>597</v>
      </c>
      <c r="W1854" s="0" t="s">
        <v>221</v>
      </c>
      <c r="X1854" s="14" t="s">
        <v>597</v>
      </c>
      <c r="Y1854" s="0" t="s">
        <v>221</v>
      </c>
      <c r="Z1854" s="14" t="s">
        <v>2270</v>
      </c>
      <c r="AA1854" s="0" t="s">
        <v>223</v>
      </c>
      <c r="AB1854" s="14" t="s">
        <v>138</v>
      </c>
      <c r="AD1854" s="0" t="s">
        <v>20</v>
      </c>
      <c r="AF1854" s="0">
        <v>0</v>
      </c>
      <c r="AG1854" s="0">
        <v>0</v>
      </c>
      <c r="AH1854" s="0" t="s">
        <v>140</v>
      </c>
      <c r="AI1854" s="0" t="s">
        <v>479</v>
      </c>
      <c r="AK1854" s="0" t="s">
        <v>1853</v>
      </c>
      <c r="AL1854" s="14"/>
      <c r="AN1854" s="14"/>
      <c r="AQ1854" s="0" t="s">
        <v>130</v>
      </c>
      <c r="AR1854" s="0" t="s">
        <v>130</v>
      </c>
      <c r="AS1854" s="0" t="s">
        <v>130</v>
      </c>
      <c r="AT1854" s="0" t="s">
        <v>130</v>
      </c>
      <c r="AU1854" s="0" t="s">
        <v>130</v>
      </c>
      <c r="AV1854" s="0" t="s">
        <v>130</v>
      </c>
      <c r="AW1854" s="0" t="s">
        <v>130</v>
      </c>
      <c r="AX1854" s="0" t="s">
        <v>141</v>
      </c>
      <c r="AY1854" s="0" t="s">
        <v>130</v>
      </c>
      <c r="AZ1854" s="0" t="s">
        <v>130</v>
      </c>
      <c r="BA1854" s="0" t="s">
        <v>130</v>
      </c>
      <c r="BB1854" s="0" t="s">
        <v>130</v>
      </c>
      <c r="BC1854" s="0" t="s">
        <v>130</v>
      </c>
      <c r="BD1854" s="0" t="s">
        <v>130</v>
      </c>
      <c r="BE1854" s="0" t="s">
        <v>130</v>
      </c>
      <c r="BF1854" s="0" t="s">
        <v>130</v>
      </c>
      <c r="BG1854" s="0" t="s">
        <v>130</v>
      </c>
      <c r="BH1854" s="0" t="s">
        <v>130</v>
      </c>
      <c r="BI1854" s="0" t="s">
        <v>130</v>
      </c>
      <c r="BJ1854" s="0" t="s">
        <v>130</v>
      </c>
      <c r="BK1854" s="0" t="s">
        <v>130</v>
      </c>
      <c r="BL1854" s="0" t="s">
        <v>130</v>
      </c>
      <c r="BM1854" s="0" t="s">
        <v>130</v>
      </c>
      <c r="BN1854" s="0" t="s">
        <v>130</v>
      </c>
      <c r="BO1854" s="0" t="s">
        <v>130</v>
      </c>
      <c r="BP1854" s="0" t="s">
        <v>130</v>
      </c>
      <c r="BQ1854" s="0" t="s">
        <v>130</v>
      </c>
      <c r="BR1854" s="0" t="s">
        <v>130</v>
      </c>
      <c r="BS1854" s="0" t="s">
        <v>130</v>
      </c>
      <c r="BT1854" s="0" t="s">
        <v>130</v>
      </c>
      <c r="BU1854" s="0" t="s">
        <v>130</v>
      </c>
      <c r="BV1854" s="0" t="s">
        <v>130</v>
      </c>
      <c r="BW1854" s="0" t="s">
        <v>130</v>
      </c>
      <c r="BX1854" s="0" t="s">
        <v>130</v>
      </c>
      <c r="BY1854" s="0" t="s">
        <v>130</v>
      </c>
      <c r="BZ1854" s="0" t="s">
        <v>130</v>
      </c>
      <c r="CA1854" s="0" t="s">
        <v>130</v>
      </c>
      <c r="CB1854" s="0" t="s">
        <v>130</v>
      </c>
      <c r="CC1854" s="0" t="s">
        <v>130</v>
      </c>
      <c r="CD1854" s="0" t="s">
        <v>130</v>
      </c>
      <c r="CE1854" s="0" t="s">
        <v>130</v>
      </c>
      <c r="CF1854" s="0" t="s">
        <v>130</v>
      </c>
      <c r="CG1854" s="0" t="s">
        <v>130</v>
      </c>
      <c r="CH1854" s="0" t="s">
        <v>130</v>
      </c>
      <c r="CI1854" s="0" t="s">
        <v>130</v>
      </c>
      <c r="CJ1854" s="0" t="s">
        <v>130</v>
      </c>
      <c r="CK1854" s="0" t="s">
        <v>130</v>
      </c>
      <c r="CL1854" s="0" t="s">
        <v>130</v>
      </c>
      <c r="CM1854" s="0" t="s">
        <v>130</v>
      </c>
      <c r="CN1854" s="0" t="s">
        <v>130</v>
      </c>
      <c r="CO1854" s="0" t="s">
        <v>130</v>
      </c>
      <c r="CP1854" s="0" t="s">
        <v>130</v>
      </c>
      <c r="CQ1854" s="0" t="s">
        <v>130</v>
      </c>
      <c r="CR1854" s="0" t="s">
        <v>130</v>
      </c>
      <c r="CS1854" s="0" t="s">
        <v>130</v>
      </c>
      <c r="CT1854" s="0" t="s">
        <v>5256</v>
      </c>
    </row>
    <row r="1855">
      <c r="A1855" s="14">
        <v>7044851</v>
      </c>
      <c r="B1855" s="0" t="s">
        <v>3763</v>
      </c>
      <c r="C1855" s="16">
        <f>HYPERLINK("https://eosportal.federatedhermes.com/companies/Q29tcGFueQppODQ2NDc=", "Compass Group PLC")</f>
      </c>
      <c r="D1855" s="0" t="s">
        <v>25</v>
      </c>
      <c r="E1855" s="0" t="s">
        <v>5257</v>
      </c>
      <c r="F1855" s="16">
        <f>HYPERLINK("https://eosportal.federatedhermes.com/engagements/RW5nYWdlbWVudAppMzEwMjg=", "Cost of Living Crisis")</f>
      </c>
      <c r="G1855" s="14" t="s">
        <v>5258</v>
      </c>
      <c r="H1855" s="0" t="s">
        <v>141</v>
      </c>
      <c r="I1855" s="14" t="s">
        <v>191</v>
      </c>
      <c r="J1855" s="0" t="s">
        <v>132</v>
      </c>
      <c r="K1855" s="0" t="s">
        <v>133</v>
      </c>
      <c r="L1855" s="0" t="s">
        <v>134</v>
      </c>
      <c r="M1855" s="0" t="s">
        <v>272</v>
      </c>
      <c r="N1855" s="0" t="s">
        <v>273</v>
      </c>
      <c r="O1855" s="0" t="s">
        <v>643</v>
      </c>
      <c r="Q1855" s="0" t="s">
        <v>130</v>
      </c>
      <c r="R1855" s="0" t="s">
        <v>138</v>
      </c>
      <c r="S1855" s="14">
        <v>0</v>
      </c>
      <c r="T1855" s="0" t="s">
        <v>597</v>
      </c>
      <c r="U1855" s="0" t="s">
        <v>138</v>
      </c>
      <c r="V1855" s="14" t="s">
        <v>138</v>
      </c>
      <c r="W1855" s="0" t="s">
        <v>138</v>
      </c>
      <c r="X1855" s="14" t="s">
        <v>138</v>
      </c>
      <c r="Y1855" s="0" t="s">
        <v>138</v>
      </c>
      <c r="Z1855" s="14" t="s">
        <v>138</v>
      </c>
      <c r="AA1855" s="0" t="s">
        <v>138</v>
      </c>
      <c r="AB1855" s="14" t="s">
        <v>138</v>
      </c>
      <c r="AD1855" s="0" t="s">
        <v>138</v>
      </c>
      <c r="AF1855" s="0">
        <v>0</v>
      </c>
      <c r="AG1855" s="0">
        <v>0</v>
      </c>
      <c r="AH1855" s="0" t="s">
        <v>140</v>
      </c>
      <c r="AI1855" s="0" t="s">
        <v>138</v>
      </c>
      <c r="AL1855" s="14"/>
      <c r="AN1855" s="14"/>
      <c r="AQ1855" s="0" t="s">
        <v>130</v>
      </c>
      <c r="AR1855" s="0" t="s">
        <v>130</v>
      </c>
      <c r="AS1855" s="0" t="s">
        <v>130</v>
      </c>
      <c r="AT1855" s="0" t="s">
        <v>130</v>
      </c>
      <c r="AU1855" s="0" t="s">
        <v>130</v>
      </c>
      <c r="AV1855" s="0" t="s">
        <v>130</v>
      </c>
      <c r="AW1855" s="0" t="s">
        <v>130</v>
      </c>
      <c r="AX1855" s="0" t="s">
        <v>130</v>
      </c>
      <c r="AY1855" s="0" t="s">
        <v>130</v>
      </c>
      <c r="AZ1855" s="0" t="s">
        <v>130</v>
      </c>
      <c r="BA1855" s="0" t="s">
        <v>130</v>
      </c>
      <c r="BB1855" s="0" t="s">
        <v>130</v>
      </c>
      <c r="BC1855" s="0" t="s">
        <v>130</v>
      </c>
      <c r="BD1855" s="0" t="s">
        <v>130</v>
      </c>
      <c r="BE1855" s="0" t="s">
        <v>130</v>
      </c>
      <c r="BF1855" s="0" t="s">
        <v>130</v>
      </c>
      <c r="BG1855" s="0" t="s">
        <v>130</v>
      </c>
      <c r="BH1855" s="0" t="s">
        <v>130</v>
      </c>
      <c r="BI1855" s="0" t="s">
        <v>130</v>
      </c>
      <c r="BJ1855" s="0" t="s">
        <v>130</v>
      </c>
      <c r="BK1855" s="0" t="s">
        <v>130</v>
      </c>
      <c r="BL1855" s="0" t="s">
        <v>130</v>
      </c>
      <c r="BM1855" s="0" t="s">
        <v>130</v>
      </c>
      <c r="BN1855" s="0" t="s">
        <v>130</v>
      </c>
      <c r="BO1855" s="0" t="s">
        <v>130</v>
      </c>
      <c r="BP1855" s="0" t="s">
        <v>130</v>
      </c>
      <c r="BQ1855" s="0" t="s">
        <v>130</v>
      </c>
      <c r="BR1855" s="0" t="s">
        <v>130</v>
      </c>
      <c r="BS1855" s="0" t="s">
        <v>130</v>
      </c>
      <c r="BT1855" s="0" t="s">
        <v>130</v>
      </c>
      <c r="BU1855" s="0" t="s">
        <v>130</v>
      </c>
      <c r="BV1855" s="0" t="s">
        <v>130</v>
      </c>
      <c r="BW1855" s="0" t="s">
        <v>130</v>
      </c>
      <c r="BX1855" s="0" t="s">
        <v>130</v>
      </c>
      <c r="BY1855" s="0" t="s">
        <v>130</v>
      </c>
      <c r="BZ1855" s="0" t="s">
        <v>130</v>
      </c>
      <c r="CA1855" s="0" t="s">
        <v>130</v>
      </c>
      <c r="CB1855" s="0" t="s">
        <v>130</v>
      </c>
      <c r="CC1855" s="0" t="s">
        <v>130</v>
      </c>
      <c r="CD1855" s="0" t="s">
        <v>130</v>
      </c>
      <c r="CE1855" s="0" t="s">
        <v>130</v>
      </c>
      <c r="CF1855" s="0" t="s">
        <v>130</v>
      </c>
      <c r="CG1855" s="0" t="s">
        <v>130</v>
      </c>
      <c r="CH1855" s="0" t="s">
        <v>130</v>
      </c>
      <c r="CI1855" s="0" t="s">
        <v>130</v>
      </c>
      <c r="CJ1855" s="0" t="s">
        <v>130</v>
      </c>
      <c r="CK1855" s="0" t="s">
        <v>130</v>
      </c>
      <c r="CL1855" s="0" t="s">
        <v>130</v>
      </c>
      <c r="CM1855" s="0" t="s">
        <v>130</v>
      </c>
      <c r="CN1855" s="0" t="s">
        <v>130</v>
      </c>
      <c r="CO1855" s="0" t="s">
        <v>130</v>
      </c>
      <c r="CP1855" s="0" t="s">
        <v>130</v>
      </c>
      <c r="CQ1855" s="0" t="s">
        <v>130</v>
      </c>
      <c r="CR1855" s="0" t="s">
        <v>130</v>
      </c>
      <c r="CS1855" s="0" t="s">
        <v>130</v>
      </c>
      <c r="CT1855" s="0" t="s">
        <v>5259</v>
      </c>
    </row>
    <row r="1856">
      <c r="A1856" s="14">
        <v>18302043</v>
      </c>
      <c r="B1856" s="0" t="s">
        <v>4424</v>
      </c>
      <c r="C1856" s="16">
        <f>HYPERLINK("https://eosportal.federatedhermes.com/companies/Q29tcGFueQppNTg5ODI=", "Kinder Morgan Inc")</f>
      </c>
      <c r="D1856" s="0" t="s">
        <v>25</v>
      </c>
      <c r="E1856" s="0" t="s">
        <v>5260</v>
      </c>
      <c r="F1856" s="16">
        <f>HYPERLINK("https://eosportal.federatedhermes.com/engagements/RW5nYWdlbWVudAppMzEwMjk=", "Asset Retirement Obligations Disclosure")</f>
      </c>
      <c r="G1856" s="14" t="s">
        <v>5261</v>
      </c>
      <c r="H1856" s="0" t="s">
        <v>141</v>
      </c>
      <c r="I1856" s="14" t="s">
        <v>191</v>
      </c>
      <c r="J1856" s="0" t="s">
        <v>197</v>
      </c>
      <c r="K1856" s="0" t="s">
        <v>198</v>
      </c>
      <c r="L1856" s="0" t="s">
        <v>199</v>
      </c>
      <c r="M1856" s="0" t="s">
        <v>135</v>
      </c>
      <c r="N1856" s="0" t="s">
        <v>136</v>
      </c>
      <c r="O1856" s="0" t="s">
        <v>542</v>
      </c>
      <c r="Q1856" s="0" t="s">
        <v>130</v>
      </c>
      <c r="R1856" s="0" t="s">
        <v>138</v>
      </c>
      <c r="S1856" s="14">
        <v>0</v>
      </c>
      <c r="T1856" s="0" t="s">
        <v>597</v>
      </c>
      <c r="U1856" s="0" t="s">
        <v>138</v>
      </c>
      <c r="V1856" s="14" t="s">
        <v>138</v>
      </c>
      <c r="W1856" s="0" t="s">
        <v>138</v>
      </c>
      <c r="X1856" s="14" t="s">
        <v>138</v>
      </c>
      <c r="Y1856" s="0" t="s">
        <v>138</v>
      </c>
      <c r="Z1856" s="14" t="s">
        <v>138</v>
      </c>
      <c r="AA1856" s="0" t="s">
        <v>138</v>
      </c>
      <c r="AB1856" s="14" t="s">
        <v>138</v>
      </c>
      <c r="AD1856" s="0" t="s">
        <v>138</v>
      </c>
      <c r="AF1856" s="0">
        <v>0</v>
      </c>
      <c r="AG1856" s="0">
        <v>0</v>
      </c>
      <c r="AH1856" s="0" t="s">
        <v>140</v>
      </c>
      <c r="AI1856" s="0" t="s">
        <v>138</v>
      </c>
      <c r="AL1856" s="14"/>
      <c r="AN1856" s="14"/>
      <c r="AQ1856" s="0" t="s">
        <v>130</v>
      </c>
      <c r="AR1856" s="0" t="s">
        <v>130</v>
      </c>
      <c r="AS1856" s="0" t="s">
        <v>130</v>
      </c>
      <c r="AT1856" s="0" t="s">
        <v>130</v>
      </c>
      <c r="AU1856" s="0" t="s">
        <v>130</v>
      </c>
      <c r="AV1856" s="0" t="s">
        <v>130</v>
      </c>
      <c r="AW1856" s="0" t="s">
        <v>130</v>
      </c>
      <c r="AX1856" s="0" t="s">
        <v>130</v>
      </c>
      <c r="AY1856" s="0" t="s">
        <v>130</v>
      </c>
      <c r="AZ1856" s="0" t="s">
        <v>130</v>
      </c>
      <c r="BA1856" s="0" t="s">
        <v>130</v>
      </c>
      <c r="BB1856" s="0" t="s">
        <v>141</v>
      </c>
      <c r="BC1856" s="0" t="s">
        <v>130</v>
      </c>
      <c r="BD1856" s="0" t="s">
        <v>130</v>
      </c>
      <c r="BE1856" s="0" t="s">
        <v>130</v>
      </c>
      <c r="BF1856" s="0" t="s">
        <v>130</v>
      </c>
      <c r="BG1856" s="0" t="s">
        <v>130</v>
      </c>
      <c r="BH1856" s="0" t="s">
        <v>130</v>
      </c>
      <c r="BI1856" s="0" t="s">
        <v>130</v>
      </c>
      <c r="BJ1856" s="0" t="s">
        <v>130</v>
      </c>
      <c r="BK1856" s="0" t="s">
        <v>130</v>
      </c>
      <c r="BL1856" s="0" t="s">
        <v>130</v>
      </c>
      <c r="BM1856" s="0" t="s">
        <v>130</v>
      </c>
      <c r="BN1856" s="0" t="s">
        <v>130</v>
      </c>
      <c r="BO1856" s="0" t="s">
        <v>130</v>
      </c>
      <c r="BP1856" s="0" t="s">
        <v>130</v>
      </c>
      <c r="BQ1856" s="0" t="s">
        <v>130</v>
      </c>
      <c r="BR1856" s="0" t="s">
        <v>130</v>
      </c>
      <c r="BS1856" s="0" t="s">
        <v>130</v>
      </c>
      <c r="BT1856" s="0" t="s">
        <v>130</v>
      </c>
      <c r="BU1856" s="0" t="s">
        <v>130</v>
      </c>
      <c r="BV1856" s="0" t="s">
        <v>130</v>
      </c>
      <c r="BW1856" s="0" t="s">
        <v>130</v>
      </c>
      <c r="BX1856" s="0" t="s">
        <v>130</v>
      </c>
      <c r="BY1856" s="0" t="s">
        <v>130</v>
      </c>
      <c r="BZ1856" s="0" t="s">
        <v>130</v>
      </c>
      <c r="CA1856" s="0" t="s">
        <v>130</v>
      </c>
      <c r="CB1856" s="0" t="s">
        <v>130</v>
      </c>
      <c r="CC1856" s="0" t="s">
        <v>130</v>
      </c>
      <c r="CD1856" s="0" t="s">
        <v>130</v>
      </c>
      <c r="CE1856" s="0" t="s">
        <v>130</v>
      </c>
      <c r="CF1856" s="0" t="s">
        <v>130</v>
      </c>
      <c r="CG1856" s="0" t="s">
        <v>130</v>
      </c>
      <c r="CH1856" s="0" t="s">
        <v>130</v>
      </c>
      <c r="CI1856" s="0" t="s">
        <v>130</v>
      </c>
      <c r="CJ1856" s="0" t="s">
        <v>130</v>
      </c>
      <c r="CK1856" s="0" t="s">
        <v>130</v>
      </c>
      <c r="CL1856" s="0" t="s">
        <v>130</v>
      </c>
      <c r="CM1856" s="0" t="s">
        <v>130</v>
      </c>
      <c r="CN1856" s="0" t="s">
        <v>130</v>
      </c>
      <c r="CO1856" s="0" t="s">
        <v>130</v>
      </c>
      <c r="CP1856" s="0" t="s">
        <v>130</v>
      </c>
      <c r="CQ1856" s="0" t="s">
        <v>130</v>
      </c>
      <c r="CR1856" s="0" t="s">
        <v>130</v>
      </c>
      <c r="CS1856" s="0" t="s">
        <v>130</v>
      </c>
      <c r="CT1856" s="0" t="s">
        <v>5262</v>
      </c>
    </row>
    <row r="1857">
      <c r="A1857" s="14">
        <v>100614</v>
      </c>
      <c r="B1857" s="0" t="s">
        <v>902</v>
      </c>
      <c r="C1857" s="16">
        <f>HYPERLINK("https://eosportal.federatedhermes.com/companies/Q29tcGFueQppNjc3NDg=", "Freeport-McMoRan Inc")</f>
      </c>
      <c r="D1857" s="0" t="s">
        <v>25</v>
      </c>
      <c r="E1857" s="0" t="s">
        <v>2446</v>
      </c>
      <c r="F1857" s="16">
        <f>HYPERLINK("https://eosportal.federatedhermes.com/engagements/RW5nYWdlbWVudAppMzEwMzk=", "Bribery and corruption")</f>
      </c>
      <c r="G1857" s="14" t="s">
        <v>5263</v>
      </c>
      <c r="H1857" s="0" t="s">
        <v>141</v>
      </c>
      <c r="I1857" s="14" t="s">
        <v>131</v>
      </c>
      <c r="J1857" s="0" t="s">
        <v>153</v>
      </c>
      <c r="K1857" s="0" t="s">
        <v>185</v>
      </c>
      <c r="L1857" s="0" t="s">
        <v>871</v>
      </c>
      <c r="M1857" s="0" t="s">
        <v>135</v>
      </c>
      <c r="N1857" s="0" t="s">
        <v>136</v>
      </c>
      <c r="O1857" s="0" t="s">
        <v>373</v>
      </c>
      <c r="Q1857" s="0" t="s">
        <v>130</v>
      </c>
      <c r="R1857" s="0" t="s">
        <v>138</v>
      </c>
      <c r="S1857" s="14">
        <v>0</v>
      </c>
      <c r="T1857" s="0" t="s">
        <v>920</v>
      </c>
      <c r="U1857" s="0" t="s">
        <v>138</v>
      </c>
      <c r="V1857" s="14" t="s">
        <v>138</v>
      </c>
      <c r="W1857" s="0" t="s">
        <v>138</v>
      </c>
      <c r="X1857" s="14" t="s">
        <v>138</v>
      </c>
      <c r="Y1857" s="0" t="s">
        <v>138</v>
      </c>
      <c r="Z1857" s="14" t="s">
        <v>138</v>
      </c>
      <c r="AA1857" s="0" t="s">
        <v>138</v>
      </c>
      <c r="AB1857" s="14" t="s">
        <v>138</v>
      </c>
      <c r="AD1857" s="0" t="s">
        <v>138</v>
      </c>
      <c r="AF1857" s="0">
        <v>0</v>
      </c>
      <c r="AG1857" s="0">
        <v>0</v>
      </c>
      <c r="AH1857" s="0" t="s">
        <v>140</v>
      </c>
      <c r="AI1857" s="0" t="s">
        <v>138</v>
      </c>
      <c r="AL1857" s="14"/>
      <c r="AN1857" s="14"/>
      <c r="AQ1857" s="0" t="s">
        <v>130</v>
      </c>
      <c r="AR1857" s="0" t="s">
        <v>130</v>
      </c>
      <c r="AS1857" s="0" t="s">
        <v>130</v>
      </c>
      <c r="AT1857" s="0" t="s">
        <v>130</v>
      </c>
      <c r="AU1857" s="0" t="s">
        <v>130</v>
      </c>
      <c r="AV1857" s="0" t="s">
        <v>130</v>
      </c>
      <c r="AW1857" s="0" t="s">
        <v>130</v>
      </c>
      <c r="AX1857" s="0" t="s">
        <v>130</v>
      </c>
      <c r="AY1857" s="0" t="s">
        <v>130</v>
      </c>
      <c r="AZ1857" s="0" t="s">
        <v>130</v>
      </c>
      <c r="BA1857" s="0" t="s">
        <v>130</v>
      </c>
      <c r="BB1857" s="0" t="s">
        <v>130</v>
      </c>
      <c r="BC1857" s="0" t="s">
        <v>130</v>
      </c>
      <c r="BD1857" s="0" t="s">
        <v>130</v>
      </c>
      <c r="BE1857" s="0" t="s">
        <v>130</v>
      </c>
      <c r="BF1857" s="0" t="s">
        <v>141</v>
      </c>
      <c r="BG1857" s="0" t="s">
        <v>130</v>
      </c>
      <c r="BH1857" s="0" t="s">
        <v>130</v>
      </c>
      <c r="BI1857" s="0" t="s">
        <v>130</v>
      </c>
      <c r="BJ1857" s="0" t="s">
        <v>130</v>
      </c>
      <c r="BK1857" s="0" t="s">
        <v>130</v>
      </c>
      <c r="BL1857" s="0" t="s">
        <v>130</v>
      </c>
      <c r="BM1857" s="0" t="s">
        <v>130</v>
      </c>
      <c r="BN1857" s="0" t="s">
        <v>130</v>
      </c>
      <c r="BO1857" s="0" t="s">
        <v>130</v>
      </c>
      <c r="BP1857" s="0" t="s">
        <v>130</v>
      </c>
      <c r="BQ1857" s="0" t="s">
        <v>130</v>
      </c>
      <c r="BR1857" s="0" t="s">
        <v>130</v>
      </c>
      <c r="BS1857" s="0" t="s">
        <v>130</v>
      </c>
      <c r="BT1857" s="0" t="s">
        <v>130</v>
      </c>
      <c r="BU1857" s="0" t="s">
        <v>130</v>
      </c>
      <c r="BV1857" s="0" t="s">
        <v>130</v>
      </c>
      <c r="BW1857" s="0" t="s">
        <v>130</v>
      </c>
      <c r="BX1857" s="0" t="s">
        <v>130</v>
      </c>
      <c r="BY1857" s="0" t="s">
        <v>130</v>
      </c>
      <c r="BZ1857" s="0" t="s">
        <v>130</v>
      </c>
      <c r="CA1857" s="0" t="s">
        <v>130</v>
      </c>
      <c r="CB1857" s="0" t="s">
        <v>130</v>
      </c>
      <c r="CC1857" s="0" t="s">
        <v>130</v>
      </c>
      <c r="CD1857" s="0" t="s">
        <v>130</v>
      </c>
      <c r="CE1857" s="0" t="s">
        <v>130</v>
      </c>
      <c r="CF1857" s="0" t="s">
        <v>130</v>
      </c>
      <c r="CG1857" s="0" t="s">
        <v>130</v>
      </c>
      <c r="CH1857" s="0" t="s">
        <v>130</v>
      </c>
      <c r="CI1857" s="0" t="s">
        <v>130</v>
      </c>
      <c r="CJ1857" s="0" t="s">
        <v>130</v>
      </c>
      <c r="CK1857" s="0" t="s">
        <v>130</v>
      </c>
      <c r="CL1857" s="0" t="s">
        <v>130</v>
      </c>
      <c r="CM1857" s="0" t="s">
        <v>130</v>
      </c>
      <c r="CN1857" s="0" t="s">
        <v>130</v>
      </c>
      <c r="CO1857" s="0" t="s">
        <v>130</v>
      </c>
      <c r="CP1857" s="0" t="s">
        <v>130</v>
      </c>
      <c r="CQ1857" s="0" t="s">
        <v>141</v>
      </c>
      <c r="CR1857" s="0" t="s">
        <v>141</v>
      </c>
      <c r="CS1857" s="0" t="s">
        <v>141</v>
      </c>
      <c r="CT1857" s="0" t="s">
        <v>5264</v>
      </c>
    </row>
    <row r="1858">
      <c r="A1858" s="14">
        <v>109965</v>
      </c>
      <c r="B1858" s="0" t="s">
        <v>5265</v>
      </c>
      <c r="C1858" s="16">
        <f>HYPERLINK("https://eosportal.federatedhermes.com/companies/Q29tcGFueQppODIyNjk=", "National Bank of Canada")</f>
      </c>
      <c r="D1858" s="0" t="s">
        <v>25</v>
      </c>
      <c r="E1858" s="0" t="s">
        <v>907</v>
      </c>
      <c r="F1858" s="16">
        <f>HYPERLINK("https://eosportal.federatedhermes.com/engagements/RW5nYWdlbWVudAppMzEwNTA=", "Climate change")</f>
      </c>
      <c r="G1858" s="14" t="s">
        <v>5266</v>
      </c>
      <c r="H1858" s="0" t="s">
        <v>141</v>
      </c>
      <c r="I1858" s="14" t="s">
        <v>131</v>
      </c>
      <c r="J1858" s="0" t="s">
        <v>197</v>
      </c>
      <c r="K1858" s="0" t="s">
        <v>198</v>
      </c>
      <c r="L1858" s="0" t="s">
        <v>216</v>
      </c>
      <c r="M1858" s="0" t="s">
        <v>135</v>
      </c>
      <c r="N1858" s="0" t="s">
        <v>1678</v>
      </c>
      <c r="O1858" s="0" t="s">
        <v>238</v>
      </c>
      <c r="Q1858" s="0" t="s">
        <v>141</v>
      </c>
      <c r="R1858" s="0" t="s">
        <v>138</v>
      </c>
      <c r="S1858" s="14">
        <v>1</v>
      </c>
      <c r="T1858" s="0" t="s">
        <v>231</v>
      </c>
      <c r="U1858" s="0" t="s">
        <v>138</v>
      </c>
      <c r="V1858" s="14" t="s">
        <v>138</v>
      </c>
      <c r="W1858" s="0" t="s">
        <v>138</v>
      </c>
      <c r="X1858" s="14" t="s">
        <v>138</v>
      </c>
      <c r="Y1858" s="0" t="s">
        <v>138</v>
      </c>
      <c r="Z1858" s="14" t="s">
        <v>138</v>
      </c>
      <c r="AA1858" s="0" t="s">
        <v>138</v>
      </c>
      <c r="AB1858" s="14" t="s">
        <v>138</v>
      </c>
      <c r="AD1858" s="0" t="s">
        <v>138</v>
      </c>
      <c r="AF1858" s="0">
        <v>0</v>
      </c>
      <c r="AG1858" s="0">
        <v>0</v>
      </c>
      <c r="AH1858" s="0" t="s">
        <v>140</v>
      </c>
      <c r="AI1858" s="0" t="s">
        <v>138</v>
      </c>
      <c r="AK1858" s="0" t="s">
        <v>1984</v>
      </c>
      <c r="AL1858" s="14"/>
      <c r="AN1858" s="14"/>
      <c r="AQ1858" s="0" t="s">
        <v>130</v>
      </c>
      <c r="AR1858" s="0" t="s">
        <v>130</v>
      </c>
      <c r="AS1858" s="0" t="s">
        <v>130</v>
      </c>
      <c r="AT1858" s="0" t="s">
        <v>130</v>
      </c>
      <c r="AU1858" s="0" t="s">
        <v>130</v>
      </c>
      <c r="AV1858" s="0" t="s">
        <v>130</v>
      </c>
      <c r="AW1858" s="0" t="s">
        <v>141</v>
      </c>
      <c r="AX1858" s="0" t="s">
        <v>130</v>
      </c>
      <c r="AY1858" s="0" t="s">
        <v>130</v>
      </c>
      <c r="AZ1858" s="0" t="s">
        <v>130</v>
      </c>
      <c r="BA1858" s="0" t="s">
        <v>130</v>
      </c>
      <c r="BB1858" s="0" t="s">
        <v>130</v>
      </c>
      <c r="BC1858" s="0" t="s">
        <v>141</v>
      </c>
      <c r="BD1858" s="0" t="s">
        <v>130</v>
      </c>
      <c r="BE1858" s="0" t="s">
        <v>130</v>
      </c>
      <c r="BF1858" s="0" t="s">
        <v>130</v>
      </c>
      <c r="BG1858" s="0" t="s">
        <v>130</v>
      </c>
      <c r="BH1858" s="0" t="s">
        <v>141</v>
      </c>
      <c r="BI1858" s="0" t="s">
        <v>141</v>
      </c>
      <c r="BJ1858" s="0" t="s">
        <v>141</v>
      </c>
      <c r="BK1858" s="0" t="s">
        <v>130</v>
      </c>
      <c r="BL1858" s="0" t="s">
        <v>130</v>
      </c>
      <c r="BM1858" s="0" t="s">
        <v>130</v>
      </c>
      <c r="BN1858" s="0" t="s">
        <v>130</v>
      </c>
      <c r="BO1858" s="0" t="s">
        <v>130</v>
      </c>
      <c r="BP1858" s="0" t="s">
        <v>130</v>
      </c>
      <c r="BQ1858" s="0" t="s">
        <v>130</v>
      </c>
      <c r="BR1858" s="0" t="s">
        <v>130</v>
      </c>
      <c r="BS1858" s="0" t="s">
        <v>130</v>
      </c>
      <c r="BT1858" s="0" t="s">
        <v>130</v>
      </c>
      <c r="BU1858" s="0" t="s">
        <v>130</v>
      </c>
      <c r="BV1858" s="0" t="s">
        <v>141</v>
      </c>
      <c r="BW1858" s="0" t="s">
        <v>141</v>
      </c>
      <c r="BX1858" s="0" t="s">
        <v>130</v>
      </c>
      <c r="BY1858" s="0" t="s">
        <v>130</v>
      </c>
      <c r="BZ1858" s="0" t="s">
        <v>130</v>
      </c>
      <c r="CA1858" s="0" t="s">
        <v>130</v>
      </c>
      <c r="CB1858" s="0" t="s">
        <v>130</v>
      </c>
      <c r="CC1858" s="0" t="s">
        <v>130</v>
      </c>
      <c r="CD1858" s="0" t="s">
        <v>130</v>
      </c>
      <c r="CE1858" s="0" t="s">
        <v>130</v>
      </c>
      <c r="CF1858" s="0" t="s">
        <v>130</v>
      </c>
      <c r="CG1858" s="0" t="s">
        <v>130</v>
      </c>
      <c r="CH1858" s="0" t="s">
        <v>130</v>
      </c>
      <c r="CI1858" s="0" t="s">
        <v>130</v>
      </c>
      <c r="CJ1858" s="0" t="s">
        <v>130</v>
      </c>
      <c r="CK1858" s="0" t="s">
        <v>130</v>
      </c>
      <c r="CL1858" s="0" t="s">
        <v>130</v>
      </c>
      <c r="CM1858" s="0" t="s">
        <v>130</v>
      </c>
      <c r="CN1858" s="0" t="s">
        <v>130</v>
      </c>
      <c r="CO1858" s="0" t="s">
        <v>130</v>
      </c>
      <c r="CP1858" s="0" t="s">
        <v>130</v>
      </c>
      <c r="CQ1858" s="0" t="s">
        <v>130</v>
      </c>
      <c r="CR1858" s="0" t="s">
        <v>130</v>
      </c>
      <c r="CS1858" s="0" t="s">
        <v>130</v>
      </c>
      <c r="CT1858" s="0" t="s">
        <v>5267</v>
      </c>
    </row>
    <row r="1859">
      <c r="A1859" s="14">
        <v>253334</v>
      </c>
      <c r="B1859" s="0" t="s">
        <v>3516</v>
      </c>
      <c r="C1859" s="16">
        <f>HYPERLINK("https://eosportal.federatedhermes.com/companies/Q29tcGFueQppODY1MjA=", "GAIL India Ltd")</f>
      </c>
      <c r="D1859" s="0" t="s">
        <v>25</v>
      </c>
      <c r="E1859" s="0" t="s">
        <v>5268</v>
      </c>
      <c r="F1859" s="16">
        <f>HYPERLINK("https://eosportal.federatedhermes.com/engagements/RW5nYWdlbWVudAppMzEwNjM=", "Low board diversity")</f>
      </c>
      <c r="G1859" s="14" t="s">
        <v>5269</v>
      </c>
      <c r="H1859" s="0" t="s">
        <v>130</v>
      </c>
      <c r="I1859" s="14" t="s">
        <v>131</v>
      </c>
      <c r="J1859" s="0" t="s">
        <v>145</v>
      </c>
      <c r="K1859" s="0" t="s">
        <v>164</v>
      </c>
      <c r="L1859" s="0" t="s">
        <v>165</v>
      </c>
      <c r="M1859" s="0" t="s">
        <v>2807</v>
      </c>
      <c r="N1859" s="0" t="s">
        <v>2969</v>
      </c>
      <c r="O1859" s="0" t="s">
        <v>192</v>
      </c>
      <c r="Q1859" s="0" t="s">
        <v>130</v>
      </c>
      <c r="R1859" s="0" t="s">
        <v>138</v>
      </c>
      <c r="S1859" s="14">
        <v>0</v>
      </c>
      <c r="T1859" s="0" t="s">
        <v>231</v>
      </c>
      <c r="U1859" s="0" t="s">
        <v>138</v>
      </c>
      <c r="V1859" s="14" t="s">
        <v>138</v>
      </c>
      <c r="W1859" s="0" t="s">
        <v>138</v>
      </c>
      <c r="X1859" s="14" t="s">
        <v>138</v>
      </c>
      <c r="Y1859" s="0" t="s">
        <v>138</v>
      </c>
      <c r="Z1859" s="14" t="s">
        <v>138</v>
      </c>
      <c r="AA1859" s="0" t="s">
        <v>138</v>
      </c>
      <c r="AB1859" s="14" t="s">
        <v>138</v>
      </c>
      <c r="AD1859" s="0" t="s">
        <v>138</v>
      </c>
      <c r="AF1859" s="0">
        <v>0</v>
      </c>
      <c r="AG1859" s="0">
        <v>0</v>
      </c>
      <c r="AH1859" s="0" t="s">
        <v>140</v>
      </c>
      <c r="AI1859" s="0" t="s">
        <v>138</v>
      </c>
      <c r="AL1859" s="14"/>
      <c r="AN1859" s="14"/>
      <c r="AQ1859" s="0" t="s">
        <v>130</v>
      </c>
      <c r="AR1859" s="0" t="s">
        <v>130</v>
      </c>
      <c r="AS1859" s="0" t="s">
        <v>130</v>
      </c>
      <c r="AT1859" s="0" t="s">
        <v>130</v>
      </c>
      <c r="AU1859" s="0" t="s">
        <v>141</v>
      </c>
      <c r="AV1859" s="0" t="s">
        <v>130</v>
      </c>
      <c r="AW1859" s="0" t="s">
        <v>130</v>
      </c>
      <c r="AX1859" s="0" t="s">
        <v>130</v>
      </c>
      <c r="AY1859" s="0" t="s">
        <v>130</v>
      </c>
      <c r="AZ1859" s="0" t="s">
        <v>130</v>
      </c>
      <c r="BA1859" s="0" t="s">
        <v>130</v>
      </c>
      <c r="BB1859" s="0" t="s">
        <v>130</v>
      </c>
      <c r="BC1859" s="0" t="s">
        <v>130</v>
      </c>
      <c r="BD1859" s="0" t="s">
        <v>130</v>
      </c>
      <c r="BE1859" s="0" t="s">
        <v>130</v>
      </c>
      <c r="BF1859" s="0" t="s">
        <v>130</v>
      </c>
      <c r="BG1859" s="0" t="s">
        <v>130</v>
      </c>
      <c r="BH1859" s="0" t="s">
        <v>130</v>
      </c>
      <c r="BI1859" s="0" t="s">
        <v>130</v>
      </c>
      <c r="BJ1859" s="0" t="s">
        <v>130</v>
      </c>
      <c r="BK1859" s="0" t="s">
        <v>130</v>
      </c>
      <c r="BL1859" s="0" t="s">
        <v>130</v>
      </c>
      <c r="BM1859" s="0" t="s">
        <v>130</v>
      </c>
      <c r="BN1859" s="0" t="s">
        <v>130</v>
      </c>
      <c r="BO1859" s="0" t="s">
        <v>130</v>
      </c>
      <c r="BP1859" s="0" t="s">
        <v>130</v>
      </c>
      <c r="BQ1859" s="0" t="s">
        <v>130</v>
      </c>
      <c r="BR1859" s="0" t="s">
        <v>130</v>
      </c>
      <c r="BS1859" s="0" t="s">
        <v>130</v>
      </c>
      <c r="BT1859" s="0" t="s">
        <v>130</v>
      </c>
      <c r="BU1859" s="0" t="s">
        <v>130</v>
      </c>
      <c r="BV1859" s="0" t="s">
        <v>130</v>
      </c>
      <c r="BW1859" s="0" t="s">
        <v>130</v>
      </c>
      <c r="BX1859" s="0" t="s">
        <v>130</v>
      </c>
      <c r="BY1859" s="0" t="s">
        <v>130</v>
      </c>
      <c r="BZ1859" s="0" t="s">
        <v>130</v>
      </c>
      <c r="CA1859" s="0" t="s">
        <v>130</v>
      </c>
      <c r="CB1859" s="0" t="s">
        <v>130</v>
      </c>
      <c r="CC1859" s="0" t="s">
        <v>130</v>
      </c>
      <c r="CD1859" s="0" t="s">
        <v>130</v>
      </c>
      <c r="CE1859" s="0" t="s">
        <v>130</v>
      </c>
      <c r="CF1859" s="0" t="s">
        <v>130</v>
      </c>
      <c r="CG1859" s="0" t="s">
        <v>130</v>
      </c>
      <c r="CH1859" s="0" t="s">
        <v>130</v>
      </c>
      <c r="CI1859" s="0" t="s">
        <v>130</v>
      </c>
      <c r="CJ1859" s="0" t="s">
        <v>130</v>
      </c>
      <c r="CK1859" s="0" t="s">
        <v>130</v>
      </c>
      <c r="CL1859" s="0" t="s">
        <v>130</v>
      </c>
      <c r="CM1859" s="0" t="s">
        <v>130</v>
      </c>
      <c r="CN1859" s="0" t="s">
        <v>130</v>
      </c>
      <c r="CO1859" s="0" t="s">
        <v>130</v>
      </c>
      <c r="CP1859" s="0" t="s">
        <v>130</v>
      </c>
      <c r="CQ1859" s="0" t="s">
        <v>130</v>
      </c>
      <c r="CR1859" s="0" t="s">
        <v>130</v>
      </c>
      <c r="CS1859" s="0" t="s">
        <v>130</v>
      </c>
      <c r="CT1859" s="0" t="s">
        <v>5270</v>
      </c>
    </row>
    <row r="1860">
      <c r="A1860" s="14">
        <v>48365101</v>
      </c>
      <c r="B1860" s="0" t="s">
        <v>5271</v>
      </c>
      <c r="C1860" s="16">
        <f>HYPERLINK("https://eosportal.federatedhermes.com/companies/Q29tcGFueQppNjc5MTI=", "Corteva Inc")</f>
      </c>
      <c r="D1860" s="0" t="s">
        <v>25</v>
      </c>
      <c r="E1860" s="0" t="s">
        <v>729</v>
      </c>
      <c r="F1860" s="16">
        <f>HYPERLINK("https://eosportal.federatedhermes.com/engagements/RW5nYWdlbWVudAppMzEwNzk=", "Board diversity")</f>
      </c>
      <c r="G1860" s="14" t="s">
        <v>5272</v>
      </c>
      <c r="H1860" s="0" t="s">
        <v>130</v>
      </c>
      <c r="I1860" s="14" t="s">
        <v>319</v>
      </c>
      <c r="J1860" s="0" t="s">
        <v>145</v>
      </c>
      <c r="K1860" s="0" t="s">
        <v>164</v>
      </c>
      <c r="L1860" s="0" t="s">
        <v>165</v>
      </c>
      <c r="M1860" s="0" t="s">
        <v>135</v>
      </c>
      <c r="N1860" s="0" t="s">
        <v>136</v>
      </c>
      <c r="O1860" s="0" t="s">
        <v>706</v>
      </c>
      <c r="Q1860" s="0" t="s">
        <v>130</v>
      </c>
      <c r="R1860" s="0" t="s">
        <v>138</v>
      </c>
      <c r="S1860" s="14">
        <v>0</v>
      </c>
      <c r="T1860" s="0" t="s">
        <v>231</v>
      </c>
      <c r="U1860" s="0" t="s">
        <v>138</v>
      </c>
      <c r="V1860" s="14" t="s">
        <v>138</v>
      </c>
      <c r="W1860" s="0" t="s">
        <v>138</v>
      </c>
      <c r="X1860" s="14" t="s">
        <v>138</v>
      </c>
      <c r="Y1860" s="0" t="s">
        <v>138</v>
      </c>
      <c r="Z1860" s="14" t="s">
        <v>138</v>
      </c>
      <c r="AA1860" s="0" t="s">
        <v>138</v>
      </c>
      <c r="AB1860" s="14" t="s">
        <v>138</v>
      </c>
      <c r="AD1860" s="0" t="s">
        <v>138</v>
      </c>
      <c r="AF1860" s="0">
        <v>0</v>
      </c>
      <c r="AG1860" s="0">
        <v>0</v>
      </c>
      <c r="AH1860" s="0" t="s">
        <v>140</v>
      </c>
      <c r="AI1860" s="0" t="s">
        <v>138</v>
      </c>
      <c r="AL1860" s="14"/>
      <c r="AN1860" s="14"/>
      <c r="AQ1860" s="0" t="s">
        <v>130</v>
      </c>
      <c r="AR1860" s="0" t="s">
        <v>130</v>
      </c>
      <c r="AS1860" s="0" t="s">
        <v>130</v>
      </c>
      <c r="AT1860" s="0" t="s">
        <v>130</v>
      </c>
      <c r="AU1860" s="0" t="s">
        <v>141</v>
      </c>
      <c r="AV1860" s="0" t="s">
        <v>130</v>
      </c>
      <c r="AW1860" s="0" t="s">
        <v>130</v>
      </c>
      <c r="AX1860" s="0" t="s">
        <v>130</v>
      </c>
      <c r="AY1860" s="0" t="s">
        <v>130</v>
      </c>
      <c r="AZ1860" s="0" t="s">
        <v>141</v>
      </c>
      <c r="BA1860" s="0" t="s">
        <v>130</v>
      </c>
      <c r="BB1860" s="0" t="s">
        <v>130</v>
      </c>
      <c r="BC1860" s="0" t="s">
        <v>130</v>
      </c>
      <c r="BD1860" s="0" t="s">
        <v>130</v>
      </c>
      <c r="BE1860" s="0" t="s">
        <v>130</v>
      </c>
      <c r="BF1860" s="0" t="s">
        <v>130</v>
      </c>
      <c r="BG1860" s="0" t="s">
        <v>130</v>
      </c>
      <c r="BH1860" s="0" t="s">
        <v>130</v>
      </c>
      <c r="BI1860" s="0" t="s">
        <v>130</v>
      </c>
      <c r="BJ1860" s="0" t="s">
        <v>130</v>
      </c>
      <c r="BK1860" s="0" t="s">
        <v>130</v>
      </c>
      <c r="BL1860" s="0" t="s">
        <v>130</v>
      </c>
      <c r="BM1860" s="0" t="s">
        <v>130</v>
      </c>
      <c r="BN1860" s="0" t="s">
        <v>130</v>
      </c>
      <c r="BO1860" s="0" t="s">
        <v>130</v>
      </c>
      <c r="BP1860" s="0" t="s">
        <v>130</v>
      </c>
      <c r="BQ1860" s="0" t="s">
        <v>130</v>
      </c>
      <c r="BR1860" s="0" t="s">
        <v>130</v>
      </c>
      <c r="BS1860" s="0" t="s">
        <v>130</v>
      </c>
      <c r="BT1860" s="0" t="s">
        <v>130</v>
      </c>
      <c r="BU1860" s="0" t="s">
        <v>130</v>
      </c>
      <c r="BV1860" s="0" t="s">
        <v>130</v>
      </c>
      <c r="BW1860" s="0" t="s">
        <v>130</v>
      </c>
      <c r="BX1860" s="0" t="s">
        <v>130</v>
      </c>
      <c r="BY1860" s="0" t="s">
        <v>130</v>
      </c>
      <c r="BZ1860" s="0" t="s">
        <v>130</v>
      </c>
      <c r="CA1860" s="0" t="s">
        <v>130</v>
      </c>
      <c r="CB1860" s="0" t="s">
        <v>130</v>
      </c>
      <c r="CC1860" s="0" t="s">
        <v>130</v>
      </c>
      <c r="CD1860" s="0" t="s">
        <v>130</v>
      </c>
      <c r="CE1860" s="0" t="s">
        <v>130</v>
      </c>
      <c r="CF1860" s="0" t="s">
        <v>130</v>
      </c>
      <c r="CG1860" s="0" t="s">
        <v>130</v>
      </c>
      <c r="CH1860" s="0" t="s">
        <v>130</v>
      </c>
      <c r="CI1860" s="0" t="s">
        <v>130</v>
      </c>
      <c r="CJ1860" s="0" t="s">
        <v>130</v>
      </c>
      <c r="CK1860" s="0" t="s">
        <v>130</v>
      </c>
      <c r="CL1860" s="0" t="s">
        <v>130</v>
      </c>
      <c r="CM1860" s="0" t="s">
        <v>130</v>
      </c>
      <c r="CN1860" s="0" t="s">
        <v>130</v>
      </c>
      <c r="CO1860" s="0" t="s">
        <v>130</v>
      </c>
      <c r="CP1860" s="0" t="s">
        <v>130</v>
      </c>
      <c r="CQ1860" s="0" t="s">
        <v>130</v>
      </c>
      <c r="CR1860" s="0" t="s">
        <v>130</v>
      </c>
      <c r="CS1860" s="0" t="s">
        <v>130</v>
      </c>
      <c r="CT1860" s="0" t="s">
        <v>5273</v>
      </c>
    </row>
    <row r="1861">
      <c r="A1861" s="14">
        <v>18302043</v>
      </c>
      <c r="B1861" s="0" t="s">
        <v>4424</v>
      </c>
      <c r="C1861" s="16">
        <f>HYPERLINK("https://eosportal.federatedhermes.com/companies/Q29tcGFueQppNTg5ODI=", "Kinder Morgan Inc")</f>
      </c>
      <c r="D1861" s="0" t="s">
        <v>23</v>
      </c>
      <c r="E1861" s="0" t="s">
        <v>5274</v>
      </c>
      <c r="F1861" s="16">
        <f>HYPERLINK("https://eosportal.federatedhermes.com/engagements/RW5nYWdlbWVudAppMzExMTc=", "Energy Efficiency Strategy")</f>
      </c>
      <c r="G1861" s="14" t="s">
        <v>5275</v>
      </c>
      <c r="H1861" s="0" t="s">
        <v>141</v>
      </c>
      <c r="I1861" s="14" t="s">
        <v>191</v>
      </c>
      <c r="J1861" s="0" t="s">
        <v>197</v>
      </c>
      <c r="K1861" s="0" t="s">
        <v>198</v>
      </c>
      <c r="L1861" s="0" t="s">
        <v>220</v>
      </c>
      <c r="M1861" s="0" t="s">
        <v>135</v>
      </c>
      <c r="N1861" s="0" t="s">
        <v>136</v>
      </c>
      <c r="O1861" s="0" t="s">
        <v>542</v>
      </c>
      <c r="Q1861" s="0" t="s">
        <v>141</v>
      </c>
      <c r="R1861" s="0" t="s">
        <v>130</v>
      </c>
      <c r="S1861" s="14">
        <v>1</v>
      </c>
      <c r="T1861" s="0" t="s">
        <v>597</v>
      </c>
      <c r="U1861" s="0" t="s">
        <v>221</v>
      </c>
      <c r="V1861" s="14" t="s">
        <v>597</v>
      </c>
      <c r="W1861" s="0" t="s">
        <v>221</v>
      </c>
      <c r="X1861" s="14" t="s">
        <v>597</v>
      </c>
      <c r="Y1861" s="0" t="s">
        <v>223</v>
      </c>
      <c r="Z1861" s="14" t="s">
        <v>138</v>
      </c>
      <c r="AA1861" s="0" t="s">
        <v>224</v>
      </c>
      <c r="AB1861" s="14" t="s">
        <v>138</v>
      </c>
      <c r="AD1861" s="0" t="s">
        <v>17</v>
      </c>
      <c r="AF1861" s="0">
        <v>0</v>
      </c>
      <c r="AG1861" s="0">
        <v>0</v>
      </c>
      <c r="AH1861" s="0" t="s">
        <v>140</v>
      </c>
      <c r="AI1861" s="0" t="s">
        <v>479</v>
      </c>
      <c r="AK1861" s="0" t="s">
        <v>847</v>
      </c>
      <c r="AL1861" s="14"/>
      <c r="AN1861" s="14"/>
      <c r="AQ1861" s="0" t="s">
        <v>130</v>
      </c>
      <c r="AR1861" s="0" t="s">
        <v>130</v>
      </c>
      <c r="AS1861" s="0" t="s">
        <v>130</v>
      </c>
      <c r="AT1861" s="0" t="s">
        <v>130</v>
      </c>
      <c r="AU1861" s="0" t="s">
        <v>130</v>
      </c>
      <c r="AV1861" s="0" t="s">
        <v>130</v>
      </c>
      <c r="AW1861" s="0" t="s">
        <v>141</v>
      </c>
      <c r="AX1861" s="0" t="s">
        <v>130</v>
      </c>
      <c r="AY1861" s="0" t="s">
        <v>141</v>
      </c>
      <c r="AZ1861" s="0" t="s">
        <v>130</v>
      </c>
      <c r="BA1861" s="0" t="s">
        <v>130</v>
      </c>
      <c r="BB1861" s="0" t="s">
        <v>130</v>
      </c>
      <c r="BC1861" s="0" t="s">
        <v>141</v>
      </c>
      <c r="BD1861" s="0" t="s">
        <v>130</v>
      </c>
      <c r="BE1861" s="0" t="s">
        <v>130</v>
      </c>
      <c r="BF1861" s="0" t="s">
        <v>130</v>
      </c>
      <c r="BG1861" s="0" t="s">
        <v>130</v>
      </c>
      <c r="BH1861" s="0" t="s">
        <v>130</v>
      </c>
      <c r="BI1861" s="0" t="s">
        <v>130</v>
      </c>
      <c r="BJ1861" s="0" t="s">
        <v>130</v>
      </c>
      <c r="BK1861" s="0" t="s">
        <v>130</v>
      </c>
      <c r="BL1861" s="0" t="s">
        <v>130</v>
      </c>
      <c r="BM1861" s="0" t="s">
        <v>130</v>
      </c>
      <c r="BN1861" s="0" t="s">
        <v>130</v>
      </c>
      <c r="BO1861" s="0" t="s">
        <v>130</v>
      </c>
      <c r="BP1861" s="0" t="s">
        <v>130</v>
      </c>
      <c r="BQ1861" s="0" t="s">
        <v>130</v>
      </c>
      <c r="BR1861" s="0" t="s">
        <v>130</v>
      </c>
      <c r="BS1861" s="0" t="s">
        <v>130</v>
      </c>
      <c r="BT1861" s="0" t="s">
        <v>130</v>
      </c>
      <c r="BU1861" s="0" t="s">
        <v>130</v>
      </c>
      <c r="BV1861" s="0" t="s">
        <v>130</v>
      </c>
      <c r="BW1861" s="0" t="s">
        <v>130</v>
      </c>
      <c r="BX1861" s="0" t="s">
        <v>130</v>
      </c>
      <c r="BY1861" s="0" t="s">
        <v>130</v>
      </c>
      <c r="BZ1861" s="0" t="s">
        <v>130</v>
      </c>
      <c r="CA1861" s="0" t="s">
        <v>130</v>
      </c>
      <c r="CB1861" s="0" t="s">
        <v>130</v>
      </c>
      <c r="CC1861" s="0" t="s">
        <v>130</v>
      </c>
      <c r="CD1861" s="0" t="s">
        <v>130</v>
      </c>
      <c r="CE1861" s="0" t="s">
        <v>130</v>
      </c>
      <c r="CF1861" s="0" t="s">
        <v>130</v>
      </c>
      <c r="CG1861" s="0" t="s">
        <v>130</v>
      </c>
      <c r="CH1861" s="0" t="s">
        <v>130</v>
      </c>
      <c r="CI1861" s="0" t="s">
        <v>130</v>
      </c>
      <c r="CJ1861" s="0" t="s">
        <v>130</v>
      </c>
      <c r="CK1861" s="0" t="s">
        <v>130</v>
      </c>
      <c r="CL1861" s="0" t="s">
        <v>130</v>
      </c>
      <c r="CM1861" s="0" t="s">
        <v>130</v>
      </c>
      <c r="CN1861" s="0" t="s">
        <v>130</v>
      </c>
      <c r="CO1861" s="0" t="s">
        <v>130</v>
      </c>
      <c r="CP1861" s="0" t="s">
        <v>130</v>
      </c>
      <c r="CQ1861" s="0" t="s">
        <v>130</v>
      </c>
      <c r="CR1861" s="0" t="s">
        <v>130</v>
      </c>
      <c r="CS1861" s="0" t="s">
        <v>130</v>
      </c>
      <c r="CT1861" s="0" t="s">
        <v>5276</v>
      </c>
    </row>
    <row r="1862">
      <c r="A1862" s="14">
        <v>108445</v>
      </c>
      <c r="B1862" s="0" t="s">
        <v>2234</v>
      </c>
      <c r="C1862" s="16">
        <f>HYPERLINK("https://eosportal.federatedhermes.com/companies/Q29tcGFueQppNjQzNzE=", "Bank of Nova Scotia/The")</f>
      </c>
      <c r="D1862" s="0" t="s">
        <v>23</v>
      </c>
      <c r="E1862" s="0" t="s">
        <v>228</v>
      </c>
      <c r="F1862" s="16">
        <f>HYPERLINK("https://eosportal.federatedhermes.com/engagements/RW5nYWdlbWVudAppMzExMTg=", "Climate strategy")</f>
      </c>
      <c r="G1862" s="14" t="s">
        <v>2314</v>
      </c>
      <c r="H1862" s="0" t="s">
        <v>141</v>
      </c>
      <c r="I1862" s="14" t="s">
        <v>131</v>
      </c>
      <c r="J1862" s="0" t="s">
        <v>197</v>
      </c>
      <c r="K1862" s="0" t="s">
        <v>198</v>
      </c>
      <c r="L1862" s="0" t="s">
        <v>220</v>
      </c>
      <c r="M1862" s="0" t="s">
        <v>135</v>
      </c>
      <c r="N1862" s="0" t="s">
        <v>1678</v>
      </c>
      <c r="O1862" s="0" t="s">
        <v>238</v>
      </c>
      <c r="Q1862" s="0" t="s">
        <v>130</v>
      </c>
      <c r="R1862" s="0" t="s">
        <v>130</v>
      </c>
      <c r="S1862" s="14">
        <v>0</v>
      </c>
      <c r="T1862" s="0" t="s">
        <v>597</v>
      </c>
      <c r="U1862" s="0" t="s">
        <v>221</v>
      </c>
      <c r="V1862" s="14" t="s">
        <v>597</v>
      </c>
      <c r="W1862" s="0" t="s">
        <v>221</v>
      </c>
      <c r="X1862" s="14" t="s">
        <v>597</v>
      </c>
      <c r="Y1862" s="0" t="s">
        <v>223</v>
      </c>
      <c r="Z1862" s="14" t="s">
        <v>138</v>
      </c>
      <c r="AA1862" s="0" t="s">
        <v>224</v>
      </c>
      <c r="AB1862" s="14" t="s">
        <v>138</v>
      </c>
      <c r="AD1862" s="0" t="s">
        <v>17</v>
      </c>
      <c r="AF1862" s="0">
        <v>0</v>
      </c>
      <c r="AG1862" s="0">
        <v>0</v>
      </c>
      <c r="AH1862" s="0" t="s">
        <v>140</v>
      </c>
      <c r="AI1862" s="0" t="s">
        <v>479</v>
      </c>
      <c r="AL1862" s="14"/>
      <c r="AN1862" s="14"/>
      <c r="AQ1862" s="0" t="s">
        <v>130</v>
      </c>
      <c r="AR1862" s="0" t="s">
        <v>130</v>
      </c>
      <c r="AS1862" s="0" t="s">
        <v>130</v>
      </c>
      <c r="AT1862" s="0" t="s">
        <v>130</v>
      </c>
      <c r="AU1862" s="0" t="s">
        <v>130</v>
      </c>
      <c r="AV1862" s="0" t="s">
        <v>130</v>
      </c>
      <c r="AW1862" s="0" t="s">
        <v>141</v>
      </c>
      <c r="AX1862" s="0" t="s">
        <v>130</v>
      </c>
      <c r="AY1862" s="0" t="s">
        <v>141</v>
      </c>
      <c r="AZ1862" s="0" t="s">
        <v>130</v>
      </c>
      <c r="BA1862" s="0" t="s">
        <v>130</v>
      </c>
      <c r="BB1862" s="0" t="s">
        <v>130</v>
      </c>
      <c r="BC1862" s="0" t="s">
        <v>141</v>
      </c>
      <c r="BD1862" s="0" t="s">
        <v>130</v>
      </c>
      <c r="BE1862" s="0" t="s">
        <v>130</v>
      </c>
      <c r="BF1862" s="0" t="s">
        <v>130</v>
      </c>
      <c r="BG1862" s="0" t="s">
        <v>130</v>
      </c>
      <c r="BH1862" s="0" t="s">
        <v>141</v>
      </c>
      <c r="BI1862" s="0" t="s">
        <v>141</v>
      </c>
      <c r="BJ1862" s="0" t="s">
        <v>141</v>
      </c>
      <c r="BK1862" s="0" t="s">
        <v>130</v>
      </c>
      <c r="BL1862" s="0" t="s">
        <v>130</v>
      </c>
      <c r="BM1862" s="0" t="s">
        <v>130</v>
      </c>
      <c r="BN1862" s="0" t="s">
        <v>130</v>
      </c>
      <c r="BO1862" s="0" t="s">
        <v>130</v>
      </c>
      <c r="BP1862" s="0" t="s">
        <v>130</v>
      </c>
      <c r="BQ1862" s="0" t="s">
        <v>130</v>
      </c>
      <c r="BR1862" s="0" t="s">
        <v>130</v>
      </c>
      <c r="BS1862" s="0" t="s">
        <v>130</v>
      </c>
      <c r="BT1862" s="0" t="s">
        <v>130</v>
      </c>
      <c r="BU1862" s="0" t="s">
        <v>130</v>
      </c>
      <c r="BV1862" s="0" t="s">
        <v>141</v>
      </c>
      <c r="BW1862" s="0" t="s">
        <v>141</v>
      </c>
      <c r="BX1862" s="0" t="s">
        <v>130</v>
      </c>
      <c r="BY1862" s="0" t="s">
        <v>130</v>
      </c>
      <c r="BZ1862" s="0" t="s">
        <v>130</v>
      </c>
      <c r="CA1862" s="0" t="s">
        <v>130</v>
      </c>
      <c r="CB1862" s="0" t="s">
        <v>130</v>
      </c>
      <c r="CC1862" s="0" t="s">
        <v>130</v>
      </c>
      <c r="CD1862" s="0" t="s">
        <v>130</v>
      </c>
      <c r="CE1862" s="0" t="s">
        <v>130</v>
      </c>
      <c r="CF1862" s="0" t="s">
        <v>130</v>
      </c>
      <c r="CG1862" s="0" t="s">
        <v>130</v>
      </c>
      <c r="CH1862" s="0" t="s">
        <v>130</v>
      </c>
      <c r="CI1862" s="0" t="s">
        <v>130</v>
      </c>
      <c r="CJ1862" s="0" t="s">
        <v>130</v>
      </c>
      <c r="CK1862" s="0" t="s">
        <v>130</v>
      </c>
      <c r="CL1862" s="0" t="s">
        <v>130</v>
      </c>
      <c r="CM1862" s="0" t="s">
        <v>130</v>
      </c>
      <c r="CN1862" s="0" t="s">
        <v>130</v>
      </c>
      <c r="CO1862" s="0" t="s">
        <v>130</v>
      </c>
      <c r="CP1862" s="0" t="s">
        <v>130</v>
      </c>
      <c r="CQ1862" s="0" t="s">
        <v>130</v>
      </c>
      <c r="CR1862" s="0" t="s">
        <v>130</v>
      </c>
      <c r="CS1862" s="0" t="s">
        <v>130</v>
      </c>
      <c r="CT1862" s="0" t="s">
        <v>5277</v>
      </c>
    </row>
    <row r="1863">
      <c r="A1863" s="14">
        <v>108445</v>
      </c>
      <c r="B1863" s="0" t="s">
        <v>2234</v>
      </c>
      <c r="C1863" s="16">
        <f>HYPERLINK("https://eosportal.federatedhermes.com/companies/Q29tcGFueQppNjQzNzE=", "Bank of Nova Scotia/The")</f>
      </c>
      <c r="D1863" s="0" t="s">
        <v>23</v>
      </c>
      <c r="E1863" s="0" t="s">
        <v>5278</v>
      </c>
      <c r="F1863" s="16">
        <f>HYPERLINK("https://eosportal.federatedhermes.com/engagements/RW5nYWdlbWVudAppMzExMTk=", "Pay gap reporting")</f>
      </c>
      <c r="G1863" s="14" t="s">
        <v>5279</v>
      </c>
      <c r="H1863" s="0" t="s">
        <v>141</v>
      </c>
      <c r="I1863" s="14" t="s">
        <v>131</v>
      </c>
      <c r="J1863" s="0" t="s">
        <v>153</v>
      </c>
      <c r="K1863" s="0" t="s">
        <v>154</v>
      </c>
      <c r="L1863" s="0" t="s">
        <v>268</v>
      </c>
      <c r="M1863" s="0" t="s">
        <v>135</v>
      </c>
      <c r="N1863" s="0" t="s">
        <v>1678</v>
      </c>
      <c r="O1863" s="0" t="s">
        <v>238</v>
      </c>
      <c r="Q1863" s="0" t="s">
        <v>141</v>
      </c>
      <c r="R1863" s="0" t="s">
        <v>141</v>
      </c>
      <c r="S1863" s="14">
        <v>1</v>
      </c>
      <c r="T1863" s="0" t="s">
        <v>597</v>
      </c>
      <c r="U1863" s="0" t="s">
        <v>221</v>
      </c>
      <c r="V1863" s="14" t="s">
        <v>597</v>
      </c>
      <c r="W1863" s="0" t="s">
        <v>221</v>
      </c>
      <c r="X1863" s="14" t="s">
        <v>597</v>
      </c>
      <c r="Y1863" s="0" t="s">
        <v>221</v>
      </c>
      <c r="Z1863" s="14" t="s">
        <v>361</v>
      </c>
      <c r="AA1863" s="0" t="s">
        <v>223</v>
      </c>
      <c r="AB1863" s="14" t="s">
        <v>138</v>
      </c>
      <c r="AC1863" s="0" t="s">
        <v>17</v>
      </c>
      <c r="AD1863" s="0" t="s">
        <v>20</v>
      </c>
      <c r="AE1863" s="0" t="s">
        <v>2266</v>
      </c>
      <c r="AF1863" s="0">
        <v>1</v>
      </c>
      <c r="AG1863" s="0">
        <v>0</v>
      </c>
      <c r="AH1863" s="0" t="s">
        <v>140</v>
      </c>
      <c r="AI1863" s="0" t="s">
        <v>479</v>
      </c>
      <c r="AK1863" s="0" t="s">
        <v>2241</v>
      </c>
      <c r="AL1863" s="14"/>
      <c r="AN1863" s="14"/>
      <c r="AQ1863" s="0" t="s">
        <v>130</v>
      </c>
      <c r="AR1863" s="0" t="s">
        <v>130</v>
      </c>
      <c r="AS1863" s="0" t="s">
        <v>141</v>
      </c>
      <c r="AT1863" s="0" t="s">
        <v>141</v>
      </c>
      <c r="AU1863" s="0" t="s">
        <v>141</v>
      </c>
      <c r="AV1863" s="0" t="s">
        <v>130</v>
      </c>
      <c r="AW1863" s="0" t="s">
        <v>130</v>
      </c>
      <c r="AX1863" s="0" t="s">
        <v>141</v>
      </c>
      <c r="AY1863" s="0" t="s">
        <v>130</v>
      </c>
      <c r="AZ1863" s="0" t="s">
        <v>141</v>
      </c>
      <c r="BA1863" s="0" t="s">
        <v>130</v>
      </c>
      <c r="BB1863" s="0" t="s">
        <v>130</v>
      </c>
      <c r="BC1863" s="0" t="s">
        <v>130</v>
      </c>
      <c r="BD1863" s="0" t="s">
        <v>130</v>
      </c>
      <c r="BE1863" s="0" t="s">
        <v>130</v>
      </c>
      <c r="BF1863" s="0" t="s">
        <v>141</v>
      </c>
      <c r="BG1863" s="0" t="s">
        <v>130</v>
      </c>
      <c r="BH1863" s="0" t="s">
        <v>130</v>
      </c>
      <c r="BI1863" s="0" t="s">
        <v>130</v>
      </c>
      <c r="BJ1863" s="0" t="s">
        <v>130</v>
      </c>
      <c r="BK1863" s="0" t="s">
        <v>130</v>
      </c>
      <c r="BL1863" s="0" t="s">
        <v>130</v>
      </c>
      <c r="BM1863" s="0" t="s">
        <v>130</v>
      </c>
      <c r="BN1863" s="0" t="s">
        <v>130</v>
      </c>
      <c r="BO1863" s="0" t="s">
        <v>130</v>
      </c>
      <c r="BP1863" s="0" t="s">
        <v>130</v>
      </c>
      <c r="BQ1863" s="0" t="s">
        <v>130</v>
      </c>
      <c r="BR1863" s="0" t="s">
        <v>130</v>
      </c>
      <c r="BS1863" s="0" t="s">
        <v>130</v>
      </c>
      <c r="BT1863" s="0" t="s">
        <v>130</v>
      </c>
      <c r="BU1863" s="0" t="s">
        <v>130</v>
      </c>
      <c r="BV1863" s="0" t="s">
        <v>130</v>
      </c>
      <c r="BW1863" s="0" t="s">
        <v>130</v>
      </c>
      <c r="BX1863" s="0" t="s">
        <v>130</v>
      </c>
      <c r="BY1863" s="0" t="s">
        <v>130</v>
      </c>
      <c r="BZ1863" s="0" t="s">
        <v>130</v>
      </c>
      <c r="CA1863" s="0" t="s">
        <v>130</v>
      </c>
      <c r="CB1863" s="0" t="s">
        <v>130</v>
      </c>
      <c r="CC1863" s="0" t="s">
        <v>130</v>
      </c>
      <c r="CD1863" s="0" t="s">
        <v>130</v>
      </c>
      <c r="CE1863" s="0" t="s">
        <v>130</v>
      </c>
      <c r="CF1863" s="0" t="s">
        <v>130</v>
      </c>
      <c r="CG1863" s="0" t="s">
        <v>130</v>
      </c>
      <c r="CH1863" s="0" t="s">
        <v>130</v>
      </c>
      <c r="CI1863" s="0" t="s">
        <v>130</v>
      </c>
      <c r="CJ1863" s="0" t="s">
        <v>130</v>
      </c>
      <c r="CK1863" s="0" t="s">
        <v>141</v>
      </c>
      <c r="CL1863" s="0" t="s">
        <v>130</v>
      </c>
      <c r="CM1863" s="0" t="s">
        <v>130</v>
      </c>
      <c r="CN1863" s="0" t="s">
        <v>130</v>
      </c>
      <c r="CO1863" s="0" t="s">
        <v>130</v>
      </c>
      <c r="CP1863" s="0" t="s">
        <v>130</v>
      </c>
      <c r="CQ1863" s="0" t="s">
        <v>130</v>
      </c>
      <c r="CR1863" s="0" t="s">
        <v>130</v>
      </c>
      <c r="CS1863" s="0" t="s">
        <v>130</v>
      </c>
      <c r="CT1863" s="0" t="s">
        <v>5280</v>
      </c>
    </row>
    <row r="1864">
      <c r="A1864" s="14">
        <v>8957976</v>
      </c>
      <c r="B1864" s="0" t="s">
        <v>3934</v>
      </c>
      <c r="C1864" s="16">
        <f>HYPERLINK("https://eosportal.federatedhermes.com/companies/Q29tcGFueQppNTg5NDk=", "Tencent Holdings Ltd")</f>
      </c>
      <c r="D1864" s="0" t="s">
        <v>23</v>
      </c>
      <c r="E1864" s="0" t="s">
        <v>5281</v>
      </c>
      <c r="F1864" s="16">
        <f>HYPERLINK("https://eosportal.federatedhermes.com/engagements/RW5nYWdlbWVudAppMzExMjM=", "Appoint an independent nomination committee chair")</f>
      </c>
      <c r="G1864" s="14" t="s">
        <v>5282</v>
      </c>
      <c r="H1864" s="0" t="s">
        <v>141</v>
      </c>
      <c r="I1864" s="14" t="s">
        <v>191</v>
      </c>
      <c r="J1864" s="0" t="s">
        <v>145</v>
      </c>
      <c r="K1864" s="0" t="s">
        <v>164</v>
      </c>
      <c r="L1864" s="0" t="s">
        <v>165</v>
      </c>
      <c r="M1864" s="0" t="s">
        <v>2807</v>
      </c>
      <c r="N1864" s="0" t="s">
        <v>3272</v>
      </c>
      <c r="O1864" s="0" t="s">
        <v>137</v>
      </c>
      <c r="Q1864" s="0" t="s">
        <v>130</v>
      </c>
      <c r="R1864" s="0" t="s">
        <v>130</v>
      </c>
      <c r="S1864" s="14">
        <v>0</v>
      </c>
      <c r="T1864" s="0" t="s">
        <v>148</v>
      </c>
      <c r="U1864" s="0" t="s">
        <v>221</v>
      </c>
      <c r="V1864" s="14" t="s">
        <v>148</v>
      </c>
      <c r="W1864" s="0" t="s">
        <v>221</v>
      </c>
      <c r="X1864" s="14" t="s">
        <v>148</v>
      </c>
      <c r="Y1864" s="0" t="s">
        <v>223</v>
      </c>
      <c r="Z1864" s="14" t="s">
        <v>138</v>
      </c>
      <c r="AA1864" s="0" t="s">
        <v>224</v>
      </c>
      <c r="AB1864" s="14" t="s">
        <v>138</v>
      </c>
      <c r="AD1864" s="0" t="s">
        <v>17</v>
      </c>
      <c r="AF1864" s="0">
        <v>0</v>
      </c>
      <c r="AG1864" s="0">
        <v>0</v>
      </c>
      <c r="AH1864" s="0" t="s">
        <v>140</v>
      </c>
      <c r="AI1864" s="0" t="s">
        <v>479</v>
      </c>
      <c r="AL1864" s="14"/>
      <c r="AN1864" s="14"/>
      <c r="AQ1864" s="0" t="s">
        <v>130</v>
      </c>
      <c r="AR1864" s="0" t="s">
        <v>130</v>
      </c>
      <c r="AS1864" s="0" t="s">
        <v>130</v>
      </c>
      <c r="AT1864" s="0" t="s">
        <v>130</v>
      </c>
      <c r="AU1864" s="0" t="s">
        <v>130</v>
      </c>
      <c r="AV1864" s="0" t="s">
        <v>130</v>
      </c>
      <c r="AW1864" s="0" t="s">
        <v>130</v>
      </c>
      <c r="AX1864" s="0" t="s">
        <v>130</v>
      </c>
      <c r="AY1864" s="0" t="s">
        <v>130</v>
      </c>
      <c r="AZ1864" s="0" t="s">
        <v>130</v>
      </c>
      <c r="BA1864" s="0" t="s">
        <v>130</v>
      </c>
      <c r="BB1864" s="0" t="s">
        <v>130</v>
      </c>
      <c r="BC1864" s="0" t="s">
        <v>130</v>
      </c>
      <c r="BD1864" s="0" t="s">
        <v>130</v>
      </c>
      <c r="BE1864" s="0" t="s">
        <v>130</v>
      </c>
      <c r="BF1864" s="0" t="s">
        <v>130</v>
      </c>
      <c r="BG1864" s="0" t="s">
        <v>130</v>
      </c>
      <c r="BH1864" s="0" t="s">
        <v>130</v>
      </c>
      <c r="BI1864" s="0" t="s">
        <v>130</v>
      </c>
      <c r="BJ1864" s="0" t="s">
        <v>130</v>
      </c>
      <c r="BK1864" s="0" t="s">
        <v>130</v>
      </c>
      <c r="BL1864" s="0" t="s">
        <v>130</v>
      </c>
      <c r="BM1864" s="0" t="s">
        <v>130</v>
      </c>
      <c r="BN1864" s="0" t="s">
        <v>130</v>
      </c>
      <c r="BO1864" s="0" t="s">
        <v>130</v>
      </c>
      <c r="BP1864" s="0" t="s">
        <v>130</v>
      </c>
      <c r="BQ1864" s="0" t="s">
        <v>130</v>
      </c>
      <c r="BR1864" s="0" t="s">
        <v>130</v>
      </c>
      <c r="BS1864" s="0" t="s">
        <v>130</v>
      </c>
      <c r="BT1864" s="0" t="s">
        <v>130</v>
      </c>
      <c r="BU1864" s="0" t="s">
        <v>130</v>
      </c>
      <c r="BV1864" s="0" t="s">
        <v>130</v>
      </c>
      <c r="BW1864" s="0" t="s">
        <v>130</v>
      </c>
      <c r="BX1864" s="0" t="s">
        <v>130</v>
      </c>
      <c r="BY1864" s="0" t="s">
        <v>130</v>
      </c>
      <c r="BZ1864" s="0" t="s">
        <v>130</v>
      </c>
      <c r="CA1864" s="0" t="s">
        <v>130</v>
      </c>
      <c r="CB1864" s="0" t="s">
        <v>130</v>
      </c>
      <c r="CC1864" s="0" t="s">
        <v>130</v>
      </c>
      <c r="CD1864" s="0" t="s">
        <v>130</v>
      </c>
      <c r="CE1864" s="0" t="s">
        <v>130</v>
      </c>
      <c r="CF1864" s="0" t="s">
        <v>130</v>
      </c>
      <c r="CG1864" s="0" t="s">
        <v>130</v>
      </c>
      <c r="CH1864" s="0" t="s">
        <v>130</v>
      </c>
      <c r="CI1864" s="0" t="s">
        <v>130</v>
      </c>
      <c r="CJ1864" s="0" t="s">
        <v>130</v>
      </c>
      <c r="CK1864" s="0" t="s">
        <v>130</v>
      </c>
      <c r="CL1864" s="0" t="s">
        <v>130</v>
      </c>
      <c r="CM1864" s="0" t="s">
        <v>130</v>
      </c>
      <c r="CN1864" s="0" t="s">
        <v>130</v>
      </c>
      <c r="CO1864" s="0" t="s">
        <v>130</v>
      </c>
      <c r="CP1864" s="0" t="s">
        <v>130</v>
      </c>
      <c r="CQ1864" s="0" t="s">
        <v>130</v>
      </c>
      <c r="CR1864" s="0" t="s">
        <v>130</v>
      </c>
      <c r="CS1864" s="0" t="s">
        <v>130</v>
      </c>
      <c r="CT1864" s="0" t="s">
        <v>5283</v>
      </c>
    </row>
    <row r="1865">
      <c r="A1865" s="14">
        <v>108445</v>
      </c>
      <c r="B1865" s="0" t="s">
        <v>2234</v>
      </c>
      <c r="C1865" s="16">
        <f>HYPERLINK("https://eosportal.federatedhermes.com/companies/Q29tcGFueQppNjQzNzE=", "Bank of Nova Scotia/The")</f>
      </c>
      <c r="D1865" s="0" t="s">
        <v>23</v>
      </c>
      <c r="E1865" s="0" t="s">
        <v>5284</v>
      </c>
      <c r="F1865" s="16">
        <f>HYPERLINK("https://eosportal.federatedhermes.com/engagements/RW5nYWdlbWVudAppMzExMjQ=", "Financing requirement for FPIC")</f>
      </c>
      <c r="G1865" s="14" t="s">
        <v>5285</v>
      </c>
      <c r="H1865" s="0" t="s">
        <v>141</v>
      </c>
      <c r="I1865" s="14" t="s">
        <v>131</v>
      </c>
      <c r="J1865" s="0" t="s">
        <v>153</v>
      </c>
      <c r="K1865" s="0" t="s">
        <v>243</v>
      </c>
      <c r="L1865" s="0" t="s">
        <v>571</v>
      </c>
      <c r="M1865" s="0" t="s">
        <v>135</v>
      </c>
      <c r="N1865" s="0" t="s">
        <v>1678</v>
      </c>
      <c r="O1865" s="0" t="s">
        <v>238</v>
      </c>
      <c r="Q1865" s="0" t="s">
        <v>141</v>
      </c>
      <c r="R1865" s="0" t="s">
        <v>130</v>
      </c>
      <c r="S1865" s="14">
        <v>1</v>
      </c>
      <c r="T1865" s="0" t="s">
        <v>597</v>
      </c>
      <c r="U1865" s="0" t="s">
        <v>221</v>
      </c>
      <c r="V1865" s="14" t="s">
        <v>597</v>
      </c>
      <c r="W1865" s="0" t="s">
        <v>221</v>
      </c>
      <c r="X1865" s="14" t="s">
        <v>597</v>
      </c>
      <c r="Y1865" s="0" t="s">
        <v>221</v>
      </c>
      <c r="Z1865" s="14" t="s">
        <v>4412</v>
      </c>
      <c r="AA1865" s="0" t="s">
        <v>223</v>
      </c>
      <c r="AB1865" s="14" t="s">
        <v>138</v>
      </c>
      <c r="AD1865" s="0" t="s">
        <v>20</v>
      </c>
      <c r="AF1865" s="0">
        <v>0</v>
      </c>
      <c r="AG1865" s="0">
        <v>0</v>
      </c>
      <c r="AH1865" s="0" t="s">
        <v>140</v>
      </c>
      <c r="AI1865" s="0" t="s">
        <v>479</v>
      </c>
      <c r="AK1865" s="0" t="s">
        <v>2239</v>
      </c>
      <c r="AL1865" s="14"/>
      <c r="AN1865" s="14"/>
      <c r="AQ1865" s="0" t="s">
        <v>130</v>
      </c>
      <c r="AR1865" s="0" t="s">
        <v>130</v>
      </c>
      <c r="AS1865" s="0" t="s">
        <v>130</v>
      </c>
      <c r="AT1865" s="0" t="s">
        <v>130</v>
      </c>
      <c r="AU1865" s="0" t="s">
        <v>130</v>
      </c>
      <c r="AV1865" s="0" t="s">
        <v>130</v>
      </c>
      <c r="AW1865" s="0" t="s">
        <v>130</v>
      </c>
      <c r="AX1865" s="0" t="s">
        <v>130</v>
      </c>
      <c r="AY1865" s="0" t="s">
        <v>130</v>
      </c>
      <c r="AZ1865" s="0" t="s">
        <v>141</v>
      </c>
      <c r="BA1865" s="0" t="s">
        <v>141</v>
      </c>
      <c r="BB1865" s="0" t="s">
        <v>130</v>
      </c>
      <c r="BC1865" s="0" t="s">
        <v>130</v>
      </c>
      <c r="BD1865" s="0" t="s">
        <v>130</v>
      </c>
      <c r="BE1865" s="0" t="s">
        <v>130</v>
      </c>
      <c r="BF1865" s="0" t="s">
        <v>141</v>
      </c>
      <c r="BG1865" s="0" t="s">
        <v>130</v>
      </c>
      <c r="BH1865" s="0" t="s">
        <v>130</v>
      </c>
      <c r="BI1865" s="0" t="s">
        <v>130</v>
      </c>
      <c r="BJ1865" s="0" t="s">
        <v>130</v>
      </c>
      <c r="BK1865" s="0" t="s">
        <v>130</v>
      </c>
      <c r="BL1865" s="0" t="s">
        <v>130</v>
      </c>
      <c r="BM1865" s="0" t="s">
        <v>130</v>
      </c>
      <c r="BN1865" s="0" t="s">
        <v>130</v>
      </c>
      <c r="BO1865" s="0" t="s">
        <v>130</v>
      </c>
      <c r="BP1865" s="0" t="s">
        <v>130</v>
      </c>
      <c r="BQ1865" s="0" t="s">
        <v>130</v>
      </c>
      <c r="BR1865" s="0" t="s">
        <v>130</v>
      </c>
      <c r="BS1865" s="0" t="s">
        <v>130</v>
      </c>
      <c r="BT1865" s="0" t="s">
        <v>130</v>
      </c>
      <c r="BU1865" s="0" t="s">
        <v>130</v>
      </c>
      <c r="BV1865" s="0" t="s">
        <v>130</v>
      </c>
      <c r="BW1865" s="0" t="s">
        <v>130</v>
      </c>
      <c r="BX1865" s="0" t="s">
        <v>130</v>
      </c>
      <c r="BY1865" s="0" t="s">
        <v>130</v>
      </c>
      <c r="BZ1865" s="0" t="s">
        <v>130</v>
      </c>
      <c r="CA1865" s="0" t="s">
        <v>130</v>
      </c>
      <c r="CB1865" s="0" t="s">
        <v>130</v>
      </c>
      <c r="CC1865" s="0" t="s">
        <v>130</v>
      </c>
      <c r="CD1865" s="0" t="s">
        <v>130</v>
      </c>
      <c r="CE1865" s="0" t="s">
        <v>130</v>
      </c>
      <c r="CF1865" s="0" t="s">
        <v>130</v>
      </c>
      <c r="CG1865" s="0" t="s">
        <v>130</v>
      </c>
      <c r="CH1865" s="0" t="s">
        <v>130</v>
      </c>
      <c r="CI1865" s="0" t="s">
        <v>130</v>
      </c>
      <c r="CJ1865" s="0" t="s">
        <v>130</v>
      </c>
      <c r="CK1865" s="0" t="s">
        <v>130</v>
      </c>
      <c r="CL1865" s="0" t="s">
        <v>130</v>
      </c>
      <c r="CM1865" s="0" t="s">
        <v>130</v>
      </c>
      <c r="CN1865" s="0" t="s">
        <v>130</v>
      </c>
      <c r="CO1865" s="0" t="s">
        <v>130</v>
      </c>
      <c r="CP1865" s="0" t="s">
        <v>130</v>
      </c>
      <c r="CQ1865" s="0" t="s">
        <v>130</v>
      </c>
      <c r="CR1865" s="0" t="s">
        <v>130</v>
      </c>
      <c r="CS1865" s="0" t="s">
        <v>130</v>
      </c>
      <c r="CT1865" s="0" t="s">
        <v>5286</v>
      </c>
    </row>
    <row r="1866">
      <c r="A1866" s="14">
        <v>115679</v>
      </c>
      <c r="B1866" s="0" t="s">
        <v>2603</v>
      </c>
      <c r="C1866" s="16">
        <f>HYPERLINK("https://eosportal.federatedhermes.com/companies/Q29tcGFueQppNTg5NzU=", "Bayer AG")</f>
      </c>
      <c r="D1866" s="0" t="s">
        <v>25</v>
      </c>
      <c r="E1866" s="0" t="s">
        <v>5150</v>
      </c>
      <c r="F1866" s="16">
        <f>HYPERLINK("https://eosportal.federatedhermes.com/engagements/RW5nYWdlbWVudAppMzExMzM=", "Hazardous chemicals")</f>
      </c>
      <c r="G1866" s="14" t="s">
        <v>5287</v>
      </c>
      <c r="H1866" s="0" t="s">
        <v>141</v>
      </c>
      <c r="I1866" s="14" t="s">
        <v>1645</v>
      </c>
      <c r="J1866" s="0" t="s">
        <v>197</v>
      </c>
      <c r="K1866" s="0" t="s">
        <v>348</v>
      </c>
      <c r="L1866" s="0" t="s">
        <v>650</v>
      </c>
      <c r="M1866" s="0" t="s">
        <v>378</v>
      </c>
      <c r="N1866" s="0" t="s">
        <v>2485</v>
      </c>
      <c r="O1866" s="0" t="s">
        <v>274</v>
      </c>
      <c r="Q1866" s="0" t="s">
        <v>141</v>
      </c>
      <c r="R1866" s="0" t="s">
        <v>138</v>
      </c>
      <c r="S1866" s="14">
        <v>1</v>
      </c>
      <c r="T1866" s="0" t="s">
        <v>597</v>
      </c>
      <c r="U1866" s="0" t="s">
        <v>138</v>
      </c>
      <c r="V1866" s="14" t="s">
        <v>138</v>
      </c>
      <c r="W1866" s="0" t="s">
        <v>138</v>
      </c>
      <c r="X1866" s="14" t="s">
        <v>138</v>
      </c>
      <c r="Y1866" s="0" t="s">
        <v>138</v>
      </c>
      <c r="Z1866" s="14" t="s">
        <v>138</v>
      </c>
      <c r="AA1866" s="0" t="s">
        <v>138</v>
      </c>
      <c r="AB1866" s="14" t="s">
        <v>138</v>
      </c>
      <c r="AD1866" s="0" t="s">
        <v>138</v>
      </c>
      <c r="AF1866" s="0">
        <v>0</v>
      </c>
      <c r="AG1866" s="0">
        <v>0</v>
      </c>
      <c r="AH1866" s="0" t="s">
        <v>140</v>
      </c>
      <c r="AI1866" s="0" t="s">
        <v>138</v>
      </c>
      <c r="AK1866" s="0" t="s">
        <v>714</v>
      </c>
      <c r="AL1866" s="14"/>
      <c r="AN1866" s="14"/>
      <c r="AQ1866" s="0" t="s">
        <v>130</v>
      </c>
      <c r="AR1866" s="0" t="s">
        <v>130</v>
      </c>
      <c r="AS1866" s="0" t="s">
        <v>141</v>
      </c>
      <c r="AT1866" s="0" t="s">
        <v>130</v>
      </c>
      <c r="AU1866" s="0" t="s">
        <v>130</v>
      </c>
      <c r="AV1866" s="0" t="s">
        <v>130</v>
      </c>
      <c r="AW1866" s="0" t="s">
        <v>130</v>
      </c>
      <c r="AX1866" s="0" t="s">
        <v>130</v>
      </c>
      <c r="AY1866" s="0" t="s">
        <v>130</v>
      </c>
      <c r="AZ1866" s="0" t="s">
        <v>130</v>
      </c>
      <c r="BA1866" s="0" t="s">
        <v>130</v>
      </c>
      <c r="BB1866" s="0" t="s">
        <v>141</v>
      </c>
      <c r="BC1866" s="0" t="s">
        <v>130</v>
      </c>
      <c r="BD1866" s="0" t="s">
        <v>130</v>
      </c>
      <c r="BE1866" s="0" t="s">
        <v>130</v>
      </c>
      <c r="BF1866" s="0" t="s">
        <v>130</v>
      </c>
      <c r="BG1866" s="0" t="s">
        <v>130</v>
      </c>
      <c r="BH1866" s="0" t="s">
        <v>130</v>
      </c>
      <c r="BI1866" s="0" t="s">
        <v>130</v>
      </c>
      <c r="BJ1866" s="0" t="s">
        <v>130</v>
      </c>
      <c r="BK1866" s="0" t="s">
        <v>130</v>
      </c>
      <c r="BL1866" s="0" t="s">
        <v>130</v>
      </c>
      <c r="BM1866" s="0" t="s">
        <v>130</v>
      </c>
      <c r="BN1866" s="0" t="s">
        <v>130</v>
      </c>
      <c r="BO1866" s="0" t="s">
        <v>130</v>
      </c>
      <c r="BP1866" s="0" t="s">
        <v>130</v>
      </c>
      <c r="BQ1866" s="0" t="s">
        <v>130</v>
      </c>
      <c r="BR1866" s="0" t="s">
        <v>130</v>
      </c>
      <c r="BS1866" s="0" t="s">
        <v>130</v>
      </c>
      <c r="BT1866" s="0" t="s">
        <v>130</v>
      </c>
      <c r="BU1866" s="0" t="s">
        <v>130</v>
      </c>
      <c r="BV1866" s="0" t="s">
        <v>130</v>
      </c>
      <c r="BW1866" s="0" t="s">
        <v>130</v>
      </c>
      <c r="BX1866" s="0" t="s">
        <v>130</v>
      </c>
      <c r="BY1866" s="0" t="s">
        <v>130</v>
      </c>
      <c r="BZ1866" s="0" t="s">
        <v>130</v>
      </c>
      <c r="CA1866" s="0" t="s">
        <v>130</v>
      </c>
      <c r="CB1866" s="0" t="s">
        <v>130</v>
      </c>
      <c r="CC1866" s="0" t="s">
        <v>130</v>
      </c>
      <c r="CD1866" s="0" t="s">
        <v>130</v>
      </c>
      <c r="CE1866" s="0" t="s">
        <v>130</v>
      </c>
      <c r="CF1866" s="0" t="s">
        <v>130</v>
      </c>
      <c r="CG1866" s="0" t="s">
        <v>130</v>
      </c>
      <c r="CH1866" s="0" t="s">
        <v>130</v>
      </c>
      <c r="CI1866" s="0" t="s">
        <v>130</v>
      </c>
      <c r="CJ1866" s="0" t="s">
        <v>130</v>
      </c>
      <c r="CK1866" s="0" t="s">
        <v>130</v>
      </c>
      <c r="CL1866" s="0" t="s">
        <v>130</v>
      </c>
      <c r="CM1866" s="0" t="s">
        <v>130</v>
      </c>
      <c r="CN1866" s="0" t="s">
        <v>130</v>
      </c>
      <c r="CO1866" s="0" t="s">
        <v>130</v>
      </c>
      <c r="CP1866" s="0" t="s">
        <v>130</v>
      </c>
      <c r="CQ1866" s="0" t="s">
        <v>130</v>
      </c>
      <c r="CR1866" s="0" t="s">
        <v>130</v>
      </c>
      <c r="CS1866" s="0" t="s">
        <v>130</v>
      </c>
      <c r="CT1866" s="0" t="s">
        <v>5288</v>
      </c>
    </row>
    <row r="1867">
      <c r="A1867" s="14">
        <v>115823</v>
      </c>
      <c r="B1867" s="0" t="s">
        <v>2678</v>
      </c>
      <c r="C1867" s="16">
        <f>HYPERLINK("https://eosportal.federatedhermes.com/companies/Q29tcGFueQppNjMwMDM=", "ING Groep NV")</f>
      </c>
      <c r="D1867" s="0" t="s">
        <v>23</v>
      </c>
      <c r="E1867" s="0" t="s">
        <v>5289</v>
      </c>
      <c r="F1867" s="16">
        <f>HYPERLINK("https://eosportal.federatedhermes.com/engagements/RW5nYWdlbWVudAppMzExNDQ=", "Deliver on Portfolio Emissions Reduction &amp; Transition Finance Targets")</f>
      </c>
      <c r="G1867" s="14" t="s">
        <v>5290</v>
      </c>
      <c r="H1867" s="0" t="s">
        <v>130</v>
      </c>
      <c r="I1867" s="14" t="s">
        <v>131</v>
      </c>
      <c r="J1867" s="0" t="s">
        <v>197</v>
      </c>
      <c r="K1867" s="0" t="s">
        <v>198</v>
      </c>
      <c r="L1867" s="0" t="s">
        <v>216</v>
      </c>
      <c r="M1867" s="0" t="s">
        <v>378</v>
      </c>
      <c r="N1867" s="0" t="s">
        <v>2554</v>
      </c>
      <c r="O1867" s="0" t="s">
        <v>238</v>
      </c>
      <c r="Q1867" s="0" t="s">
        <v>130</v>
      </c>
      <c r="R1867" s="0" t="s">
        <v>130</v>
      </c>
      <c r="S1867" s="14">
        <v>0</v>
      </c>
      <c r="T1867" s="0" t="s">
        <v>597</v>
      </c>
      <c r="U1867" s="0" t="s">
        <v>221</v>
      </c>
      <c r="V1867" s="14" t="s">
        <v>597</v>
      </c>
      <c r="W1867" s="0" t="s">
        <v>221</v>
      </c>
      <c r="X1867" s="14" t="s">
        <v>222</v>
      </c>
      <c r="Y1867" s="0" t="s">
        <v>221</v>
      </c>
      <c r="Z1867" s="14" t="s">
        <v>2842</v>
      </c>
      <c r="AA1867" s="0" t="s">
        <v>223</v>
      </c>
      <c r="AB1867" s="14" t="s">
        <v>138</v>
      </c>
      <c r="AD1867" s="0" t="s">
        <v>20</v>
      </c>
      <c r="AF1867" s="0">
        <v>0</v>
      </c>
      <c r="AG1867" s="0">
        <v>0</v>
      </c>
      <c r="AH1867" s="0" t="s">
        <v>140</v>
      </c>
      <c r="AI1867" s="0" t="s">
        <v>479</v>
      </c>
      <c r="AL1867" s="14"/>
      <c r="AN1867" s="14"/>
      <c r="AQ1867" s="0" t="s">
        <v>130</v>
      </c>
      <c r="AR1867" s="0" t="s">
        <v>130</v>
      </c>
      <c r="AS1867" s="0" t="s">
        <v>130</v>
      </c>
      <c r="AT1867" s="0" t="s">
        <v>130</v>
      </c>
      <c r="AU1867" s="0" t="s">
        <v>130</v>
      </c>
      <c r="AV1867" s="0" t="s">
        <v>130</v>
      </c>
      <c r="AW1867" s="0" t="s">
        <v>141</v>
      </c>
      <c r="AX1867" s="0" t="s">
        <v>130</v>
      </c>
      <c r="AY1867" s="0" t="s">
        <v>130</v>
      </c>
      <c r="AZ1867" s="0" t="s">
        <v>130</v>
      </c>
      <c r="BA1867" s="0" t="s">
        <v>130</v>
      </c>
      <c r="BB1867" s="0" t="s">
        <v>130</v>
      </c>
      <c r="BC1867" s="0" t="s">
        <v>141</v>
      </c>
      <c r="BD1867" s="0" t="s">
        <v>130</v>
      </c>
      <c r="BE1867" s="0" t="s">
        <v>130</v>
      </c>
      <c r="BF1867" s="0" t="s">
        <v>130</v>
      </c>
      <c r="BG1867" s="0" t="s">
        <v>130</v>
      </c>
      <c r="BH1867" s="0" t="s">
        <v>141</v>
      </c>
      <c r="BI1867" s="0" t="s">
        <v>141</v>
      </c>
      <c r="BJ1867" s="0" t="s">
        <v>141</v>
      </c>
      <c r="BK1867" s="0" t="s">
        <v>130</v>
      </c>
      <c r="BL1867" s="0" t="s">
        <v>130</v>
      </c>
      <c r="BM1867" s="0" t="s">
        <v>130</v>
      </c>
      <c r="BN1867" s="0" t="s">
        <v>130</v>
      </c>
      <c r="BO1867" s="0" t="s">
        <v>130</v>
      </c>
      <c r="BP1867" s="0" t="s">
        <v>130</v>
      </c>
      <c r="BQ1867" s="0" t="s">
        <v>130</v>
      </c>
      <c r="BR1867" s="0" t="s">
        <v>130</v>
      </c>
      <c r="BS1867" s="0" t="s">
        <v>130</v>
      </c>
      <c r="BT1867" s="0" t="s">
        <v>130</v>
      </c>
      <c r="BU1867" s="0" t="s">
        <v>130</v>
      </c>
      <c r="BV1867" s="0" t="s">
        <v>141</v>
      </c>
      <c r="BW1867" s="0" t="s">
        <v>141</v>
      </c>
      <c r="BX1867" s="0" t="s">
        <v>130</v>
      </c>
      <c r="BY1867" s="0" t="s">
        <v>130</v>
      </c>
      <c r="BZ1867" s="0" t="s">
        <v>130</v>
      </c>
      <c r="CA1867" s="0" t="s">
        <v>130</v>
      </c>
      <c r="CB1867" s="0" t="s">
        <v>130</v>
      </c>
      <c r="CC1867" s="0" t="s">
        <v>130</v>
      </c>
      <c r="CD1867" s="0" t="s">
        <v>130</v>
      </c>
      <c r="CE1867" s="0" t="s">
        <v>130</v>
      </c>
      <c r="CF1867" s="0" t="s">
        <v>130</v>
      </c>
      <c r="CG1867" s="0" t="s">
        <v>130</v>
      </c>
      <c r="CH1867" s="0" t="s">
        <v>130</v>
      </c>
      <c r="CI1867" s="0" t="s">
        <v>130</v>
      </c>
      <c r="CJ1867" s="0" t="s">
        <v>130</v>
      </c>
      <c r="CK1867" s="0" t="s">
        <v>130</v>
      </c>
      <c r="CL1867" s="0" t="s">
        <v>130</v>
      </c>
      <c r="CM1867" s="0" t="s">
        <v>130</v>
      </c>
      <c r="CN1867" s="0" t="s">
        <v>130</v>
      </c>
      <c r="CO1867" s="0" t="s">
        <v>130</v>
      </c>
      <c r="CP1867" s="0" t="s">
        <v>130</v>
      </c>
      <c r="CQ1867" s="0" t="s">
        <v>130</v>
      </c>
      <c r="CR1867" s="0" t="s">
        <v>130</v>
      </c>
      <c r="CS1867" s="0" t="s">
        <v>130</v>
      </c>
      <c r="CT1867" s="0" t="s">
        <v>5291</v>
      </c>
    </row>
    <row r="1868">
      <c r="A1868" s="14">
        <v>115823</v>
      </c>
      <c r="B1868" s="0" t="s">
        <v>2678</v>
      </c>
      <c r="C1868" s="16">
        <f>HYPERLINK("https://eosportal.federatedhermes.com/companies/Q29tcGFueQppNjMwMDM=", "ING Groep NV")</f>
      </c>
      <c r="D1868" s="0" t="s">
        <v>25</v>
      </c>
      <c r="E1868" s="0" t="s">
        <v>5292</v>
      </c>
      <c r="F1868" s="16">
        <f>HYPERLINK("https://eosportal.federatedhermes.com/engagements/RW5nYWdlbWVudAppMzExNDk=", "Social Impact Taxonomy &amp; Measurement")</f>
      </c>
      <c r="G1868" s="14" t="s">
        <v>5293</v>
      </c>
      <c r="H1868" s="0" t="s">
        <v>130</v>
      </c>
      <c r="I1868" s="14" t="s">
        <v>131</v>
      </c>
      <c r="J1868" s="0" t="s">
        <v>132</v>
      </c>
      <c r="K1868" s="0" t="s">
        <v>170</v>
      </c>
      <c r="L1868" s="0" t="s">
        <v>171</v>
      </c>
      <c r="M1868" s="0" t="s">
        <v>378</v>
      </c>
      <c r="N1868" s="0" t="s">
        <v>2554</v>
      </c>
      <c r="O1868" s="0" t="s">
        <v>238</v>
      </c>
      <c r="Q1868" s="0" t="s">
        <v>130</v>
      </c>
      <c r="R1868" s="0" t="s">
        <v>138</v>
      </c>
      <c r="S1868" s="14">
        <v>0</v>
      </c>
      <c r="T1868" s="0" t="s">
        <v>597</v>
      </c>
      <c r="U1868" s="0" t="s">
        <v>138</v>
      </c>
      <c r="V1868" s="14" t="s">
        <v>138</v>
      </c>
      <c r="W1868" s="0" t="s">
        <v>138</v>
      </c>
      <c r="X1868" s="14" t="s">
        <v>138</v>
      </c>
      <c r="Y1868" s="0" t="s">
        <v>138</v>
      </c>
      <c r="Z1868" s="14" t="s">
        <v>138</v>
      </c>
      <c r="AA1868" s="0" t="s">
        <v>138</v>
      </c>
      <c r="AB1868" s="14" t="s">
        <v>138</v>
      </c>
      <c r="AD1868" s="0" t="s">
        <v>138</v>
      </c>
      <c r="AF1868" s="0">
        <v>0</v>
      </c>
      <c r="AG1868" s="0">
        <v>0</v>
      </c>
      <c r="AH1868" s="0" t="s">
        <v>140</v>
      </c>
      <c r="AI1868" s="0" t="s">
        <v>138</v>
      </c>
      <c r="AL1868" s="14"/>
      <c r="AN1868" s="14"/>
      <c r="AQ1868" s="0" t="s">
        <v>130</v>
      </c>
      <c r="AR1868" s="0" t="s">
        <v>130</v>
      </c>
      <c r="AS1868" s="0" t="s">
        <v>130</v>
      </c>
      <c r="AT1868" s="0" t="s">
        <v>130</v>
      </c>
      <c r="AU1868" s="0" t="s">
        <v>130</v>
      </c>
      <c r="AV1868" s="0" t="s">
        <v>130</v>
      </c>
      <c r="AW1868" s="0" t="s">
        <v>130</v>
      </c>
      <c r="AX1868" s="0" t="s">
        <v>130</v>
      </c>
      <c r="AY1868" s="0" t="s">
        <v>130</v>
      </c>
      <c r="AZ1868" s="0" t="s">
        <v>130</v>
      </c>
      <c r="BA1868" s="0" t="s">
        <v>130</v>
      </c>
      <c r="BB1868" s="0" t="s">
        <v>130</v>
      </c>
      <c r="BC1868" s="0" t="s">
        <v>130</v>
      </c>
      <c r="BD1868" s="0" t="s">
        <v>130</v>
      </c>
      <c r="BE1868" s="0" t="s">
        <v>130</v>
      </c>
      <c r="BF1868" s="0" t="s">
        <v>130</v>
      </c>
      <c r="BG1868" s="0" t="s">
        <v>130</v>
      </c>
      <c r="BH1868" s="0" t="s">
        <v>130</v>
      </c>
      <c r="BI1868" s="0" t="s">
        <v>130</v>
      </c>
      <c r="BJ1868" s="0" t="s">
        <v>130</v>
      </c>
      <c r="BK1868" s="0" t="s">
        <v>130</v>
      </c>
      <c r="BL1868" s="0" t="s">
        <v>130</v>
      </c>
      <c r="BM1868" s="0" t="s">
        <v>130</v>
      </c>
      <c r="BN1868" s="0" t="s">
        <v>130</v>
      </c>
      <c r="BO1868" s="0" t="s">
        <v>130</v>
      </c>
      <c r="BP1868" s="0" t="s">
        <v>130</v>
      </c>
      <c r="BQ1868" s="0" t="s">
        <v>130</v>
      </c>
      <c r="BR1868" s="0" t="s">
        <v>130</v>
      </c>
      <c r="BS1868" s="0" t="s">
        <v>130</v>
      </c>
      <c r="BT1868" s="0" t="s">
        <v>130</v>
      </c>
      <c r="BU1868" s="0" t="s">
        <v>130</v>
      </c>
      <c r="BV1868" s="0" t="s">
        <v>130</v>
      </c>
      <c r="BW1868" s="0" t="s">
        <v>130</v>
      </c>
      <c r="BX1868" s="0" t="s">
        <v>130</v>
      </c>
      <c r="BY1868" s="0" t="s">
        <v>130</v>
      </c>
      <c r="BZ1868" s="0" t="s">
        <v>130</v>
      </c>
      <c r="CA1868" s="0" t="s">
        <v>130</v>
      </c>
      <c r="CB1868" s="0" t="s">
        <v>130</v>
      </c>
      <c r="CC1868" s="0" t="s">
        <v>130</v>
      </c>
      <c r="CD1868" s="0" t="s">
        <v>130</v>
      </c>
      <c r="CE1868" s="0" t="s">
        <v>130</v>
      </c>
      <c r="CF1868" s="0" t="s">
        <v>130</v>
      </c>
      <c r="CG1868" s="0" t="s">
        <v>130</v>
      </c>
      <c r="CH1868" s="0" t="s">
        <v>130</v>
      </c>
      <c r="CI1868" s="0" t="s">
        <v>130</v>
      </c>
      <c r="CJ1868" s="0" t="s">
        <v>130</v>
      </c>
      <c r="CK1868" s="0" t="s">
        <v>130</v>
      </c>
      <c r="CL1868" s="0" t="s">
        <v>130</v>
      </c>
      <c r="CM1868" s="0" t="s">
        <v>130</v>
      </c>
      <c r="CN1868" s="0" t="s">
        <v>130</v>
      </c>
      <c r="CO1868" s="0" t="s">
        <v>130</v>
      </c>
      <c r="CP1868" s="0" t="s">
        <v>130</v>
      </c>
      <c r="CQ1868" s="0" t="s">
        <v>130</v>
      </c>
      <c r="CR1868" s="0" t="s">
        <v>130</v>
      </c>
      <c r="CS1868" s="0" t="s">
        <v>130</v>
      </c>
      <c r="CT1868" s="0" t="s">
        <v>5294</v>
      </c>
    </row>
    <row r="1869">
      <c r="A1869" s="14">
        <v>115823</v>
      </c>
      <c r="B1869" s="0" t="s">
        <v>2678</v>
      </c>
      <c r="C1869" s="16">
        <f>HYPERLINK("https://eosportal.federatedhermes.com/companies/Q29tcGFueQppNjMwMDM=", "ING Groep NV")</f>
      </c>
      <c r="D1869" s="0" t="s">
        <v>25</v>
      </c>
      <c r="E1869" s="0" t="s">
        <v>5295</v>
      </c>
      <c r="F1869" s="16">
        <f>HYPERLINK("https://eosportal.federatedhermes.com/engagements/RW5nYWdlbWVudAppMzExNTA=", "Evolve Unconventional &amp; Arctic Oil &amp; Gas Policy")</f>
      </c>
      <c r="G1869" s="14" t="s">
        <v>5296</v>
      </c>
      <c r="H1869" s="0" t="s">
        <v>130</v>
      </c>
      <c r="I1869" s="14" t="s">
        <v>131</v>
      </c>
      <c r="J1869" s="0" t="s">
        <v>197</v>
      </c>
      <c r="K1869" s="0" t="s">
        <v>198</v>
      </c>
      <c r="L1869" s="0" t="s">
        <v>216</v>
      </c>
      <c r="M1869" s="0" t="s">
        <v>378</v>
      </c>
      <c r="N1869" s="0" t="s">
        <v>2554</v>
      </c>
      <c r="O1869" s="0" t="s">
        <v>238</v>
      </c>
      <c r="Q1869" s="0" t="s">
        <v>130</v>
      </c>
      <c r="R1869" s="0" t="s">
        <v>138</v>
      </c>
      <c r="S1869" s="14">
        <v>0</v>
      </c>
      <c r="T1869" s="0" t="s">
        <v>597</v>
      </c>
      <c r="U1869" s="0" t="s">
        <v>138</v>
      </c>
      <c r="V1869" s="14" t="s">
        <v>138</v>
      </c>
      <c r="W1869" s="0" t="s">
        <v>138</v>
      </c>
      <c r="X1869" s="14" t="s">
        <v>138</v>
      </c>
      <c r="Y1869" s="0" t="s">
        <v>138</v>
      </c>
      <c r="Z1869" s="14" t="s">
        <v>138</v>
      </c>
      <c r="AA1869" s="0" t="s">
        <v>138</v>
      </c>
      <c r="AB1869" s="14" t="s">
        <v>138</v>
      </c>
      <c r="AD1869" s="0" t="s">
        <v>138</v>
      </c>
      <c r="AF1869" s="0">
        <v>0</v>
      </c>
      <c r="AG1869" s="0">
        <v>0</v>
      </c>
      <c r="AH1869" s="0" t="s">
        <v>140</v>
      </c>
      <c r="AI1869" s="0" t="s">
        <v>138</v>
      </c>
      <c r="AL1869" s="14"/>
      <c r="AN1869" s="14"/>
      <c r="AQ1869" s="0" t="s">
        <v>130</v>
      </c>
      <c r="AR1869" s="0" t="s">
        <v>130</v>
      </c>
      <c r="AS1869" s="0" t="s">
        <v>130</v>
      </c>
      <c r="AT1869" s="0" t="s">
        <v>130</v>
      </c>
      <c r="AU1869" s="0" t="s">
        <v>130</v>
      </c>
      <c r="AV1869" s="0" t="s">
        <v>130</v>
      </c>
      <c r="AW1869" s="0" t="s">
        <v>141</v>
      </c>
      <c r="AX1869" s="0" t="s">
        <v>130</v>
      </c>
      <c r="AY1869" s="0" t="s">
        <v>130</v>
      </c>
      <c r="AZ1869" s="0" t="s">
        <v>130</v>
      </c>
      <c r="BA1869" s="0" t="s">
        <v>130</v>
      </c>
      <c r="BB1869" s="0" t="s">
        <v>130</v>
      </c>
      <c r="BC1869" s="0" t="s">
        <v>141</v>
      </c>
      <c r="BD1869" s="0" t="s">
        <v>130</v>
      </c>
      <c r="BE1869" s="0" t="s">
        <v>130</v>
      </c>
      <c r="BF1869" s="0" t="s">
        <v>130</v>
      </c>
      <c r="BG1869" s="0" t="s">
        <v>130</v>
      </c>
      <c r="BH1869" s="0" t="s">
        <v>141</v>
      </c>
      <c r="BI1869" s="0" t="s">
        <v>141</v>
      </c>
      <c r="BJ1869" s="0" t="s">
        <v>141</v>
      </c>
      <c r="BK1869" s="0" t="s">
        <v>130</v>
      </c>
      <c r="BL1869" s="0" t="s">
        <v>130</v>
      </c>
      <c r="BM1869" s="0" t="s">
        <v>130</v>
      </c>
      <c r="BN1869" s="0" t="s">
        <v>130</v>
      </c>
      <c r="BO1869" s="0" t="s">
        <v>130</v>
      </c>
      <c r="BP1869" s="0" t="s">
        <v>130</v>
      </c>
      <c r="BQ1869" s="0" t="s">
        <v>130</v>
      </c>
      <c r="BR1869" s="0" t="s">
        <v>130</v>
      </c>
      <c r="BS1869" s="0" t="s">
        <v>130</v>
      </c>
      <c r="BT1869" s="0" t="s">
        <v>130</v>
      </c>
      <c r="BU1869" s="0" t="s">
        <v>130</v>
      </c>
      <c r="BV1869" s="0" t="s">
        <v>141</v>
      </c>
      <c r="BW1869" s="0" t="s">
        <v>141</v>
      </c>
      <c r="BX1869" s="0" t="s">
        <v>130</v>
      </c>
      <c r="BY1869" s="0" t="s">
        <v>130</v>
      </c>
      <c r="BZ1869" s="0" t="s">
        <v>130</v>
      </c>
      <c r="CA1869" s="0" t="s">
        <v>130</v>
      </c>
      <c r="CB1869" s="0" t="s">
        <v>130</v>
      </c>
      <c r="CC1869" s="0" t="s">
        <v>130</v>
      </c>
      <c r="CD1869" s="0" t="s">
        <v>130</v>
      </c>
      <c r="CE1869" s="0" t="s">
        <v>130</v>
      </c>
      <c r="CF1869" s="0" t="s">
        <v>130</v>
      </c>
      <c r="CG1869" s="0" t="s">
        <v>130</v>
      </c>
      <c r="CH1869" s="0" t="s">
        <v>130</v>
      </c>
      <c r="CI1869" s="0" t="s">
        <v>130</v>
      </c>
      <c r="CJ1869" s="0" t="s">
        <v>130</v>
      </c>
      <c r="CK1869" s="0" t="s">
        <v>130</v>
      </c>
      <c r="CL1869" s="0" t="s">
        <v>130</v>
      </c>
      <c r="CM1869" s="0" t="s">
        <v>130</v>
      </c>
      <c r="CN1869" s="0" t="s">
        <v>130</v>
      </c>
      <c r="CO1869" s="0" t="s">
        <v>130</v>
      </c>
      <c r="CP1869" s="0" t="s">
        <v>130</v>
      </c>
      <c r="CQ1869" s="0" t="s">
        <v>130</v>
      </c>
      <c r="CR1869" s="0" t="s">
        <v>130</v>
      </c>
      <c r="CS1869" s="0" t="s">
        <v>130</v>
      </c>
      <c r="CT1869" s="0" t="s">
        <v>5297</v>
      </c>
    </row>
    <row r="1870">
      <c r="A1870" s="14">
        <v>100169</v>
      </c>
      <c r="B1870" s="0" t="s">
        <v>4846</v>
      </c>
      <c r="C1870" s="16">
        <f>HYPERLINK("https://eosportal.federatedhermes.com/companies/Q29tcGFueQppNjc3MzE=", "Barclays PLC")</f>
      </c>
      <c r="D1870" s="0" t="s">
        <v>23</v>
      </c>
      <c r="E1870" s="0" t="s">
        <v>5298</v>
      </c>
      <c r="F1870" s="16">
        <f>HYPERLINK("https://eosportal.federatedhermes.com/engagements/RW5nYWdlbWVudAppMzExNTM=", "Enhanced diversity equity and inclusion strategy")</f>
      </c>
      <c r="G1870" s="14" t="s">
        <v>5299</v>
      </c>
      <c r="H1870" s="0" t="s">
        <v>141</v>
      </c>
      <c r="I1870" s="14" t="s">
        <v>191</v>
      </c>
      <c r="J1870" s="0" t="s">
        <v>153</v>
      </c>
      <c r="K1870" s="0" t="s">
        <v>154</v>
      </c>
      <c r="L1870" s="0" t="s">
        <v>268</v>
      </c>
      <c r="M1870" s="0" t="s">
        <v>272</v>
      </c>
      <c r="N1870" s="0" t="s">
        <v>273</v>
      </c>
      <c r="O1870" s="0" t="s">
        <v>238</v>
      </c>
      <c r="Q1870" s="0" t="s">
        <v>130</v>
      </c>
      <c r="R1870" s="0" t="s">
        <v>130</v>
      </c>
      <c r="S1870" s="14">
        <v>0</v>
      </c>
      <c r="T1870" s="0" t="s">
        <v>597</v>
      </c>
      <c r="U1870" s="0" t="s">
        <v>221</v>
      </c>
      <c r="V1870" s="14" t="s">
        <v>597</v>
      </c>
      <c r="W1870" s="0" t="s">
        <v>221</v>
      </c>
      <c r="X1870" s="14" t="s">
        <v>478</v>
      </c>
      <c r="Y1870" s="0" t="s">
        <v>223</v>
      </c>
      <c r="Z1870" s="14" t="s">
        <v>138</v>
      </c>
      <c r="AA1870" s="0" t="s">
        <v>224</v>
      </c>
      <c r="AB1870" s="14" t="s">
        <v>138</v>
      </c>
      <c r="AD1870" s="0" t="s">
        <v>17</v>
      </c>
      <c r="AF1870" s="0">
        <v>0</v>
      </c>
      <c r="AG1870" s="0">
        <v>0</v>
      </c>
      <c r="AH1870" s="0" t="s">
        <v>140</v>
      </c>
      <c r="AI1870" s="0" t="s">
        <v>479</v>
      </c>
      <c r="AL1870" s="14"/>
      <c r="AN1870" s="14"/>
      <c r="AQ1870" s="0" t="s">
        <v>130</v>
      </c>
      <c r="AR1870" s="0" t="s">
        <v>130</v>
      </c>
      <c r="AS1870" s="0" t="s">
        <v>130</v>
      </c>
      <c r="AT1870" s="0" t="s">
        <v>130</v>
      </c>
      <c r="AU1870" s="0" t="s">
        <v>130</v>
      </c>
      <c r="AV1870" s="0" t="s">
        <v>130</v>
      </c>
      <c r="AW1870" s="0" t="s">
        <v>130</v>
      </c>
      <c r="AX1870" s="0" t="s">
        <v>130</v>
      </c>
      <c r="AY1870" s="0" t="s">
        <v>130</v>
      </c>
      <c r="AZ1870" s="0" t="s">
        <v>130</v>
      </c>
      <c r="BA1870" s="0" t="s">
        <v>130</v>
      </c>
      <c r="BB1870" s="0" t="s">
        <v>130</v>
      </c>
      <c r="BC1870" s="0" t="s">
        <v>130</v>
      </c>
      <c r="BD1870" s="0" t="s">
        <v>130</v>
      </c>
      <c r="BE1870" s="0" t="s">
        <v>130</v>
      </c>
      <c r="BF1870" s="0" t="s">
        <v>130</v>
      </c>
      <c r="BG1870" s="0" t="s">
        <v>130</v>
      </c>
      <c r="BH1870" s="0" t="s">
        <v>130</v>
      </c>
      <c r="BI1870" s="0" t="s">
        <v>130</v>
      </c>
      <c r="BJ1870" s="0" t="s">
        <v>130</v>
      </c>
      <c r="BK1870" s="0" t="s">
        <v>130</v>
      </c>
      <c r="BL1870" s="0" t="s">
        <v>130</v>
      </c>
      <c r="BM1870" s="0" t="s">
        <v>130</v>
      </c>
      <c r="BN1870" s="0" t="s">
        <v>130</v>
      </c>
      <c r="BO1870" s="0" t="s">
        <v>130</v>
      </c>
      <c r="BP1870" s="0" t="s">
        <v>130</v>
      </c>
      <c r="BQ1870" s="0" t="s">
        <v>130</v>
      </c>
      <c r="BR1870" s="0" t="s">
        <v>130</v>
      </c>
      <c r="BS1870" s="0" t="s">
        <v>130</v>
      </c>
      <c r="BT1870" s="0" t="s">
        <v>130</v>
      </c>
      <c r="BU1870" s="0" t="s">
        <v>130</v>
      </c>
      <c r="BV1870" s="0" t="s">
        <v>130</v>
      </c>
      <c r="BW1870" s="0" t="s">
        <v>130</v>
      </c>
      <c r="BX1870" s="0" t="s">
        <v>130</v>
      </c>
      <c r="BY1870" s="0" t="s">
        <v>130</v>
      </c>
      <c r="BZ1870" s="0" t="s">
        <v>130</v>
      </c>
      <c r="CA1870" s="0" t="s">
        <v>130</v>
      </c>
      <c r="CB1870" s="0" t="s">
        <v>130</v>
      </c>
      <c r="CC1870" s="0" t="s">
        <v>130</v>
      </c>
      <c r="CD1870" s="0" t="s">
        <v>130</v>
      </c>
      <c r="CE1870" s="0" t="s">
        <v>130</v>
      </c>
      <c r="CF1870" s="0" t="s">
        <v>130</v>
      </c>
      <c r="CG1870" s="0" t="s">
        <v>130</v>
      </c>
      <c r="CH1870" s="0" t="s">
        <v>130</v>
      </c>
      <c r="CI1870" s="0" t="s">
        <v>130</v>
      </c>
      <c r="CJ1870" s="0" t="s">
        <v>130</v>
      </c>
      <c r="CK1870" s="0" t="s">
        <v>141</v>
      </c>
      <c r="CL1870" s="0" t="s">
        <v>130</v>
      </c>
      <c r="CM1870" s="0" t="s">
        <v>130</v>
      </c>
      <c r="CN1870" s="0" t="s">
        <v>130</v>
      </c>
      <c r="CO1870" s="0" t="s">
        <v>130</v>
      </c>
      <c r="CP1870" s="0" t="s">
        <v>130</v>
      </c>
      <c r="CQ1870" s="0" t="s">
        <v>130</v>
      </c>
      <c r="CR1870" s="0" t="s">
        <v>130</v>
      </c>
      <c r="CS1870" s="0" t="s">
        <v>130</v>
      </c>
      <c r="CT1870" s="0" t="s">
        <v>5300</v>
      </c>
    </row>
    <row r="1871">
      <c r="A1871" s="14">
        <v>180580</v>
      </c>
      <c r="B1871" s="0" t="s">
        <v>3186</v>
      </c>
      <c r="C1871" s="16">
        <f>HYPERLINK("https://eosportal.federatedhermes.com/companies/Q29tcGFueQppNzYyOTM=", "Novartis AG")</f>
      </c>
      <c r="D1871" s="0" t="s">
        <v>25</v>
      </c>
      <c r="E1871" s="0" t="s">
        <v>907</v>
      </c>
      <c r="F1871" s="16">
        <f>HYPERLINK("https://eosportal.federatedhermes.com/engagements/RW5nYWdlbWVudAppMzExNTQ=", "Climate change")</f>
      </c>
      <c r="G1871" s="14" t="s">
        <v>5301</v>
      </c>
      <c r="H1871" s="0" t="s">
        <v>141</v>
      </c>
      <c r="I1871" s="14" t="s">
        <v>636</v>
      </c>
      <c r="J1871" s="0" t="s">
        <v>197</v>
      </c>
      <c r="K1871" s="0" t="s">
        <v>198</v>
      </c>
      <c r="L1871" s="0" t="s">
        <v>216</v>
      </c>
      <c r="M1871" s="0" t="s">
        <v>378</v>
      </c>
      <c r="N1871" s="0" t="s">
        <v>1059</v>
      </c>
      <c r="O1871" s="0" t="s">
        <v>274</v>
      </c>
      <c r="Q1871" s="0" t="s">
        <v>130</v>
      </c>
      <c r="R1871" s="0" t="s">
        <v>138</v>
      </c>
      <c r="S1871" s="14">
        <v>0</v>
      </c>
      <c r="T1871" s="0" t="s">
        <v>597</v>
      </c>
      <c r="U1871" s="0" t="s">
        <v>138</v>
      </c>
      <c r="V1871" s="14" t="s">
        <v>138</v>
      </c>
      <c r="W1871" s="0" t="s">
        <v>138</v>
      </c>
      <c r="X1871" s="14" t="s">
        <v>138</v>
      </c>
      <c r="Y1871" s="0" t="s">
        <v>138</v>
      </c>
      <c r="Z1871" s="14" t="s">
        <v>138</v>
      </c>
      <c r="AA1871" s="0" t="s">
        <v>138</v>
      </c>
      <c r="AB1871" s="14" t="s">
        <v>138</v>
      </c>
      <c r="AD1871" s="0" t="s">
        <v>138</v>
      </c>
      <c r="AF1871" s="0">
        <v>0</v>
      </c>
      <c r="AG1871" s="0">
        <v>0</v>
      </c>
      <c r="AH1871" s="0" t="s">
        <v>140</v>
      </c>
      <c r="AI1871" s="0" t="s">
        <v>138</v>
      </c>
      <c r="AL1871" s="14"/>
      <c r="AN1871" s="14"/>
      <c r="AQ1871" s="0" t="s">
        <v>130</v>
      </c>
      <c r="AR1871" s="0" t="s">
        <v>130</v>
      </c>
      <c r="AS1871" s="0" t="s">
        <v>130</v>
      </c>
      <c r="AT1871" s="0" t="s">
        <v>130</v>
      </c>
      <c r="AU1871" s="0" t="s">
        <v>130</v>
      </c>
      <c r="AV1871" s="0" t="s">
        <v>130</v>
      </c>
      <c r="AW1871" s="0" t="s">
        <v>141</v>
      </c>
      <c r="AX1871" s="0" t="s">
        <v>130</v>
      </c>
      <c r="AY1871" s="0" t="s">
        <v>130</v>
      </c>
      <c r="AZ1871" s="0" t="s">
        <v>130</v>
      </c>
      <c r="BA1871" s="0" t="s">
        <v>130</v>
      </c>
      <c r="BB1871" s="0" t="s">
        <v>130</v>
      </c>
      <c r="BC1871" s="0" t="s">
        <v>141</v>
      </c>
      <c r="BD1871" s="0" t="s">
        <v>130</v>
      </c>
      <c r="BE1871" s="0" t="s">
        <v>130</v>
      </c>
      <c r="BF1871" s="0" t="s">
        <v>130</v>
      </c>
      <c r="BG1871" s="0" t="s">
        <v>130</v>
      </c>
      <c r="BH1871" s="0" t="s">
        <v>141</v>
      </c>
      <c r="BI1871" s="0" t="s">
        <v>141</v>
      </c>
      <c r="BJ1871" s="0" t="s">
        <v>141</v>
      </c>
      <c r="BK1871" s="0" t="s">
        <v>130</v>
      </c>
      <c r="BL1871" s="0" t="s">
        <v>130</v>
      </c>
      <c r="BM1871" s="0" t="s">
        <v>130</v>
      </c>
      <c r="BN1871" s="0" t="s">
        <v>130</v>
      </c>
      <c r="BO1871" s="0" t="s">
        <v>130</v>
      </c>
      <c r="BP1871" s="0" t="s">
        <v>130</v>
      </c>
      <c r="BQ1871" s="0" t="s">
        <v>130</v>
      </c>
      <c r="BR1871" s="0" t="s">
        <v>130</v>
      </c>
      <c r="BS1871" s="0" t="s">
        <v>130</v>
      </c>
      <c r="BT1871" s="0" t="s">
        <v>130</v>
      </c>
      <c r="BU1871" s="0" t="s">
        <v>130</v>
      </c>
      <c r="BV1871" s="0" t="s">
        <v>141</v>
      </c>
      <c r="BW1871" s="0" t="s">
        <v>141</v>
      </c>
      <c r="BX1871" s="0" t="s">
        <v>130</v>
      </c>
      <c r="BY1871" s="0" t="s">
        <v>130</v>
      </c>
      <c r="BZ1871" s="0" t="s">
        <v>130</v>
      </c>
      <c r="CA1871" s="0" t="s">
        <v>130</v>
      </c>
      <c r="CB1871" s="0" t="s">
        <v>130</v>
      </c>
      <c r="CC1871" s="0" t="s">
        <v>130</v>
      </c>
      <c r="CD1871" s="0" t="s">
        <v>130</v>
      </c>
      <c r="CE1871" s="0" t="s">
        <v>130</v>
      </c>
      <c r="CF1871" s="0" t="s">
        <v>130</v>
      </c>
      <c r="CG1871" s="0" t="s">
        <v>130</v>
      </c>
      <c r="CH1871" s="0" t="s">
        <v>130</v>
      </c>
      <c r="CI1871" s="0" t="s">
        <v>130</v>
      </c>
      <c r="CJ1871" s="0" t="s">
        <v>130</v>
      </c>
      <c r="CK1871" s="0" t="s">
        <v>130</v>
      </c>
      <c r="CL1871" s="0" t="s">
        <v>130</v>
      </c>
      <c r="CM1871" s="0" t="s">
        <v>130</v>
      </c>
      <c r="CN1871" s="0" t="s">
        <v>130</v>
      </c>
      <c r="CO1871" s="0" t="s">
        <v>130</v>
      </c>
      <c r="CP1871" s="0" t="s">
        <v>130</v>
      </c>
      <c r="CQ1871" s="0" t="s">
        <v>130</v>
      </c>
      <c r="CR1871" s="0" t="s">
        <v>130</v>
      </c>
      <c r="CS1871" s="0" t="s">
        <v>130</v>
      </c>
      <c r="CT1871" s="0" t="s">
        <v>5302</v>
      </c>
    </row>
    <row r="1872">
      <c r="A1872" s="14">
        <v>100169</v>
      </c>
      <c r="B1872" s="0" t="s">
        <v>4846</v>
      </c>
      <c r="C1872" s="16">
        <f>HYPERLINK("https://eosportal.federatedhermes.com/companies/Q29tcGFueQppNjc3MzE=", "Barclays PLC")</f>
      </c>
      <c r="D1872" s="0" t="s">
        <v>23</v>
      </c>
      <c r="E1872" s="0" t="s">
        <v>5303</v>
      </c>
      <c r="F1872" s="16">
        <f>HYPERLINK("https://eosportal.federatedhermes.com/engagements/RW5nYWdlbWVudAppMzExNTU=", "Enhanced human rights policy and reporting")</f>
      </c>
      <c r="G1872" s="14" t="s">
        <v>5304</v>
      </c>
      <c r="H1872" s="0" t="s">
        <v>141</v>
      </c>
      <c r="I1872" s="14" t="s">
        <v>191</v>
      </c>
      <c r="J1872" s="0" t="s">
        <v>153</v>
      </c>
      <c r="K1872" s="0" t="s">
        <v>243</v>
      </c>
      <c r="L1872" s="0" t="s">
        <v>571</v>
      </c>
      <c r="M1872" s="0" t="s">
        <v>272</v>
      </c>
      <c r="N1872" s="0" t="s">
        <v>273</v>
      </c>
      <c r="O1872" s="0" t="s">
        <v>238</v>
      </c>
      <c r="Q1872" s="0" t="s">
        <v>141</v>
      </c>
      <c r="R1872" s="0" t="s">
        <v>130</v>
      </c>
      <c r="S1872" s="14">
        <v>1</v>
      </c>
      <c r="T1872" s="0" t="s">
        <v>597</v>
      </c>
      <c r="U1872" s="0" t="s">
        <v>221</v>
      </c>
      <c r="V1872" s="14" t="s">
        <v>597</v>
      </c>
      <c r="W1872" s="0" t="s">
        <v>221</v>
      </c>
      <c r="X1872" s="14" t="s">
        <v>597</v>
      </c>
      <c r="Y1872" s="0" t="s">
        <v>221</v>
      </c>
      <c r="Z1872" s="14" t="s">
        <v>3562</v>
      </c>
      <c r="AA1872" s="0" t="s">
        <v>223</v>
      </c>
      <c r="AB1872" s="14" t="s">
        <v>138</v>
      </c>
      <c r="AD1872" s="0" t="s">
        <v>20</v>
      </c>
      <c r="AF1872" s="0">
        <v>0</v>
      </c>
      <c r="AG1872" s="0">
        <v>0</v>
      </c>
      <c r="AH1872" s="0" t="s">
        <v>140</v>
      </c>
      <c r="AI1872" s="0" t="s">
        <v>479</v>
      </c>
      <c r="AK1872" s="0" t="s">
        <v>2795</v>
      </c>
      <c r="AL1872" s="14"/>
      <c r="AN1872" s="14"/>
      <c r="AQ1872" s="0" t="s">
        <v>130</v>
      </c>
      <c r="AR1872" s="0" t="s">
        <v>130</v>
      </c>
      <c r="AS1872" s="0" t="s">
        <v>130</v>
      </c>
      <c r="AT1872" s="0" t="s">
        <v>130</v>
      </c>
      <c r="AU1872" s="0" t="s">
        <v>130</v>
      </c>
      <c r="AV1872" s="0" t="s">
        <v>130</v>
      </c>
      <c r="AW1872" s="0" t="s">
        <v>130</v>
      </c>
      <c r="AX1872" s="0" t="s">
        <v>130</v>
      </c>
      <c r="AY1872" s="0" t="s">
        <v>130</v>
      </c>
      <c r="AZ1872" s="0" t="s">
        <v>141</v>
      </c>
      <c r="BA1872" s="0" t="s">
        <v>130</v>
      </c>
      <c r="BB1872" s="0" t="s">
        <v>130</v>
      </c>
      <c r="BC1872" s="0" t="s">
        <v>130</v>
      </c>
      <c r="BD1872" s="0" t="s">
        <v>130</v>
      </c>
      <c r="BE1872" s="0" t="s">
        <v>130</v>
      </c>
      <c r="BF1872" s="0" t="s">
        <v>141</v>
      </c>
      <c r="BG1872" s="0" t="s">
        <v>130</v>
      </c>
      <c r="BH1872" s="0" t="s">
        <v>130</v>
      </c>
      <c r="BI1872" s="0" t="s">
        <v>130</v>
      </c>
      <c r="BJ1872" s="0" t="s">
        <v>130</v>
      </c>
      <c r="BK1872" s="0" t="s">
        <v>130</v>
      </c>
      <c r="BL1872" s="0" t="s">
        <v>130</v>
      </c>
      <c r="BM1872" s="0" t="s">
        <v>130</v>
      </c>
      <c r="BN1872" s="0" t="s">
        <v>130</v>
      </c>
      <c r="BO1872" s="0" t="s">
        <v>130</v>
      </c>
      <c r="BP1872" s="0" t="s">
        <v>130</v>
      </c>
      <c r="BQ1872" s="0" t="s">
        <v>130</v>
      </c>
      <c r="BR1872" s="0" t="s">
        <v>130</v>
      </c>
      <c r="BS1872" s="0" t="s">
        <v>130</v>
      </c>
      <c r="BT1872" s="0" t="s">
        <v>130</v>
      </c>
      <c r="BU1872" s="0" t="s">
        <v>130</v>
      </c>
      <c r="BV1872" s="0" t="s">
        <v>130</v>
      </c>
      <c r="BW1872" s="0" t="s">
        <v>130</v>
      </c>
      <c r="BX1872" s="0" t="s">
        <v>130</v>
      </c>
      <c r="BY1872" s="0" t="s">
        <v>130</v>
      </c>
      <c r="BZ1872" s="0" t="s">
        <v>130</v>
      </c>
      <c r="CA1872" s="0" t="s">
        <v>130</v>
      </c>
      <c r="CB1872" s="0" t="s">
        <v>130</v>
      </c>
      <c r="CC1872" s="0" t="s">
        <v>130</v>
      </c>
      <c r="CD1872" s="0" t="s">
        <v>130</v>
      </c>
      <c r="CE1872" s="0" t="s">
        <v>130</v>
      </c>
      <c r="CF1872" s="0" t="s">
        <v>130</v>
      </c>
      <c r="CG1872" s="0" t="s">
        <v>130</v>
      </c>
      <c r="CH1872" s="0" t="s">
        <v>130</v>
      </c>
      <c r="CI1872" s="0" t="s">
        <v>130</v>
      </c>
      <c r="CJ1872" s="0" t="s">
        <v>130</v>
      </c>
      <c r="CK1872" s="0" t="s">
        <v>130</v>
      </c>
      <c r="CL1872" s="0" t="s">
        <v>130</v>
      </c>
      <c r="CM1872" s="0" t="s">
        <v>130</v>
      </c>
      <c r="CN1872" s="0" t="s">
        <v>130</v>
      </c>
      <c r="CO1872" s="0" t="s">
        <v>130</v>
      </c>
      <c r="CP1872" s="0" t="s">
        <v>130</v>
      </c>
      <c r="CQ1872" s="0" t="s">
        <v>130</v>
      </c>
      <c r="CR1872" s="0" t="s">
        <v>130</v>
      </c>
      <c r="CS1872" s="0" t="s">
        <v>130</v>
      </c>
      <c r="CT1872" s="0" t="s">
        <v>5305</v>
      </c>
    </row>
    <row r="1873">
      <c r="A1873" s="14">
        <v>111759</v>
      </c>
      <c r="B1873" s="0" t="s">
        <v>4879</v>
      </c>
      <c r="C1873" s="16">
        <f>HYPERLINK("https://eosportal.federatedhermes.com/companies/Q29tcGFueQppNjI0NzE=", "HSBC Holdings PLC")</f>
      </c>
      <c r="D1873" s="0" t="s">
        <v>23</v>
      </c>
      <c r="E1873" s="0" t="s">
        <v>5303</v>
      </c>
      <c r="F1873" s="16">
        <f>HYPERLINK("https://eosportal.federatedhermes.com/engagements/RW5nYWdlbWVudAppMzExNTY=", "Enhanced human rights policy and reporting")</f>
      </c>
      <c r="G1873" s="14" t="s">
        <v>5306</v>
      </c>
      <c r="H1873" s="0" t="s">
        <v>141</v>
      </c>
      <c r="I1873" s="14" t="s">
        <v>191</v>
      </c>
      <c r="J1873" s="0" t="s">
        <v>153</v>
      </c>
      <c r="K1873" s="0" t="s">
        <v>243</v>
      </c>
      <c r="L1873" s="0" t="s">
        <v>571</v>
      </c>
      <c r="M1873" s="0" t="s">
        <v>272</v>
      </c>
      <c r="N1873" s="0" t="s">
        <v>273</v>
      </c>
      <c r="O1873" s="0" t="s">
        <v>238</v>
      </c>
      <c r="Q1873" s="0" t="s">
        <v>130</v>
      </c>
      <c r="R1873" s="0" t="s">
        <v>130</v>
      </c>
      <c r="S1873" s="14">
        <v>0</v>
      </c>
      <c r="T1873" s="0" t="s">
        <v>597</v>
      </c>
      <c r="U1873" s="0" t="s">
        <v>221</v>
      </c>
      <c r="V1873" s="14" t="s">
        <v>597</v>
      </c>
      <c r="W1873" s="0" t="s">
        <v>221</v>
      </c>
      <c r="X1873" s="14" t="s">
        <v>360</v>
      </c>
      <c r="Y1873" s="0" t="s">
        <v>221</v>
      </c>
      <c r="Z1873" s="14" t="s">
        <v>449</v>
      </c>
      <c r="AA1873" s="0" t="s">
        <v>223</v>
      </c>
      <c r="AB1873" s="14" t="s">
        <v>138</v>
      </c>
      <c r="AD1873" s="0" t="s">
        <v>20</v>
      </c>
      <c r="AF1873" s="0">
        <v>0</v>
      </c>
      <c r="AG1873" s="0">
        <v>0</v>
      </c>
      <c r="AH1873" s="0" t="s">
        <v>140</v>
      </c>
      <c r="AI1873" s="0" t="s">
        <v>479</v>
      </c>
      <c r="AL1873" s="14"/>
      <c r="AN1873" s="14"/>
      <c r="AQ1873" s="0" t="s">
        <v>130</v>
      </c>
      <c r="AR1873" s="0" t="s">
        <v>130</v>
      </c>
      <c r="AS1873" s="0" t="s">
        <v>130</v>
      </c>
      <c r="AT1873" s="0" t="s">
        <v>130</v>
      </c>
      <c r="AU1873" s="0" t="s">
        <v>130</v>
      </c>
      <c r="AV1873" s="0" t="s">
        <v>130</v>
      </c>
      <c r="AW1873" s="0" t="s">
        <v>130</v>
      </c>
      <c r="AX1873" s="0" t="s">
        <v>130</v>
      </c>
      <c r="AY1873" s="0" t="s">
        <v>130</v>
      </c>
      <c r="AZ1873" s="0" t="s">
        <v>141</v>
      </c>
      <c r="BA1873" s="0" t="s">
        <v>130</v>
      </c>
      <c r="BB1873" s="0" t="s">
        <v>130</v>
      </c>
      <c r="BC1873" s="0" t="s">
        <v>130</v>
      </c>
      <c r="BD1873" s="0" t="s">
        <v>130</v>
      </c>
      <c r="BE1873" s="0" t="s">
        <v>130</v>
      </c>
      <c r="BF1873" s="0" t="s">
        <v>141</v>
      </c>
      <c r="BG1873" s="0" t="s">
        <v>130</v>
      </c>
      <c r="BH1873" s="0" t="s">
        <v>130</v>
      </c>
      <c r="BI1873" s="0" t="s">
        <v>130</v>
      </c>
      <c r="BJ1873" s="0" t="s">
        <v>130</v>
      </c>
      <c r="BK1873" s="0" t="s">
        <v>130</v>
      </c>
      <c r="BL1873" s="0" t="s">
        <v>130</v>
      </c>
      <c r="BM1873" s="0" t="s">
        <v>130</v>
      </c>
      <c r="BN1873" s="0" t="s">
        <v>130</v>
      </c>
      <c r="BO1873" s="0" t="s">
        <v>130</v>
      </c>
      <c r="BP1873" s="0" t="s">
        <v>130</v>
      </c>
      <c r="BQ1873" s="0" t="s">
        <v>130</v>
      </c>
      <c r="BR1873" s="0" t="s">
        <v>130</v>
      </c>
      <c r="BS1873" s="0" t="s">
        <v>130</v>
      </c>
      <c r="BT1873" s="0" t="s">
        <v>130</v>
      </c>
      <c r="BU1873" s="0" t="s">
        <v>130</v>
      </c>
      <c r="BV1873" s="0" t="s">
        <v>130</v>
      </c>
      <c r="BW1873" s="0" t="s">
        <v>130</v>
      </c>
      <c r="BX1873" s="0" t="s">
        <v>130</v>
      </c>
      <c r="BY1873" s="0" t="s">
        <v>130</v>
      </c>
      <c r="BZ1873" s="0" t="s">
        <v>130</v>
      </c>
      <c r="CA1873" s="0" t="s">
        <v>130</v>
      </c>
      <c r="CB1873" s="0" t="s">
        <v>130</v>
      </c>
      <c r="CC1873" s="0" t="s">
        <v>130</v>
      </c>
      <c r="CD1873" s="0" t="s">
        <v>130</v>
      </c>
      <c r="CE1873" s="0" t="s">
        <v>130</v>
      </c>
      <c r="CF1873" s="0" t="s">
        <v>130</v>
      </c>
      <c r="CG1873" s="0" t="s">
        <v>130</v>
      </c>
      <c r="CH1873" s="0" t="s">
        <v>130</v>
      </c>
      <c r="CI1873" s="0" t="s">
        <v>130</v>
      </c>
      <c r="CJ1873" s="0" t="s">
        <v>130</v>
      </c>
      <c r="CK1873" s="0" t="s">
        <v>130</v>
      </c>
      <c r="CL1873" s="0" t="s">
        <v>130</v>
      </c>
      <c r="CM1873" s="0" t="s">
        <v>130</v>
      </c>
      <c r="CN1873" s="0" t="s">
        <v>130</v>
      </c>
      <c r="CO1873" s="0" t="s">
        <v>130</v>
      </c>
      <c r="CP1873" s="0" t="s">
        <v>130</v>
      </c>
      <c r="CQ1873" s="0" t="s">
        <v>130</v>
      </c>
      <c r="CR1873" s="0" t="s">
        <v>130</v>
      </c>
      <c r="CS1873" s="0" t="s">
        <v>130</v>
      </c>
      <c r="CT1873" s="0" t="s">
        <v>5307</v>
      </c>
    </row>
    <row r="1874">
      <c r="A1874" s="14">
        <v>48364393</v>
      </c>
      <c r="B1874" s="0" t="s">
        <v>4718</v>
      </c>
      <c r="C1874" s="16">
        <f>HYPERLINK("https://eosportal.federatedhermes.com/companies/Q29tcGFueQppNTg5OTY=", "DuPont de Nemours Inc")</f>
      </c>
      <c r="D1874" s="0" t="s">
        <v>25</v>
      </c>
      <c r="E1874" s="0" t="s">
        <v>5308</v>
      </c>
      <c r="F1874" s="16">
        <f>HYPERLINK("https://eosportal.federatedhermes.com/engagements/RW5nYWdlbWVudAppMzExNjI=", "Circular economy and zero pollution")</f>
      </c>
      <c r="G1874" s="14" t="s">
        <v>5309</v>
      </c>
      <c r="H1874" s="0" t="s">
        <v>141</v>
      </c>
      <c r="I1874" s="14" t="s">
        <v>191</v>
      </c>
      <c r="J1874" s="0" t="s">
        <v>197</v>
      </c>
      <c r="K1874" s="0" t="s">
        <v>348</v>
      </c>
      <c r="L1874" s="0" t="s">
        <v>349</v>
      </c>
      <c r="M1874" s="0" t="s">
        <v>135</v>
      </c>
      <c r="N1874" s="0" t="s">
        <v>136</v>
      </c>
      <c r="O1874" s="0" t="s">
        <v>706</v>
      </c>
      <c r="Q1874" s="0" t="s">
        <v>141</v>
      </c>
      <c r="R1874" s="0" t="s">
        <v>138</v>
      </c>
      <c r="S1874" s="14">
        <v>1</v>
      </c>
      <c r="T1874" s="0" t="s">
        <v>597</v>
      </c>
      <c r="U1874" s="0" t="s">
        <v>138</v>
      </c>
      <c r="V1874" s="14" t="s">
        <v>138</v>
      </c>
      <c r="W1874" s="0" t="s">
        <v>138</v>
      </c>
      <c r="X1874" s="14" t="s">
        <v>138</v>
      </c>
      <c r="Y1874" s="0" t="s">
        <v>138</v>
      </c>
      <c r="Z1874" s="14" t="s">
        <v>138</v>
      </c>
      <c r="AA1874" s="0" t="s">
        <v>138</v>
      </c>
      <c r="AB1874" s="14" t="s">
        <v>138</v>
      </c>
      <c r="AD1874" s="0" t="s">
        <v>138</v>
      </c>
      <c r="AF1874" s="0">
        <v>0</v>
      </c>
      <c r="AG1874" s="0">
        <v>0</v>
      </c>
      <c r="AH1874" s="0" t="s">
        <v>140</v>
      </c>
      <c r="AI1874" s="0" t="s">
        <v>138</v>
      </c>
      <c r="AK1874" s="0" t="s">
        <v>714</v>
      </c>
      <c r="AL1874" s="14"/>
      <c r="AN1874" s="14"/>
      <c r="AQ1874" s="0" t="s">
        <v>130</v>
      </c>
      <c r="AR1874" s="0" t="s">
        <v>130</v>
      </c>
      <c r="AS1874" s="0" t="s">
        <v>130</v>
      </c>
      <c r="AT1874" s="0" t="s">
        <v>130</v>
      </c>
      <c r="AU1874" s="0" t="s">
        <v>130</v>
      </c>
      <c r="AV1874" s="0" t="s">
        <v>130</v>
      </c>
      <c r="AW1874" s="0" t="s">
        <v>130</v>
      </c>
      <c r="AX1874" s="0" t="s">
        <v>130</v>
      </c>
      <c r="AY1874" s="0" t="s">
        <v>130</v>
      </c>
      <c r="AZ1874" s="0" t="s">
        <v>130</v>
      </c>
      <c r="BA1874" s="0" t="s">
        <v>130</v>
      </c>
      <c r="BB1874" s="0" t="s">
        <v>141</v>
      </c>
      <c r="BC1874" s="0" t="s">
        <v>130</v>
      </c>
      <c r="BD1874" s="0" t="s">
        <v>130</v>
      </c>
      <c r="BE1874" s="0" t="s">
        <v>130</v>
      </c>
      <c r="BF1874" s="0" t="s">
        <v>130</v>
      </c>
      <c r="BG1874" s="0" t="s">
        <v>130</v>
      </c>
      <c r="BH1874" s="0" t="s">
        <v>130</v>
      </c>
      <c r="BI1874" s="0" t="s">
        <v>130</v>
      </c>
      <c r="BJ1874" s="0" t="s">
        <v>130</v>
      </c>
      <c r="BK1874" s="0" t="s">
        <v>130</v>
      </c>
      <c r="BL1874" s="0" t="s">
        <v>130</v>
      </c>
      <c r="BM1874" s="0" t="s">
        <v>130</v>
      </c>
      <c r="BN1874" s="0" t="s">
        <v>130</v>
      </c>
      <c r="BO1874" s="0" t="s">
        <v>130</v>
      </c>
      <c r="BP1874" s="0" t="s">
        <v>130</v>
      </c>
      <c r="BQ1874" s="0" t="s">
        <v>130</v>
      </c>
      <c r="BR1874" s="0" t="s">
        <v>130</v>
      </c>
      <c r="BS1874" s="0" t="s">
        <v>130</v>
      </c>
      <c r="BT1874" s="0" t="s">
        <v>130</v>
      </c>
      <c r="BU1874" s="0" t="s">
        <v>130</v>
      </c>
      <c r="BV1874" s="0" t="s">
        <v>130</v>
      </c>
      <c r="BW1874" s="0" t="s">
        <v>130</v>
      </c>
      <c r="BX1874" s="0" t="s">
        <v>130</v>
      </c>
      <c r="BY1874" s="0" t="s">
        <v>130</v>
      </c>
      <c r="BZ1874" s="0" t="s">
        <v>130</v>
      </c>
      <c r="CA1874" s="0" t="s">
        <v>130</v>
      </c>
      <c r="CB1874" s="0" t="s">
        <v>130</v>
      </c>
      <c r="CC1874" s="0" t="s">
        <v>130</v>
      </c>
      <c r="CD1874" s="0" t="s">
        <v>141</v>
      </c>
      <c r="CE1874" s="0" t="s">
        <v>130</v>
      </c>
      <c r="CF1874" s="0" t="s">
        <v>130</v>
      </c>
      <c r="CG1874" s="0" t="s">
        <v>130</v>
      </c>
      <c r="CH1874" s="0" t="s">
        <v>130</v>
      </c>
      <c r="CI1874" s="0" t="s">
        <v>130</v>
      </c>
      <c r="CJ1874" s="0" t="s">
        <v>130</v>
      </c>
      <c r="CK1874" s="0" t="s">
        <v>130</v>
      </c>
      <c r="CL1874" s="0" t="s">
        <v>130</v>
      </c>
      <c r="CM1874" s="0" t="s">
        <v>130</v>
      </c>
      <c r="CN1874" s="0" t="s">
        <v>130</v>
      </c>
      <c r="CO1874" s="0" t="s">
        <v>130</v>
      </c>
      <c r="CP1874" s="0" t="s">
        <v>130</v>
      </c>
      <c r="CQ1874" s="0" t="s">
        <v>130</v>
      </c>
      <c r="CR1874" s="0" t="s">
        <v>130</v>
      </c>
      <c r="CS1874" s="0" t="s">
        <v>130</v>
      </c>
      <c r="CT1874" s="0" t="s">
        <v>5310</v>
      </c>
    </row>
    <row r="1875">
      <c r="A1875" s="14">
        <v>111124</v>
      </c>
      <c r="B1875" s="0" t="s">
        <v>316</v>
      </c>
      <c r="C1875" s="16">
        <f>HYPERLINK("https://eosportal.federatedhermes.com/companies/Q29tcGFueQppNzY3MDM=", "Ashtead Group PLC")</f>
      </c>
      <c r="D1875" s="0" t="s">
        <v>23</v>
      </c>
      <c r="E1875" s="0" t="s">
        <v>228</v>
      </c>
      <c r="F1875" s="16">
        <f>HYPERLINK("https://eosportal.federatedhermes.com/engagements/RW5nYWdlbWVudAppMzExNjM=", "Climate strategy")</f>
      </c>
      <c r="G1875" s="14" t="s">
        <v>5311</v>
      </c>
      <c r="H1875" s="0" t="s">
        <v>130</v>
      </c>
      <c r="I1875" s="14" t="s">
        <v>319</v>
      </c>
      <c r="J1875" s="0" t="s">
        <v>197</v>
      </c>
      <c r="K1875" s="0" t="s">
        <v>198</v>
      </c>
      <c r="L1875" s="0" t="s">
        <v>220</v>
      </c>
      <c r="M1875" s="0" t="s">
        <v>272</v>
      </c>
      <c r="N1875" s="0" t="s">
        <v>273</v>
      </c>
      <c r="O1875" s="0" t="s">
        <v>176</v>
      </c>
      <c r="Q1875" s="0" t="s">
        <v>141</v>
      </c>
      <c r="R1875" s="0" t="s">
        <v>141</v>
      </c>
      <c r="S1875" s="14">
        <v>1</v>
      </c>
      <c r="T1875" s="0" t="s">
        <v>597</v>
      </c>
      <c r="U1875" s="0" t="s">
        <v>221</v>
      </c>
      <c r="V1875" s="14" t="s">
        <v>597</v>
      </c>
      <c r="W1875" s="0" t="s">
        <v>221</v>
      </c>
      <c r="X1875" s="14" t="s">
        <v>597</v>
      </c>
      <c r="Y1875" s="0" t="s">
        <v>221</v>
      </c>
      <c r="Z1875" s="14" t="s">
        <v>2629</v>
      </c>
      <c r="AA1875" s="0" t="s">
        <v>221</v>
      </c>
      <c r="AB1875" s="14" t="s">
        <v>361</v>
      </c>
      <c r="AC1875" s="0" t="s">
        <v>20</v>
      </c>
      <c r="AD1875" s="0" t="s">
        <v>362</v>
      </c>
      <c r="AE1875" s="0" t="s">
        <v>363</v>
      </c>
      <c r="AF1875" s="0">
        <v>1</v>
      </c>
      <c r="AG1875" s="0">
        <v>0</v>
      </c>
      <c r="AH1875" s="0" t="s">
        <v>140</v>
      </c>
      <c r="AI1875" s="0" t="s">
        <v>598</v>
      </c>
      <c r="AJ1875" s="0" t="s">
        <v>364</v>
      </c>
      <c r="AK1875" s="0" t="s">
        <v>1470</v>
      </c>
      <c r="AL1875" s="14"/>
      <c r="AM1875" s="0" t="s">
        <v>580</v>
      </c>
      <c r="AN1875" s="14"/>
      <c r="AQ1875" s="0" t="s">
        <v>130</v>
      </c>
      <c r="AR1875" s="0" t="s">
        <v>130</v>
      </c>
      <c r="AS1875" s="0" t="s">
        <v>130</v>
      </c>
      <c r="AT1875" s="0" t="s">
        <v>130</v>
      </c>
      <c r="AU1875" s="0" t="s">
        <v>130</v>
      </c>
      <c r="AV1875" s="0" t="s">
        <v>130</v>
      </c>
      <c r="AW1875" s="0" t="s">
        <v>141</v>
      </c>
      <c r="AX1875" s="0" t="s">
        <v>130</v>
      </c>
      <c r="AY1875" s="0" t="s">
        <v>141</v>
      </c>
      <c r="AZ1875" s="0" t="s">
        <v>130</v>
      </c>
      <c r="BA1875" s="0" t="s">
        <v>130</v>
      </c>
      <c r="BB1875" s="0" t="s">
        <v>130</v>
      </c>
      <c r="BC1875" s="0" t="s">
        <v>141</v>
      </c>
      <c r="BD1875" s="0" t="s">
        <v>130</v>
      </c>
      <c r="BE1875" s="0" t="s">
        <v>130</v>
      </c>
      <c r="BF1875" s="0" t="s">
        <v>130</v>
      </c>
      <c r="BG1875" s="0" t="s">
        <v>130</v>
      </c>
      <c r="BH1875" s="0" t="s">
        <v>141</v>
      </c>
      <c r="BI1875" s="0" t="s">
        <v>141</v>
      </c>
      <c r="BJ1875" s="0" t="s">
        <v>141</v>
      </c>
      <c r="BK1875" s="0" t="s">
        <v>130</v>
      </c>
      <c r="BL1875" s="0" t="s">
        <v>130</v>
      </c>
      <c r="BM1875" s="0" t="s">
        <v>130</v>
      </c>
      <c r="BN1875" s="0" t="s">
        <v>130</v>
      </c>
      <c r="BO1875" s="0" t="s">
        <v>130</v>
      </c>
      <c r="BP1875" s="0" t="s">
        <v>130</v>
      </c>
      <c r="BQ1875" s="0" t="s">
        <v>130</v>
      </c>
      <c r="BR1875" s="0" t="s">
        <v>130</v>
      </c>
      <c r="BS1875" s="0" t="s">
        <v>130</v>
      </c>
      <c r="BT1875" s="0" t="s">
        <v>130</v>
      </c>
      <c r="BU1875" s="0" t="s">
        <v>130</v>
      </c>
      <c r="BV1875" s="0" t="s">
        <v>141</v>
      </c>
      <c r="BW1875" s="0" t="s">
        <v>141</v>
      </c>
      <c r="BX1875" s="0" t="s">
        <v>130</v>
      </c>
      <c r="BY1875" s="0" t="s">
        <v>130</v>
      </c>
      <c r="BZ1875" s="0" t="s">
        <v>130</v>
      </c>
      <c r="CA1875" s="0" t="s">
        <v>130</v>
      </c>
      <c r="CB1875" s="0" t="s">
        <v>130</v>
      </c>
      <c r="CC1875" s="0" t="s">
        <v>130</v>
      </c>
      <c r="CD1875" s="0" t="s">
        <v>130</v>
      </c>
      <c r="CE1875" s="0" t="s">
        <v>130</v>
      </c>
      <c r="CF1875" s="0" t="s">
        <v>130</v>
      </c>
      <c r="CG1875" s="0" t="s">
        <v>130</v>
      </c>
      <c r="CH1875" s="0" t="s">
        <v>130</v>
      </c>
      <c r="CI1875" s="0" t="s">
        <v>130</v>
      </c>
      <c r="CJ1875" s="0" t="s">
        <v>130</v>
      </c>
      <c r="CK1875" s="0" t="s">
        <v>130</v>
      </c>
      <c r="CL1875" s="0" t="s">
        <v>130</v>
      </c>
      <c r="CM1875" s="0" t="s">
        <v>130</v>
      </c>
      <c r="CN1875" s="0" t="s">
        <v>130</v>
      </c>
      <c r="CO1875" s="0" t="s">
        <v>130</v>
      </c>
      <c r="CP1875" s="0" t="s">
        <v>130</v>
      </c>
      <c r="CQ1875" s="0" t="s">
        <v>130</v>
      </c>
      <c r="CR1875" s="0" t="s">
        <v>130</v>
      </c>
      <c r="CS1875" s="0" t="s">
        <v>130</v>
      </c>
      <c r="CT1875" s="0" t="s">
        <v>5312</v>
      </c>
    </row>
    <row r="1876">
      <c r="A1876" s="14">
        <v>111759</v>
      </c>
      <c r="B1876" s="0" t="s">
        <v>4879</v>
      </c>
      <c r="C1876" s="16">
        <f>HYPERLINK("https://eosportal.federatedhermes.com/companies/Q29tcGFueQppNjI0NzE=", "HSBC Holdings PLC")</f>
      </c>
      <c r="D1876" s="0" t="s">
        <v>23</v>
      </c>
      <c r="E1876" s="0" t="s">
        <v>5298</v>
      </c>
      <c r="F1876" s="16">
        <f>HYPERLINK("https://eosportal.federatedhermes.com/engagements/RW5nYWdlbWVudAppMzExNjU=", "Enhanced diversity equity and inclusion strategy")</f>
      </c>
      <c r="G1876" s="14" t="s">
        <v>5313</v>
      </c>
      <c r="H1876" s="0" t="s">
        <v>141</v>
      </c>
      <c r="I1876" s="14" t="s">
        <v>191</v>
      </c>
      <c r="J1876" s="0" t="s">
        <v>153</v>
      </c>
      <c r="K1876" s="0" t="s">
        <v>154</v>
      </c>
      <c r="L1876" s="0" t="s">
        <v>268</v>
      </c>
      <c r="M1876" s="0" t="s">
        <v>272</v>
      </c>
      <c r="N1876" s="0" t="s">
        <v>273</v>
      </c>
      <c r="O1876" s="0" t="s">
        <v>238</v>
      </c>
      <c r="Q1876" s="0" t="s">
        <v>130</v>
      </c>
      <c r="R1876" s="0" t="s">
        <v>130</v>
      </c>
      <c r="S1876" s="14">
        <v>0</v>
      </c>
      <c r="T1876" s="0" t="s">
        <v>597</v>
      </c>
      <c r="U1876" s="0" t="s">
        <v>221</v>
      </c>
      <c r="V1876" s="14" t="s">
        <v>597</v>
      </c>
      <c r="W1876" s="0" t="s">
        <v>221</v>
      </c>
      <c r="X1876" s="14" t="s">
        <v>360</v>
      </c>
      <c r="Y1876" s="0" t="s">
        <v>221</v>
      </c>
      <c r="Z1876" s="14" t="s">
        <v>2428</v>
      </c>
      <c r="AA1876" s="0" t="s">
        <v>223</v>
      </c>
      <c r="AB1876" s="14" t="s">
        <v>138</v>
      </c>
      <c r="AD1876" s="0" t="s">
        <v>20</v>
      </c>
      <c r="AF1876" s="0">
        <v>0</v>
      </c>
      <c r="AG1876" s="0">
        <v>0</v>
      </c>
      <c r="AH1876" s="0" t="s">
        <v>140</v>
      </c>
      <c r="AI1876" s="0" t="s">
        <v>479</v>
      </c>
      <c r="AL1876" s="14"/>
      <c r="AN1876" s="14"/>
      <c r="AQ1876" s="0" t="s">
        <v>130</v>
      </c>
      <c r="AR1876" s="0" t="s">
        <v>130</v>
      </c>
      <c r="AS1876" s="0" t="s">
        <v>130</v>
      </c>
      <c r="AT1876" s="0" t="s">
        <v>130</v>
      </c>
      <c r="AU1876" s="0" t="s">
        <v>130</v>
      </c>
      <c r="AV1876" s="0" t="s">
        <v>130</v>
      </c>
      <c r="AW1876" s="0" t="s">
        <v>130</v>
      </c>
      <c r="AX1876" s="0" t="s">
        <v>130</v>
      </c>
      <c r="AY1876" s="0" t="s">
        <v>130</v>
      </c>
      <c r="AZ1876" s="0" t="s">
        <v>130</v>
      </c>
      <c r="BA1876" s="0" t="s">
        <v>130</v>
      </c>
      <c r="BB1876" s="0" t="s">
        <v>130</v>
      </c>
      <c r="BC1876" s="0" t="s">
        <v>130</v>
      </c>
      <c r="BD1876" s="0" t="s">
        <v>130</v>
      </c>
      <c r="BE1876" s="0" t="s">
        <v>130</v>
      </c>
      <c r="BF1876" s="0" t="s">
        <v>130</v>
      </c>
      <c r="BG1876" s="0" t="s">
        <v>130</v>
      </c>
      <c r="BH1876" s="0" t="s">
        <v>130</v>
      </c>
      <c r="BI1876" s="0" t="s">
        <v>130</v>
      </c>
      <c r="BJ1876" s="0" t="s">
        <v>130</v>
      </c>
      <c r="BK1876" s="0" t="s">
        <v>130</v>
      </c>
      <c r="BL1876" s="0" t="s">
        <v>130</v>
      </c>
      <c r="BM1876" s="0" t="s">
        <v>130</v>
      </c>
      <c r="BN1876" s="0" t="s">
        <v>130</v>
      </c>
      <c r="BO1876" s="0" t="s">
        <v>130</v>
      </c>
      <c r="BP1876" s="0" t="s">
        <v>130</v>
      </c>
      <c r="BQ1876" s="0" t="s">
        <v>130</v>
      </c>
      <c r="BR1876" s="0" t="s">
        <v>130</v>
      </c>
      <c r="BS1876" s="0" t="s">
        <v>130</v>
      </c>
      <c r="BT1876" s="0" t="s">
        <v>130</v>
      </c>
      <c r="BU1876" s="0" t="s">
        <v>130</v>
      </c>
      <c r="BV1876" s="0" t="s">
        <v>130</v>
      </c>
      <c r="BW1876" s="0" t="s">
        <v>130</v>
      </c>
      <c r="BX1876" s="0" t="s">
        <v>130</v>
      </c>
      <c r="BY1876" s="0" t="s">
        <v>130</v>
      </c>
      <c r="BZ1876" s="0" t="s">
        <v>130</v>
      </c>
      <c r="CA1876" s="0" t="s">
        <v>130</v>
      </c>
      <c r="CB1876" s="0" t="s">
        <v>130</v>
      </c>
      <c r="CC1876" s="0" t="s">
        <v>130</v>
      </c>
      <c r="CD1876" s="0" t="s">
        <v>130</v>
      </c>
      <c r="CE1876" s="0" t="s">
        <v>130</v>
      </c>
      <c r="CF1876" s="0" t="s">
        <v>130</v>
      </c>
      <c r="CG1876" s="0" t="s">
        <v>130</v>
      </c>
      <c r="CH1876" s="0" t="s">
        <v>130</v>
      </c>
      <c r="CI1876" s="0" t="s">
        <v>130</v>
      </c>
      <c r="CJ1876" s="0" t="s">
        <v>130</v>
      </c>
      <c r="CK1876" s="0" t="s">
        <v>141</v>
      </c>
      <c r="CL1876" s="0" t="s">
        <v>130</v>
      </c>
      <c r="CM1876" s="0" t="s">
        <v>130</v>
      </c>
      <c r="CN1876" s="0" t="s">
        <v>130</v>
      </c>
      <c r="CO1876" s="0" t="s">
        <v>130</v>
      </c>
      <c r="CP1876" s="0" t="s">
        <v>130</v>
      </c>
      <c r="CQ1876" s="0" t="s">
        <v>130</v>
      </c>
      <c r="CR1876" s="0" t="s">
        <v>130</v>
      </c>
      <c r="CS1876" s="0" t="s">
        <v>130</v>
      </c>
      <c r="CT1876" s="0" t="s">
        <v>5314</v>
      </c>
    </row>
    <row r="1877">
      <c r="A1877" s="14">
        <v>111124</v>
      </c>
      <c r="B1877" s="0" t="s">
        <v>316</v>
      </c>
      <c r="C1877" s="16">
        <f>HYPERLINK("https://eosportal.federatedhermes.com/companies/Q29tcGFueQppNzY3MDM=", "Ashtead Group PLC")</f>
      </c>
      <c r="D1877" s="0" t="s">
        <v>25</v>
      </c>
      <c r="E1877" s="0" t="s">
        <v>5184</v>
      </c>
      <c r="F1877" s="16">
        <f>HYPERLINK("https://eosportal.federatedhermes.com/engagements/RW5nYWdlbWVudAppMzExNjY=", "Cost of living crisis")</f>
      </c>
      <c r="G1877" s="14" t="s">
        <v>5315</v>
      </c>
      <c r="H1877" s="0" t="s">
        <v>130</v>
      </c>
      <c r="I1877" s="14" t="s">
        <v>319</v>
      </c>
      <c r="J1877" s="0" t="s">
        <v>132</v>
      </c>
      <c r="K1877" s="0" t="s">
        <v>133</v>
      </c>
      <c r="L1877" s="0" t="s">
        <v>134</v>
      </c>
      <c r="M1877" s="0" t="s">
        <v>272</v>
      </c>
      <c r="N1877" s="0" t="s">
        <v>273</v>
      </c>
      <c r="O1877" s="0" t="s">
        <v>176</v>
      </c>
      <c r="Q1877" s="0" t="s">
        <v>130</v>
      </c>
      <c r="R1877" s="0" t="s">
        <v>138</v>
      </c>
      <c r="S1877" s="14">
        <v>0</v>
      </c>
      <c r="T1877" s="0" t="s">
        <v>597</v>
      </c>
      <c r="U1877" s="0" t="s">
        <v>138</v>
      </c>
      <c r="V1877" s="14" t="s">
        <v>138</v>
      </c>
      <c r="W1877" s="0" t="s">
        <v>138</v>
      </c>
      <c r="X1877" s="14" t="s">
        <v>138</v>
      </c>
      <c r="Y1877" s="0" t="s">
        <v>138</v>
      </c>
      <c r="Z1877" s="14" t="s">
        <v>138</v>
      </c>
      <c r="AA1877" s="0" t="s">
        <v>138</v>
      </c>
      <c r="AB1877" s="14" t="s">
        <v>138</v>
      </c>
      <c r="AD1877" s="0" t="s">
        <v>138</v>
      </c>
      <c r="AF1877" s="0">
        <v>0</v>
      </c>
      <c r="AG1877" s="0">
        <v>0</v>
      </c>
      <c r="AH1877" s="0" t="s">
        <v>140</v>
      </c>
      <c r="AI1877" s="0" t="s">
        <v>138</v>
      </c>
      <c r="AL1877" s="14"/>
      <c r="AN1877" s="14"/>
      <c r="AQ1877" s="0" t="s">
        <v>130</v>
      </c>
      <c r="AR1877" s="0" t="s">
        <v>130</v>
      </c>
      <c r="AS1877" s="0" t="s">
        <v>130</v>
      </c>
      <c r="AT1877" s="0" t="s">
        <v>130</v>
      </c>
      <c r="AU1877" s="0" t="s">
        <v>130</v>
      </c>
      <c r="AV1877" s="0" t="s">
        <v>130</v>
      </c>
      <c r="AW1877" s="0" t="s">
        <v>130</v>
      </c>
      <c r="AX1877" s="0" t="s">
        <v>130</v>
      </c>
      <c r="AY1877" s="0" t="s">
        <v>130</v>
      </c>
      <c r="AZ1877" s="0" t="s">
        <v>130</v>
      </c>
      <c r="BA1877" s="0" t="s">
        <v>130</v>
      </c>
      <c r="BB1877" s="0" t="s">
        <v>130</v>
      </c>
      <c r="BC1877" s="0" t="s">
        <v>130</v>
      </c>
      <c r="BD1877" s="0" t="s">
        <v>130</v>
      </c>
      <c r="BE1877" s="0" t="s">
        <v>130</v>
      </c>
      <c r="BF1877" s="0" t="s">
        <v>130</v>
      </c>
      <c r="BG1877" s="0" t="s">
        <v>130</v>
      </c>
      <c r="BH1877" s="0" t="s">
        <v>130</v>
      </c>
      <c r="BI1877" s="0" t="s">
        <v>130</v>
      </c>
      <c r="BJ1877" s="0" t="s">
        <v>130</v>
      </c>
      <c r="BK1877" s="0" t="s">
        <v>130</v>
      </c>
      <c r="BL1877" s="0" t="s">
        <v>130</v>
      </c>
      <c r="BM1877" s="0" t="s">
        <v>130</v>
      </c>
      <c r="BN1877" s="0" t="s">
        <v>130</v>
      </c>
      <c r="BO1877" s="0" t="s">
        <v>130</v>
      </c>
      <c r="BP1877" s="0" t="s">
        <v>130</v>
      </c>
      <c r="BQ1877" s="0" t="s">
        <v>130</v>
      </c>
      <c r="BR1877" s="0" t="s">
        <v>130</v>
      </c>
      <c r="BS1877" s="0" t="s">
        <v>130</v>
      </c>
      <c r="BT1877" s="0" t="s">
        <v>130</v>
      </c>
      <c r="BU1877" s="0" t="s">
        <v>130</v>
      </c>
      <c r="BV1877" s="0" t="s">
        <v>130</v>
      </c>
      <c r="BW1877" s="0" t="s">
        <v>130</v>
      </c>
      <c r="BX1877" s="0" t="s">
        <v>130</v>
      </c>
      <c r="BY1877" s="0" t="s">
        <v>130</v>
      </c>
      <c r="BZ1877" s="0" t="s">
        <v>130</v>
      </c>
      <c r="CA1877" s="0" t="s">
        <v>130</v>
      </c>
      <c r="CB1877" s="0" t="s">
        <v>130</v>
      </c>
      <c r="CC1877" s="0" t="s">
        <v>130</v>
      </c>
      <c r="CD1877" s="0" t="s">
        <v>130</v>
      </c>
      <c r="CE1877" s="0" t="s">
        <v>130</v>
      </c>
      <c r="CF1877" s="0" t="s">
        <v>130</v>
      </c>
      <c r="CG1877" s="0" t="s">
        <v>130</v>
      </c>
      <c r="CH1877" s="0" t="s">
        <v>130</v>
      </c>
      <c r="CI1877" s="0" t="s">
        <v>130</v>
      </c>
      <c r="CJ1877" s="0" t="s">
        <v>130</v>
      </c>
      <c r="CK1877" s="0" t="s">
        <v>130</v>
      </c>
      <c r="CL1877" s="0" t="s">
        <v>130</v>
      </c>
      <c r="CM1877" s="0" t="s">
        <v>130</v>
      </c>
      <c r="CN1877" s="0" t="s">
        <v>130</v>
      </c>
      <c r="CO1877" s="0" t="s">
        <v>130</v>
      </c>
      <c r="CP1877" s="0" t="s">
        <v>130</v>
      </c>
      <c r="CQ1877" s="0" t="s">
        <v>130</v>
      </c>
      <c r="CR1877" s="0" t="s">
        <v>130</v>
      </c>
      <c r="CS1877" s="0" t="s">
        <v>130</v>
      </c>
      <c r="CT1877" s="0" t="s">
        <v>5316</v>
      </c>
    </row>
    <row r="1878">
      <c r="A1878" s="14">
        <v>11948451</v>
      </c>
      <c r="B1878" s="0" t="s">
        <v>4079</v>
      </c>
      <c r="C1878" s="16">
        <f>HYPERLINK("https://eosportal.federatedhermes.com/companies/Q29tcGFueQppNjMzMTI=", "Tesla Inc")</f>
      </c>
      <c r="D1878" s="0" t="s">
        <v>25</v>
      </c>
      <c r="E1878" s="0" t="s">
        <v>5317</v>
      </c>
      <c r="F1878" s="16">
        <f>HYPERLINK("https://eosportal.federatedhermes.com/engagements/RW5nYWdlbWVudAppMzExNjk=", "Controversy linked to UNGC Principle 6: Discrimination")</f>
      </c>
      <c r="G1878" s="14" t="s">
        <v>5318</v>
      </c>
      <c r="H1878" s="0" t="s">
        <v>141</v>
      </c>
      <c r="I1878" s="14" t="s">
        <v>191</v>
      </c>
      <c r="J1878" s="0" t="s">
        <v>153</v>
      </c>
      <c r="K1878" s="0" t="s">
        <v>154</v>
      </c>
      <c r="L1878" s="0" t="s">
        <v>155</v>
      </c>
      <c r="M1878" s="0" t="s">
        <v>135</v>
      </c>
      <c r="N1878" s="0" t="s">
        <v>136</v>
      </c>
      <c r="O1878" s="0" t="s">
        <v>425</v>
      </c>
      <c r="Q1878" s="0" t="s">
        <v>130</v>
      </c>
      <c r="R1878" s="0" t="s">
        <v>138</v>
      </c>
      <c r="S1878" s="14">
        <v>0</v>
      </c>
      <c r="T1878" s="0" t="s">
        <v>597</v>
      </c>
      <c r="U1878" s="0" t="s">
        <v>138</v>
      </c>
      <c r="V1878" s="14" t="s">
        <v>138</v>
      </c>
      <c r="W1878" s="0" t="s">
        <v>138</v>
      </c>
      <c r="X1878" s="14" t="s">
        <v>138</v>
      </c>
      <c r="Y1878" s="0" t="s">
        <v>138</v>
      </c>
      <c r="Z1878" s="14" t="s">
        <v>138</v>
      </c>
      <c r="AA1878" s="0" t="s">
        <v>138</v>
      </c>
      <c r="AB1878" s="14" t="s">
        <v>138</v>
      </c>
      <c r="AD1878" s="0" t="s">
        <v>138</v>
      </c>
      <c r="AF1878" s="0">
        <v>0</v>
      </c>
      <c r="AG1878" s="0">
        <v>0</v>
      </c>
      <c r="AH1878" s="0" t="s">
        <v>140</v>
      </c>
      <c r="AI1878" s="0" t="s">
        <v>138</v>
      </c>
      <c r="AL1878" s="14"/>
      <c r="AN1878" s="14"/>
      <c r="AQ1878" s="0" t="s">
        <v>130</v>
      </c>
      <c r="AR1878" s="0" t="s">
        <v>130</v>
      </c>
      <c r="AS1878" s="0" t="s">
        <v>130</v>
      </c>
      <c r="AT1878" s="0" t="s">
        <v>130</v>
      </c>
      <c r="AU1878" s="0" t="s">
        <v>130</v>
      </c>
      <c r="AV1878" s="0" t="s">
        <v>130</v>
      </c>
      <c r="AW1878" s="0" t="s">
        <v>130</v>
      </c>
      <c r="AX1878" s="0" t="s">
        <v>141</v>
      </c>
      <c r="AY1878" s="0" t="s">
        <v>130</v>
      </c>
      <c r="AZ1878" s="0" t="s">
        <v>130</v>
      </c>
      <c r="BA1878" s="0" t="s">
        <v>130</v>
      </c>
      <c r="BB1878" s="0" t="s">
        <v>130</v>
      </c>
      <c r="BC1878" s="0" t="s">
        <v>130</v>
      </c>
      <c r="BD1878" s="0" t="s">
        <v>130</v>
      </c>
      <c r="BE1878" s="0" t="s">
        <v>130</v>
      </c>
      <c r="BF1878" s="0" t="s">
        <v>130</v>
      </c>
      <c r="BG1878" s="0" t="s">
        <v>130</v>
      </c>
      <c r="BH1878" s="0" t="s">
        <v>130</v>
      </c>
      <c r="BI1878" s="0" t="s">
        <v>130</v>
      </c>
      <c r="BJ1878" s="0" t="s">
        <v>130</v>
      </c>
      <c r="BK1878" s="0" t="s">
        <v>130</v>
      </c>
      <c r="BL1878" s="0" t="s">
        <v>130</v>
      </c>
      <c r="BM1878" s="0" t="s">
        <v>130</v>
      </c>
      <c r="BN1878" s="0" t="s">
        <v>130</v>
      </c>
      <c r="BO1878" s="0" t="s">
        <v>130</v>
      </c>
      <c r="BP1878" s="0" t="s">
        <v>141</v>
      </c>
      <c r="BQ1878" s="0" t="s">
        <v>130</v>
      </c>
      <c r="BR1878" s="0" t="s">
        <v>130</v>
      </c>
      <c r="BS1878" s="0" t="s">
        <v>130</v>
      </c>
      <c r="BT1878" s="0" t="s">
        <v>130</v>
      </c>
      <c r="BU1878" s="0" t="s">
        <v>130</v>
      </c>
      <c r="BV1878" s="0" t="s">
        <v>130</v>
      </c>
      <c r="BW1878" s="0" t="s">
        <v>130</v>
      </c>
      <c r="BX1878" s="0" t="s">
        <v>130</v>
      </c>
      <c r="BY1878" s="0" t="s">
        <v>130</v>
      </c>
      <c r="BZ1878" s="0" t="s">
        <v>130</v>
      </c>
      <c r="CA1878" s="0" t="s">
        <v>130</v>
      </c>
      <c r="CB1878" s="0" t="s">
        <v>130</v>
      </c>
      <c r="CC1878" s="0" t="s">
        <v>130</v>
      </c>
      <c r="CD1878" s="0" t="s">
        <v>130</v>
      </c>
      <c r="CE1878" s="0" t="s">
        <v>130</v>
      </c>
      <c r="CF1878" s="0" t="s">
        <v>130</v>
      </c>
      <c r="CG1878" s="0" t="s">
        <v>130</v>
      </c>
      <c r="CH1878" s="0" t="s">
        <v>130</v>
      </c>
      <c r="CI1878" s="0" t="s">
        <v>141</v>
      </c>
      <c r="CJ1878" s="0" t="s">
        <v>130</v>
      </c>
      <c r="CK1878" s="0" t="s">
        <v>130</v>
      </c>
      <c r="CL1878" s="0" t="s">
        <v>130</v>
      </c>
      <c r="CM1878" s="0" t="s">
        <v>130</v>
      </c>
      <c r="CN1878" s="0" t="s">
        <v>130</v>
      </c>
      <c r="CO1878" s="0" t="s">
        <v>130</v>
      </c>
      <c r="CP1878" s="0" t="s">
        <v>130</v>
      </c>
      <c r="CQ1878" s="0" t="s">
        <v>130</v>
      </c>
      <c r="CR1878" s="0" t="s">
        <v>130</v>
      </c>
      <c r="CS1878" s="0" t="s">
        <v>130</v>
      </c>
      <c r="CT1878" s="0" t="s">
        <v>5319</v>
      </c>
    </row>
    <row r="1879">
      <c r="A1879" s="14">
        <v>101092</v>
      </c>
      <c r="B1879" s="0" t="s">
        <v>1319</v>
      </c>
      <c r="C1879" s="16">
        <f>HYPERLINK("https://eosportal.federatedhermes.com/companies/Q29tcGFueQppNzc5MzU=", "Wells Fargo &amp; Co")</f>
      </c>
      <c r="D1879" s="0" t="s">
        <v>23</v>
      </c>
      <c r="E1879" s="0" t="s">
        <v>5320</v>
      </c>
      <c r="F1879" s="16">
        <f>HYPERLINK("https://eosportal.federatedhermes.com/engagements/RW5nYWdlbWVudAppMzExNzU=", "Safeguards for Indigenous Peoples' rights")</f>
      </c>
      <c r="G1879" s="14" t="s">
        <v>5321</v>
      </c>
      <c r="H1879" s="0" t="s">
        <v>141</v>
      </c>
      <c r="I1879" s="14" t="s">
        <v>191</v>
      </c>
      <c r="J1879" s="0" t="s">
        <v>153</v>
      </c>
      <c r="K1879" s="0" t="s">
        <v>243</v>
      </c>
      <c r="L1879" s="0" t="s">
        <v>571</v>
      </c>
      <c r="M1879" s="0" t="s">
        <v>135</v>
      </c>
      <c r="N1879" s="0" t="s">
        <v>136</v>
      </c>
      <c r="O1879" s="0" t="s">
        <v>238</v>
      </c>
      <c r="Q1879" s="0" t="s">
        <v>130</v>
      </c>
      <c r="R1879" s="0" t="s">
        <v>130</v>
      </c>
      <c r="S1879" s="14">
        <v>0</v>
      </c>
      <c r="T1879" s="0" t="s">
        <v>597</v>
      </c>
      <c r="U1879" s="0" t="s">
        <v>221</v>
      </c>
      <c r="V1879" s="14" t="s">
        <v>597</v>
      </c>
      <c r="W1879" s="0" t="s">
        <v>221</v>
      </c>
      <c r="X1879" s="14" t="s">
        <v>360</v>
      </c>
      <c r="Y1879" s="0" t="s">
        <v>223</v>
      </c>
      <c r="Z1879" s="14" t="s">
        <v>138</v>
      </c>
      <c r="AA1879" s="0" t="s">
        <v>224</v>
      </c>
      <c r="AB1879" s="14" t="s">
        <v>138</v>
      </c>
      <c r="AD1879" s="0" t="s">
        <v>17</v>
      </c>
      <c r="AF1879" s="0">
        <v>0</v>
      </c>
      <c r="AG1879" s="0">
        <v>0</v>
      </c>
      <c r="AH1879" s="0" t="s">
        <v>140</v>
      </c>
      <c r="AI1879" s="0" t="s">
        <v>479</v>
      </c>
      <c r="AL1879" s="14"/>
      <c r="AN1879" s="14"/>
      <c r="AQ1879" s="0" t="s">
        <v>130</v>
      </c>
      <c r="AR1879" s="0" t="s">
        <v>130</v>
      </c>
      <c r="AS1879" s="0" t="s">
        <v>130</v>
      </c>
      <c r="AT1879" s="0" t="s">
        <v>130</v>
      </c>
      <c r="AU1879" s="0" t="s">
        <v>130</v>
      </c>
      <c r="AV1879" s="0" t="s">
        <v>130</v>
      </c>
      <c r="AW1879" s="0" t="s">
        <v>130</v>
      </c>
      <c r="AX1879" s="0" t="s">
        <v>130</v>
      </c>
      <c r="AY1879" s="0" t="s">
        <v>130</v>
      </c>
      <c r="AZ1879" s="0" t="s">
        <v>141</v>
      </c>
      <c r="BA1879" s="0" t="s">
        <v>141</v>
      </c>
      <c r="BB1879" s="0" t="s">
        <v>130</v>
      </c>
      <c r="BC1879" s="0" t="s">
        <v>130</v>
      </c>
      <c r="BD1879" s="0" t="s">
        <v>130</v>
      </c>
      <c r="BE1879" s="0" t="s">
        <v>130</v>
      </c>
      <c r="BF1879" s="0" t="s">
        <v>141</v>
      </c>
      <c r="BG1879" s="0" t="s">
        <v>130</v>
      </c>
      <c r="BH1879" s="0" t="s">
        <v>130</v>
      </c>
      <c r="BI1879" s="0" t="s">
        <v>130</v>
      </c>
      <c r="BJ1879" s="0" t="s">
        <v>130</v>
      </c>
      <c r="BK1879" s="0" t="s">
        <v>130</v>
      </c>
      <c r="BL1879" s="0" t="s">
        <v>130</v>
      </c>
      <c r="BM1879" s="0" t="s">
        <v>130</v>
      </c>
      <c r="BN1879" s="0" t="s">
        <v>130</v>
      </c>
      <c r="BO1879" s="0" t="s">
        <v>130</v>
      </c>
      <c r="BP1879" s="0" t="s">
        <v>130</v>
      </c>
      <c r="BQ1879" s="0" t="s">
        <v>130</v>
      </c>
      <c r="BR1879" s="0" t="s">
        <v>130</v>
      </c>
      <c r="BS1879" s="0" t="s">
        <v>130</v>
      </c>
      <c r="BT1879" s="0" t="s">
        <v>130</v>
      </c>
      <c r="BU1879" s="0" t="s">
        <v>130</v>
      </c>
      <c r="BV1879" s="0" t="s">
        <v>130</v>
      </c>
      <c r="BW1879" s="0" t="s">
        <v>130</v>
      </c>
      <c r="BX1879" s="0" t="s">
        <v>130</v>
      </c>
      <c r="BY1879" s="0" t="s">
        <v>130</v>
      </c>
      <c r="BZ1879" s="0" t="s">
        <v>130</v>
      </c>
      <c r="CA1879" s="0" t="s">
        <v>130</v>
      </c>
      <c r="CB1879" s="0" t="s">
        <v>130</v>
      </c>
      <c r="CC1879" s="0" t="s">
        <v>130</v>
      </c>
      <c r="CD1879" s="0" t="s">
        <v>130</v>
      </c>
      <c r="CE1879" s="0" t="s">
        <v>130</v>
      </c>
      <c r="CF1879" s="0" t="s">
        <v>130</v>
      </c>
      <c r="CG1879" s="0" t="s">
        <v>130</v>
      </c>
      <c r="CH1879" s="0" t="s">
        <v>130</v>
      </c>
      <c r="CI1879" s="0" t="s">
        <v>130</v>
      </c>
      <c r="CJ1879" s="0" t="s">
        <v>130</v>
      </c>
      <c r="CK1879" s="0" t="s">
        <v>130</v>
      </c>
      <c r="CL1879" s="0" t="s">
        <v>130</v>
      </c>
      <c r="CM1879" s="0" t="s">
        <v>130</v>
      </c>
      <c r="CN1879" s="0" t="s">
        <v>130</v>
      </c>
      <c r="CO1879" s="0" t="s">
        <v>130</v>
      </c>
      <c r="CP1879" s="0" t="s">
        <v>130</v>
      </c>
      <c r="CQ1879" s="0" t="s">
        <v>130</v>
      </c>
      <c r="CR1879" s="0" t="s">
        <v>130</v>
      </c>
      <c r="CS1879" s="0" t="s">
        <v>130</v>
      </c>
      <c r="CT1879" s="0" t="s">
        <v>5322</v>
      </c>
    </row>
    <row r="1880">
      <c r="A1880" s="14">
        <v>16857643</v>
      </c>
      <c r="B1880" s="0" t="s">
        <v>4271</v>
      </c>
      <c r="C1880" s="16">
        <f>HYPERLINK("https://eosportal.federatedhermes.com/companies/Q29tcGFueQppNzgyNzY=", "Alibaba Group Holding Ltd")</f>
      </c>
      <c r="D1880" s="0" t="s">
        <v>25</v>
      </c>
      <c r="E1880" s="0" t="s">
        <v>5323</v>
      </c>
      <c r="F1880" s="16">
        <f>HYPERLINK("https://eosportal.federatedhermes.com/engagements/RW5nYWdlbWVudAppMzExODA=", "Combined CEO and chair")</f>
      </c>
      <c r="G1880" s="14" t="s">
        <v>5324</v>
      </c>
      <c r="H1880" s="0" t="s">
        <v>141</v>
      </c>
      <c r="I1880" s="14" t="s">
        <v>1645</v>
      </c>
      <c r="J1880" s="0" t="s">
        <v>145</v>
      </c>
      <c r="K1880" s="0" t="s">
        <v>164</v>
      </c>
      <c r="L1880" s="0" t="s">
        <v>165</v>
      </c>
      <c r="M1880" s="0" t="s">
        <v>802</v>
      </c>
      <c r="N1880" s="0" t="s">
        <v>803</v>
      </c>
      <c r="O1880" s="0" t="s">
        <v>643</v>
      </c>
      <c r="Q1880" s="0" t="s">
        <v>130</v>
      </c>
      <c r="R1880" s="0" t="s">
        <v>138</v>
      </c>
      <c r="S1880" s="14">
        <v>0</v>
      </c>
      <c r="T1880" s="0" t="s">
        <v>597</v>
      </c>
      <c r="U1880" s="0" t="s">
        <v>138</v>
      </c>
      <c r="V1880" s="14" t="s">
        <v>138</v>
      </c>
      <c r="W1880" s="0" t="s">
        <v>138</v>
      </c>
      <c r="X1880" s="14" t="s">
        <v>138</v>
      </c>
      <c r="Y1880" s="0" t="s">
        <v>138</v>
      </c>
      <c r="Z1880" s="14" t="s">
        <v>138</v>
      </c>
      <c r="AA1880" s="0" t="s">
        <v>138</v>
      </c>
      <c r="AB1880" s="14" t="s">
        <v>138</v>
      </c>
      <c r="AD1880" s="0" t="s">
        <v>138</v>
      </c>
      <c r="AF1880" s="0">
        <v>0</v>
      </c>
      <c r="AG1880" s="0">
        <v>0</v>
      </c>
      <c r="AH1880" s="0" t="s">
        <v>140</v>
      </c>
      <c r="AI1880" s="0" t="s">
        <v>138</v>
      </c>
      <c r="AL1880" s="14"/>
      <c r="AN1880" s="14"/>
      <c r="AQ1880" s="0" t="s">
        <v>130</v>
      </c>
      <c r="AR1880" s="0" t="s">
        <v>130</v>
      </c>
      <c r="AS1880" s="0" t="s">
        <v>130</v>
      </c>
      <c r="AT1880" s="0" t="s">
        <v>130</v>
      </c>
      <c r="AU1880" s="0" t="s">
        <v>130</v>
      </c>
      <c r="AV1880" s="0" t="s">
        <v>130</v>
      </c>
      <c r="AW1880" s="0" t="s">
        <v>130</v>
      </c>
      <c r="AX1880" s="0" t="s">
        <v>130</v>
      </c>
      <c r="AY1880" s="0" t="s">
        <v>130</v>
      </c>
      <c r="AZ1880" s="0" t="s">
        <v>130</v>
      </c>
      <c r="BA1880" s="0" t="s">
        <v>130</v>
      </c>
      <c r="BB1880" s="0" t="s">
        <v>130</v>
      </c>
      <c r="BC1880" s="0" t="s">
        <v>130</v>
      </c>
      <c r="BD1880" s="0" t="s">
        <v>130</v>
      </c>
      <c r="BE1880" s="0" t="s">
        <v>130</v>
      </c>
      <c r="BF1880" s="0" t="s">
        <v>130</v>
      </c>
      <c r="BG1880" s="0" t="s">
        <v>130</v>
      </c>
      <c r="BH1880" s="0" t="s">
        <v>130</v>
      </c>
      <c r="BI1880" s="0" t="s">
        <v>130</v>
      </c>
      <c r="BJ1880" s="0" t="s">
        <v>130</v>
      </c>
      <c r="BK1880" s="0" t="s">
        <v>130</v>
      </c>
      <c r="BL1880" s="0" t="s">
        <v>130</v>
      </c>
      <c r="BM1880" s="0" t="s">
        <v>130</v>
      </c>
      <c r="BN1880" s="0" t="s">
        <v>130</v>
      </c>
      <c r="BO1880" s="0" t="s">
        <v>130</v>
      </c>
      <c r="BP1880" s="0" t="s">
        <v>130</v>
      </c>
      <c r="BQ1880" s="0" t="s">
        <v>130</v>
      </c>
      <c r="BR1880" s="0" t="s">
        <v>130</v>
      </c>
      <c r="BS1880" s="0" t="s">
        <v>130</v>
      </c>
      <c r="BT1880" s="0" t="s">
        <v>130</v>
      </c>
      <c r="BU1880" s="0" t="s">
        <v>130</v>
      </c>
      <c r="BV1880" s="0" t="s">
        <v>130</v>
      </c>
      <c r="BW1880" s="0" t="s">
        <v>130</v>
      </c>
      <c r="BX1880" s="0" t="s">
        <v>130</v>
      </c>
      <c r="BY1880" s="0" t="s">
        <v>130</v>
      </c>
      <c r="BZ1880" s="0" t="s">
        <v>130</v>
      </c>
      <c r="CA1880" s="0" t="s">
        <v>130</v>
      </c>
      <c r="CB1880" s="0" t="s">
        <v>130</v>
      </c>
      <c r="CC1880" s="0" t="s">
        <v>130</v>
      </c>
      <c r="CD1880" s="0" t="s">
        <v>130</v>
      </c>
      <c r="CE1880" s="0" t="s">
        <v>130</v>
      </c>
      <c r="CF1880" s="0" t="s">
        <v>130</v>
      </c>
      <c r="CG1880" s="0" t="s">
        <v>130</v>
      </c>
      <c r="CH1880" s="0" t="s">
        <v>130</v>
      </c>
      <c r="CI1880" s="0" t="s">
        <v>130</v>
      </c>
      <c r="CJ1880" s="0" t="s">
        <v>130</v>
      </c>
      <c r="CK1880" s="0" t="s">
        <v>130</v>
      </c>
      <c r="CL1880" s="0" t="s">
        <v>130</v>
      </c>
      <c r="CM1880" s="0" t="s">
        <v>130</v>
      </c>
      <c r="CN1880" s="0" t="s">
        <v>130</v>
      </c>
      <c r="CO1880" s="0" t="s">
        <v>130</v>
      </c>
      <c r="CP1880" s="0" t="s">
        <v>130</v>
      </c>
      <c r="CQ1880" s="0" t="s">
        <v>130</v>
      </c>
      <c r="CR1880" s="0" t="s">
        <v>130</v>
      </c>
      <c r="CS1880" s="0" t="s">
        <v>130</v>
      </c>
      <c r="CT1880" s="0" t="s">
        <v>5325</v>
      </c>
    </row>
    <row r="1881">
      <c r="A1881" s="14">
        <v>16857643</v>
      </c>
      <c r="B1881" s="0" t="s">
        <v>4271</v>
      </c>
      <c r="C1881" s="16">
        <f>HYPERLINK("https://eosportal.federatedhermes.com/companies/Q29tcGFueQppNzgyNzY=", "Alibaba Group Holding Ltd")</f>
      </c>
      <c r="D1881" s="0" t="s">
        <v>25</v>
      </c>
      <c r="E1881" s="0" t="s">
        <v>5326</v>
      </c>
      <c r="F1881" s="16">
        <f>HYPERLINK("https://eosportal.federatedhermes.com/engagements/RW5nYWdlbWVudAppMzExODE=", "Fully independent nomination committee")</f>
      </c>
      <c r="G1881" s="14" t="s">
        <v>5327</v>
      </c>
      <c r="H1881" s="0" t="s">
        <v>141</v>
      </c>
      <c r="I1881" s="14" t="s">
        <v>1645</v>
      </c>
      <c r="J1881" s="0" t="s">
        <v>145</v>
      </c>
      <c r="K1881" s="0" t="s">
        <v>164</v>
      </c>
      <c r="L1881" s="0" t="s">
        <v>165</v>
      </c>
      <c r="M1881" s="0" t="s">
        <v>802</v>
      </c>
      <c r="N1881" s="0" t="s">
        <v>803</v>
      </c>
      <c r="O1881" s="0" t="s">
        <v>643</v>
      </c>
      <c r="Q1881" s="0" t="s">
        <v>130</v>
      </c>
      <c r="R1881" s="0" t="s">
        <v>138</v>
      </c>
      <c r="S1881" s="14">
        <v>0</v>
      </c>
      <c r="T1881" s="0" t="s">
        <v>597</v>
      </c>
      <c r="U1881" s="0" t="s">
        <v>138</v>
      </c>
      <c r="V1881" s="14" t="s">
        <v>138</v>
      </c>
      <c r="W1881" s="0" t="s">
        <v>138</v>
      </c>
      <c r="X1881" s="14" t="s">
        <v>138</v>
      </c>
      <c r="Y1881" s="0" t="s">
        <v>138</v>
      </c>
      <c r="Z1881" s="14" t="s">
        <v>138</v>
      </c>
      <c r="AA1881" s="0" t="s">
        <v>138</v>
      </c>
      <c r="AB1881" s="14" t="s">
        <v>138</v>
      </c>
      <c r="AD1881" s="0" t="s">
        <v>138</v>
      </c>
      <c r="AF1881" s="0">
        <v>0</v>
      </c>
      <c r="AG1881" s="0">
        <v>0</v>
      </c>
      <c r="AH1881" s="0" t="s">
        <v>140</v>
      </c>
      <c r="AI1881" s="0" t="s">
        <v>138</v>
      </c>
      <c r="AL1881" s="14"/>
      <c r="AN1881" s="14"/>
      <c r="AQ1881" s="0" t="s">
        <v>130</v>
      </c>
      <c r="AR1881" s="0" t="s">
        <v>130</v>
      </c>
      <c r="AS1881" s="0" t="s">
        <v>130</v>
      </c>
      <c r="AT1881" s="0" t="s">
        <v>130</v>
      </c>
      <c r="AU1881" s="0" t="s">
        <v>130</v>
      </c>
      <c r="AV1881" s="0" t="s">
        <v>130</v>
      </c>
      <c r="AW1881" s="0" t="s">
        <v>130</v>
      </c>
      <c r="AX1881" s="0" t="s">
        <v>130</v>
      </c>
      <c r="AY1881" s="0" t="s">
        <v>130</v>
      </c>
      <c r="AZ1881" s="0" t="s">
        <v>130</v>
      </c>
      <c r="BA1881" s="0" t="s">
        <v>130</v>
      </c>
      <c r="BB1881" s="0" t="s">
        <v>130</v>
      </c>
      <c r="BC1881" s="0" t="s">
        <v>130</v>
      </c>
      <c r="BD1881" s="0" t="s">
        <v>130</v>
      </c>
      <c r="BE1881" s="0" t="s">
        <v>130</v>
      </c>
      <c r="BF1881" s="0" t="s">
        <v>130</v>
      </c>
      <c r="BG1881" s="0" t="s">
        <v>130</v>
      </c>
      <c r="BH1881" s="0" t="s">
        <v>130</v>
      </c>
      <c r="BI1881" s="0" t="s">
        <v>130</v>
      </c>
      <c r="BJ1881" s="0" t="s">
        <v>130</v>
      </c>
      <c r="BK1881" s="0" t="s">
        <v>130</v>
      </c>
      <c r="BL1881" s="0" t="s">
        <v>130</v>
      </c>
      <c r="BM1881" s="0" t="s">
        <v>130</v>
      </c>
      <c r="BN1881" s="0" t="s">
        <v>130</v>
      </c>
      <c r="BO1881" s="0" t="s">
        <v>130</v>
      </c>
      <c r="BP1881" s="0" t="s">
        <v>130</v>
      </c>
      <c r="BQ1881" s="0" t="s">
        <v>130</v>
      </c>
      <c r="BR1881" s="0" t="s">
        <v>130</v>
      </c>
      <c r="BS1881" s="0" t="s">
        <v>130</v>
      </c>
      <c r="BT1881" s="0" t="s">
        <v>130</v>
      </c>
      <c r="BU1881" s="0" t="s">
        <v>130</v>
      </c>
      <c r="BV1881" s="0" t="s">
        <v>130</v>
      </c>
      <c r="BW1881" s="0" t="s">
        <v>130</v>
      </c>
      <c r="BX1881" s="0" t="s">
        <v>130</v>
      </c>
      <c r="BY1881" s="0" t="s">
        <v>130</v>
      </c>
      <c r="BZ1881" s="0" t="s">
        <v>130</v>
      </c>
      <c r="CA1881" s="0" t="s">
        <v>130</v>
      </c>
      <c r="CB1881" s="0" t="s">
        <v>130</v>
      </c>
      <c r="CC1881" s="0" t="s">
        <v>130</v>
      </c>
      <c r="CD1881" s="0" t="s">
        <v>130</v>
      </c>
      <c r="CE1881" s="0" t="s">
        <v>130</v>
      </c>
      <c r="CF1881" s="0" t="s">
        <v>130</v>
      </c>
      <c r="CG1881" s="0" t="s">
        <v>130</v>
      </c>
      <c r="CH1881" s="0" t="s">
        <v>130</v>
      </c>
      <c r="CI1881" s="0" t="s">
        <v>130</v>
      </c>
      <c r="CJ1881" s="0" t="s">
        <v>130</v>
      </c>
      <c r="CK1881" s="0" t="s">
        <v>130</v>
      </c>
      <c r="CL1881" s="0" t="s">
        <v>130</v>
      </c>
      <c r="CM1881" s="0" t="s">
        <v>130</v>
      </c>
      <c r="CN1881" s="0" t="s">
        <v>130</v>
      </c>
      <c r="CO1881" s="0" t="s">
        <v>130</v>
      </c>
      <c r="CP1881" s="0" t="s">
        <v>130</v>
      </c>
      <c r="CQ1881" s="0" t="s">
        <v>130</v>
      </c>
      <c r="CR1881" s="0" t="s">
        <v>130</v>
      </c>
      <c r="CS1881" s="0" t="s">
        <v>130</v>
      </c>
      <c r="CT1881" s="0" t="s">
        <v>5328</v>
      </c>
    </row>
    <row r="1882">
      <c r="A1882" s="14">
        <v>101779</v>
      </c>
      <c r="B1882" s="0" t="s">
        <v>2006</v>
      </c>
      <c r="C1882" s="16">
        <f>HYPERLINK("https://eosportal.federatedhermes.com/companies/Q29tcGFueQppODE1NDU=", "Tyson Foods Inc")</f>
      </c>
      <c r="D1882" s="0" t="s">
        <v>23</v>
      </c>
      <c r="E1882" s="0" t="s">
        <v>5329</v>
      </c>
      <c r="F1882" s="16">
        <f>HYPERLINK("https://eosportal.federatedhermes.com/engagements/RW5nYWdlbWVudAppMzExOTQ=", "Health and Safety Culture")</f>
      </c>
      <c r="G1882" s="14" t="s">
        <v>5330</v>
      </c>
      <c r="H1882" s="0" t="s">
        <v>141</v>
      </c>
      <c r="I1882" s="14" t="s">
        <v>131</v>
      </c>
      <c r="J1882" s="0" t="s">
        <v>153</v>
      </c>
      <c r="K1882" s="0" t="s">
        <v>154</v>
      </c>
      <c r="L1882" s="0" t="s">
        <v>155</v>
      </c>
      <c r="M1882" s="0" t="s">
        <v>135</v>
      </c>
      <c r="N1882" s="0" t="s">
        <v>136</v>
      </c>
      <c r="O1882" s="0" t="s">
        <v>332</v>
      </c>
      <c r="Q1882" s="0" t="s">
        <v>141</v>
      </c>
      <c r="R1882" s="0" t="s">
        <v>130</v>
      </c>
      <c r="S1882" s="14">
        <v>1</v>
      </c>
      <c r="T1882" s="0" t="s">
        <v>597</v>
      </c>
      <c r="U1882" s="0" t="s">
        <v>221</v>
      </c>
      <c r="V1882" s="14" t="s">
        <v>597</v>
      </c>
      <c r="W1882" s="0" t="s">
        <v>221</v>
      </c>
      <c r="X1882" s="14" t="s">
        <v>597</v>
      </c>
      <c r="Y1882" s="0" t="s">
        <v>223</v>
      </c>
      <c r="Z1882" s="14" t="s">
        <v>138</v>
      </c>
      <c r="AA1882" s="0" t="s">
        <v>224</v>
      </c>
      <c r="AB1882" s="14" t="s">
        <v>138</v>
      </c>
      <c r="AD1882" s="0" t="s">
        <v>17</v>
      </c>
      <c r="AF1882" s="0">
        <v>0</v>
      </c>
      <c r="AG1882" s="0">
        <v>0</v>
      </c>
      <c r="AH1882" s="0" t="s">
        <v>140</v>
      </c>
      <c r="AI1882" s="0" t="s">
        <v>479</v>
      </c>
      <c r="AK1882" s="0" t="s">
        <v>2019</v>
      </c>
      <c r="AL1882" s="14"/>
      <c r="AN1882" s="14"/>
      <c r="AQ1882" s="0" t="s">
        <v>130</v>
      </c>
      <c r="AR1882" s="0" t="s">
        <v>130</v>
      </c>
      <c r="AS1882" s="0" t="s">
        <v>130</v>
      </c>
      <c r="AT1882" s="0" t="s">
        <v>130</v>
      </c>
      <c r="AU1882" s="0" t="s">
        <v>130</v>
      </c>
      <c r="AV1882" s="0" t="s">
        <v>130</v>
      </c>
      <c r="AW1882" s="0" t="s">
        <v>130</v>
      </c>
      <c r="AX1882" s="0" t="s">
        <v>141</v>
      </c>
      <c r="AY1882" s="0" t="s">
        <v>130</v>
      </c>
      <c r="AZ1882" s="0" t="s">
        <v>130</v>
      </c>
      <c r="BA1882" s="0" t="s">
        <v>130</v>
      </c>
      <c r="BB1882" s="0" t="s">
        <v>130</v>
      </c>
      <c r="BC1882" s="0" t="s">
        <v>130</v>
      </c>
      <c r="BD1882" s="0" t="s">
        <v>130</v>
      </c>
      <c r="BE1882" s="0" t="s">
        <v>130</v>
      </c>
      <c r="BF1882" s="0" t="s">
        <v>130</v>
      </c>
      <c r="BG1882" s="0" t="s">
        <v>130</v>
      </c>
      <c r="BH1882" s="0" t="s">
        <v>130</v>
      </c>
      <c r="BI1882" s="0" t="s">
        <v>130</v>
      </c>
      <c r="BJ1882" s="0" t="s">
        <v>130</v>
      </c>
      <c r="BK1882" s="0" t="s">
        <v>130</v>
      </c>
      <c r="BL1882" s="0" t="s">
        <v>130</v>
      </c>
      <c r="BM1882" s="0" t="s">
        <v>130</v>
      </c>
      <c r="BN1882" s="0" t="s">
        <v>130</v>
      </c>
      <c r="BO1882" s="0" t="s">
        <v>130</v>
      </c>
      <c r="BP1882" s="0" t="s">
        <v>130</v>
      </c>
      <c r="BQ1882" s="0" t="s">
        <v>130</v>
      </c>
      <c r="BR1882" s="0" t="s">
        <v>130</v>
      </c>
      <c r="BS1882" s="0" t="s">
        <v>130</v>
      </c>
      <c r="BT1882" s="0" t="s">
        <v>130</v>
      </c>
      <c r="BU1882" s="0" t="s">
        <v>130</v>
      </c>
      <c r="BV1882" s="0" t="s">
        <v>130</v>
      </c>
      <c r="BW1882" s="0" t="s">
        <v>130</v>
      </c>
      <c r="BX1882" s="0" t="s">
        <v>130</v>
      </c>
      <c r="BY1882" s="0" t="s">
        <v>130</v>
      </c>
      <c r="BZ1882" s="0" t="s">
        <v>130</v>
      </c>
      <c r="CA1882" s="0" t="s">
        <v>130</v>
      </c>
      <c r="CB1882" s="0" t="s">
        <v>130</v>
      </c>
      <c r="CC1882" s="0" t="s">
        <v>130</v>
      </c>
      <c r="CD1882" s="0" t="s">
        <v>130</v>
      </c>
      <c r="CE1882" s="0" t="s">
        <v>130</v>
      </c>
      <c r="CF1882" s="0" t="s">
        <v>130</v>
      </c>
      <c r="CG1882" s="0" t="s">
        <v>130</v>
      </c>
      <c r="CH1882" s="0" t="s">
        <v>130</v>
      </c>
      <c r="CI1882" s="0" t="s">
        <v>141</v>
      </c>
      <c r="CJ1882" s="0" t="s">
        <v>130</v>
      </c>
      <c r="CK1882" s="0" t="s">
        <v>130</v>
      </c>
      <c r="CL1882" s="0" t="s">
        <v>130</v>
      </c>
      <c r="CM1882" s="0" t="s">
        <v>130</v>
      </c>
      <c r="CN1882" s="0" t="s">
        <v>130</v>
      </c>
      <c r="CO1882" s="0" t="s">
        <v>130</v>
      </c>
      <c r="CP1882" s="0" t="s">
        <v>130</v>
      </c>
      <c r="CQ1882" s="0" t="s">
        <v>130</v>
      </c>
      <c r="CR1882" s="0" t="s">
        <v>130</v>
      </c>
      <c r="CS1882" s="0" t="s">
        <v>130</v>
      </c>
      <c r="CT1882" s="0" t="s">
        <v>5331</v>
      </c>
    </row>
    <row r="1883">
      <c r="A1883" s="14">
        <v>101779</v>
      </c>
      <c r="B1883" s="0" t="s">
        <v>2006</v>
      </c>
      <c r="C1883" s="16">
        <f>HYPERLINK("https://eosportal.federatedhermes.com/companies/Q29tcGFueQppODE1NDU=", "Tyson Foods Inc")</f>
      </c>
      <c r="D1883" s="0" t="s">
        <v>23</v>
      </c>
      <c r="E1883" s="0" t="s">
        <v>5332</v>
      </c>
      <c r="F1883" s="16">
        <f>HYPERLINK("https://eosportal.federatedhermes.com/engagements/RW5nYWdlbWVudAppMzExOTU=", "Human Rights: labour rights in supply chain")</f>
      </c>
      <c r="G1883" s="14" t="s">
        <v>5333</v>
      </c>
      <c r="H1883" s="0" t="s">
        <v>141</v>
      </c>
      <c r="I1883" s="14" t="s">
        <v>131</v>
      </c>
      <c r="J1883" s="0" t="s">
        <v>153</v>
      </c>
      <c r="K1883" s="0" t="s">
        <v>243</v>
      </c>
      <c r="L1883" s="0" t="s">
        <v>244</v>
      </c>
      <c r="M1883" s="0" t="s">
        <v>135</v>
      </c>
      <c r="N1883" s="0" t="s">
        <v>136</v>
      </c>
      <c r="O1883" s="0" t="s">
        <v>332</v>
      </c>
      <c r="Q1883" s="0" t="s">
        <v>130</v>
      </c>
      <c r="R1883" s="0" t="s">
        <v>130</v>
      </c>
      <c r="S1883" s="14">
        <v>0</v>
      </c>
      <c r="T1883" s="0" t="s">
        <v>597</v>
      </c>
      <c r="U1883" s="0" t="s">
        <v>221</v>
      </c>
      <c r="V1883" s="14" t="s">
        <v>597</v>
      </c>
      <c r="W1883" s="0" t="s">
        <v>221</v>
      </c>
      <c r="X1883" s="14" t="s">
        <v>597</v>
      </c>
      <c r="Y1883" s="0" t="s">
        <v>223</v>
      </c>
      <c r="Z1883" s="14" t="s">
        <v>138</v>
      </c>
      <c r="AA1883" s="0" t="s">
        <v>224</v>
      </c>
      <c r="AB1883" s="14" t="s">
        <v>138</v>
      </c>
      <c r="AD1883" s="0" t="s">
        <v>17</v>
      </c>
      <c r="AF1883" s="0">
        <v>0</v>
      </c>
      <c r="AG1883" s="0">
        <v>0</v>
      </c>
      <c r="AH1883" s="0" t="s">
        <v>140</v>
      </c>
      <c r="AI1883" s="0" t="s">
        <v>479</v>
      </c>
      <c r="AL1883" s="14"/>
      <c r="AN1883" s="14"/>
      <c r="AQ1883" s="0" t="s">
        <v>130</v>
      </c>
      <c r="AR1883" s="0" t="s">
        <v>130</v>
      </c>
      <c r="AS1883" s="0" t="s">
        <v>130</v>
      </c>
      <c r="AT1883" s="0" t="s">
        <v>130</v>
      </c>
      <c r="AU1883" s="0" t="s">
        <v>130</v>
      </c>
      <c r="AV1883" s="0" t="s">
        <v>130</v>
      </c>
      <c r="AW1883" s="0" t="s">
        <v>130</v>
      </c>
      <c r="AX1883" s="0" t="s">
        <v>141</v>
      </c>
      <c r="AY1883" s="0" t="s">
        <v>130</v>
      </c>
      <c r="AZ1883" s="0" t="s">
        <v>130</v>
      </c>
      <c r="BA1883" s="0" t="s">
        <v>130</v>
      </c>
      <c r="BB1883" s="0" t="s">
        <v>130</v>
      </c>
      <c r="BC1883" s="0" t="s">
        <v>130</v>
      </c>
      <c r="BD1883" s="0" t="s">
        <v>130</v>
      </c>
      <c r="BE1883" s="0" t="s">
        <v>130</v>
      </c>
      <c r="BF1883" s="0" t="s">
        <v>130</v>
      </c>
      <c r="BG1883" s="0" t="s">
        <v>130</v>
      </c>
      <c r="BH1883" s="0" t="s">
        <v>130</v>
      </c>
      <c r="BI1883" s="0" t="s">
        <v>130</v>
      </c>
      <c r="BJ1883" s="0" t="s">
        <v>130</v>
      </c>
      <c r="BK1883" s="0" t="s">
        <v>130</v>
      </c>
      <c r="BL1883" s="0" t="s">
        <v>130</v>
      </c>
      <c r="BM1883" s="0" t="s">
        <v>130</v>
      </c>
      <c r="BN1883" s="0" t="s">
        <v>130</v>
      </c>
      <c r="BO1883" s="0" t="s">
        <v>130</v>
      </c>
      <c r="BP1883" s="0" t="s">
        <v>130</v>
      </c>
      <c r="BQ1883" s="0" t="s">
        <v>130</v>
      </c>
      <c r="BR1883" s="0" t="s">
        <v>130</v>
      </c>
      <c r="BS1883" s="0" t="s">
        <v>130</v>
      </c>
      <c r="BT1883" s="0" t="s">
        <v>130</v>
      </c>
      <c r="BU1883" s="0" t="s">
        <v>130</v>
      </c>
      <c r="BV1883" s="0" t="s">
        <v>130</v>
      </c>
      <c r="BW1883" s="0" t="s">
        <v>130</v>
      </c>
      <c r="BX1883" s="0" t="s">
        <v>130</v>
      </c>
      <c r="BY1883" s="0" t="s">
        <v>130</v>
      </c>
      <c r="BZ1883" s="0" t="s">
        <v>130</v>
      </c>
      <c r="CA1883" s="0" t="s">
        <v>130</v>
      </c>
      <c r="CB1883" s="0" t="s">
        <v>130</v>
      </c>
      <c r="CC1883" s="0" t="s">
        <v>130</v>
      </c>
      <c r="CD1883" s="0" t="s">
        <v>130</v>
      </c>
      <c r="CE1883" s="0" t="s">
        <v>130</v>
      </c>
      <c r="CF1883" s="0" t="s">
        <v>130</v>
      </c>
      <c r="CG1883" s="0" t="s">
        <v>130</v>
      </c>
      <c r="CH1883" s="0" t="s">
        <v>130</v>
      </c>
      <c r="CI1883" s="0" t="s">
        <v>130</v>
      </c>
      <c r="CJ1883" s="0" t="s">
        <v>130</v>
      </c>
      <c r="CK1883" s="0" t="s">
        <v>130</v>
      </c>
      <c r="CL1883" s="0" t="s">
        <v>130</v>
      </c>
      <c r="CM1883" s="0" t="s">
        <v>130</v>
      </c>
      <c r="CN1883" s="0" t="s">
        <v>130</v>
      </c>
      <c r="CO1883" s="0" t="s">
        <v>130</v>
      </c>
      <c r="CP1883" s="0" t="s">
        <v>130</v>
      </c>
      <c r="CQ1883" s="0" t="s">
        <v>130</v>
      </c>
      <c r="CR1883" s="0" t="s">
        <v>130</v>
      </c>
      <c r="CS1883" s="0" t="s">
        <v>130</v>
      </c>
      <c r="CT1883" s="0" t="s">
        <v>5334</v>
      </c>
    </row>
    <row r="1884">
      <c r="A1884" s="14">
        <v>101743</v>
      </c>
      <c r="B1884" s="0" t="s">
        <v>1893</v>
      </c>
      <c r="C1884" s="16">
        <f>HYPERLINK("https://eosportal.federatedhermes.com/companies/Q29tcGFueQppNjI1MDg=", "Microsoft Corp")</f>
      </c>
      <c r="D1884" s="0" t="s">
        <v>23</v>
      </c>
      <c r="E1884" s="0" t="s">
        <v>5335</v>
      </c>
      <c r="F1884" s="16">
        <f>HYPERLINK("https://eosportal.federatedhermes.com/engagements/RW5nYWdlbWVudAppMzEyMDU=", "Digital rights - negative societal impacts")</f>
      </c>
      <c r="G1884" s="14" t="s">
        <v>5336</v>
      </c>
      <c r="H1884" s="0" t="s">
        <v>141</v>
      </c>
      <c r="I1884" s="14" t="s">
        <v>191</v>
      </c>
      <c r="J1884" s="0" t="s">
        <v>153</v>
      </c>
      <c r="K1884" s="0" t="s">
        <v>243</v>
      </c>
      <c r="L1884" s="0" t="s">
        <v>537</v>
      </c>
      <c r="M1884" s="0" t="s">
        <v>135</v>
      </c>
      <c r="N1884" s="0" t="s">
        <v>136</v>
      </c>
      <c r="O1884" s="0" t="s">
        <v>137</v>
      </c>
      <c r="Q1884" s="0" t="s">
        <v>141</v>
      </c>
      <c r="R1884" s="0" t="s">
        <v>130</v>
      </c>
      <c r="S1884" s="14">
        <v>3</v>
      </c>
      <c r="T1884" s="0" t="s">
        <v>231</v>
      </c>
      <c r="U1884" s="0" t="s">
        <v>221</v>
      </c>
      <c r="V1884" s="14" t="s">
        <v>231</v>
      </c>
      <c r="W1884" s="0" t="s">
        <v>221</v>
      </c>
      <c r="X1884" s="14" t="s">
        <v>597</v>
      </c>
      <c r="Y1884" s="0" t="s">
        <v>221</v>
      </c>
      <c r="Z1884" s="14" t="s">
        <v>4412</v>
      </c>
      <c r="AA1884" s="0" t="s">
        <v>223</v>
      </c>
      <c r="AB1884" s="14" t="s">
        <v>138</v>
      </c>
      <c r="AD1884" s="0" t="s">
        <v>20</v>
      </c>
      <c r="AF1884" s="0">
        <v>0</v>
      </c>
      <c r="AG1884" s="0">
        <v>0</v>
      </c>
      <c r="AH1884" s="0" t="s">
        <v>140</v>
      </c>
      <c r="AI1884" s="0" t="s">
        <v>479</v>
      </c>
      <c r="AK1884" s="0" t="s">
        <v>436</v>
      </c>
      <c r="AL1884" s="14"/>
      <c r="AN1884" s="14"/>
      <c r="AQ1884" s="0" t="s">
        <v>130</v>
      </c>
      <c r="AR1884" s="0" t="s">
        <v>130</v>
      </c>
      <c r="AS1884" s="0" t="s">
        <v>130</v>
      </c>
      <c r="AT1884" s="0" t="s">
        <v>130</v>
      </c>
      <c r="AU1884" s="0" t="s">
        <v>130</v>
      </c>
      <c r="AV1884" s="0" t="s">
        <v>130</v>
      </c>
      <c r="AW1884" s="0" t="s">
        <v>130</v>
      </c>
      <c r="AX1884" s="0" t="s">
        <v>130</v>
      </c>
      <c r="AY1884" s="0" t="s">
        <v>130</v>
      </c>
      <c r="AZ1884" s="0" t="s">
        <v>130</v>
      </c>
      <c r="BA1884" s="0" t="s">
        <v>130</v>
      </c>
      <c r="BB1884" s="0" t="s">
        <v>130</v>
      </c>
      <c r="BC1884" s="0" t="s">
        <v>130</v>
      </c>
      <c r="BD1884" s="0" t="s">
        <v>130</v>
      </c>
      <c r="BE1884" s="0" t="s">
        <v>130</v>
      </c>
      <c r="BF1884" s="0" t="s">
        <v>141</v>
      </c>
      <c r="BG1884" s="0" t="s">
        <v>130</v>
      </c>
      <c r="BH1884" s="0" t="s">
        <v>130</v>
      </c>
      <c r="BI1884" s="0" t="s">
        <v>130</v>
      </c>
      <c r="BJ1884" s="0" t="s">
        <v>130</v>
      </c>
      <c r="BK1884" s="0" t="s">
        <v>130</v>
      </c>
      <c r="BL1884" s="0" t="s">
        <v>130</v>
      </c>
      <c r="BM1884" s="0" t="s">
        <v>130</v>
      </c>
      <c r="BN1884" s="0" t="s">
        <v>130</v>
      </c>
      <c r="BO1884" s="0" t="s">
        <v>130</v>
      </c>
      <c r="BP1884" s="0" t="s">
        <v>130</v>
      </c>
      <c r="BQ1884" s="0" t="s">
        <v>130</v>
      </c>
      <c r="BR1884" s="0" t="s">
        <v>130</v>
      </c>
      <c r="BS1884" s="0" t="s">
        <v>130</v>
      </c>
      <c r="BT1884" s="0" t="s">
        <v>130</v>
      </c>
      <c r="BU1884" s="0" t="s">
        <v>130</v>
      </c>
      <c r="BV1884" s="0" t="s">
        <v>130</v>
      </c>
      <c r="BW1884" s="0" t="s">
        <v>130</v>
      </c>
      <c r="BX1884" s="0" t="s">
        <v>130</v>
      </c>
      <c r="BY1884" s="0" t="s">
        <v>130</v>
      </c>
      <c r="BZ1884" s="0" t="s">
        <v>130</v>
      </c>
      <c r="CA1884" s="0" t="s">
        <v>130</v>
      </c>
      <c r="CB1884" s="0" t="s">
        <v>130</v>
      </c>
      <c r="CC1884" s="0" t="s">
        <v>130</v>
      </c>
      <c r="CD1884" s="0" t="s">
        <v>130</v>
      </c>
      <c r="CE1884" s="0" t="s">
        <v>130</v>
      </c>
      <c r="CF1884" s="0" t="s">
        <v>130</v>
      </c>
      <c r="CG1884" s="0" t="s">
        <v>130</v>
      </c>
      <c r="CH1884" s="0" t="s">
        <v>130</v>
      </c>
      <c r="CI1884" s="0" t="s">
        <v>130</v>
      </c>
      <c r="CJ1884" s="0" t="s">
        <v>130</v>
      </c>
      <c r="CK1884" s="0" t="s">
        <v>130</v>
      </c>
      <c r="CL1884" s="0" t="s">
        <v>130</v>
      </c>
      <c r="CM1884" s="0" t="s">
        <v>130</v>
      </c>
      <c r="CN1884" s="0" t="s">
        <v>130</v>
      </c>
      <c r="CO1884" s="0" t="s">
        <v>130</v>
      </c>
      <c r="CP1884" s="0" t="s">
        <v>130</v>
      </c>
      <c r="CQ1884" s="0" t="s">
        <v>130</v>
      </c>
      <c r="CR1884" s="0" t="s">
        <v>130</v>
      </c>
      <c r="CS1884" s="0" t="s">
        <v>130</v>
      </c>
      <c r="CT1884" s="0" t="s">
        <v>5337</v>
      </c>
    </row>
    <row r="1885">
      <c r="A1885" s="14">
        <v>11204665</v>
      </c>
      <c r="B1885" s="0" t="s">
        <v>3998</v>
      </c>
      <c r="C1885" s="16">
        <f>HYPERLINK("https://eosportal.federatedhermes.com/companies/Q29tcGFueQppNjQ2NDE=", "Brambles Ltd")</f>
      </c>
      <c r="D1885" s="0" t="s">
        <v>25</v>
      </c>
      <c r="E1885" s="0" t="s">
        <v>5338</v>
      </c>
      <c r="F1885" s="16">
        <f>HYPERLINK("https://eosportal.federatedhermes.com/engagements/RW5nYWdlbWVudAppMzEyMTk=", "Biodiversity strategy")</f>
      </c>
      <c r="G1885" s="14" t="s">
        <v>5339</v>
      </c>
      <c r="H1885" s="0" t="s">
        <v>130</v>
      </c>
      <c r="I1885" s="14" t="s">
        <v>319</v>
      </c>
      <c r="J1885" s="0" t="s">
        <v>197</v>
      </c>
      <c r="K1885" s="0" t="s">
        <v>337</v>
      </c>
      <c r="L1885" s="0" t="s">
        <v>576</v>
      </c>
      <c r="M1885" s="0" t="s">
        <v>371</v>
      </c>
      <c r="N1885" s="0" t="s">
        <v>372</v>
      </c>
      <c r="O1885" s="0" t="s">
        <v>176</v>
      </c>
      <c r="Q1885" s="0" t="s">
        <v>130</v>
      </c>
      <c r="R1885" s="0" t="s">
        <v>138</v>
      </c>
      <c r="S1885" s="14">
        <v>0</v>
      </c>
      <c r="T1885" s="0" t="s">
        <v>597</v>
      </c>
      <c r="U1885" s="0" t="s">
        <v>138</v>
      </c>
      <c r="V1885" s="14" t="s">
        <v>138</v>
      </c>
      <c r="W1885" s="0" t="s">
        <v>138</v>
      </c>
      <c r="X1885" s="14" t="s">
        <v>138</v>
      </c>
      <c r="Y1885" s="0" t="s">
        <v>138</v>
      </c>
      <c r="Z1885" s="14" t="s">
        <v>138</v>
      </c>
      <c r="AA1885" s="0" t="s">
        <v>138</v>
      </c>
      <c r="AB1885" s="14" t="s">
        <v>138</v>
      </c>
      <c r="AD1885" s="0" t="s">
        <v>138</v>
      </c>
      <c r="AF1885" s="0">
        <v>0</v>
      </c>
      <c r="AG1885" s="0">
        <v>0</v>
      </c>
      <c r="AH1885" s="0" t="s">
        <v>140</v>
      </c>
      <c r="AI1885" s="0" t="s">
        <v>138</v>
      </c>
      <c r="AL1885" s="14"/>
      <c r="AN1885" s="14"/>
      <c r="AQ1885" s="0" t="s">
        <v>130</v>
      </c>
      <c r="AR1885" s="0" t="s">
        <v>141</v>
      </c>
      <c r="AS1885" s="0" t="s">
        <v>130</v>
      </c>
      <c r="AT1885" s="0" t="s">
        <v>130</v>
      </c>
      <c r="AU1885" s="0" t="s">
        <v>130</v>
      </c>
      <c r="AV1885" s="0" t="s">
        <v>141</v>
      </c>
      <c r="AW1885" s="0" t="s">
        <v>130</v>
      </c>
      <c r="AX1885" s="0" t="s">
        <v>130</v>
      </c>
      <c r="AY1885" s="0" t="s">
        <v>130</v>
      </c>
      <c r="AZ1885" s="0" t="s">
        <v>130</v>
      </c>
      <c r="BA1885" s="0" t="s">
        <v>141</v>
      </c>
      <c r="BB1885" s="0" t="s">
        <v>141</v>
      </c>
      <c r="BC1885" s="0" t="s">
        <v>130</v>
      </c>
      <c r="BD1885" s="0" t="s">
        <v>141</v>
      </c>
      <c r="BE1885" s="0" t="s">
        <v>141</v>
      </c>
      <c r="BF1885" s="0" t="s">
        <v>130</v>
      </c>
      <c r="BG1885" s="0" t="s">
        <v>130</v>
      </c>
      <c r="BH1885" s="0" t="s">
        <v>130</v>
      </c>
      <c r="BI1885" s="0" t="s">
        <v>130</v>
      </c>
      <c r="BJ1885" s="0" t="s">
        <v>130</v>
      </c>
      <c r="BK1885" s="0" t="s">
        <v>130</v>
      </c>
      <c r="BL1885" s="0" t="s">
        <v>130</v>
      </c>
      <c r="BM1885" s="0" t="s">
        <v>130</v>
      </c>
      <c r="BN1885" s="0" t="s">
        <v>130</v>
      </c>
      <c r="BO1885" s="0" t="s">
        <v>130</v>
      </c>
      <c r="BP1885" s="0" t="s">
        <v>130</v>
      </c>
      <c r="BQ1885" s="0" t="s">
        <v>130</v>
      </c>
      <c r="BR1885" s="0" t="s">
        <v>130</v>
      </c>
      <c r="BS1885" s="0" t="s">
        <v>130</v>
      </c>
      <c r="BT1885" s="0" t="s">
        <v>130</v>
      </c>
      <c r="BU1885" s="0" t="s">
        <v>130</v>
      </c>
      <c r="BV1885" s="0" t="s">
        <v>130</v>
      </c>
      <c r="BW1885" s="0" t="s">
        <v>130</v>
      </c>
      <c r="BX1885" s="0" t="s">
        <v>130</v>
      </c>
      <c r="BY1885" s="0" t="s">
        <v>130</v>
      </c>
      <c r="BZ1885" s="0" t="s">
        <v>130</v>
      </c>
      <c r="CA1885" s="0" t="s">
        <v>130</v>
      </c>
      <c r="CB1885" s="0" t="s">
        <v>130</v>
      </c>
      <c r="CC1885" s="0" t="s">
        <v>130</v>
      </c>
      <c r="CD1885" s="0" t="s">
        <v>130</v>
      </c>
      <c r="CE1885" s="0" t="s">
        <v>130</v>
      </c>
      <c r="CF1885" s="0" t="s">
        <v>130</v>
      </c>
      <c r="CG1885" s="0" t="s">
        <v>130</v>
      </c>
      <c r="CH1885" s="0" t="s">
        <v>130</v>
      </c>
      <c r="CI1885" s="0" t="s">
        <v>130</v>
      </c>
      <c r="CJ1885" s="0" t="s">
        <v>130</v>
      </c>
      <c r="CK1885" s="0" t="s">
        <v>130</v>
      </c>
      <c r="CL1885" s="0" t="s">
        <v>130</v>
      </c>
      <c r="CM1885" s="0" t="s">
        <v>130</v>
      </c>
      <c r="CN1885" s="0" t="s">
        <v>130</v>
      </c>
      <c r="CO1885" s="0" t="s">
        <v>130</v>
      </c>
      <c r="CP1885" s="0" t="s">
        <v>130</v>
      </c>
      <c r="CQ1885" s="0" t="s">
        <v>130</v>
      </c>
      <c r="CR1885" s="0" t="s">
        <v>130</v>
      </c>
      <c r="CS1885" s="0" t="s">
        <v>130</v>
      </c>
      <c r="CT1885" s="0" t="s">
        <v>5340</v>
      </c>
    </row>
    <row r="1886">
      <c r="A1886" s="14">
        <v>28569160</v>
      </c>
      <c r="B1886" s="0" t="s">
        <v>4370</v>
      </c>
      <c r="C1886" s="16">
        <f>HYPERLINK("https://eosportal.federatedhermes.com/companies/Q29tcGFueQppNTg5NDE=", "Uber Technologies Inc")</f>
      </c>
      <c r="D1886" s="0" t="s">
        <v>25</v>
      </c>
      <c r="E1886" s="0" t="s">
        <v>5341</v>
      </c>
      <c r="F1886" s="16">
        <f>HYPERLINK("https://eosportal.federatedhermes.com/engagements/RW5nYWdlbWVudAppMzEyMjE=", "Training and socioeconomic mobility metrics")</f>
      </c>
      <c r="G1886" s="14" t="s">
        <v>5342</v>
      </c>
      <c r="H1886" s="0" t="s">
        <v>141</v>
      </c>
      <c r="I1886" s="14" t="s">
        <v>131</v>
      </c>
      <c r="J1886" s="0" t="s">
        <v>153</v>
      </c>
      <c r="K1886" s="0" t="s">
        <v>154</v>
      </c>
      <c r="L1886" s="0" t="s">
        <v>268</v>
      </c>
      <c r="M1886" s="0" t="s">
        <v>135</v>
      </c>
      <c r="N1886" s="0" t="s">
        <v>136</v>
      </c>
      <c r="O1886" s="0" t="s">
        <v>425</v>
      </c>
      <c r="Q1886" s="0" t="s">
        <v>130</v>
      </c>
      <c r="R1886" s="0" t="s">
        <v>138</v>
      </c>
      <c r="S1886" s="14">
        <v>0</v>
      </c>
      <c r="T1886" s="0" t="s">
        <v>2270</v>
      </c>
      <c r="U1886" s="0" t="s">
        <v>138</v>
      </c>
      <c r="V1886" s="14" t="s">
        <v>138</v>
      </c>
      <c r="W1886" s="0" t="s">
        <v>138</v>
      </c>
      <c r="X1886" s="14" t="s">
        <v>138</v>
      </c>
      <c r="Y1886" s="0" t="s">
        <v>138</v>
      </c>
      <c r="Z1886" s="14" t="s">
        <v>138</v>
      </c>
      <c r="AA1886" s="0" t="s">
        <v>138</v>
      </c>
      <c r="AB1886" s="14" t="s">
        <v>138</v>
      </c>
      <c r="AD1886" s="0" t="s">
        <v>138</v>
      </c>
      <c r="AF1886" s="0">
        <v>0</v>
      </c>
      <c r="AG1886" s="0">
        <v>0</v>
      </c>
      <c r="AH1886" s="0" t="s">
        <v>140</v>
      </c>
      <c r="AI1886" s="0" t="s">
        <v>138</v>
      </c>
      <c r="AL1886" s="14"/>
      <c r="AN1886" s="14"/>
      <c r="AQ1886" s="0" t="s">
        <v>130</v>
      </c>
      <c r="AR1886" s="0" t="s">
        <v>130</v>
      </c>
      <c r="AS1886" s="0" t="s">
        <v>130</v>
      </c>
      <c r="AT1886" s="0" t="s">
        <v>141</v>
      </c>
      <c r="AU1886" s="0" t="s">
        <v>130</v>
      </c>
      <c r="AV1886" s="0" t="s">
        <v>130</v>
      </c>
      <c r="AW1886" s="0" t="s">
        <v>130</v>
      </c>
      <c r="AX1886" s="0" t="s">
        <v>130</v>
      </c>
      <c r="AY1886" s="0" t="s">
        <v>130</v>
      </c>
      <c r="AZ1886" s="0" t="s">
        <v>130</v>
      </c>
      <c r="BA1886" s="0" t="s">
        <v>130</v>
      </c>
      <c r="BB1886" s="0" t="s">
        <v>130</v>
      </c>
      <c r="BC1886" s="0" t="s">
        <v>130</v>
      </c>
      <c r="BD1886" s="0" t="s">
        <v>130</v>
      </c>
      <c r="BE1886" s="0" t="s">
        <v>130</v>
      </c>
      <c r="BF1886" s="0" t="s">
        <v>130</v>
      </c>
      <c r="BG1886" s="0" t="s">
        <v>130</v>
      </c>
      <c r="BH1886" s="0" t="s">
        <v>130</v>
      </c>
      <c r="BI1886" s="0" t="s">
        <v>130</v>
      </c>
      <c r="BJ1886" s="0" t="s">
        <v>130</v>
      </c>
      <c r="BK1886" s="0" t="s">
        <v>130</v>
      </c>
      <c r="BL1886" s="0" t="s">
        <v>130</v>
      </c>
      <c r="BM1886" s="0" t="s">
        <v>130</v>
      </c>
      <c r="BN1886" s="0" t="s">
        <v>130</v>
      </c>
      <c r="BO1886" s="0" t="s">
        <v>130</v>
      </c>
      <c r="BP1886" s="0" t="s">
        <v>130</v>
      </c>
      <c r="BQ1886" s="0" t="s">
        <v>130</v>
      </c>
      <c r="BR1886" s="0" t="s">
        <v>130</v>
      </c>
      <c r="BS1886" s="0" t="s">
        <v>130</v>
      </c>
      <c r="BT1886" s="0" t="s">
        <v>130</v>
      </c>
      <c r="BU1886" s="0" t="s">
        <v>130</v>
      </c>
      <c r="BV1886" s="0" t="s">
        <v>130</v>
      </c>
      <c r="BW1886" s="0" t="s">
        <v>130</v>
      </c>
      <c r="BX1886" s="0" t="s">
        <v>130</v>
      </c>
      <c r="BY1886" s="0" t="s">
        <v>130</v>
      </c>
      <c r="BZ1886" s="0" t="s">
        <v>130</v>
      </c>
      <c r="CA1886" s="0" t="s">
        <v>130</v>
      </c>
      <c r="CB1886" s="0" t="s">
        <v>130</v>
      </c>
      <c r="CC1886" s="0" t="s">
        <v>130</v>
      </c>
      <c r="CD1886" s="0" t="s">
        <v>130</v>
      </c>
      <c r="CE1886" s="0" t="s">
        <v>130</v>
      </c>
      <c r="CF1886" s="0" t="s">
        <v>130</v>
      </c>
      <c r="CG1886" s="0" t="s">
        <v>130</v>
      </c>
      <c r="CH1886" s="0" t="s">
        <v>130</v>
      </c>
      <c r="CI1886" s="0" t="s">
        <v>130</v>
      </c>
      <c r="CJ1886" s="0" t="s">
        <v>130</v>
      </c>
      <c r="CK1886" s="0" t="s">
        <v>141</v>
      </c>
      <c r="CL1886" s="0" t="s">
        <v>130</v>
      </c>
      <c r="CM1886" s="0" t="s">
        <v>130</v>
      </c>
      <c r="CN1886" s="0" t="s">
        <v>130</v>
      </c>
      <c r="CO1886" s="0" t="s">
        <v>130</v>
      </c>
      <c r="CP1886" s="0" t="s">
        <v>130</v>
      </c>
      <c r="CQ1886" s="0" t="s">
        <v>130</v>
      </c>
      <c r="CR1886" s="0" t="s">
        <v>130</v>
      </c>
      <c r="CS1886" s="0" t="s">
        <v>130</v>
      </c>
      <c r="CT1886" s="0" t="s">
        <v>5343</v>
      </c>
    </row>
    <row r="1887">
      <c r="A1887" s="14">
        <v>100995</v>
      </c>
      <c r="B1887" s="0" t="s">
        <v>1122</v>
      </c>
      <c r="C1887" s="16">
        <f>HYPERLINK("https://eosportal.federatedhermes.com/companies/Q29tcGFueQppNDQ3Mjc=", "Micron Technology Inc")</f>
      </c>
      <c r="D1887" s="0" t="s">
        <v>23</v>
      </c>
      <c r="E1887" s="0" t="s">
        <v>628</v>
      </c>
      <c r="F1887" s="16">
        <f>HYPERLINK("https://eosportal.federatedhermes.com/engagements/RW5nYWdlbWVudAppMzEyMjM=", "Talent management strategy focused on Workforce")</f>
      </c>
      <c r="G1887" s="14" t="s">
        <v>5344</v>
      </c>
      <c r="H1887" s="0" t="s">
        <v>141</v>
      </c>
      <c r="I1887" s="14" t="s">
        <v>191</v>
      </c>
      <c r="J1887" s="0" t="s">
        <v>153</v>
      </c>
      <c r="K1887" s="0" t="s">
        <v>154</v>
      </c>
      <c r="L1887" s="0" t="s">
        <v>268</v>
      </c>
      <c r="M1887" s="0" t="s">
        <v>135</v>
      </c>
      <c r="N1887" s="0" t="s">
        <v>136</v>
      </c>
      <c r="O1887" s="0" t="s">
        <v>1125</v>
      </c>
      <c r="Q1887" s="0" t="s">
        <v>130</v>
      </c>
      <c r="R1887" s="0" t="s">
        <v>130</v>
      </c>
      <c r="S1887" s="14">
        <v>0</v>
      </c>
      <c r="T1887" s="0" t="s">
        <v>597</v>
      </c>
      <c r="U1887" s="0" t="s">
        <v>221</v>
      </c>
      <c r="V1887" s="14" t="s">
        <v>597</v>
      </c>
      <c r="W1887" s="0" t="s">
        <v>221</v>
      </c>
      <c r="X1887" s="14" t="s">
        <v>597</v>
      </c>
      <c r="Y1887" s="0" t="s">
        <v>221</v>
      </c>
      <c r="Z1887" s="14" t="s">
        <v>360</v>
      </c>
      <c r="AA1887" s="0" t="s">
        <v>223</v>
      </c>
      <c r="AB1887" s="14" t="s">
        <v>138</v>
      </c>
      <c r="AD1887" s="0" t="s">
        <v>20</v>
      </c>
      <c r="AF1887" s="0">
        <v>0</v>
      </c>
      <c r="AG1887" s="0">
        <v>0</v>
      </c>
      <c r="AH1887" s="0" t="s">
        <v>140</v>
      </c>
      <c r="AI1887" s="0" t="s">
        <v>479</v>
      </c>
      <c r="AL1887" s="14"/>
      <c r="AN1887" s="14"/>
      <c r="AQ1887" s="0" t="s">
        <v>130</v>
      </c>
      <c r="AR1887" s="0" t="s">
        <v>130</v>
      </c>
      <c r="AS1887" s="0" t="s">
        <v>130</v>
      </c>
      <c r="AT1887" s="0" t="s">
        <v>130</v>
      </c>
      <c r="AU1887" s="0" t="s">
        <v>130</v>
      </c>
      <c r="AV1887" s="0" t="s">
        <v>130</v>
      </c>
      <c r="AW1887" s="0" t="s">
        <v>130</v>
      </c>
      <c r="AX1887" s="0" t="s">
        <v>130</v>
      </c>
      <c r="AY1887" s="0" t="s">
        <v>130</v>
      </c>
      <c r="AZ1887" s="0" t="s">
        <v>130</v>
      </c>
      <c r="BA1887" s="0" t="s">
        <v>130</v>
      </c>
      <c r="BB1887" s="0" t="s">
        <v>130</v>
      </c>
      <c r="BC1887" s="0" t="s">
        <v>130</v>
      </c>
      <c r="BD1887" s="0" t="s">
        <v>130</v>
      </c>
      <c r="BE1887" s="0" t="s">
        <v>130</v>
      </c>
      <c r="BF1887" s="0" t="s">
        <v>130</v>
      </c>
      <c r="BG1887" s="0" t="s">
        <v>130</v>
      </c>
      <c r="BH1887" s="0" t="s">
        <v>130</v>
      </c>
      <c r="BI1887" s="0" t="s">
        <v>130</v>
      </c>
      <c r="BJ1887" s="0" t="s">
        <v>130</v>
      </c>
      <c r="BK1887" s="0" t="s">
        <v>130</v>
      </c>
      <c r="BL1887" s="0" t="s">
        <v>130</v>
      </c>
      <c r="BM1887" s="0" t="s">
        <v>130</v>
      </c>
      <c r="BN1887" s="0" t="s">
        <v>130</v>
      </c>
      <c r="BO1887" s="0" t="s">
        <v>130</v>
      </c>
      <c r="BP1887" s="0" t="s">
        <v>130</v>
      </c>
      <c r="BQ1887" s="0" t="s">
        <v>130</v>
      </c>
      <c r="BR1887" s="0" t="s">
        <v>130</v>
      </c>
      <c r="BS1887" s="0" t="s">
        <v>130</v>
      </c>
      <c r="BT1887" s="0" t="s">
        <v>130</v>
      </c>
      <c r="BU1887" s="0" t="s">
        <v>130</v>
      </c>
      <c r="BV1887" s="0" t="s">
        <v>130</v>
      </c>
      <c r="BW1887" s="0" t="s">
        <v>130</v>
      </c>
      <c r="BX1887" s="0" t="s">
        <v>130</v>
      </c>
      <c r="BY1887" s="0" t="s">
        <v>130</v>
      </c>
      <c r="BZ1887" s="0" t="s">
        <v>130</v>
      </c>
      <c r="CA1887" s="0" t="s">
        <v>130</v>
      </c>
      <c r="CB1887" s="0" t="s">
        <v>130</v>
      </c>
      <c r="CC1887" s="0" t="s">
        <v>130</v>
      </c>
      <c r="CD1887" s="0" t="s">
        <v>130</v>
      </c>
      <c r="CE1887" s="0" t="s">
        <v>130</v>
      </c>
      <c r="CF1887" s="0" t="s">
        <v>130</v>
      </c>
      <c r="CG1887" s="0" t="s">
        <v>130</v>
      </c>
      <c r="CH1887" s="0" t="s">
        <v>130</v>
      </c>
      <c r="CI1887" s="0" t="s">
        <v>130</v>
      </c>
      <c r="CJ1887" s="0" t="s">
        <v>130</v>
      </c>
      <c r="CK1887" s="0" t="s">
        <v>141</v>
      </c>
      <c r="CL1887" s="0" t="s">
        <v>130</v>
      </c>
      <c r="CM1887" s="0" t="s">
        <v>130</v>
      </c>
      <c r="CN1887" s="0" t="s">
        <v>130</v>
      </c>
      <c r="CO1887" s="0" t="s">
        <v>130</v>
      </c>
      <c r="CP1887" s="0" t="s">
        <v>130</v>
      </c>
      <c r="CQ1887" s="0" t="s">
        <v>130</v>
      </c>
      <c r="CR1887" s="0" t="s">
        <v>130</v>
      </c>
      <c r="CS1887" s="0" t="s">
        <v>130</v>
      </c>
      <c r="CT1887" s="0" t="s">
        <v>5345</v>
      </c>
    </row>
    <row r="1888">
      <c r="A1888" s="14">
        <v>100995</v>
      </c>
      <c r="B1888" s="0" t="s">
        <v>1122</v>
      </c>
      <c r="C1888" s="16">
        <f>HYPERLINK("https://eosportal.federatedhermes.com/companies/Q29tcGFueQppNDQ3Mjc=", "Micron Technology Inc")</f>
      </c>
      <c r="D1888" s="0" t="s">
        <v>23</v>
      </c>
      <c r="E1888" s="0" t="s">
        <v>228</v>
      </c>
      <c r="F1888" s="16">
        <f>HYPERLINK("https://eosportal.federatedhermes.com/engagements/RW5nYWdlbWVudAppMzEyMjQ=", "Climate strategy")</f>
      </c>
      <c r="G1888" s="14" t="s">
        <v>5346</v>
      </c>
      <c r="H1888" s="0" t="s">
        <v>141</v>
      </c>
      <c r="I1888" s="14" t="s">
        <v>191</v>
      </c>
      <c r="J1888" s="0" t="s">
        <v>197</v>
      </c>
      <c r="K1888" s="0" t="s">
        <v>198</v>
      </c>
      <c r="L1888" s="0" t="s">
        <v>220</v>
      </c>
      <c r="M1888" s="0" t="s">
        <v>135</v>
      </c>
      <c r="N1888" s="0" t="s">
        <v>136</v>
      </c>
      <c r="O1888" s="0" t="s">
        <v>1125</v>
      </c>
      <c r="Q1888" s="0" t="s">
        <v>130</v>
      </c>
      <c r="R1888" s="0" t="s">
        <v>130</v>
      </c>
      <c r="S1888" s="14">
        <v>0</v>
      </c>
      <c r="T1888" s="0" t="s">
        <v>597</v>
      </c>
      <c r="U1888" s="0" t="s">
        <v>221</v>
      </c>
      <c r="V1888" s="14" t="s">
        <v>597</v>
      </c>
      <c r="W1888" s="0" t="s">
        <v>221</v>
      </c>
      <c r="X1888" s="14" t="s">
        <v>597</v>
      </c>
      <c r="Y1888" s="0" t="s">
        <v>221</v>
      </c>
      <c r="Z1888" s="14" t="s">
        <v>2629</v>
      </c>
      <c r="AA1888" s="0" t="s">
        <v>223</v>
      </c>
      <c r="AB1888" s="14" t="s">
        <v>138</v>
      </c>
      <c r="AD1888" s="0" t="s">
        <v>20</v>
      </c>
      <c r="AF1888" s="0">
        <v>0</v>
      </c>
      <c r="AG1888" s="0">
        <v>0</v>
      </c>
      <c r="AH1888" s="0" t="s">
        <v>140</v>
      </c>
      <c r="AI1888" s="0" t="s">
        <v>479</v>
      </c>
      <c r="AL1888" s="14"/>
      <c r="AN1888" s="14"/>
      <c r="AQ1888" s="0" t="s">
        <v>130</v>
      </c>
      <c r="AR1888" s="0" t="s">
        <v>130</v>
      </c>
      <c r="AS1888" s="0" t="s">
        <v>130</v>
      </c>
      <c r="AT1888" s="0" t="s">
        <v>130</v>
      </c>
      <c r="AU1888" s="0" t="s">
        <v>130</v>
      </c>
      <c r="AV1888" s="0" t="s">
        <v>130</v>
      </c>
      <c r="AW1888" s="0" t="s">
        <v>141</v>
      </c>
      <c r="AX1888" s="0" t="s">
        <v>130</v>
      </c>
      <c r="AY1888" s="0" t="s">
        <v>141</v>
      </c>
      <c r="AZ1888" s="0" t="s">
        <v>130</v>
      </c>
      <c r="BA1888" s="0" t="s">
        <v>130</v>
      </c>
      <c r="BB1888" s="0" t="s">
        <v>130</v>
      </c>
      <c r="BC1888" s="0" t="s">
        <v>141</v>
      </c>
      <c r="BD1888" s="0" t="s">
        <v>130</v>
      </c>
      <c r="BE1888" s="0" t="s">
        <v>130</v>
      </c>
      <c r="BF1888" s="0" t="s">
        <v>130</v>
      </c>
      <c r="BG1888" s="0" t="s">
        <v>130</v>
      </c>
      <c r="BH1888" s="0" t="s">
        <v>141</v>
      </c>
      <c r="BI1888" s="0" t="s">
        <v>141</v>
      </c>
      <c r="BJ1888" s="0" t="s">
        <v>141</v>
      </c>
      <c r="BK1888" s="0" t="s">
        <v>130</v>
      </c>
      <c r="BL1888" s="0" t="s">
        <v>130</v>
      </c>
      <c r="BM1888" s="0" t="s">
        <v>130</v>
      </c>
      <c r="BN1888" s="0" t="s">
        <v>130</v>
      </c>
      <c r="BO1888" s="0" t="s">
        <v>130</v>
      </c>
      <c r="BP1888" s="0" t="s">
        <v>130</v>
      </c>
      <c r="BQ1888" s="0" t="s">
        <v>130</v>
      </c>
      <c r="BR1888" s="0" t="s">
        <v>130</v>
      </c>
      <c r="BS1888" s="0" t="s">
        <v>130</v>
      </c>
      <c r="BT1888" s="0" t="s">
        <v>130</v>
      </c>
      <c r="BU1888" s="0" t="s">
        <v>130</v>
      </c>
      <c r="BV1888" s="0" t="s">
        <v>141</v>
      </c>
      <c r="BW1888" s="0" t="s">
        <v>141</v>
      </c>
      <c r="BX1888" s="0" t="s">
        <v>130</v>
      </c>
      <c r="BY1888" s="0" t="s">
        <v>130</v>
      </c>
      <c r="BZ1888" s="0" t="s">
        <v>130</v>
      </c>
      <c r="CA1888" s="0" t="s">
        <v>130</v>
      </c>
      <c r="CB1888" s="0" t="s">
        <v>130</v>
      </c>
      <c r="CC1888" s="0" t="s">
        <v>130</v>
      </c>
      <c r="CD1888" s="0" t="s">
        <v>130</v>
      </c>
      <c r="CE1888" s="0" t="s">
        <v>130</v>
      </c>
      <c r="CF1888" s="0" t="s">
        <v>130</v>
      </c>
      <c r="CG1888" s="0" t="s">
        <v>130</v>
      </c>
      <c r="CH1888" s="0" t="s">
        <v>130</v>
      </c>
      <c r="CI1888" s="0" t="s">
        <v>130</v>
      </c>
      <c r="CJ1888" s="0" t="s">
        <v>130</v>
      </c>
      <c r="CK1888" s="0" t="s">
        <v>130</v>
      </c>
      <c r="CL1888" s="0" t="s">
        <v>130</v>
      </c>
      <c r="CM1888" s="0" t="s">
        <v>130</v>
      </c>
      <c r="CN1888" s="0" t="s">
        <v>130</v>
      </c>
      <c r="CO1888" s="0" t="s">
        <v>130</v>
      </c>
      <c r="CP1888" s="0" t="s">
        <v>130</v>
      </c>
      <c r="CQ1888" s="0" t="s">
        <v>130</v>
      </c>
      <c r="CR1888" s="0" t="s">
        <v>130</v>
      </c>
      <c r="CS1888" s="0" t="s">
        <v>130</v>
      </c>
      <c r="CT1888" s="0" t="s">
        <v>5347</v>
      </c>
    </row>
    <row r="1889">
      <c r="A1889" s="14">
        <v>101215</v>
      </c>
      <c r="B1889" s="0" t="s">
        <v>1464</v>
      </c>
      <c r="C1889" s="16">
        <f>HYPERLINK("https://eosportal.federatedhermes.com/companies/Q29tcGFueQppNTIxNzY=", "Procter &amp; Gamble Co/The")</f>
      </c>
      <c r="D1889" s="0" t="s">
        <v>23</v>
      </c>
      <c r="E1889" s="0" t="s">
        <v>228</v>
      </c>
      <c r="F1889" s="16">
        <f>HYPERLINK("https://eosportal.federatedhermes.com/engagements/RW5nYWdlbWVudAppMzEyMjU=", "Climate strategy")</f>
      </c>
      <c r="G1889" s="14" t="s">
        <v>477</v>
      </c>
      <c r="H1889" s="0" t="s">
        <v>141</v>
      </c>
      <c r="I1889" s="14" t="s">
        <v>191</v>
      </c>
      <c r="J1889" s="0" t="s">
        <v>197</v>
      </c>
      <c r="K1889" s="0" t="s">
        <v>198</v>
      </c>
      <c r="L1889" s="0" t="s">
        <v>220</v>
      </c>
      <c r="M1889" s="0" t="s">
        <v>135</v>
      </c>
      <c r="N1889" s="0" t="s">
        <v>136</v>
      </c>
      <c r="O1889" s="0" t="s">
        <v>332</v>
      </c>
      <c r="Q1889" s="0" t="s">
        <v>130</v>
      </c>
      <c r="R1889" s="0" t="s">
        <v>130</v>
      </c>
      <c r="S1889" s="14">
        <v>0</v>
      </c>
      <c r="T1889" s="0" t="s">
        <v>597</v>
      </c>
      <c r="U1889" s="0" t="s">
        <v>221</v>
      </c>
      <c r="V1889" s="14" t="s">
        <v>597</v>
      </c>
      <c r="W1889" s="0" t="s">
        <v>221</v>
      </c>
      <c r="X1889" s="14" t="s">
        <v>597</v>
      </c>
      <c r="Y1889" s="0" t="s">
        <v>223</v>
      </c>
      <c r="Z1889" s="14" t="s">
        <v>138</v>
      </c>
      <c r="AA1889" s="0" t="s">
        <v>224</v>
      </c>
      <c r="AB1889" s="14" t="s">
        <v>138</v>
      </c>
      <c r="AD1889" s="0" t="s">
        <v>17</v>
      </c>
      <c r="AF1889" s="0">
        <v>0</v>
      </c>
      <c r="AG1889" s="0">
        <v>0</v>
      </c>
      <c r="AH1889" s="0" t="s">
        <v>140</v>
      </c>
      <c r="AI1889" s="0" t="s">
        <v>479</v>
      </c>
      <c r="AL1889" s="14"/>
      <c r="AN1889" s="14"/>
      <c r="AQ1889" s="0" t="s">
        <v>130</v>
      </c>
      <c r="AR1889" s="0" t="s">
        <v>130</v>
      </c>
      <c r="AS1889" s="0" t="s">
        <v>130</v>
      </c>
      <c r="AT1889" s="0" t="s">
        <v>130</v>
      </c>
      <c r="AU1889" s="0" t="s">
        <v>130</v>
      </c>
      <c r="AV1889" s="0" t="s">
        <v>130</v>
      </c>
      <c r="AW1889" s="0" t="s">
        <v>141</v>
      </c>
      <c r="AX1889" s="0" t="s">
        <v>130</v>
      </c>
      <c r="AY1889" s="0" t="s">
        <v>141</v>
      </c>
      <c r="AZ1889" s="0" t="s">
        <v>130</v>
      </c>
      <c r="BA1889" s="0" t="s">
        <v>130</v>
      </c>
      <c r="BB1889" s="0" t="s">
        <v>130</v>
      </c>
      <c r="BC1889" s="0" t="s">
        <v>141</v>
      </c>
      <c r="BD1889" s="0" t="s">
        <v>130</v>
      </c>
      <c r="BE1889" s="0" t="s">
        <v>130</v>
      </c>
      <c r="BF1889" s="0" t="s">
        <v>130</v>
      </c>
      <c r="BG1889" s="0" t="s">
        <v>130</v>
      </c>
      <c r="BH1889" s="0" t="s">
        <v>141</v>
      </c>
      <c r="BI1889" s="0" t="s">
        <v>141</v>
      </c>
      <c r="BJ1889" s="0" t="s">
        <v>141</v>
      </c>
      <c r="BK1889" s="0" t="s">
        <v>130</v>
      </c>
      <c r="BL1889" s="0" t="s">
        <v>130</v>
      </c>
      <c r="BM1889" s="0" t="s">
        <v>130</v>
      </c>
      <c r="BN1889" s="0" t="s">
        <v>130</v>
      </c>
      <c r="BO1889" s="0" t="s">
        <v>130</v>
      </c>
      <c r="BP1889" s="0" t="s">
        <v>130</v>
      </c>
      <c r="BQ1889" s="0" t="s">
        <v>130</v>
      </c>
      <c r="BR1889" s="0" t="s">
        <v>130</v>
      </c>
      <c r="BS1889" s="0" t="s">
        <v>130</v>
      </c>
      <c r="BT1889" s="0" t="s">
        <v>130</v>
      </c>
      <c r="BU1889" s="0" t="s">
        <v>130</v>
      </c>
      <c r="BV1889" s="0" t="s">
        <v>141</v>
      </c>
      <c r="BW1889" s="0" t="s">
        <v>141</v>
      </c>
      <c r="BX1889" s="0" t="s">
        <v>130</v>
      </c>
      <c r="BY1889" s="0" t="s">
        <v>130</v>
      </c>
      <c r="BZ1889" s="0" t="s">
        <v>130</v>
      </c>
      <c r="CA1889" s="0" t="s">
        <v>130</v>
      </c>
      <c r="CB1889" s="0" t="s">
        <v>130</v>
      </c>
      <c r="CC1889" s="0" t="s">
        <v>130</v>
      </c>
      <c r="CD1889" s="0" t="s">
        <v>130</v>
      </c>
      <c r="CE1889" s="0" t="s">
        <v>130</v>
      </c>
      <c r="CF1889" s="0" t="s">
        <v>130</v>
      </c>
      <c r="CG1889" s="0" t="s">
        <v>130</v>
      </c>
      <c r="CH1889" s="0" t="s">
        <v>130</v>
      </c>
      <c r="CI1889" s="0" t="s">
        <v>130</v>
      </c>
      <c r="CJ1889" s="0" t="s">
        <v>130</v>
      </c>
      <c r="CK1889" s="0" t="s">
        <v>130</v>
      </c>
      <c r="CL1889" s="0" t="s">
        <v>130</v>
      </c>
      <c r="CM1889" s="0" t="s">
        <v>130</v>
      </c>
      <c r="CN1889" s="0" t="s">
        <v>130</v>
      </c>
      <c r="CO1889" s="0" t="s">
        <v>130</v>
      </c>
      <c r="CP1889" s="0" t="s">
        <v>130</v>
      </c>
      <c r="CQ1889" s="0" t="s">
        <v>130</v>
      </c>
      <c r="CR1889" s="0" t="s">
        <v>130</v>
      </c>
      <c r="CS1889" s="0" t="s">
        <v>130</v>
      </c>
      <c r="CT1889" s="0" t="s">
        <v>5348</v>
      </c>
    </row>
    <row r="1890">
      <c r="A1890" s="14">
        <v>107032</v>
      </c>
      <c r="B1890" s="0" t="s">
        <v>2117</v>
      </c>
      <c r="C1890" s="16">
        <f>HYPERLINK("https://eosportal.federatedhermes.com/companies/Q29tcGFueQppNDM5MjE=", "State Street Corp")</f>
      </c>
      <c r="D1890" s="0" t="s">
        <v>23</v>
      </c>
      <c r="E1890" s="0" t="s">
        <v>228</v>
      </c>
      <c r="F1890" s="16">
        <f>HYPERLINK("https://eosportal.federatedhermes.com/engagements/RW5nYWdlbWVudAppMzEyMjg=", "Climate strategy")</f>
      </c>
      <c r="G1890" s="14" t="s">
        <v>477</v>
      </c>
      <c r="H1890" s="0" t="s">
        <v>130</v>
      </c>
      <c r="I1890" s="14" t="s">
        <v>319</v>
      </c>
      <c r="J1890" s="0" t="s">
        <v>197</v>
      </c>
      <c r="K1890" s="0" t="s">
        <v>198</v>
      </c>
      <c r="L1890" s="0" t="s">
        <v>220</v>
      </c>
      <c r="M1890" s="0" t="s">
        <v>135</v>
      </c>
      <c r="N1890" s="0" t="s">
        <v>136</v>
      </c>
      <c r="O1890" s="0" t="s">
        <v>238</v>
      </c>
      <c r="Q1890" s="0" t="s">
        <v>141</v>
      </c>
      <c r="R1890" s="0" t="s">
        <v>130</v>
      </c>
      <c r="S1890" s="14">
        <v>1</v>
      </c>
      <c r="T1890" s="0" t="s">
        <v>597</v>
      </c>
      <c r="U1890" s="0" t="s">
        <v>221</v>
      </c>
      <c r="V1890" s="14" t="s">
        <v>597</v>
      </c>
      <c r="W1890" s="0" t="s">
        <v>221</v>
      </c>
      <c r="X1890" s="14" t="s">
        <v>597</v>
      </c>
      <c r="Y1890" s="0" t="s">
        <v>223</v>
      </c>
      <c r="Z1890" s="14" t="s">
        <v>138</v>
      </c>
      <c r="AA1890" s="0" t="s">
        <v>224</v>
      </c>
      <c r="AB1890" s="14" t="s">
        <v>138</v>
      </c>
      <c r="AD1890" s="0" t="s">
        <v>17</v>
      </c>
      <c r="AF1890" s="0">
        <v>0</v>
      </c>
      <c r="AG1890" s="0">
        <v>0</v>
      </c>
      <c r="AH1890" s="0" t="s">
        <v>140</v>
      </c>
      <c r="AI1890" s="0" t="s">
        <v>479</v>
      </c>
      <c r="AK1890" s="0" t="s">
        <v>1668</v>
      </c>
      <c r="AL1890" s="14"/>
      <c r="AN1890" s="14"/>
      <c r="AQ1890" s="0" t="s">
        <v>130</v>
      </c>
      <c r="AR1890" s="0" t="s">
        <v>130</v>
      </c>
      <c r="AS1890" s="0" t="s">
        <v>130</v>
      </c>
      <c r="AT1890" s="0" t="s">
        <v>130</v>
      </c>
      <c r="AU1890" s="0" t="s">
        <v>130</v>
      </c>
      <c r="AV1890" s="0" t="s">
        <v>130</v>
      </c>
      <c r="AW1890" s="0" t="s">
        <v>141</v>
      </c>
      <c r="AX1890" s="0" t="s">
        <v>130</v>
      </c>
      <c r="AY1890" s="0" t="s">
        <v>141</v>
      </c>
      <c r="AZ1890" s="0" t="s">
        <v>130</v>
      </c>
      <c r="BA1890" s="0" t="s">
        <v>130</v>
      </c>
      <c r="BB1890" s="0" t="s">
        <v>130</v>
      </c>
      <c r="BC1890" s="0" t="s">
        <v>141</v>
      </c>
      <c r="BD1890" s="0" t="s">
        <v>130</v>
      </c>
      <c r="BE1890" s="0" t="s">
        <v>130</v>
      </c>
      <c r="BF1890" s="0" t="s">
        <v>130</v>
      </c>
      <c r="BG1890" s="0" t="s">
        <v>130</v>
      </c>
      <c r="BH1890" s="0" t="s">
        <v>141</v>
      </c>
      <c r="BI1890" s="0" t="s">
        <v>141</v>
      </c>
      <c r="BJ1890" s="0" t="s">
        <v>141</v>
      </c>
      <c r="BK1890" s="0" t="s">
        <v>130</v>
      </c>
      <c r="BL1890" s="0" t="s">
        <v>130</v>
      </c>
      <c r="BM1890" s="0" t="s">
        <v>130</v>
      </c>
      <c r="BN1890" s="0" t="s">
        <v>130</v>
      </c>
      <c r="BO1890" s="0" t="s">
        <v>130</v>
      </c>
      <c r="BP1890" s="0" t="s">
        <v>130</v>
      </c>
      <c r="BQ1890" s="0" t="s">
        <v>130</v>
      </c>
      <c r="BR1890" s="0" t="s">
        <v>130</v>
      </c>
      <c r="BS1890" s="0" t="s">
        <v>130</v>
      </c>
      <c r="BT1890" s="0" t="s">
        <v>130</v>
      </c>
      <c r="BU1890" s="0" t="s">
        <v>130</v>
      </c>
      <c r="BV1890" s="0" t="s">
        <v>141</v>
      </c>
      <c r="BW1890" s="0" t="s">
        <v>141</v>
      </c>
      <c r="BX1890" s="0" t="s">
        <v>130</v>
      </c>
      <c r="BY1890" s="0" t="s">
        <v>130</v>
      </c>
      <c r="BZ1890" s="0" t="s">
        <v>130</v>
      </c>
      <c r="CA1890" s="0" t="s">
        <v>130</v>
      </c>
      <c r="CB1890" s="0" t="s">
        <v>130</v>
      </c>
      <c r="CC1890" s="0" t="s">
        <v>130</v>
      </c>
      <c r="CD1890" s="0" t="s">
        <v>130</v>
      </c>
      <c r="CE1890" s="0" t="s">
        <v>130</v>
      </c>
      <c r="CF1890" s="0" t="s">
        <v>130</v>
      </c>
      <c r="CG1890" s="0" t="s">
        <v>130</v>
      </c>
      <c r="CH1890" s="0" t="s">
        <v>130</v>
      </c>
      <c r="CI1890" s="0" t="s">
        <v>130</v>
      </c>
      <c r="CJ1890" s="0" t="s">
        <v>130</v>
      </c>
      <c r="CK1890" s="0" t="s">
        <v>130</v>
      </c>
      <c r="CL1890" s="0" t="s">
        <v>130</v>
      </c>
      <c r="CM1890" s="0" t="s">
        <v>130</v>
      </c>
      <c r="CN1890" s="0" t="s">
        <v>130</v>
      </c>
      <c r="CO1890" s="0" t="s">
        <v>130</v>
      </c>
      <c r="CP1890" s="0" t="s">
        <v>130</v>
      </c>
      <c r="CQ1890" s="0" t="s">
        <v>130</v>
      </c>
      <c r="CR1890" s="0" t="s">
        <v>130</v>
      </c>
      <c r="CS1890" s="0" t="s">
        <v>130</v>
      </c>
      <c r="CT1890" s="0" t="s">
        <v>5349</v>
      </c>
    </row>
    <row r="1891">
      <c r="A1891" s="14">
        <v>107032</v>
      </c>
      <c r="B1891" s="0" t="s">
        <v>2117</v>
      </c>
      <c r="C1891" s="16">
        <f>HYPERLINK("https://eosportal.federatedhermes.com/companies/Q29tcGFueQppNDM5MjE=", "State Street Corp")</f>
      </c>
      <c r="D1891" s="0" t="s">
        <v>23</v>
      </c>
      <c r="E1891" s="0" t="s">
        <v>228</v>
      </c>
      <c r="F1891" s="16">
        <f>HYPERLINK("https://eosportal.federatedhermes.com/engagements/RW5nYWdlbWVudAppMzEyMjk=", "Climate strategy")</f>
      </c>
      <c r="G1891" s="14" t="s">
        <v>1264</v>
      </c>
      <c r="H1891" s="0" t="s">
        <v>130</v>
      </c>
      <c r="I1891" s="14" t="s">
        <v>319</v>
      </c>
      <c r="J1891" s="0" t="s">
        <v>197</v>
      </c>
      <c r="K1891" s="0" t="s">
        <v>198</v>
      </c>
      <c r="L1891" s="0" t="s">
        <v>220</v>
      </c>
      <c r="M1891" s="0" t="s">
        <v>135</v>
      </c>
      <c r="N1891" s="0" t="s">
        <v>136</v>
      </c>
      <c r="O1891" s="0" t="s">
        <v>238</v>
      </c>
      <c r="Q1891" s="0" t="s">
        <v>141</v>
      </c>
      <c r="R1891" s="0" t="s">
        <v>130</v>
      </c>
      <c r="S1891" s="14">
        <v>1</v>
      </c>
      <c r="T1891" s="0" t="s">
        <v>230</v>
      </c>
      <c r="U1891" s="0" t="s">
        <v>221</v>
      </c>
      <c r="V1891" s="14" t="s">
        <v>230</v>
      </c>
      <c r="W1891" s="0" t="s">
        <v>221</v>
      </c>
      <c r="X1891" s="14" t="s">
        <v>231</v>
      </c>
      <c r="Y1891" s="0" t="s">
        <v>223</v>
      </c>
      <c r="Z1891" s="14" t="s">
        <v>138</v>
      </c>
      <c r="AA1891" s="0" t="s">
        <v>224</v>
      </c>
      <c r="AB1891" s="14" t="s">
        <v>138</v>
      </c>
      <c r="AD1891" s="0" t="s">
        <v>17</v>
      </c>
      <c r="AF1891" s="0">
        <v>0</v>
      </c>
      <c r="AG1891" s="0">
        <v>0</v>
      </c>
      <c r="AH1891" s="0" t="s">
        <v>140</v>
      </c>
      <c r="AI1891" s="0" t="s">
        <v>232</v>
      </c>
      <c r="AK1891" s="0" t="s">
        <v>1668</v>
      </c>
      <c r="AL1891" s="14"/>
      <c r="AN1891" s="14"/>
      <c r="AQ1891" s="0" t="s">
        <v>130</v>
      </c>
      <c r="AR1891" s="0" t="s">
        <v>130</v>
      </c>
      <c r="AS1891" s="0" t="s">
        <v>130</v>
      </c>
      <c r="AT1891" s="0" t="s">
        <v>130</v>
      </c>
      <c r="AU1891" s="0" t="s">
        <v>130</v>
      </c>
      <c r="AV1891" s="0" t="s">
        <v>130</v>
      </c>
      <c r="AW1891" s="0" t="s">
        <v>141</v>
      </c>
      <c r="AX1891" s="0" t="s">
        <v>130</v>
      </c>
      <c r="AY1891" s="0" t="s">
        <v>141</v>
      </c>
      <c r="AZ1891" s="0" t="s">
        <v>130</v>
      </c>
      <c r="BA1891" s="0" t="s">
        <v>130</v>
      </c>
      <c r="BB1891" s="0" t="s">
        <v>130</v>
      </c>
      <c r="BC1891" s="0" t="s">
        <v>141</v>
      </c>
      <c r="BD1891" s="0" t="s">
        <v>130</v>
      </c>
      <c r="BE1891" s="0" t="s">
        <v>130</v>
      </c>
      <c r="BF1891" s="0" t="s">
        <v>130</v>
      </c>
      <c r="BG1891" s="0" t="s">
        <v>130</v>
      </c>
      <c r="BH1891" s="0" t="s">
        <v>141</v>
      </c>
      <c r="BI1891" s="0" t="s">
        <v>141</v>
      </c>
      <c r="BJ1891" s="0" t="s">
        <v>141</v>
      </c>
      <c r="BK1891" s="0" t="s">
        <v>130</v>
      </c>
      <c r="BL1891" s="0" t="s">
        <v>130</v>
      </c>
      <c r="BM1891" s="0" t="s">
        <v>130</v>
      </c>
      <c r="BN1891" s="0" t="s">
        <v>130</v>
      </c>
      <c r="BO1891" s="0" t="s">
        <v>130</v>
      </c>
      <c r="BP1891" s="0" t="s">
        <v>130</v>
      </c>
      <c r="BQ1891" s="0" t="s">
        <v>130</v>
      </c>
      <c r="BR1891" s="0" t="s">
        <v>130</v>
      </c>
      <c r="BS1891" s="0" t="s">
        <v>130</v>
      </c>
      <c r="BT1891" s="0" t="s">
        <v>130</v>
      </c>
      <c r="BU1891" s="0" t="s">
        <v>130</v>
      </c>
      <c r="BV1891" s="0" t="s">
        <v>141</v>
      </c>
      <c r="BW1891" s="0" t="s">
        <v>141</v>
      </c>
      <c r="BX1891" s="0" t="s">
        <v>130</v>
      </c>
      <c r="BY1891" s="0" t="s">
        <v>130</v>
      </c>
      <c r="BZ1891" s="0" t="s">
        <v>130</v>
      </c>
      <c r="CA1891" s="0" t="s">
        <v>130</v>
      </c>
      <c r="CB1891" s="0" t="s">
        <v>130</v>
      </c>
      <c r="CC1891" s="0" t="s">
        <v>130</v>
      </c>
      <c r="CD1891" s="0" t="s">
        <v>130</v>
      </c>
      <c r="CE1891" s="0" t="s">
        <v>130</v>
      </c>
      <c r="CF1891" s="0" t="s">
        <v>130</v>
      </c>
      <c r="CG1891" s="0" t="s">
        <v>130</v>
      </c>
      <c r="CH1891" s="0" t="s">
        <v>130</v>
      </c>
      <c r="CI1891" s="0" t="s">
        <v>130</v>
      </c>
      <c r="CJ1891" s="0" t="s">
        <v>130</v>
      </c>
      <c r="CK1891" s="0" t="s">
        <v>130</v>
      </c>
      <c r="CL1891" s="0" t="s">
        <v>130</v>
      </c>
      <c r="CM1891" s="0" t="s">
        <v>130</v>
      </c>
      <c r="CN1891" s="0" t="s">
        <v>130</v>
      </c>
      <c r="CO1891" s="0" t="s">
        <v>130</v>
      </c>
      <c r="CP1891" s="0" t="s">
        <v>130</v>
      </c>
      <c r="CQ1891" s="0" t="s">
        <v>130</v>
      </c>
      <c r="CR1891" s="0" t="s">
        <v>130</v>
      </c>
      <c r="CS1891" s="0" t="s">
        <v>130</v>
      </c>
      <c r="CT1891" s="0" t="s">
        <v>5350</v>
      </c>
    </row>
    <row r="1892">
      <c r="A1892" s="14">
        <v>107032</v>
      </c>
      <c r="B1892" s="0" t="s">
        <v>2117</v>
      </c>
      <c r="C1892" s="16">
        <f>HYPERLINK("https://eosportal.federatedhermes.com/companies/Q29tcGFueQppNDM5MjE=", "State Street Corp")</f>
      </c>
      <c r="D1892" s="0" t="s">
        <v>23</v>
      </c>
      <c r="E1892" s="0" t="s">
        <v>746</v>
      </c>
      <c r="F1892" s="16">
        <f>HYPERLINK("https://eosportal.federatedhermes.com/engagements/RW5nYWdlbWVudAppMzEyMzA=", "Improved climate-related financial disclosures")</f>
      </c>
      <c r="G1892" s="14" t="s">
        <v>747</v>
      </c>
      <c r="H1892" s="0" t="s">
        <v>130</v>
      </c>
      <c r="I1892" s="14" t="s">
        <v>319</v>
      </c>
      <c r="J1892" s="0" t="s">
        <v>197</v>
      </c>
      <c r="K1892" s="0" t="s">
        <v>198</v>
      </c>
      <c r="L1892" s="0" t="s">
        <v>199</v>
      </c>
      <c r="M1892" s="0" t="s">
        <v>135</v>
      </c>
      <c r="N1892" s="0" t="s">
        <v>136</v>
      </c>
      <c r="O1892" s="0" t="s">
        <v>238</v>
      </c>
      <c r="Q1892" s="0" t="s">
        <v>130</v>
      </c>
      <c r="R1892" s="0" t="s">
        <v>130</v>
      </c>
      <c r="S1892" s="14">
        <v>0</v>
      </c>
      <c r="T1892" s="0" t="s">
        <v>597</v>
      </c>
      <c r="U1892" s="0" t="s">
        <v>221</v>
      </c>
      <c r="V1892" s="14" t="s">
        <v>597</v>
      </c>
      <c r="W1892" s="0" t="s">
        <v>221</v>
      </c>
      <c r="X1892" s="14" t="s">
        <v>597</v>
      </c>
      <c r="Y1892" s="0" t="s">
        <v>221</v>
      </c>
      <c r="Z1892" s="14" t="s">
        <v>2842</v>
      </c>
      <c r="AA1892" s="0" t="s">
        <v>223</v>
      </c>
      <c r="AB1892" s="14" t="s">
        <v>138</v>
      </c>
      <c r="AD1892" s="0" t="s">
        <v>20</v>
      </c>
      <c r="AF1892" s="0">
        <v>0</v>
      </c>
      <c r="AG1892" s="0">
        <v>0</v>
      </c>
      <c r="AH1892" s="0" t="s">
        <v>140</v>
      </c>
      <c r="AI1892" s="0" t="s">
        <v>479</v>
      </c>
      <c r="AL1892" s="14"/>
      <c r="AN1892" s="14"/>
      <c r="AQ1892" s="0" t="s">
        <v>130</v>
      </c>
      <c r="AR1892" s="0" t="s">
        <v>130</v>
      </c>
      <c r="AS1892" s="0" t="s">
        <v>130</v>
      </c>
      <c r="AT1892" s="0" t="s">
        <v>130</v>
      </c>
      <c r="AU1892" s="0" t="s">
        <v>130</v>
      </c>
      <c r="AV1892" s="0" t="s">
        <v>130</v>
      </c>
      <c r="AW1892" s="0" t="s">
        <v>130</v>
      </c>
      <c r="AX1892" s="0" t="s">
        <v>130</v>
      </c>
      <c r="AY1892" s="0" t="s">
        <v>130</v>
      </c>
      <c r="AZ1892" s="0" t="s">
        <v>130</v>
      </c>
      <c r="BA1892" s="0" t="s">
        <v>130</v>
      </c>
      <c r="BB1892" s="0" t="s">
        <v>141</v>
      </c>
      <c r="BC1892" s="0" t="s">
        <v>130</v>
      </c>
      <c r="BD1892" s="0" t="s">
        <v>130</v>
      </c>
      <c r="BE1892" s="0" t="s">
        <v>130</v>
      </c>
      <c r="BF1892" s="0" t="s">
        <v>130</v>
      </c>
      <c r="BG1892" s="0" t="s">
        <v>130</v>
      </c>
      <c r="BH1892" s="0" t="s">
        <v>130</v>
      </c>
      <c r="BI1892" s="0" t="s">
        <v>130</v>
      </c>
      <c r="BJ1892" s="0" t="s">
        <v>130</v>
      </c>
      <c r="BK1892" s="0" t="s">
        <v>130</v>
      </c>
      <c r="BL1892" s="0" t="s">
        <v>130</v>
      </c>
      <c r="BM1892" s="0" t="s">
        <v>130</v>
      </c>
      <c r="BN1892" s="0" t="s">
        <v>130</v>
      </c>
      <c r="BO1892" s="0" t="s">
        <v>130</v>
      </c>
      <c r="BP1892" s="0" t="s">
        <v>130</v>
      </c>
      <c r="BQ1892" s="0" t="s">
        <v>130</v>
      </c>
      <c r="BR1892" s="0" t="s">
        <v>130</v>
      </c>
      <c r="BS1892" s="0" t="s">
        <v>130</v>
      </c>
      <c r="BT1892" s="0" t="s">
        <v>130</v>
      </c>
      <c r="BU1892" s="0" t="s">
        <v>130</v>
      </c>
      <c r="BV1892" s="0" t="s">
        <v>130</v>
      </c>
      <c r="BW1892" s="0" t="s">
        <v>130</v>
      </c>
      <c r="BX1892" s="0" t="s">
        <v>130</v>
      </c>
      <c r="BY1892" s="0" t="s">
        <v>130</v>
      </c>
      <c r="BZ1892" s="0" t="s">
        <v>130</v>
      </c>
      <c r="CA1892" s="0" t="s">
        <v>130</v>
      </c>
      <c r="CB1892" s="0" t="s">
        <v>130</v>
      </c>
      <c r="CC1892" s="0" t="s">
        <v>130</v>
      </c>
      <c r="CD1892" s="0" t="s">
        <v>130</v>
      </c>
      <c r="CE1892" s="0" t="s">
        <v>130</v>
      </c>
      <c r="CF1892" s="0" t="s">
        <v>130</v>
      </c>
      <c r="CG1892" s="0" t="s">
        <v>130</v>
      </c>
      <c r="CH1892" s="0" t="s">
        <v>130</v>
      </c>
      <c r="CI1892" s="0" t="s">
        <v>130</v>
      </c>
      <c r="CJ1892" s="0" t="s">
        <v>130</v>
      </c>
      <c r="CK1892" s="0" t="s">
        <v>130</v>
      </c>
      <c r="CL1892" s="0" t="s">
        <v>130</v>
      </c>
      <c r="CM1892" s="0" t="s">
        <v>130</v>
      </c>
      <c r="CN1892" s="0" t="s">
        <v>130</v>
      </c>
      <c r="CO1892" s="0" t="s">
        <v>130</v>
      </c>
      <c r="CP1892" s="0" t="s">
        <v>130</v>
      </c>
      <c r="CQ1892" s="0" t="s">
        <v>130</v>
      </c>
      <c r="CR1892" s="0" t="s">
        <v>130</v>
      </c>
      <c r="CS1892" s="0" t="s">
        <v>130</v>
      </c>
      <c r="CT1892" s="0" t="s">
        <v>5351</v>
      </c>
    </row>
    <row r="1893">
      <c r="A1893" s="14">
        <v>46946968</v>
      </c>
      <c r="B1893" s="0" t="s">
        <v>4663</v>
      </c>
      <c r="C1893" s="16">
        <f>HYPERLINK("https://eosportal.federatedhermes.com/companies/Q29tcGFueQppNTE1MjI=", "Alphabet Inc")</f>
      </c>
      <c r="D1893" s="0" t="s">
        <v>23</v>
      </c>
      <c r="E1893" s="0" t="s">
        <v>5352</v>
      </c>
      <c r="F1893" s="16">
        <f>HYPERLINK("https://eosportal.federatedhermes.com/engagements/RW5nYWdlbWVudAppMzEyMzU=", "Informed Consent")</f>
      </c>
      <c r="G1893" s="14" t="s">
        <v>5353</v>
      </c>
      <c r="H1893" s="0" t="s">
        <v>141</v>
      </c>
      <c r="I1893" s="14" t="s">
        <v>191</v>
      </c>
      <c r="J1893" s="0" t="s">
        <v>153</v>
      </c>
      <c r="K1893" s="0" t="s">
        <v>243</v>
      </c>
      <c r="L1893" s="0" t="s">
        <v>537</v>
      </c>
      <c r="M1893" s="0" t="s">
        <v>135</v>
      </c>
      <c r="N1893" s="0" t="s">
        <v>136</v>
      </c>
      <c r="O1893" s="0" t="s">
        <v>137</v>
      </c>
      <c r="Q1893" s="0" t="s">
        <v>141</v>
      </c>
      <c r="R1893" s="0" t="s">
        <v>130</v>
      </c>
      <c r="S1893" s="14">
        <v>1</v>
      </c>
      <c r="T1893" s="0" t="s">
        <v>597</v>
      </c>
      <c r="U1893" s="0" t="s">
        <v>221</v>
      </c>
      <c r="V1893" s="14" t="s">
        <v>597</v>
      </c>
      <c r="W1893" s="0" t="s">
        <v>221</v>
      </c>
      <c r="X1893" s="14" t="s">
        <v>478</v>
      </c>
      <c r="Y1893" s="0" t="s">
        <v>221</v>
      </c>
      <c r="Z1893" s="14" t="s">
        <v>449</v>
      </c>
      <c r="AA1893" s="0" t="s">
        <v>223</v>
      </c>
      <c r="AB1893" s="14" t="s">
        <v>138</v>
      </c>
      <c r="AD1893" s="0" t="s">
        <v>20</v>
      </c>
      <c r="AF1893" s="0">
        <v>0</v>
      </c>
      <c r="AG1893" s="0">
        <v>0</v>
      </c>
      <c r="AH1893" s="0" t="s">
        <v>140</v>
      </c>
      <c r="AI1893" s="0" t="s">
        <v>479</v>
      </c>
      <c r="AK1893" s="0" t="s">
        <v>4274</v>
      </c>
      <c r="AL1893" s="14"/>
      <c r="AN1893" s="14"/>
      <c r="AQ1893" s="0" t="s">
        <v>130</v>
      </c>
      <c r="AR1893" s="0" t="s">
        <v>130</v>
      </c>
      <c r="AS1893" s="0" t="s">
        <v>130</v>
      </c>
      <c r="AT1893" s="0" t="s">
        <v>130</v>
      </c>
      <c r="AU1893" s="0" t="s">
        <v>130</v>
      </c>
      <c r="AV1893" s="0" t="s">
        <v>130</v>
      </c>
      <c r="AW1893" s="0" t="s">
        <v>130</v>
      </c>
      <c r="AX1893" s="0" t="s">
        <v>130</v>
      </c>
      <c r="AY1893" s="0" t="s">
        <v>130</v>
      </c>
      <c r="AZ1893" s="0" t="s">
        <v>130</v>
      </c>
      <c r="BA1893" s="0" t="s">
        <v>130</v>
      </c>
      <c r="BB1893" s="0" t="s">
        <v>130</v>
      </c>
      <c r="BC1893" s="0" t="s">
        <v>130</v>
      </c>
      <c r="BD1893" s="0" t="s">
        <v>130</v>
      </c>
      <c r="BE1893" s="0" t="s">
        <v>130</v>
      </c>
      <c r="BF1893" s="0" t="s">
        <v>141</v>
      </c>
      <c r="BG1893" s="0" t="s">
        <v>130</v>
      </c>
      <c r="BH1893" s="0" t="s">
        <v>130</v>
      </c>
      <c r="BI1893" s="0" t="s">
        <v>130</v>
      </c>
      <c r="BJ1893" s="0" t="s">
        <v>130</v>
      </c>
      <c r="BK1893" s="0" t="s">
        <v>130</v>
      </c>
      <c r="BL1893" s="0" t="s">
        <v>130</v>
      </c>
      <c r="BM1893" s="0" t="s">
        <v>130</v>
      </c>
      <c r="BN1893" s="0" t="s">
        <v>130</v>
      </c>
      <c r="BO1893" s="0" t="s">
        <v>130</v>
      </c>
      <c r="BP1893" s="0" t="s">
        <v>130</v>
      </c>
      <c r="BQ1893" s="0" t="s">
        <v>130</v>
      </c>
      <c r="BR1893" s="0" t="s">
        <v>130</v>
      </c>
      <c r="BS1893" s="0" t="s">
        <v>130</v>
      </c>
      <c r="BT1893" s="0" t="s">
        <v>130</v>
      </c>
      <c r="BU1893" s="0" t="s">
        <v>130</v>
      </c>
      <c r="BV1893" s="0" t="s">
        <v>130</v>
      </c>
      <c r="BW1893" s="0" t="s">
        <v>130</v>
      </c>
      <c r="BX1893" s="0" t="s">
        <v>130</v>
      </c>
      <c r="BY1893" s="0" t="s">
        <v>130</v>
      </c>
      <c r="BZ1893" s="0" t="s">
        <v>130</v>
      </c>
      <c r="CA1893" s="0" t="s">
        <v>130</v>
      </c>
      <c r="CB1893" s="0" t="s">
        <v>130</v>
      </c>
      <c r="CC1893" s="0" t="s">
        <v>130</v>
      </c>
      <c r="CD1893" s="0" t="s">
        <v>130</v>
      </c>
      <c r="CE1893" s="0" t="s">
        <v>130</v>
      </c>
      <c r="CF1893" s="0" t="s">
        <v>130</v>
      </c>
      <c r="CG1893" s="0" t="s">
        <v>130</v>
      </c>
      <c r="CH1893" s="0" t="s">
        <v>130</v>
      </c>
      <c r="CI1893" s="0" t="s">
        <v>130</v>
      </c>
      <c r="CJ1893" s="0" t="s">
        <v>130</v>
      </c>
      <c r="CK1893" s="0" t="s">
        <v>130</v>
      </c>
      <c r="CL1893" s="0" t="s">
        <v>130</v>
      </c>
      <c r="CM1893" s="0" t="s">
        <v>130</v>
      </c>
      <c r="CN1893" s="0" t="s">
        <v>130</v>
      </c>
      <c r="CO1893" s="0" t="s">
        <v>130</v>
      </c>
      <c r="CP1893" s="0" t="s">
        <v>130</v>
      </c>
      <c r="CQ1893" s="0" t="s">
        <v>130</v>
      </c>
      <c r="CR1893" s="0" t="s">
        <v>130</v>
      </c>
      <c r="CS1893" s="0" t="s">
        <v>130</v>
      </c>
      <c r="CT1893" s="0" t="s">
        <v>5354</v>
      </c>
    </row>
    <row r="1894">
      <c r="A1894" s="14">
        <v>180580</v>
      </c>
      <c r="B1894" s="0" t="s">
        <v>3186</v>
      </c>
      <c r="C1894" s="16">
        <f>HYPERLINK("https://eosportal.federatedhermes.com/companies/Q29tcGFueQppNzYyOTM=", "Novartis AG")</f>
      </c>
      <c r="D1894" s="0" t="s">
        <v>25</v>
      </c>
      <c r="E1894" s="0" t="s">
        <v>5184</v>
      </c>
      <c r="F1894" s="16">
        <f>HYPERLINK("https://eosportal.federatedhermes.com/engagements/RW5nYWdlbWVudAppMzEyMzc=", "Cost of living crisis")</f>
      </c>
      <c r="G1894" s="14" t="s">
        <v>5355</v>
      </c>
      <c r="H1894" s="0" t="s">
        <v>141</v>
      </c>
      <c r="I1894" s="14" t="s">
        <v>636</v>
      </c>
      <c r="J1894" s="0" t="s">
        <v>153</v>
      </c>
      <c r="K1894" s="0" t="s">
        <v>154</v>
      </c>
      <c r="L1894" s="0" t="s">
        <v>306</v>
      </c>
      <c r="M1894" s="0" t="s">
        <v>378</v>
      </c>
      <c r="N1894" s="0" t="s">
        <v>1059</v>
      </c>
      <c r="O1894" s="0" t="s">
        <v>274</v>
      </c>
      <c r="Q1894" s="0" t="s">
        <v>130</v>
      </c>
      <c r="R1894" s="0" t="s">
        <v>138</v>
      </c>
      <c r="S1894" s="14">
        <v>0</v>
      </c>
      <c r="T1894" s="0" t="s">
        <v>597</v>
      </c>
      <c r="U1894" s="0" t="s">
        <v>138</v>
      </c>
      <c r="V1894" s="14" t="s">
        <v>138</v>
      </c>
      <c r="W1894" s="0" t="s">
        <v>138</v>
      </c>
      <c r="X1894" s="14" t="s">
        <v>138</v>
      </c>
      <c r="Y1894" s="0" t="s">
        <v>138</v>
      </c>
      <c r="Z1894" s="14" t="s">
        <v>138</v>
      </c>
      <c r="AA1894" s="0" t="s">
        <v>138</v>
      </c>
      <c r="AB1894" s="14" t="s">
        <v>138</v>
      </c>
      <c r="AD1894" s="0" t="s">
        <v>138</v>
      </c>
      <c r="AF1894" s="0">
        <v>0</v>
      </c>
      <c r="AG1894" s="0">
        <v>0</v>
      </c>
      <c r="AH1894" s="0" t="s">
        <v>140</v>
      </c>
      <c r="AI1894" s="0" t="s">
        <v>138</v>
      </c>
      <c r="AL1894" s="14"/>
      <c r="AN1894" s="14"/>
      <c r="AQ1894" s="0" t="s">
        <v>141</v>
      </c>
      <c r="AR1894" s="0" t="s">
        <v>130</v>
      </c>
      <c r="AS1894" s="0" t="s">
        <v>130</v>
      </c>
      <c r="AT1894" s="0" t="s">
        <v>130</v>
      </c>
      <c r="AU1894" s="0" t="s">
        <v>130</v>
      </c>
      <c r="AV1894" s="0" t="s">
        <v>130</v>
      </c>
      <c r="AW1894" s="0" t="s">
        <v>130</v>
      </c>
      <c r="AX1894" s="0" t="s">
        <v>141</v>
      </c>
      <c r="AY1894" s="0" t="s">
        <v>130</v>
      </c>
      <c r="AZ1894" s="0" t="s">
        <v>141</v>
      </c>
      <c r="BA1894" s="0" t="s">
        <v>130</v>
      </c>
      <c r="BB1894" s="0" t="s">
        <v>130</v>
      </c>
      <c r="BC1894" s="0" t="s">
        <v>130</v>
      </c>
      <c r="BD1894" s="0" t="s">
        <v>130</v>
      </c>
      <c r="BE1894" s="0" t="s">
        <v>130</v>
      </c>
      <c r="BF1894" s="0" t="s">
        <v>130</v>
      </c>
      <c r="BG1894" s="0" t="s">
        <v>130</v>
      </c>
      <c r="BH1894" s="0" t="s">
        <v>130</v>
      </c>
      <c r="BI1894" s="0" t="s">
        <v>130</v>
      </c>
      <c r="BJ1894" s="0" t="s">
        <v>130</v>
      </c>
      <c r="BK1894" s="0" t="s">
        <v>130</v>
      </c>
      <c r="BL1894" s="0" t="s">
        <v>130</v>
      </c>
      <c r="BM1894" s="0" t="s">
        <v>130</v>
      </c>
      <c r="BN1894" s="0" t="s">
        <v>130</v>
      </c>
      <c r="BO1894" s="0" t="s">
        <v>130</v>
      </c>
      <c r="BP1894" s="0" t="s">
        <v>130</v>
      </c>
      <c r="BQ1894" s="0" t="s">
        <v>130</v>
      </c>
      <c r="BR1894" s="0" t="s">
        <v>130</v>
      </c>
      <c r="BS1894" s="0" t="s">
        <v>130</v>
      </c>
      <c r="BT1894" s="0" t="s">
        <v>130</v>
      </c>
      <c r="BU1894" s="0" t="s">
        <v>130</v>
      </c>
      <c r="BV1894" s="0" t="s">
        <v>130</v>
      </c>
      <c r="BW1894" s="0" t="s">
        <v>130</v>
      </c>
      <c r="BX1894" s="0" t="s">
        <v>130</v>
      </c>
      <c r="BY1894" s="0" t="s">
        <v>130</v>
      </c>
      <c r="BZ1894" s="0" t="s">
        <v>130</v>
      </c>
      <c r="CA1894" s="0" t="s">
        <v>130</v>
      </c>
      <c r="CB1894" s="0" t="s">
        <v>130</v>
      </c>
      <c r="CC1894" s="0" t="s">
        <v>130</v>
      </c>
      <c r="CD1894" s="0" t="s">
        <v>130</v>
      </c>
      <c r="CE1894" s="0" t="s">
        <v>130</v>
      </c>
      <c r="CF1894" s="0" t="s">
        <v>130</v>
      </c>
      <c r="CG1894" s="0" t="s">
        <v>130</v>
      </c>
      <c r="CH1894" s="0" t="s">
        <v>130</v>
      </c>
      <c r="CI1894" s="0" t="s">
        <v>130</v>
      </c>
      <c r="CJ1894" s="0" t="s">
        <v>130</v>
      </c>
      <c r="CK1894" s="0" t="s">
        <v>130</v>
      </c>
      <c r="CL1894" s="0" t="s">
        <v>130</v>
      </c>
      <c r="CM1894" s="0" t="s">
        <v>130</v>
      </c>
      <c r="CN1894" s="0" t="s">
        <v>130</v>
      </c>
      <c r="CO1894" s="0" t="s">
        <v>130</v>
      </c>
      <c r="CP1894" s="0" t="s">
        <v>130</v>
      </c>
      <c r="CQ1894" s="0" t="s">
        <v>130</v>
      </c>
      <c r="CR1894" s="0" t="s">
        <v>130</v>
      </c>
      <c r="CS1894" s="0" t="s">
        <v>130</v>
      </c>
      <c r="CT1894" s="0" t="s">
        <v>5356</v>
      </c>
    </row>
    <row r="1895">
      <c r="A1895" s="14">
        <v>186830</v>
      </c>
      <c r="B1895" s="0" t="s">
        <v>3247</v>
      </c>
      <c r="C1895" s="16">
        <f>HYPERLINK("https://eosportal.federatedhermes.com/companies/Q29tcGFueQppNjc3NTE=", "Banco BTG Pactual SA")</f>
      </c>
      <c r="D1895" s="0" t="s">
        <v>23</v>
      </c>
      <c r="E1895" s="0" t="s">
        <v>5357</v>
      </c>
      <c r="F1895" s="16">
        <f>HYPERLINK("https://eosportal.federatedhermes.com/engagements/RW5nYWdlbWVudAppMzEyNTE=", "Science-Based Portfolio Emissions Reduction Targets")</f>
      </c>
      <c r="G1895" s="14" t="s">
        <v>5358</v>
      </c>
      <c r="H1895" s="0" t="s">
        <v>130</v>
      </c>
      <c r="I1895" s="14" t="s">
        <v>131</v>
      </c>
      <c r="J1895" s="0" t="s">
        <v>197</v>
      </c>
      <c r="K1895" s="0" t="s">
        <v>198</v>
      </c>
      <c r="L1895" s="0" t="s">
        <v>216</v>
      </c>
      <c r="M1895" s="0" t="s">
        <v>2807</v>
      </c>
      <c r="N1895" s="0" t="s">
        <v>3041</v>
      </c>
      <c r="O1895" s="0" t="s">
        <v>238</v>
      </c>
      <c r="Q1895" s="0" t="s">
        <v>141</v>
      </c>
      <c r="R1895" s="0" t="s">
        <v>130</v>
      </c>
      <c r="S1895" s="14">
        <v>1</v>
      </c>
      <c r="T1895" s="0" t="s">
        <v>2270</v>
      </c>
      <c r="U1895" s="0" t="s">
        <v>221</v>
      </c>
      <c r="V1895" s="14" t="s">
        <v>2270</v>
      </c>
      <c r="W1895" s="0" t="s">
        <v>223</v>
      </c>
      <c r="X1895" s="14" t="s">
        <v>138</v>
      </c>
      <c r="Y1895" s="0" t="s">
        <v>224</v>
      </c>
      <c r="Z1895" s="14" t="s">
        <v>138</v>
      </c>
      <c r="AA1895" s="0" t="s">
        <v>224</v>
      </c>
      <c r="AB1895" s="14" t="s">
        <v>138</v>
      </c>
      <c r="AD1895" s="0" t="s">
        <v>14</v>
      </c>
      <c r="AF1895" s="0">
        <v>0</v>
      </c>
      <c r="AG1895" s="0">
        <v>0</v>
      </c>
      <c r="AH1895" s="0" t="s">
        <v>140</v>
      </c>
      <c r="AI1895" s="0" t="s">
        <v>225</v>
      </c>
      <c r="AK1895" s="0" t="s">
        <v>1853</v>
      </c>
      <c r="AL1895" s="14"/>
      <c r="AN1895" s="14"/>
      <c r="AQ1895" s="0" t="s">
        <v>130</v>
      </c>
      <c r="AR1895" s="0" t="s">
        <v>130</v>
      </c>
      <c r="AS1895" s="0" t="s">
        <v>130</v>
      </c>
      <c r="AT1895" s="0" t="s">
        <v>130</v>
      </c>
      <c r="AU1895" s="0" t="s">
        <v>130</v>
      </c>
      <c r="AV1895" s="0" t="s">
        <v>130</v>
      </c>
      <c r="AW1895" s="0" t="s">
        <v>141</v>
      </c>
      <c r="AX1895" s="0" t="s">
        <v>130</v>
      </c>
      <c r="AY1895" s="0" t="s">
        <v>130</v>
      </c>
      <c r="AZ1895" s="0" t="s">
        <v>130</v>
      </c>
      <c r="BA1895" s="0" t="s">
        <v>130</v>
      </c>
      <c r="BB1895" s="0" t="s">
        <v>130</v>
      </c>
      <c r="BC1895" s="0" t="s">
        <v>141</v>
      </c>
      <c r="BD1895" s="0" t="s">
        <v>130</v>
      </c>
      <c r="BE1895" s="0" t="s">
        <v>130</v>
      </c>
      <c r="BF1895" s="0" t="s">
        <v>130</v>
      </c>
      <c r="BG1895" s="0" t="s">
        <v>130</v>
      </c>
      <c r="BH1895" s="0" t="s">
        <v>141</v>
      </c>
      <c r="BI1895" s="0" t="s">
        <v>141</v>
      </c>
      <c r="BJ1895" s="0" t="s">
        <v>141</v>
      </c>
      <c r="BK1895" s="0" t="s">
        <v>130</v>
      </c>
      <c r="BL1895" s="0" t="s">
        <v>130</v>
      </c>
      <c r="BM1895" s="0" t="s">
        <v>130</v>
      </c>
      <c r="BN1895" s="0" t="s">
        <v>130</v>
      </c>
      <c r="BO1895" s="0" t="s">
        <v>130</v>
      </c>
      <c r="BP1895" s="0" t="s">
        <v>130</v>
      </c>
      <c r="BQ1895" s="0" t="s">
        <v>130</v>
      </c>
      <c r="BR1895" s="0" t="s">
        <v>130</v>
      </c>
      <c r="BS1895" s="0" t="s">
        <v>130</v>
      </c>
      <c r="BT1895" s="0" t="s">
        <v>130</v>
      </c>
      <c r="BU1895" s="0" t="s">
        <v>130</v>
      </c>
      <c r="BV1895" s="0" t="s">
        <v>141</v>
      </c>
      <c r="BW1895" s="0" t="s">
        <v>141</v>
      </c>
      <c r="BX1895" s="0" t="s">
        <v>130</v>
      </c>
      <c r="BY1895" s="0" t="s">
        <v>130</v>
      </c>
      <c r="BZ1895" s="0" t="s">
        <v>130</v>
      </c>
      <c r="CA1895" s="0" t="s">
        <v>130</v>
      </c>
      <c r="CB1895" s="0" t="s">
        <v>130</v>
      </c>
      <c r="CC1895" s="0" t="s">
        <v>130</v>
      </c>
      <c r="CD1895" s="0" t="s">
        <v>130</v>
      </c>
      <c r="CE1895" s="0" t="s">
        <v>130</v>
      </c>
      <c r="CF1895" s="0" t="s">
        <v>130</v>
      </c>
      <c r="CG1895" s="0" t="s">
        <v>130</v>
      </c>
      <c r="CH1895" s="0" t="s">
        <v>130</v>
      </c>
      <c r="CI1895" s="0" t="s">
        <v>130</v>
      </c>
      <c r="CJ1895" s="0" t="s">
        <v>130</v>
      </c>
      <c r="CK1895" s="0" t="s">
        <v>130</v>
      </c>
      <c r="CL1895" s="0" t="s">
        <v>130</v>
      </c>
      <c r="CM1895" s="0" t="s">
        <v>130</v>
      </c>
      <c r="CN1895" s="0" t="s">
        <v>130</v>
      </c>
      <c r="CO1895" s="0" t="s">
        <v>130</v>
      </c>
      <c r="CP1895" s="0" t="s">
        <v>130</v>
      </c>
      <c r="CQ1895" s="0" t="s">
        <v>130</v>
      </c>
      <c r="CR1895" s="0" t="s">
        <v>130</v>
      </c>
      <c r="CS1895" s="0" t="s">
        <v>130</v>
      </c>
      <c r="CT1895" s="0" t="s">
        <v>5359</v>
      </c>
    </row>
    <row r="1896">
      <c r="A1896" s="14">
        <v>101491</v>
      </c>
      <c r="B1896" s="0" t="s">
        <v>1642</v>
      </c>
      <c r="C1896" s="16">
        <f>HYPERLINK("https://eosportal.federatedhermes.com/companies/Q29tcGFueQppNjMzMzM=", "TotalEnergies SE")</f>
      </c>
      <c r="D1896" s="0" t="s">
        <v>23</v>
      </c>
      <c r="E1896" s="0" t="s">
        <v>5360</v>
      </c>
      <c r="F1896" s="16">
        <f>HYPERLINK("https://eosportal.federatedhermes.com/engagements/RW5nYWdlbWVudAppMzEyNzg=", "Progress on human rights")</f>
      </c>
      <c r="G1896" s="14" t="s">
        <v>5361</v>
      </c>
      <c r="H1896" s="0" t="s">
        <v>141</v>
      </c>
      <c r="I1896" s="14" t="s">
        <v>1645</v>
      </c>
      <c r="J1896" s="0" t="s">
        <v>153</v>
      </c>
      <c r="K1896" s="0" t="s">
        <v>243</v>
      </c>
      <c r="L1896" s="0" t="s">
        <v>571</v>
      </c>
      <c r="M1896" s="0" t="s">
        <v>378</v>
      </c>
      <c r="N1896" s="0" t="s">
        <v>1646</v>
      </c>
      <c r="O1896" s="0" t="s">
        <v>542</v>
      </c>
      <c r="Q1896" s="0" t="s">
        <v>141</v>
      </c>
      <c r="R1896" s="0" t="s">
        <v>130</v>
      </c>
      <c r="S1896" s="14">
        <v>2</v>
      </c>
      <c r="T1896" s="0" t="s">
        <v>2270</v>
      </c>
      <c r="U1896" s="0" t="s">
        <v>221</v>
      </c>
      <c r="V1896" s="14" t="s">
        <v>2270</v>
      </c>
      <c r="W1896" s="0" t="s">
        <v>221</v>
      </c>
      <c r="X1896" s="14" t="s">
        <v>446</v>
      </c>
      <c r="Y1896" s="0" t="s">
        <v>223</v>
      </c>
      <c r="Z1896" s="14" t="s">
        <v>138</v>
      </c>
      <c r="AA1896" s="0" t="s">
        <v>224</v>
      </c>
      <c r="AB1896" s="14" t="s">
        <v>138</v>
      </c>
      <c r="AD1896" s="0" t="s">
        <v>17</v>
      </c>
      <c r="AF1896" s="0">
        <v>0</v>
      </c>
      <c r="AG1896" s="0">
        <v>0</v>
      </c>
      <c r="AH1896" s="0" t="s">
        <v>140</v>
      </c>
      <c r="AI1896" s="0" t="s">
        <v>479</v>
      </c>
      <c r="AK1896" s="0" t="s">
        <v>2976</v>
      </c>
      <c r="AL1896" s="14"/>
      <c r="AN1896" s="14"/>
      <c r="AQ1896" s="0" t="s">
        <v>130</v>
      </c>
      <c r="AR1896" s="0" t="s">
        <v>130</v>
      </c>
      <c r="AS1896" s="0" t="s">
        <v>130</v>
      </c>
      <c r="AT1896" s="0" t="s">
        <v>130</v>
      </c>
      <c r="AU1896" s="0" t="s">
        <v>130</v>
      </c>
      <c r="AV1896" s="0" t="s">
        <v>130</v>
      </c>
      <c r="AW1896" s="0" t="s">
        <v>130</v>
      </c>
      <c r="AX1896" s="0" t="s">
        <v>130</v>
      </c>
      <c r="AY1896" s="0" t="s">
        <v>130</v>
      </c>
      <c r="AZ1896" s="0" t="s">
        <v>130</v>
      </c>
      <c r="BA1896" s="0" t="s">
        <v>130</v>
      </c>
      <c r="BB1896" s="0" t="s">
        <v>130</v>
      </c>
      <c r="BC1896" s="0" t="s">
        <v>130</v>
      </c>
      <c r="BD1896" s="0" t="s">
        <v>130</v>
      </c>
      <c r="BE1896" s="0" t="s">
        <v>130</v>
      </c>
      <c r="BF1896" s="0" t="s">
        <v>141</v>
      </c>
      <c r="BG1896" s="0" t="s">
        <v>130</v>
      </c>
      <c r="BH1896" s="0" t="s">
        <v>130</v>
      </c>
      <c r="BI1896" s="0" t="s">
        <v>130</v>
      </c>
      <c r="BJ1896" s="0" t="s">
        <v>130</v>
      </c>
      <c r="BK1896" s="0" t="s">
        <v>130</v>
      </c>
      <c r="BL1896" s="0" t="s">
        <v>130</v>
      </c>
      <c r="BM1896" s="0" t="s">
        <v>130</v>
      </c>
      <c r="BN1896" s="0" t="s">
        <v>130</v>
      </c>
      <c r="BO1896" s="0" t="s">
        <v>130</v>
      </c>
      <c r="BP1896" s="0" t="s">
        <v>130</v>
      </c>
      <c r="BQ1896" s="0" t="s">
        <v>130</v>
      </c>
      <c r="BR1896" s="0" t="s">
        <v>130</v>
      </c>
      <c r="BS1896" s="0" t="s">
        <v>130</v>
      </c>
      <c r="BT1896" s="0" t="s">
        <v>130</v>
      </c>
      <c r="BU1896" s="0" t="s">
        <v>130</v>
      </c>
      <c r="BV1896" s="0" t="s">
        <v>130</v>
      </c>
      <c r="BW1896" s="0" t="s">
        <v>130</v>
      </c>
      <c r="BX1896" s="0" t="s">
        <v>130</v>
      </c>
      <c r="BY1896" s="0" t="s">
        <v>130</v>
      </c>
      <c r="BZ1896" s="0" t="s">
        <v>130</v>
      </c>
      <c r="CA1896" s="0" t="s">
        <v>130</v>
      </c>
      <c r="CB1896" s="0" t="s">
        <v>130</v>
      </c>
      <c r="CC1896" s="0" t="s">
        <v>130</v>
      </c>
      <c r="CD1896" s="0" t="s">
        <v>130</v>
      </c>
      <c r="CE1896" s="0" t="s">
        <v>130</v>
      </c>
      <c r="CF1896" s="0" t="s">
        <v>130</v>
      </c>
      <c r="CG1896" s="0" t="s">
        <v>130</v>
      </c>
      <c r="CH1896" s="0" t="s">
        <v>130</v>
      </c>
      <c r="CI1896" s="0" t="s">
        <v>130</v>
      </c>
      <c r="CJ1896" s="0" t="s">
        <v>130</v>
      </c>
      <c r="CK1896" s="0" t="s">
        <v>130</v>
      </c>
      <c r="CL1896" s="0" t="s">
        <v>130</v>
      </c>
      <c r="CM1896" s="0" t="s">
        <v>130</v>
      </c>
      <c r="CN1896" s="0" t="s">
        <v>130</v>
      </c>
      <c r="CO1896" s="0" t="s">
        <v>130</v>
      </c>
      <c r="CP1896" s="0" t="s">
        <v>130</v>
      </c>
      <c r="CQ1896" s="0" t="s">
        <v>130</v>
      </c>
      <c r="CR1896" s="0" t="s">
        <v>130</v>
      </c>
      <c r="CS1896" s="0" t="s">
        <v>130</v>
      </c>
      <c r="CT1896" s="0" t="s">
        <v>5362</v>
      </c>
    </row>
    <row r="1897">
      <c r="A1897" s="14">
        <v>1404288</v>
      </c>
      <c r="B1897" s="0" t="s">
        <v>3574</v>
      </c>
      <c r="C1897" s="16">
        <f>HYPERLINK("https://eosportal.federatedhermes.com/companies/Q29tcGFueQppNDcwODA=", "PetroChina Co Ltd")</f>
      </c>
      <c r="D1897" s="0" t="s">
        <v>25</v>
      </c>
      <c r="E1897" s="0" t="s">
        <v>459</v>
      </c>
      <c r="F1897" s="16">
        <f>HYPERLINK("https://eosportal.federatedhermes.com/engagements/RW5nYWdlbWVudAppMzEzNDA=", "Human capital management")</f>
      </c>
      <c r="G1897" s="14" t="s">
        <v>5363</v>
      </c>
      <c r="H1897" s="0" t="s">
        <v>141</v>
      </c>
      <c r="I1897" s="14" t="s">
        <v>636</v>
      </c>
      <c r="J1897" s="0" t="s">
        <v>153</v>
      </c>
      <c r="K1897" s="0" t="s">
        <v>243</v>
      </c>
      <c r="L1897" s="0" t="s">
        <v>456</v>
      </c>
      <c r="M1897" s="0" t="s">
        <v>2807</v>
      </c>
      <c r="N1897" s="0" t="s">
        <v>3272</v>
      </c>
      <c r="O1897" s="0" t="s">
        <v>542</v>
      </c>
      <c r="Q1897" s="0" t="s">
        <v>130</v>
      </c>
      <c r="R1897" s="0" t="s">
        <v>138</v>
      </c>
      <c r="S1897" s="14">
        <v>0</v>
      </c>
      <c r="T1897" s="0" t="s">
        <v>583</v>
      </c>
      <c r="U1897" s="0" t="s">
        <v>138</v>
      </c>
      <c r="V1897" s="14" t="s">
        <v>138</v>
      </c>
      <c r="W1897" s="0" t="s">
        <v>138</v>
      </c>
      <c r="X1897" s="14" t="s">
        <v>138</v>
      </c>
      <c r="Y1897" s="0" t="s">
        <v>138</v>
      </c>
      <c r="Z1897" s="14" t="s">
        <v>138</v>
      </c>
      <c r="AA1897" s="0" t="s">
        <v>138</v>
      </c>
      <c r="AB1897" s="14" t="s">
        <v>138</v>
      </c>
      <c r="AD1897" s="0" t="s">
        <v>138</v>
      </c>
      <c r="AF1897" s="0">
        <v>0</v>
      </c>
      <c r="AG1897" s="0">
        <v>0</v>
      </c>
      <c r="AH1897" s="0" t="s">
        <v>140</v>
      </c>
      <c r="AI1897" s="0" t="s">
        <v>138</v>
      </c>
      <c r="AL1897" s="14"/>
      <c r="AN1897" s="14"/>
      <c r="AQ1897" s="0" t="s">
        <v>130</v>
      </c>
      <c r="AR1897" s="0" t="s">
        <v>130</v>
      </c>
      <c r="AS1897" s="0" t="s">
        <v>130</v>
      </c>
      <c r="AT1897" s="0" t="s">
        <v>130</v>
      </c>
      <c r="AU1897" s="0" t="s">
        <v>130</v>
      </c>
      <c r="AV1897" s="0" t="s">
        <v>130</v>
      </c>
      <c r="AW1897" s="0" t="s">
        <v>130</v>
      </c>
      <c r="AX1897" s="0" t="s">
        <v>141</v>
      </c>
      <c r="AY1897" s="0" t="s">
        <v>130</v>
      </c>
      <c r="AZ1897" s="0" t="s">
        <v>130</v>
      </c>
      <c r="BA1897" s="0" t="s">
        <v>130</v>
      </c>
      <c r="BB1897" s="0" t="s">
        <v>130</v>
      </c>
      <c r="BC1897" s="0" t="s">
        <v>130</v>
      </c>
      <c r="BD1897" s="0" t="s">
        <v>130</v>
      </c>
      <c r="BE1897" s="0" t="s">
        <v>130</v>
      </c>
      <c r="BF1897" s="0" t="s">
        <v>141</v>
      </c>
      <c r="BG1897" s="0" t="s">
        <v>130</v>
      </c>
      <c r="BH1897" s="0" t="s">
        <v>130</v>
      </c>
      <c r="BI1897" s="0" t="s">
        <v>130</v>
      </c>
      <c r="BJ1897" s="0" t="s">
        <v>130</v>
      </c>
      <c r="BK1897" s="0" t="s">
        <v>130</v>
      </c>
      <c r="BL1897" s="0" t="s">
        <v>130</v>
      </c>
      <c r="BM1897" s="0" t="s">
        <v>130</v>
      </c>
      <c r="BN1897" s="0" t="s">
        <v>130</v>
      </c>
      <c r="BO1897" s="0" t="s">
        <v>130</v>
      </c>
      <c r="BP1897" s="0" t="s">
        <v>130</v>
      </c>
      <c r="BQ1897" s="0" t="s">
        <v>130</v>
      </c>
      <c r="BR1897" s="0" t="s">
        <v>130</v>
      </c>
      <c r="BS1897" s="0" t="s">
        <v>130</v>
      </c>
      <c r="BT1897" s="0" t="s">
        <v>130</v>
      </c>
      <c r="BU1897" s="0" t="s">
        <v>130</v>
      </c>
      <c r="BV1897" s="0" t="s">
        <v>130</v>
      </c>
      <c r="BW1897" s="0" t="s">
        <v>130</v>
      </c>
      <c r="BX1897" s="0" t="s">
        <v>130</v>
      </c>
      <c r="BY1897" s="0" t="s">
        <v>130</v>
      </c>
      <c r="BZ1897" s="0" t="s">
        <v>130</v>
      </c>
      <c r="CA1897" s="0" t="s">
        <v>130</v>
      </c>
      <c r="CB1897" s="0" t="s">
        <v>130</v>
      </c>
      <c r="CC1897" s="0" t="s">
        <v>130</v>
      </c>
      <c r="CD1897" s="0" t="s">
        <v>130</v>
      </c>
      <c r="CE1897" s="0" t="s">
        <v>130</v>
      </c>
      <c r="CF1897" s="0" t="s">
        <v>130</v>
      </c>
      <c r="CG1897" s="0" t="s">
        <v>130</v>
      </c>
      <c r="CH1897" s="0" t="s">
        <v>130</v>
      </c>
      <c r="CI1897" s="0" t="s">
        <v>130</v>
      </c>
      <c r="CJ1897" s="0" t="s">
        <v>130</v>
      </c>
      <c r="CK1897" s="0" t="s">
        <v>130</v>
      </c>
      <c r="CL1897" s="0" t="s">
        <v>130</v>
      </c>
      <c r="CM1897" s="0" t="s">
        <v>130</v>
      </c>
      <c r="CN1897" s="0" t="s">
        <v>130</v>
      </c>
      <c r="CO1897" s="0" t="s">
        <v>130</v>
      </c>
      <c r="CP1897" s="0" t="s">
        <v>130</v>
      </c>
      <c r="CQ1897" s="0" t="s">
        <v>130</v>
      </c>
      <c r="CR1897" s="0" t="s">
        <v>130</v>
      </c>
      <c r="CS1897" s="0" t="s">
        <v>130</v>
      </c>
      <c r="CT1897" s="0" t="s">
        <v>5364</v>
      </c>
    </row>
    <row r="1898">
      <c r="A1898" s="14">
        <v>17085420</v>
      </c>
      <c r="B1898" s="0" t="s">
        <v>4306</v>
      </c>
      <c r="C1898" s="16">
        <f>HYPERLINK("https://eosportal.federatedhermes.com/companies/Q29tcGFueQppNTIwNTI=", "Argenx SE")</f>
      </c>
      <c r="D1898" s="0" t="s">
        <v>25</v>
      </c>
      <c r="E1898" s="0" t="s">
        <v>5184</v>
      </c>
      <c r="F1898" s="16">
        <f>HYPERLINK("https://eosportal.federatedhermes.com/engagements/RW5nYWdlbWVudAppMzEzNDI=", "Cost of living crisis")</f>
      </c>
      <c r="G1898" s="14" t="s">
        <v>5365</v>
      </c>
      <c r="H1898" s="0" t="s">
        <v>130</v>
      </c>
      <c r="I1898" s="14" t="s">
        <v>319</v>
      </c>
      <c r="J1898" s="0" t="s">
        <v>153</v>
      </c>
      <c r="K1898" s="0" t="s">
        <v>154</v>
      </c>
      <c r="L1898" s="0" t="s">
        <v>306</v>
      </c>
      <c r="M1898" s="0" t="s">
        <v>378</v>
      </c>
      <c r="N1898" s="0" t="s">
        <v>2554</v>
      </c>
      <c r="O1898" s="0" t="s">
        <v>274</v>
      </c>
      <c r="Q1898" s="0" t="s">
        <v>130</v>
      </c>
      <c r="R1898" s="0" t="s">
        <v>138</v>
      </c>
      <c r="S1898" s="14">
        <v>0</v>
      </c>
      <c r="T1898" s="0" t="s">
        <v>2270</v>
      </c>
      <c r="U1898" s="0" t="s">
        <v>138</v>
      </c>
      <c r="V1898" s="14" t="s">
        <v>138</v>
      </c>
      <c r="W1898" s="0" t="s">
        <v>138</v>
      </c>
      <c r="X1898" s="14" t="s">
        <v>138</v>
      </c>
      <c r="Y1898" s="0" t="s">
        <v>138</v>
      </c>
      <c r="Z1898" s="14" t="s">
        <v>138</v>
      </c>
      <c r="AA1898" s="0" t="s">
        <v>138</v>
      </c>
      <c r="AB1898" s="14" t="s">
        <v>138</v>
      </c>
      <c r="AD1898" s="0" t="s">
        <v>138</v>
      </c>
      <c r="AF1898" s="0">
        <v>0</v>
      </c>
      <c r="AG1898" s="0">
        <v>0</v>
      </c>
      <c r="AH1898" s="0" t="s">
        <v>140</v>
      </c>
      <c r="AI1898" s="0" t="s">
        <v>138</v>
      </c>
      <c r="AL1898" s="14"/>
      <c r="AN1898" s="14"/>
      <c r="AQ1898" s="0" t="s">
        <v>141</v>
      </c>
      <c r="AR1898" s="0" t="s">
        <v>130</v>
      </c>
      <c r="AS1898" s="0" t="s">
        <v>130</v>
      </c>
      <c r="AT1898" s="0" t="s">
        <v>130</v>
      </c>
      <c r="AU1898" s="0" t="s">
        <v>130</v>
      </c>
      <c r="AV1898" s="0" t="s">
        <v>130</v>
      </c>
      <c r="AW1898" s="0" t="s">
        <v>130</v>
      </c>
      <c r="AX1898" s="0" t="s">
        <v>141</v>
      </c>
      <c r="AY1898" s="0" t="s">
        <v>130</v>
      </c>
      <c r="AZ1898" s="0" t="s">
        <v>141</v>
      </c>
      <c r="BA1898" s="0" t="s">
        <v>130</v>
      </c>
      <c r="BB1898" s="0" t="s">
        <v>130</v>
      </c>
      <c r="BC1898" s="0" t="s">
        <v>130</v>
      </c>
      <c r="BD1898" s="0" t="s">
        <v>130</v>
      </c>
      <c r="BE1898" s="0" t="s">
        <v>130</v>
      </c>
      <c r="BF1898" s="0" t="s">
        <v>130</v>
      </c>
      <c r="BG1898" s="0" t="s">
        <v>130</v>
      </c>
      <c r="BH1898" s="0" t="s">
        <v>130</v>
      </c>
      <c r="BI1898" s="0" t="s">
        <v>130</v>
      </c>
      <c r="BJ1898" s="0" t="s">
        <v>130</v>
      </c>
      <c r="BK1898" s="0" t="s">
        <v>130</v>
      </c>
      <c r="BL1898" s="0" t="s">
        <v>130</v>
      </c>
      <c r="BM1898" s="0" t="s">
        <v>130</v>
      </c>
      <c r="BN1898" s="0" t="s">
        <v>130</v>
      </c>
      <c r="BO1898" s="0" t="s">
        <v>130</v>
      </c>
      <c r="BP1898" s="0" t="s">
        <v>130</v>
      </c>
      <c r="BQ1898" s="0" t="s">
        <v>130</v>
      </c>
      <c r="BR1898" s="0" t="s">
        <v>130</v>
      </c>
      <c r="BS1898" s="0" t="s">
        <v>130</v>
      </c>
      <c r="BT1898" s="0" t="s">
        <v>130</v>
      </c>
      <c r="BU1898" s="0" t="s">
        <v>130</v>
      </c>
      <c r="BV1898" s="0" t="s">
        <v>130</v>
      </c>
      <c r="BW1898" s="0" t="s">
        <v>130</v>
      </c>
      <c r="BX1898" s="0" t="s">
        <v>130</v>
      </c>
      <c r="BY1898" s="0" t="s">
        <v>130</v>
      </c>
      <c r="BZ1898" s="0" t="s">
        <v>130</v>
      </c>
      <c r="CA1898" s="0" t="s">
        <v>130</v>
      </c>
      <c r="CB1898" s="0" t="s">
        <v>130</v>
      </c>
      <c r="CC1898" s="0" t="s">
        <v>130</v>
      </c>
      <c r="CD1898" s="0" t="s">
        <v>130</v>
      </c>
      <c r="CE1898" s="0" t="s">
        <v>130</v>
      </c>
      <c r="CF1898" s="0" t="s">
        <v>130</v>
      </c>
      <c r="CG1898" s="0" t="s">
        <v>130</v>
      </c>
      <c r="CH1898" s="0" t="s">
        <v>130</v>
      </c>
      <c r="CI1898" s="0" t="s">
        <v>130</v>
      </c>
      <c r="CJ1898" s="0" t="s">
        <v>130</v>
      </c>
      <c r="CK1898" s="0" t="s">
        <v>130</v>
      </c>
      <c r="CL1898" s="0" t="s">
        <v>130</v>
      </c>
      <c r="CM1898" s="0" t="s">
        <v>130</v>
      </c>
      <c r="CN1898" s="0" t="s">
        <v>130</v>
      </c>
      <c r="CO1898" s="0" t="s">
        <v>130</v>
      </c>
      <c r="CP1898" s="0" t="s">
        <v>130</v>
      </c>
      <c r="CQ1898" s="0" t="s">
        <v>130</v>
      </c>
      <c r="CR1898" s="0" t="s">
        <v>130</v>
      </c>
      <c r="CS1898" s="0" t="s">
        <v>130</v>
      </c>
      <c r="CT1898" s="0" t="s">
        <v>5366</v>
      </c>
    </row>
    <row r="1899">
      <c r="A1899" s="14">
        <v>101365</v>
      </c>
      <c r="B1899" s="0" t="s">
        <v>1493</v>
      </c>
      <c r="C1899" s="16">
        <f>HYPERLINK("https://eosportal.federatedhermes.com/companies/Q29tcGFueQppNTQ1MjA=", "Sony Group Corp")</f>
      </c>
      <c r="D1899" s="0" t="s">
        <v>25</v>
      </c>
      <c r="E1899" s="0" t="s">
        <v>459</v>
      </c>
      <c r="F1899" s="16">
        <f>HYPERLINK("https://eosportal.federatedhermes.com/engagements/RW5nYWdlbWVudAppMzEzNDc=", "Human capital management")</f>
      </c>
      <c r="G1899" s="14" t="s">
        <v>5363</v>
      </c>
      <c r="H1899" s="0" t="s">
        <v>141</v>
      </c>
      <c r="I1899" s="14" t="s">
        <v>191</v>
      </c>
      <c r="J1899" s="0" t="s">
        <v>153</v>
      </c>
      <c r="K1899" s="0" t="s">
        <v>243</v>
      </c>
      <c r="L1899" s="0" t="s">
        <v>456</v>
      </c>
      <c r="M1899" s="0" t="s">
        <v>802</v>
      </c>
      <c r="N1899" s="0" t="s">
        <v>952</v>
      </c>
      <c r="O1899" s="0" t="s">
        <v>1125</v>
      </c>
      <c r="Q1899" s="0" t="s">
        <v>141</v>
      </c>
      <c r="R1899" s="0" t="s">
        <v>138</v>
      </c>
      <c r="S1899" s="14">
        <v>2</v>
      </c>
      <c r="T1899" s="0" t="s">
        <v>583</v>
      </c>
      <c r="U1899" s="0" t="s">
        <v>138</v>
      </c>
      <c r="V1899" s="14" t="s">
        <v>138</v>
      </c>
      <c r="W1899" s="0" t="s">
        <v>138</v>
      </c>
      <c r="X1899" s="14" t="s">
        <v>138</v>
      </c>
      <c r="Y1899" s="0" t="s">
        <v>138</v>
      </c>
      <c r="Z1899" s="14" t="s">
        <v>138</v>
      </c>
      <c r="AA1899" s="0" t="s">
        <v>138</v>
      </c>
      <c r="AB1899" s="14" t="s">
        <v>138</v>
      </c>
      <c r="AD1899" s="0" t="s">
        <v>138</v>
      </c>
      <c r="AF1899" s="0">
        <v>0</v>
      </c>
      <c r="AG1899" s="0">
        <v>0</v>
      </c>
      <c r="AH1899" s="0" t="s">
        <v>140</v>
      </c>
      <c r="AI1899" s="0" t="s">
        <v>138</v>
      </c>
      <c r="AK1899" s="0" t="s">
        <v>1196</v>
      </c>
      <c r="AL1899" s="14"/>
      <c r="AN1899" s="14"/>
      <c r="AQ1899" s="0" t="s">
        <v>130</v>
      </c>
      <c r="AR1899" s="0" t="s">
        <v>130</v>
      </c>
      <c r="AS1899" s="0" t="s">
        <v>130</v>
      </c>
      <c r="AT1899" s="0" t="s">
        <v>130</v>
      </c>
      <c r="AU1899" s="0" t="s">
        <v>130</v>
      </c>
      <c r="AV1899" s="0" t="s">
        <v>130</v>
      </c>
      <c r="AW1899" s="0" t="s">
        <v>130</v>
      </c>
      <c r="AX1899" s="0" t="s">
        <v>141</v>
      </c>
      <c r="AY1899" s="0" t="s">
        <v>130</v>
      </c>
      <c r="AZ1899" s="0" t="s">
        <v>130</v>
      </c>
      <c r="BA1899" s="0" t="s">
        <v>130</v>
      </c>
      <c r="BB1899" s="0" t="s">
        <v>130</v>
      </c>
      <c r="BC1899" s="0" t="s">
        <v>130</v>
      </c>
      <c r="BD1899" s="0" t="s">
        <v>130</v>
      </c>
      <c r="BE1899" s="0" t="s">
        <v>130</v>
      </c>
      <c r="BF1899" s="0" t="s">
        <v>141</v>
      </c>
      <c r="BG1899" s="0" t="s">
        <v>130</v>
      </c>
      <c r="BH1899" s="0" t="s">
        <v>130</v>
      </c>
      <c r="BI1899" s="0" t="s">
        <v>130</v>
      </c>
      <c r="BJ1899" s="0" t="s">
        <v>130</v>
      </c>
      <c r="BK1899" s="0" t="s">
        <v>130</v>
      </c>
      <c r="BL1899" s="0" t="s">
        <v>130</v>
      </c>
      <c r="BM1899" s="0" t="s">
        <v>130</v>
      </c>
      <c r="BN1899" s="0" t="s">
        <v>130</v>
      </c>
      <c r="BO1899" s="0" t="s">
        <v>130</v>
      </c>
      <c r="BP1899" s="0" t="s">
        <v>130</v>
      </c>
      <c r="BQ1899" s="0" t="s">
        <v>130</v>
      </c>
      <c r="BR1899" s="0" t="s">
        <v>130</v>
      </c>
      <c r="BS1899" s="0" t="s">
        <v>130</v>
      </c>
      <c r="BT1899" s="0" t="s">
        <v>130</v>
      </c>
      <c r="BU1899" s="0" t="s">
        <v>130</v>
      </c>
      <c r="BV1899" s="0" t="s">
        <v>130</v>
      </c>
      <c r="BW1899" s="0" t="s">
        <v>130</v>
      </c>
      <c r="BX1899" s="0" t="s">
        <v>130</v>
      </c>
      <c r="BY1899" s="0" t="s">
        <v>130</v>
      </c>
      <c r="BZ1899" s="0" t="s">
        <v>130</v>
      </c>
      <c r="CA1899" s="0" t="s">
        <v>130</v>
      </c>
      <c r="CB1899" s="0" t="s">
        <v>130</v>
      </c>
      <c r="CC1899" s="0" t="s">
        <v>130</v>
      </c>
      <c r="CD1899" s="0" t="s">
        <v>130</v>
      </c>
      <c r="CE1899" s="0" t="s">
        <v>130</v>
      </c>
      <c r="CF1899" s="0" t="s">
        <v>130</v>
      </c>
      <c r="CG1899" s="0" t="s">
        <v>130</v>
      </c>
      <c r="CH1899" s="0" t="s">
        <v>130</v>
      </c>
      <c r="CI1899" s="0" t="s">
        <v>130</v>
      </c>
      <c r="CJ1899" s="0" t="s">
        <v>130</v>
      </c>
      <c r="CK1899" s="0" t="s">
        <v>130</v>
      </c>
      <c r="CL1899" s="0" t="s">
        <v>130</v>
      </c>
      <c r="CM1899" s="0" t="s">
        <v>130</v>
      </c>
      <c r="CN1899" s="0" t="s">
        <v>130</v>
      </c>
      <c r="CO1899" s="0" t="s">
        <v>130</v>
      </c>
      <c r="CP1899" s="0" t="s">
        <v>130</v>
      </c>
      <c r="CQ1899" s="0" t="s">
        <v>130</v>
      </c>
      <c r="CR1899" s="0" t="s">
        <v>130</v>
      </c>
      <c r="CS1899" s="0" t="s">
        <v>130</v>
      </c>
      <c r="CT1899" s="0" t="s">
        <v>5367</v>
      </c>
    </row>
    <row r="1900">
      <c r="A1900" s="14">
        <v>48364393</v>
      </c>
      <c r="B1900" s="0" t="s">
        <v>4718</v>
      </c>
      <c r="C1900" s="16">
        <f>HYPERLINK("https://eosportal.federatedhermes.com/companies/Q29tcGFueQppNTg5OTY=", "DuPont de Nemours Inc")</f>
      </c>
      <c r="D1900" s="0" t="s">
        <v>25</v>
      </c>
      <c r="E1900" s="0" t="s">
        <v>5368</v>
      </c>
      <c r="F1900" s="16">
        <f>HYPERLINK("https://eosportal.federatedhermes.com/engagements/RW5nYWdlbWVudAppMzEzNTI=", "Hazardous substance management")</f>
      </c>
      <c r="G1900" s="14" t="s">
        <v>5369</v>
      </c>
      <c r="H1900" s="0" t="s">
        <v>141</v>
      </c>
      <c r="I1900" s="14" t="s">
        <v>191</v>
      </c>
      <c r="J1900" s="0" t="s">
        <v>197</v>
      </c>
      <c r="K1900" s="0" t="s">
        <v>348</v>
      </c>
      <c r="L1900" s="0" t="s">
        <v>650</v>
      </c>
      <c r="M1900" s="0" t="s">
        <v>135</v>
      </c>
      <c r="N1900" s="0" t="s">
        <v>136</v>
      </c>
      <c r="O1900" s="0" t="s">
        <v>706</v>
      </c>
      <c r="Q1900" s="0" t="s">
        <v>141</v>
      </c>
      <c r="R1900" s="0" t="s">
        <v>138</v>
      </c>
      <c r="S1900" s="14">
        <v>1</v>
      </c>
      <c r="T1900" s="0" t="s">
        <v>597</v>
      </c>
      <c r="U1900" s="0" t="s">
        <v>138</v>
      </c>
      <c r="V1900" s="14" t="s">
        <v>138</v>
      </c>
      <c r="W1900" s="0" t="s">
        <v>138</v>
      </c>
      <c r="X1900" s="14" t="s">
        <v>138</v>
      </c>
      <c r="Y1900" s="0" t="s">
        <v>138</v>
      </c>
      <c r="Z1900" s="14" t="s">
        <v>138</v>
      </c>
      <c r="AA1900" s="0" t="s">
        <v>138</v>
      </c>
      <c r="AB1900" s="14" t="s">
        <v>138</v>
      </c>
      <c r="AD1900" s="0" t="s">
        <v>138</v>
      </c>
      <c r="AF1900" s="0">
        <v>0</v>
      </c>
      <c r="AG1900" s="0">
        <v>0</v>
      </c>
      <c r="AH1900" s="0" t="s">
        <v>140</v>
      </c>
      <c r="AI1900" s="0" t="s">
        <v>138</v>
      </c>
      <c r="AK1900" s="0" t="s">
        <v>714</v>
      </c>
      <c r="AL1900" s="14"/>
      <c r="AN1900" s="14"/>
      <c r="AQ1900" s="0" t="s">
        <v>130</v>
      </c>
      <c r="AR1900" s="0" t="s">
        <v>130</v>
      </c>
      <c r="AS1900" s="0" t="s">
        <v>141</v>
      </c>
      <c r="AT1900" s="0" t="s">
        <v>130</v>
      </c>
      <c r="AU1900" s="0" t="s">
        <v>130</v>
      </c>
      <c r="AV1900" s="0" t="s">
        <v>130</v>
      </c>
      <c r="AW1900" s="0" t="s">
        <v>130</v>
      </c>
      <c r="AX1900" s="0" t="s">
        <v>130</v>
      </c>
      <c r="AY1900" s="0" t="s">
        <v>130</v>
      </c>
      <c r="AZ1900" s="0" t="s">
        <v>130</v>
      </c>
      <c r="BA1900" s="0" t="s">
        <v>130</v>
      </c>
      <c r="BB1900" s="0" t="s">
        <v>141</v>
      </c>
      <c r="BC1900" s="0" t="s">
        <v>130</v>
      </c>
      <c r="BD1900" s="0" t="s">
        <v>130</v>
      </c>
      <c r="BE1900" s="0" t="s">
        <v>130</v>
      </c>
      <c r="BF1900" s="0" t="s">
        <v>130</v>
      </c>
      <c r="BG1900" s="0" t="s">
        <v>130</v>
      </c>
      <c r="BH1900" s="0" t="s">
        <v>130</v>
      </c>
      <c r="BI1900" s="0" t="s">
        <v>130</v>
      </c>
      <c r="BJ1900" s="0" t="s">
        <v>130</v>
      </c>
      <c r="BK1900" s="0" t="s">
        <v>130</v>
      </c>
      <c r="BL1900" s="0" t="s">
        <v>130</v>
      </c>
      <c r="BM1900" s="0" t="s">
        <v>130</v>
      </c>
      <c r="BN1900" s="0" t="s">
        <v>130</v>
      </c>
      <c r="BO1900" s="0" t="s">
        <v>130</v>
      </c>
      <c r="BP1900" s="0" t="s">
        <v>130</v>
      </c>
      <c r="BQ1900" s="0" t="s">
        <v>130</v>
      </c>
      <c r="BR1900" s="0" t="s">
        <v>130</v>
      </c>
      <c r="BS1900" s="0" t="s">
        <v>130</v>
      </c>
      <c r="BT1900" s="0" t="s">
        <v>130</v>
      </c>
      <c r="BU1900" s="0" t="s">
        <v>130</v>
      </c>
      <c r="BV1900" s="0" t="s">
        <v>130</v>
      </c>
      <c r="BW1900" s="0" t="s">
        <v>130</v>
      </c>
      <c r="BX1900" s="0" t="s">
        <v>130</v>
      </c>
      <c r="BY1900" s="0" t="s">
        <v>130</v>
      </c>
      <c r="BZ1900" s="0" t="s">
        <v>130</v>
      </c>
      <c r="CA1900" s="0" t="s">
        <v>130</v>
      </c>
      <c r="CB1900" s="0" t="s">
        <v>130</v>
      </c>
      <c r="CC1900" s="0" t="s">
        <v>130</v>
      </c>
      <c r="CD1900" s="0" t="s">
        <v>130</v>
      </c>
      <c r="CE1900" s="0" t="s">
        <v>130</v>
      </c>
      <c r="CF1900" s="0" t="s">
        <v>130</v>
      </c>
      <c r="CG1900" s="0" t="s">
        <v>130</v>
      </c>
      <c r="CH1900" s="0" t="s">
        <v>130</v>
      </c>
      <c r="CI1900" s="0" t="s">
        <v>130</v>
      </c>
      <c r="CJ1900" s="0" t="s">
        <v>130</v>
      </c>
      <c r="CK1900" s="0" t="s">
        <v>130</v>
      </c>
      <c r="CL1900" s="0" t="s">
        <v>130</v>
      </c>
      <c r="CM1900" s="0" t="s">
        <v>130</v>
      </c>
      <c r="CN1900" s="0" t="s">
        <v>130</v>
      </c>
      <c r="CO1900" s="0" t="s">
        <v>130</v>
      </c>
      <c r="CP1900" s="0" t="s">
        <v>130</v>
      </c>
      <c r="CQ1900" s="0" t="s">
        <v>130</v>
      </c>
      <c r="CR1900" s="0" t="s">
        <v>130</v>
      </c>
      <c r="CS1900" s="0" t="s">
        <v>130</v>
      </c>
      <c r="CT1900" s="0" t="s">
        <v>5370</v>
      </c>
    </row>
    <row r="1901">
      <c r="A1901" s="14">
        <v>176795</v>
      </c>
      <c r="B1901" s="0" t="s">
        <v>3127</v>
      </c>
      <c r="C1901" s="16">
        <f>HYPERLINK("https://eosportal.federatedhermes.com/companies/Q29tcGFueQppNjA1NzI=", "Merck KGaA")</f>
      </c>
      <c r="D1901" s="0" t="s">
        <v>25</v>
      </c>
      <c r="E1901" s="0" t="s">
        <v>5371</v>
      </c>
      <c r="F1901" s="16">
        <f>HYPERLINK("https://eosportal.federatedhermes.com/engagements/RW5nYWdlbWVudAppMzEzNTM=", "TCFD")</f>
      </c>
      <c r="G1901" s="14" t="s">
        <v>5372</v>
      </c>
      <c r="H1901" s="0" t="s">
        <v>130</v>
      </c>
      <c r="I1901" s="14" t="s">
        <v>319</v>
      </c>
      <c r="J1901" s="0" t="s">
        <v>197</v>
      </c>
      <c r="K1901" s="0" t="s">
        <v>198</v>
      </c>
      <c r="L1901" s="0" t="s">
        <v>199</v>
      </c>
      <c r="M1901" s="0" t="s">
        <v>378</v>
      </c>
      <c r="N1901" s="0" t="s">
        <v>2485</v>
      </c>
      <c r="O1901" s="0" t="s">
        <v>274</v>
      </c>
      <c r="Q1901" s="0" t="s">
        <v>130</v>
      </c>
      <c r="R1901" s="0" t="s">
        <v>138</v>
      </c>
      <c r="S1901" s="14">
        <v>0</v>
      </c>
      <c r="T1901" s="0" t="s">
        <v>597</v>
      </c>
      <c r="U1901" s="0" t="s">
        <v>138</v>
      </c>
      <c r="V1901" s="14" t="s">
        <v>138</v>
      </c>
      <c r="W1901" s="0" t="s">
        <v>138</v>
      </c>
      <c r="X1901" s="14" t="s">
        <v>138</v>
      </c>
      <c r="Y1901" s="0" t="s">
        <v>138</v>
      </c>
      <c r="Z1901" s="14" t="s">
        <v>138</v>
      </c>
      <c r="AA1901" s="0" t="s">
        <v>138</v>
      </c>
      <c r="AB1901" s="14" t="s">
        <v>138</v>
      </c>
      <c r="AD1901" s="0" t="s">
        <v>138</v>
      </c>
      <c r="AF1901" s="0">
        <v>0</v>
      </c>
      <c r="AG1901" s="0">
        <v>0</v>
      </c>
      <c r="AH1901" s="0" t="s">
        <v>140</v>
      </c>
      <c r="AI1901" s="0" t="s">
        <v>138</v>
      </c>
      <c r="AL1901" s="14"/>
      <c r="AN1901" s="14"/>
      <c r="AQ1901" s="0" t="s">
        <v>130</v>
      </c>
      <c r="AR1901" s="0" t="s">
        <v>130</v>
      </c>
      <c r="AS1901" s="0" t="s">
        <v>130</v>
      </c>
      <c r="AT1901" s="0" t="s">
        <v>130</v>
      </c>
      <c r="AU1901" s="0" t="s">
        <v>130</v>
      </c>
      <c r="AV1901" s="0" t="s">
        <v>130</v>
      </c>
      <c r="AW1901" s="0" t="s">
        <v>130</v>
      </c>
      <c r="AX1901" s="0" t="s">
        <v>130</v>
      </c>
      <c r="AY1901" s="0" t="s">
        <v>130</v>
      </c>
      <c r="AZ1901" s="0" t="s">
        <v>130</v>
      </c>
      <c r="BA1901" s="0" t="s">
        <v>130</v>
      </c>
      <c r="BB1901" s="0" t="s">
        <v>141</v>
      </c>
      <c r="BC1901" s="0" t="s">
        <v>141</v>
      </c>
      <c r="BD1901" s="0" t="s">
        <v>130</v>
      </c>
      <c r="BE1901" s="0" t="s">
        <v>130</v>
      </c>
      <c r="BF1901" s="0" t="s">
        <v>130</v>
      </c>
      <c r="BG1901" s="0" t="s">
        <v>130</v>
      </c>
      <c r="BH1901" s="0" t="s">
        <v>130</v>
      </c>
      <c r="BI1901" s="0" t="s">
        <v>130</v>
      </c>
      <c r="BJ1901" s="0" t="s">
        <v>130</v>
      </c>
      <c r="BK1901" s="0" t="s">
        <v>130</v>
      </c>
      <c r="BL1901" s="0" t="s">
        <v>130</v>
      </c>
      <c r="BM1901" s="0" t="s">
        <v>130</v>
      </c>
      <c r="BN1901" s="0" t="s">
        <v>130</v>
      </c>
      <c r="BO1901" s="0" t="s">
        <v>130</v>
      </c>
      <c r="BP1901" s="0" t="s">
        <v>130</v>
      </c>
      <c r="BQ1901" s="0" t="s">
        <v>130</v>
      </c>
      <c r="BR1901" s="0" t="s">
        <v>130</v>
      </c>
      <c r="BS1901" s="0" t="s">
        <v>130</v>
      </c>
      <c r="BT1901" s="0" t="s">
        <v>130</v>
      </c>
      <c r="BU1901" s="0" t="s">
        <v>130</v>
      </c>
      <c r="BV1901" s="0" t="s">
        <v>130</v>
      </c>
      <c r="BW1901" s="0" t="s">
        <v>130</v>
      </c>
      <c r="BX1901" s="0" t="s">
        <v>130</v>
      </c>
      <c r="BY1901" s="0" t="s">
        <v>130</v>
      </c>
      <c r="BZ1901" s="0" t="s">
        <v>130</v>
      </c>
      <c r="CA1901" s="0" t="s">
        <v>130</v>
      </c>
      <c r="CB1901" s="0" t="s">
        <v>130</v>
      </c>
      <c r="CC1901" s="0" t="s">
        <v>130</v>
      </c>
      <c r="CD1901" s="0" t="s">
        <v>130</v>
      </c>
      <c r="CE1901" s="0" t="s">
        <v>130</v>
      </c>
      <c r="CF1901" s="0" t="s">
        <v>130</v>
      </c>
      <c r="CG1901" s="0" t="s">
        <v>130</v>
      </c>
      <c r="CH1901" s="0" t="s">
        <v>130</v>
      </c>
      <c r="CI1901" s="0" t="s">
        <v>130</v>
      </c>
      <c r="CJ1901" s="0" t="s">
        <v>130</v>
      </c>
      <c r="CK1901" s="0" t="s">
        <v>130</v>
      </c>
      <c r="CL1901" s="0" t="s">
        <v>130</v>
      </c>
      <c r="CM1901" s="0" t="s">
        <v>130</v>
      </c>
      <c r="CN1901" s="0" t="s">
        <v>130</v>
      </c>
      <c r="CO1901" s="0" t="s">
        <v>130</v>
      </c>
      <c r="CP1901" s="0" t="s">
        <v>130</v>
      </c>
      <c r="CQ1901" s="0" t="s">
        <v>130</v>
      </c>
      <c r="CR1901" s="0" t="s">
        <v>130</v>
      </c>
      <c r="CS1901" s="0" t="s">
        <v>130</v>
      </c>
      <c r="CT1901" s="0" t="s">
        <v>5373</v>
      </c>
    </row>
    <row r="1902">
      <c r="A1902" s="14">
        <v>176795</v>
      </c>
      <c r="B1902" s="0" t="s">
        <v>3127</v>
      </c>
      <c r="C1902" s="16">
        <f>HYPERLINK("https://eosportal.federatedhermes.com/companies/Q29tcGFueQppNjA1NzI=", "Merck KGaA")</f>
      </c>
      <c r="D1902" s="0" t="s">
        <v>25</v>
      </c>
      <c r="E1902" s="0" t="s">
        <v>5374</v>
      </c>
      <c r="F1902" s="16">
        <f>HYPERLINK("https://eosportal.federatedhermes.com/engagements/RW5nYWdlbWVudAppMzEzNTQ=", "Animal Welfare")</f>
      </c>
      <c r="G1902" s="14" t="s">
        <v>5375</v>
      </c>
      <c r="H1902" s="0" t="s">
        <v>130</v>
      </c>
      <c r="I1902" s="14" t="s">
        <v>319</v>
      </c>
      <c r="J1902" s="0" t="s">
        <v>153</v>
      </c>
      <c r="K1902" s="0" t="s">
        <v>185</v>
      </c>
      <c r="L1902" s="0" t="s">
        <v>186</v>
      </c>
      <c r="M1902" s="0" t="s">
        <v>378</v>
      </c>
      <c r="N1902" s="0" t="s">
        <v>2485</v>
      </c>
      <c r="O1902" s="0" t="s">
        <v>274</v>
      </c>
      <c r="Q1902" s="0" t="s">
        <v>130</v>
      </c>
      <c r="R1902" s="0" t="s">
        <v>138</v>
      </c>
      <c r="S1902" s="14">
        <v>0</v>
      </c>
      <c r="T1902" s="0" t="s">
        <v>597</v>
      </c>
      <c r="U1902" s="0" t="s">
        <v>138</v>
      </c>
      <c r="V1902" s="14" t="s">
        <v>138</v>
      </c>
      <c r="W1902" s="0" t="s">
        <v>138</v>
      </c>
      <c r="X1902" s="14" t="s">
        <v>138</v>
      </c>
      <c r="Y1902" s="0" t="s">
        <v>138</v>
      </c>
      <c r="Z1902" s="14" t="s">
        <v>138</v>
      </c>
      <c r="AA1902" s="0" t="s">
        <v>138</v>
      </c>
      <c r="AB1902" s="14" t="s">
        <v>138</v>
      </c>
      <c r="AD1902" s="0" t="s">
        <v>138</v>
      </c>
      <c r="AF1902" s="0">
        <v>0</v>
      </c>
      <c r="AG1902" s="0">
        <v>0</v>
      </c>
      <c r="AH1902" s="0" t="s">
        <v>140</v>
      </c>
      <c r="AI1902" s="0" t="s">
        <v>138</v>
      </c>
      <c r="AL1902" s="14"/>
      <c r="AN1902" s="14"/>
      <c r="AQ1902" s="0" t="s">
        <v>130</v>
      </c>
      <c r="AR1902" s="0" t="s">
        <v>130</v>
      </c>
      <c r="AS1902" s="0" t="s">
        <v>130</v>
      </c>
      <c r="AT1902" s="0" t="s">
        <v>130</v>
      </c>
      <c r="AU1902" s="0" t="s">
        <v>130</v>
      </c>
      <c r="AV1902" s="0" t="s">
        <v>130</v>
      </c>
      <c r="AW1902" s="0" t="s">
        <v>130</v>
      </c>
      <c r="AX1902" s="0" t="s">
        <v>130</v>
      </c>
      <c r="AY1902" s="0" t="s">
        <v>130</v>
      </c>
      <c r="AZ1902" s="0" t="s">
        <v>130</v>
      </c>
      <c r="BA1902" s="0" t="s">
        <v>130</v>
      </c>
      <c r="BB1902" s="0" t="s">
        <v>130</v>
      </c>
      <c r="BC1902" s="0" t="s">
        <v>130</v>
      </c>
      <c r="BD1902" s="0" t="s">
        <v>130</v>
      </c>
      <c r="BE1902" s="0" t="s">
        <v>130</v>
      </c>
      <c r="BF1902" s="0" t="s">
        <v>130</v>
      </c>
      <c r="BG1902" s="0" t="s">
        <v>130</v>
      </c>
      <c r="BH1902" s="0" t="s">
        <v>130</v>
      </c>
      <c r="BI1902" s="0" t="s">
        <v>130</v>
      </c>
      <c r="BJ1902" s="0" t="s">
        <v>130</v>
      </c>
      <c r="BK1902" s="0" t="s">
        <v>130</v>
      </c>
      <c r="BL1902" s="0" t="s">
        <v>130</v>
      </c>
      <c r="BM1902" s="0" t="s">
        <v>130</v>
      </c>
      <c r="BN1902" s="0" t="s">
        <v>130</v>
      </c>
      <c r="BO1902" s="0" t="s">
        <v>130</v>
      </c>
      <c r="BP1902" s="0" t="s">
        <v>130</v>
      </c>
      <c r="BQ1902" s="0" t="s">
        <v>130</v>
      </c>
      <c r="BR1902" s="0" t="s">
        <v>130</v>
      </c>
      <c r="BS1902" s="0" t="s">
        <v>130</v>
      </c>
      <c r="BT1902" s="0" t="s">
        <v>130</v>
      </c>
      <c r="BU1902" s="0" t="s">
        <v>130</v>
      </c>
      <c r="BV1902" s="0" t="s">
        <v>130</v>
      </c>
      <c r="BW1902" s="0" t="s">
        <v>130</v>
      </c>
      <c r="BX1902" s="0" t="s">
        <v>130</v>
      </c>
      <c r="BY1902" s="0" t="s">
        <v>130</v>
      </c>
      <c r="BZ1902" s="0" t="s">
        <v>130</v>
      </c>
      <c r="CA1902" s="0" t="s">
        <v>130</v>
      </c>
      <c r="CB1902" s="0" t="s">
        <v>130</v>
      </c>
      <c r="CC1902" s="0" t="s">
        <v>130</v>
      </c>
      <c r="CD1902" s="0" t="s">
        <v>130</v>
      </c>
      <c r="CE1902" s="0" t="s">
        <v>130</v>
      </c>
      <c r="CF1902" s="0" t="s">
        <v>130</v>
      </c>
      <c r="CG1902" s="0" t="s">
        <v>130</v>
      </c>
      <c r="CH1902" s="0" t="s">
        <v>130</v>
      </c>
      <c r="CI1902" s="0" t="s">
        <v>130</v>
      </c>
      <c r="CJ1902" s="0" t="s">
        <v>130</v>
      </c>
      <c r="CK1902" s="0" t="s">
        <v>130</v>
      </c>
      <c r="CL1902" s="0" t="s">
        <v>130</v>
      </c>
      <c r="CM1902" s="0" t="s">
        <v>130</v>
      </c>
      <c r="CN1902" s="0" t="s">
        <v>130</v>
      </c>
      <c r="CO1902" s="0" t="s">
        <v>130</v>
      </c>
      <c r="CP1902" s="0" t="s">
        <v>130</v>
      </c>
      <c r="CQ1902" s="0" t="s">
        <v>130</v>
      </c>
      <c r="CR1902" s="0" t="s">
        <v>130</v>
      </c>
      <c r="CS1902" s="0" t="s">
        <v>130</v>
      </c>
      <c r="CT1902" s="0" t="s">
        <v>5376</v>
      </c>
    </row>
    <row r="1903">
      <c r="A1903" s="14">
        <v>176795</v>
      </c>
      <c r="B1903" s="0" t="s">
        <v>3127</v>
      </c>
      <c r="C1903" s="16">
        <f>HYPERLINK("https://eosportal.federatedhermes.com/companies/Q29tcGFueQppNjA1NzI=", "Merck KGaA")</f>
      </c>
      <c r="D1903" s="0" t="s">
        <v>25</v>
      </c>
      <c r="E1903" s="0" t="s">
        <v>5377</v>
      </c>
      <c r="F1903" s="16">
        <f>HYPERLINK("https://eosportal.federatedhermes.com/engagements/RW5nYWdlbWVudAppMzEzNTU=", "Supply Chain Risk Assessment")</f>
      </c>
      <c r="G1903" s="14" t="s">
        <v>5378</v>
      </c>
      <c r="H1903" s="0" t="s">
        <v>130</v>
      </c>
      <c r="I1903" s="14" t="s">
        <v>319</v>
      </c>
      <c r="J1903" s="0" t="s">
        <v>153</v>
      </c>
      <c r="K1903" s="0" t="s">
        <v>243</v>
      </c>
      <c r="L1903" s="0" t="s">
        <v>244</v>
      </c>
      <c r="M1903" s="0" t="s">
        <v>378</v>
      </c>
      <c r="N1903" s="0" t="s">
        <v>2485</v>
      </c>
      <c r="O1903" s="0" t="s">
        <v>274</v>
      </c>
      <c r="Q1903" s="0" t="s">
        <v>130</v>
      </c>
      <c r="R1903" s="0" t="s">
        <v>138</v>
      </c>
      <c r="S1903" s="14">
        <v>0</v>
      </c>
      <c r="T1903" s="0" t="s">
        <v>597</v>
      </c>
      <c r="U1903" s="0" t="s">
        <v>138</v>
      </c>
      <c r="V1903" s="14" t="s">
        <v>138</v>
      </c>
      <c r="W1903" s="0" t="s">
        <v>138</v>
      </c>
      <c r="X1903" s="14" t="s">
        <v>138</v>
      </c>
      <c r="Y1903" s="0" t="s">
        <v>138</v>
      </c>
      <c r="Z1903" s="14" t="s">
        <v>138</v>
      </c>
      <c r="AA1903" s="0" t="s">
        <v>138</v>
      </c>
      <c r="AB1903" s="14" t="s">
        <v>138</v>
      </c>
      <c r="AD1903" s="0" t="s">
        <v>138</v>
      </c>
      <c r="AF1903" s="0">
        <v>0</v>
      </c>
      <c r="AG1903" s="0">
        <v>0</v>
      </c>
      <c r="AH1903" s="0" t="s">
        <v>140</v>
      </c>
      <c r="AI1903" s="0" t="s">
        <v>138</v>
      </c>
      <c r="AL1903" s="14"/>
      <c r="AN1903" s="14"/>
      <c r="AQ1903" s="0" t="s">
        <v>130</v>
      </c>
      <c r="AR1903" s="0" t="s">
        <v>130</v>
      </c>
      <c r="AS1903" s="0" t="s">
        <v>130</v>
      </c>
      <c r="AT1903" s="0" t="s">
        <v>130</v>
      </c>
      <c r="AU1903" s="0" t="s">
        <v>130</v>
      </c>
      <c r="AV1903" s="0" t="s">
        <v>130</v>
      </c>
      <c r="AW1903" s="0" t="s">
        <v>130</v>
      </c>
      <c r="AX1903" s="0" t="s">
        <v>141</v>
      </c>
      <c r="AY1903" s="0" t="s">
        <v>130</v>
      </c>
      <c r="AZ1903" s="0" t="s">
        <v>130</v>
      </c>
      <c r="BA1903" s="0" t="s">
        <v>130</v>
      </c>
      <c r="BB1903" s="0" t="s">
        <v>130</v>
      </c>
      <c r="BC1903" s="0" t="s">
        <v>130</v>
      </c>
      <c r="BD1903" s="0" t="s">
        <v>130</v>
      </c>
      <c r="BE1903" s="0" t="s">
        <v>130</v>
      </c>
      <c r="BF1903" s="0" t="s">
        <v>130</v>
      </c>
      <c r="BG1903" s="0" t="s">
        <v>130</v>
      </c>
      <c r="BH1903" s="0" t="s">
        <v>130</v>
      </c>
      <c r="BI1903" s="0" t="s">
        <v>130</v>
      </c>
      <c r="BJ1903" s="0" t="s">
        <v>130</v>
      </c>
      <c r="BK1903" s="0" t="s">
        <v>130</v>
      </c>
      <c r="BL1903" s="0" t="s">
        <v>130</v>
      </c>
      <c r="BM1903" s="0" t="s">
        <v>130</v>
      </c>
      <c r="BN1903" s="0" t="s">
        <v>130</v>
      </c>
      <c r="BO1903" s="0" t="s">
        <v>130</v>
      </c>
      <c r="BP1903" s="0" t="s">
        <v>130</v>
      </c>
      <c r="BQ1903" s="0" t="s">
        <v>130</v>
      </c>
      <c r="BR1903" s="0" t="s">
        <v>130</v>
      </c>
      <c r="BS1903" s="0" t="s">
        <v>130</v>
      </c>
      <c r="BT1903" s="0" t="s">
        <v>130</v>
      </c>
      <c r="BU1903" s="0" t="s">
        <v>130</v>
      </c>
      <c r="BV1903" s="0" t="s">
        <v>130</v>
      </c>
      <c r="BW1903" s="0" t="s">
        <v>130</v>
      </c>
      <c r="BX1903" s="0" t="s">
        <v>130</v>
      </c>
      <c r="BY1903" s="0" t="s">
        <v>130</v>
      </c>
      <c r="BZ1903" s="0" t="s">
        <v>130</v>
      </c>
      <c r="CA1903" s="0" t="s">
        <v>130</v>
      </c>
      <c r="CB1903" s="0" t="s">
        <v>130</v>
      </c>
      <c r="CC1903" s="0" t="s">
        <v>130</v>
      </c>
      <c r="CD1903" s="0" t="s">
        <v>130</v>
      </c>
      <c r="CE1903" s="0" t="s">
        <v>130</v>
      </c>
      <c r="CF1903" s="0" t="s">
        <v>130</v>
      </c>
      <c r="CG1903" s="0" t="s">
        <v>130</v>
      </c>
      <c r="CH1903" s="0" t="s">
        <v>130</v>
      </c>
      <c r="CI1903" s="0" t="s">
        <v>130</v>
      </c>
      <c r="CJ1903" s="0" t="s">
        <v>130</v>
      </c>
      <c r="CK1903" s="0" t="s">
        <v>130</v>
      </c>
      <c r="CL1903" s="0" t="s">
        <v>130</v>
      </c>
      <c r="CM1903" s="0" t="s">
        <v>130</v>
      </c>
      <c r="CN1903" s="0" t="s">
        <v>130</v>
      </c>
      <c r="CO1903" s="0" t="s">
        <v>130</v>
      </c>
      <c r="CP1903" s="0" t="s">
        <v>130</v>
      </c>
      <c r="CQ1903" s="0" t="s">
        <v>130</v>
      </c>
      <c r="CR1903" s="0" t="s">
        <v>130</v>
      </c>
      <c r="CS1903" s="0" t="s">
        <v>130</v>
      </c>
      <c r="CT1903" s="0" t="s">
        <v>5379</v>
      </c>
    </row>
    <row r="1904">
      <c r="A1904" s="14">
        <v>176795</v>
      </c>
      <c r="B1904" s="0" t="s">
        <v>3127</v>
      </c>
      <c r="C1904" s="16">
        <f>HYPERLINK("https://eosportal.federatedhermes.com/companies/Q29tcGFueQppNjA1NzI=", "Merck KGaA")</f>
      </c>
      <c r="D1904" s="0" t="s">
        <v>25</v>
      </c>
      <c r="E1904" s="0" t="s">
        <v>1031</v>
      </c>
      <c r="F1904" s="16">
        <f>HYPERLINK("https://eosportal.federatedhermes.com/engagements/RW5nYWdlbWVudAppMzEzNTY=", "Access to Medicine")</f>
      </c>
      <c r="G1904" s="14" t="s">
        <v>5380</v>
      </c>
      <c r="H1904" s="0" t="s">
        <v>130</v>
      </c>
      <c r="I1904" s="14" t="s">
        <v>319</v>
      </c>
      <c r="J1904" s="0" t="s">
        <v>153</v>
      </c>
      <c r="K1904" s="0" t="s">
        <v>243</v>
      </c>
      <c r="L1904" s="0" t="s">
        <v>292</v>
      </c>
      <c r="M1904" s="0" t="s">
        <v>378</v>
      </c>
      <c r="N1904" s="0" t="s">
        <v>2485</v>
      </c>
      <c r="O1904" s="0" t="s">
        <v>274</v>
      </c>
      <c r="Q1904" s="0" t="s">
        <v>130</v>
      </c>
      <c r="R1904" s="0" t="s">
        <v>138</v>
      </c>
      <c r="S1904" s="14">
        <v>0</v>
      </c>
      <c r="T1904" s="0" t="s">
        <v>597</v>
      </c>
      <c r="U1904" s="0" t="s">
        <v>138</v>
      </c>
      <c r="V1904" s="14" t="s">
        <v>138</v>
      </c>
      <c r="W1904" s="0" t="s">
        <v>138</v>
      </c>
      <c r="X1904" s="14" t="s">
        <v>138</v>
      </c>
      <c r="Y1904" s="0" t="s">
        <v>138</v>
      </c>
      <c r="Z1904" s="14" t="s">
        <v>138</v>
      </c>
      <c r="AA1904" s="0" t="s">
        <v>138</v>
      </c>
      <c r="AB1904" s="14" t="s">
        <v>138</v>
      </c>
      <c r="AD1904" s="0" t="s">
        <v>138</v>
      </c>
      <c r="AF1904" s="0">
        <v>0</v>
      </c>
      <c r="AG1904" s="0">
        <v>0</v>
      </c>
      <c r="AH1904" s="0" t="s">
        <v>140</v>
      </c>
      <c r="AI1904" s="0" t="s">
        <v>138</v>
      </c>
      <c r="AL1904" s="14"/>
      <c r="AN1904" s="14"/>
      <c r="AQ1904" s="0" t="s">
        <v>141</v>
      </c>
      <c r="AR1904" s="0" t="s">
        <v>130</v>
      </c>
      <c r="AS1904" s="0" t="s">
        <v>141</v>
      </c>
      <c r="AT1904" s="0" t="s">
        <v>130</v>
      </c>
      <c r="AU1904" s="0" t="s">
        <v>130</v>
      </c>
      <c r="AV1904" s="0" t="s">
        <v>130</v>
      </c>
      <c r="AW1904" s="0" t="s">
        <v>130</v>
      </c>
      <c r="AX1904" s="0" t="s">
        <v>130</v>
      </c>
      <c r="AY1904" s="0" t="s">
        <v>130</v>
      </c>
      <c r="AZ1904" s="0" t="s">
        <v>130</v>
      </c>
      <c r="BA1904" s="0" t="s">
        <v>130</v>
      </c>
      <c r="BB1904" s="0" t="s">
        <v>130</v>
      </c>
      <c r="BC1904" s="0" t="s">
        <v>130</v>
      </c>
      <c r="BD1904" s="0" t="s">
        <v>130</v>
      </c>
      <c r="BE1904" s="0" t="s">
        <v>130</v>
      </c>
      <c r="BF1904" s="0" t="s">
        <v>130</v>
      </c>
      <c r="BG1904" s="0" t="s">
        <v>130</v>
      </c>
      <c r="BH1904" s="0" t="s">
        <v>130</v>
      </c>
      <c r="BI1904" s="0" t="s">
        <v>130</v>
      </c>
      <c r="BJ1904" s="0" t="s">
        <v>130</v>
      </c>
      <c r="BK1904" s="0" t="s">
        <v>130</v>
      </c>
      <c r="BL1904" s="0" t="s">
        <v>130</v>
      </c>
      <c r="BM1904" s="0" t="s">
        <v>130</v>
      </c>
      <c r="BN1904" s="0" t="s">
        <v>130</v>
      </c>
      <c r="BO1904" s="0" t="s">
        <v>130</v>
      </c>
      <c r="BP1904" s="0" t="s">
        <v>130</v>
      </c>
      <c r="BQ1904" s="0" t="s">
        <v>130</v>
      </c>
      <c r="BR1904" s="0" t="s">
        <v>130</v>
      </c>
      <c r="BS1904" s="0" t="s">
        <v>130</v>
      </c>
      <c r="BT1904" s="0" t="s">
        <v>130</v>
      </c>
      <c r="BU1904" s="0" t="s">
        <v>130</v>
      </c>
      <c r="BV1904" s="0" t="s">
        <v>130</v>
      </c>
      <c r="BW1904" s="0" t="s">
        <v>130</v>
      </c>
      <c r="BX1904" s="0" t="s">
        <v>130</v>
      </c>
      <c r="BY1904" s="0" t="s">
        <v>130</v>
      </c>
      <c r="BZ1904" s="0" t="s">
        <v>130</v>
      </c>
      <c r="CA1904" s="0" t="s">
        <v>130</v>
      </c>
      <c r="CB1904" s="0" t="s">
        <v>130</v>
      </c>
      <c r="CC1904" s="0" t="s">
        <v>130</v>
      </c>
      <c r="CD1904" s="0" t="s">
        <v>130</v>
      </c>
      <c r="CE1904" s="0" t="s">
        <v>130</v>
      </c>
      <c r="CF1904" s="0" t="s">
        <v>130</v>
      </c>
      <c r="CG1904" s="0" t="s">
        <v>130</v>
      </c>
      <c r="CH1904" s="0" t="s">
        <v>130</v>
      </c>
      <c r="CI1904" s="0" t="s">
        <v>130</v>
      </c>
      <c r="CJ1904" s="0" t="s">
        <v>130</v>
      </c>
      <c r="CK1904" s="0" t="s">
        <v>130</v>
      </c>
      <c r="CL1904" s="0" t="s">
        <v>130</v>
      </c>
      <c r="CM1904" s="0" t="s">
        <v>130</v>
      </c>
      <c r="CN1904" s="0" t="s">
        <v>130</v>
      </c>
      <c r="CO1904" s="0" t="s">
        <v>130</v>
      </c>
      <c r="CP1904" s="0" t="s">
        <v>130</v>
      </c>
      <c r="CQ1904" s="0" t="s">
        <v>130</v>
      </c>
      <c r="CR1904" s="0" t="s">
        <v>130</v>
      </c>
      <c r="CS1904" s="0" t="s">
        <v>130</v>
      </c>
      <c r="CT1904" s="0" t="s">
        <v>5381</v>
      </c>
    </row>
    <row r="1905">
      <c r="A1905" s="14">
        <v>101073</v>
      </c>
      <c r="B1905" s="0" t="s">
        <v>1186</v>
      </c>
      <c r="C1905" s="16">
        <f>HYPERLINK("https://eosportal.federatedhermes.com/companies/Q29tcGFueQppNjQzNjY=", "NIKE Inc")</f>
      </c>
      <c r="D1905" s="0" t="s">
        <v>25</v>
      </c>
      <c r="E1905" s="0" t="s">
        <v>5382</v>
      </c>
      <c r="F1905" s="16">
        <f>HYPERLINK("https://eosportal.federatedhermes.com/engagements/RW5nYWdlbWVudAppMzEzNTg=", "Circularity integrated into business strategy")</f>
      </c>
      <c r="G1905" s="14" t="s">
        <v>5383</v>
      </c>
      <c r="H1905" s="0" t="s">
        <v>141</v>
      </c>
      <c r="I1905" s="14" t="s">
        <v>191</v>
      </c>
      <c r="J1905" s="0" t="s">
        <v>197</v>
      </c>
      <c r="K1905" s="0" t="s">
        <v>348</v>
      </c>
      <c r="L1905" s="0" t="s">
        <v>349</v>
      </c>
      <c r="M1905" s="0" t="s">
        <v>135</v>
      </c>
      <c r="N1905" s="0" t="s">
        <v>136</v>
      </c>
      <c r="O1905" s="0" t="s">
        <v>332</v>
      </c>
      <c r="Q1905" s="0" t="s">
        <v>141</v>
      </c>
      <c r="R1905" s="0" t="s">
        <v>138</v>
      </c>
      <c r="S1905" s="14">
        <v>2</v>
      </c>
      <c r="T1905" s="0" t="s">
        <v>2270</v>
      </c>
      <c r="U1905" s="0" t="s">
        <v>138</v>
      </c>
      <c r="V1905" s="14" t="s">
        <v>138</v>
      </c>
      <c r="W1905" s="0" t="s">
        <v>138</v>
      </c>
      <c r="X1905" s="14" t="s">
        <v>138</v>
      </c>
      <c r="Y1905" s="0" t="s">
        <v>138</v>
      </c>
      <c r="Z1905" s="14" t="s">
        <v>138</v>
      </c>
      <c r="AA1905" s="0" t="s">
        <v>138</v>
      </c>
      <c r="AB1905" s="14" t="s">
        <v>138</v>
      </c>
      <c r="AD1905" s="0" t="s">
        <v>138</v>
      </c>
      <c r="AF1905" s="0">
        <v>0</v>
      </c>
      <c r="AG1905" s="0">
        <v>0</v>
      </c>
      <c r="AH1905" s="0" t="s">
        <v>140</v>
      </c>
      <c r="AI1905" s="0" t="s">
        <v>138</v>
      </c>
      <c r="AK1905" s="0" t="s">
        <v>1196</v>
      </c>
      <c r="AL1905" s="14"/>
      <c r="AN1905" s="14"/>
      <c r="AQ1905" s="0" t="s">
        <v>130</v>
      </c>
      <c r="AR1905" s="0" t="s">
        <v>130</v>
      </c>
      <c r="AS1905" s="0" t="s">
        <v>130</v>
      </c>
      <c r="AT1905" s="0" t="s">
        <v>130</v>
      </c>
      <c r="AU1905" s="0" t="s">
        <v>130</v>
      </c>
      <c r="AV1905" s="0" t="s">
        <v>130</v>
      </c>
      <c r="AW1905" s="0" t="s">
        <v>130</v>
      </c>
      <c r="AX1905" s="0" t="s">
        <v>130</v>
      </c>
      <c r="AY1905" s="0" t="s">
        <v>130</v>
      </c>
      <c r="AZ1905" s="0" t="s">
        <v>130</v>
      </c>
      <c r="BA1905" s="0" t="s">
        <v>130</v>
      </c>
      <c r="BB1905" s="0" t="s">
        <v>141</v>
      </c>
      <c r="BC1905" s="0" t="s">
        <v>130</v>
      </c>
      <c r="BD1905" s="0" t="s">
        <v>130</v>
      </c>
      <c r="BE1905" s="0" t="s">
        <v>130</v>
      </c>
      <c r="BF1905" s="0" t="s">
        <v>130</v>
      </c>
      <c r="BG1905" s="0" t="s">
        <v>130</v>
      </c>
      <c r="BH1905" s="0" t="s">
        <v>130</v>
      </c>
      <c r="BI1905" s="0" t="s">
        <v>130</v>
      </c>
      <c r="BJ1905" s="0" t="s">
        <v>130</v>
      </c>
      <c r="BK1905" s="0" t="s">
        <v>130</v>
      </c>
      <c r="BL1905" s="0" t="s">
        <v>130</v>
      </c>
      <c r="BM1905" s="0" t="s">
        <v>130</v>
      </c>
      <c r="BN1905" s="0" t="s">
        <v>130</v>
      </c>
      <c r="BO1905" s="0" t="s">
        <v>130</v>
      </c>
      <c r="BP1905" s="0" t="s">
        <v>130</v>
      </c>
      <c r="BQ1905" s="0" t="s">
        <v>130</v>
      </c>
      <c r="BR1905" s="0" t="s">
        <v>130</v>
      </c>
      <c r="BS1905" s="0" t="s">
        <v>130</v>
      </c>
      <c r="BT1905" s="0" t="s">
        <v>130</v>
      </c>
      <c r="BU1905" s="0" t="s">
        <v>130</v>
      </c>
      <c r="BV1905" s="0" t="s">
        <v>130</v>
      </c>
      <c r="BW1905" s="0" t="s">
        <v>130</v>
      </c>
      <c r="BX1905" s="0" t="s">
        <v>130</v>
      </c>
      <c r="BY1905" s="0" t="s">
        <v>130</v>
      </c>
      <c r="BZ1905" s="0" t="s">
        <v>130</v>
      </c>
      <c r="CA1905" s="0" t="s">
        <v>130</v>
      </c>
      <c r="CB1905" s="0" t="s">
        <v>130</v>
      </c>
      <c r="CC1905" s="0" t="s">
        <v>130</v>
      </c>
      <c r="CD1905" s="0" t="s">
        <v>141</v>
      </c>
      <c r="CE1905" s="0" t="s">
        <v>130</v>
      </c>
      <c r="CF1905" s="0" t="s">
        <v>130</v>
      </c>
      <c r="CG1905" s="0" t="s">
        <v>130</v>
      </c>
      <c r="CH1905" s="0" t="s">
        <v>130</v>
      </c>
      <c r="CI1905" s="0" t="s">
        <v>130</v>
      </c>
      <c r="CJ1905" s="0" t="s">
        <v>130</v>
      </c>
      <c r="CK1905" s="0" t="s">
        <v>130</v>
      </c>
      <c r="CL1905" s="0" t="s">
        <v>130</v>
      </c>
      <c r="CM1905" s="0" t="s">
        <v>130</v>
      </c>
      <c r="CN1905" s="0" t="s">
        <v>130</v>
      </c>
      <c r="CO1905" s="0" t="s">
        <v>130</v>
      </c>
      <c r="CP1905" s="0" t="s">
        <v>130</v>
      </c>
      <c r="CQ1905" s="0" t="s">
        <v>130</v>
      </c>
      <c r="CR1905" s="0" t="s">
        <v>130</v>
      </c>
      <c r="CS1905" s="0" t="s">
        <v>130</v>
      </c>
      <c r="CT1905" s="0" t="s">
        <v>5384</v>
      </c>
    </row>
    <row r="1906">
      <c r="A1906" s="14">
        <v>115802</v>
      </c>
      <c r="B1906" s="0" t="s">
        <v>2733</v>
      </c>
      <c r="C1906" s="16">
        <f>HYPERLINK("https://eosportal.federatedhermes.com/companies/Q29tcGFueQppNjQzODQ=", "Power Assets Holdings Ltd")</f>
      </c>
      <c r="D1906" s="0" t="s">
        <v>25</v>
      </c>
      <c r="E1906" s="0" t="s">
        <v>459</v>
      </c>
      <c r="F1906" s="16">
        <f>HYPERLINK("https://eosportal.federatedhermes.com/engagements/RW5nYWdlbWVudAppMzEzNTk=", "Human capital management")</f>
      </c>
      <c r="G1906" s="14" t="s">
        <v>5363</v>
      </c>
      <c r="H1906" s="0" t="s">
        <v>141</v>
      </c>
      <c r="I1906" s="14" t="s">
        <v>191</v>
      </c>
      <c r="J1906" s="0" t="s">
        <v>153</v>
      </c>
      <c r="K1906" s="0" t="s">
        <v>243</v>
      </c>
      <c r="L1906" s="0" t="s">
        <v>456</v>
      </c>
      <c r="M1906" s="0" t="s">
        <v>802</v>
      </c>
      <c r="N1906" s="0" t="s">
        <v>803</v>
      </c>
      <c r="O1906" s="0" t="s">
        <v>192</v>
      </c>
      <c r="Q1906" s="0" t="s">
        <v>130</v>
      </c>
      <c r="R1906" s="0" t="s">
        <v>138</v>
      </c>
      <c r="S1906" s="14">
        <v>0</v>
      </c>
      <c r="T1906" s="0" t="s">
        <v>583</v>
      </c>
      <c r="U1906" s="0" t="s">
        <v>138</v>
      </c>
      <c r="V1906" s="14" t="s">
        <v>138</v>
      </c>
      <c r="W1906" s="0" t="s">
        <v>138</v>
      </c>
      <c r="X1906" s="14" t="s">
        <v>138</v>
      </c>
      <c r="Y1906" s="0" t="s">
        <v>138</v>
      </c>
      <c r="Z1906" s="14" t="s">
        <v>138</v>
      </c>
      <c r="AA1906" s="0" t="s">
        <v>138</v>
      </c>
      <c r="AB1906" s="14" t="s">
        <v>138</v>
      </c>
      <c r="AD1906" s="0" t="s">
        <v>138</v>
      </c>
      <c r="AF1906" s="0">
        <v>0</v>
      </c>
      <c r="AG1906" s="0">
        <v>0</v>
      </c>
      <c r="AH1906" s="0" t="s">
        <v>140</v>
      </c>
      <c r="AI1906" s="0" t="s">
        <v>138</v>
      </c>
      <c r="AL1906" s="14"/>
      <c r="AN1906" s="14"/>
      <c r="AQ1906" s="0" t="s">
        <v>130</v>
      </c>
      <c r="AR1906" s="0" t="s">
        <v>130</v>
      </c>
      <c r="AS1906" s="0" t="s">
        <v>130</v>
      </c>
      <c r="AT1906" s="0" t="s">
        <v>130</v>
      </c>
      <c r="AU1906" s="0" t="s">
        <v>130</v>
      </c>
      <c r="AV1906" s="0" t="s">
        <v>130</v>
      </c>
      <c r="AW1906" s="0" t="s">
        <v>130</v>
      </c>
      <c r="AX1906" s="0" t="s">
        <v>141</v>
      </c>
      <c r="AY1906" s="0" t="s">
        <v>130</v>
      </c>
      <c r="AZ1906" s="0" t="s">
        <v>130</v>
      </c>
      <c r="BA1906" s="0" t="s">
        <v>130</v>
      </c>
      <c r="BB1906" s="0" t="s">
        <v>130</v>
      </c>
      <c r="BC1906" s="0" t="s">
        <v>130</v>
      </c>
      <c r="BD1906" s="0" t="s">
        <v>130</v>
      </c>
      <c r="BE1906" s="0" t="s">
        <v>130</v>
      </c>
      <c r="BF1906" s="0" t="s">
        <v>141</v>
      </c>
      <c r="BG1906" s="0" t="s">
        <v>130</v>
      </c>
      <c r="BH1906" s="0" t="s">
        <v>130</v>
      </c>
      <c r="BI1906" s="0" t="s">
        <v>130</v>
      </c>
      <c r="BJ1906" s="0" t="s">
        <v>130</v>
      </c>
      <c r="BK1906" s="0" t="s">
        <v>130</v>
      </c>
      <c r="BL1906" s="0" t="s">
        <v>130</v>
      </c>
      <c r="BM1906" s="0" t="s">
        <v>130</v>
      </c>
      <c r="BN1906" s="0" t="s">
        <v>130</v>
      </c>
      <c r="BO1906" s="0" t="s">
        <v>130</v>
      </c>
      <c r="BP1906" s="0" t="s">
        <v>130</v>
      </c>
      <c r="BQ1906" s="0" t="s">
        <v>130</v>
      </c>
      <c r="BR1906" s="0" t="s">
        <v>130</v>
      </c>
      <c r="BS1906" s="0" t="s">
        <v>130</v>
      </c>
      <c r="BT1906" s="0" t="s">
        <v>130</v>
      </c>
      <c r="BU1906" s="0" t="s">
        <v>130</v>
      </c>
      <c r="BV1906" s="0" t="s">
        <v>130</v>
      </c>
      <c r="BW1906" s="0" t="s">
        <v>130</v>
      </c>
      <c r="BX1906" s="0" t="s">
        <v>130</v>
      </c>
      <c r="BY1906" s="0" t="s">
        <v>130</v>
      </c>
      <c r="BZ1906" s="0" t="s">
        <v>130</v>
      </c>
      <c r="CA1906" s="0" t="s">
        <v>130</v>
      </c>
      <c r="CB1906" s="0" t="s">
        <v>130</v>
      </c>
      <c r="CC1906" s="0" t="s">
        <v>130</v>
      </c>
      <c r="CD1906" s="0" t="s">
        <v>130</v>
      </c>
      <c r="CE1906" s="0" t="s">
        <v>130</v>
      </c>
      <c r="CF1906" s="0" t="s">
        <v>130</v>
      </c>
      <c r="CG1906" s="0" t="s">
        <v>130</v>
      </c>
      <c r="CH1906" s="0" t="s">
        <v>130</v>
      </c>
      <c r="CI1906" s="0" t="s">
        <v>130</v>
      </c>
      <c r="CJ1906" s="0" t="s">
        <v>130</v>
      </c>
      <c r="CK1906" s="0" t="s">
        <v>130</v>
      </c>
      <c r="CL1906" s="0" t="s">
        <v>130</v>
      </c>
      <c r="CM1906" s="0" t="s">
        <v>130</v>
      </c>
      <c r="CN1906" s="0" t="s">
        <v>130</v>
      </c>
      <c r="CO1906" s="0" t="s">
        <v>130</v>
      </c>
      <c r="CP1906" s="0" t="s">
        <v>130</v>
      </c>
      <c r="CQ1906" s="0" t="s">
        <v>130</v>
      </c>
      <c r="CR1906" s="0" t="s">
        <v>130</v>
      </c>
      <c r="CS1906" s="0" t="s">
        <v>130</v>
      </c>
      <c r="CT1906" s="0" t="s">
        <v>5385</v>
      </c>
    </row>
    <row r="1907">
      <c r="A1907" s="14">
        <v>186830</v>
      </c>
      <c r="B1907" s="0" t="s">
        <v>3247</v>
      </c>
      <c r="C1907" s="16">
        <f>HYPERLINK("https://eosportal.federatedhermes.com/companies/Q29tcGFueQppNjc3NTE=", "Banco BTG Pactual SA")</f>
      </c>
      <c r="D1907" s="0" t="s">
        <v>25</v>
      </c>
      <c r="E1907" s="0" t="s">
        <v>5386</v>
      </c>
      <c r="F1907" s="16">
        <f>HYPERLINK("https://eosportal.federatedhermes.com/engagements/RW5nYWdlbWVudAppMzEzNjI=", "Diversity &amp; Inclusion Strategy Evolution")</f>
      </c>
      <c r="G1907" s="14" t="s">
        <v>5387</v>
      </c>
      <c r="H1907" s="0" t="s">
        <v>130</v>
      </c>
      <c r="I1907" s="14" t="s">
        <v>131</v>
      </c>
      <c r="J1907" s="0" t="s">
        <v>153</v>
      </c>
      <c r="K1907" s="0" t="s">
        <v>154</v>
      </c>
      <c r="L1907" s="0" t="s">
        <v>268</v>
      </c>
      <c r="M1907" s="0" t="s">
        <v>2807</v>
      </c>
      <c r="N1907" s="0" t="s">
        <v>3041</v>
      </c>
      <c r="O1907" s="0" t="s">
        <v>238</v>
      </c>
      <c r="Q1907" s="0" t="s">
        <v>130</v>
      </c>
      <c r="R1907" s="0" t="s">
        <v>138</v>
      </c>
      <c r="S1907" s="14">
        <v>0</v>
      </c>
      <c r="T1907" s="0" t="s">
        <v>2270</v>
      </c>
      <c r="U1907" s="0" t="s">
        <v>138</v>
      </c>
      <c r="V1907" s="14" t="s">
        <v>138</v>
      </c>
      <c r="W1907" s="0" t="s">
        <v>138</v>
      </c>
      <c r="X1907" s="14" t="s">
        <v>138</v>
      </c>
      <c r="Y1907" s="0" t="s">
        <v>138</v>
      </c>
      <c r="Z1907" s="14" t="s">
        <v>138</v>
      </c>
      <c r="AA1907" s="0" t="s">
        <v>138</v>
      </c>
      <c r="AB1907" s="14" t="s">
        <v>138</v>
      </c>
      <c r="AD1907" s="0" t="s">
        <v>138</v>
      </c>
      <c r="AF1907" s="0">
        <v>0</v>
      </c>
      <c r="AG1907" s="0">
        <v>0</v>
      </c>
      <c r="AH1907" s="0" t="s">
        <v>140</v>
      </c>
      <c r="AI1907" s="0" t="s">
        <v>138</v>
      </c>
      <c r="AL1907" s="14"/>
      <c r="AN1907" s="14"/>
      <c r="AQ1907" s="0" t="s">
        <v>130</v>
      </c>
      <c r="AR1907" s="0" t="s">
        <v>130</v>
      </c>
      <c r="AS1907" s="0" t="s">
        <v>130</v>
      </c>
      <c r="AT1907" s="0" t="s">
        <v>130</v>
      </c>
      <c r="AU1907" s="0" t="s">
        <v>141</v>
      </c>
      <c r="AV1907" s="0" t="s">
        <v>130</v>
      </c>
      <c r="AW1907" s="0" t="s">
        <v>130</v>
      </c>
      <c r="AX1907" s="0" t="s">
        <v>130</v>
      </c>
      <c r="AY1907" s="0" t="s">
        <v>130</v>
      </c>
      <c r="AZ1907" s="0" t="s">
        <v>130</v>
      </c>
      <c r="BA1907" s="0" t="s">
        <v>130</v>
      </c>
      <c r="BB1907" s="0" t="s">
        <v>130</v>
      </c>
      <c r="BC1907" s="0" t="s">
        <v>130</v>
      </c>
      <c r="BD1907" s="0" t="s">
        <v>130</v>
      </c>
      <c r="BE1907" s="0" t="s">
        <v>130</v>
      </c>
      <c r="BF1907" s="0" t="s">
        <v>130</v>
      </c>
      <c r="BG1907" s="0" t="s">
        <v>130</v>
      </c>
      <c r="BH1907" s="0" t="s">
        <v>130</v>
      </c>
      <c r="BI1907" s="0" t="s">
        <v>130</v>
      </c>
      <c r="BJ1907" s="0" t="s">
        <v>130</v>
      </c>
      <c r="BK1907" s="0" t="s">
        <v>130</v>
      </c>
      <c r="BL1907" s="0" t="s">
        <v>130</v>
      </c>
      <c r="BM1907" s="0" t="s">
        <v>130</v>
      </c>
      <c r="BN1907" s="0" t="s">
        <v>130</v>
      </c>
      <c r="BO1907" s="0" t="s">
        <v>130</v>
      </c>
      <c r="BP1907" s="0" t="s">
        <v>130</v>
      </c>
      <c r="BQ1907" s="0" t="s">
        <v>130</v>
      </c>
      <c r="BR1907" s="0" t="s">
        <v>130</v>
      </c>
      <c r="BS1907" s="0" t="s">
        <v>130</v>
      </c>
      <c r="BT1907" s="0" t="s">
        <v>130</v>
      </c>
      <c r="BU1907" s="0" t="s">
        <v>130</v>
      </c>
      <c r="BV1907" s="0" t="s">
        <v>130</v>
      </c>
      <c r="BW1907" s="0" t="s">
        <v>130</v>
      </c>
      <c r="BX1907" s="0" t="s">
        <v>130</v>
      </c>
      <c r="BY1907" s="0" t="s">
        <v>130</v>
      </c>
      <c r="BZ1907" s="0" t="s">
        <v>130</v>
      </c>
      <c r="CA1907" s="0" t="s">
        <v>130</v>
      </c>
      <c r="CB1907" s="0" t="s">
        <v>130</v>
      </c>
      <c r="CC1907" s="0" t="s">
        <v>130</v>
      </c>
      <c r="CD1907" s="0" t="s">
        <v>130</v>
      </c>
      <c r="CE1907" s="0" t="s">
        <v>130</v>
      </c>
      <c r="CF1907" s="0" t="s">
        <v>130</v>
      </c>
      <c r="CG1907" s="0" t="s">
        <v>130</v>
      </c>
      <c r="CH1907" s="0" t="s">
        <v>130</v>
      </c>
      <c r="CI1907" s="0" t="s">
        <v>130</v>
      </c>
      <c r="CJ1907" s="0" t="s">
        <v>130</v>
      </c>
      <c r="CK1907" s="0" t="s">
        <v>141</v>
      </c>
      <c r="CL1907" s="0" t="s">
        <v>130</v>
      </c>
      <c r="CM1907" s="0" t="s">
        <v>130</v>
      </c>
      <c r="CN1907" s="0" t="s">
        <v>130</v>
      </c>
      <c r="CO1907" s="0" t="s">
        <v>130</v>
      </c>
      <c r="CP1907" s="0" t="s">
        <v>130</v>
      </c>
      <c r="CQ1907" s="0" t="s">
        <v>130</v>
      </c>
      <c r="CR1907" s="0" t="s">
        <v>130</v>
      </c>
      <c r="CS1907" s="0" t="s">
        <v>130</v>
      </c>
      <c r="CT1907" s="0" t="s">
        <v>5388</v>
      </c>
    </row>
    <row r="1908">
      <c r="A1908" s="14">
        <v>58121995</v>
      </c>
      <c r="B1908" s="0" t="s">
        <v>4629</v>
      </c>
      <c r="C1908" s="16">
        <f>HYPERLINK("https://eosportal.federatedhermes.com/companies/Q29tcGFueQppNzM3OTU=", "Nutrien Ltd")</f>
      </c>
      <c r="D1908" s="0" t="s">
        <v>25</v>
      </c>
      <c r="E1908" s="0" t="s">
        <v>5368</v>
      </c>
      <c r="F1908" s="16">
        <f>HYPERLINK("https://eosportal.federatedhermes.com/engagements/RW5nYWdlbWVudAppMzEzNjc=", "Hazardous substance management")</f>
      </c>
      <c r="G1908" s="14" t="s">
        <v>5389</v>
      </c>
      <c r="H1908" s="0" t="s">
        <v>141</v>
      </c>
      <c r="I1908" s="14" t="s">
        <v>131</v>
      </c>
      <c r="J1908" s="0" t="s">
        <v>197</v>
      </c>
      <c r="K1908" s="0" t="s">
        <v>348</v>
      </c>
      <c r="L1908" s="0" t="s">
        <v>650</v>
      </c>
      <c r="M1908" s="0" t="s">
        <v>135</v>
      </c>
      <c r="N1908" s="0" t="s">
        <v>1678</v>
      </c>
      <c r="O1908" s="0" t="s">
        <v>706</v>
      </c>
      <c r="Q1908" s="0" t="s">
        <v>141</v>
      </c>
      <c r="R1908" s="0" t="s">
        <v>138</v>
      </c>
      <c r="S1908" s="14">
        <v>1</v>
      </c>
      <c r="T1908" s="0" t="s">
        <v>2270</v>
      </c>
      <c r="U1908" s="0" t="s">
        <v>138</v>
      </c>
      <c r="V1908" s="14" t="s">
        <v>138</v>
      </c>
      <c r="W1908" s="0" t="s">
        <v>138</v>
      </c>
      <c r="X1908" s="14" t="s">
        <v>138</v>
      </c>
      <c r="Y1908" s="0" t="s">
        <v>138</v>
      </c>
      <c r="Z1908" s="14" t="s">
        <v>138</v>
      </c>
      <c r="AA1908" s="0" t="s">
        <v>138</v>
      </c>
      <c r="AB1908" s="14" t="s">
        <v>138</v>
      </c>
      <c r="AD1908" s="0" t="s">
        <v>138</v>
      </c>
      <c r="AF1908" s="0">
        <v>0</v>
      </c>
      <c r="AG1908" s="0">
        <v>0</v>
      </c>
      <c r="AH1908" s="0" t="s">
        <v>140</v>
      </c>
      <c r="AI1908" s="0" t="s">
        <v>138</v>
      </c>
      <c r="AK1908" s="0" t="s">
        <v>714</v>
      </c>
      <c r="AL1908" s="14"/>
      <c r="AN1908" s="14"/>
      <c r="AQ1908" s="0" t="s">
        <v>130</v>
      </c>
      <c r="AR1908" s="0" t="s">
        <v>130</v>
      </c>
      <c r="AS1908" s="0" t="s">
        <v>141</v>
      </c>
      <c r="AT1908" s="0" t="s">
        <v>130</v>
      </c>
      <c r="AU1908" s="0" t="s">
        <v>130</v>
      </c>
      <c r="AV1908" s="0" t="s">
        <v>130</v>
      </c>
      <c r="AW1908" s="0" t="s">
        <v>130</v>
      </c>
      <c r="AX1908" s="0" t="s">
        <v>130</v>
      </c>
      <c r="AY1908" s="0" t="s">
        <v>130</v>
      </c>
      <c r="AZ1908" s="0" t="s">
        <v>130</v>
      </c>
      <c r="BA1908" s="0" t="s">
        <v>130</v>
      </c>
      <c r="BB1908" s="0" t="s">
        <v>141</v>
      </c>
      <c r="BC1908" s="0" t="s">
        <v>130</v>
      </c>
      <c r="BD1908" s="0" t="s">
        <v>130</v>
      </c>
      <c r="BE1908" s="0" t="s">
        <v>130</v>
      </c>
      <c r="BF1908" s="0" t="s">
        <v>130</v>
      </c>
      <c r="BG1908" s="0" t="s">
        <v>130</v>
      </c>
      <c r="BH1908" s="0" t="s">
        <v>130</v>
      </c>
      <c r="BI1908" s="0" t="s">
        <v>130</v>
      </c>
      <c r="BJ1908" s="0" t="s">
        <v>130</v>
      </c>
      <c r="BK1908" s="0" t="s">
        <v>130</v>
      </c>
      <c r="BL1908" s="0" t="s">
        <v>130</v>
      </c>
      <c r="BM1908" s="0" t="s">
        <v>130</v>
      </c>
      <c r="BN1908" s="0" t="s">
        <v>130</v>
      </c>
      <c r="BO1908" s="0" t="s">
        <v>130</v>
      </c>
      <c r="BP1908" s="0" t="s">
        <v>130</v>
      </c>
      <c r="BQ1908" s="0" t="s">
        <v>130</v>
      </c>
      <c r="BR1908" s="0" t="s">
        <v>130</v>
      </c>
      <c r="BS1908" s="0" t="s">
        <v>130</v>
      </c>
      <c r="BT1908" s="0" t="s">
        <v>130</v>
      </c>
      <c r="BU1908" s="0" t="s">
        <v>130</v>
      </c>
      <c r="BV1908" s="0" t="s">
        <v>130</v>
      </c>
      <c r="BW1908" s="0" t="s">
        <v>130</v>
      </c>
      <c r="BX1908" s="0" t="s">
        <v>130</v>
      </c>
      <c r="BY1908" s="0" t="s">
        <v>130</v>
      </c>
      <c r="BZ1908" s="0" t="s">
        <v>130</v>
      </c>
      <c r="CA1908" s="0" t="s">
        <v>130</v>
      </c>
      <c r="CB1908" s="0" t="s">
        <v>130</v>
      </c>
      <c r="CC1908" s="0" t="s">
        <v>130</v>
      </c>
      <c r="CD1908" s="0" t="s">
        <v>130</v>
      </c>
      <c r="CE1908" s="0" t="s">
        <v>130</v>
      </c>
      <c r="CF1908" s="0" t="s">
        <v>130</v>
      </c>
      <c r="CG1908" s="0" t="s">
        <v>130</v>
      </c>
      <c r="CH1908" s="0" t="s">
        <v>130</v>
      </c>
      <c r="CI1908" s="0" t="s">
        <v>130</v>
      </c>
      <c r="CJ1908" s="0" t="s">
        <v>130</v>
      </c>
      <c r="CK1908" s="0" t="s">
        <v>130</v>
      </c>
      <c r="CL1908" s="0" t="s">
        <v>130</v>
      </c>
      <c r="CM1908" s="0" t="s">
        <v>130</v>
      </c>
      <c r="CN1908" s="0" t="s">
        <v>130</v>
      </c>
      <c r="CO1908" s="0" t="s">
        <v>130</v>
      </c>
      <c r="CP1908" s="0" t="s">
        <v>130</v>
      </c>
      <c r="CQ1908" s="0" t="s">
        <v>130</v>
      </c>
      <c r="CR1908" s="0" t="s">
        <v>130</v>
      </c>
      <c r="CS1908" s="0" t="s">
        <v>130</v>
      </c>
      <c r="CT1908" s="0" t="s">
        <v>5390</v>
      </c>
    </row>
    <row r="1909">
      <c r="A1909" s="14">
        <v>100315</v>
      </c>
      <c r="B1909" s="0" t="s">
        <v>539</v>
      </c>
      <c r="C1909" s="16">
        <f>HYPERLINK("https://eosportal.federatedhermes.com/companies/Q29tcGFueQppNzcwNTA=", "Chevron Corp")</f>
      </c>
      <c r="D1909" s="0" t="s">
        <v>25</v>
      </c>
      <c r="E1909" s="0" t="s">
        <v>5391</v>
      </c>
      <c r="F1909" s="16">
        <f>HYPERLINK("https://eosportal.federatedhermes.com/engagements/RW5nYWdlbWVudAppMzEzNzI=", "Green energy strategy transparency")</f>
      </c>
      <c r="G1909" s="14" t="s">
        <v>5392</v>
      </c>
      <c r="H1909" s="0" t="s">
        <v>141</v>
      </c>
      <c r="I1909" s="14" t="s">
        <v>191</v>
      </c>
      <c r="J1909" s="0" t="s">
        <v>197</v>
      </c>
      <c r="K1909" s="0" t="s">
        <v>198</v>
      </c>
      <c r="L1909" s="0" t="s">
        <v>216</v>
      </c>
      <c r="M1909" s="0" t="s">
        <v>135</v>
      </c>
      <c r="N1909" s="0" t="s">
        <v>136</v>
      </c>
      <c r="O1909" s="0" t="s">
        <v>542</v>
      </c>
      <c r="Q1909" s="0" t="s">
        <v>130</v>
      </c>
      <c r="R1909" s="0" t="s">
        <v>138</v>
      </c>
      <c r="S1909" s="14">
        <v>0</v>
      </c>
      <c r="T1909" s="0" t="s">
        <v>597</v>
      </c>
      <c r="U1909" s="0" t="s">
        <v>138</v>
      </c>
      <c r="V1909" s="14" t="s">
        <v>138</v>
      </c>
      <c r="W1909" s="0" t="s">
        <v>138</v>
      </c>
      <c r="X1909" s="14" t="s">
        <v>138</v>
      </c>
      <c r="Y1909" s="0" t="s">
        <v>138</v>
      </c>
      <c r="Z1909" s="14" t="s">
        <v>138</v>
      </c>
      <c r="AA1909" s="0" t="s">
        <v>138</v>
      </c>
      <c r="AB1909" s="14" t="s">
        <v>138</v>
      </c>
      <c r="AD1909" s="0" t="s">
        <v>138</v>
      </c>
      <c r="AF1909" s="0">
        <v>0</v>
      </c>
      <c r="AG1909" s="0">
        <v>0</v>
      </c>
      <c r="AH1909" s="0" t="s">
        <v>140</v>
      </c>
      <c r="AI1909" s="0" t="s">
        <v>138</v>
      </c>
      <c r="AL1909" s="14"/>
      <c r="AN1909" s="14"/>
      <c r="AQ1909" s="0" t="s">
        <v>130</v>
      </c>
      <c r="AR1909" s="0" t="s">
        <v>130</v>
      </c>
      <c r="AS1909" s="0" t="s">
        <v>130</v>
      </c>
      <c r="AT1909" s="0" t="s">
        <v>130</v>
      </c>
      <c r="AU1909" s="0" t="s">
        <v>130</v>
      </c>
      <c r="AV1909" s="0" t="s">
        <v>130</v>
      </c>
      <c r="AW1909" s="0" t="s">
        <v>141</v>
      </c>
      <c r="AX1909" s="0" t="s">
        <v>130</v>
      </c>
      <c r="AY1909" s="0" t="s">
        <v>130</v>
      </c>
      <c r="AZ1909" s="0" t="s">
        <v>130</v>
      </c>
      <c r="BA1909" s="0" t="s">
        <v>130</v>
      </c>
      <c r="BB1909" s="0" t="s">
        <v>130</v>
      </c>
      <c r="BC1909" s="0" t="s">
        <v>141</v>
      </c>
      <c r="BD1909" s="0" t="s">
        <v>130</v>
      </c>
      <c r="BE1909" s="0" t="s">
        <v>130</v>
      </c>
      <c r="BF1909" s="0" t="s">
        <v>130</v>
      </c>
      <c r="BG1909" s="0" t="s">
        <v>130</v>
      </c>
      <c r="BH1909" s="0" t="s">
        <v>141</v>
      </c>
      <c r="BI1909" s="0" t="s">
        <v>141</v>
      </c>
      <c r="BJ1909" s="0" t="s">
        <v>141</v>
      </c>
      <c r="BK1909" s="0" t="s">
        <v>130</v>
      </c>
      <c r="BL1909" s="0" t="s">
        <v>130</v>
      </c>
      <c r="BM1909" s="0" t="s">
        <v>130</v>
      </c>
      <c r="BN1909" s="0" t="s">
        <v>130</v>
      </c>
      <c r="BO1909" s="0" t="s">
        <v>130</v>
      </c>
      <c r="BP1909" s="0" t="s">
        <v>130</v>
      </c>
      <c r="BQ1909" s="0" t="s">
        <v>130</v>
      </c>
      <c r="BR1909" s="0" t="s">
        <v>130</v>
      </c>
      <c r="BS1909" s="0" t="s">
        <v>130</v>
      </c>
      <c r="BT1909" s="0" t="s">
        <v>130</v>
      </c>
      <c r="BU1909" s="0" t="s">
        <v>130</v>
      </c>
      <c r="BV1909" s="0" t="s">
        <v>141</v>
      </c>
      <c r="BW1909" s="0" t="s">
        <v>141</v>
      </c>
      <c r="BX1909" s="0" t="s">
        <v>130</v>
      </c>
      <c r="BY1909" s="0" t="s">
        <v>130</v>
      </c>
      <c r="BZ1909" s="0" t="s">
        <v>130</v>
      </c>
      <c r="CA1909" s="0" t="s">
        <v>130</v>
      </c>
      <c r="CB1909" s="0" t="s">
        <v>130</v>
      </c>
      <c r="CC1909" s="0" t="s">
        <v>130</v>
      </c>
      <c r="CD1909" s="0" t="s">
        <v>130</v>
      </c>
      <c r="CE1909" s="0" t="s">
        <v>130</v>
      </c>
      <c r="CF1909" s="0" t="s">
        <v>130</v>
      </c>
      <c r="CG1909" s="0" t="s">
        <v>130</v>
      </c>
      <c r="CH1909" s="0" t="s">
        <v>130</v>
      </c>
      <c r="CI1909" s="0" t="s">
        <v>130</v>
      </c>
      <c r="CJ1909" s="0" t="s">
        <v>130</v>
      </c>
      <c r="CK1909" s="0" t="s">
        <v>130</v>
      </c>
      <c r="CL1909" s="0" t="s">
        <v>130</v>
      </c>
      <c r="CM1909" s="0" t="s">
        <v>130</v>
      </c>
      <c r="CN1909" s="0" t="s">
        <v>130</v>
      </c>
      <c r="CO1909" s="0" t="s">
        <v>130</v>
      </c>
      <c r="CP1909" s="0" t="s">
        <v>130</v>
      </c>
      <c r="CQ1909" s="0" t="s">
        <v>130</v>
      </c>
      <c r="CR1909" s="0" t="s">
        <v>130</v>
      </c>
      <c r="CS1909" s="0" t="s">
        <v>130</v>
      </c>
      <c r="CT1909" s="0" t="s">
        <v>5393</v>
      </c>
    </row>
    <row r="1910">
      <c r="A1910" s="14">
        <v>111435</v>
      </c>
      <c r="B1910" s="0" t="s">
        <v>406</v>
      </c>
      <c r="C1910" s="16">
        <f>HYPERLINK("https://eosportal.federatedhermes.com/companies/Q29tcGFueQppNzgyNjk=", "CRH PLC")</f>
      </c>
      <c r="D1910" s="0" t="s">
        <v>25</v>
      </c>
      <c r="E1910" s="0" t="s">
        <v>2734</v>
      </c>
      <c r="F1910" s="16">
        <f>HYPERLINK("https://eosportal.federatedhermes.com/engagements/RW5nYWdlbWVudAppMzEzNzM=", "Health and safety")</f>
      </c>
      <c r="G1910" s="14" t="s">
        <v>5394</v>
      </c>
      <c r="H1910" s="0" t="s">
        <v>141</v>
      </c>
      <c r="I1910" s="14" t="s">
        <v>191</v>
      </c>
      <c r="J1910" s="0" t="s">
        <v>153</v>
      </c>
      <c r="K1910" s="0" t="s">
        <v>154</v>
      </c>
      <c r="L1910" s="0" t="s">
        <v>155</v>
      </c>
      <c r="M1910" s="0" t="s">
        <v>378</v>
      </c>
      <c r="N1910" s="0" t="s">
        <v>409</v>
      </c>
      <c r="O1910" s="0" t="s">
        <v>373</v>
      </c>
      <c r="Q1910" s="0" t="s">
        <v>130</v>
      </c>
      <c r="R1910" s="0" t="s">
        <v>138</v>
      </c>
      <c r="S1910" s="14">
        <v>0</v>
      </c>
      <c r="T1910" s="0" t="s">
        <v>597</v>
      </c>
      <c r="U1910" s="0" t="s">
        <v>138</v>
      </c>
      <c r="V1910" s="14" t="s">
        <v>138</v>
      </c>
      <c r="W1910" s="0" t="s">
        <v>138</v>
      </c>
      <c r="X1910" s="14" t="s">
        <v>138</v>
      </c>
      <c r="Y1910" s="0" t="s">
        <v>138</v>
      </c>
      <c r="Z1910" s="14" t="s">
        <v>138</v>
      </c>
      <c r="AA1910" s="0" t="s">
        <v>138</v>
      </c>
      <c r="AB1910" s="14" t="s">
        <v>138</v>
      </c>
      <c r="AD1910" s="0" t="s">
        <v>138</v>
      </c>
      <c r="AF1910" s="0">
        <v>0</v>
      </c>
      <c r="AG1910" s="0">
        <v>0</v>
      </c>
      <c r="AH1910" s="0" t="s">
        <v>140</v>
      </c>
      <c r="AI1910" s="0" t="s">
        <v>138</v>
      </c>
      <c r="AL1910" s="14"/>
      <c r="AN1910" s="14"/>
      <c r="AQ1910" s="0" t="s">
        <v>130</v>
      </c>
      <c r="AR1910" s="0" t="s">
        <v>130</v>
      </c>
      <c r="AS1910" s="0" t="s">
        <v>130</v>
      </c>
      <c r="AT1910" s="0" t="s">
        <v>130</v>
      </c>
      <c r="AU1910" s="0" t="s">
        <v>130</v>
      </c>
      <c r="AV1910" s="0" t="s">
        <v>130</v>
      </c>
      <c r="AW1910" s="0" t="s">
        <v>130</v>
      </c>
      <c r="AX1910" s="0" t="s">
        <v>141</v>
      </c>
      <c r="AY1910" s="0" t="s">
        <v>130</v>
      </c>
      <c r="AZ1910" s="0" t="s">
        <v>130</v>
      </c>
      <c r="BA1910" s="0" t="s">
        <v>130</v>
      </c>
      <c r="BB1910" s="0" t="s">
        <v>130</v>
      </c>
      <c r="BC1910" s="0" t="s">
        <v>130</v>
      </c>
      <c r="BD1910" s="0" t="s">
        <v>130</v>
      </c>
      <c r="BE1910" s="0" t="s">
        <v>130</v>
      </c>
      <c r="BF1910" s="0" t="s">
        <v>130</v>
      </c>
      <c r="BG1910" s="0" t="s">
        <v>130</v>
      </c>
      <c r="BH1910" s="0" t="s">
        <v>130</v>
      </c>
      <c r="BI1910" s="0" t="s">
        <v>130</v>
      </c>
      <c r="BJ1910" s="0" t="s">
        <v>130</v>
      </c>
      <c r="BK1910" s="0" t="s">
        <v>130</v>
      </c>
      <c r="BL1910" s="0" t="s">
        <v>130</v>
      </c>
      <c r="BM1910" s="0" t="s">
        <v>130</v>
      </c>
      <c r="BN1910" s="0" t="s">
        <v>130</v>
      </c>
      <c r="BO1910" s="0" t="s">
        <v>130</v>
      </c>
      <c r="BP1910" s="0" t="s">
        <v>130</v>
      </c>
      <c r="BQ1910" s="0" t="s">
        <v>130</v>
      </c>
      <c r="BR1910" s="0" t="s">
        <v>130</v>
      </c>
      <c r="BS1910" s="0" t="s">
        <v>130</v>
      </c>
      <c r="BT1910" s="0" t="s">
        <v>130</v>
      </c>
      <c r="BU1910" s="0" t="s">
        <v>130</v>
      </c>
      <c r="BV1910" s="0" t="s">
        <v>130</v>
      </c>
      <c r="BW1910" s="0" t="s">
        <v>130</v>
      </c>
      <c r="BX1910" s="0" t="s">
        <v>130</v>
      </c>
      <c r="BY1910" s="0" t="s">
        <v>130</v>
      </c>
      <c r="BZ1910" s="0" t="s">
        <v>130</v>
      </c>
      <c r="CA1910" s="0" t="s">
        <v>130</v>
      </c>
      <c r="CB1910" s="0" t="s">
        <v>130</v>
      </c>
      <c r="CC1910" s="0" t="s">
        <v>130</v>
      </c>
      <c r="CD1910" s="0" t="s">
        <v>130</v>
      </c>
      <c r="CE1910" s="0" t="s">
        <v>130</v>
      </c>
      <c r="CF1910" s="0" t="s">
        <v>130</v>
      </c>
      <c r="CG1910" s="0" t="s">
        <v>130</v>
      </c>
      <c r="CH1910" s="0" t="s">
        <v>130</v>
      </c>
      <c r="CI1910" s="0" t="s">
        <v>141</v>
      </c>
      <c r="CJ1910" s="0" t="s">
        <v>130</v>
      </c>
      <c r="CK1910" s="0" t="s">
        <v>130</v>
      </c>
      <c r="CL1910" s="0" t="s">
        <v>130</v>
      </c>
      <c r="CM1910" s="0" t="s">
        <v>130</v>
      </c>
      <c r="CN1910" s="0" t="s">
        <v>130</v>
      </c>
      <c r="CO1910" s="0" t="s">
        <v>130</v>
      </c>
      <c r="CP1910" s="0" t="s">
        <v>130</v>
      </c>
      <c r="CQ1910" s="0" t="s">
        <v>130</v>
      </c>
      <c r="CR1910" s="0" t="s">
        <v>130</v>
      </c>
      <c r="CS1910" s="0" t="s">
        <v>130</v>
      </c>
      <c r="CT1910" s="0" t="s">
        <v>5395</v>
      </c>
    </row>
    <row r="1911">
      <c r="A1911" s="14">
        <v>111435</v>
      </c>
      <c r="B1911" s="0" t="s">
        <v>406</v>
      </c>
      <c r="C1911" s="16">
        <f>HYPERLINK("https://eosportal.federatedhermes.com/companies/Q29tcGFueQppNzgyNjk=", "CRH PLC")</f>
      </c>
      <c r="D1911" s="0" t="s">
        <v>25</v>
      </c>
      <c r="E1911" s="0" t="s">
        <v>5396</v>
      </c>
      <c r="F1911" s="16">
        <f>HYPERLINK("https://eosportal.federatedhermes.com/engagements/RW5nYWdlbWVudAppMzEzNzQ=", "Stewardship engagement")</f>
      </c>
      <c r="G1911" s="14" t="s">
        <v>5397</v>
      </c>
      <c r="H1911" s="0" t="s">
        <v>141</v>
      </c>
      <c r="I1911" s="14" t="s">
        <v>191</v>
      </c>
      <c r="J1911" s="0" t="s">
        <v>145</v>
      </c>
      <c r="K1911" s="0" t="s">
        <v>400</v>
      </c>
      <c r="L1911" s="0" t="s">
        <v>401</v>
      </c>
      <c r="M1911" s="0" t="s">
        <v>378</v>
      </c>
      <c r="N1911" s="0" t="s">
        <v>409</v>
      </c>
      <c r="O1911" s="0" t="s">
        <v>373</v>
      </c>
      <c r="Q1911" s="0" t="s">
        <v>130</v>
      </c>
      <c r="R1911" s="0" t="s">
        <v>138</v>
      </c>
      <c r="S1911" s="14">
        <v>0</v>
      </c>
      <c r="T1911" s="0" t="s">
        <v>597</v>
      </c>
      <c r="U1911" s="0" t="s">
        <v>138</v>
      </c>
      <c r="V1911" s="14" t="s">
        <v>138</v>
      </c>
      <c r="W1911" s="0" t="s">
        <v>138</v>
      </c>
      <c r="X1911" s="14" t="s">
        <v>138</v>
      </c>
      <c r="Y1911" s="0" t="s">
        <v>138</v>
      </c>
      <c r="Z1911" s="14" t="s">
        <v>138</v>
      </c>
      <c r="AA1911" s="0" t="s">
        <v>138</v>
      </c>
      <c r="AB1911" s="14" t="s">
        <v>138</v>
      </c>
      <c r="AD1911" s="0" t="s">
        <v>138</v>
      </c>
      <c r="AF1911" s="0">
        <v>0</v>
      </c>
      <c r="AG1911" s="0">
        <v>0</v>
      </c>
      <c r="AH1911" s="0" t="s">
        <v>140</v>
      </c>
      <c r="AI1911" s="0" t="s">
        <v>138</v>
      </c>
      <c r="AL1911" s="14"/>
      <c r="AN1911" s="14"/>
      <c r="AQ1911" s="0" t="s">
        <v>130</v>
      </c>
      <c r="AR1911" s="0" t="s">
        <v>130</v>
      </c>
      <c r="AS1911" s="0" t="s">
        <v>130</v>
      </c>
      <c r="AT1911" s="0" t="s">
        <v>130</v>
      </c>
      <c r="AU1911" s="0" t="s">
        <v>130</v>
      </c>
      <c r="AV1911" s="0" t="s">
        <v>130</v>
      </c>
      <c r="AW1911" s="0" t="s">
        <v>130</v>
      </c>
      <c r="AX1911" s="0" t="s">
        <v>130</v>
      </c>
      <c r="AY1911" s="0" t="s">
        <v>130</v>
      </c>
      <c r="AZ1911" s="0" t="s">
        <v>130</v>
      </c>
      <c r="BA1911" s="0" t="s">
        <v>130</v>
      </c>
      <c r="BB1911" s="0" t="s">
        <v>130</v>
      </c>
      <c r="BC1911" s="0" t="s">
        <v>130</v>
      </c>
      <c r="BD1911" s="0" t="s">
        <v>130</v>
      </c>
      <c r="BE1911" s="0" t="s">
        <v>130</v>
      </c>
      <c r="BF1911" s="0" t="s">
        <v>130</v>
      </c>
      <c r="BG1911" s="0" t="s">
        <v>130</v>
      </c>
      <c r="BH1911" s="0" t="s">
        <v>130</v>
      </c>
      <c r="BI1911" s="0" t="s">
        <v>130</v>
      </c>
      <c r="BJ1911" s="0" t="s">
        <v>130</v>
      </c>
      <c r="BK1911" s="0" t="s">
        <v>130</v>
      </c>
      <c r="BL1911" s="0" t="s">
        <v>130</v>
      </c>
      <c r="BM1911" s="0" t="s">
        <v>130</v>
      </c>
      <c r="BN1911" s="0" t="s">
        <v>130</v>
      </c>
      <c r="BO1911" s="0" t="s">
        <v>130</v>
      </c>
      <c r="BP1911" s="0" t="s">
        <v>130</v>
      </c>
      <c r="BQ1911" s="0" t="s">
        <v>130</v>
      </c>
      <c r="BR1911" s="0" t="s">
        <v>130</v>
      </c>
      <c r="BS1911" s="0" t="s">
        <v>130</v>
      </c>
      <c r="BT1911" s="0" t="s">
        <v>130</v>
      </c>
      <c r="BU1911" s="0" t="s">
        <v>130</v>
      </c>
      <c r="BV1911" s="0" t="s">
        <v>130</v>
      </c>
      <c r="BW1911" s="0" t="s">
        <v>130</v>
      </c>
      <c r="BX1911" s="0" t="s">
        <v>130</v>
      </c>
      <c r="BY1911" s="0" t="s">
        <v>130</v>
      </c>
      <c r="BZ1911" s="0" t="s">
        <v>130</v>
      </c>
      <c r="CA1911" s="0" t="s">
        <v>130</v>
      </c>
      <c r="CB1911" s="0" t="s">
        <v>130</v>
      </c>
      <c r="CC1911" s="0" t="s">
        <v>130</v>
      </c>
      <c r="CD1911" s="0" t="s">
        <v>130</v>
      </c>
      <c r="CE1911" s="0" t="s">
        <v>130</v>
      </c>
      <c r="CF1911" s="0" t="s">
        <v>130</v>
      </c>
      <c r="CG1911" s="0" t="s">
        <v>130</v>
      </c>
      <c r="CH1911" s="0" t="s">
        <v>130</v>
      </c>
      <c r="CI1911" s="0" t="s">
        <v>130</v>
      </c>
      <c r="CJ1911" s="0" t="s">
        <v>130</v>
      </c>
      <c r="CK1911" s="0" t="s">
        <v>130</v>
      </c>
      <c r="CL1911" s="0" t="s">
        <v>130</v>
      </c>
      <c r="CM1911" s="0" t="s">
        <v>130</v>
      </c>
      <c r="CN1911" s="0" t="s">
        <v>130</v>
      </c>
      <c r="CO1911" s="0" t="s">
        <v>130</v>
      </c>
      <c r="CP1911" s="0" t="s">
        <v>130</v>
      </c>
      <c r="CQ1911" s="0" t="s">
        <v>130</v>
      </c>
      <c r="CR1911" s="0" t="s">
        <v>130</v>
      </c>
      <c r="CS1911" s="0" t="s">
        <v>130</v>
      </c>
      <c r="CT1911" s="0" t="s">
        <v>5398</v>
      </c>
    </row>
    <row r="1912">
      <c r="A1912" s="14">
        <v>151843</v>
      </c>
      <c r="B1912" s="0" t="s">
        <v>3167</v>
      </c>
      <c r="C1912" s="16">
        <f>HYPERLINK("https://eosportal.federatedhermes.com/companies/Q29tcGFueQppODU0MTU=", "Fast Retailing Co Ltd")</f>
      </c>
      <c r="D1912" s="0" t="s">
        <v>25</v>
      </c>
      <c r="E1912" s="0" t="s">
        <v>459</v>
      </c>
      <c r="F1912" s="16">
        <f>HYPERLINK("https://eosportal.federatedhermes.com/engagements/RW5nYWdlbWVudAppMzEzNzk=", "Human capital management")</f>
      </c>
      <c r="G1912" s="14" t="s">
        <v>5363</v>
      </c>
      <c r="H1912" s="0" t="s">
        <v>141</v>
      </c>
      <c r="I1912" s="14" t="s">
        <v>191</v>
      </c>
      <c r="J1912" s="0" t="s">
        <v>153</v>
      </c>
      <c r="K1912" s="0" t="s">
        <v>243</v>
      </c>
      <c r="L1912" s="0" t="s">
        <v>456</v>
      </c>
      <c r="M1912" s="0" t="s">
        <v>802</v>
      </c>
      <c r="N1912" s="0" t="s">
        <v>952</v>
      </c>
      <c r="O1912" s="0" t="s">
        <v>643</v>
      </c>
      <c r="Q1912" s="0" t="s">
        <v>141</v>
      </c>
      <c r="R1912" s="0" t="s">
        <v>138</v>
      </c>
      <c r="S1912" s="14">
        <v>1</v>
      </c>
      <c r="T1912" s="0" t="s">
        <v>583</v>
      </c>
      <c r="U1912" s="0" t="s">
        <v>138</v>
      </c>
      <c r="V1912" s="14" t="s">
        <v>138</v>
      </c>
      <c r="W1912" s="0" t="s">
        <v>138</v>
      </c>
      <c r="X1912" s="14" t="s">
        <v>138</v>
      </c>
      <c r="Y1912" s="0" t="s">
        <v>138</v>
      </c>
      <c r="Z1912" s="14" t="s">
        <v>138</v>
      </c>
      <c r="AA1912" s="0" t="s">
        <v>138</v>
      </c>
      <c r="AB1912" s="14" t="s">
        <v>138</v>
      </c>
      <c r="AD1912" s="0" t="s">
        <v>138</v>
      </c>
      <c r="AF1912" s="0">
        <v>0</v>
      </c>
      <c r="AG1912" s="0">
        <v>0</v>
      </c>
      <c r="AH1912" s="0" t="s">
        <v>140</v>
      </c>
      <c r="AI1912" s="0" t="s">
        <v>138</v>
      </c>
      <c r="AK1912" s="0" t="s">
        <v>3789</v>
      </c>
      <c r="AL1912" s="14"/>
      <c r="AN1912" s="14"/>
      <c r="AQ1912" s="0" t="s">
        <v>130</v>
      </c>
      <c r="AR1912" s="0" t="s">
        <v>130</v>
      </c>
      <c r="AS1912" s="0" t="s">
        <v>130</v>
      </c>
      <c r="AT1912" s="0" t="s">
        <v>130</v>
      </c>
      <c r="AU1912" s="0" t="s">
        <v>130</v>
      </c>
      <c r="AV1912" s="0" t="s">
        <v>130</v>
      </c>
      <c r="AW1912" s="0" t="s">
        <v>130</v>
      </c>
      <c r="AX1912" s="0" t="s">
        <v>141</v>
      </c>
      <c r="AY1912" s="0" t="s">
        <v>130</v>
      </c>
      <c r="AZ1912" s="0" t="s">
        <v>130</v>
      </c>
      <c r="BA1912" s="0" t="s">
        <v>130</v>
      </c>
      <c r="BB1912" s="0" t="s">
        <v>130</v>
      </c>
      <c r="BC1912" s="0" t="s">
        <v>130</v>
      </c>
      <c r="BD1912" s="0" t="s">
        <v>130</v>
      </c>
      <c r="BE1912" s="0" t="s">
        <v>130</v>
      </c>
      <c r="BF1912" s="0" t="s">
        <v>141</v>
      </c>
      <c r="BG1912" s="0" t="s">
        <v>130</v>
      </c>
      <c r="BH1912" s="0" t="s">
        <v>130</v>
      </c>
      <c r="BI1912" s="0" t="s">
        <v>130</v>
      </c>
      <c r="BJ1912" s="0" t="s">
        <v>130</v>
      </c>
      <c r="BK1912" s="0" t="s">
        <v>130</v>
      </c>
      <c r="BL1912" s="0" t="s">
        <v>130</v>
      </c>
      <c r="BM1912" s="0" t="s">
        <v>130</v>
      </c>
      <c r="BN1912" s="0" t="s">
        <v>130</v>
      </c>
      <c r="BO1912" s="0" t="s">
        <v>130</v>
      </c>
      <c r="BP1912" s="0" t="s">
        <v>130</v>
      </c>
      <c r="BQ1912" s="0" t="s">
        <v>130</v>
      </c>
      <c r="BR1912" s="0" t="s">
        <v>130</v>
      </c>
      <c r="BS1912" s="0" t="s">
        <v>130</v>
      </c>
      <c r="BT1912" s="0" t="s">
        <v>130</v>
      </c>
      <c r="BU1912" s="0" t="s">
        <v>130</v>
      </c>
      <c r="BV1912" s="0" t="s">
        <v>130</v>
      </c>
      <c r="BW1912" s="0" t="s">
        <v>130</v>
      </c>
      <c r="BX1912" s="0" t="s">
        <v>130</v>
      </c>
      <c r="BY1912" s="0" t="s">
        <v>130</v>
      </c>
      <c r="BZ1912" s="0" t="s">
        <v>130</v>
      </c>
      <c r="CA1912" s="0" t="s">
        <v>130</v>
      </c>
      <c r="CB1912" s="0" t="s">
        <v>130</v>
      </c>
      <c r="CC1912" s="0" t="s">
        <v>130</v>
      </c>
      <c r="CD1912" s="0" t="s">
        <v>130</v>
      </c>
      <c r="CE1912" s="0" t="s">
        <v>130</v>
      </c>
      <c r="CF1912" s="0" t="s">
        <v>130</v>
      </c>
      <c r="CG1912" s="0" t="s">
        <v>130</v>
      </c>
      <c r="CH1912" s="0" t="s">
        <v>130</v>
      </c>
      <c r="CI1912" s="0" t="s">
        <v>130</v>
      </c>
      <c r="CJ1912" s="0" t="s">
        <v>130</v>
      </c>
      <c r="CK1912" s="0" t="s">
        <v>130</v>
      </c>
      <c r="CL1912" s="0" t="s">
        <v>130</v>
      </c>
      <c r="CM1912" s="0" t="s">
        <v>130</v>
      </c>
      <c r="CN1912" s="0" t="s">
        <v>130</v>
      </c>
      <c r="CO1912" s="0" t="s">
        <v>130</v>
      </c>
      <c r="CP1912" s="0" t="s">
        <v>130</v>
      </c>
      <c r="CQ1912" s="0" t="s">
        <v>130</v>
      </c>
      <c r="CR1912" s="0" t="s">
        <v>130</v>
      </c>
      <c r="CS1912" s="0" t="s">
        <v>130</v>
      </c>
      <c r="CT1912" s="0" t="s">
        <v>5399</v>
      </c>
    </row>
    <row r="1913">
      <c r="A1913" s="14">
        <v>7281855</v>
      </c>
      <c r="B1913" s="0" t="s">
        <v>3813</v>
      </c>
      <c r="C1913" s="16">
        <f>HYPERLINK("https://eosportal.federatedhermes.com/companies/Q29tcGFueQppODU4ODE=", "LG Chem Ltd")</f>
      </c>
      <c r="D1913" s="0" t="s">
        <v>25</v>
      </c>
      <c r="E1913" s="0" t="s">
        <v>5400</v>
      </c>
      <c r="F1913" s="16">
        <f>HYPERLINK("https://eosportal.federatedhermes.com/engagements/RW5nYWdlbWVudAppMzEzODA=", "Hazardous Substance Management")</f>
      </c>
      <c r="G1913" s="14" t="s">
        <v>5401</v>
      </c>
      <c r="H1913" s="0" t="s">
        <v>141</v>
      </c>
      <c r="I1913" s="14" t="s">
        <v>191</v>
      </c>
      <c r="J1913" s="0" t="s">
        <v>197</v>
      </c>
      <c r="K1913" s="0" t="s">
        <v>348</v>
      </c>
      <c r="L1913" s="0" t="s">
        <v>650</v>
      </c>
      <c r="M1913" s="0" t="s">
        <v>802</v>
      </c>
      <c r="N1913" s="0" t="s">
        <v>2800</v>
      </c>
      <c r="O1913" s="0" t="s">
        <v>706</v>
      </c>
      <c r="Q1913" s="0" t="s">
        <v>141</v>
      </c>
      <c r="R1913" s="0" t="s">
        <v>138</v>
      </c>
      <c r="S1913" s="14">
        <v>1</v>
      </c>
      <c r="T1913" s="0" t="s">
        <v>2270</v>
      </c>
      <c r="U1913" s="0" t="s">
        <v>138</v>
      </c>
      <c r="V1913" s="14" t="s">
        <v>138</v>
      </c>
      <c r="W1913" s="0" t="s">
        <v>138</v>
      </c>
      <c r="X1913" s="14" t="s">
        <v>138</v>
      </c>
      <c r="Y1913" s="0" t="s">
        <v>138</v>
      </c>
      <c r="Z1913" s="14" t="s">
        <v>138</v>
      </c>
      <c r="AA1913" s="0" t="s">
        <v>138</v>
      </c>
      <c r="AB1913" s="14" t="s">
        <v>138</v>
      </c>
      <c r="AD1913" s="0" t="s">
        <v>138</v>
      </c>
      <c r="AF1913" s="0">
        <v>0</v>
      </c>
      <c r="AG1913" s="0">
        <v>0</v>
      </c>
      <c r="AH1913" s="0" t="s">
        <v>140</v>
      </c>
      <c r="AI1913" s="0" t="s">
        <v>138</v>
      </c>
      <c r="AK1913" s="0" t="s">
        <v>714</v>
      </c>
      <c r="AL1913" s="14"/>
      <c r="AN1913" s="14"/>
      <c r="AQ1913" s="0" t="s">
        <v>130</v>
      </c>
      <c r="AR1913" s="0" t="s">
        <v>130</v>
      </c>
      <c r="AS1913" s="0" t="s">
        <v>141</v>
      </c>
      <c r="AT1913" s="0" t="s">
        <v>130</v>
      </c>
      <c r="AU1913" s="0" t="s">
        <v>130</v>
      </c>
      <c r="AV1913" s="0" t="s">
        <v>130</v>
      </c>
      <c r="AW1913" s="0" t="s">
        <v>130</v>
      </c>
      <c r="AX1913" s="0" t="s">
        <v>130</v>
      </c>
      <c r="AY1913" s="0" t="s">
        <v>130</v>
      </c>
      <c r="AZ1913" s="0" t="s">
        <v>130</v>
      </c>
      <c r="BA1913" s="0" t="s">
        <v>130</v>
      </c>
      <c r="BB1913" s="0" t="s">
        <v>141</v>
      </c>
      <c r="BC1913" s="0" t="s">
        <v>130</v>
      </c>
      <c r="BD1913" s="0" t="s">
        <v>130</v>
      </c>
      <c r="BE1913" s="0" t="s">
        <v>130</v>
      </c>
      <c r="BF1913" s="0" t="s">
        <v>130</v>
      </c>
      <c r="BG1913" s="0" t="s">
        <v>130</v>
      </c>
      <c r="BH1913" s="0" t="s">
        <v>130</v>
      </c>
      <c r="BI1913" s="0" t="s">
        <v>130</v>
      </c>
      <c r="BJ1913" s="0" t="s">
        <v>130</v>
      </c>
      <c r="BK1913" s="0" t="s">
        <v>130</v>
      </c>
      <c r="BL1913" s="0" t="s">
        <v>130</v>
      </c>
      <c r="BM1913" s="0" t="s">
        <v>130</v>
      </c>
      <c r="BN1913" s="0" t="s">
        <v>130</v>
      </c>
      <c r="BO1913" s="0" t="s">
        <v>130</v>
      </c>
      <c r="BP1913" s="0" t="s">
        <v>130</v>
      </c>
      <c r="BQ1913" s="0" t="s">
        <v>130</v>
      </c>
      <c r="BR1913" s="0" t="s">
        <v>130</v>
      </c>
      <c r="BS1913" s="0" t="s">
        <v>130</v>
      </c>
      <c r="BT1913" s="0" t="s">
        <v>130</v>
      </c>
      <c r="BU1913" s="0" t="s">
        <v>130</v>
      </c>
      <c r="BV1913" s="0" t="s">
        <v>130</v>
      </c>
      <c r="BW1913" s="0" t="s">
        <v>130</v>
      </c>
      <c r="BX1913" s="0" t="s">
        <v>130</v>
      </c>
      <c r="BY1913" s="0" t="s">
        <v>130</v>
      </c>
      <c r="BZ1913" s="0" t="s">
        <v>130</v>
      </c>
      <c r="CA1913" s="0" t="s">
        <v>130</v>
      </c>
      <c r="CB1913" s="0" t="s">
        <v>130</v>
      </c>
      <c r="CC1913" s="0" t="s">
        <v>130</v>
      </c>
      <c r="CD1913" s="0" t="s">
        <v>130</v>
      </c>
      <c r="CE1913" s="0" t="s">
        <v>130</v>
      </c>
      <c r="CF1913" s="0" t="s">
        <v>130</v>
      </c>
      <c r="CG1913" s="0" t="s">
        <v>130</v>
      </c>
      <c r="CH1913" s="0" t="s">
        <v>130</v>
      </c>
      <c r="CI1913" s="0" t="s">
        <v>130</v>
      </c>
      <c r="CJ1913" s="0" t="s">
        <v>130</v>
      </c>
      <c r="CK1913" s="0" t="s">
        <v>130</v>
      </c>
      <c r="CL1913" s="0" t="s">
        <v>130</v>
      </c>
      <c r="CM1913" s="0" t="s">
        <v>130</v>
      </c>
      <c r="CN1913" s="0" t="s">
        <v>130</v>
      </c>
      <c r="CO1913" s="0" t="s">
        <v>130</v>
      </c>
      <c r="CP1913" s="0" t="s">
        <v>130</v>
      </c>
      <c r="CQ1913" s="0" t="s">
        <v>130</v>
      </c>
      <c r="CR1913" s="0" t="s">
        <v>130</v>
      </c>
      <c r="CS1913" s="0" t="s">
        <v>130</v>
      </c>
      <c r="CT1913" s="0" t="s">
        <v>5402</v>
      </c>
    </row>
    <row r="1914">
      <c r="A1914" s="14">
        <v>17085420</v>
      </c>
      <c r="B1914" s="0" t="s">
        <v>4306</v>
      </c>
      <c r="C1914" s="16">
        <f>HYPERLINK("https://eosportal.federatedhermes.com/companies/Q29tcGFueQppNTIwNTI=", "Argenx SE")</f>
      </c>
      <c r="D1914" s="0" t="s">
        <v>23</v>
      </c>
      <c r="E1914" s="0" t="s">
        <v>5403</v>
      </c>
      <c r="F1914" s="16">
        <f>HYPERLINK("https://eosportal.federatedhermes.com/engagements/RW5nYWdlbWVudAppMzEzODQ=", "Implementation Code of Ethics")</f>
      </c>
      <c r="G1914" s="14" t="s">
        <v>5404</v>
      </c>
      <c r="H1914" s="0" t="s">
        <v>130</v>
      </c>
      <c r="I1914" s="14" t="s">
        <v>319</v>
      </c>
      <c r="J1914" s="0" t="s">
        <v>153</v>
      </c>
      <c r="K1914" s="0" t="s">
        <v>185</v>
      </c>
      <c r="L1914" s="0" t="s">
        <v>186</v>
      </c>
      <c r="M1914" s="0" t="s">
        <v>378</v>
      </c>
      <c r="N1914" s="0" t="s">
        <v>2554</v>
      </c>
      <c r="O1914" s="0" t="s">
        <v>274</v>
      </c>
      <c r="Q1914" s="0" t="s">
        <v>130</v>
      </c>
      <c r="R1914" s="0" t="s">
        <v>141</v>
      </c>
      <c r="S1914" s="14">
        <v>0</v>
      </c>
      <c r="T1914" s="0" t="s">
        <v>2270</v>
      </c>
      <c r="U1914" s="0" t="s">
        <v>221</v>
      </c>
      <c r="V1914" s="14" t="s">
        <v>2270</v>
      </c>
      <c r="W1914" s="0" t="s">
        <v>221</v>
      </c>
      <c r="X1914" s="14" t="s">
        <v>2270</v>
      </c>
      <c r="Y1914" s="0" t="s">
        <v>221</v>
      </c>
      <c r="Z1914" s="14" t="s">
        <v>2629</v>
      </c>
      <c r="AA1914" s="0" t="s">
        <v>221</v>
      </c>
      <c r="AB1914" s="14" t="s">
        <v>361</v>
      </c>
      <c r="AC1914" s="0" t="s">
        <v>20</v>
      </c>
      <c r="AD1914" s="0" t="s">
        <v>362</v>
      </c>
      <c r="AE1914" s="0" t="s">
        <v>363</v>
      </c>
      <c r="AF1914" s="0">
        <v>1</v>
      </c>
      <c r="AG1914" s="0">
        <v>0</v>
      </c>
      <c r="AH1914" s="0" t="s">
        <v>140</v>
      </c>
      <c r="AI1914" s="0" t="s">
        <v>221</v>
      </c>
      <c r="AJ1914" s="0" t="s">
        <v>364</v>
      </c>
      <c r="AL1914" s="14" t="s">
        <v>5405</v>
      </c>
      <c r="AM1914" s="0" t="s">
        <v>366</v>
      </c>
      <c r="AN1914" s="14"/>
      <c r="AQ1914" s="0" t="s">
        <v>130</v>
      </c>
      <c r="AR1914" s="0" t="s">
        <v>130</v>
      </c>
      <c r="AS1914" s="0" t="s">
        <v>130</v>
      </c>
      <c r="AT1914" s="0" t="s">
        <v>130</v>
      </c>
      <c r="AU1914" s="0" t="s">
        <v>130</v>
      </c>
      <c r="AV1914" s="0" t="s">
        <v>130</v>
      </c>
      <c r="AW1914" s="0" t="s">
        <v>130</v>
      </c>
      <c r="AX1914" s="0" t="s">
        <v>130</v>
      </c>
      <c r="AY1914" s="0" t="s">
        <v>130</v>
      </c>
      <c r="AZ1914" s="0" t="s">
        <v>130</v>
      </c>
      <c r="BA1914" s="0" t="s">
        <v>130</v>
      </c>
      <c r="BB1914" s="0" t="s">
        <v>130</v>
      </c>
      <c r="BC1914" s="0" t="s">
        <v>130</v>
      </c>
      <c r="BD1914" s="0" t="s">
        <v>130</v>
      </c>
      <c r="BE1914" s="0" t="s">
        <v>130</v>
      </c>
      <c r="BF1914" s="0" t="s">
        <v>130</v>
      </c>
      <c r="BG1914" s="0" t="s">
        <v>130</v>
      </c>
      <c r="BH1914" s="0" t="s">
        <v>130</v>
      </c>
      <c r="BI1914" s="0" t="s">
        <v>130</v>
      </c>
      <c r="BJ1914" s="0" t="s">
        <v>130</v>
      </c>
      <c r="BK1914" s="0" t="s">
        <v>130</v>
      </c>
      <c r="BL1914" s="0" t="s">
        <v>130</v>
      </c>
      <c r="BM1914" s="0" t="s">
        <v>130</v>
      </c>
      <c r="BN1914" s="0" t="s">
        <v>130</v>
      </c>
      <c r="BO1914" s="0" t="s">
        <v>130</v>
      </c>
      <c r="BP1914" s="0" t="s">
        <v>130</v>
      </c>
      <c r="BQ1914" s="0" t="s">
        <v>130</v>
      </c>
      <c r="BR1914" s="0" t="s">
        <v>130</v>
      </c>
      <c r="BS1914" s="0" t="s">
        <v>130</v>
      </c>
      <c r="BT1914" s="0" t="s">
        <v>130</v>
      </c>
      <c r="BU1914" s="0" t="s">
        <v>130</v>
      </c>
      <c r="BV1914" s="0" t="s">
        <v>130</v>
      </c>
      <c r="BW1914" s="0" t="s">
        <v>130</v>
      </c>
      <c r="BX1914" s="0" t="s">
        <v>130</v>
      </c>
      <c r="BY1914" s="0" t="s">
        <v>130</v>
      </c>
      <c r="BZ1914" s="0" t="s">
        <v>130</v>
      </c>
      <c r="CA1914" s="0" t="s">
        <v>130</v>
      </c>
      <c r="CB1914" s="0" t="s">
        <v>130</v>
      </c>
      <c r="CC1914" s="0" t="s">
        <v>130</v>
      </c>
      <c r="CD1914" s="0" t="s">
        <v>130</v>
      </c>
      <c r="CE1914" s="0" t="s">
        <v>130</v>
      </c>
      <c r="CF1914" s="0" t="s">
        <v>130</v>
      </c>
      <c r="CG1914" s="0" t="s">
        <v>130</v>
      </c>
      <c r="CH1914" s="0" t="s">
        <v>130</v>
      </c>
      <c r="CI1914" s="0" t="s">
        <v>130</v>
      </c>
      <c r="CJ1914" s="0" t="s">
        <v>130</v>
      </c>
      <c r="CK1914" s="0" t="s">
        <v>130</v>
      </c>
      <c r="CL1914" s="0" t="s">
        <v>130</v>
      </c>
      <c r="CM1914" s="0" t="s">
        <v>130</v>
      </c>
      <c r="CN1914" s="0" t="s">
        <v>130</v>
      </c>
      <c r="CO1914" s="0" t="s">
        <v>130</v>
      </c>
      <c r="CP1914" s="0" t="s">
        <v>130</v>
      </c>
      <c r="CQ1914" s="0" t="s">
        <v>130</v>
      </c>
      <c r="CR1914" s="0" t="s">
        <v>130</v>
      </c>
      <c r="CS1914" s="0" t="s">
        <v>130</v>
      </c>
      <c r="CT1914" s="0" t="s">
        <v>5406</v>
      </c>
    </row>
    <row r="1915">
      <c r="A1915" s="14">
        <v>101254</v>
      </c>
      <c r="B1915" s="0" t="s">
        <v>1531</v>
      </c>
      <c r="C1915" s="16">
        <f>HYPERLINK("https://eosportal.federatedhermes.com/companies/Q29tcGFueQppNTg5NjY=", "Repsol SA")</f>
      </c>
      <c r="D1915" s="0" t="s">
        <v>23</v>
      </c>
      <c r="E1915" s="0" t="s">
        <v>5407</v>
      </c>
      <c r="F1915" s="16">
        <f>HYPERLINK("https://eosportal.federatedhermes.com/engagements/RW5nYWdlbWVudAppMzEzODU=", "A commitment on emissions reduction of third party sold energy")</f>
      </c>
      <c r="G1915" s="14" t="s">
        <v>5408</v>
      </c>
      <c r="H1915" s="0" t="s">
        <v>141</v>
      </c>
      <c r="I1915" s="14" t="s">
        <v>191</v>
      </c>
      <c r="J1915" s="0" t="s">
        <v>197</v>
      </c>
      <c r="K1915" s="0" t="s">
        <v>198</v>
      </c>
      <c r="L1915" s="0" t="s">
        <v>216</v>
      </c>
      <c r="M1915" s="0" t="s">
        <v>378</v>
      </c>
      <c r="N1915" s="0" t="s">
        <v>379</v>
      </c>
      <c r="O1915" s="0" t="s">
        <v>542</v>
      </c>
      <c r="Q1915" s="0" t="s">
        <v>130</v>
      </c>
      <c r="R1915" s="0" t="s">
        <v>130</v>
      </c>
      <c r="S1915" s="14">
        <v>0</v>
      </c>
      <c r="T1915" s="0" t="s">
        <v>394</v>
      </c>
      <c r="U1915" s="0" t="s">
        <v>221</v>
      </c>
      <c r="V1915" s="14" t="s">
        <v>394</v>
      </c>
      <c r="W1915" s="0" t="s">
        <v>221</v>
      </c>
      <c r="X1915" s="14" t="s">
        <v>156</v>
      </c>
      <c r="Y1915" s="0" t="s">
        <v>221</v>
      </c>
      <c r="Z1915" s="14" t="s">
        <v>478</v>
      </c>
      <c r="AA1915" s="0" t="s">
        <v>223</v>
      </c>
      <c r="AB1915" s="14" t="s">
        <v>138</v>
      </c>
      <c r="AD1915" s="0" t="s">
        <v>20</v>
      </c>
      <c r="AF1915" s="0">
        <v>0</v>
      </c>
      <c r="AG1915" s="0">
        <v>0</v>
      </c>
      <c r="AH1915" s="0" t="s">
        <v>140</v>
      </c>
      <c r="AI1915" s="0" t="s">
        <v>598</v>
      </c>
      <c r="AL1915" s="14"/>
      <c r="AN1915" s="14"/>
      <c r="AQ1915" s="0" t="s">
        <v>130</v>
      </c>
      <c r="AR1915" s="0" t="s">
        <v>130</v>
      </c>
      <c r="AS1915" s="0" t="s">
        <v>130</v>
      </c>
      <c r="AT1915" s="0" t="s">
        <v>130</v>
      </c>
      <c r="AU1915" s="0" t="s">
        <v>130</v>
      </c>
      <c r="AV1915" s="0" t="s">
        <v>130</v>
      </c>
      <c r="AW1915" s="0" t="s">
        <v>141</v>
      </c>
      <c r="AX1915" s="0" t="s">
        <v>130</v>
      </c>
      <c r="AY1915" s="0" t="s">
        <v>130</v>
      </c>
      <c r="AZ1915" s="0" t="s">
        <v>130</v>
      </c>
      <c r="BA1915" s="0" t="s">
        <v>130</v>
      </c>
      <c r="BB1915" s="0" t="s">
        <v>130</v>
      </c>
      <c r="BC1915" s="0" t="s">
        <v>141</v>
      </c>
      <c r="BD1915" s="0" t="s">
        <v>130</v>
      </c>
      <c r="BE1915" s="0" t="s">
        <v>130</v>
      </c>
      <c r="BF1915" s="0" t="s">
        <v>130</v>
      </c>
      <c r="BG1915" s="0" t="s">
        <v>130</v>
      </c>
      <c r="BH1915" s="0" t="s">
        <v>141</v>
      </c>
      <c r="BI1915" s="0" t="s">
        <v>141</v>
      </c>
      <c r="BJ1915" s="0" t="s">
        <v>141</v>
      </c>
      <c r="BK1915" s="0" t="s">
        <v>130</v>
      </c>
      <c r="BL1915" s="0" t="s">
        <v>130</v>
      </c>
      <c r="BM1915" s="0" t="s">
        <v>130</v>
      </c>
      <c r="BN1915" s="0" t="s">
        <v>130</v>
      </c>
      <c r="BO1915" s="0" t="s">
        <v>130</v>
      </c>
      <c r="BP1915" s="0" t="s">
        <v>130</v>
      </c>
      <c r="BQ1915" s="0" t="s">
        <v>130</v>
      </c>
      <c r="BR1915" s="0" t="s">
        <v>130</v>
      </c>
      <c r="BS1915" s="0" t="s">
        <v>130</v>
      </c>
      <c r="BT1915" s="0" t="s">
        <v>130</v>
      </c>
      <c r="BU1915" s="0" t="s">
        <v>130</v>
      </c>
      <c r="BV1915" s="0" t="s">
        <v>141</v>
      </c>
      <c r="BW1915" s="0" t="s">
        <v>141</v>
      </c>
      <c r="BX1915" s="0" t="s">
        <v>130</v>
      </c>
      <c r="BY1915" s="0" t="s">
        <v>130</v>
      </c>
      <c r="BZ1915" s="0" t="s">
        <v>130</v>
      </c>
      <c r="CA1915" s="0" t="s">
        <v>130</v>
      </c>
      <c r="CB1915" s="0" t="s">
        <v>130</v>
      </c>
      <c r="CC1915" s="0" t="s">
        <v>130</v>
      </c>
      <c r="CD1915" s="0" t="s">
        <v>130</v>
      </c>
      <c r="CE1915" s="0" t="s">
        <v>130</v>
      </c>
      <c r="CF1915" s="0" t="s">
        <v>130</v>
      </c>
      <c r="CG1915" s="0" t="s">
        <v>130</v>
      </c>
      <c r="CH1915" s="0" t="s">
        <v>130</v>
      </c>
      <c r="CI1915" s="0" t="s">
        <v>130</v>
      </c>
      <c r="CJ1915" s="0" t="s">
        <v>130</v>
      </c>
      <c r="CK1915" s="0" t="s">
        <v>130</v>
      </c>
      <c r="CL1915" s="0" t="s">
        <v>130</v>
      </c>
      <c r="CM1915" s="0" t="s">
        <v>130</v>
      </c>
      <c r="CN1915" s="0" t="s">
        <v>130</v>
      </c>
      <c r="CO1915" s="0" t="s">
        <v>130</v>
      </c>
      <c r="CP1915" s="0" t="s">
        <v>130</v>
      </c>
      <c r="CQ1915" s="0" t="s">
        <v>130</v>
      </c>
      <c r="CR1915" s="0" t="s">
        <v>130</v>
      </c>
      <c r="CS1915" s="0" t="s">
        <v>130</v>
      </c>
      <c r="CT1915" s="0" t="s">
        <v>5409</v>
      </c>
    </row>
    <row r="1916">
      <c r="A1916" s="14">
        <v>112319</v>
      </c>
      <c r="B1916" s="0" t="s">
        <v>4913</v>
      </c>
      <c r="C1916" s="16">
        <f>HYPERLINK("https://eosportal.federatedhermes.com/companies/Q29tcGFueQppNjI0NzU=", "Standard Chartered PLC")</f>
      </c>
      <c r="D1916" s="0" t="s">
        <v>23</v>
      </c>
      <c r="E1916" s="0" t="s">
        <v>5410</v>
      </c>
      <c r="F1916" s="16">
        <f>HYPERLINK("https://eosportal.federatedhermes.com/engagements/RW5nYWdlbWVudAppMzEzOTY=", "Alignment of provision of finance with the delivery of the Paris goals")</f>
      </c>
      <c r="G1916" s="14" t="s">
        <v>5411</v>
      </c>
      <c r="H1916" s="0" t="s">
        <v>141</v>
      </c>
      <c r="I1916" s="14" t="s">
        <v>191</v>
      </c>
      <c r="J1916" s="0" t="s">
        <v>197</v>
      </c>
      <c r="K1916" s="0" t="s">
        <v>198</v>
      </c>
      <c r="L1916" s="0" t="s">
        <v>216</v>
      </c>
      <c r="M1916" s="0" t="s">
        <v>272</v>
      </c>
      <c r="N1916" s="0" t="s">
        <v>273</v>
      </c>
      <c r="O1916" s="0" t="s">
        <v>238</v>
      </c>
      <c r="Q1916" s="0" t="s">
        <v>141</v>
      </c>
      <c r="R1916" s="0" t="s">
        <v>130</v>
      </c>
      <c r="S1916" s="14">
        <v>1</v>
      </c>
      <c r="T1916" s="0" t="s">
        <v>139</v>
      </c>
      <c r="U1916" s="0" t="s">
        <v>221</v>
      </c>
      <c r="V1916" s="14" t="s">
        <v>139</v>
      </c>
      <c r="W1916" s="0" t="s">
        <v>221</v>
      </c>
      <c r="X1916" s="14" t="s">
        <v>231</v>
      </c>
      <c r="Y1916" s="0" t="s">
        <v>223</v>
      </c>
      <c r="Z1916" s="14" t="s">
        <v>138</v>
      </c>
      <c r="AA1916" s="0" t="s">
        <v>224</v>
      </c>
      <c r="AB1916" s="14" t="s">
        <v>138</v>
      </c>
      <c r="AD1916" s="0" t="s">
        <v>17</v>
      </c>
      <c r="AF1916" s="0">
        <v>0</v>
      </c>
      <c r="AG1916" s="0">
        <v>0</v>
      </c>
      <c r="AH1916" s="0" t="s">
        <v>140</v>
      </c>
      <c r="AI1916" s="0" t="s">
        <v>598</v>
      </c>
      <c r="AK1916" s="0" t="s">
        <v>1151</v>
      </c>
      <c r="AL1916" s="14"/>
      <c r="AN1916" s="14"/>
      <c r="AQ1916" s="0" t="s">
        <v>130</v>
      </c>
      <c r="AR1916" s="0" t="s">
        <v>130</v>
      </c>
      <c r="AS1916" s="0" t="s">
        <v>130</v>
      </c>
      <c r="AT1916" s="0" t="s">
        <v>130</v>
      </c>
      <c r="AU1916" s="0" t="s">
        <v>130</v>
      </c>
      <c r="AV1916" s="0" t="s">
        <v>130</v>
      </c>
      <c r="AW1916" s="0" t="s">
        <v>141</v>
      </c>
      <c r="AX1916" s="0" t="s">
        <v>130</v>
      </c>
      <c r="AY1916" s="0" t="s">
        <v>130</v>
      </c>
      <c r="AZ1916" s="0" t="s">
        <v>130</v>
      </c>
      <c r="BA1916" s="0" t="s">
        <v>130</v>
      </c>
      <c r="BB1916" s="0" t="s">
        <v>130</v>
      </c>
      <c r="BC1916" s="0" t="s">
        <v>141</v>
      </c>
      <c r="BD1916" s="0" t="s">
        <v>130</v>
      </c>
      <c r="BE1916" s="0" t="s">
        <v>130</v>
      </c>
      <c r="BF1916" s="0" t="s">
        <v>130</v>
      </c>
      <c r="BG1916" s="0" t="s">
        <v>130</v>
      </c>
      <c r="BH1916" s="0" t="s">
        <v>141</v>
      </c>
      <c r="BI1916" s="0" t="s">
        <v>141</v>
      </c>
      <c r="BJ1916" s="0" t="s">
        <v>141</v>
      </c>
      <c r="BK1916" s="0" t="s">
        <v>130</v>
      </c>
      <c r="BL1916" s="0" t="s">
        <v>130</v>
      </c>
      <c r="BM1916" s="0" t="s">
        <v>130</v>
      </c>
      <c r="BN1916" s="0" t="s">
        <v>130</v>
      </c>
      <c r="BO1916" s="0" t="s">
        <v>130</v>
      </c>
      <c r="BP1916" s="0" t="s">
        <v>130</v>
      </c>
      <c r="BQ1916" s="0" t="s">
        <v>130</v>
      </c>
      <c r="BR1916" s="0" t="s">
        <v>130</v>
      </c>
      <c r="BS1916" s="0" t="s">
        <v>130</v>
      </c>
      <c r="BT1916" s="0" t="s">
        <v>130</v>
      </c>
      <c r="BU1916" s="0" t="s">
        <v>130</v>
      </c>
      <c r="BV1916" s="0" t="s">
        <v>141</v>
      </c>
      <c r="BW1916" s="0" t="s">
        <v>141</v>
      </c>
      <c r="BX1916" s="0" t="s">
        <v>130</v>
      </c>
      <c r="BY1916" s="0" t="s">
        <v>130</v>
      </c>
      <c r="BZ1916" s="0" t="s">
        <v>130</v>
      </c>
      <c r="CA1916" s="0" t="s">
        <v>130</v>
      </c>
      <c r="CB1916" s="0" t="s">
        <v>130</v>
      </c>
      <c r="CC1916" s="0" t="s">
        <v>130</v>
      </c>
      <c r="CD1916" s="0" t="s">
        <v>130</v>
      </c>
      <c r="CE1916" s="0" t="s">
        <v>130</v>
      </c>
      <c r="CF1916" s="0" t="s">
        <v>130</v>
      </c>
      <c r="CG1916" s="0" t="s">
        <v>130</v>
      </c>
      <c r="CH1916" s="0" t="s">
        <v>130</v>
      </c>
      <c r="CI1916" s="0" t="s">
        <v>130</v>
      </c>
      <c r="CJ1916" s="0" t="s">
        <v>130</v>
      </c>
      <c r="CK1916" s="0" t="s">
        <v>130</v>
      </c>
      <c r="CL1916" s="0" t="s">
        <v>130</v>
      </c>
      <c r="CM1916" s="0" t="s">
        <v>130</v>
      </c>
      <c r="CN1916" s="0" t="s">
        <v>130</v>
      </c>
      <c r="CO1916" s="0" t="s">
        <v>130</v>
      </c>
      <c r="CP1916" s="0" t="s">
        <v>130</v>
      </c>
      <c r="CQ1916" s="0" t="s">
        <v>130</v>
      </c>
      <c r="CR1916" s="0" t="s">
        <v>130</v>
      </c>
      <c r="CS1916" s="0" t="s">
        <v>130</v>
      </c>
      <c r="CT1916" s="0" t="s">
        <v>5412</v>
      </c>
    </row>
    <row r="1917">
      <c r="A1917" s="14">
        <v>8641755</v>
      </c>
      <c r="B1917" s="0" t="s">
        <v>3917</v>
      </c>
      <c r="C1917" s="16">
        <f>HYPERLINK("https://eosportal.federatedhermes.com/companies/Q29tcGFueQppODI2NzY=", "Yara International ASA")</f>
      </c>
      <c r="D1917" s="0" t="s">
        <v>25</v>
      </c>
      <c r="E1917" s="0" t="s">
        <v>341</v>
      </c>
      <c r="F1917" s="16">
        <f>HYPERLINK("https://eosportal.federatedhermes.com/engagements/RW5nYWdlbWVudAppMzE0MzA=", "Remuneration")</f>
      </c>
      <c r="G1917" s="14" t="s">
        <v>5413</v>
      </c>
      <c r="H1917" s="0" t="s">
        <v>141</v>
      </c>
      <c r="I1917" s="14" t="s">
        <v>636</v>
      </c>
      <c r="J1917" s="0" t="s">
        <v>145</v>
      </c>
      <c r="K1917" s="0" t="s">
        <v>146</v>
      </c>
      <c r="L1917" s="0" t="s">
        <v>147</v>
      </c>
      <c r="M1917" s="0" t="s">
        <v>378</v>
      </c>
      <c r="N1917" s="0" t="s">
        <v>3211</v>
      </c>
      <c r="O1917" s="0" t="s">
        <v>706</v>
      </c>
      <c r="Q1917" s="0" t="s">
        <v>130</v>
      </c>
      <c r="R1917" s="0" t="s">
        <v>138</v>
      </c>
      <c r="S1917" s="14">
        <v>0</v>
      </c>
      <c r="T1917" s="0" t="s">
        <v>231</v>
      </c>
      <c r="U1917" s="0" t="s">
        <v>138</v>
      </c>
      <c r="V1917" s="14" t="s">
        <v>138</v>
      </c>
      <c r="W1917" s="0" t="s">
        <v>138</v>
      </c>
      <c r="X1917" s="14" t="s">
        <v>138</v>
      </c>
      <c r="Y1917" s="0" t="s">
        <v>138</v>
      </c>
      <c r="Z1917" s="14" t="s">
        <v>138</v>
      </c>
      <c r="AA1917" s="0" t="s">
        <v>138</v>
      </c>
      <c r="AB1917" s="14" t="s">
        <v>138</v>
      </c>
      <c r="AD1917" s="0" t="s">
        <v>138</v>
      </c>
      <c r="AF1917" s="0">
        <v>0</v>
      </c>
      <c r="AG1917" s="0">
        <v>0</v>
      </c>
      <c r="AH1917" s="0" t="s">
        <v>140</v>
      </c>
      <c r="AI1917" s="0" t="s">
        <v>138</v>
      </c>
      <c r="AL1917" s="14"/>
      <c r="AN1917" s="14"/>
      <c r="AQ1917" s="0" t="s">
        <v>130</v>
      </c>
      <c r="AR1917" s="0" t="s">
        <v>130</v>
      </c>
      <c r="AS1917" s="0" t="s">
        <v>130</v>
      </c>
      <c r="AT1917" s="0" t="s">
        <v>130</v>
      </c>
      <c r="AU1917" s="0" t="s">
        <v>130</v>
      </c>
      <c r="AV1917" s="0" t="s">
        <v>130</v>
      </c>
      <c r="AW1917" s="0" t="s">
        <v>130</v>
      </c>
      <c r="AX1917" s="0" t="s">
        <v>130</v>
      </c>
      <c r="AY1917" s="0" t="s">
        <v>130</v>
      </c>
      <c r="AZ1917" s="0" t="s">
        <v>130</v>
      </c>
      <c r="BA1917" s="0" t="s">
        <v>130</v>
      </c>
      <c r="BB1917" s="0" t="s">
        <v>130</v>
      </c>
      <c r="BC1917" s="0" t="s">
        <v>130</v>
      </c>
      <c r="BD1917" s="0" t="s">
        <v>130</v>
      </c>
      <c r="BE1917" s="0" t="s">
        <v>130</v>
      </c>
      <c r="BF1917" s="0" t="s">
        <v>130</v>
      </c>
      <c r="BG1917" s="0" t="s">
        <v>130</v>
      </c>
      <c r="BH1917" s="0" t="s">
        <v>130</v>
      </c>
      <c r="BI1917" s="0" t="s">
        <v>130</v>
      </c>
      <c r="BJ1917" s="0" t="s">
        <v>130</v>
      </c>
      <c r="BK1917" s="0" t="s">
        <v>130</v>
      </c>
      <c r="BL1917" s="0" t="s">
        <v>130</v>
      </c>
      <c r="BM1917" s="0" t="s">
        <v>130</v>
      </c>
      <c r="BN1917" s="0" t="s">
        <v>130</v>
      </c>
      <c r="BO1917" s="0" t="s">
        <v>130</v>
      </c>
      <c r="BP1917" s="0" t="s">
        <v>130</v>
      </c>
      <c r="BQ1917" s="0" t="s">
        <v>130</v>
      </c>
      <c r="BR1917" s="0" t="s">
        <v>130</v>
      </c>
      <c r="BS1917" s="0" t="s">
        <v>130</v>
      </c>
      <c r="BT1917" s="0" t="s">
        <v>130</v>
      </c>
      <c r="BU1917" s="0" t="s">
        <v>130</v>
      </c>
      <c r="BV1917" s="0" t="s">
        <v>130</v>
      </c>
      <c r="BW1917" s="0" t="s">
        <v>130</v>
      </c>
      <c r="BX1917" s="0" t="s">
        <v>130</v>
      </c>
      <c r="BY1917" s="0" t="s">
        <v>130</v>
      </c>
      <c r="BZ1917" s="0" t="s">
        <v>130</v>
      </c>
      <c r="CA1917" s="0" t="s">
        <v>130</v>
      </c>
      <c r="CB1917" s="0" t="s">
        <v>130</v>
      </c>
      <c r="CC1917" s="0" t="s">
        <v>130</v>
      </c>
      <c r="CD1917" s="0" t="s">
        <v>130</v>
      </c>
      <c r="CE1917" s="0" t="s">
        <v>130</v>
      </c>
      <c r="CF1917" s="0" t="s">
        <v>130</v>
      </c>
      <c r="CG1917" s="0" t="s">
        <v>130</v>
      </c>
      <c r="CH1917" s="0" t="s">
        <v>130</v>
      </c>
      <c r="CI1917" s="0" t="s">
        <v>130</v>
      </c>
      <c r="CJ1917" s="0" t="s">
        <v>130</v>
      </c>
      <c r="CK1917" s="0" t="s">
        <v>130</v>
      </c>
      <c r="CL1917" s="0" t="s">
        <v>130</v>
      </c>
      <c r="CM1917" s="0" t="s">
        <v>130</v>
      </c>
      <c r="CN1917" s="0" t="s">
        <v>130</v>
      </c>
      <c r="CO1917" s="0" t="s">
        <v>130</v>
      </c>
      <c r="CP1917" s="0" t="s">
        <v>130</v>
      </c>
      <c r="CQ1917" s="0" t="s">
        <v>130</v>
      </c>
      <c r="CR1917" s="0" t="s">
        <v>130</v>
      </c>
      <c r="CS1917" s="0" t="s">
        <v>130</v>
      </c>
      <c r="CT1917" s="0" t="s">
        <v>5414</v>
      </c>
    </row>
    <row r="1918">
      <c r="A1918" s="14">
        <v>961642</v>
      </c>
      <c r="B1918" s="0" t="s">
        <v>3509</v>
      </c>
      <c r="C1918" s="16">
        <f>HYPERLINK("https://eosportal.federatedhermes.com/companies/Q29tcGFueQppNjc3NTI=", "Zurich Insurance Group AG")</f>
      </c>
      <c r="D1918" s="0" t="s">
        <v>25</v>
      </c>
      <c r="E1918" s="0" t="s">
        <v>912</v>
      </c>
      <c r="F1918" s="16">
        <f>HYPERLINK("https://eosportal.federatedhermes.com/engagements/RW5nYWdlbWVudAppMzE0NDA=", "Executive remuneration")</f>
      </c>
      <c r="G1918" s="14" t="s">
        <v>5415</v>
      </c>
      <c r="H1918" s="0" t="s">
        <v>141</v>
      </c>
      <c r="I1918" s="14" t="s">
        <v>131</v>
      </c>
      <c r="J1918" s="0" t="s">
        <v>145</v>
      </c>
      <c r="K1918" s="0" t="s">
        <v>146</v>
      </c>
      <c r="L1918" s="0" t="s">
        <v>147</v>
      </c>
      <c r="M1918" s="0" t="s">
        <v>378</v>
      </c>
      <c r="N1918" s="0" t="s">
        <v>1059</v>
      </c>
      <c r="O1918" s="0" t="s">
        <v>238</v>
      </c>
      <c r="Q1918" s="0" t="s">
        <v>141</v>
      </c>
      <c r="R1918" s="0" t="s">
        <v>138</v>
      </c>
      <c r="S1918" s="14">
        <v>1</v>
      </c>
      <c r="T1918" s="0" t="s">
        <v>2270</v>
      </c>
      <c r="U1918" s="0" t="s">
        <v>138</v>
      </c>
      <c r="V1918" s="14" t="s">
        <v>138</v>
      </c>
      <c r="W1918" s="0" t="s">
        <v>138</v>
      </c>
      <c r="X1918" s="14" t="s">
        <v>138</v>
      </c>
      <c r="Y1918" s="0" t="s">
        <v>138</v>
      </c>
      <c r="Z1918" s="14" t="s">
        <v>138</v>
      </c>
      <c r="AA1918" s="0" t="s">
        <v>138</v>
      </c>
      <c r="AB1918" s="14" t="s">
        <v>138</v>
      </c>
      <c r="AD1918" s="0" t="s">
        <v>138</v>
      </c>
      <c r="AF1918" s="0">
        <v>0</v>
      </c>
      <c r="AG1918" s="0">
        <v>0</v>
      </c>
      <c r="AH1918" s="0" t="s">
        <v>140</v>
      </c>
      <c r="AI1918" s="0" t="s">
        <v>138</v>
      </c>
      <c r="AK1918" s="0" t="s">
        <v>344</v>
      </c>
      <c r="AL1918" s="14"/>
      <c r="AN1918" s="14"/>
      <c r="AQ1918" s="0" t="s">
        <v>130</v>
      </c>
      <c r="AR1918" s="0" t="s">
        <v>130</v>
      </c>
      <c r="AS1918" s="0" t="s">
        <v>130</v>
      </c>
      <c r="AT1918" s="0" t="s">
        <v>130</v>
      </c>
      <c r="AU1918" s="0" t="s">
        <v>130</v>
      </c>
      <c r="AV1918" s="0" t="s">
        <v>130</v>
      </c>
      <c r="AW1918" s="0" t="s">
        <v>130</v>
      </c>
      <c r="AX1918" s="0" t="s">
        <v>130</v>
      </c>
      <c r="AY1918" s="0" t="s">
        <v>130</v>
      </c>
      <c r="AZ1918" s="0" t="s">
        <v>130</v>
      </c>
      <c r="BA1918" s="0" t="s">
        <v>130</v>
      </c>
      <c r="BB1918" s="0" t="s">
        <v>130</v>
      </c>
      <c r="BC1918" s="0" t="s">
        <v>130</v>
      </c>
      <c r="BD1918" s="0" t="s">
        <v>130</v>
      </c>
      <c r="BE1918" s="0" t="s">
        <v>130</v>
      </c>
      <c r="BF1918" s="0" t="s">
        <v>130</v>
      </c>
      <c r="BG1918" s="0" t="s">
        <v>130</v>
      </c>
      <c r="BH1918" s="0" t="s">
        <v>130</v>
      </c>
      <c r="BI1918" s="0" t="s">
        <v>130</v>
      </c>
      <c r="BJ1918" s="0" t="s">
        <v>130</v>
      </c>
      <c r="BK1918" s="0" t="s">
        <v>130</v>
      </c>
      <c r="BL1918" s="0" t="s">
        <v>130</v>
      </c>
      <c r="BM1918" s="0" t="s">
        <v>130</v>
      </c>
      <c r="BN1918" s="0" t="s">
        <v>130</v>
      </c>
      <c r="BO1918" s="0" t="s">
        <v>130</v>
      </c>
      <c r="BP1918" s="0" t="s">
        <v>130</v>
      </c>
      <c r="BQ1918" s="0" t="s">
        <v>130</v>
      </c>
      <c r="BR1918" s="0" t="s">
        <v>130</v>
      </c>
      <c r="BS1918" s="0" t="s">
        <v>130</v>
      </c>
      <c r="BT1918" s="0" t="s">
        <v>130</v>
      </c>
      <c r="BU1918" s="0" t="s">
        <v>130</v>
      </c>
      <c r="BV1918" s="0" t="s">
        <v>130</v>
      </c>
      <c r="BW1918" s="0" t="s">
        <v>130</v>
      </c>
      <c r="BX1918" s="0" t="s">
        <v>130</v>
      </c>
      <c r="BY1918" s="0" t="s">
        <v>130</v>
      </c>
      <c r="BZ1918" s="0" t="s">
        <v>130</v>
      </c>
      <c r="CA1918" s="0" t="s">
        <v>130</v>
      </c>
      <c r="CB1918" s="0" t="s">
        <v>130</v>
      </c>
      <c r="CC1918" s="0" t="s">
        <v>130</v>
      </c>
      <c r="CD1918" s="0" t="s">
        <v>130</v>
      </c>
      <c r="CE1918" s="0" t="s">
        <v>130</v>
      </c>
      <c r="CF1918" s="0" t="s">
        <v>130</v>
      </c>
      <c r="CG1918" s="0" t="s">
        <v>130</v>
      </c>
      <c r="CH1918" s="0" t="s">
        <v>130</v>
      </c>
      <c r="CI1918" s="0" t="s">
        <v>130</v>
      </c>
      <c r="CJ1918" s="0" t="s">
        <v>130</v>
      </c>
      <c r="CK1918" s="0" t="s">
        <v>130</v>
      </c>
      <c r="CL1918" s="0" t="s">
        <v>130</v>
      </c>
      <c r="CM1918" s="0" t="s">
        <v>130</v>
      </c>
      <c r="CN1918" s="0" t="s">
        <v>130</v>
      </c>
      <c r="CO1918" s="0" t="s">
        <v>130</v>
      </c>
      <c r="CP1918" s="0" t="s">
        <v>130</v>
      </c>
      <c r="CQ1918" s="0" t="s">
        <v>130</v>
      </c>
      <c r="CR1918" s="0" t="s">
        <v>130</v>
      </c>
      <c r="CS1918" s="0" t="s">
        <v>130</v>
      </c>
      <c r="CT1918" s="0" t="s">
        <v>5416</v>
      </c>
    </row>
    <row r="1919">
      <c r="A1919" s="14">
        <v>110411</v>
      </c>
      <c r="B1919" s="0" t="s">
        <v>2250</v>
      </c>
      <c r="C1919" s="16">
        <f>HYPERLINK("https://eosportal.federatedhermes.com/companies/Q29tcGFueQppNzc5MjQ=", "Royal Bank of Canada")</f>
      </c>
      <c r="D1919" s="0" t="s">
        <v>25</v>
      </c>
      <c r="E1919" s="0" t="s">
        <v>5417</v>
      </c>
      <c r="F1919" s="16">
        <f>HYPERLINK("https://eosportal.federatedhermes.com/engagements/RW5nYWdlbWVudAppMzE0NzI=", "Socioeconomic mobility metrics")</f>
      </c>
      <c r="G1919" s="14" t="s">
        <v>5418</v>
      </c>
      <c r="H1919" s="0" t="s">
        <v>141</v>
      </c>
      <c r="I1919" s="14" t="s">
        <v>191</v>
      </c>
      <c r="J1919" s="0" t="s">
        <v>153</v>
      </c>
      <c r="K1919" s="0" t="s">
        <v>154</v>
      </c>
      <c r="L1919" s="0" t="s">
        <v>268</v>
      </c>
      <c r="M1919" s="0" t="s">
        <v>135</v>
      </c>
      <c r="N1919" s="0" t="s">
        <v>1678</v>
      </c>
      <c r="O1919" s="0" t="s">
        <v>238</v>
      </c>
      <c r="Q1919" s="0" t="s">
        <v>130</v>
      </c>
      <c r="R1919" s="0" t="s">
        <v>138</v>
      </c>
      <c r="S1919" s="14">
        <v>0</v>
      </c>
      <c r="T1919" s="0" t="s">
        <v>2270</v>
      </c>
      <c r="U1919" s="0" t="s">
        <v>138</v>
      </c>
      <c r="V1919" s="14" t="s">
        <v>138</v>
      </c>
      <c r="W1919" s="0" t="s">
        <v>138</v>
      </c>
      <c r="X1919" s="14" t="s">
        <v>138</v>
      </c>
      <c r="Y1919" s="0" t="s">
        <v>138</v>
      </c>
      <c r="Z1919" s="14" t="s">
        <v>138</v>
      </c>
      <c r="AA1919" s="0" t="s">
        <v>138</v>
      </c>
      <c r="AB1919" s="14" t="s">
        <v>138</v>
      </c>
      <c r="AD1919" s="0" t="s">
        <v>138</v>
      </c>
      <c r="AF1919" s="0">
        <v>0</v>
      </c>
      <c r="AG1919" s="0">
        <v>0</v>
      </c>
      <c r="AH1919" s="0" t="s">
        <v>140</v>
      </c>
      <c r="AI1919" s="0" t="s">
        <v>138</v>
      </c>
      <c r="AL1919" s="14"/>
      <c r="AN1919" s="14"/>
      <c r="AQ1919" s="0" t="s">
        <v>130</v>
      </c>
      <c r="AR1919" s="0" t="s">
        <v>130</v>
      </c>
      <c r="AS1919" s="0" t="s">
        <v>130</v>
      </c>
      <c r="AT1919" s="0" t="s">
        <v>141</v>
      </c>
      <c r="AU1919" s="0" t="s">
        <v>130</v>
      </c>
      <c r="AV1919" s="0" t="s">
        <v>130</v>
      </c>
      <c r="AW1919" s="0" t="s">
        <v>130</v>
      </c>
      <c r="AX1919" s="0" t="s">
        <v>130</v>
      </c>
      <c r="AY1919" s="0" t="s">
        <v>130</v>
      </c>
      <c r="AZ1919" s="0" t="s">
        <v>130</v>
      </c>
      <c r="BA1919" s="0" t="s">
        <v>130</v>
      </c>
      <c r="BB1919" s="0" t="s">
        <v>130</v>
      </c>
      <c r="BC1919" s="0" t="s">
        <v>130</v>
      </c>
      <c r="BD1919" s="0" t="s">
        <v>130</v>
      </c>
      <c r="BE1919" s="0" t="s">
        <v>130</v>
      </c>
      <c r="BF1919" s="0" t="s">
        <v>130</v>
      </c>
      <c r="BG1919" s="0" t="s">
        <v>130</v>
      </c>
      <c r="BH1919" s="0" t="s">
        <v>130</v>
      </c>
      <c r="BI1919" s="0" t="s">
        <v>130</v>
      </c>
      <c r="BJ1919" s="0" t="s">
        <v>130</v>
      </c>
      <c r="BK1919" s="0" t="s">
        <v>130</v>
      </c>
      <c r="BL1919" s="0" t="s">
        <v>130</v>
      </c>
      <c r="BM1919" s="0" t="s">
        <v>130</v>
      </c>
      <c r="BN1919" s="0" t="s">
        <v>130</v>
      </c>
      <c r="BO1919" s="0" t="s">
        <v>130</v>
      </c>
      <c r="BP1919" s="0" t="s">
        <v>130</v>
      </c>
      <c r="BQ1919" s="0" t="s">
        <v>130</v>
      </c>
      <c r="BR1919" s="0" t="s">
        <v>130</v>
      </c>
      <c r="BS1919" s="0" t="s">
        <v>130</v>
      </c>
      <c r="BT1919" s="0" t="s">
        <v>130</v>
      </c>
      <c r="BU1919" s="0" t="s">
        <v>130</v>
      </c>
      <c r="BV1919" s="0" t="s">
        <v>130</v>
      </c>
      <c r="BW1919" s="0" t="s">
        <v>130</v>
      </c>
      <c r="BX1919" s="0" t="s">
        <v>130</v>
      </c>
      <c r="BY1919" s="0" t="s">
        <v>130</v>
      </c>
      <c r="BZ1919" s="0" t="s">
        <v>130</v>
      </c>
      <c r="CA1919" s="0" t="s">
        <v>130</v>
      </c>
      <c r="CB1919" s="0" t="s">
        <v>130</v>
      </c>
      <c r="CC1919" s="0" t="s">
        <v>130</v>
      </c>
      <c r="CD1919" s="0" t="s">
        <v>130</v>
      </c>
      <c r="CE1919" s="0" t="s">
        <v>130</v>
      </c>
      <c r="CF1919" s="0" t="s">
        <v>130</v>
      </c>
      <c r="CG1919" s="0" t="s">
        <v>130</v>
      </c>
      <c r="CH1919" s="0" t="s">
        <v>130</v>
      </c>
      <c r="CI1919" s="0" t="s">
        <v>130</v>
      </c>
      <c r="CJ1919" s="0" t="s">
        <v>130</v>
      </c>
      <c r="CK1919" s="0" t="s">
        <v>141</v>
      </c>
      <c r="CL1919" s="0" t="s">
        <v>130</v>
      </c>
      <c r="CM1919" s="0" t="s">
        <v>130</v>
      </c>
      <c r="CN1919" s="0" t="s">
        <v>130</v>
      </c>
      <c r="CO1919" s="0" t="s">
        <v>130</v>
      </c>
      <c r="CP1919" s="0" t="s">
        <v>130</v>
      </c>
      <c r="CQ1919" s="0" t="s">
        <v>130</v>
      </c>
      <c r="CR1919" s="0" t="s">
        <v>130</v>
      </c>
      <c r="CS1919" s="0" t="s">
        <v>130</v>
      </c>
      <c r="CT1919" s="0" t="s">
        <v>5419</v>
      </c>
    </row>
    <row r="1920">
      <c r="A1920" s="14">
        <v>11583006</v>
      </c>
      <c r="B1920" s="0" t="s">
        <v>4054</v>
      </c>
      <c r="C1920" s="16">
        <f>HYPERLINK("https://eosportal.federatedhermes.com/companies/Q29tcGFueQppODUyMTc=", "Rexel SA")</f>
      </c>
      <c r="D1920" s="0" t="s">
        <v>25</v>
      </c>
      <c r="E1920" s="0" t="s">
        <v>5016</v>
      </c>
      <c r="F1920" s="16">
        <f>HYPERLINK("https://eosportal.federatedhermes.com/engagements/RW5nYWdlbWVudAppMzE0NzY=", "Russia/Ukraine conflict")</f>
      </c>
      <c r="G1920" s="14" t="s">
        <v>5420</v>
      </c>
      <c r="H1920" s="0" t="s">
        <v>130</v>
      </c>
      <c r="I1920" s="14" t="s">
        <v>131</v>
      </c>
      <c r="J1920" s="0" t="s">
        <v>153</v>
      </c>
      <c r="K1920" s="0" t="s">
        <v>243</v>
      </c>
      <c r="L1920" s="0" t="s">
        <v>456</v>
      </c>
      <c r="M1920" s="0" t="s">
        <v>378</v>
      </c>
      <c r="N1920" s="0" t="s">
        <v>1646</v>
      </c>
      <c r="O1920" s="0" t="s">
        <v>176</v>
      </c>
      <c r="Q1920" s="0" t="s">
        <v>130</v>
      </c>
      <c r="R1920" s="0" t="s">
        <v>138</v>
      </c>
      <c r="S1920" s="14">
        <v>0</v>
      </c>
      <c r="T1920" s="0" t="s">
        <v>2270</v>
      </c>
      <c r="U1920" s="0" t="s">
        <v>138</v>
      </c>
      <c r="V1920" s="14" t="s">
        <v>138</v>
      </c>
      <c r="W1920" s="0" t="s">
        <v>138</v>
      </c>
      <c r="X1920" s="14" t="s">
        <v>138</v>
      </c>
      <c r="Y1920" s="0" t="s">
        <v>138</v>
      </c>
      <c r="Z1920" s="14" t="s">
        <v>138</v>
      </c>
      <c r="AA1920" s="0" t="s">
        <v>138</v>
      </c>
      <c r="AB1920" s="14" t="s">
        <v>138</v>
      </c>
      <c r="AD1920" s="0" t="s">
        <v>138</v>
      </c>
      <c r="AF1920" s="0">
        <v>0</v>
      </c>
      <c r="AG1920" s="0">
        <v>0</v>
      </c>
      <c r="AH1920" s="0" t="s">
        <v>140</v>
      </c>
      <c r="AI1920" s="0" t="s">
        <v>138</v>
      </c>
      <c r="AL1920" s="14"/>
      <c r="AN1920" s="14"/>
      <c r="AQ1920" s="0" t="s">
        <v>130</v>
      </c>
      <c r="AR1920" s="0" t="s">
        <v>130</v>
      </c>
      <c r="AS1920" s="0" t="s">
        <v>130</v>
      </c>
      <c r="AT1920" s="0" t="s">
        <v>130</v>
      </c>
      <c r="AU1920" s="0" t="s">
        <v>130</v>
      </c>
      <c r="AV1920" s="0" t="s">
        <v>130</v>
      </c>
      <c r="AW1920" s="0" t="s">
        <v>130</v>
      </c>
      <c r="AX1920" s="0" t="s">
        <v>141</v>
      </c>
      <c r="AY1920" s="0" t="s">
        <v>130</v>
      </c>
      <c r="AZ1920" s="0" t="s">
        <v>130</v>
      </c>
      <c r="BA1920" s="0" t="s">
        <v>130</v>
      </c>
      <c r="BB1920" s="0" t="s">
        <v>130</v>
      </c>
      <c r="BC1920" s="0" t="s">
        <v>130</v>
      </c>
      <c r="BD1920" s="0" t="s">
        <v>130</v>
      </c>
      <c r="BE1920" s="0" t="s">
        <v>130</v>
      </c>
      <c r="BF1920" s="0" t="s">
        <v>141</v>
      </c>
      <c r="BG1920" s="0" t="s">
        <v>130</v>
      </c>
      <c r="BH1920" s="0" t="s">
        <v>130</v>
      </c>
      <c r="BI1920" s="0" t="s">
        <v>130</v>
      </c>
      <c r="BJ1920" s="0" t="s">
        <v>130</v>
      </c>
      <c r="BK1920" s="0" t="s">
        <v>130</v>
      </c>
      <c r="BL1920" s="0" t="s">
        <v>130</v>
      </c>
      <c r="BM1920" s="0" t="s">
        <v>130</v>
      </c>
      <c r="BN1920" s="0" t="s">
        <v>130</v>
      </c>
      <c r="BO1920" s="0" t="s">
        <v>130</v>
      </c>
      <c r="BP1920" s="0" t="s">
        <v>130</v>
      </c>
      <c r="BQ1920" s="0" t="s">
        <v>130</v>
      </c>
      <c r="BR1920" s="0" t="s">
        <v>130</v>
      </c>
      <c r="BS1920" s="0" t="s">
        <v>130</v>
      </c>
      <c r="BT1920" s="0" t="s">
        <v>130</v>
      </c>
      <c r="BU1920" s="0" t="s">
        <v>130</v>
      </c>
      <c r="BV1920" s="0" t="s">
        <v>130</v>
      </c>
      <c r="BW1920" s="0" t="s">
        <v>130</v>
      </c>
      <c r="BX1920" s="0" t="s">
        <v>130</v>
      </c>
      <c r="BY1920" s="0" t="s">
        <v>130</v>
      </c>
      <c r="BZ1920" s="0" t="s">
        <v>130</v>
      </c>
      <c r="CA1920" s="0" t="s">
        <v>130</v>
      </c>
      <c r="CB1920" s="0" t="s">
        <v>130</v>
      </c>
      <c r="CC1920" s="0" t="s">
        <v>130</v>
      </c>
      <c r="CD1920" s="0" t="s">
        <v>130</v>
      </c>
      <c r="CE1920" s="0" t="s">
        <v>130</v>
      </c>
      <c r="CF1920" s="0" t="s">
        <v>130</v>
      </c>
      <c r="CG1920" s="0" t="s">
        <v>130</v>
      </c>
      <c r="CH1920" s="0" t="s">
        <v>130</v>
      </c>
      <c r="CI1920" s="0" t="s">
        <v>130</v>
      </c>
      <c r="CJ1920" s="0" t="s">
        <v>130</v>
      </c>
      <c r="CK1920" s="0" t="s">
        <v>130</v>
      </c>
      <c r="CL1920" s="0" t="s">
        <v>130</v>
      </c>
      <c r="CM1920" s="0" t="s">
        <v>130</v>
      </c>
      <c r="CN1920" s="0" t="s">
        <v>130</v>
      </c>
      <c r="CO1920" s="0" t="s">
        <v>130</v>
      </c>
      <c r="CP1920" s="0" t="s">
        <v>130</v>
      </c>
      <c r="CQ1920" s="0" t="s">
        <v>130</v>
      </c>
      <c r="CR1920" s="0" t="s">
        <v>130</v>
      </c>
      <c r="CS1920" s="0" t="s">
        <v>130</v>
      </c>
      <c r="CT1920" s="0" t="s">
        <v>5421</v>
      </c>
    </row>
    <row r="1921">
      <c r="A1921" s="14">
        <v>100358</v>
      </c>
      <c r="B1921" s="0" t="s">
        <v>641</v>
      </c>
      <c r="C1921" s="16">
        <f>HYPERLINK("https://eosportal.federatedhermes.com/companies/Q29tcGFueQppNDgyOTI=", "Coles Group Ltd")</f>
      </c>
      <c r="D1921" s="0" t="s">
        <v>25</v>
      </c>
      <c r="E1921" s="0" t="s">
        <v>5038</v>
      </c>
      <c r="F1921" s="16">
        <f>HYPERLINK("https://eosportal.federatedhermes.com/engagements/RW5nYWdlbWVudAppMzE0Nzk=", "Auditor Tenure")</f>
      </c>
      <c r="G1921" s="14" t="s">
        <v>5422</v>
      </c>
      <c r="H1921" s="0" t="s">
        <v>130</v>
      </c>
      <c r="I1921" s="14" t="s">
        <v>319</v>
      </c>
      <c r="J1921" s="0" t="s">
        <v>132</v>
      </c>
      <c r="K1921" s="0" t="s">
        <v>170</v>
      </c>
      <c r="L1921" s="0" t="s">
        <v>310</v>
      </c>
      <c r="M1921" s="0" t="s">
        <v>371</v>
      </c>
      <c r="N1921" s="0" t="s">
        <v>372</v>
      </c>
      <c r="O1921" s="0" t="s">
        <v>643</v>
      </c>
      <c r="Q1921" s="0" t="s">
        <v>130</v>
      </c>
      <c r="R1921" s="0" t="s">
        <v>138</v>
      </c>
      <c r="S1921" s="14">
        <v>0</v>
      </c>
      <c r="T1921" s="0" t="s">
        <v>2270</v>
      </c>
      <c r="U1921" s="0" t="s">
        <v>138</v>
      </c>
      <c r="V1921" s="14" t="s">
        <v>138</v>
      </c>
      <c r="W1921" s="0" t="s">
        <v>138</v>
      </c>
      <c r="X1921" s="14" t="s">
        <v>138</v>
      </c>
      <c r="Y1921" s="0" t="s">
        <v>138</v>
      </c>
      <c r="Z1921" s="14" t="s">
        <v>138</v>
      </c>
      <c r="AA1921" s="0" t="s">
        <v>138</v>
      </c>
      <c r="AB1921" s="14" t="s">
        <v>138</v>
      </c>
      <c r="AD1921" s="0" t="s">
        <v>138</v>
      </c>
      <c r="AF1921" s="0">
        <v>0</v>
      </c>
      <c r="AG1921" s="0">
        <v>0</v>
      </c>
      <c r="AH1921" s="0" t="s">
        <v>140</v>
      </c>
      <c r="AI1921" s="0" t="s">
        <v>138</v>
      </c>
      <c r="AL1921" s="14"/>
      <c r="AN1921" s="14"/>
      <c r="AQ1921" s="0" t="s">
        <v>130</v>
      </c>
      <c r="AR1921" s="0" t="s">
        <v>130</v>
      </c>
      <c r="AS1921" s="0" t="s">
        <v>130</v>
      </c>
      <c r="AT1921" s="0" t="s">
        <v>130</v>
      </c>
      <c r="AU1921" s="0" t="s">
        <v>130</v>
      </c>
      <c r="AV1921" s="0" t="s">
        <v>130</v>
      </c>
      <c r="AW1921" s="0" t="s">
        <v>130</v>
      </c>
      <c r="AX1921" s="0" t="s">
        <v>130</v>
      </c>
      <c r="AY1921" s="0" t="s">
        <v>130</v>
      </c>
      <c r="AZ1921" s="0" t="s">
        <v>130</v>
      </c>
      <c r="BA1921" s="0" t="s">
        <v>130</v>
      </c>
      <c r="BB1921" s="0" t="s">
        <v>130</v>
      </c>
      <c r="BC1921" s="0" t="s">
        <v>130</v>
      </c>
      <c r="BD1921" s="0" t="s">
        <v>130</v>
      </c>
      <c r="BE1921" s="0" t="s">
        <v>130</v>
      </c>
      <c r="BF1921" s="0" t="s">
        <v>130</v>
      </c>
      <c r="BG1921" s="0" t="s">
        <v>130</v>
      </c>
      <c r="BH1921" s="0" t="s">
        <v>130</v>
      </c>
      <c r="BI1921" s="0" t="s">
        <v>130</v>
      </c>
      <c r="BJ1921" s="0" t="s">
        <v>130</v>
      </c>
      <c r="BK1921" s="0" t="s">
        <v>130</v>
      </c>
      <c r="BL1921" s="0" t="s">
        <v>130</v>
      </c>
      <c r="BM1921" s="0" t="s">
        <v>130</v>
      </c>
      <c r="BN1921" s="0" t="s">
        <v>130</v>
      </c>
      <c r="BO1921" s="0" t="s">
        <v>130</v>
      </c>
      <c r="BP1921" s="0" t="s">
        <v>130</v>
      </c>
      <c r="BQ1921" s="0" t="s">
        <v>130</v>
      </c>
      <c r="BR1921" s="0" t="s">
        <v>130</v>
      </c>
      <c r="BS1921" s="0" t="s">
        <v>130</v>
      </c>
      <c r="BT1921" s="0" t="s">
        <v>130</v>
      </c>
      <c r="BU1921" s="0" t="s">
        <v>130</v>
      </c>
      <c r="BV1921" s="0" t="s">
        <v>130</v>
      </c>
      <c r="BW1921" s="0" t="s">
        <v>130</v>
      </c>
      <c r="BX1921" s="0" t="s">
        <v>130</v>
      </c>
      <c r="BY1921" s="0" t="s">
        <v>130</v>
      </c>
      <c r="BZ1921" s="0" t="s">
        <v>130</v>
      </c>
      <c r="CA1921" s="0" t="s">
        <v>130</v>
      </c>
      <c r="CB1921" s="0" t="s">
        <v>130</v>
      </c>
      <c r="CC1921" s="0" t="s">
        <v>130</v>
      </c>
      <c r="CD1921" s="0" t="s">
        <v>130</v>
      </c>
      <c r="CE1921" s="0" t="s">
        <v>130</v>
      </c>
      <c r="CF1921" s="0" t="s">
        <v>130</v>
      </c>
      <c r="CG1921" s="0" t="s">
        <v>130</v>
      </c>
      <c r="CH1921" s="0" t="s">
        <v>130</v>
      </c>
      <c r="CI1921" s="0" t="s">
        <v>130</v>
      </c>
      <c r="CJ1921" s="0" t="s">
        <v>130</v>
      </c>
      <c r="CK1921" s="0" t="s">
        <v>130</v>
      </c>
      <c r="CL1921" s="0" t="s">
        <v>130</v>
      </c>
      <c r="CM1921" s="0" t="s">
        <v>130</v>
      </c>
      <c r="CN1921" s="0" t="s">
        <v>130</v>
      </c>
      <c r="CO1921" s="0" t="s">
        <v>130</v>
      </c>
      <c r="CP1921" s="0" t="s">
        <v>130</v>
      </c>
      <c r="CQ1921" s="0" t="s">
        <v>130</v>
      </c>
      <c r="CR1921" s="0" t="s">
        <v>130</v>
      </c>
      <c r="CS1921" s="0" t="s">
        <v>130</v>
      </c>
      <c r="CT1921" s="0" t="s">
        <v>5423</v>
      </c>
    </row>
    <row r="1922">
      <c r="A1922" s="14">
        <v>186830</v>
      </c>
      <c r="B1922" s="0" t="s">
        <v>3247</v>
      </c>
      <c r="C1922" s="16">
        <f>HYPERLINK("https://eosportal.federatedhermes.com/companies/Q29tcGFueQppNjc3NTE=", "Banco BTG Pactual SA")</f>
      </c>
      <c r="D1922" s="0" t="s">
        <v>25</v>
      </c>
      <c r="E1922" s="0" t="s">
        <v>5424</v>
      </c>
      <c r="F1922" s="16">
        <f>HYPERLINK("https://eosportal.federatedhermes.com/engagements/RW5nYWdlbWVudAppMzE0ODE=", "Human Rights Improvements in ESG Risk Policies")</f>
      </c>
      <c r="G1922" s="14" t="s">
        <v>5425</v>
      </c>
      <c r="H1922" s="0" t="s">
        <v>130</v>
      </c>
      <c r="I1922" s="14" t="s">
        <v>131</v>
      </c>
      <c r="J1922" s="0" t="s">
        <v>132</v>
      </c>
      <c r="K1922" s="0" t="s">
        <v>133</v>
      </c>
      <c r="L1922" s="0" t="s">
        <v>160</v>
      </c>
      <c r="M1922" s="0" t="s">
        <v>2807</v>
      </c>
      <c r="N1922" s="0" t="s">
        <v>3041</v>
      </c>
      <c r="O1922" s="0" t="s">
        <v>238</v>
      </c>
      <c r="Q1922" s="0" t="s">
        <v>130</v>
      </c>
      <c r="R1922" s="0" t="s">
        <v>138</v>
      </c>
      <c r="S1922" s="14">
        <v>0</v>
      </c>
      <c r="T1922" s="0" t="s">
        <v>2270</v>
      </c>
      <c r="U1922" s="0" t="s">
        <v>138</v>
      </c>
      <c r="V1922" s="14" t="s">
        <v>138</v>
      </c>
      <c r="W1922" s="0" t="s">
        <v>138</v>
      </c>
      <c r="X1922" s="14" t="s">
        <v>138</v>
      </c>
      <c r="Y1922" s="0" t="s">
        <v>138</v>
      </c>
      <c r="Z1922" s="14" t="s">
        <v>138</v>
      </c>
      <c r="AA1922" s="0" t="s">
        <v>138</v>
      </c>
      <c r="AB1922" s="14" t="s">
        <v>138</v>
      </c>
      <c r="AD1922" s="0" t="s">
        <v>138</v>
      </c>
      <c r="AF1922" s="0">
        <v>0</v>
      </c>
      <c r="AG1922" s="0">
        <v>0</v>
      </c>
      <c r="AH1922" s="0" t="s">
        <v>140</v>
      </c>
      <c r="AI1922" s="0" t="s">
        <v>138</v>
      </c>
      <c r="AL1922" s="14"/>
      <c r="AN1922" s="14"/>
      <c r="AQ1922" s="0" t="s">
        <v>130</v>
      </c>
      <c r="AR1922" s="0" t="s">
        <v>130</v>
      </c>
      <c r="AS1922" s="0" t="s">
        <v>130</v>
      </c>
      <c r="AT1922" s="0" t="s">
        <v>130</v>
      </c>
      <c r="AU1922" s="0" t="s">
        <v>130</v>
      </c>
      <c r="AV1922" s="0" t="s">
        <v>130</v>
      </c>
      <c r="AW1922" s="0" t="s">
        <v>130</v>
      </c>
      <c r="AX1922" s="0" t="s">
        <v>130</v>
      </c>
      <c r="AY1922" s="0" t="s">
        <v>130</v>
      </c>
      <c r="AZ1922" s="0" t="s">
        <v>130</v>
      </c>
      <c r="BA1922" s="0" t="s">
        <v>130</v>
      </c>
      <c r="BB1922" s="0" t="s">
        <v>130</v>
      </c>
      <c r="BC1922" s="0" t="s">
        <v>130</v>
      </c>
      <c r="BD1922" s="0" t="s">
        <v>130</v>
      </c>
      <c r="BE1922" s="0" t="s">
        <v>130</v>
      </c>
      <c r="BF1922" s="0" t="s">
        <v>130</v>
      </c>
      <c r="BG1922" s="0" t="s">
        <v>130</v>
      </c>
      <c r="BH1922" s="0" t="s">
        <v>130</v>
      </c>
      <c r="BI1922" s="0" t="s">
        <v>130</v>
      </c>
      <c r="BJ1922" s="0" t="s">
        <v>130</v>
      </c>
      <c r="BK1922" s="0" t="s">
        <v>130</v>
      </c>
      <c r="BL1922" s="0" t="s">
        <v>130</v>
      </c>
      <c r="BM1922" s="0" t="s">
        <v>130</v>
      </c>
      <c r="BN1922" s="0" t="s">
        <v>130</v>
      </c>
      <c r="BO1922" s="0" t="s">
        <v>130</v>
      </c>
      <c r="BP1922" s="0" t="s">
        <v>130</v>
      </c>
      <c r="BQ1922" s="0" t="s">
        <v>130</v>
      </c>
      <c r="BR1922" s="0" t="s">
        <v>130</v>
      </c>
      <c r="BS1922" s="0" t="s">
        <v>130</v>
      </c>
      <c r="BT1922" s="0" t="s">
        <v>130</v>
      </c>
      <c r="BU1922" s="0" t="s">
        <v>130</v>
      </c>
      <c r="BV1922" s="0" t="s">
        <v>130</v>
      </c>
      <c r="BW1922" s="0" t="s">
        <v>130</v>
      </c>
      <c r="BX1922" s="0" t="s">
        <v>130</v>
      </c>
      <c r="BY1922" s="0" t="s">
        <v>130</v>
      </c>
      <c r="BZ1922" s="0" t="s">
        <v>130</v>
      </c>
      <c r="CA1922" s="0" t="s">
        <v>130</v>
      </c>
      <c r="CB1922" s="0" t="s">
        <v>130</v>
      </c>
      <c r="CC1922" s="0" t="s">
        <v>130</v>
      </c>
      <c r="CD1922" s="0" t="s">
        <v>130</v>
      </c>
      <c r="CE1922" s="0" t="s">
        <v>130</v>
      </c>
      <c r="CF1922" s="0" t="s">
        <v>130</v>
      </c>
      <c r="CG1922" s="0" t="s">
        <v>130</v>
      </c>
      <c r="CH1922" s="0" t="s">
        <v>130</v>
      </c>
      <c r="CI1922" s="0" t="s">
        <v>130</v>
      </c>
      <c r="CJ1922" s="0" t="s">
        <v>130</v>
      </c>
      <c r="CK1922" s="0" t="s">
        <v>130</v>
      </c>
      <c r="CL1922" s="0" t="s">
        <v>130</v>
      </c>
      <c r="CM1922" s="0" t="s">
        <v>130</v>
      </c>
      <c r="CN1922" s="0" t="s">
        <v>130</v>
      </c>
      <c r="CO1922" s="0" t="s">
        <v>130</v>
      </c>
      <c r="CP1922" s="0" t="s">
        <v>130</v>
      </c>
      <c r="CQ1922" s="0" t="s">
        <v>130</v>
      </c>
      <c r="CR1922" s="0" t="s">
        <v>130</v>
      </c>
      <c r="CS1922" s="0" t="s">
        <v>130</v>
      </c>
      <c r="CT1922" s="0" t="s">
        <v>5426</v>
      </c>
    </row>
    <row r="1923">
      <c r="A1923" s="14">
        <v>112857</v>
      </c>
      <c r="B1923" s="0" t="s">
        <v>5427</v>
      </c>
      <c r="C1923" s="16">
        <f>HYPERLINK("https://eosportal.federatedhermes.com/companies/Q29tcGFueQppNDYwOTY=", "James Hardie Industries PLC")</f>
      </c>
      <c r="D1923" s="0" t="s">
        <v>25</v>
      </c>
      <c r="E1923" s="0" t="s">
        <v>146</v>
      </c>
      <c r="F1923" s="16">
        <f>HYPERLINK("https://eosportal.federatedhermes.com/engagements/RW5nYWdlbWVudAppMzE0ODc=", "Executive Remuneration")</f>
      </c>
      <c r="G1923" s="14" t="s">
        <v>5428</v>
      </c>
      <c r="H1923" s="0" t="s">
        <v>130</v>
      </c>
      <c r="I1923" s="14" t="s">
        <v>319</v>
      </c>
      <c r="J1923" s="0" t="s">
        <v>145</v>
      </c>
      <c r="K1923" s="0" t="s">
        <v>146</v>
      </c>
      <c r="L1923" s="0" t="s">
        <v>147</v>
      </c>
      <c r="M1923" s="0" t="s">
        <v>378</v>
      </c>
      <c r="N1923" s="0" t="s">
        <v>409</v>
      </c>
      <c r="O1923" s="0" t="s">
        <v>373</v>
      </c>
      <c r="Q1923" s="0" t="s">
        <v>141</v>
      </c>
      <c r="R1923" s="0" t="s">
        <v>138</v>
      </c>
      <c r="S1923" s="14">
        <v>1</v>
      </c>
      <c r="T1923" s="0" t="s">
        <v>2270</v>
      </c>
      <c r="U1923" s="0" t="s">
        <v>138</v>
      </c>
      <c r="V1923" s="14" t="s">
        <v>138</v>
      </c>
      <c r="W1923" s="0" t="s">
        <v>138</v>
      </c>
      <c r="X1923" s="14" t="s">
        <v>138</v>
      </c>
      <c r="Y1923" s="0" t="s">
        <v>138</v>
      </c>
      <c r="Z1923" s="14" t="s">
        <v>138</v>
      </c>
      <c r="AA1923" s="0" t="s">
        <v>138</v>
      </c>
      <c r="AB1923" s="14" t="s">
        <v>138</v>
      </c>
      <c r="AD1923" s="0" t="s">
        <v>138</v>
      </c>
      <c r="AF1923" s="0">
        <v>0</v>
      </c>
      <c r="AG1923" s="0">
        <v>0</v>
      </c>
      <c r="AH1923" s="0" t="s">
        <v>140</v>
      </c>
      <c r="AI1923" s="0" t="s">
        <v>138</v>
      </c>
      <c r="AK1923" s="0" t="s">
        <v>2376</v>
      </c>
      <c r="AL1923" s="14"/>
      <c r="AN1923" s="14"/>
      <c r="AQ1923" s="0" t="s">
        <v>130</v>
      </c>
      <c r="AR1923" s="0" t="s">
        <v>130</v>
      </c>
      <c r="AS1923" s="0" t="s">
        <v>130</v>
      </c>
      <c r="AT1923" s="0" t="s">
        <v>130</v>
      </c>
      <c r="AU1923" s="0" t="s">
        <v>130</v>
      </c>
      <c r="AV1923" s="0" t="s">
        <v>130</v>
      </c>
      <c r="AW1923" s="0" t="s">
        <v>130</v>
      </c>
      <c r="AX1923" s="0" t="s">
        <v>130</v>
      </c>
      <c r="AY1923" s="0" t="s">
        <v>130</v>
      </c>
      <c r="AZ1923" s="0" t="s">
        <v>130</v>
      </c>
      <c r="BA1923" s="0" t="s">
        <v>130</v>
      </c>
      <c r="BB1923" s="0" t="s">
        <v>130</v>
      </c>
      <c r="BC1923" s="0" t="s">
        <v>130</v>
      </c>
      <c r="BD1923" s="0" t="s">
        <v>130</v>
      </c>
      <c r="BE1923" s="0" t="s">
        <v>130</v>
      </c>
      <c r="BF1923" s="0" t="s">
        <v>130</v>
      </c>
      <c r="BG1923" s="0" t="s">
        <v>130</v>
      </c>
      <c r="BH1923" s="0" t="s">
        <v>130</v>
      </c>
      <c r="BI1923" s="0" t="s">
        <v>130</v>
      </c>
      <c r="BJ1923" s="0" t="s">
        <v>130</v>
      </c>
      <c r="BK1923" s="0" t="s">
        <v>130</v>
      </c>
      <c r="BL1923" s="0" t="s">
        <v>130</v>
      </c>
      <c r="BM1923" s="0" t="s">
        <v>130</v>
      </c>
      <c r="BN1923" s="0" t="s">
        <v>130</v>
      </c>
      <c r="BO1923" s="0" t="s">
        <v>130</v>
      </c>
      <c r="BP1923" s="0" t="s">
        <v>130</v>
      </c>
      <c r="BQ1923" s="0" t="s">
        <v>130</v>
      </c>
      <c r="BR1923" s="0" t="s">
        <v>130</v>
      </c>
      <c r="BS1923" s="0" t="s">
        <v>130</v>
      </c>
      <c r="BT1923" s="0" t="s">
        <v>130</v>
      </c>
      <c r="BU1923" s="0" t="s">
        <v>130</v>
      </c>
      <c r="BV1923" s="0" t="s">
        <v>130</v>
      </c>
      <c r="BW1923" s="0" t="s">
        <v>130</v>
      </c>
      <c r="BX1923" s="0" t="s">
        <v>130</v>
      </c>
      <c r="BY1923" s="0" t="s">
        <v>130</v>
      </c>
      <c r="BZ1923" s="0" t="s">
        <v>130</v>
      </c>
      <c r="CA1923" s="0" t="s">
        <v>130</v>
      </c>
      <c r="CB1923" s="0" t="s">
        <v>130</v>
      </c>
      <c r="CC1923" s="0" t="s">
        <v>130</v>
      </c>
      <c r="CD1923" s="0" t="s">
        <v>130</v>
      </c>
      <c r="CE1923" s="0" t="s">
        <v>130</v>
      </c>
      <c r="CF1923" s="0" t="s">
        <v>130</v>
      </c>
      <c r="CG1923" s="0" t="s">
        <v>130</v>
      </c>
      <c r="CH1923" s="0" t="s">
        <v>130</v>
      </c>
      <c r="CI1923" s="0" t="s">
        <v>130</v>
      </c>
      <c r="CJ1923" s="0" t="s">
        <v>130</v>
      </c>
      <c r="CK1923" s="0" t="s">
        <v>130</v>
      </c>
      <c r="CL1923" s="0" t="s">
        <v>130</v>
      </c>
      <c r="CM1923" s="0" t="s">
        <v>130</v>
      </c>
      <c r="CN1923" s="0" t="s">
        <v>130</v>
      </c>
      <c r="CO1923" s="0" t="s">
        <v>130</v>
      </c>
      <c r="CP1923" s="0" t="s">
        <v>130</v>
      </c>
      <c r="CQ1923" s="0" t="s">
        <v>130</v>
      </c>
      <c r="CR1923" s="0" t="s">
        <v>130</v>
      </c>
      <c r="CS1923" s="0" t="s">
        <v>130</v>
      </c>
      <c r="CT1923" s="0" t="s">
        <v>5429</v>
      </c>
    </row>
    <row r="1924">
      <c r="A1924" s="14">
        <v>108620</v>
      </c>
      <c r="B1924" s="0" t="s">
        <v>2194</v>
      </c>
      <c r="C1924" s="16">
        <f>HYPERLINK("https://eosportal.federatedhermes.com/companies/Q29tcGFueQppNzU3MjE=", "Canadian Imperial Bank of Commerce")</f>
      </c>
      <c r="D1924" s="0" t="s">
        <v>23</v>
      </c>
      <c r="E1924" s="0" t="s">
        <v>5284</v>
      </c>
      <c r="F1924" s="16">
        <f>HYPERLINK("https://eosportal.federatedhermes.com/engagements/RW5nYWdlbWVudAppMzE0OTk=", "Financing requirement for FPIC")</f>
      </c>
      <c r="G1924" s="14" t="s">
        <v>5430</v>
      </c>
      <c r="H1924" s="0" t="s">
        <v>141</v>
      </c>
      <c r="I1924" s="14" t="s">
        <v>191</v>
      </c>
      <c r="J1924" s="0" t="s">
        <v>153</v>
      </c>
      <c r="K1924" s="0" t="s">
        <v>243</v>
      </c>
      <c r="L1924" s="0" t="s">
        <v>571</v>
      </c>
      <c r="M1924" s="0" t="s">
        <v>135</v>
      </c>
      <c r="N1924" s="0" t="s">
        <v>1678</v>
      </c>
      <c r="O1924" s="0" t="s">
        <v>238</v>
      </c>
      <c r="Q1924" s="0" t="s">
        <v>141</v>
      </c>
      <c r="R1924" s="0" t="s">
        <v>141</v>
      </c>
      <c r="S1924" s="14">
        <v>1</v>
      </c>
      <c r="T1924" s="0" t="s">
        <v>2270</v>
      </c>
      <c r="U1924" s="0" t="s">
        <v>221</v>
      </c>
      <c r="V1924" s="14" t="s">
        <v>2270</v>
      </c>
      <c r="W1924" s="0" t="s">
        <v>221</v>
      </c>
      <c r="X1924" s="14" t="s">
        <v>2270</v>
      </c>
      <c r="Y1924" s="0" t="s">
        <v>221</v>
      </c>
      <c r="Z1924" s="14" t="s">
        <v>361</v>
      </c>
      <c r="AA1924" s="0" t="s">
        <v>223</v>
      </c>
      <c r="AB1924" s="14" t="s">
        <v>138</v>
      </c>
      <c r="AC1924" s="0" t="s">
        <v>17</v>
      </c>
      <c r="AD1924" s="0" t="s">
        <v>20</v>
      </c>
      <c r="AE1924" s="0" t="s">
        <v>2266</v>
      </c>
      <c r="AF1924" s="0">
        <v>1</v>
      </c>
      <c r="AG1924" s="0">
        <v>0</v>
      </c>
      <c r="AH1924" s="0" t="s">
        <v>140</v>
      </c>
      <c r="AI1924" s="0" t="s">
        <v>479</v>
      </c>
      <c r="AK1924" s="0" t="s">
        <v>1386</v>
      </c>
      <c r="AL1924" s="14"/>
      <c r="AN1924" s="14"/>
      <c r="AQ1924" s="0" t="s">
        <v>130</v>
      </c>
      <c r="AR1924" s="0" t="s">
        <v>130</v>
      </c>
      <c r="AS1924" s="0" t="s">
        <v>130</v>
      </c>
      <c r="AT1924" s="0" t="s">
        <v>130</v>
      </c>
      <c r="AU1924" s="0" t="s">
        <v>130</v>
      </c>
      <c r="AV1924" s="0" t="s">
        <v>130</v>
      </c>
      <c r="AW1924" s="0" t="s">
        <v>130</v>
      </c>
      <c r="AX1924" s="0" t="s">
        <v>130</v>
      </c>
      <c r="AY1924" s="0" t="s">
        <v>130</v>
      </c>
      <c r="AZ1924" s="0" t="s">
        <v>141</v>
      </c>
      <c r="BA1924" s="0" t="s">
        <v>141</v>
      </c>
      <c r="BB1924" s="0" t="s">
        <v>130</v>
      </c>
      <c r="BC1924" s="0" t="s">
        <v>130</v>
      </c>
      <c r="BD1924" s="0" t="s">
        <v>130</v>
      </c>
      <c r="BE1924" s="0" t="s">
        <v>130</v>
      </c>
      <c r="BF1924" s="0" t="s">
        <v>141</v>
      </c>
      <c r="BG1924" s="0" t="s">
        <v>130</v>
      </c>
      <c r="BH1924" s="0" t="s">
        <v>130</v>
      </c>
      <c r="BI1924" s="0" t="s">
        <v>130</v>
      </c>
      <c r="BJ1924" s="0" t="s">
        <v>130</v>
      </c>
      <c r="BK1924" s="0" t="s">
        <v>130</v>
      </c>
      <c r="BL1924" s="0" t="s">
        <v>130</v>
      </c>
      <c r="BM1924" s="0" t="s">
        <v>130</v>
      </c>
      <c r="BN1924" s="0" t="s">
        <v>130</v>
      </c>
      <c r="BO1924" s="0" t="s">
        <v>130</v>
      </c>
      <c r="BP1924" s="0" t="s">
        <v>130</v>
      </c>
      <c r="BQ1924" s="0" t="s">
        <v>130</v>
      </c>
      <c r="BR1924" s="0" t="s">
        <v>130</v>
      </c>
      <c r="BS1924" s="0" t="s">
        <v>130</v>
      </c>
      <c r="BT1924" s="0" t="s">
        <v>130</v>
      </c>
      <c r="BU1924" s="0" t="s">
        <v>130</v>
      </c>
      <c r="BV1924" s="0" t="s">
        <v>130</v>
      </c>
      <c r="BW1924" s="0" t="s">
        <v>130</v>
      </c>
      <c r="BX1924" s="0" t="s">
        <v>130</v>
      </c>
      <c r="BY1924" s="0" t="s">
        <v>130</v>
      </c>
      <c r="BZ1924" s="0" t="s">
        <v>130</v>
      </c>
      <c r="CA1924" s="0" t="s">
        <v>130</v>
      </c>
      <c r="CB1924" s="0" t="s">
        <v>130</v>
      </c>
      <c r="CC1924" s="0" t="s">
        <v>130</v>
      </c>
      <c r="CD1924" s="0" t="s">
        <v>130</v>
      </c>
      <c r="CE1924" s="0" t="s">
        <v>130</v>
      </c>
      <c r="CF1924" s="0" t="s">
        <v>130</v>
      </c>
      <c r="CG1924" s="0" t="s">
        <v>130</v>
      </c>
      <c r="CH1924" s="0" t="s">
        <v>130</v>
      </c>
      <c r="CI1924" s="0" t="s">
        <v>130</v>
      </c>
      <c r="CJ1924" s="0" t="s">
        <v>130</v>
      </c>
      <c r="CK1924" s="0" t="s">
        <v>130</v>
      </c>
      <c r="CL1924" s="0" t="s">
        <v>130</v>
      </c>
      <c r="CM1924" s="0" t="s">
        <v>130</v>
      </c>
      <c r="CN1924" s="0" t="s">
        <v>130</v>
      </c>
      <c r="CO1924" s="0" t="s">
        <v>130</v>
      </c>
      <c r="CP1924" s="0" t="s">
        <v>130</v>
      </c>
      <c r="CQ1924" s="0" t="s">
        <v>130</v>
      </c>
      <c r="CR1924" s="0" t="s">
        <v>130</v>
      </c>
      <c r="CS1924" s="0" t="s">
        <v>130</v>
      </c>
      <c r="CT1924" s="0" t="s">
        <v>5431</v>
      </c>
    </row>
    <row r="1925">
      <c r="A1925" s="14">
        <v>328683</v>
      </c>
      <c r="B1925" s="0" t="s">
        <v>3664</v>
      </c>
      <c r="C1925" s="16">
        <f>HYPERLINK("https://eosportal.federatedhermes.com/companies/Q29tcGFueQppNTg5MjI=", "Mercedes-Benz Group AG")</f>
      </c>
      <c r="D1925" s="0" t="s">
        <v>23</v>
      </c>
      <c r="E1925" s="0" t="s">
        <v>5432</v>
      </c>
      <c r="F1925" s="16">
        <f>HYPERLINK("https://eosportal.federatedhermes.com/engagements/RW5nYWdlbWVudAppMzE1MDI=", "1.5°C aligned Scope 3 target")</f>
      </c>
      <c r="G1925" s="14" t="s">
        <v>5433</v>
      </c>
      <c r="H1925" s="0" t="s">
        <v>141</v>
      </c>
      <c r="I1925" s="14" t="s">
        <v>1645</v>
      </c>
      <c r="J1925" s="0" t="s">
        <v>197</v>
      </c>
      <c r="K1925" s="0" t="s">
        <v>198</v>
      </c>
      <c r="L1925" s="0" t="s">
        <v>216</v>
      </c>
      <c r="M1925" s="0" t="s">
        <v>378</v>
      </c>
      <c r="N1925" s="0" t="s">
        <v>2485</v>
      </c>
      <c r="O1925" s="0" t="s">
        <v>425</v>
      </c>
      <c r="Q1925" s="0" t="s">
        <v>141</v>
      </c>
      <c r="R1925" s="0" t="s">
        <v>130</v>
      </c>
      <c r="S1925" s="14">
        <v>2</v>
      </c>
      <c r="T1925" s="0" t="s">
        <v>2270</v>
      </c>
      <c r="U1925" s="0" t="s">
        <v>221</v>
      </c>
      <c r="V1925" s="14" t="s">
        <v>2270</v>
      </c>
      <c r="W1925" s="0" t="s">
        <v>221</v>
      </c>
      <c r="X1925" s="14" t="s">
        <v>2629</v>
      </c>
      <c r="Y1925" s="0" t="s">
        <v>221</v>
      </c>
      <c r="Z1925" s="14" t="s">
        <v>222</v>
      </c>
      <c r="AA1925" s="0" t="s">
        <v>223</v>
      </c>
      <c r="AB1925" s="14" t="s">
        <v>138</v>
      </c>
      <c r="AD1925" s="0" t="s">
        <v>20</v>
      </c>
      <c r="AF1925" s="0">
        <v>0</v>
      </c>
      <c r="AG1925" s="0">
        <v>0</v>
      </c>
      <c r="AH1925" s="0" t="s">
        <v>140</v>
      </c>
      <c r="AI1925" s="0" t="s">
        <v>479</v>
      </c>
      <c r="AK1925" s="0" t="s">
        <v>2523</v>
      </c>
      <c r="AL1925" s="14"/>
      <c r="AN1925" s="14"/>
      <c r="AQ1925" s="0" t="s">
        <v>130</v>
      </c>
      <c r="AR1925" s="0" t="s">
        <v>130</v>
      </c>
      <c r="AS1925" s="0" t="s">
        <v>130</v>
      </c>
      <c r="AT1925" s="0" t="s">
        <v>130</v>
      </c>
      <c r="AU1925" s="0" t="s">
        <v>130</v>
      </c>
      <c r="AV1925" s="0" t="s">
        <v>130</v>
      </c>
      <c r="AW1925" s="0" t="s">
        <v>141</v>
      </c>
      <c r="AX1925" s="0" t="s">
        <v>130</v>
      </c>
      <c r="AY1925" s="0" t="s">
        <v>130</v>
      </c>
      <c r="AZ1925" s="0" t="s">
        <v>130</v>
      </c>
      <c r="BA1925" s="0" t="s">
        <v>130</v>
      </c>
      <c r="BB1925" s="0" t="s">
        <v>130</v>
      </c>
      <c r="BC1925" s="0" t="s">
        <v>141</v>
      </c>
      <c r="BD1925" s="0" t="s">
        <v>130</v>
      </c>
      <c r="BE1925" s="0" t="s">
        <v>130</v>
      </c>
      <c r="BF1925" s="0" t="s">
        <v>130</v>
      </c>
      <c r="BG1925" s="0" t="s">
        <v>130</v>
      </c>
      <c r="BH1925" s="0" t="s">
        <v>141</v>
      </c>
      <c r="BI1925" s="0" t="s">
        <v>141</v>
      </c>
      <c r="BJ1925" s="0" t="s">
        <v>141</v>
      </c>
      <c r="BK1925" s="0" t="s">
        <v>130</v>
      </c>
      <c r="BL1925" s="0" t="s">
        <v>130</v>
      </c>
      <c r="BM1925" s="0" t="s">
        <v>130</v>
      </c>
      <c r="BN1925" s="0" t="s">
        <v>130</v>
      </c>
      <c r="BO1925" s="0" t="s">
        <v>130</v>
      </c>
      <c r="BP1925" s="0" t="s">
        <v>130</v>
      </c>
      <c r="BQ1925" s="0" t="s">
        <v>130</v>
      </c>
      <c r="BR1925" s="0" t="s">
        <v>130</v>
      </c>
      <c r="BS1925" s="0" t="s">
        <v>130</v>
      </c>
      <c r="BT1925" s="0" t="s">
        <v>130</v>
      </c>
      <c r="BU1925" s="0" t="s">
        <v>130</v>
      </c>
      <c r="BV1925" s="0" t="s">
        <v>141</v>
      </c>
      <c r="BW1925" s="0" t="s">
        <v>141</v>
      </c>
      <c r="BX1925" s="0" t="s">
        <v>130</v>
      </c>
      <c r="BY1925" s="0" t="s">
        <v>130</v>
      </c>
      <c r="BZ1925" s="0" t="s">
        <v>130</v>
      </c>
      <c r="CA1925" s="0" t="s">
        <v>130</v>
      </c>
      <c r="CB1925" s="0" t="s">
        <v>130</v>
      </c>
      <c r="CC1925" s="0" t="s">
        <v>130</v>
      </c>
      <c r="CD1925" s="0" t="s">
        <v>130</v>
      </c>
      <c r="CE1925" s="0" t="s">
        <v>130</v>
      </c>
      <c r="CF1925" s="0" t="s">
        <v>130</v>
      </c>
      <c r="CG1925" s="0" t="s">
        <v>130</v>
      </c>
      <c r="CH1925" s="0" t="s">
        <v>130</v>
      </c>
      <c r="CI1925" s="0" t="s">
        <v>130</v>
      </c>
      <c r="CJ1925" s="0" t="s">
        <v>130</v>
      </c>
      <c r="CK1925" s="0" t="s">
        <v>130</v>
      </c>
      <c r="CL1925" s="0" t="s">
        <v>130</v>
      </c>
      <c r="CM1925" s="0" t="s">
        <v>130</v>
      </c>
      <c r="CN1925" s="0" t="s">
        <v>130</v>
      </c>
      <c r="CO1925" s="0" t="s">
        <v>130</v>
      </c>
      <c r="CP1925" s="0" t="s">
        <v>130</v>
      </c>
      <c r="CQ1925" s="0" t="s">
        <v>130</v>
      </c>
      <c r="CR1925" s="0" t="s">
        <v>130</v>
      </c>
      <c r="CS1925" s="0" t="s">
        <v>130</v>
      </c>
      <c r="CT1925" s="0" t="s">
        <v>5434</v>
      </c>
    </row>
    <row r="1926">
      <c r="A1926" s="14">
        <v>328683</v>
      </c>
      <c r="B1926" s="0" t="s">
        <v>3664</v>
      </c>
      <c r="C1926" s="16">
        <f>HYPERLINK("https://eosportal.federatedhermes.com/companies/Q29tcGFueQppNTg5MjI=", "Mercedes-Benz Group AG")</f>
      </c>
      <c r="D1926" s="0" t="s">
        <v>23</v>
      </c>
      <c r="E1926" s="0" t="s">
        <v>5435</v>
      </c>
      <c r="F1926" s="16">
        <f>HYPERLINK("https://eosportal.federatedhermes.com/engagements/RW5nYWdlbWVudAppMzE1MDM=", "Climate Policy Engagement Transparency")</f>
      </c>
      <c r="G1926" s="14" t="s">
        <v>5436</v>
      </c>
      <c r="H1926" s="0" t="s">
        <v>141</v>
      </c>
      <c r="I1926" s="14" t="s">
        <v>1645</v>
      </c>
      <c r="J1926" s="0" t="s">
        <v>197</v>
      </c>
      <c r="K1926" s="0" t="s">
        <v>198</v>
      </c>
      <c r="L1926" s="0" t="s">
        <v>199</v>
      </c>
      <c r="M1926" s="0" t="s">
        <v>378</v>
      </c>
      <c r="N1926" s="0" t="s">
        <v>2485</v>
      </c>
      <c r="O1926" s="0" t="s">
        <v>425</v>
      </c>
      <c r="Q1926" s="0" t="s">
        <v>141</v>
      </c>
      <c r="R1926" s="0" t="s">
        <v>130</v>
      </c>
      <c r="S1926" s="14">
        <v>2</v>
      </c>
      <c r="T1926" s="0" t="s">
        <v>2270</v>
      </c>
      <c r="U1926" s="0" t="s">
        <v>221</v>
      </c>
      <c r="V1926" s="14" t="s">
        <v>2270</v>
      </c>
      <c r="W1926" s="0" t="s">
        <v>221</v>
      </c>
      <c r="X1926" s="14" t="s">
        <v>222</v>
      </c>
      <c r="Y1926" s="0" t="s">
        <v>223</v>
      </c>
      <c r="Z1926" s="14" t="s">
        <v>138</v>
      </c>
      <c r="AA1926" s="0" t="s">
        <v>224</v>
      </c>
      <c r="AB1926" s="14" t="s">
        <v>138</v>
      </c>
      <c r="AD1926" s="0" t="s">
        <v>17</v>
      </c>
      <c r="AF1926" s="0">
        <v>0</v>
      </c>
      <c r="AG1926" s="0">
        <v>0</v>
      </c>
      <c r="AH1926" s="0" t="s">
        <v>140</v>
      </c>
      <c r="AI1926" s="0" t="s">
        <v>479</v>
      </c>
      <c r="AK1926" s="0" t="s">
        <v>2523</v>
      </c>
      <c r="AL1926" s="14"/>
      <c r="AN1926" s="14"/>
      <c r="AQ1926" s="0" t="s">
        <v>130</v>
      </c>
      <c r="AR1926" s="0" t="s">
        <v>130</v>
      </c>
      <c r="AS1926" s="0" t="s">
        <v>130</v>
      </c>
      <c r="AT1926" s="0" t="s">
        <v>130</v>
      </c>
      <c r="AU1926" s="0" t="s">
        <v>130</v>
      </c>
      <c r="AV1926" s="0" t="s">
        <v>130</v>
      </c>
      <c r="AW1926" s="0" t="s">
        <v>130</v>
      </c>
      <c r="AX1926" s="0" t="s">
        <v>130</v>
      </c>
      <c r="AY1926" s="0" t="s">
        <v>130</v>
      </c>
      <c r="AZ1926" s="0" t="s">
        <v>130</v>
      </c>
      <c r="BA1926" s="0" t="s">
        <v>130</v>
      </c>
      <c r="BB1926" s="0" t="s">
        <v>141</v>
      </c>
      <c r="BC1926" s="0" t="s">
        <v>141</v>
      </c>
      <c r="BD1926" s="0" t="s">
        <v>130</v>
      </c>
      <c r="BE1926" s="0" t="s">
        <v>130</v>
      </c>
      <c r="BF1926" s="0" t="s">
        <v>130</v>
      </c>
      <c r="BG1926" s="0" t="s">
        <v>130</v>
      </c>
      <c r="BH1926" s="0" t="s">
        <v>130</v>
      </c>
      <c r="BI1926" s="0" t="s">
        <v>130</v>
      </c>
      <c r="BJ1926" s="0" t="s">
        <v>130</v>
      </c>
      <c r="BK1926" s="0" t="s">
        <v>130</v>
      </c>
      <c r="BL1926" s="0" t="s">
        <v>130</v>
      </c>
      <c r="BM1926" s="0" t="s">
        <v>130</v>
      </c>
      <c r="BN1926" s="0" t="s">
        <v>130</v>
      </c>
      <c r="BO1926" s="0" t="s">
        <v>130</v>
      </c>
      <c r="BP1926" s="0" t="s">
        <v>130</v>
      </c>
      <c r="BQ1926" s="0" t="s">
        <v>130</v>
      </c>
      <c r="BR1926" s="0" t="s">
        <v>130</v>
      </c>
      <c r="BS1926" s="0" t="s">
        <v>130</v>
      </c>
      <c r="BT1926" s="0" t="s">
        <v>130</v>
      </c>
      <c r="BU1926" s="0" t="s">
        <v>130</v>
      </c>
      <c r="BV1926" s="0" t="s">
        <v>130</v>
      </c>
      <c r="BW1926" s="0" t="s">
        <v>130</v>
      </c>
      <c r="BX1926" s="0" t="s">
        <v>130</v>
      </c>
      <c r="BY1926" s="0" t="s">
        <v>130</v>
      </c>
      <c r="BZ1926" s="0" t="s">
        <v>130</v>
      </c>
      <c r="CA1926" s="0" t="s">
        <v>130</v>
      </c>
      <c r="CB1926" s="0" t="s">
        <v>130</v>
      </c>
      <c r="CC1926" s="0" t="s">
        <v>130</v>
      </c>
      <c r="CD1926" s="0" t="s">
        <v>130</v>
      </c>
      <c r="CE1926" s="0" t="s">
        <v>130</v>
      </c>
      <c r="CF1926" s="0" t="s">
        <v>130</v>
      </c>
      <c r="CG1926" s="0" t="s">
        <v>130</v>
      </c>
      <c r="CH1926" s="0" t="s">
        <v>130</v>
      </c>
      <c r="CI1926" s="0" t="s">
        <v>130</v>
      </c>
      <c r="CJ1926" s="0" t="s">
        <v>130</v>
      </c>
      <c r="CK1926" s="0" t="s">
        <v>130</v>
      </c>
      <c r="CL1926" s="0" t="s">
        <v>130</v>
      </c>
      <c r="CM1926" s="0" t="s">
        <v>130</v>
      </c>
      <c r="CN1926" s="0" t="s">
        <v>130</v>
      </c>
      <c r="CO1926" s="0" t="s">
        <v>130</v>
      </c>
      <c r="CP1926" s="0" t="s">
        <v>130</v>
      </c>
      <c r="CQ1926" s="0" t="s">
        <v>130</v>
      </c>
      <c r="CR1926" s="0" t="s">
        <v>130</v>
      </c>
      <c r="CS1926" s="0" t="s">
        <v>130</v>
      </c>
      <c r="CT1926" s="0" t="s">
        <v>5437</v>
      </c>
    </row>
    <row r="1927">
      <c r="A1927" s="14">
        <v>100537</v>
      </c>
      <c r="B1927" s="0" t="s">
        <v>728</v>
      </c>
      <c r="C1927" s="16">
        <f>HYPERLINK("https://eosportal.federatedhermes.com/companies/Q29tcGFueQppNTQ1MDY=", "Equifax Inc")</f>
      </c>
      <c r="D1927" s="0" t="s">
        <v>25</v>
      </c>
      <c r="E1927" s="0" t="s">
        <v>1881</v>
      </c>
      <c r="F1927" s="16">
        <f>HYPERLINK("https://eosportal.federatedhermes.com/engagements/RW5nYWdlbWVudAppMzE1MDY=", "Decent work")</f>
      </c>
      <c r="G1927" s="14" t="s">
        <v>5438</v>
      </c>
      <c r="H1927" s="0" t="s">
        <v>130</v>
      </c>
      <c r="I1927" s="14" t="s">
        <v>131</v>
      </c>
      <c r="J1927" s="0" t="s">
        <v>153</v>
      </c>
      <c r="K1927" s="0" t="s">
        <v>154</v>
      </c>
      <c r="L1927" s="0" t="s">
        <v>268</v>
      </c>
      <c r="M1927" s="0" t="s">
        <v>135</v>
      </c>
      <c r="N1927" s="0" t="s">
        <v>136</v>
      </c>
      <c r="O1927" s="0" t="s">
        <v>176</v>
      </c>
      <c r="Q1927" s="0" t="s">
        <v>130</v>
      </c>
      <c r="R1927" s="0" t="s">
        <v>138</v>
      </c>
      <c r="S1927" s="14">
        <v>0</v>
      </c>
      <c r="T1927" s="0" t="s">
        <v>2270</v>
      </c>
      <c r="U1927" s="0" t="s">
        <v>138</v>
      </c>
      <c r="V1927" s="14" t="s">
        <v>138</v>
      </c>
      <c r="W1927" s="0" t="s">
        <v>138</v>
      </c>
      <c r="X1927" s="14" t="s">
        <v>138</v>
      </c>
      <c r="Y1927" s="0" t="s">
        <v>138</v>
      </c>
      <c r="Z1927" s="14" t="s">
        <v>138</v>
      </c>
      <c r="AA1927" s="0" t="s">
        <v>138</v>
      </c>
      <c r="AB1927" s="14" t="s">
        <v>138</v>
      </c>
      <c r="AD1927" s="0" t="s">
        <v>138</v>
      </c>
      <c r="AF1927" s="0">
        <v>0</v>
      </c>
      <c r="AG1927" s="0">
        <v>0</v>
      </c>
      <c r="AH1927" s="0" t="s">
        <v>140</v>
      </c>
      <c r="AI1927" s="0" t="s">
        <v>138</v>
      </c>
      <c r="AL1927" s="14"/>
      <c r="AN1927" s="14"/>
      <c r="AQ1927" s="0" t="s">
        <v>130</v>
      </c>
      <c r="AR1927" s="0" t="s">
        <v>130</v>
      </c>
      <c r="AS1927" s="0" t="s">
        <v>130</v>
      </c>
      <c r="AT1927" s="0" t="s">
        <v>130</v>
      </c>
      <c r="AU1927" s="0" t="s">
        <v>130</v>
      </c>
      <c r="AV1927" s="0" t="s">
        <v>130</v>
      </c>
      <c r="AW1927" s="0" t="s">
        <v>130</v>
      </c>
      <c r="AX1927" s="0" t="s">
        <v>130</v>
      </c>
      <c r="AY1927" s="0" t="s">
        <v>130</v>
      </c>
      <c r="AZ1927" s="0" t="s">
        <v>130</v>
      </c>
      <c r="BA1927" s="0" t="s">
        <v>130</v>
      </c>
      <c r="BB1927" s="0" t="s">
        <v>130</v>
      </c>
      <c r="BC1927" s="0" t="s">
        <v>130</v>
      </c>
      <c r="BD1927" s="0" t="s">
        <v>130</v>
      </c>
      <c r="BE1927" s="0" t="s">
        <v>130</v>
      </c>
      <c r="BF1927" s="0" t="s">
        <v>130</v>
      </c>
      <c r="BG1927" s="0" t="s">
        <v>130</v>
      </c>
      <c r="BH1927" s="0" t="s">
        <v>130</v>
      </c>
      <c r="BI1927" s="0" t="s">
        <v>130</v>
      </c>
      <c r="BJ1927" s="0" t="s">
        <v>130</v>
      </c>
      <c r="BK1927" s="0" t="s">
        <v>130</v>
      </c>
      <c r="BL1927" s="0" t="s">
        <v>130</v>
      </c>
      <c r="BM1927" s="0" t="s">
        <v>130</v>
      </c>
      <c r="BN1927" s="0" t="s">
        <v>130</v>
      </c>
      <c r="BO1927" s="0" t="s">
        <v>130</v>
      </c>
      <c r="BP1927" s="0" t="s">
        <v>130</v>
      </c>
      <c r="BQ1927" s="0" t="s">
        <v>130</v>
      </c>
      <c r="BR1927" s="0" t="s">
        <v>130</v>
      </c>
      <c r="BS1927" s="0" t="s">
        <v>130</v>
      </c>
      <c r="BT1927" s="0" t="s">
        <v>130</v>
      </c>
      <c r="BU1927" s="0" t="s">
        <v>130</v>
      </c>
      <c r="BV1927" s="0" t="s">
        <v>130</v>
      </c>
      <c r="BW1927" s="0" t="s">
        <v>130</v>
      </c>
      <c r="BX1927" s="0" t="s">
        <v>130</v>
      </c>
      <c r="BY1927" s="0" t="s">
        <v>130</v>
      </c>
      <c r="BZ1927" s="0" t="s">
        <v>130</v>
      </c>
      <c r="CA1927" s="0" t="s">
        <v>130</v>
      </c>
      <c r="CB1927" s="0" t="s">
        <v>130</v>
      </c>
      <c r="CC1927" s="0" t="s">
        <v>130</v>
      </c>
      <c r="CD1927" s="0" t="s">
        <v>130</v>
      </c>
      <c r="CE1927" s="0" t="s">
        <v>130</v>
      </c>
      <c r="CF1927" s="0" t="s">
        <v>130</v>
      </c>
      <c r="CG1927" s="0" t="s">
        <v>130</v>
      </c>
      <c r="CH1927" s="0" t="s">
        <v>130</v>
      </c>
      <c r="CI1927" s="0" t="s">
        <v>130</v>
      </c>
      <c r="CJ1927" s="0" t="s">
        <v>130</v>
      </c>
      <c r="CK1927" s="0" t="s">
        <v>141</v>
      </c>
      <c r="CL1927" s="0" t="s">
        <v>130</v>
      </c>
      <c r="CM1927" s="0" t="s">
        <v>130</v>
      </c>
      <c r="CN1927" s="0" t="s">
        <v>130</v>
      </c>
      <c r="CO1927" s="0" t="s">
        <v>130</v>
      </c>
      <c r="CP1927" s="0" t="s">
        <v>130</v>
      </c>
      <c r="CQ1927" s="0" t="s">
        <v>130</v>
      </c>
      <c r="CR1927" s="0" t="s">
        <v>130</v>
      </c>
      <c r="CS1927" s="0" t="s">
        <v>130</v>
      </c>
      <c r="CT1927" s="0" t="s">
        <v>5439</v>
      </c>
    </row>
    <row r="1928">
      <c r="A1928" s="14">
        <v>100537</v>
      </c>
      <c r="B1928" s="0" t="s">
        <v>728</v>
      </c>
      <c r="C1928" s="16">
        <f>HYPERLINK("https://eosportal.federatedhermes.com/companies/Q29tcGFueQppNTQ1MDY=", "Equifax Inc")</f>
      </c>
      <c r="D1928" s="0" t="s">
        <v>25</v>
      </c>
      <c r="E1928" s="0" t="s">
        <v>403</v>
      </c>
      <c r="F1928" s="16">
        <f>HYPERLINK("https://eosportal.federatedhermes.com/engagements/RW5nYWdlbWVudAppMzE1MDc=", "Financial inclusion")</f>
      </c>
      <c r="G1928" s="14" t="s">
        <v>5440</v>
      </c>
      <c r="H1928" s="0" t="s">
        <v>130</v>
      </c>
      <c r="I1928" s="14" t="s">
        <v>131</v>
      </c>
      <c r="J1928" s="0" t="s">
        <v>153</v>
      </c>
      <c r="K1928" s="0" t="s">
        <v>243</v>
      </c>
      <c r="L1928" s="0" t="s">
        <v>292</v>
      </c>
      <c r="M1928" s="0" t="s">
        <v>135</v>
      </c>
      <c r="N1928" s="0" t="s">
        <v>136</v>
      </c>
      <c r="O1928" s="0" t="s">
        <v>176</v>
      </c>
      <c r="Q1928" s="0" t="s">
        <v>130</v>
      </c>
      <c r="R1928" s="0" t="s">
        <v>138</v>
      </c>
      <c r="S1928" s="14">
        <v>0</v>
      </c>
      <c r="T1928" s="0" t="s">
        <v>2270</v>
      </c>
      <c r="U1928" s="0" t="s">
        <v>138</v>
      </c>
      <c r="V1928" s="14" t="s">
        <v>138</v>
      </c>
      <c r="W1928" s="0" t="s">
        <v>138</v>
      </c>
      <c r="X1928" s="14" t="s">
        <v>138</v>
      </c>
      <c r="Y1928" s="0" t="s">
        <v>138</v>
      </c>
      <c r="Z1928" s="14" t="s">
        <v>138</v>
      </c>
      <c r="AA1928" s="0" t="s">
        <v>138</v>
      </c>
      <c r="AB1928" s="14" t="s">
        <v>138</v>
      </c>
      <c r="AD1928" s="0" t="s">
        <v>138</v>
      </c>
      <c r="AF1928" s="0">
        <v>0</v>
      </c>
      <c r="AG1928" s="0">
        <v>0</v>
      </c>
      <c r="AH1928" s="0" t="s">
        <v>140</v>
      </c>
      <c r="AI1928" s="0" t="s">
        <v>138</v>
      </c>
      <c r="AL1928" s="14"/>
      <c r="AN1928" s="14"/>
      <c r="AQ1928" s="0" t="s">
        <v>141</v>
      </c>
      <c r="AR1928" s="0" t="s">
        <v>130</v>
      </c>
      <c r="AS1928" s="0" t="s">
        <v>130</v>
      </c>
      <c r="AT1928" s="0" t="s">
        <v>130</v>
      </c>
      <c r="AU1928" s="0" t="s">
        <v>130</v>
      </c>
      <c r="AV1928" s="0" t="s">
        <v>130</v>
      </c>
      <c r="AW1928" s="0" t="s">
        <v>130</v>
      </c>
      <c r="AX1928" s="0" t="s">
        <v>141</v>
      </c>
      <c r="AY1928" s="0" t="s">
        <v>130</v>
      </c>
      <c r="AZ1928" s="0" t="s">
        <v>130</v>
      </c>
      <c r="BA1928" s="0" t="s">
        <v>130</v>
      </c>
      <c r="BB1928" s="0" t="s">
        <v>130</v>
      </c>
      <c r="BC1928" s="0" t="s">
        <v>130</v>
      </c>
      <c r="BD1928" s="0" t="s">
        <v>130</v>
      </c>
      <c r="BE1928" s="0" t="s">
        <v>130</v>
      </c>
      <c r="BF1928" s="0" t="s">
        <v>130</v>
      </c>
      <c r="BG1928" s="0" t="s">
        <v>130</v>
      </c>
      <c r="BH1928" s="0" t="s">
        <v>130</v>
      </c>
      <c r="BI1928" s="0" t="s">
        <v>130</v>
      </c>
      <c r="BJ1928" s="0" t="s">
        <v>130</v>
      </c>
      <c r="BK1928" s="0" t="s">
        <v>130</v>
      </c>
      <c r="BL1928" s="0" t="s">
        <v>130</v>
      </c>
      <c r="BM1928" s="0" t="s">
        <v>130</v>
      </c>
      <c r="BN1928" s="0" t="s">
        <v>130</v>
      </c>
      <c r="BO1928" s="0" t="s">
        <v>130</v>
      </c>
      <c r="BP1928" s="0" t="s">
        <v>130</v>
      </c>
      <c r="BQ1928" s="0" t="s">
        <v>130</v>
      </c>
      <c r="BR1928" s="0" t="s">
        <v>130</v>
      </c>
      <c r="BS1928" s="0" t="s">
        <v>130</v>
      </c>
      <c r="BT1928" s="0" t="s">
        <v>130</v>
      </c>
      <c r="BU1928" s="0" t="s">
        <v>130</v>
      </c>
      <c r="BV1928" s="0" t="s">
        <v>130</v>
      </c>
      <c r="BW1928" s="0" t="s">
        <v>130</v>
      </c>
      <c r="BX1928" s="0" t="s">
        <v>130</v>
      </c>
      <c r="BY1928" s="0" t="s">
        <v>130</v>
      </c>
      <c r="BZ1928" s="0" t="s">
        <v>130</v>
      </c>
      <c r="CA1928" s="0" t="s">
        <v>130</v>
      </c>
      <c r="CB1928" s="0" t="s">
        <v>130</v>
      </c>
      <c r="CC1928" s="0" t="s">
        <v>130</v>
      </c>
      <c r="CD1928" s="0" t="s">
        <v>130</v>
      </c>
      <c r="CE1928" s="0" t="s">
        <v>130</v>
      </c>
      <c r="CF1928" s="0" t="s">
        <v>130</v>
      </c>
      <c r="CG1928" s="0" t="s">
        <v>130</v>
      </c>
      <c r="CH1928" s="0" t="s">
        <v>130</v>
      </c>
      <c r="CI1928" s="0" t="s">
        <v>130</v>
      </c>
      <c r="CJ1928" s="0" t="s">
        <v>130</v>
      </c>
      <c r="CK1928" s="0" t="s">
        <v>130</v>
      </c>
      <c r="CL1928" s="0" t="s">
        <v>130</v>
      </c>
      <c r="CM1928" s="0" t="s">
        <v>130</v>
      </c>
      <c r="CN1928" s="0" t="s">
        <v>130</v>
      </c>
      <c r="CO1928" s="0" t="s">
        <v>130</v>
      </c>
      <c r="CP1928" s="0" t="s">
        <v>130</v>
      </c>
      <c r="CQ1928" s="0" t="s">
        <v>130</v>
      </c>
      <c r="CR1928" s="0" t="s">
        <v>130</v>
      </c>
      <c r="CS1928" s="0" t="s">
        <v>130</v>
      </c>
      <c r="CT1928" s="0" t="s">
        <v>5441</v>
      </c>
    </row>
    <row r="1929">
      <c r="A1929" s="14">
        <v>825197</v>
      </c>
      <c r="B1929" s="0" t="s">
        <v>3349</v>
      </c>
      <c r="C1929" s="16">
        <f>HYPERLINK("https://eosportal.federatedhermes.com/companies/Q29tcGFueQppNTU3NDQ=", "ABB Ltd")</f>
      </c>
      <c r="D1929" s="0" t="s">
        <v>25</v>
      </c>
      <c r="E1929" s="0" t="s">
        <v>5184</v>
      </c>
      <c r="F1929" s="16">
        <f>HYPERLINK("https://eosportal.federatedhermes.com/engagements/RW5nYWdlbWVudAppMzE1MDk=", "Cost of living crisis")</f>
      </c>
      <c r="G1929" s="14" t="s">
        <v>5442</v>
      </c>
      <c r="H1929" s="0" t="s">
        <v>141</v>
      </c>
      <c r="I1929" s="14" t="s">
        <v>191</v>
      </c>
      <c r="J1929" s="0" t="s">
        <v>153</v>
      </c>
      <c r="K1929" s="0" t="s">
        <v>154</v>
      </c>
      <c r="L1929" s="0" t="s">
        <v>306</v>
      </c>
      <c r="M1929" s="0" t="s">
        <v>378</v>
      </c>
      <c r="N1929" s="0" t="s">
        <v>1059</v>
      </c>
      <c r="O1929" s="0" t="s">
        <v>176</v>
      </c>
      <c r="Q1929" s="0" t="s">
        <v>130</v>
      </c>
      <c r="R1929" s="0" t="s">
        <v>138</v>
      </c>
      <c r="S1929" s="14">
        <v>0</v>
      </c>
      <c r="T1929" s="0" t="s">
        <v>2270</v>
      </c>
      <c r="U1929" s="0" t="s">
        <v>138</v>
      </c>
      <c r="V1929" s="14" t="s">
        <v>138</v>
      </c>
      <c r="W1929" s="0" t="s">
        <v>138</v>
      </c>
      <c r="X1929" s="14" t="s">
        <v>138</v>
      </c>
      <c r="Y1929" s="0" t="s">
        <v>138</v>
      </c>
      <c r="Z1929" s="14" t="s">
        <v>138</v>
      </c>
      <c r="AA1929" s="0" t="s">
        <v>138</v>
      </c>
      <c r="AB1929" s="14" t="s">
        <v>138</v>
      </c>
      <c r="AD1929" s="0" t="s">
        <v>138</v>
      </c>
      <c r="AF1929" s="0">
        <v>0</v>
      </c>
      <c r="AG1929" s="0">
        <v>0</v>
      </c>
      <c r="AH1929" s="0" t="s">
        <v>140</v>
      </c>
      <c r="AI1929" s="0" t="s">
        <v>138</v>
      </c>
      <c r="AL1929" s="14"/>
      <c r="AN1929" s="14"/>
      <c r="AQ1929" s="0" t="s">
        <v>141</v>
      </c>
      <c r="AR1929" s="0" t="s">
        <v>130</v>
      </c>
      <c r="AS1929" s="0" t="s">
        <v>130</v>
      </c>
      <c r="AT1929" s="0" t="s">
        <v>130</v>
      </c>
      <c r="AU1929" s="0" t="s">
        <v>130</v>
      </c>
      <c r="AV1929" s="0" t="s">
        <v>130</v>
      </c>
      <c r="AW1929" s="0" t="s">
        <v>130</v>
      </c>
      <c r="AX1929" s="0" t="s">
        <v>141</v>
      </c>
      <c r="AY1929" s="0" t="s">
        <v>130</v>
      </c>
      <c r="AZ1929" s="0" t="s">
        <v>141</v>
      </c>
      <c r="BA1929" s="0" t="s">
        <v>130</v>
      </c>
      <c r="BB1929" s="0" t="s">
        <v>130</v>
      </c>
      <c r="BC1929" s="0" t="s">
        <v>130</v>
      </c>
      <c r="BD1929" s="0" t="s">
        <v>130</v>
      </c>
      <c r="BE1929" s="0" t="s">
        <v>130</v>
      </c>
      <c r="BF1929" s="0" t="s">
        <v>130</v>
      </c>
      <c r="BG1929" s="0" t="s">
        <v>130</v>
      </c>
      <c r="BH1929" s="0" t="s">
        <v>130</v>
      </c>
      <c r="BI1929" s="0" t="s">
        <v>130</v>
      </c>
      <c r="BJ1929" s="0" t="s">
        <v>130</v>
      </c>
      <c r="BK1929" s="0" t="s">
        <v>130</v>
      </c>
      <c r="BL1929" s="0" t="s">
        <v>130</v>
      </c>
      <c r="BM1929" s="0" t="s">
        <v>130</v>
      </c>
      <c r="BN1929" s="0" t="s">
        <v>130</v>
      </c>
      <c r="BO1929" s="0" t="s">
        <v>130</v>
      </c>
      <c r="BP1929" s="0" t="s">
        <v>130</v>
      </c>
      <c r="BQ1929" s="0" t="s">
        <v>130</v>
      </c>
      <c r="BR1929" s="0" t="s">
        <v>130</v>
      </c>
      <c r="BS1929" s="0" t="s">
        <v>130</v>
      </c>
      <c r="BT1929" s="0" t="s">
        <v>130</v>
      </c>
      <c r="BU1929" s="0" t="s">
        <v>130</v>
      </c>
      <c r="BV1929" s="0" t="s">
        <v>130</v>
      </c>
      <c r="BW1929" s="0" t="s">
        <v>130</v>
      </c>
      <c r="BX1929" s="0" t="s">
        <v>130</v>
      </c>
      <c r="BY1929" s="0" t="s">
        <v>130</v>
      </c>
      <c r="BZ1929" s="0" t="s">
        <v>130</v>
      </c>
      <c r="CA1929" s="0" t="s">
        <v>130</v>
      </c>
      <c r="CB1929" s="0" t="s">
        <v>130</v>
      </c>
      <c r="CC1929" s="0" t="s">
        <v>130</v>
      </c>
      <c r="CD1929" s="0" t="s">
        <v>130</v>
      </c>
      <c r="CE1929" s="0" t="s">
        <v>130</v>
      </c>
      <c r="CF1929" s="0" t="s">
        <v>130</v>
      </c>
      <c r="CG1929" s="0" t="s">
        <v>130</v>
      </c>
      <c r="CH1929" s="0" t="s">
        <v>130</v>
      </c>
      <c r="CI1929" s="0" t="s">
        <v>130</v>
      </c>
      <c r="CJ1929" s="0" t="s">
        <v>130</v>
      </c>
      <c r="CK1929" s="0" t="s">
        <v>130</v>
      </c>
      <c r="CL1929" s="0" t="s">
        <v>130</v>
      </c>
      <c r="CM1929" s="0" t="s">
        <v>130</v>
      </c>
      <c r="CN1929" s="0" t="s">
        <v>130</v>
      </c>
      <c r="CO1929" s="0" t="s">
        <v>130</v>
      </c>
      <c r="CP1929" s="0" t="s">
        <v>130</v>
      </c>
      <c r="CQ1929" s="0" t="s">
        <v>130</v>
      </c>
      <c r="CR1929" s="0" t="s">
        <v>130</v>
      </c>
      <c r="CS1929" s="0" t="s">
        <v>130</v>
      </c>
      <c r="CT1929" s="0" t="s">
        <v>5443</v>
      </c>
    </row>
    <row r="1930">
      <c r="A1930" s="14">
        <v>825197</v>
      </c>
      <c r="B1930" s="0" t="s">
        <v>3349</v>
      </c>
      <c r="C1930" s="16">
        <f>HYPERLINK("https://eosportal.federatedhermes.com/companies/Q29tcGFueQppNTU3NDQ=", "ABB Ltd")</f>
      </c>
      <c r="D1930" s="0" t="s">
        <v>25</v>
      </c>
      <c r="E1930" s="0" t="s">
        <v>5444</v>
      </c>
      <c r="F1930" s="16">
        <f>HYPERLINK("https://eosportal.federatedhermes.com/engagements/RW5nYWdlbWVudAppMzE1MTA=", "Sustainable supply chain management")</f>
      </c>
      <c r="G1930" s="14" t="s">
        <v>5445</v>
      </c>
      <c r="H1930" s="0" t="s">
        <v>141</v>
      </c>
      <c r="I1930" s="14" t="s">
        <v>191</v>
      </c>
      <c r="J1930" s="0" t="s">
        <v>132</v>
      </c>
      <c r="K1930" s="0" t="s">
        <v>260</v>
      </c>
      <c r="L1930" s="0" t="s">
        <v>261</v>
      </c>
      <c r="M1930" s="0" t="s">
        <v>378</v>
      </c>
      <c r="N1930" s="0" t="s">
        <v>1059</v>
      </c>
      <c r="O1930" s="0" t="s">
        <v>176</v>
      </c>
      <c r="Q1930" s="0" t="s">
        <v>130</v>
      </c>
      <c r="R1930" s="0" t="s">
        <v>138</v>
      </c>
      <c r="S1930" s="14">
        <v>0</v>
      </c>
      <c r="T1930" s="0" t="s">
        <v>2270</v>
      </c>
      <c r="U1930" s="0" t="s">
        <v>138</v>
      </c>
      <c r="V1930" s="14" t="s">
        <v>138</v>
      </c>
      <c r="W1930" s="0" t="s">
        <v>138</v>
      </c>
      <c r="X1930" s="14" t="s">
        <v>138</v>
      </c>
      <c r="Y1930" s="0" t="s">
        <v>138</v>
      </c>
      <c r="Z1930" s="14" t="s">
        <v>138</v>
      </c>
      <c r="AA1930" s="0" t="s">
        <v>138</v>
      </c>
      <c r="AB1930" s="14" t="s">
        <v>138</v>
      </c>
      <c r="AD1930" s="0" t="s">
        <v>138</v>
      </c>
      <c r="AF1930" s="0">
        <v>0</v>
      </c>
      <c r="AG1930" s="0">
        <v>0</v>
      </c>
      <c r="AH1930" s="0" t="s">
        <v>140</v>
      </c>
      <c r="AI1930" s="0" t="s">
        <v>138</v>
      </c>
      <c r="AL1930" s="14"/>
      <c r="AN1930" s="14"/>
      <c r="AQ1930" s="0" t="s">
        <v>130</v>
      </c>
      <c r="AR1930" s="0" t="s">
        <v>130</v>
      </c>
      <c r="AS1930" s="0" t="s">
        <v>130</v>
      </c>
      <c r="AT1930" s="0" t="s">
        <v>130</v>
      </c>
      <c r="AU1930" s="0" t="s">
        <v>130</v>
      </c>
      <c r="AV1930" s="0" t="s">
        <v>130</v>
      </c>
      <c r="AW1930" s="0" t="s">
        <v>130</v>
      </c>
      <c r="AX1930" s="0" t="s">
        <v>130</v>
      </c>
      <c r="AY1930" s="0" t="s">
        <v>130</v>
      </c>
      <c r="AZ1930" s="0" t="s">
        <v>130</v>
      </c>
      <c r="BA1930" s="0" t="s">
        <v>130</v>
      </c>
      <c r="BB1930" s="0" t="s">
        <v>130</v>
      </c>
      <c r="BC1930" s="0" t="s">
        <v>130</v>
      </c>
      <c r="BD1930" s="0" t="s">
        <v>130</v>
      </c>
      <c r="BE1930" s="0" t="s">
        <v>130</v>
      </c>
      <c r="BF1930" s="0" t="s">
        <v>130</v>
      </c>
      <c r="BG1930" s="0" t="s">
        <v>130</v>
      </c>
      <c r="BH1930" s="0" t="s">
        <v>130</v>
      </c>
      <c r="BI1930" s="0" t="s">
        <v>130</v>
      </c>
      <c r="BJ1930" s="0" t="s">
        <v>130</v>
      </c>
      <c r="BK1930" s="0" t="s">
        <v>130</v>
      </c>
      <c r="BL1930" s="0" t="s">
        <v>130</v>
      </c>
      <c r="BM1930" s="0" t="s">
        <v>130</v>
      </c>
      <c r="BN1930" s="0" t="s">
        <v>130</v>
      </c>
      <c r="BO1930" s="0" t="s">
        <v>130</v>
      </c>
      <c r="BP1930" s="0" t="s">
        <v>130</v>
      </c>
      <c r="BQ1930" s="0" t="s">
        <v>130</v>
      </c>
      <c r="BR1930" s="0" t="s">
        <v>130</v>
      </c>
      <c r="BS1930" s="0" t="s">
        <v>130</v>
      </c>
      <c r="BT1930" s="0" t="s">
        <v>130</v>
      </c>
      <c r="BU1930" s="0" t="s">
        <v>130</v>
      </c>
      <c r="BV1930" s="0" t="s">
        <v>130</v>
      </c>
      <c r="BW1930" s="0" t="s">
        <v>130</v>
      </c>
      <c r="BX1930" s="0" t="s">
        <v>130</v>
      </c>
      <c r="BY1930" s="0" t="s">
        <v>130</v>
      </c>
      <c r="BZ1930" s="0" t="s">
        <v>130</v>
      </c>
      <c r="CA1930" s="0" t="s">
        <v>130</v>
      </c>
      <c r="CB1930" s="0" t="s">
        <v>130</v>
      </c>
      <c r="CC1930" s="0" t="s">
        <v>130</v>
      </c>
      <c r="CD1930" s="0" t="s">
        <v>130</v>
      </c>
      <c r="CE1930" s="0" t="s">
        <v>130</v>
      </c>
      <c r="CF1930" s="0" t="s">
        <v>130</v>
      </c>
      <c r="CG1930" s="0" t="s">
        <v>130</v>
      </c>
      <c r="CH1930" s="0" t="s">
        <v>130</v>
      </c>
      <c r="CI1930" s="0" t="s">
        <v>130</v>
      </c>
      <c r="CJ1930" s="0" t="s">
        <v>130</v>
      </c>
      <c r="CK1930" s="0" t="s">
        <v>130</v>
      </c>
      <c r="CL1930" s="0" t="s">
        <v>130</v>
      </c>
      <c r="CM1930" s="0" t="s">
        <v>130</v>
      </c>
      <c r="CN1930" s="0" t="s">
        <v>130</v>
      </c>
      <c r="CO1930" s="0" t="s">
        <v>130</v>
      </c>
      <c r="CP1930" s="0" t="s">
        <v>130</v>
      </c>
      <c r="CQ1930" s="0" t="s">
        <v>130</v>
      </c>
      <c r="CR1930" s="0" t="s">
        <v>130</v>
      </c>
      <c r="CS1930" s="0" t="s">
        <v>130</v>
      </c>
      <c r="CT1930" s="0" t="s">
        <v>5446</v>
      </c>
    </row>
    <row r="1931">
      <c r="A1931" s="14">
        <v>26327793</v>
      </c>
      <c r="B1931" s="0" t="s">
        <v>4323</v>
      </c>
      <c r="C1931" s="16">
        <f>HYPERLINK("https://eosportal.federatedhermes.com/companies/Q29tcGFueQppNzcwNDY=", "Zalando SE")</f>
      </c>
      <c r="D1931" s="0" t="s">
        <v>23</v>
      </c>
      <c r="E1931" s="0" t="s">
        <v>3755</v>
      </c>
      <c r="F1931" s="16">
        <f>HYPERLINK("https://eosportal.federatedhermes.com/engagements/RW5nYWdlbWVudAppMzE1MTM=", "Value chain rights")</f>
      </c>
      <c r="G1931" s="14" t="s">
        <v>5447</v>
      </c>
      <c r="H1931" s="0" t="s">
        <v>130</v>
      </c>
      <c r="I1931" s="14" t="s">
        <v>319</v>
      </c>
      <c r="J1931" s="0" t="s">
        <v>153</v>
      </c>
      <c r="K1931" s="0" t="s">
        <v>243</v>
      </c>
      <c r="L1931" s="0" t="s">
        <v>244</v>
      </c>
      <c r="M1931" s="0" t="s">
        <v>378</v>
      </c>
      <c r="N1931" s="0" t="s">
        <v>2485</v>
      </c>
      <c r="O1931" s="0" t="s">
        <v>643</v>
      </c>
      <c r="Q1931" s="0" t="s">
        <v>130</v>
      </c>
      <c r="R1931" s="0" t="s">
        <v>141</v>
      </c>
      <c r="S1931" s="14">
        <v>0</v>
      </c>
      <c r="T1931" s="0" t="s">
        <v>597</v>
      </c>
      <c r="U1931" s="0" t="s">
        <v>221</v>
      </c>
      <c r="V1931" s="14" t="s">
        <v>597</v>
      </c>
      <c r="W1931" s="0" t="s">
        <v>221</v>
      </c>
      <c r="X1931" s="14" t="s">
        <v>360</v>
      </c>
      <c r="Y1931" s="0" t="s">
        <v>221</v>
      </c>
      <c r="Z1931" s="14" t="s">
        <v>4412</v>
      </c>
      <c r="AA1931" s="0" t="s">
        <v>221</v>
      </c>
      <c r="AB1931" s="14" t="s">
        <v>361</v>
      </c>
      <c r="AC1931" s="0" t="s">
        <v>20</v>
      </c>
      <c r="AD1931" s="0" t="s">
        <v>362</v>
      </c>
      <c r="AE1931" s="0" t="s">
        <v>363</v>
      </c>
      <c r="AF1931" s="0">
        <v>1</v>
      </c>
      <c r="AG1931" s="0">
        <v>0</v>
      </c>
      <c r="AH1931" s="0" t="s">
        <v>140</v>
      </c>
      <c r="AI1931" s="0" t="s">
        <v>221</v>
      </c>
      <c r="AJ1931" s="0" t="s">
        <v>364</v>
      </c>
      <c r="AL1931" s="14"/>
      <c r="AN1931" s="14"/>
      <c r="AP1931" s="0" t="s">
        <v>1151</v>
      </c>
      <c r="AQ1931" s="0" t="s">
        <v>130</v>
      </c>
      <c r="AR1931" s="0" t="s">
        <v>130</v>
      </c>
      <c r="AS1931" s="0" t="s">
        <v>130</v>
      </c>
      <c r="AT1931" s="0" t="s">
        <v>130</v>
      </c>
      <c r="AU1931" s="0" t="s">
        <v>130</v>
      </c>
      <c r="AV1931" s="0" t="s">
        <v>130</v>
      </c>
      <c r="AW1931" s="0" t="s">
        <v>130</v>
      </c>
      <c r="AX1931" s="0" t="s">
        <v>141</v>
      </c>
      <c r="AY1931" s="0" t="s">
        <v>130</v>
      </c>
      <c r="AZ1931" s="0" t="s">
        <v>130</v>
      </c>
      <c r="BA1931" s="0" t="s">
        <v>130</v>
      </c>
      <c r="BB1931" s="0" t="s">
        <v>130</v>
      </c>
      <c r="BC1931" s="0" t="s">
        <v>130</v>
      </c>
      <c r="BD1931" s="0" t="s">
        <v>130</v>
      </c>
      <c r="BE1931" s="0" t="s">
        <v>130</v>
      </c>
      <c r="BF1931" s="0" t="s">
        <v>130</v>
      </c>
      <c r="BG1931" s="0" t="s">
        <v>130</v>
      </c>
      <c r="BH1931" s="0" t="s">
        <v>130</v>
      </c>
      <c r="BI1931" s="0" t="s">
        <v>130</v>
      </c>
      <c r="BJ1931" s="0" t="s">
        <v>130</v>
      </c>
      <c r="BK1931" s="0" t="s">
        <v>130</v>
      </c>
      <c r="BL1931" s="0" t="s">
        <v>130</v>
      </c>
      <c r="BM1931" s="0" t="s">
        <v>130</v>
      </c>
      <c r="BN1931" s="0" t="s">
        <v>130</v>
      </c>
      <c r="BO1931" s="0" t="s">
        <v>130</v>
      </c>
      <c r="BP1931" s="0" t="s">
        <v>130</v>
      </c>
      <c r="BQ1931" s="0" t="s">
        <v>130</v>
      </c>
      <c r="BR1931" s="0" t="s">
        <v>130</v>
      </c>
      <c r="BS1931" s="0" t="s">
        <v>130</v>
      </c>
      <c r="BT1931" s="0" t="s">
        <v>130</v>
      </c>
      <c r="BU1931" s="0" t="s">
        <v>130</v>
      </c>
      <c r="BV1931" s="0" t="s">
        <v>130</v>
      </c>
      <c r="BW1931" s="0" t="s">
        <v>130</v>
      </c>
      <c r="BX1931" s="0" t="s">
        <v>130</v>
      </c>
      <c r="BY1931" s="0" t="s">
        <v>130</v>
      </c>
      <c r="BZ1931" s="0" t="s">
        <v>130</v>
      </c>
      <c r="CA1931" s="0" t="s">
        <v>130</v>
      </c>
      <c r="CB1931" s="0" t="s">
        <v>130</v>
      </c>
      <c r="CC1931" s="0" t="s">
        <v>130</v>
      </c>
      <c r="CD1931" s="0" t="s">
        <v>130</v>
      </c>
      <c r="CE1931" s="0" t="s">
        <v>130</v>
      </c>
      <c r="CF1931" s="0" t="s">
        <v>130</v>
      </c>
      <c r="CG1931" s="0" t="s">
        <v>130</v>
      </c>
      <c r="CH1931" s="0" t="s">
        <v>130</v>
      </c>
      <c r="CI1931" s="0" t="s">
        <v>130</v>
      </c>
      <c r="CJ1931" s="0" t="s">
        <v>130</v>
      </c>
      <c r="CK1931" s="0" t="s">
        <v>130</v>
      </c>
      <c r="CL1931" s="0" t="s">
        <v>130</v>
      </c>
      <c r="CM1931" s="0" t="s">
        <v>130</v>
      </c>
      <c r="CN1931" s="0" t="s">
        <v>130</v>
      </c>
      <c r="CO1931" s="0" t="s">
        <v>130</v>
      </c>
      <c r="CP1931" s="0" t="s">
        <v>130</v>
      </c>
      <c r="CQ1931" s="0" t="s">
        <v>130</v>
      </c>
      <c r="CR1931" s="0" t="s">
        <v>130</v>
      </c>
      <c r="CS1931" s="0" t="s">
        <v>130</v>
      </c>
      <c r="CT1931" s="0" t="s">
        <v>5448</v>
      </c>
    </row>
    <row r="1932">
      <c r="A1932" s="14">
        <v>115682</v>
      </c>
      <c r="B1932" s="0" t="s">
        <v>2620</v>
      </c>
      <c r="C1932" s="16">
        <f>HYPERLINK("https://eosportal.federatedhermes.com/companies/Q29tcGFueQppNTMxNDc=", "Bayerische Motoren Werke AG (BMW)")</f>
      </c>
      <c r="D1932" s="0" t="s">
        <v>23</v>
      </c>
      <c r="E1932" s="0" t="s">
        <v>5432</v>
      </c>
      <c r="F1932" s="16">
        <f>HYPERLINK("https://eosportal.federatedhermes.com/engagements/RW5nYWdlbWVudAppMzE1MjM=", "1.5°C aligned Scope 3 target")</f>
      </c>
      <c r="G1932" s="14" t="s">
        <v>5433</v>
      </c>
      <c r="H1932" s="0" t="s">
        <v>141</v>
      </c>
      <c r="I1932" s="14" t="s">
        <v>1645</v>
      </c>
      <c r="J1932" s="0" t="s">
        <v>197</v>
      </c>
      <c r="K1932" s="0" t="s">
        <v>198</v>
      </c>
      <c r="L1932" s="0" t="s">
        <v>216</v>
      </c>
      <c r="M1932" s="0" t="s">
        <v>378</v>
      </c>
      <c r="N1932" s="0" t="s">
        <v>2485</v>
      </c>
      <c r="O1932" s="0" t="s">
        <v>425</v>
      </c>
      <c r="Q1932" s="0" t="s">
        <v>141</v>
      </c>
      <c r="R1932" s="0" t="s">
        <v>130</v>
      </c>
      <c r="S1932" s="14">
        <v>1</v>
      </c>
      <c r="T1932" s="0" t="s">
        <v>2270</v>
      </c>
      <c r="U1932" s="0" t="s">
        <v>221</v>
      </c>
      <c r="V1932" s="14" t="s">
        <v>2270</v>
      </c>
      <c r="W1932" s="0" t="s">
        <v>221</v>
      </c>
      <c r="X1932" s="14" t="s">
        <v>222</v>
      </c>
      <c r="Y1932" s="0" t="s">
        <v>221</v>
      </c>
      <c r="Z1932" s="14" t="s">
        <v>449</v>
      </c>
      <c r="AA1932" s="0" t="s">
        <v>223</v>
      </c>
      <c r="AB1932" s="14" t="s">
        <v>138</v>
      </c>
      <c r="AD1932" s="0" t="s">
        <v>20</v>
      </c>
      <c r="AF1932" s="0">
        <v>0</v>
      </c>
      <c r="AG1932" s="0">
        <v>0</v>
      </c>
      <c r="AH1932" s="0" t="s">
        <v>140</v>
      </c>
      <c r="AI1932" s="0" t="s">
        <v>479</v>
      </c>
      <c r="AK1932" s="0" t="s">
        <v>1289</v>
      </c>
      <c r="AL1932" s="14"/>
      <c r="AN1932" s="14"/>
      <c r="AQ1932" s="0" t="s">
        <v>130</v>
      </c>
      <c r="AR1932" s="0" t="s">
        <v>130</v>
      </c>
      <c r="AS1932" s="0" t="s">
        <v>130</v>
      </c>
      <c r="AT1932" s="0" t="s">
        <v>130</v>
      </c>
      <c r="AU1932" s="0" t="s">
        <v>130</v>
      </c>
      <c r="AV1932" s="0" t="s">
        <v>130</v>
      </c>
      <c r="AW1932" s="0" t="s">
        <v>141</v>
      </c>
      <c r="AX1932" s="0" t="s">
        <v>130</v>
      </c>
      <c r="AY1932" s="0" t="s">
        <v>130</v>
      </c>
      <c r="AZ1932" s="0" t="s">
        <v>130</v>
      </c>
      <c r="BA1932" s="0" t="s">
        <v>130</v>
      </c>
      <c r="BB1932" s="0" t="s">
        <v>130</v>
      </c>
      <c r="BC1932" s="0" t="s">
        <v>141</v>
      </c>
      <c r="BD1932" s="0" t="s">
        <v>130</v>
      </c>
      <c r="BE1932" s="0" t="s">
        <v>130</v>
      </c>
      <c r="BF1932" s="0" t="s">
        <v>130</v>
      </c>
      <c r="BG1932" s="0" t="s">
        <v>130</v>
      </c>
      <c r="BH1932" s="0" t="s">
        <v>141</v>
      </c>
      <c r="BI1932" s="0" t="s">
        <v>141</v>
      </c>
      <c r="BJ1932" s="0" t="s">
        <v>141</v>
      </c>
      <c r="BK1932" s="0" t="s">
        <v>130</v>
      </c>
      <c r="BL1932" s="0" t="s">
        <v>130</v>
      </c>
      <c r="BM1932" s="0" t="s">
        <v>130</v>
      </c>
      <c r="BN1932" s="0" t="s">
        <v>130</v>
      </c>
      <c r="BO1932" s="0" t="s">
        <v>130</v>
      </c>
      <c r="BP1932" s="0" t="s">
        <v>130</v>
      </c>
      <c r="BQ1932" s="0" t="s">
        <v>130</v>
      </c>
      <c r="BR1932" s="0" t="s">
        <v>130</v>
      </c>
      <c r="BS1932" s="0" t="s">
        <v>130</v>
      </c>
      <c r="BT1932" s="0" t="s">
        <v>130</v>
      </c>
      <c r="BU1932" s="0" t="s">
        <v>130</v>
      </c>
      <c r="BV1932" s="0" t="s">
        <v>141</v>
      </c>
      <c r="BW1932" s="0" t="s">
        <v>141</v>
      </c>
      <c r="BX1932" s="0" t="s">
        <v>130</v>
      </c>
      <c r="BY1932" s="0" t="s">
        <v>130</v>
      </c>
      <c r="BZ1932" s="0" t="s">
        <v>130</v>
      </c>
      <c r="CA1932" s="0" t="s">
        <v>130</v>
      </c>
      <c r="CB1932" s="0" t="s">
        <v>130</v>
      </c>
      <c r="CC1932" s="0" t="s">
        <v>130</v>
      </c>
      <c r="CD1932" s="0" t="s">
        <v>130</v>
      </c>
      <c r="CE1932" s="0" t="s">
        <v>130</v>
      </c>
      <c r="CF1932" s="0" t="s">
        <v>130</v>
      </c>
      <c r="CG1932" s="0" t="s">
        <v>130</v>
      </c>
      <c r="CH1932" s="0" t="s">
        <v>130</v>
      </c>
      <c r="CI1932" s="0" t="s">
        <v>130</v>
      </c>
      <c r="CJ1932" s="0" t="s">
        <v>130</v>
      </c>
      <c r="CK1932" s="0" t="s">
        <v>130</v>
      </c>
      <c r="CL1932" s="0" t="s">
        <v>130</v>
      </c>
      <c r="CM1932" s="0" t="s">
        <v>130</v>
      </c>
      <c r="CN1932" s="0" t="s">
        <v>130</v>
      </c>
      <c r="CO1932" s="0" t="s">
        <v>130</v>
      </c>
      <c r="CP1932" s="0" t="s">
        <v>130</v>
      </c>
      <c r="CQ1932" s="0" t="s">
        <v>130</v>
      </c>
      <c r="CR1932" s="0" t="s">
        <v>130</v>
      </c>
      <c r="CS1932" s="0" t="s">
        <v>130</v>
      </c>
      <c r="CT1932" s="0" t="s">
        <v>5449</v>
      </c>
    </row>
    <row r="1933">
      <c r="A1933" s="14">
        <v>115682</v>
      </c>
      <c r="B1933" s="0" t="s">
        <v>2620</v>
      </c>
      <c r="C1933" s="16">
        <f>HYPERLINK("https://eosportal.federatedhermes.com/companies/Q29tcGFueQppNTMxNDc=", "Bayerische Motoren Werke AG (BMW)")</f>
      </c>
      <c r="D1933" s="0" t="s">
        <v>23</v>
      </c>
      <c r="E1933" s="0" t="s">
        <v>5435</v>
      </c>
      <c r="F1933" s="16">
        <f>HYPERLINK("https://eosportal.federatedhermes.com/engagements/RW5nYWdlbWVudAppMzE1MjQ=", "Climate Policy Engagement Transparency")</f>
      </c>
      <c r="G1933" s="14" t="s">
        <v>5450</v>
      </c>
      <c r="H1933" s="0" t="s">
        <v>141</v>
      </c>
      <c r="I1933" s="14" t="s">
        <v>1645</v>
      </c>
      <c r="J1933" s="0" t="s">
        <v>197</v>
      </c>
      <c r="K1933" s="0" t="s">
        <v>198</v>
      </c>
      <c r="L1933" s="0" t="s">
        <v>199</v>
      </c>
      <c r="M1933" s="0" t="s">
        <v>378</v>
      </c>
      <c r="N1933" s="0" t="s">
        <v>2485</v>
      </c>
      <c r="O1933" s="0" t="s">
        <v>425</v>
      </c>
      <c r="Q1933" s="0" t="s">
        <v>141</v>
      </c>
      <c r="R1933" s="0" t="s">
        <v>130</v>
      </c>
      <c r="S1933" s="14">
        <v>1</v>
      </c>
      <c r="T1933" s="0" t="s">
        <v>2270</v>
      </c>
      <c r="U1933" s="0" t="s">
        <v>221</v>
      </c>
      <c r="V1933" s="14" t="s">
        <v>2270</v>
      </c>
      <c r="W1933" s="0" t="s">
        <v>221</v>
      </c>
      <c r="X1933" s="14" t="s">
        <v>2270</v>
      </c>
      <c r="Y1933" s="0" t="s">
        <v>221</v>
      </c>
      <c r="Z1933" s="14" t="s">
        <v>478</v>
      </c>
      <c r="AA1933" s="0" t="s">
        <v>223</v>
      </c>
      <c r="AB1933" s="14" t="s">
        <v>138</v>
      </c>
      <c r="AD1933" s="0" t="s">
        <v>20</v>
      </c>
      <c r="AF1933" s="0">
        <v>0</v>
      </c>
      <c r="AG1933" s="0">
        <v>0</v>
      </c>
      <c r="AH1933" s="0" t="s">
        <v>140</v>
      </c>
      <c r="AI1933" s="0" t="s">
        <v>479</v>
      </c>
      <c r="AK1933" s="0" t="s">
        <v>1289</v>
      </c>
      <c r="AL1933" s="14"/>
      <c r="AN1933" s="14"/>
      <c r="AQ1933" s="0" t="s">
        <v>130</v>
      </c>
      <c r="AR1933" s="0" t="s">
        <v>130</v>
      </c>
      <c r="AS1933" s="0" t="s">
        <v>130</v>
      </c>
      <c r="AT1933" s="0" t="s">
        <v>130</v>
      </c>
      <c r="AU1933" s="0" t="s">
        <v>130</v>
      </c>
      <c r="AV1933" s="0" t="s">
        <v>130</v>
      </c>
      <c r="AW1933" s="0" t="s">
        <v>130</v>
      </c>
      <c r="AX1933" s="0" t="s">
        <v>130</v>
      </c>
      <c r="AY1933" s="0" t="s">
        <v>130</v>
      </c>
      <c r="AZ1933" s="0" t="s">
        <v>130</v>
      </c>
      <c r="BA1933" s="0" t="s">
        <v>130</v>
      </c>
      <c r="BB1933" s="0" t="s">
        <v>141</v>
      </c>
      <c r="BC1933" s="0" t="s">
        <v>141</v>
      </c>
      <c r="BD1933" s="0" t="s">
        <v>130</v>
      </c>
      <c r="BE1933" s="0" t="s">
        <v>130</v>
      </c>
      <c r="BF1933" s="0" t="s">
        <v>130</v>
      </c>
      <c r="BG1933" s="0" t="s">
        <v>130</v>
      </c>
      <c r="BH1933" s="0" t="s">
        <v>130</v>
      </c>
      <c r="BI1933" s="0" t="s">
        <v>130</v>
      </c>
      <c r="BJ1933" s="0" t="s">
        <v>130</v>
      </c>
      <c r="BK1933" s="0" t="s">
        <v>130</v>
      </c>
      <c r="BL1933" s="0" t="s">
        <v>130</v>
      </c>
      <c r="BM1933" s="0" t="s">
        <v>130</v>
      </c>
      <c r="BN1933" s="0" t="s">
        <v>130</v>
      </c>
      <c r="BO1933" s="0" t="s">
        <v>130</v>
      </c>
      <c r="BP1933" s="0" t="s">
        <v>130</v>
      </c>
      <c r="BQ1933" s="0" t="s">
        <v>130</v>
      </c>
      <c r="BR1933" s="0" t="s">
        <v>130</v>
      </c>
      <c r="BS1933" s="0" t="s">
        <v>130</v>
      </c>
      <c r="BT1933" s="0" t="s">
        <v>130</v>
      </c>
      <c r="BU1933" s="0" t="s">
        <v>130</v>
      </c>
      <c r="BV1933" s="0" t="s">
        <v>130</v>
      </c>
      <c r="BW1933" s="0" t="s">
        <v>130</v>
      </c>
      <c r="BX1933" s="0" t="s">
        <v>130</v>
      </c>
      <c r="BY1933" s="0" t="s">
        <v>130</v>
      </c>
      <c r="BZ1933" s="0" t="s">
        <v>130</v>
      </c>
      <c r="CA1933" s="0" t="s">
        <v>130</v>
      </c>
      <c r="CB1933" s="0" t="s">
        <v>130</v>
      </c>
      <c r="CC1933" s="0" t="s">
        <v>130</v>
      </c>
      <c r="CD1933" s="0" t="s">
        <v>130</v>
      </c>
      <c r="CE1933" s="0" t="s">
        <v>130</v>
      </c>
      <c r="CF1933" s="0" t="s">
        <v>130</v>
      </c>
      <c r="CG1933" s="0" t="s">
        <v>130</v>
      </c>
      <c r="CH1933" s="0" t="s">
        <v>130</v>
      </c>
      <c r="CI1933" s="0" t="s">
        <v>130</v>
      </c>
      <c r="CJ1933" s="0" t="s">
        <v>130</v>
      </c>
      <c r="CK1933" s="0" t="s">
        <v>130</v>
      </c>
      <c r="CL1933" s="0" t="s">
        <v>130</v>
      </c>
      <c r="CM1933" s="0" t="s">
        <v>130</v>
      </c>
      <c r="CN1933" s="0" t="s">
        <v>130</v>
      </c>
      <c r="CO1933" s="0" t="s">
        <v>130</v>
      </c>
      <c r="CP1933" s="0" t="s">
        <v>130</v>
      </c>
      <c r="CQ1933" s="0" t="s">
        <v>130</v>
      </c>
      <c r="CR1933" s="0" t="s">
        <v>130</v>
      </c>
      <c r="CS1933" s="0" t="s">
        <v>130</v>
      </c>
      <c r="CT1933" s="0" t="s">
        <v>5451</v>
      </c>
    </row>
    <row r="1934">
      <c r="A1934" s="14">
        <v>115682</v>
      </c>
      <c r="B1934" s="0" t="s">
        <v>2620</v>
      </c>
      <c r="C1934" s="16">
        <f>HYPERLINK("https://eosportal.federatedhermes.com/companies/Q29tcGFueQppNTMxNDc=", "Bayerische Motoren Werke AG (BMW)")</f>
      </c>
      <c r="D1934" s="0" t="s">
        <v>25</v>
      </c>
      <c r="E1934" s="0" t="s">
        <v>1542</v>
      </c>
      <c r="F1934" s="16">
        <f>HYPERLINK("https://eosportal.federatedhermes.com/engagements/RW5nYWdlbWVudAppMzE1Mjc=", "Just transition")</f>
      </c>
      <c r="G1934" s="14" t="s">
        <v>5452</v>
      </c>
      <c r="H1934" s="0" t="s">
        <v>141</v>
      </c>
      <c r="I1934" s="14" t="s">
        <v>1645</v>
      </c>
      <c r="J1934" s="0" t="s">
        <v>197</v>
      </c>
      <c r="K1934" s="0" t="s">
        <v>198</v>
      </c>
      <c r="L1934" s="0" t="s">
        <v>199</v>
      </c>
      <c r="M1934" s="0" t="s">
        <v>378</v>
      </c>
      <c r="N1934" s="0" t="s">
        <v>2485</v>
      </c>
      <c r="O1934" s="0" t="s">
        <v>425</v>
      </c>
      <c r="Q1934" s="0" t="s">
        <v>141</v>
      </c>
      <c r="R1934" s="0" t="s">
        <v>138</v>
      </c>
      <c r="S1934" s="14">
        <v>1</v>
      </c>
      <c r="T1934" s="0" t="s">
        <v>2270</v>
      </c>
      <c r="U1934" s="0" t="s">
        <v>138</v>
      </c>
      <c r="V1934" s="14" t="s">
        <v>138</v>
      </c>
      <c r="W1934" s="0" t="s">
        <v>138</v>
      </c>
      <c r="X1934" s="14" t="s">
        <v>138</v>
      </c>
      <c r="Y1934" s="0" t="s">
        <v>138</v>
      </c>
      <c r="Z1934" s="14" t="s">
        <v>138</v>
      </c>
      <c r="AA1934" s="0" t="s">
        <v>138</v>
      </c>
      <c r="AB1934" s="14" t="s">
        <v>138</v>
      </c>
      <c r="AD1934" s="0" t="s">
        <v>138</v>
      </c>
      <c r="AF1934" s="0">
        <v>0</v>
      </c>
      <c r="AG1934" s="0">
        <v>0</v>
      </c>
      <c r="AH1934" s="0" t="s">
        <v>140</v>
      </c>
      <c r="AI1934" s="0" t="s">
        <v>138</v>
      </c>
      <c r="AK1934" s="0" t="s">
        <v>1289</v>
      </c>
      <c r="AL1934" s="14"/>
      <c r="AN1934" s="14"/>
      <c r="AQ1934" s="0" t="s">
        <v>130</v>
      </c>
      <c r="AR1934" s="0" t="s">
        <v>130</v>
      </c>
      <c r="AS1934" s="0" t="s">
        <v>130</v>
      </c>
      <c r="AT1934" s="0" t="s">
        <v>130</v>
      </c>
      <c r="AU1934" s="0" t="s">
        <v>130</v>
      </c>
      <c r="AV1934" s="0" t="s">
        <v>130</v>
      </c>
      <c r="AW1934" s="0" t="s">
        <v>130</v>
      </c>
      <c r="AX1934" s="0" t="s">
        <v>130</v>
      </c>
      <c r="AY1934" s="0" t="s">
        <v>130</v>
      </c>
      <c r="AZ1934" s="0" t="s">
        <v>130</v>
      </c>
      <c r="BA1934" s="0" t="s">
        <v>130</v>
      </c>
      <c r="BB1934" s="0" t="s">
        <v>141</v>
      </c>
      <c r="BC1934" s="0" t="s">
        <v>130</v>
      </c>
      <c r="BD1934" s="0" t="s">
        <v>130</v>
      </c>
      <c r="BE1934" s="0" t="s">
        <v>130</v>
      </c>
      <c r="BF1934" s="0" t="s">
        <v>130</v>
      </c>
      <c r="BG1934" s="0" t="s">
        <v>130</v>
      </c>
      <c r="BH1934" s="0" t="s">
        <v>130</v>
      </c>
      <c r="BI1934" s="0" t="s">
        <v>130</v>
      </c>
      <c r="BJ1934" s="0" t="s">
        <v>130</v>
      </c>
      <c r="BK1934" s="0" t="s">
        <v>130</v>
      </c>
      <c r="BL1934" s="0" t="s">
        <v>130</v>
      </c>
      <c r="BM1934" s="0" t="s">
        <v>130</v>
      </c>
      <c r="BN1934" s="0" t="s">
        <v>130</v>
      </c>
      <c r="BO1934" s="0" t="s">
        <v>130</v>
      </c>
      <c r="BP1934" s="0" t="s">
        <v>130</v>
      </c>
      <c r="BQ1934" s="0" t="s">
        <v>130</v>
      </c>
      <c r="BR1934" s="0" t="s">
        <v>130</v>
      </c>
      <c r="BS1934" s="0" t="s">
        <v>130</v>
      </c>
      <c r="BT1934" s="0" t="s">
        <v>130</v>
      </c>
      <c r="BU1934" s="0" t="s">
        <v>130</v>
      </c>
      <c r="BV1934" s="0" t="s">
        <v>130</v>
      </c>
      <c r="BW1934" s="0" t="s">
        <v>130</v>
      </c>
      <c r="BX1934" s="0" t="s">
        <v>130</v>
      </c>
      <c r="BY1934" s="0" t="s">
        <v>130</v>
      </c>
      <c r="BZ1934" s="0" t="s">
        <v>130</v>
      </c>
      <c r="CA1934" s="0" t="s">
        <v>130</v>
      </c>
      <c r="CB1934" s="0" t="s">
        <v>130</v>
      </c>
      <c r="CC1934" s="0" t="s">
        <v>130</v>
      </c>
      <c r="CD1934" s="0" t="s">
        <v>130</v>
      </c>
      <c r="CE1934" s="0" t="s">
        <v>130</v>
      </c>
      <c r="CF1934" s="0" t="s">
        <v>130</v>
      </c>
      <c r="CG1934" s="0" t="s">
        <v>130</v>
      </c>
      <c r="CH1934" s="0" t="s">
        <v>130</v>
      </c>
      <c r="CI1934" s="0" t="s">
        <v>130</v>
      </c>
      <c r="CJ1934" s="0" t="s">
        <v>130</v>
      </c>
      <c r="CK1934" s="0" t="s">
        <v>130</v>
      </c>
      <c r="CL1934" s="0" t="s">
        <v>130</v>
      </c>
      <c r="CM1934" s="0" t="s">
        <v>130</v>
      </c>
      <c r="CN1934" s="0" t="s">
        <v>130</v>
      </c>
      <c r="CO1934" s="0" t="s">
        <v>130</v>
      </c>
      <c r="CP1934" s="0" t="s">
        <v>130</v>
      </c>
      <c r="CQ1934" s="0" t="s">
        <v>130</v>
      </c>
      <c r="CR1934" s="0" t="s">
        <v>130</v>
      </c>
      <c r="CS1934" s="0" t="s">
        <v>130</v>
      </c>
      <c r="CT1934" s="0" t="s">
        <v>5453</v>
      </c>
    </row>
    <row r="1935">
      <c r="A1935" s="14">
        <v>100315</v>
      </c>
      <c r="B1935" s="0" t="s">
        <v>539</v>
      </c>
      <c r="C1935" s="16">
        <f>HYPERLINK("https://eosportal.federatedhermes.com/companies/Q29tcGFueQppNzcwNTA=", "Chevron Corp")</f>
      </c>
      <c r="D1935" s="0" t="s">
        <v>23</v>
      </c>
      <c r="E1935" s="0" t="s">
        <v>228</v>
      </c>
      <c r="F1935" s="16">
        <f>HYPERLINK("https://eosportal.federatedhermes.com/engagements/RW5nYWdlbWVudAppMzE1MzU=", "Climate strategy")</f>
      </c>
      <c r="G1935" s="14" t="s">
        <v>5454</v>
      </c>
      <c r="H1935" s="0" t="s">
        <v>141</v>
      </c>
      <c r="I1935" s="14" t="s">
        <v>191</v>
      </c>
      <c r="J1935" s="0" t="s">
        <v>197</v>
      </c>
      <c r="K1935" s="0" t="s">
        <v>198</v>
      </c>
      <c r="L1935" s="0" t="s">
        <v>220</v>
      </c>
      <c r="M1935" s="0" t="s">
        <v>135</v>
      </c>
      <c r="N1935" s="0" t="s">
        <v>136</v>
      </c>
      <c r="O1935" s="0" t="s">
        <v>542</v>
      </c>
      <c r="Q1935" s="0" t="s">
        <v>141</v>
      </c>
      <c r="R1935" s="0" t="s">
        <v>130</v>
      </c>
      <c r="S1935" s="14">
        <v>1</v>
      </c>
      <c r="T1935" s="0" t="s">
        <v>597</v>
      </c>
      <c r="U1935" s="0" t="s">
        <v>221</v>
      </c>
      <c r="V1935" s="14" t="s">
        <v>597</v>
      </c>
      <c r="W1935" s="0" t="s">
        <v>221</v>
      </c>
      <c r="X1935" s="14" t="s">
        <v>2270</v>
      </c>
      <c r="Y1935" s="0" t="s">
        <v>223</v>
      </c>
      <c r="Z1935" s="14" t="s">
        <v>138</v>
      </c>
      <c r="AA1935" s="0" t="s">
        <v>224</v>
      </c>
      <c r="AB1935" s="14" t="s">
        <v>138</v>
      </c>
      <c r="AD1935" s="0" t="s">
        <v>17</v>
      </c>
      <c r="AF1935" s="0">
        <v>0</v>
      </c>
      <c r="AG1935" s="0">
        <v>0</v>
      </c>
      <c r="AH1935" s="0" t="s">
        <v>140</v>
      </c>
      <c r="AI1935" s="0" t="s">
        <v>479</v>
      </c>
      <c r="AK1935" s="0" t="s">
        <v>2044</v>
      </c>
      <c r="AL1935" s="14"/>
      <c r="AN1935" s="14"/>
      <c r="AQ1935" s="0" t="s">
        <v>130</v>
      </c>
      <c r="AR1935" s="0" t="s">
        <v>130</v>
      </c>
      <c r="AS1935" s="0" t="s">
        <v>130</v>
      </c>
      <c r="AT1935" s="0" t="s">
        <v>130</v>
      </c>
      <c r="AU1935" s="0" t="s">
        <v>130</v>
      </c>
      <c r="AV1935" s="0" t="s">
        <v>130</v>
      </c>
      <c r="AW1935" s="0" t="s">
        <v>141</v>
      </c>
      <c r="AX1935" s="0" t="s">
        <v>130</v>
      </c>
      <c r="AY1935" s="0" t="s">
        <v>141</v>
      </c>
      <c r="AZ1935" s="0" t="s">
        <v>130</v>
      </c>
      <c r="BA1935" s="0" t="s">
        <v>130</v>
      </c>
      <c r="BB1935" s="0" t="s">
        <v>130</v>
      </c>
      <c r="BC1935" s="0" t="s">
        <v>141</v>
      </c>
      <c r="BD1935" s="0" t="s">
        <v>130</v>
      </c>
      <c r="BE1935" s="0" t="s">
        <v>130</v>
      </c>
      <c r="BF1935" s="0" t="s">
        <v>130</v>
      </c>
      <c r="BG1935" s="0" t="s">
        <v>130</v>
      </c>
      <c r="BH1935" s="0" t="s">
        <v>141</v>
      </c>
      <c r="BI1935" s="0" t="s">
        <v>141</v>
      </c>
      <c r="BJ1935" s="0" t="s">
        <v>141</v>
      </c>
      <c r="BK1935" s="0" t="s">
        <v>130</v>
      </c>
      <c r="BL1935" s="0" t="s">
        <v>130</v>
      </c>
      <c r="BM1935" s="0" t="s">
        <v>130</v>
      </c>
      <c r="BN1935" s="0" t="s">
        <v>130</v>
      </c>
      <c r="BO1935" s="0" t="s">
        <v>130</v>
      </c>
      <c r="BP1935" s="0" t="s">
        <v>130</v>
      </c>
      <c r="BQ1935" s="0" t="s">
        <v>130</v>
      </c>
      <c r="BR1935" s="0" t="s">
        <v>130</v>
      </c>
      <c r="BS1935" s="0" t="s">
        <v>130</v>
      </c>
      <c r="BT1935" s="0" t="s">
        <v>130</v>
      </c>
      <c r="BU1935" s="0" t="s">
        <v>130</v>
      </c>
      <c r="BV1935" s="0" t="s">
        <v>141</v>
      </c>
      <c r="BW1935" s="0" t="s">
        <v>141</v>
      </c>
      <c r="BX1935" s="0" t="s">
        <v>130</v>
      </c>
      <c r="BY1935" s="0" t="s">
        <v>130</v>
      </c>
      <c r="BZ1935" s="0" t="s">
        <v>130</v>
      </c>
      <c r="CA1935" s="0" t="s">
        <v>130</v>
      </c>
      <c r="CB1935" s="0" t="s">
        <v>130</v>
      </c>
      <c r="CC1935" s="0" t="s">
        <v>130</v>
      </c>
      <c r="CD1935" s="0" t="s">
        <v>130</v>
      </c>
      <c r="CE1935" s="0" t="s">
        <v>130</v>
      </c>
      <c r="CF1935" s="0" t="s">
        <v>130</v>
      </c>
      <c r="CG1935" s="0" t="s">
        <v>130</v>
      </c>
      <c r="CH1935" s="0" t="s">
        <v>130</v>
      </c>
      <c r="CI1935" s="0" t="s">
        <v>130</v>
      </c>
      <c r="CJ1935" s="0" t="s">
        <v>130</v>
      </c>
      <c r="CK1935" s="0" t="s">
        <v>130</v>
      </c>
      <c r="CL1935" s="0" t="s">
        <v>130</v>
      </c>
      <c r="CM1935" s="0" t="s">
        <v>130</v>
      </c>
      <c r="CN1935" s="0" t="s">
        <v>130</v>
      </c>
      <c r="CO1935" s="0" t="s">
        <v>130</v>
      </c>
      <c r="CP1935" s="0" t="s">
        <v>130</v>
      </c>
      <c r="CQ1935" s="0" t="s">
        <v>130</v>
      </c>
      <c r="CR1935" s="0" t="s">
        <v>130</v>
      </c>
      <c r="CS1935" s="0" t="s">
        <v>130</v>
      </c>
      <c r="CT1935" s="0" t="s">
        <v>5455</v>
      </c>
    </row>
    <row r="1936">
      <c r="A1936" s="14">
        <v>100315</v>
      </c>
      <c r="B1936" s="0" t="s">
        <v>539</v>
      </c>
      <c r="C1936" s="16">
        <f>HYPERLINK("https://eosportal.federatedhermes.com/companies/Q29tcGFueQppNzcwNTA=", "Chevron Corp")</f>
      </c>
      <c r="D1936" s="0" t="s">
        <v>23</v>
      </c>
      <c r="E1936" s="0" t="s">
        <v>5274</v>
      </c>
      <c r="F1936" s="16">
        <f>HYPERLINK("https://eosportal.federatedhermes.com/engagements/RW5nYWdlbWVudAppMzE1MzY=", "Energy Efficiency Strategy")</f>
      </c>
      <c r="G1936" s="14" t="s">
        <v>5275</v>
      </c>
      <c r="H1936" s="0" t="s">
        <v>141</v>
      </c>
      <c r="I1936" s="14" t="s">
        <v>191</v>
      </c>
      <c r="J1936" s="0" t="s">
        <v>197</v>
      </c>
      <c r="K1936" s="0" t="s">
        <v>198</v>
      </c>
      <c r="L1936" s="0" t="s">
        <v>220</v>
      </c>
      <c r="M1936" s="0" t="s">
        <v>135</v>
      </c>
      <c r="N1936" s="0" t="s">
        <v>136</v>
      </c>
      <c r="O1936" s="0" t="s">
        <v>542</v>
      </c>
      <c r="Q1936" s="0" t="s">
        <v>130</v>
      </c>
      <c r="R1936" s="0" t="s">
        <v>130</v>
      </c>
      <c r="S1936" s="14">
        <v>0</v>
      </c>
      <c r="T1936" s="0" t="s">
        <v>597</v>
      </c>
      <c r="U1936" s="0" t="s">
        <v>221</v>
      </c>
      <c r="V1936" s="14" t="s">
        <v>597</v>
      </c>
      <c r="W1936" s="0" t="s">
        <v>221</v>
      </c>
      <c r="X1936" s="14" t="s">
        <v>2270</v>
      </c>
      <c r="Y1936" s="0" t="s">
        <v>223</v>
      </c>
      <c r="Z1936" s="14" t="s">
        <v>138</v>
      </c>
      <c r="AA1936" s="0" t="s">
        <v>224</v>
      </c>
      <c r="AB1936" s="14" t="s">
        <v>138</v>
      </c>
      <c r="AD1936" s="0" t="s">
        <v>17</v>
      </c>
      <c r="AF1936" s="0">
        <v>0</v>
      </c>
      <c r="AG1936" s="0">
        <v>0</v>
      </c>
      <c r="AH1936" s="0" t="s">
        <v>140</v>
      </c>
      <c r="AI1936" s="0" t="s">
        <v>479</v>
      </c>
      <c r="AL1936" s="14"/>
      <c r="AN1936" s="14"/>
      <c r="AQ1936" s="0" t="s">
        <v>130</v>
      </c>
      <c r="AR1936" s="0" t="s">
        <v>130</v>
      </c>
      <c r="AS1936" s="0" t="s">
        <v>130</v>
      </c>
      <c r="AT1936" s="0" t="s">
        <v>130</v>
      </c>
      <c r="AU1936" s="0" t="s">
        <v>130</v>
      </c>
      <c r="AV1936" s="0" t="s">
        <v>130</v>
      </c>
      <c r="AW1936" s="0" t="s">
        <v>141</v>
      </c>
      <c r="AX1936" s="0" t="s">
        <v>130</v>
      </c>
      <c r="AY1936" s="0" t="s">
        <v>141</v>
      </c>
      <c r="AZ1936" s="0" t="s">
        <v>130</v>
      </c>
      <c r="BA1936" s="0" t="s">
        <v>130</v>
      </c>
      <c r="BB1936" s="0" t="s">
        <v>130</v>
      </c>
      <c r="BC1936" s="0" t="s">
        <v>141</v>
      </c>
      <c r="BD1936" s="0" t="s">
        <v>130</v>
      </c>
      <c r="BE1936" s="0" t="s">
        <v>130</v>
      </c>
      <c r="BF1936" s="0" t="s">
        <v>130</v>
      </c>
      <c r="BG1936" s="0" t="s">
        <v>130</v>
      </c>
      <c r="BH1936" s="0" t="s">
        <v>141</v>
      </c>
      <c r="BI1936" s="0" t="s">
        <v>141</v>
      </c>
      <c r="BJ1936" s="0" t="s">
        <v>141</v>
      </c>
      <c r="BK1936" s="0" t="s">
        <v>130</v>
      </c>
      <c r="BL1936" s="0" t="s">
        <v>130</v>
      </c>
      <c r="BM1936" s="0" t="s">
        <v>130</v>
      </c>
      <c r="BN1936" s="0" t="s">
        <v>130</v>
      </c>
      <c r="BO1936" s="0" t="s">
        <v>130</v>
      </c>
      <c r="BP1936" s="0" t="s">
        <v>130</v>
      </c>
      <c r="BQ1936" s="0" t="s">
        <v>130</v>
      </c>
      <c r="BR1936" s="0" t="s">
        <v>130</v>
      </c>
      <c r="BS1936" s="0" t="s">
        <v>130</v>
      </c>
      <c r="BT1936" s="0" t="s">
        <v>130</v>
      </c>
      <c r="BU1936" s="0" t="s">
        <v>130</v>
      </c>
      <c r="BV1936" s="0" t="s">
        <v>141</v>
      </c>
      <c r="BW1936" s="0" t="s">
        <v>141</v>
      </c>
      <c r="BX1936" s="0" t="s">
        <v>130</v>
      </c>
      <c r="BY1936" s="0" t="s">
        <v>130</v>
      </c>
      <c r="BZ1936" s="0" t="s">
        <v>130</v>
      </c>
      <c r="CA1936" s="0" t="s">
        <v>130</v>
      </c>
      <c r="CB1936" s="0" t="s">
        <v>130</v>
      </c>
      <c r="CC1936" s="0" t="s">
        <v>130</v>
      </c>
      <c r="CD1936" s="0" t="s">
        <v>130</v>
      </c>
      <c r="CE1936" s="0" t="s">
        <v>130</v>
      </c>
      <c r="CF1936" s="0" t="s">
        <v>130</v>
      </c>
      <c r="CG1936" s="0" t="s">
        <v>130</v>
      </c>
      <c r="CH1936" s="0" t="s">
        <v>130</v>
      </c>
      <c r="CI1936" s="0" t="s">
        <v>130</v>
      </c>
      <c r="CJ1936" s="0" t="s">
        <v>130</v>
      </c>
      <c r="CK1936" s="0" t="s">
        <v>130</v>
      </c>
      <c r="CL1936" s="0" t="s">
        <v>130</v>
      </c>
      <c r="CM1936" s="0" t="s">
        <v>130</v>
      </c>
      <c r="CN1936" s="0" t="s">
        <v>130</v>
      </c>
      <c r="CO1936" s="0" t="s">
        <v>130</v>
      </c>
      <c r="CP1936" s="0" t="s">
        <v>130</v>
      </c>
      <c r="CQ1936" s="0" t="s">
        <v>130</v>
      </c>
      <c r="CR1936" s="0" t="s">
        <v>130</v>
      </c>
      <c r="CS1936" s="0" t="s">
        <v>130</v>
      </c>
      <c r="CT1936" s="0" t="s">
        <v>5456</v>
      </c>
    </row>
    <row r="1937">
      <c r="A1937" s="14">
        <v>101092</v>
      </c>
      <c r="B1937" s="0" t="s">
        <v>1319</v>
      </c>
      <c r="C1937" s="16">
        <f>HYPERLINK("https://eosportal.federatedhermes.com/companies/Q29tcGFueQppNzc5MzU=", "Wells Fargo &amp; Co")</f>
      </c>
      <c r="D1937" s="0" t="s">
        <v>23</v>
      </c>
      <c r="E1937" s="0" t="s">
        <v>5457</v>
      </c>
      <c r="F1937" s="16">
        <f>HYPERLINK("https://eosportal.federatedhermes.com/engagements/RW5nYWdlbWVudAppMzE1Mzg=", "Living wages in value chain")</f>
      </c>
      <c r="G1937" s="14" t="s">
        <v>5458</v>
      </c>
      <c r="H1937" s="0" t="s">
        <v>141</v>
      </c>
      <c r="I1937" s="14" t="s">
        <v>191</v>
      </c>
      <c r="J1937" s="0" t="s">
        <v>153</v>
      </c>
      <c r="K1937" s="0" t="s">
        <v>154</v>
      </c>
      <c r="L1937" s="0" t="s">
        <v>306</v>
      </c>
      <c r="M1937" s="0" t="s">
        <v>135</v>
      </c>
      <c r="N1937" s="0" t="s">
        <v>136</v>
      </c>
      <c r="O1937" s="0" t="s">
        <v>238</v>
      </c>
      <c r="Q1937" s="0" t="s">
        <v>130</v>
      </c>
      <c r="R1937" s="0" t="s">
        <v>130</v>
      </c>
      <c r="S1937" s="14">
        <v>0</v>
      </c>
      <c r="T1937" s="0" t="s">
        <v>2270</v>
      </c>
      <c r="U1937" s="0" t="s">
        <v>221</v>
      </c>
      <c r="V1937" s="14" t="s">
        <v>2270</v>
      </c>
      <c r="W1937" s="0" t="s">
        <v>221</v>
      </c>
      <c r="X1937" s="14" t="s">
        <v>2629</v>
      </c>
      <c r="Y1937" s="0" t="s">
        <v>223</v>
      </c>
      <c r="Z1937" s="14" t="s">
        <v>138</v>
      </c>
      <c r="AA1937" s="0" t="s">
        <v>224</v>
      </c>
      <c r="AB1937" s="14" t="s">
        <v>138</v>
      </c>
      <c r="AD1937" s="0" t="s">
        <v>17</v>
      </c>
      <c r="AF1937" s="0">
        <v>0</v>
      </c>
      <c r="AG1937" s="0">
        <v>0</v>
      </c>
      <c r="AH1937" s="0" t="s">
        <v>140</v>
      </c>
      <c r="AI1937" s="0" t="s">
        <v>479</v>
      </c>
      <c r="AL1937" s="14"/>
      <c r="AN1937" s="14"/>
      <c r="AQ1937" s="0" t="s">
        <v>141</v>
      </c>
      <c r="AR1937" s="0" t="s">
        <v>130</v>
      </c>
      <c r="AS1937" s="0" t="s">
        <v>130</v>
      </c>
      <c r="AT1937" s="0" t="s">
        <v>130</v>
      </c>
      <c r="AU1937" s="0" t="s">
        <v>130</v>
      </c>
      <c r="AV1937" s="0" t="s">
        <v>130</v>
      </c>
      <c r="AW1937" s="0" t="s">
        <v>130</v>
      </c>
      <c r="AX1937" s="0" t="s">
        <v>141</v>
      </c>
      <c r="AY1937" s="0" t="s">
        <v>130</v>
      </c>
      <c r="AZ1937" s="0" t="s">
        <v>141</v>
      </c>
      <c r="BA1937" s="0" t="s">
        <v>130</v>
      </c>
      <c r="BB1937" s="0" t="s">
        <v>130</v>
      </c>
      <c r="BC1937" s="0" t="s">
        <v>130</v>
      </c>
      <c r="BD1937" s="0" t="s">
        <v>130</v>
      </c>
      <c r="BE1937" s="0" t="s">
        <v>130</v>
      </c>
      <c r="BF1937" s="0" t="s">
        <v>130</v>
      </c>
      <c r="BG1937" s="0" t="s">
        <v>130</v>
      </c>
      <c r="BH1937" s="0" t="s">
        <v>130</v>
      </c>
      <c r="BI1937" s="0" t="s">
        <v>130</v>
      </c>
      <c r="BJ1937" s="0" t="s">
        <v>130</v>
      </c>
      <c r="BK1937" s="0" t="s">
        <v>130</v>
      </c>
      <c r="BL1937" s="0" t="s">
        <v>130</v>
      </c>
      <c r="BM1937" s="0" t="s">
        <v>130</v>
      </c>
      <c r="BN1937" s="0" t="s">
        <v>130</v>
      </c>
      <c r="BO1937" s="0" t="s">
        <v>130</v>
      </c>
      <c r="BP1937" s="0" t="s">
        <v>130</v>
      </c>
      <c r="BQ1937" s="0" t="s">
        <v>130</v>
      </c>
      <c r="BR1937" s="0" t="s">
        <v>130</v>
      </c>
      <c r="BS1937" s="0" t="s">
        <v>130</v>
      </c>
      <c r="BT1937" s="0" t="s">
        <v>130</v>
      </c>
      <c r="BU1937" s="0" t="s">
        <v>130</v>
      </c>
      <c r="BV1937" s="0" t="s">
        <v>130</v>
      </c>
      <c r="BW1937" s="0" t="s">
        <v>130</v>
      </c>
      <c r="BX1937" s="0" t="s">
        <v>130</v>
      </c>
      <c r="BY1937" s="0" t="s">
        <v>130</v>
      </c>
      <c r="BZ1937" s="0" t="s">
        <v>130</v>
      </c>
      <c r="CA1937" s="0" t="s">
        <v>130</v>
      </c>
      <c r="CB1937" s="0" t="s">
        <v>130</v>
      </c>
      <c r="CC1937" s="0" t="s">
        <v>130</v>
      </c>
      <c r="CD1937" s="0" t="s">
        <v>130</v>
      </c>
      <c r="CE1937" s="0" t="s">
        <v>130</v>
      </c>
      <c r="CF1937" s="0" t="s">
        <v>130</v>
      </c>
      <c r="CG1937" s="0" t="s">
        <v>130</v>
      </c>
      <c r="CH1937" s="0" t="s">
        <v>130</v>
      </c>
      <c r="CI1937" s="0" t="s">
        <v>130</v>
      </c>
      <c r="CJ1937" s="0" t="s">
        <v>130</v>
      </c>
      <c r="CK1937" s="0" t="s">
        <v>130</v>
      </c>
      <c r="CL1937" s="0" t="s">
        <v>130</v>
      </c>
      <c r="CM1937" s="0" t="s">
        <v>130</v>
      </c>
      <c r="CN1937" s="0" t="s">
        <v>130</v>
      </c>
      <c r="CO1937" s="0" t="s">
        <v>130</v>
      </c>
      <c r="CP1937" s="0" t="s">
        <v>130</v>
      </c>
      <c r="CQ1937" s="0" t="s">
        <v>130</v>
      </c>
      <c r="CR1937" s="0" t="s">
        <v>130</v>
      </c>
      <c r="CS1937" s="0" t="s">
        <v>130</v>
      </c>
      <c r="CT1937" s="0" t="s">
        <v>5459</v>
      </c>
    </row>
    <row r="1938">
      <c r="A1938" s="14">
        <v>100995</v>
      </c>
      <c r="B1938" s="0" t="s">
        <v>1122</v>
      </c>
      <c r="C1938" s="16">
        <f>HYPERLINK("https://eosportal.federatedhermes.com/companies/Q29tcGFueQppNDQ3Mjc=", "Micron Technology Inc")</f>
      </c>
      <c r="D1938" s="0" t="s">
        <v>23</v>
      </c>
      <c r="E1938" s="0" t="s">
        <v>5460</v>
      </c>
      <c r="F1938" s="16">
        <f>HYPERLINK("https://eosportal.federatedhermes.com/engagements/RW5nYWdlbWVudAppMzE1NTE=", "Supply chain - working conditions")</f>
      </c>
      <c r="G1938" s="14" t="s">
        <v>5461</v>
      </c>
      <c r="H1938" s="0" t="s">
        <v>141</v>
      </c>
      <c r="I1938" s="14" t="s">
        <v>191</v>
      </c>
      <c r="J1938" s="0" t="s">
        <v>153</v>
      </c>
      <c r="K1938" s="0" t="s">
        <v>243</v>
      </c>
      <c r="L1938" s="0" t="s">
        <v>244</v>
      </c>
      <c r="M1938" s="0" t="s">
        <v>135</v>
      </c>
      <c r="N1938" s="0" t="s">
        <v>136</v>
      </c>
      <c r="O1938" s="0" t="s">
        <v>1125</v>
      </c>
      <c r="Q1938" s="0" t="s">
        <v>130</v>
      </c>
      <c r="R1938" s="0" t="s">
        <v>130</v>
      </c>
      <c r="S1938" s="14">
        <v>0</v>
      </c>
      <c r="T1938" s="0" t="s">
        <v>2270</v>
      </c>
      <c r="U1938" s="0" t="s">
        <v>221</v>
      </c>
      <c r="V1938" s="14" t="s">
        <v>2270</v>
      </c>
      <c r="W1938" s="0" t="s">
        <v>221</v>
      </c>
      <c r="X1938" s="14" t="s">
        <v>2270</v>
      </c>
      <c r="Y1938" s="0" t="s">
        <v>221</v>
      </c>
      <c r="Z1938" s="14" t="s">
        <v>3562</v>
      </c>
      <c r="AA1938" s="0" t="s">
        <v>223</v>
      </c>
      <c r="AB1938" s="14" t="s">
        <v>138</v>
      </c>
      <c r="AD1938" s="0" t="s">
        <v>20</v>
      </c>
      <c r="AF1938" s="0">
        <v>0</v>
      </c>
      <c r="AG1938" s="0">
        <v>0</v>
      </c>
      <c r="AH1938" s="0" t="s">
        <v>140</v>
      </c>
      <c r="AI1938" s="0" t="s">
        <v>479</v>
      </c>
      <c r="AL1938" s="14"/>
      <c r="AN1938" s="14"/>
      <c r="AQ1938" s="0" t="s">
        <v>130</v>
      </c>
      <c r="AR1938" s="0" t="s">
        <v>130</v>
      </c>
      <c r="AS1938" s="0" t="s">
        <v>130</v>
      </c>
      <c r="AT1938" s="0" t="s">
        <v>130</v>
      </c>
      <c r="AU1938" s="0" t="s">
        <v>130</v>
      </c>
      <c r="AV1938" s="0" t="s">
        <v>130</v>
      </c>
      <c r="AW1938" s="0" t="s">
        <v>130</v>
      </c>
      <c r="AX1938" s="0" t="s">
        <v>141</v>
      </c>
      <c r="AY1938" s="0" t="s">
        <v>130</v>
      </c>
      <c r="AZ1938" s="0" t="s">
        <v>130</v>
      </c>
      <c r="BA1938" s="0" t="s">
        <v>130</v>
      </c>
      <c r="BB1938" s="0" t="s">
        <v>130</v>
      </c>
      <c r="BC1938" s="0" t="s">
        <v>130</v>
      </c>
      <c r="BD1938" s="0" t="s">
        <v>130</v>
      </c>
      <c r="BE1938" s="0" t="s">
        <v>130</v>
      </c>
      <c r="BF1938" s="0" t="s">
        <v>130</v>
      </c>
      <c r="BG1938" s="0" t="s">
        <v>130</v>
      </c>
      <c r="BH1938" s="0" t="s">
        <v>130</v>
      </c>
      <c r="BI1938" s="0" t="s">
        <v>130</v>
      </c>
      <c r="BJ1938" s="0" t="s">
        <v>130</v>
      </c>
      <c r="BK1938" s="0" t="s">
        <v>130</v>
      </c>
      <c r="BL1938" s="0" t="s">
        <v>130</v>
      </c>
      <c r="BM1938" s="0" t="s">
        <v>130</v>
      </c>
      <c r="BN1938" s="0" t="s">
        <v>130</v>
      </c>
      <c r="BO1938" s="0" t="s">
        <v>130</v>
      </c>
      <c r="BP1938" s="0" t="s">
        <v>130</v>
      </c>
      <c r="BQ1938" s="0" t="s">
        <v>130</v>
      </c>
      <c r="BR1938" s="0" t="s">
        <v>130</v>
      </c>
      <c r="BS1938" s="0" t="s">
        <v>130</v>
      </c>
      <c r="BT1938" s="0" t="s">
        <v>130</v>
      </c>
      <c r="BU1938" s="0" t="s">
        <v>130</v>
      </c>
      <c r="BV1938" s="0" t="s">
        <v>130</v>
      </c>
      <c r="BW1938" s="0" t="s">
        <v>130</v>
      </c>
      <c r="BX1938" s="0" t="s">
        <v>130</v>
      </c>
      <c r="BY1938" s="0" t="s">
        <v>130</v>
      </c>
      <c r="BZ1938" s="0" t="s">
        <v>130</v>
      </c>
      <c r="CA1938" s="0" t="s">
        <v>130</v>
      </c>
      <c r="CB1938" s="0" t="s">
        <v>130</v>
      </c>
      <c r="CC1938" s="0" t="s">
        <v>130</v>
      </c>
      <c r="CD1938" s="0" t="s">
        <v>130</v>
      </c>
      <c r="CE1938" s="0" t="s">
        <v>130</v>
      </c>
      <c r="CF1938" s="0" t="s">
        <v>130</v>
      </c>
      <c r="CG1938" s="0" t="s">
        <v>130</v>
      </c>
      <c r="CH1938" s="0" t="s">
        <v>130</v>
      </c>
      <c r="CI1938" s="0" t="s">
        <v>130</v>
      </c>
      <c r="CJ1938" s="0" t="s">
        <v>130</v>
      </c>
      <c r="CK1938" s="0" t="s">
        <v>130</v>
      </c>
      <c r="CL1938" s="0" t="s">
        <v>130</v>
      </c>
      <c r="CM1938" s="0" t="s">
        <v>130</v>
      </c>
      <c r="CN1938" s="0" t="s">
        <v>130</v>
      </c>
      <c r="CO1938" s="0" t="s">
        <v>130</v>
      </c>
      <c r="CP1938" s="0" t="s">
        <v>130</v>
      </c>
      <c r="CQ1938" s="0" t="s">
        <v>130</v>
      </c>
      <c r="CR1938" s="0" t="s">
        <v>130</v>
      </c>
      <c r="CS1938" s="0" t="s">
        <v>130</v>
      </c>
      <c r="CT1938" s="0" t="s">
        <v>5462</v>
      </c>
    </row>
    <row r="1939">
      <c r="A1939" s="14">
        <v>111124</v>
      </c>
      <c r="B1939" s="0" t="s">
        <v>316</v>
      </c>
      <c r="C1939" s="16">
        <f>HYPERLINK("https://eosportal.federatedhermes.com/companies/Q29tcGFueQppNzY3MDM=", "Ashtead Group PLC")</f>
      </c>
      <c r="D1939" s="0" t="s">
        <v>23</v>
      </c>
      <c r="E1939" s="0" t="s">
        <v>317</v>
      </c>
      <c r="F1939" s="16">
        <f>HYPERLINK("https://eosportal.federatedhermes.com/engagements/RW5nYWdlbWVudAppMzE1NzI=", "Remuneration policy")</f>
      </c>
      <c r="G1939" s="14" t="s">
        <v>5463</v>
      </c>
      <c r="H1939" s="0" t="s">
        <v>130</v>
      </c>
      <c r="I1939" s="14" t="s">
        <v>319</v>
      </c>
      <c r="J1939" s="0" t="s">
        <v>145</v>
      </c>
      <c r="K1939" s="0" t="s">
        <v>146</v>
      </c>
      <c r="L1939" s="0" t="s">
        <v>147</v>
      </c>
      <c r="M1939" s="0" t="s">
        <v>272</v>
      </c>
      <c r="N1939" s="0" t="s">
        <v>273</v>
      </c>
      <c r="O1939" s="0" t="s">
        <v>176</v>
      </c>
      <c r="Q1939" s="0" t="s">
        <v>141</v>
      </c>
      <c r="R1939" s="0" t="s">
        <v>141</v>
      </c>
      <c r="S1939" s="14">
        <v>1</v>
      </c>
      <c r="T1939" s="0" t="s">
        <v>597</v>
      </c>
      <c r="U1939" s="0" t="s">
        <v>221</v>
      </c>
      <c r="V1939" s="14" t="s">
        <v>597</v>
      </c>
      <c r="W1939" s="0" t="s">
        <v>221</v>
      </c>
      <c r="X1939" s="14" t="s">
        <v>597</v>
      </c>
      <c r="Y1939" s="0" t="s">
        <v>221</v>
      </c>
      <c r="Z1939" s="14" t="s">
        <v>2629</v>
      </c>
      <c r="AA1939" s="0" t="s">
        <v>221</v>
      </c>
      <c r="AB1939" s="14" t="s">
        <v>361</v>
      </c>
      <c r="AC1939" s="0" t="s">
        <v>20</v>
      </c>
      <c r="AD1939" s="0" t="s">
        <v>362</v>
      </c>
      <c r="AE1939" s="0" t="s">
        <v>363</v>
      </c>
      <c r="AF1939" s="0">
        <v>1</v>
      </c>
      <c r="AG1939" s="0">
        <v>0</v>
      </c>
      <c r="AH1939" s="0" t="s">
        <v>140</v>
      </c>
      <c r="AI1939" s="0" t="s">
        <v>598</v>
      </c>
      <c r="AJ1939" s="0" t="s">
        <v>364</v>
      </c>
      <c r="AK1939" s="0" t="s">
        <v>1470</v>
      </c>
      <c r="AL1939" s="14"/>
      <c r="AM1939" s="0" t="s">
        <v>580</v>
      </c>
      <c r="AN1939" s="14"/>
      <c r="AQ1939" s="0" t="s">
        <v>130</v>
      </c>
      <c r="AR1939" s="0" t="s">
        <v>130</v>
      </c>
      <c r="AS1939" s="0" t="s">
        <v>130</v>
      </c>
      <c r="AT1939" s="0" t="s">
        <v>130</v>
      </c>
      <c r="AU1939" s="0" t="s">
        <v>130</v>
      </c>
      <c r="AV1939" s="0" t="s">
        <v>130</v>
      </c>
      <c r="AW1939" s="0" t="s">
        <v>130</v>
      </c>
      <c r="AX1939" s="0" t="s">
        <v>130</v>
      </c>
      <c r="AY1939" s="0" t="s">
        <v>130</v>
      </c>
      <c r="AZ1939" s="0" t="s">
        <v>130</v>
      </c>
      <c r="BA1939" s="0" t="s">
        <v>130</v>
      </c>
      <c r="BB1939" s="0" t="s">
        <v>130</v>
      </c>
      <c r="BC1939" s="0" t="s">
        <v>130</v>
      </c>
      <c r="BD1939" s="0" t="s">
        <v>130</v>
      </c>
      <c r="BE1939" s="0" t="s">
        <v>130</v>
      </c>
      <c r="BF1939" s="0" t="s">
        <v>130</v>
      </c>
      <c r="BG1939" s="0" t="s">
        <v>130</v>
      </c>
      <c r="BH1939" s="0" t="s">
        <v>130</v>
      </c>
      <c r="BI1939" s="0" t="s">
        <v>130</v>
      </c>
      <c r="BJ1939" s="0" t="s">
        <v>130</v>
      </c>
      <c r="BK1939" s="0" t="s">
        <v>130</v>
      </c>
      <c r="BL1939" s="0" t="s">
        <v>130</v>
      </c>
      <c r="BM1939" s="0" t="s">
        <v>130</v>
      </c>
      <c r="BN1939" s="0" t="s">
        <v>130</v>
      </c>
      <c r="BO1939" s="0" t="s">
        <v>130</v>
      </c>
      <c r="BP1939" s="0" t="s">
        <v>130</v>
      </c>
      <c r="BQ1939" s="0" t="s">
        <v>130</v>
      </c>
      <c r="BR1939" s="0" t="s">
        <v>130</v>
      </c>
      <c r="BS1939" s="0" t="s">
        <v>130</v>
      </c>
      <c r="BT1939" s="0" t="s">
        <v>130</v>
      </c>
      <c r="BU1939" s="0" t="s">
        <v>130</v>
      </c>
      <c r="BV1939" s="0" t="s">
        <v>130</v>
      </c>
      <c r="BW1939" s="0" t="s">
        <v>130</v>
      </c>
      <c r="BX1939" s="0" t="s">
        <v>130</v>
      </c>
      <c r="BY1939" s="0" t="s">
        <v>130</v>
      </c>
      <c r="BZ1939" s="0" t="s">
        <v>130</v>
      </c>
      <c r="CA1939" s="0" t="s">
        <v>130</v>
      </c>
      <c r="CB1939" s="0" t="s">
        <v>130</v>
      </c>
      <c r="CC1939" s="0" t="s">
        <v>130</v>
      </c>
      <c r="CD1939" s="0" t="s">
        <v>130</v>
      </c>
      <c r="CE1939" s="0" t="s">
        <v>130</v>
      </c>
      <c r="CF1939" s="0" t="s">
        <v>130</v>
      </c>
      <c r="CG1939" s="0" t="s">
        <v>130</v>
      </c>
      <c r="CH1939" s="0" t="s">
        <v>130</v>
      </c>
      <c r="CI1939" s="0" t="s">
        <v>130</v>
      </c>
      <c r="CJ1939" s="0" t="s">
        <v>130</v>
      </c>
      <c r="CK1939" s="0" t="s">
        <v>130</v>
      </c>
      <c r="CL1939" s="0" t="s">
        <v>130</v>
      </c>
      <c r="CM1939" s="0" t="s">
        <v>130</v>
      </c>
      <c r="CN1939" s="0" t="s">
        <v>130</v>
      </c>
      <c r="CO1939" s="0" t="s">
        <v>130</v>
      </c>
      <c r="CP1939" s="0" t="s">
        <v>130</v>
      </c>
      <c r="CQ1939" s="0" t="s">
        <v>130</v>
      </c>
      <c r="CR1939" s="0" t="s">
        <v>130</v>
      </c>
      <c r="CS1939" s="0" t="s">
        <v>130</v>
      </c>
      <c r="CT1939" s="0" t="s">
        <v>5464</v>
      </c>
    </row>
    <row r="1940">
      <c r="A1940" s="14">
        <v>100537</v>
      </c>
      <c r="B1940" s="0" t="s">
        <v>728</v>
      </c>
      <c r="C1940" s="16">
        <f>HYPERLINK("https://eosportal.federatedhermes.com/companies/Q29tcGFueQppNTQ1MDY=", "Equifax Inc")</f>
      </c>
      <c r="D1940" s="0" t="s">
        <v>23</v>
      </c>
      <c r="E1940" s="0" t="s">
        <v>5465</v>
      </c>
      <c r="F1940" s="16">
        <f>HYPERLINK("https://eosportal.federatedhermes.com/engagements/RW5nYWdlbWVudAppMzE1OTA=", "Roadmap to address financial inclusion")</f>
      </c>
      <c r="G1940" s="14" t="s">
        <v>5466</v>
      </c>
      <c r="H1940" s="0" t="s">
        <v>130</v>
      </c>
      <c r="I1940" s="14" t="s">
        <v>131</v>
      </c>
      <c r="J1940" s="0" t="s">
        <v>153</v>
      </c>
      <c r="K1940" s="0" t="s">
        <v>243</v>
      </c>
      <c r="L1940" s="0" t="s">
        <v>292</v>
      </c>
      <c r="M1940" s="0" t="s">
        <v>135</v>
      </c>
      <c r="N1940" s="0" t="s">
        <v>136</v>
      </c>
      <c r="O1940" s="0" t="s">
        <v>176</v>
      </c>
      <c r="Q1940" s="0" t="s">
        <v>141</v>
      </c>
      <c r="R1940" s="0" t="s">
        <v>130</v>
      </c>
      <c r="S1940" s="14">
        <v>1</v>
      </c>
      <c r="T1940" s="0" t="s">
        <v>2270</v>
      </c>
      <c r="U1940" s="0" t="s">
        <v>221</v>
      </c>
      <c r="V1940" s="14" t="s">
        <v>2270</v>
      </c>
      <c r="W1940" s="0" t="s">
        <v>221</v>
      </c>
      <c r="X1940" s="14" t="s">
        <v>2270</v>
      </c>
      <c r="Y1940" s="0" t="s">
        <v>221</v>
      </c>
      <c r="Z1940" s="14" t="s">
        <v>360</v>
      </c>
      <c r="AA1940" s="0" t="s">
        <v>223</v>
      </c>
      <c r="AB1940" s="14" t="s">
        <v>138</v>
      </c>
      <c r="AD1940" s="0" t="s">
        <v>20</v>
      </c>
      <c r="AF1940" s="0">
        <v>0</v>
      </c>
      <c r="AG1940" s="0">
        <v>0</v>
      </c>
      <c r="AH1940" s="0" t="s">
        <v>140</v>
      </c>
      <c r="AI1940" s="0" t="s">
        <v>479</v>
      </c>
      <c r="AK1940" s="0" t="s">
        <v>3996</v>
      </c>
      <c r="AL1940" s="14"/>
      <c r="AN1940" s="14"/>
      <c r="AQ1940" s="0" t="s">
        <v>141</v>
      </c>
      <c r="AR1940" s="0" t="s">
        <v>130</v>
      </c>
      <c r="AS1940" s="0" t="s">
        <v>130</v>
      </c>
      <c r="AT1940" s="0" t="s">
        <v>130</v>
      </c>
      <c r="AU1940" s="0" t="s">
        <v>141</v>
      </c>
      <c r="AV1940" s="0" t="s">
        <v>130</v>
      </c>
      <c r="AW1940" s="0" t="s">
        <v>130</v>
      </c>
      <c r="AX1940" s="0" t="s">
        <v>141</v>
      </c>
      <c r="AY1940" s="0" t="s">
        <v>130</v>
      </c>
      <c r="AZ1940" s="0" t="s">
        <v>130</v>
      </c>
      <c r="BA1940" s="0" t="s">
        <v>130</v>
      </c>
      <c r="BB1940" s="0" t="s">
        <v>130</v>
      </c>
      <c r="BC1940" s="0" t="s">
        <v>130</v>
      </c>
      <c r="BD1940" s="0" t="s">
        <v>130</v>
      </c>
      <c r="BE1940" s="0" t="s">
        <v>130</v>
      </c>
      <c r="BF1940" s="0" t="s">
        <v>130</v>
      </c>
      <c r="BG1940" s="0" t="s">
        <v>130</v>
      </c>
      <c r="BH1940" s="0" t="s">
        <v>130</v>
      </c>
      <c r="BI1940" s="0" t="s">
        <v>130</v>
      </c>
      <c r="BJ1940" s="0" t="s">
        <v>130</v>
      </c>
      <c r="BK1940" s="0" t="s">
        <v>130</v>
      </c>
      <c r="BL1940" s="0" t="s">
        <v>130</v>
      </c>
      <c r="BM1940" s="0" t="s">
        <v>130</v>
      </c>
      <c r="BN1940" s="0" t="s">
        <v>130</v>
      </c>
      <c r="BO1940" s="0" t="s">
        <v>130</v>
      </c>
      <c r="BP1940" s="0" t="s">
        <v>130</v>
      </c>
      <c r="BQ1940" s="0" t="s">
        <v>130</v>
      </c>
      <c r="BR1940" s="0" t="s">
        <v>130</v>
      </c>
      <c r="BS1940" s="0" t="s">
        <v>130</v>
      </c>
      <c r="BT1940" s="0" t="s">
        <v>130</v>
      </c>
      <c r="BU1940" s="0" t="s">
        <v>130</v>
      </c>
      <c r="BV1940" s="0" t="s">
        <v>130</v>
      </c>
      <c r="BW1940" s="0" t="s">
        <v>130</v>
      </c>
      <c r="BX1940" s="0" t="s">
        <v>130</v>
      </c>
      <c r="BY1940" s="0" t="s">
        <v>130</v>
      </c>
      <c r="BZ1940" s="0" t="s">
        <v>130</v>
      </c>
      <c r="CA1940" s="0" t="s">
        <v>130</v>
      </c>
      <c r="CB1940" s="0" t="s">
        <v>130</v>
      </c>
      <c r="CC1940" s="0" t="s">
        <v>130</v>
      </c>
      <c r="CD1940" s="0" t="s">
        <v>130</v>
      </c>
      <c r="CE1940" s="0" t="s">
        <v>130</v>
      </c>
      <c r="CF1940" s="0" t="s">
        <v>130</v>
      </c>
      <c r="CG1940" s="0" t="s">
        <v>130</v>
      </c>
      <c r="CH1940" s="0" t="s">
        <v>130</v>
      </c>
      <c r="CI1940" s="0" t="s">
        <v>130</v>
      </c>
      <c r="CJ1940" s="0" t="s">
        <v>130</v>
      </c>
      <c r="CK1940" s="0" t="s">
        <v>130</v>
      </c>
      <c r="CL1940" s="0" t="s">
        <v>130</v>
      </c>
      <c r="CM1940" s="0" t="s">
        <v>130</v>
      </c>
      <c r="CN1940" s="0" t="s">
        <v>130</v>
      </c>
      <c r="CO1940" s="0" t="s">
        <v>130</v>
      </c>
      <c r="CP1940" s="0" t="s">
        <v>130</v>
      </c>
      <c r="CQ1940" s="0" t="s">
        <v>130</v>
      </c>
      <c r="CR1940" s="0" t="s">
        <v>130</v>
      </c>
      <c r="CS1940" s="0" t="s">
        <v>130</v>
      </c>
      <c r="CT1940" s="0" t="s">
        <v>5467</v>
      </c>
    </row>
    <row r="1941">
      <c r="A1941" s="14">
        <v>107032</v>
      </c>
      <c r="B1941" s="0" t="s">
        <v>2117</v>
      </c>
      <c r="C1941" s="16">
        <f>HYPERLINK("https://eosportal.federatedhermes.com/companies/Q29tcGFueQppNDM5MjE=", "State Street Corp")</f>
      </c>
      <c r="D1941" s="0" t="s">
        <v>25</v>
      </c>
      <c r="E1941" s="0" t="s">
        <v>5468</v>
      </c>
      <c r="F1941" s="16">
        <f>HYPERLINK("https://eosportal.federatedhermes.com/engagements/RW5nYWdlbWVudAppMzE2MDc=", "DEI/AI")</f>
      </c>
      <c r="G1941" s="14" t="s">
        <v>5469</v>
      </c>
      <c r="H1941" s="0" t="s">
        <v>130</v>
      </c>
      <c r="I1941" s="14" t="s">
        <v>319</v>
      </c>
      <c r="J1941" s="0" t="s">
        <v>153</v>
      </c>
      <c r="K1941" s="0" t="s">
        <v>154</v>
      </c>
      <c r="L1941" s="0" t="s">
        <v>268</v>
      </c>
      <c r="M1941" s="0" t="s">
        <v>135</v>
      </c>
      <c r="N1941" s="0" t="s">
        <v>136</v>
      </c>
      <c r="O1941" s="0" t="s">
        <v>238</v>
      </c>
      <c r="Q1941" s="0" t="s">
        <v>141</v>
      </c>
      <c r="R1941" s="0" t="s">
        <v>138</v>
      </c>
      <c r="S1941" s="14">
        <v>3</v>
      </c>
      <c r="T1941" s="0" t="s">
        <v>2270</v>
      </c>
      <c r="U1941" s="0" t="s">
        <v>138</v>
      </c>
      <c r="V1941" s="14" t="s">
        <v>138</v>
      </c>
      <c r="W1941" s="0" t="s">
        <v>138</v>
      </c>
      <c r="X1941" s="14" t="s">
        <v>138</v>
      </c>
      <c r="Y1941" s="0" t="s">
        <v>138</v>
      </c>
      <c r="Z1941" s="14" t="s">
        <v>138</v>
      </c>
      <c r="AA1941" s="0" t="s">
        <v>138</v>
      </c>
      <c r="AB1941" s="14" t="s">
        <v>138</v>
      </c>
      <c r="AD1941" s="0" t="s">
        <v>138</v>
      </c>
      <c r="AF1941" s="0">
        <v>0</v>
      </c>
      <c r="AG1941" s="0">
        <v>0</v>
      </c>
      <c r="AH1941" s="0" t="s">
        <v>140</v>
      </c>
      <c r="AI1941" s="0" t="s">
        <v>138</v>
      </c>
      <c r="AK1941" s="0" t="s">
        <v>584</v>
      </c>
      <c r="AL1941" s="14"/>
      <c r="AN1941" s="14"/>
      <c r="AQ1941" s="0" t="s">
        <v>130</v>
      </c>
      <c r="AR1941" s="0" t="s">
        <v>130</v>
      </c>
      <c r="AS1941" s="0" t="s">
        <v>130</v>
      </c>
      <c r="AT1941" s="0" t="s">
        <v>130</v>
      </c>
      <c r="AU1941" s="0" t="s">
        <v>130</v>
      </c>
      <c r="AV1941" s="0" t="s">
        <v>130</v>
      </c>
      <c r="AW1941" s="0" t="s">
        <v>130</v>
      </c>
      <c r="AX1941" s="0" t="s">
        <v>130</v>
      </c>
      <c r="AY1941" s="0" t="s">
        <v>130</v>
      </c>
      <c r="AZ1941" s="0" t="s">
        <v>130</v>
      </c>
      <c r="BA1941" s="0" t="s">
        <v>130</v>
      </c>
      <c r="BB1941" s="0" t="s">
        <v>130</v>
      </c>
      <c r="BC1941" s="0" t="s">
        <v>130</v>
      </c>
      <c r="BD1941" s="0" t="s">
        <v>130</v>
      </c>
      <c r="BE1941" s="0" t="s">
        <v>130</v>
      </c>
      <c r="BF1941" s="0" t="s">
        <v>130</v>
      </c>
      <c r="BG1941" s="0" t="s">
        <v>130</v>
      </c>
      <c r="BH1941" s="0" t="s">
        <v>130</v>
      </c>
      <c r="BI1941" s="0" t="s">
        <v>130</v>
      </c>
      <c r="BJ1941" s="0" t="s">
        <v>130</v>
      </c>
      <c r="BK1941" s="0" t="s">
        <v>130</v>
      </c>
      <c r="BL1941" s="0" t="s">
        <v>130</v>
      </c>
      <c r="BM1941" s="0" t="s">
        <v>130</v>
      </c>
      <c r="BN1941" s="0" t="s">
        <v>130</v>
      </c>
      <c r="BO1941" s="0" t="s">
        <v>130</v>
      </c>
      <c r="BP1941" s="0" t="s">
        <v>130</v>
      </c>
      <c r="BQ1941" s="0" t="s">
        <v>130</v>
      </c>
      <c r="BR1941" s="0" t="s">
        <v>130</v>
      </c>
      <c r="BS1941" s="0" t="s">
        <v>130</v>
      </c>
      <c r="BT1941" s="0" t="s">
        <v>130</v>
      </c>
      <c r="BU1941" s="0" t="s">
        <v>130</v>
      </c>
      <c r="BV1941" s="0" t="s">
        <v>130</v>
      </c>
      <c r="BW1941" s="0" t="s">
        <v>130</v>
      </c>
      <c r="BX1941" s="0" t="s">
        <v>130</v>
      </c>
      <c r="BY1941" s="0" t="s">
        <v>130</v>
      </c>
      <c r="BZ1941" s="0" t="s">
        <v>130</v>
      </c>
      <c r="CA1941" s="0" t="s">
        <v>130</v>
      </c>
      <c r="CB1941" s="0" t="s">
        <v>130</v>
      </c>
      <c r="CC1941" s="0" t="s">
        <v>130</v>
      </c>
      <c r="CD1941" s="0" t="s">
        <v>130</v>
      </c>
      <c r="CE1941" s="0" t="s">
        <v>130</v>
      </c>
      <c r="CF1941" s="0" t="s">
        <v>130</v>
      </c>
      <c r="CG1941" s="0" t="s">
        <v>130</v>
      </c>
      <c r="CH1941" s="0" t="s">
        <v>130</v>
      </c>
      <c r="CI1941" s="0" t="s">
        <v>130</v>
      </c>
      <c r="CJ1941" s="0" t="s">
        <v>130</v>
      </c>
      <c r="CK1941" s="0" t="s">
        <v>141</v>
      </c>
      <c r="CL1941" s="0" t="s">
        <v>130</v>
      </c>
      <c r="CM1941" s="0" t="s">
        <v>130</v>
      </c>
      <c r="CN1941" s="0" t="s">
        <v>130</v>
      </c>
      <c r="CO1941" s="0" t="s">
        <v>130</v>
      </c>
      <c r="CP1941" s="0" t="s">
        <v>130</v>
      </c>
      <c r="CQ1941" s="0" t="s">
        <v>130</v>
      </c>
      <c r="CR1941" s="0" t="s">
        <v>130</v>
      </c>
      <c r="CS1941" s="0" t="s">
        <v>130</v>
      </c>
      <c r="CT1941" s="0" t="s">
        <v>5470</v>
      </c>
    </row>
    <row r="1942">
      <c r="A1942" s="14">
        <v>51257766</v>
      </c>
      <c r="B1942" s="0" t="s">
        <v>4538</v>
      </c>
      <c r="C1942" s="16">
        <f>HYPERLINK("https://eosportal.federatedhermes.com/companies/Q29tcGFueQppNTg5NzM=", "Vistra Corp")</f>
      </c>
      <c r="D1942" s="0" t="s">
        <v>25</v>
      </c>
      <c r="E1942" s="0" t="s">
        <v>5471</v>
      </c>
      <c r="F1942" s="16">
        <f>HYPERLINK("https://eosportal.federatedhermes.com/engagements/RW5nYWdlbWVudAppMzE2MTk=", "Capital allocation aligned with 1.5 degree aligned climate strategy")</f>
      </c>
      <c r="G1942" s="14" t="s">
        <v>5472</v>
      </c>
      <c r="H1942" s="0" t="s">
        <v>141</v>
      </c>
      <c r="I1942" s="14" t="s">
        <v>131</v>
      </c>
      <c r="J1942" s="0" t="s">
        <v>197</v>
      </c>
      <c r="K1942" s="0" t="s">
        <v>198</v>
      </c>
      <c r="L1942" s="0" t="s">
        <v>216</v>
      </c>
      <c r="M1942" s="0" t="s">
        <v>135</v>
      </c>
      <c r="N1942" s="0" t="s">
        <v>136</v>
      </c>
      <c r="O1942" s="0" t="s">
        <v>192</v>
      </c>
      <c r="Q1942" s="0" t="s">
        <v>130</v>
      </c>
      <c r="R1942" s="0" t="s">
        <v>138</v>
      </c>
      <c r="S1942" s="14">
        <v>0</v>
      </c>
      <c r="T1942" s="0" t="s">
        <v>2270</v>
      </c>
      <c r="U1942" s="0" t="s">
        <v>138</v>
      </c>
      <c r="V1942" s="14" t="s">
        <v>138</v>
      </c>
      <c r="W1942" s="0" t="s">
        <v>138</v>
      </c>
      <c r="X1942" s="14" t="s">
        <v>138</v>
      </c>
      <c r="Y1942" s="0" t="s">
        <v>138</v>
      </c>
      <c r="Z1942" s="14" t="s">
        <v>138</v>
      </c>
      <c r="AA1942" s="0" t="s">
        <v>138</v>
      </c>
      <c r="AB1942" s="14" t="s">
        <v>138</v>
      </c>
      <c r="AD1942" s="0" t="s">
        <v>138</v>
      </c>
      <c r="AF1942" s="0">
        <v>0</v>
      </c>
      <c r="AG1942" s="0">
        <v>0</v>
      </c>
      <c r="AH1942" s="0" t="s">
        <v>140</v>
      </c>
      <c r="AI1942" s="0" t="s">
        <v>138</v>
      </c>
      <c r="AL1942" s="14"/>
      <c r="AN1942" s="14"/>
      <c r="AQ1942" s="0" t="s">
        <v>130</v>
      </c>
      <c r="AR1942" s="0" t="s">
        <v>130</v>
      </c>
      <c r="AS1942" s="0" t="s">
        <v>130</v>
      </c>
      <c r="AT1942" s="0" t="s">
        <v>130</v>
      </c>
      <c r="AU1942" s="0" t="s">
        <v>130</v>
      </c>
      <c r="AV1942" s="0" t="s">
        <v>130</v>
      </c>
      <c r="AW1942" s="0" t="s">
        <v>141</v>
      </c>
      <c r="AX1942" s="0" t="s">
        <v>130</v>
      </c>
      <c r="AY1942" s="0" t="s">
        <v>130</v>
      </c>
      <c r="AZ1942" s="0" t="s">
        <v>130</v>
      </c>
      <c r="BA1942" s="0" t="s">
        <v>130</v>
      </c>
      <c r="BB1942" s="0" t="s">
        <v>130</v>
      </c>
      <c r="BC1942" s="0" t="s">
        <v>141</v>
      </c>
      <c r="BD1942" s="0" t="s">
        <v>130</v>
      </c>
      <c r="BE1942" s="0" t="s">
        <v>130</v>
      </c>
      <c r="BF1942" s="0" t="s">
        <v>130</v>
      </c>
      <c r="BG1942" s="0" t="s">
        <v>130</v>
      </c>
      <c r="BH1942" s="0" t="s">
        <v>141</v>
      </c>
      <c r="BI1942" s="0" t="s">
        <v>141</v>
      </c>
      <c r="BJ1942" s="0" t="s">
        <v>141</v>
      </c>
      <c r="BK1942" s="0" t="s">
        <v>130</v>
      </c>
      <c r="BL1942" s="0" t="s">
        <v>130</v>
      </c>
      <c r="BM1942" s="0" t="s">
        <v>130</v>
      </c>
      <c r="BN1942" s="0" t="s">
        <v>130</v>
      </c>
      <c r="BO1942" s="0" t="s">
        <v>130</v>
      </c>
      <c r="BP1942" s="0" t="s">
        <v>130</v>
      </c>
      <c r="BQ1942" s="0" t="s">
        <v>130</v>
      </c>
      <c r="BR1942" s="0" t="s">
        <v>130</v>
      </c>
      <c r="BS1942" s="0" t="s">
        <v>130</v>
      </c>
      <c r="BT1942" s="0" t="s">
        <v>130</v>
      </c>
      <c r="BU1942" s="0" t="s">
        <v>130</v>
      </c>
      <c r="BV1942" s="0" t="s">
        <v>141</v>
      </c>
      <c r="BW1942" s="0" t="s">
        <v>141</v>
      </c>
      <c r="BX1942" s="0" t="s">
        <v>130</v>
      </c>
      <c r="BY1942" s="0" t="s">
        <v>130</v>
      </c>
      <c r="BZ1942" s="0" t="s">
        <v>130</v>
      </c>
      <c r="CA1942" s="0" t="s">
        <v>130</v>
      </c>
      <c r="CB1942" s="0" t="s">
        <v>130</v>
      </c>
      <c r="CC1942" s="0" t="s">
        <v>130</v>
      </c>
      <c r="CD1942" s="0" t="s">
        <v>130</v>
      </c>
      <c r="CE1942" s="0" t="s">
        <v>130</v>
      </c>
      <c r="CF1942" s="0" t="s">
        <v>130</v>
      </c>
      <c r="CG1942" s="0" t="s">
        <v>130</v>
      </c>
      <c r="CH1942" s="0" t="s">
        <v>130</v>
      </c>
      <c r="CI1942" s="0" t="s">
        <v>130</v>
      </c>
      <c r="CJ1942" s="0" t="s">
        <v>130</v>
      </c>
      <c r="CK1942" s="0" t="s">
        <v>130</v>
      </c>
      <c r="CL1942" s="0" t="s">
        <v>130</v>
      </c>
      <c r="CM1942" s="0" t="s">
        <v>130</v>
      </c>
      <c r="CN1942" s="0" t="s">
        <v>130</v>
      </c>
      <c r="CO1942" s="0" t="s">
        <v>130</v>
      </c>
      <c r="CP1942" s="0" t="s">
        <v>130</v>
      </c>
      <c r="CQ1942" s="0" t="s">
        <v>130</v>
      </c>
      <c r="CR1942" s="0" t="s">
        <v>130</v>
      </c>
      <c r="CS1942" s="0" t="s">
        <v>130</v>
      </c>
      <c r="CT1942" s="0" t="s">
        <v>5473</v>
      </c>
    </row>
    <row r="1943">
      <c r="A1943" s="14">
        <v>51257766</v>
      </c>
      <c r="B1943" s="0" t="s">
        <v>4538</v>
      </c>
      <c r="C1943" s="16">
        <f>HYPERLINK("https://eosportal.federatedhermes.com/companies/Q29tcGFueQppNTg5NzM=", "Vistra Corp")</f>
      </c>
      <c r="D1943" s="0" t="s">
        <v>25</v>
      </c>
      <c r="E1943" s="0" t="s">
        <v>5474</v>
      </c>
      <c r="F1943" s="16">
        <f>HYPERLINK("https://eosportal.federatedhermes.com/engagements/RW5nYWdlbWVudAppMzE2MjA=", "Improve reporting on physical climate risks")</f>
      </c>
      <c r="G1943" s="14" t="s">
        <v>5475</v>
      </c>
      <c r="H1943" s="0" t="s">
        <v>141</v>
      </c>
      <c r="I1943" s="14" t="s">
        <v>131</v>
      </c>
      <c r="J1943" s="0" t="s">
        <v>197</v>
      </c>
      <c r="K1943" s="0" t="s">
        <v>198</v>
      </c>
      <c r="L1943" s="0" t="s">
        <v>199</v>
      </c>
      <c r="M1943" s="0" t="s">
        <v>135</v>
      </c>
      <c r="N1943" s="0" t="s">
        <v>136</v>
      </c>
      <c r="O1943" s="0" t="s">
        <v>192</v>
      </c>
      <c r="Q1943" s="0" t="s">
        <v>130</v>
      </c>
      <c r="R1943" s="0" t="s">
        <v>138</v>
      </c>
      <c r="S1943" s="14">
        <v>0</v>
      </c>
      <c r="T1943" s="0" t="s">
        <v>2270</v>
      </c>
      <c r="U1943" s="0" t="s">
        <v>138</v>
      </c>
      <c r="V1943" s="14" t="s">
        <v>138</v>
      </c>
      <c r="W1943" s="0" t="s">
        <v>138</v>
      </c>
      <c r="X1943" s="14" t="s">
        <v>138</v>
      </c>
      <c r="Y1943" s="0" t="s">
        <v>138</v>
      </c>
      <c r="Z1943" s="14" t="s">
        <v>138</v>
      </c>
      <c r="AA1943" s="0" t="s">
        <v>138</v>
      </c>
      <c r="AB1943" s="14" t="s">
        <v>138</v>
      </c>
      <c r="AD1943" s="0" t="s">
        <v>138</v>
      </c>
      <c r="AF1943" s="0">
        <v>0</v>
      </c>
      <c r="AG1943" s="0">
        <v>0</v>
      </c>
      <c r="AH1943" s="0" t="s">
        <v>140</v>
      </c>
      <c r="AI1943" s="0" t="s">
        <v>138</v>
      </c>
      <c r="AL1943" s="14"/>
      <c r="AN1943" s="14"/>
      <c r="AQ1943" s="0" t="s">
        <v>130</v>
      </c>
      <c r="AR1943" s="0" t="s">
        <v>130</v>
      </c>
      <c r="AS1943" s="0" t="s">
        <v>130</v>
      </c>
      <c r="AT1943" s="0" t="s">
        <v>130</v>
      </c>
      <c r="AU1943" s="0" t="s">
        <v>130</v>
      </c>
      <c r="AV1943" s="0" t="s">
        <v>130</v>
      </c>
      <c r="AW1943" s="0" t="s">
        <v>130</v>
      </c>
      <c r="AX1943" s="0" t="s">
        <v>130</v>
      </c>
      <c r="AY1943" s="0" t="s">
        <v>130</v>
      </c>
      <c r="AZ1943" s="0" t="s">
        <v>130</v>
      </c>
      <c r="BA1943" s="0" t="s">
        <v>130</v>
      </c>
      <c r="BB1943" s="0" t="s">
        <v>141</v>
      </c>
      <c r="BC1943" s="0" t="s">
        <v>130</v>
      </c>
      <c r="BD1943" s="0" t="s">
        <v>130</v>
      </c>
      <c r="BE1943" s="0" t="s">
        <v>130</v>
      </c>
      <c r="BF1943" s="0" t="s">
        <v>130</v>
      </c>
      <c r="BG1943" s="0" t="s">
        <v>130</v>
      </c>
      <c r="BH1943" s="0" t="s">
        <v>130</v>
      </c>
      <c r="BI1943" s="0" t="s">
        <v>130</v>
      </c>
      <c r="BJ1943" s="0" t="s">
        <v>130</v>
      </c>
      <c r="BK1943" s="0" t="s">
        <v>130</v>
      </c>
      <c r="BL1943" s="0" t="s">
        <v>130</v>
      </c>
      <c r="BM1943" s="0" t="s">
        <v>130</v>
      </c>
      <c r="BN1943" s="0" t="s">
        <v>130</v>
      </c>
      <c r="BO1943" s="0" t="s">
        <v>130</v>
      </c>
      <c r="BP1943" s="0" t="s">
        <v>130</v>
      </c>
      <c r="BQ1943" s="0" t="s">
        <v>130</v>
      </c>
      <c r="BR1943" s="0" t="s">
        <v>130</v>
      </c>
      <c r="BS1943" s="0" t="s">
        <v>130</v>
      </c>
      <c r="BT1943" s="0" t="s">
        <v>130</v>
      </c>
      <c r="BU1943" s="0" t="s">
        <v>130</v>
      </c>
      <c r="BV1943" s="0" t="s">
        <v>130</v>
      </c>
      <c r="BW1943" s="0" t="s">
        <v>130</v>
      </c>
      <c r="BX1943" s="0" t="s">
        <v>130</v>
      </c>
      <c r="BY1943" s="0" t="s">
        <v>130</v>
      </c>
      <c r="BZ1943" s="0" t="s">
        <v>130</v>
      </c>
      <c r="CA1943" s="0" t="s">
        <v>130</v>
      </c>
      <c r="CB1943" s="0" t="s">
        <v>130</v>
      </c>
      <c r="CC1943" s="0" t="s">
        <v>130</v>
      </c>
      <c r="CD1943" s="0" t="s">
        <v>130</v>
      </c>
      <c r="CE1943" s="0" t="s">
        <v>130</v>
      </c>
      <c r="CF1943" s="0" t="s">
        <v>130</v>
      </c>
      <c r="CG1943" s="0" t="s">
        <v>130</v>
      </c>
      <c r="CH1943" s="0" t="s">
        <v>130</v>
      </c>
      <c r="CI1943" s="0" t="s">
        <v>130</v>
      </c>
      <c r="CJ1943" s="0" t="s">
        <v>130</v>
      </c>
      <c r="CK1943" s="0" t="s">
        <v>130</v>
      </c>
      <c r="CL1943" s="0" t="s">
        <v>130</v>
      </c>
      <c r="CM1943" s="0" t="s">
        <v>130</v>
      </c>
      <c r="CN1943" s="0" t="s">
        <v>130</v>
      </c>
      <c r="CO1943" s="0" t="s">
        <v>130</v>
      </c>
      <c r="CP1943" s="0" t="s">
        <v>130</v>
      </c>
      <c r="CQ1943" s="0" t="s">
        <v>130</v>
      </c>
      <c r="CR1943" s="0" t="s">
        <v>130</v>
      </c>
      <c r="CS1943" s="0" t="s">
        <v>130</v>
      </c>
      <c r="CT1943" s="0" t="s">
        <v>5476</v>
      </c>
    </row>
    <row r="1944">
      <c r="A1944" s="14">
        <v>100312</v>
      </c>
      <c r="B1944" s="0" t="s">
        <v>476</v>
      </c>
      <c r="C1944" s="16">
        <f>HYPERLINK("https://eosportal.federatedhermes.com/companies/Q29tcGFueQppNTg5OTQ=", "JPMorgan Chase &amp; Co")</f>
      </c>
      <c r="D1944" s="0" t="s">
        <v>25</v>
      </c>
      <c r="E1944" s="0" t="s">
        <v>5477</v>
      </c>
      <c r="F1944" s="16">
        <f>HYPERLINK("https://eosportal.federatedhermes.com/engagements/RW5nYWdlbWVudAppMzE2MjI=", "Methane/OGMP 2.0")</f>
      </c>
      <c r="G1944" s="14" t="s">
        <v>5478</v>
      </c>
      <c r="H1944" s="0" t="s">
        <v>141</v>
      </c>
      <c r="I1944" s="14" t="s">
        <v>191</v>
      </c>
      <c r="J1944" s="0" t="s">
        <v>197</v>
      </c>
      <c r="K1944" s="0" t="s">
        <v>198</v>
      </c>
      <c r="L1944" s="0" t="s">
        <v>216</v>
      </c>
      <c r="M1944" s="0" t="s">
        <v>135</v>
      </c>
      <c r="N1944" s="0" t="s">
        <v>136</v>
      </c>
      <c r="O1944" s="0" t="s">
        <v>238</v>
      </c>
      <c r="Q1944" s="0" t="s">
        <v>141</v>
      </c>
      <c r="R1944" s="0" t="s">
        <v>138</v>
      </c>
      <c r="S1944" s="14">
        <v>1</v>
      </c>
      <c r="T1944" s="0" t="s">
        <v>193</v>
      </c>
      <c r="U1944" s="0" t="s">
        <v>138</v>
      </c>
      <c r="V1944" s="14" t="s">
        <v>138</v>
      </c>
      <c r="W1944" s="0" t="s">
        <v>138</v>
      </c>
      <c r="X1944" s="14" t="s">
        <v>138</v>
      </c>
      <c r="Y1944" s="0" t="s">
        <v>138</v>
      </c>
      <c r="Z1944" s="14" t="s">
        <v>138</v>
      </c>
      <c r="AA1944" s="0" t="s">
        <v>138</v>
      </c>
      <c r="AB1944" s="14" t="s">
        <v>138</v>
      </c>
      <c r="AD1944" s="0" t="s">
        <v>138</v>
      </c>
      <c r="AF1944" s="0">
        <v>0</v>
      </c>
      <c r="AG1944" s="0">
        <v>0</v>
      </c>
      <c r="AH1944" s="0" t="s">
        <v>140</v>
      </c>
      <c r="AI1944" s="0" t="s">
        <v>138</v>
      </c>
      <c r="AK1944" s="0" t="s">
        <v>300</v>
      </c>
      <c r="AL1944" s="14"/>
      <c r="AN1944" s="14"/>
      <c r="AQ1944" s="0" t="s">
        <v>130</v>
      </c>
      <c r="AR1944" s="0" t="s">
        <v>130</v>
      </c>
      <c r="AS1944" s="0" t="s">
        <v>130</v>
      </c>
      <c r="AT1944" s="0" t="s">
        <v>130</v>
      </c>
      <c r="AU1944" s="0" t="s">
        <v>130</v>
      </c>
      <c r="AV1944" s="0" t="s">
        <v>130</v>
      </c>
      <c r="AW1944" s="0" t="s">
        <v>141</v>
      </c>
      <c r="AX1944" s="0" t="s">
        <v>130</v>
      </c>
      <c r="AY1944" s="0" t="s">
        <v>130</v>
      </c>
      <c r="AZ1944" s="0" t="s">
        <v>130</v>
      </c>
      <c r="BA1944" s="0" t="s">
        <v>130</v>
      </c>
      <c r="BB1944" s="0" t="s">
        <v>130</v>
      </c>
      <c r="BC1944" s="0" t="s">
        <v>141</v>
      </c>
      <c r="BD1944" s="0" t="s">
        <v>130</v>
      </c>
      <c r="BE1944" s="0" t="s">
        <v>130</v>
      </c>
      <c r="BF1944" s="0" t="s">
        <v>130</v>
      </c>
      <c r="BG1944" s="0" t="s">
        <v>130</v>
      </c>
      <c r="BH1944" s="0" t="s">
        <v>141</v>
      </c>
      <c r="BI1944" s="0" t="s">
        <v>141</v>
      </c>
      <c r="BJ1944" s="0" t="s">
        <v>141</v>
      </c>
      <c r="BK1944" s="0" t="s">
        <v>130</v>
      </c>
      <c r="BL1944" s="0" t="s">
        <v>130</v>
      </c>
      <c r="BM1944" s="0" t="s">
        <v>130</v>
      </c>
      <c r="BN1944" s="0" t="s">
        <v>130</v>
      </c>
      <c r="BO1944" s="0" t="s">
        <v>130</v>
      </c>
      <c r="BP1944" s="0" t="s">
        <v>130</v>
      </c>
      <c r="BQ1944" s="0" t="s">
        <v>130</v>
      </c>
      <c r="BR1944" s="0" t="s">
        <v>130</v>
      </c>
      <c r="BS1944" s="0" t="s">
        <v>130</v>
      </c>
      <c r="BT1944" s="0" t="s">
        <v>130</v>
      </c>
      <c r="BU1944" s="0" t="s">
        <v>130</v>
      </c>
      <c r="BV1944" s="0" t="s">
        <v>141</v>
      </c>
      <c r="BW1944" s="0" t="s">
        <v>141</v>
      </c>
      <c r="BX1944" s="0" t="s">
        <v>130</v>
      </c>
      <c r="BY1944" s="0" t="s">
        <v>130</v>
      </c>
      <c r="BZ1944" s="0" t="s">
        <v>130</v>
      </c>
      <c r="CA1944" s="0" t="s">
        <v>130</v>
      </c>
      <c r="CB1944" s="0" t="s">
        <v>130</v>
      </c>
      <c r="CC1944" s="0" t="s">
        <v>130</v>
      </c>
      <c r="CD1944" s="0" t="s">
        <v>130</v>
      </c>
      <c r="CE1944" s="0" t="s">
        <v>130</v>
      </c>
      <c r="CF1944" s="0" t="s">
        <v>130</v>
      </c>
      <c r="CG1944" s="0" t="s">
        <v>130</v>
      </c>
      <c r="CH1944" s="0" t="s">
        <v>130</v>
      </c>
      <c r="CI1944" s="0" t="s">
        <v>130</v>
      </c>
      <c r="CJ1944" s="0" t="s">
        <v>130</v>
      </c>
      <c r="CK1944" s="0" t="s">
        <v>130</v>
      </c>
      <c r="CL1944" s="0" t="s">
        <v>130</v>
      </c>
      <c r="CM1944" s="0" t="s">
        <v>130</v>
      </c>
      <c r="CN1944" s="0" t="s">
        <v>130</v>
      </c>
      <c r="CO1944" s="0" t="s">
        <v>130</v>
      </c>
      <c r="CP1944" s="0" t="s">
        <v>130</v>
      </c>
      <c r="CQ1944" s="0" t="s">
        <v>130</v>
      </c>
      <c r="CR1944" s="0" t="s">
        <v>130</v>
      </c>
      <c r="CS1944" s="0" t="s">
        <v>130</v>
      </c>
      <c r="CT1944" s="0" t="s">
        <v>5479</v>
      </c>
    </row>
    <row r="1945">
      <c r="A1945" s="14">
        <v>16378307</v>
      </c>
      <c r="B1945" s="0" t="s">
        <v>4202</v>
      </c>
      <c r="C1945" s="16">
        <f>HYPERLINK("https://eosportal.federatedhermes.com/companies/Q29tcGFueQppNzU3MTg=", "ServiceNow Inc")</f>
      </c>
      <c r="D1945" s="0" t="s">
        <v>25</v>
      </c>
      <c r="E1945" s="0" t="s">
        <v>5480</v>
      </c>
      <c r="F1945" s="16">
        <f>HYPERLINK("https://eosportal.federatedhermes.com/engagements/RW5nYWdlbWVudAppMzE2MzI=", "Socioeconomic Mobility")</f>
      </c>
      <c r="G1945" s="14" t="s">
        <v>5481</v>
      </c>
      <c r="H1945" s="0" t="s">
        <v>141</v>
      </c>
      <c r="I1945" s="14" t="s">
        <v>131</v>
      </c>
      <c r="J1945" s="0" t="s">
        <v>153</v>
      </c>
      <c r="K1945" s="0" t="s">
        <v>154</v>
      </c>
      <c r="L1945" s="0" t="s">
        <v>268</v>
      </c>
      <c r="M1945" s="0" t="s">
        <v>135</v>
      </c>
      <c r="N1945" s="0" t="s">
        <v>136</v>
      </c>
      <c r="O1945" s="0" t="s">
        <v>137</v>
      </c>
      <c r="Q1945" s="0" t="s">
        <v>141</v>
      </c>
      <c r="R1945" s="0" t="s">
        <v>138</v>
      </c>
      <c r="S1945" s="14">
        <v>1</v>
      </c>
      <c r="T1945" s="0" t="s">
        <v>2270</v>
      </c>
      <c r="U1945" s="0" t="s">
        <v>138</v>
      </c>
      <c r="V1945" s="14" t="s">
        <v>138</v>
      </c>
      <c r="W1945" s="0" t="s">
        <v>138</v>
      </c>
      <c r="X1945" s="14" t="s">
        <v>138</v>
      </c>
      <c r="Y1945" s="0" t="s">
        <v>138</v>
      </c>
      <c r="Z1945" s="14" t="s">
        <v>138</v>
      </c>
      <c r="AA1945" s="0" t="s">
        <v>138</v>
      </c>
      <c r="AB1945" s="14" t="s">
        <v>138</v>
      </c>
      <c r="AD1945" s="0" t="s">
        <v>138</v>
      </c>
      <c r="AF1945" s="0">
        <v>0</v>
      </c>
      <c r="AG1945" s="0">
        <v>0</v>
      </c>
      <c r="AH1945" s="0" t="s">
        <v>140</v>
      </c>
      <c r="AI1945" s="0" t="s">
        <v>138</v>
      </c>
      <c r="AK1945" s="0" t="s">
        <v>1470</v>
      </c>
      <c r="AL1945" s="14"/>
      <c r="AN1945" s="14"/>
      <c r="AQ1945" s="0" t="s">
        <v>130</v>
      </c>
      <c r="AR1945" s="0" t="s">
        <v>130</v>
      </c>
      <c r="AS1945" s="0" t="s">
        <v>130</v>
      </c>
      <c r="AT1945" s="0" t="s">
        <v>141</v>
      </c>
      <c r="AU1945" s="0" t="s">
        <v>130</v>
      </c>
      <c r="AV1945" s="0" t="s">
        <v>130</v>
      </c>
      <c r="AW1945" s="0" t="s">
        <v>130</v>
      </c>
      <c r="AX1945" s="0" t="s">
        <v>141</v>
      </c>
      <c r="AY1945" s="0" t="s">
        <v>130</v>
      </c>
      <c r="AZ1945" s="0" t="s">
        <v>130</v>
      </c>
      <c r="BA1945" s="0" t="s">
        <v>130</v>
      </c>
      <c r="BB1945" s="0" t="s">
        <v>130</v>
      </c>
      <c r="BC1945" s="0" t="s">
        <v>130</v>
      </c>
      <c r="BD1945" s="0" t="s">
        <v>130</v>
      </c>
      <c r="BE1945" s="0" t="s">
        <v>130</v>
      </c>
      <c r="BF1945" s="0" t="s">
        <v>130</v>
      </c>
      <c r="BG1945" s="0" t="s">
        <v>130</v>
      </c>
      <c r="BH1945" s="0" t="s">
        <v>130</v>
      </c>
      <c r="BI1945" s="0" t="s">
        <v>130</v>
      </c>
      <c r="BJ1945" s="0" t="s">
        <v>130</v>
      </c>
      <c r="BK1945" s="0" t="s">
        <v>130</v>
      </c>
      <c r="BL1945" s="0" t="s">
        <v>130</v>
      </c>
      <c r="BM1945" s="0" t="s">
        <v>130</v>
      </c>
      <c r="BN1945" s="0" t="s">
        <v>130</v>
      </c>
      <c r="BO1945" s="0" t="s">
        <v>130</v>
      </c>
      <c r="BP1945" s="0" t="s">
        <v>130</v>
      </c>
      <c r="BQ1945" s="0" t="s">
        <v>130</v>
      </c>
      <c r="BR1945" s="0" t="s">
        <v>130</v>
      </c>
      <c r="BS1945" s="0" t="s">
        <v>130</v>
      </c>
      <c r="BT1945" s="0" t="s">
        <v>130</v>
      </c>
      <c r="BU1945" s="0" t="s">
        <v>130</v>
      </c>
      <c r="BV1945" s="0" t="s">
        <v>130</v>
      </c>
      <c r="BW1945" s="0" t="s">
        <v>130</v>
      </c>
      <c r="BX1945" s="0" t="s">
        <v>130</v>
      </c>
      <c r="BY1945" s="0" t="s">
        <v>130</v>
      </c>
      <c r="BZ1945" s="0" t="s">
        <v>130</v>
      </c>
      <c r="CA1945" s="0" t="s">
        <v>130</v>
      </c>
      <c r="CB1945" s="0" t="s">
        <v>130</v>
      </c>
      <c r="CC1945" s="0" t="s">
        <v>130</v>
      </c>
      <c r="CD1945" s="0" t="s">
        <v>130</v>
      </c>
      <c r="CE1945" s="0" t="s">
        <v>130</v>
      </c>
      <c r="CF1945" s="0" t="s">
        <v>130</v>
      </c>
      <c r="CG1945" s="0" t="s">
        <v>130</v>
      </c>
      <c r="CH1945" s="0" t="s">
        <v>130</v>
      </c>
      <c r="CI1945" s="0" t="s">
        <v>130</v>
      </c>
      <c r="CJ1945" s="0" t="s">
        <v>130</v>
      </c>
      <c r="CK1945" s="0" t="s">
        <v>141</v>
      </c>
      <c r="CL1945" s="0" t="s">
        <v>130</v>
      </c>
      <c r="CM1945" s="0" t="s">
        <v>130</v>
      </c>
      <c r="CN1945" s="0" t="s">
        <v>130</v>
      </c>
      <c r="CO1945" s="0" t="s">
        <v>130</v>
      </c>
      <c r="CP1945" s="0" t="s">
        <v>130</v>
      </c>
      <c r="CQ1945" s="0" t="s">
        <v>130</v>
      </c>
      <c r="CR1945" s="0" t="s">
        <v>130</v>
      </c>
      <c r="CS1945" s="0" t="s">
        <v>130</v>
      </c>
      <c r="CT1945" s="0" t="s">
        <v>5482</v>
      </c>
    </row>
    <row r="1946">
      <c r="A1946" s="14">
        <v>16378307</v>
      </c>
      <c r="B1946" s="0" t="s">
        <v>4202</v>
      </c>
      <c r="C1946" s="16">
        <f>HYPERLINK("https://eosportal.federatedhermes.com/companies/Q29tcGFueQppNzU3MTg=", "ServiceNow Inc")</f>
      </c>
      <c r="D1946" s="0" t="s">
        <v>25</v>
      </c>
      <c r="E1946" s="0" t="s">
        <v>5483</v>
      </c>
      <c r="F1946" s="16">
        <f>HYPERLINK("https://eosportal.federatedhermes.com/engagements/RW5nYWdlbWVudAppMzE2MzM=", "UK-style gender pay reporting")</f>
      </c>
      <c r="G1946" s="14" t="s">
        <v>5484</v>
      </c>
      <c r="H1946" s="0" t="s">
        <v>141</v>
      </c>
      <c r="I1946" s="14" t="s">
        <v>131</v>
      </c>
      <c r="J1946" s="0" t="s">
        <v>153</v>
      </c>
      <c r="K1946" s="0" t="s">
        <v>154</v>
      </c>
      <c r="L1946" s="0" t="s">
        <v>268</v>
      </c>
      <c r="M1946" s="0" t="s">
        <v>135</v>
      </c>
      <c r="N1946" s="0" t="s">
        <v>136</v>
      </c>
      <c r="O1946" s="0" t="s">
        <v>137</v>
      </c>
      <c r="Q1946" s="0" t="s">
        <v>130</v>
      </c>
      <c r="R1946" s="0" t="s">
        <v>138</v>
      </c>
      <c r="S1946" s="14">
        <v>0</v>
      </c>
      <c r="T1946" s="0" t="s">
        <v>2270</v>
      </c>
      <c r="U1946" s="0" t="s">
        <v>138</v>
      </c>
      <c r="V1946" s="14" t="s">
        <v>138</v>
      </c>
      <c r="W1946" s="0" t="s">
        <v>138</v>
      </c>
      <c r="X1946" s="14" t="s">
        <v>138</v>
      </c>
      <c r="Y1946" s="0" t="s">
        <v>138</v>
      </c>
      <c r="Z1946" s="14" t="s">
        <v>138</v>
      </c>
      <c r="AA1946" s="0" t="s">
        <v>138</v>
      </c>
      <c r="AB1946" s="14" t="s">
        <v>138</v>
      </c>
      <c r="AD1946" s="0" t="s">
        <v>138</v>
      </c>
      <c r="AF1946" s="0">
        <v>0</v>
      </c>
      <c r="AG1946" s="0">
        <v>0</v>
      </c>
      <c r="AH1946" s="0" t="s">
        <v>140</v>
      </c>
      <c r="AI1946" s="0" t="s">
        <v>138</v>
      </c>
      <c r="AL1946" s="14"/>
      <c r="AN1946" s="14"/>
      <c r="AQ1946" s="0" t="s">
        <v>130</v>
      </c>
      <c r="AR1946" s="0" t="s">
        <v>130</v>
      </c>
      <c r="AS1946" s="0" t="s">
        <v>130</v>
      </c>
      <c r="AT1946" s="0" t="s">
        <v>130</v>
      </c>
      <c r="AU1946" s="0" t="s">
        <v>130</v>
      </c>
      <c r="AV1946" s="0" t="s">
        <v>130</v>
      </c>
      <c r="AW1946" s="0" t="s">
        <v>130</v>
      </c>
      <c r="AX1946" s="0" t="s">
        <v>141</v>
      </c>
      <c r="AY1946" s="0" t="s">
        <v>130</v>
      </c>
      <c r="AZ1946" s="0" t="s">
        <v>130</v>
      </c>
      <c r="BA1946" s="0" t="s">
        <v>130</v>
      </c>
      <c r="BB1946" s="0" t="s">
        <v>130</v>
      </c>
      <c r="BC1946" s="0" t="s">
        <v>130</v>
      </c>
      <c r="BD1946" s="0" t="s">
        <v>130</v>
      </c>
      <c r="BE1946" s="0" t="s">
        <v>130</v>
      </c>
      <c r="BF1946" s="0" t="s">
        <v>130</v>
      </c>
      <c r="BG1946" s="0" t="s">
        <v>130</v>
      </c>
      <c r="BH1946" s="0" t="s">
        <v>130</v>
      </c>
      <c r="BI1946" s="0" t="s">
        <v>130</v>
      </c>
      <c r="BJ1946" s="0" t="s">
        <v>130</v>
      </c>
      <c r="BK1946" s="0" t="s">
        <v>130</v>
      </c>
      <c r="BL1946" s="0" t="s">
        <v>130</v>
      </c>
      <c r="BM1946" s="0" t="s">
        <v>130</v>
      </c>
      <c r="BN1946" s="0" t="s">
        <v>130</v>
      </c>
      <c r="BO1946" s="0" t="s">
        <v>130</v>
      </c>
      <c r="BP1946" s="0" t="s">
        <v>130</v>
      </c>
      <c r="BQ1946" s="0" t="s">
        <v>130</v>
      </c>
      <c r="BR1946" s="0" t="s">
        <v>130</v>
      </c>
      <c r="BS1946" s="0" t="s">
        <v>130</v>
      </c>
      <c r="BT1946" s="0" t="s">
        <v>130</v>
      </c>
      <c r="BU1946" s="0" t="s">
        <v>130</v>
      </c>
      <c r="BV1946" s="0" t="s">
        <v>130</v>
      </c>
      <c r="BW1946" s="0" t="s">
        <v>130</v>
      </c>
      <c r="BX1946" s="0" t="s">
        <v>130</v>
      </c>
      <c r="BY1946" s="0" t="s">
        <v>130</v>
      </c>
      <c r="BZ1946" s="0" t="s">
        <v>130</v>
      </c>
      <c r="CA1946" s="0" t="s">
        <v>130</v>
      </c>
      <c r="CB1946" s="0" t="s">
        <v>130</v>
      </c>
      <c r="CC1946" s="0" t="s">
        <v>130</v>
      </c>
      <c r="CD1946" s="0" t="s">
        <v>130</v>
      </c>
      <c r="CE1946" s="0" t="s">
        <v>130</v>
      </c>
      <c r="CF1946" s="0" t="s">
        <v>130</v>
      </c>
      <c r="CG1946" s="0" t="s">
        <v>130</v>
      </c>
      <c r="CH1946" s="0" t="s">
        <v>130</v>
      </c>
      <c r="CI1946" s="0" t="s">
        <v>130</v>
      </c>
      <c r="CJ1946" s="0" t="s">
        <v>130</v>
      </c>
      <c r="CK1946" s="0" t="s">
        <v>141</v>
      </c>
      <c r="CL1946" s="0" t="s">
        <v>130</v>
      </c>
      <c r="CM1946" s="0" t="s">
        <v>130</v>
      </c>
      <c r="CN1946" s="0" t="s">
        <v>130</v>
      </c>
      <c r="CO1946" s="0" t="s">
        <v>130</v>
      </c>
      <c r="CP1946" s="0" t="s">
        <v>130</v>
      </c>
      <c r="CQ1946" s="0" t="s">
        <v>130</v>
      </c>
      <c r="CR1946" s="0" t="s">
        <v>130</v>
      </c>
      <c r="CS1946" s="0" t="s">
        <v>130</v>
      </c>
      <c r="CT1946" s="0" t="s">
        <v>5485</v>
      </c>
    </row>
    <row r="1947">
      <c r="A1947" s="14">
        <v>115823</v>
      </c>
      <c r="B1947" s="0" t="s">
        <v>2678</v>
      </c>
      <c r="C1947" s="16">
        <f>HYPERLINK("https://eosportal.federatedhermes.com/companies/Q29tcGFueQppNjMwMDM=", "ING Groep NV")</f>
      </c>
      <c r="D1947" s="0" t="s">
        <v>23</v>
      </c>
      <c r="E1947" s="0" t="s">
        <v>5486</v>
      </c>
      <c r="F1947" s="16">
        <f>HYPERLINK("https://eosportal.federatedhermes.com/engagements/RW5nYWdlbWVudAppMzE2NTQ=", "Quantify &amp; Extend Diversity Strategy")</f>
      </c>
      <c r="G1947" s="14" t="s">
        <v>5487</v>
      </c>
      <c r="H1947" s="0" t="s">
        <v>130</v>
      </c>
      <c r="I1947" s="14" t="s">
        <v>131</v>
      </c>
      <c r="J1947" s="0" t="s">
        <v>153</v>
      </c>
      <c r="K1947" s="0" t="s">
        <v>154</v>
      </c>
      <c r="L1947" s="0" t="s">
        <v>268</v>
      </c>
      <c r="M1947" s="0" t="s">
        <v>378</v>
      </c>
      <c r="N1947" s="0" t="s">
        <v>2554</v>
      </c>
      <c r="O1947" s="0" t="s">
        <v>238</v>
      </c>
      <c r="Q1947" s="0" t="s">
        <v>130</v>
      </c>
      <c r="R1947" s="0" t="s">
        <v>130</v>
      </c>
      <c r="S1947" s="14">
        <v>0</v>
      </c>
      <c r="T1947" s="0" t="s">
        <v>597</v>
      </c>
      <c r="U1947" s="0" t="s">
        <v>221</v>
      </c>
      <c r="V1947" s="14" t="s">
        <v>597</v>
      </c>
      <c r="W1947" s="0" t="s">
        <v>221</v>
      </c>
      <c r="X1947" s="14" t="s">
        <v>478</v>
      </c>
      <c r="Y1947" s="0" t="s">
        <v>221</v>
      </c>
      <c r="Z1947" s="14" t="s">
        <v>3562</v>
      </c>
      <c r="AA1947" s="0" t="s">
        <v>223</v>
      </c>
      <c r="AB1947" s="14" t="s">
        <v>138</v>
      </c>
      <c r="AD1947" s="0" t="s">
        <v>20</v>
      </c>
      <c r="AF1947" s="0">
        <v>0</v>
      </c>
      <c r="AG1947" s="0">
        <v>0</v>
      </c>
      <c r="AH1947" s="0" t="s">
        <v>140</v>
      </c>
      <c r="AI1947" s="0" t="s">
        <v>479</v>
      </c>
      <c r="AL1947" s="14"/>
      <c r="AN1947" s="14"/>
      <c r="AQ1947" s="0" t="s">
        <v>130</v>
      </c>
      <c r="AR1947" s="0" t="s">
        <v>130</v>
      </c>
      <c r="AS1947" s="0" t="s">
        <v>130</v>
      </c>
      <c r="AT1947" s="0" t="s">
        <v>130</v>
      </c>
      <c r="AU1947" s="0" t="s">
        <v>130</v>
      </c>
      <c r="AV1947" s="0" t="s">
        <v>130</v>
      </c>
      <c r="AW1947" s="0" t="s">
        <v>130</v>
      </c>
      <c r="AX1947" s="0" t="s">
        <v>141</v>
      </c>
      <c r="AY1947" s="0" t="s">
        <v>130</v>
      </c>
      <c r="AZ1947" s="0" t="s">
        <v>130</v>
      </c>
      <c r="BA1947" s="0" t="s">
        <v>130</v>
      </c>
      <c r="BB1947" s="0" t="s">
        <v>130</v>
      </c>
      <c r="BC1947" s="0" t="s">
        <v>130</v>
      </c>
      <c r="BD1947" s="0" t="s">
        <v>130</v>
      </c>
      <c r="BE1947" s="0" t="s">
        <v>130</v>
      </c>
      <c r="BF1947" s="0" t="s">
        <v>130</v>
      </c>
      <c r="BG1947" s="0" t="s">
        <v>130</v>
      </c>
      <c r="BH1947" s="0" t="s">
        <v>130</v>
      </c>
      <c r="BI1947" s="0" t="s">
        <v>130</v>
      </c>
      <c r="BJ1947" s="0" t="s">
        <v>130</v>
      </c>
      <c r="BK1947" s="0" t="s">
        <v>130</v>
      </c>
      <c r="BL1947" s="0" t="s">
        <v>130</v>
      </c>
      <c r="BM1947" s="0" t="s">
        <v>130</v>
      </c>
      <c r="BN1947" s="0" t="s">
        <v>130</v>
      </c>
      <c r="BO1947" s="0" t="s">
        <v>130</v>
      </c>
      <c r="BP1947" s="0" t="s">
        <v>130</v>
      </c>
      <c r="BQ1947" s="0" t="s">
        <v>130</v>
      </c>
      <c r="BR1947" s="0" t="s">
        <v>130</v>
      </c>
      <c r="BS1947" s="0" t="s">
        <v>130</v>
      </c>
      <c r="BT1947" s="0" t="s">
        <v>130</v>
      </c>
      <c r="BU1947" s="0" t="s">
        <v>130</v>
      </c>
      <c r="BV1947" s="0" t="s">
        <v>130</v>
      </c>
      <c r="BW1947" s="0" t="s">
        <v>130</v>
      </c>
      <c r="BX1947" s="0" t="s">
        <v>130</v>
      </c>
      <c r="BY1947" s="0" t="s">
        <v>130</v>
      </c>
      <c r="BZ1947" s="0" t="s">
        <v>130</v>
      </c>
      <c r="CA1947" s="0" t="s">
        <v>130</v>
      </c>
      <c r="CB1947" s="0" t="s">
        <v>130</v>
      </c>
      <c r="CC1947" s="0" t="s">
        <v>130</v>
      </c>
      <c r="CD1947" s="0" t="s">
        <v>130</v>
      </c>
      <c r="CE1947" s="0" t="s">
        <v>130</v>
      </c>
      <c r="CF1947" s="0" t="s">
        <v>130</v>
      </c>
      <c r="CG1947" s="0" t="s">
        <v>130</v>
      </c>
      <c r="CH1947" s="0" t="s">
        <v>130</v>
      </c>
      <c r="CI1947" s="0" t="s">
        <v>130</v>
      </c>
      <c r="CJ1947" s="0" t="s">
        <v>130</v>
      </c>
      <c r="CK1947" s="0" t="s">
        <v>141</v>
      </c>
      <c r="CL1947" s="0" t="s">
        <v>130</v>
      </c>
      <c r="CM1947" s="0" t="s">
        <v>130</v>
      </c>
      <c r="CN1947" s="0" t="s">
        <v>130</v>
      </c>
      <c r="CO1947" s="0" t="s">
        <v>130</v>
      </c>
      <c r="CP1947" s="0" t="s">
        <v>130</v>
      </c>
      <c r="CQ1947" s="0" t="s">
        <v>130</v>
      </c>
      <c r="CR1947" s="0" t="s">
        <v>130</v>
      </c>
      <c r="CS1947" s="0" t="s">
        <v>130</v>
      </c>
      <c r="CT1947" s="0" t="s">
        <v>5488</v>
      </c>
    </row>
    <row r="1948">
      <c r="A1948" s="14">
        <v>101254</v>
      </c>
      <c r="B1948" s="0" t="s">
        <v>1531</v>
      </c>
      <c r="C1948" s="16">
        <f>HYPERLINK("https://eosportal.federatedhermes.com/companies/Q29tcGFueQppNTg5NjY=", "Repsol SA")</f>
      </c>
      <c r="D1948" s="0" t="s">
        <v>25</v>
      </c>
      <c r="E1948" s="0" t="s">
        <v>5489</v>
      </c>
      <c r="F1948" s="16">
        <f>HYPERLINK("https://eosportal.federatedhermes.com/engagements/RW5nYWdlbWVudAppMzE2NjY=", "Paris-aligned financial accounting and audit")</f>
      </c>
      <c r="G1948" s="14" t="s">
        <v>5490</v>
      </c>
      <c r="H1948" s="0" t="s">
        <v>141</v>
      </c>
      <c r="I1948" s="14" t="s">
        <v>191</v>
      </c>
      <c r="J1948" s="0" t="s">
        <v>197</v>
      </c>
      <c r="K1948" s="0" t="s">
        <v>198</v>
      </c>
      <c r="L1948" s="0" t="s">
        <v>199</v>
      </c>
      <c r="M1948" s="0" t="s">
        <v>378</v>
      </c>
      <c r="N1948" s="0" t="s">
        <v>379</v>
      </c>
      <c r="O1948" s="0" t="s">
        <v>542</v>
      </c>
      <c r="Q1948" s="0" t="s">
        <v>130</v>
      </c>
      <c r="R1948" s="0" t="s">
        <v>138</v>
      </c>
      <c r="S1948" s="14">
        <v>0</v>
      </c>
      <c r="T1948" s="0" t="s">
        <v>2270</v>
      </c>
      <c r="U1948" s="0" t="s">
        <v>138</v>
      </c>
      <c r="V1948" s="14" t="s">
        <v>138</v>
      </c>
      <c r="W1948" s="0" t="s">
        <v>138</v>
      </c>
      <c r="X1948" s="14" t="s">
        <v>138</v>
      </c>
      <c r="Y1948" s="0" t="s">
        <v>138</v>
      </c>
      <c r="Z1948" s="14" t="s">
        <v>138</v>
      </c>
      <c r="AA1948" s="0" t="s">
        <v>138</v>
      </c>
      <c r="AB1948" s="14" t="s">
        <v>138</v>
      </c>
      <c r="AD1948" s="0" t="s">
        <v>138</v>
      </c>
      <c r="AF1948" s="0">
        <v>0</v>
      </c>
      <c r="AG1948" s="0">
        <v>0</v>
      </c>
      <c r="AH1948" s="0" t="s">
        <v>140</v>
      </c>
      <c r="AI1948" s="0" t="s">
        <v>138</v>
      </c>
      <c r="AL1948" s="14"/>
      <c r="AN1948" s="14"/>
      <c r="AQ1948" s="0" t="s">
        <v>130</v>
      </c>
      <c r="AR1948" s="0" t="s">
        <v>130</v>
      </c>
      <c r="AS1948" s="0" t="s">
        <v>130</v>
      </c>
      <c r="AT1948" s="0" t="s">
        <v>130</v>
      </c>
      <c r="AU1948" s="0" t="s">
        <v>130</v>
      </c>
      <c r="AV1948" s="0" t="s">
        <v>130</v>
      </c>
      <c r="AW1948" s="0" t="s">
        <v>130</v>
      </c>
      <c r="AX1948" s="0" t="s">
        <v>130</v>
      </c>
      <c r="AY1948" s="0" t="s">
        <v>130</v>
      </c>
      <c r="AZ1948" s="0" t="s">
        <v>130</v>
      </c>
      <c r="BA1948" s="0" t="s">
        <v>130</v>
      </c>
      <c r="BB1948" s="0" t="s">
        <v>141</v>
      </c>
      <c r="BC1948" s="0" t="s">
        <v>130</v>
      </c>
      <c r="BD1948" s="0" t="s">
        <v>130</v>
      </c>
      <c r="BE1948" s="0" t="s">
        <v>130</v>
      </c>
      <c r="BF1948" s="0" t="s">
        <v>130</v>
      </c>
      <c r="BG1948" s="0" t="s">
        <v>130</v>
      </c>
      <c r="BH1948" s="0" t="s">
        <v>130</v>
      </c>
      <c r="BI1948" s="0" t="s">
        <v>130</v>
      </c>
      <c r="BJ1948" s="0" t="s">
        <v>130</v>
      </c>
      <c r="BK1948" s="0" t="s">
        <v>130</v>
      </c>
      <c r="BL1948" s="0" t="s">
        <v>130</v>
      </c>
      <c r="BM1948" s="0" t="s">
        <v>130</v>
      </c>
      <c r="BN1948" s="0" t="s">
        <v>130</v>
      </c>
      <c r="BO1948" s="0" t="s">
        <v>130</v>
      </c>
      <c r="BP1948" s="0" t="s">
        <v>130</v>
      </c>
      <c r="BQ1948" s="0" t="s">
        <v>130</v>
      </c>
      <c r="BR1948" s="0" t="s">
        <v>130</v>
      </c>
      <c r="BS1948" s="0" t="s">
        <v>130</v>
      </c>
      <c r="BT1948" s="0" t="s">
        <v>130</v>
      </c>
      <c r="BU1948" s="0" t="s">
        <v>130</v>
      </c>
      <c r="BV1948" s="0" t="s">
        <v>130</v>
      </c>
      <c r="BW1948" s="0" t="s">
        <v>130</v>
      </c>
      <c r="BX1948" s="0" t="s">
        <v>130</v>
      </c>
      <c r="BY1948" s="0" t="s">
        <v>130</v>
      </c>
      <c r="BZ1948" s="0" t="s">
        <v>130</v>
      </c>
      <c r="CA1948" s="0" t="s">
        <v>130</v>
      </c>
      <c r="CB1948" s="0" t="s">
        <v>130</v>
      </c>
      <c r="CC1948" s="0" t="s">
        <v>130</v>
      </c>
      <c r="CD1948" s="0" t="s">
        <v>130</v>
      </c>
      <c r="CE1948" s="0" t="s">
        <v>130</v>
      </c>
      <c r="CF1948" s="0" t="s">
        <v>130</v>
      </c>
      <c r="CG1948" s="0" t="s">
        <v>130</v>
      </c>
      <c r="CH1948" s="0" t="s">
        <v>130</v>
      </c>
      <c r="CI1948" s="0" t="s">
        <v>130</v>
      </c>
      <c r="CJ1948" s="0" t="s">
        <v>130</v>
      </c>
      <c r="CK1948" s="0" t="s">
        <v>130</v>
      </c>
      <c r="CL1948" s="0" t="s">
        <v>130</v>
      </c>
      <c r="CM1948" s="0" t="s">
        <v>130</v>
      </c>
      <c r="CN1948" s="0" t="s">
        <v>130</v>
      </c>
      <c r="CO1948" s="0" t="s">
        <v>130</v>
      </c>
      <c r="CP1948" s="0" t="s">
        <v>130</v>
      </c>
      <c r="CQ1948" s="0" t="s">
        <v>130</v>
      </c>
      <c r="CR1948" s="0" t="s">
        <v>130</v>
      </c>
      <c r="CS1948" s="0" t="s">
        <v>130</v>
      </c>
      <c r="CT1948" s="0" t="s">
        <v>5491</v>
      </c>
    </row>
    <row r="1949">
      <c r="A1949" s="14">
        <v>7909359</v>
      </c>
      <c r="B1949" s="0" t="s">
        <v>3859</v>
      </c>
      <c r="C1949" s="16">
        <f>HYPERLINK("https://eosportal.federatedhermes.com/companies/Q29tcGFueQppNzgyNzQ=", "Sumitomo Mitsui Financial Group Inc")</f>
      </c>
      <c r="D1949" s="0" t="s">
        <v>25</v>
      </c>
      <c r="E1949" s="0" t="s">
        <v>5033</v>
      </c>
      <c r="F1949" s="16">
        <f>HYPERLINK("https://eosportal.federatedhermes.com/engagements/RW5nYWdlbWVudAppMzE2Njc=", "Board governance")</f>
      </c>
      <c r="G1949" s="14" t="s">
        <v>5492</v>
      </c>
      <c r="H1949" s="0" t="s">
        <v>141</v>
      </c>
      <c r="I1949" s="14" t="s">
        <v>191</v>
      </c>
      <c r="J1949" s="0" t="s">
        <v>145</v>
      </c>
      <c r="K1949" s="0" t="s">
        <v>164</v>
      </c>
      <c r="L1949" s="0" t="s">
        <v>970</v>
      </c>
      <c r="M1949" s="0" t="s">
        <v>802</v>
      </c>
      <c r="N1949" s="0" t="s">
        <v>952</v>
      </c>
      <c r="O1949" s="0" t="s">
        <v>238</v>
      </c>
      <c r="Q1949" s="0" t="s">
        <v>141</v>
      </c>
      <c r="R1949" s="0" t="s">
        <v>138</v>
      </c>
      <c r="S1949" s="14">
        <v>1</v>
      </c>
      <c r="T1949" s="0" t="s">
        <v>2270</v>
      </c>
      <c r="U1949" s="0" t="s">
        <v>138</v>
      </c>
      <c r="V1949" s="14" t="s">
        <v>138</v>
      </c>
      <c r="W1949" s="0" t="s">
        <v>138</v>
      </c>
      <c r="X1949" s="14" t="s">
        <v>138</v>
      </c>
      <c r="Y1949" s="0" t="s">
        <v>138</v>
      </c>
      <c r="Z1949" s="14" t="s">
        <v>138</v>
      </c>
      <c r="AA1949" s="0" t="s">
        <v>138</v>
      </c>
      <c r="AB1949" s="14" t="s">
        <v>138</v>
      </c>
      <c r="AD1949" s="0" t="s">
        <v>138</v>
      </c>
      <c r="AF1949" s="0">
        <v>0</v>
      </c>
      <c r="AG1949" s="0">
        <v>0</v>
      </c>
      <c r="AH1949" s="0" t="s">
        <v>140</v>
      </c>
      <c r="AI1949" s="0" t="s">
        <v>138</v>
      </c>
      <c r="AK1949" s="0" t="s">
        <v>339</v>
      </c>
      <c r="AL1949" s="14"/>
      <c r="AN1949" s="14"/>
      <c r="AQ1949" s="0" t="s">
        <v>130</v>
      </c>
      <c r="AR1949" s="0" t="s">
        <v>130</v>
      </c>
      <c r="AS1949" s="0" t="s">
        <v>130</v>
      </c>
      <c r="AT1949" s="0" t="s">
        <v>130</v>
      </c>
      <c r="AU1949" s="0" t="s">
        <v>130</v>
      </c>
      <c r="AV1949" s="0" t="s">
        <v>130</v>
      </c>
      <c r="AW1949" s="0" t="s">
        <v>130</v>
      </c>
      <c r="AX1949" s="0" t="s">
        <v>130</v>
      </c>
      <c r="AY1949" s="0" t="s">
        <v>130</v>
      </c>
      <c r="AZ1949" s="0" t="s">
        <v>130</v>
      </c>
      <c r="BA1949" s="0" t="s">
        <v>130</v>
      </c>
      <c r="BB1949" s="0" t="s">
        <v>130</v>
      </c>
      <c r="BC1949" s="0" t="s">
        <v>130</v>
      </c>
      <c r="BD1949" s="0" t="s">
        <v>130</v>
      </c>
      <c r="BE1949" s="0" t="s">
        <v>130</v>
      </c>
      <c r="BF1949" s="0" t="s">
        <v>130</v>
      </c>
      <c r="BG1949" s="0" t="s">
        <v>130</v>
      </c>
      <c r="BH1949" s="0" t="s">
        <v>130</v>
      </c>
      <c r="BI1949" s="0" t="s">
        <v>130</v>
      </c>
      <c r="BJ1949" s="0" t="s">
        <v>130</v>
      </c>
      <c r="BK1949" s="0" t="s">
        <v>130</v>
      </c>
      <c r="BL1949" s="0" t="s">
        <v>130</v>
      </c>
      <c r="BM1949" s="0" t="s">
        <v>130</v>
      </c>
      <c r="BN1949" s="0" t="s">
        <v>130</v>
      </c>
      <c r="BO1949" s="0" t="s">
        <v>130</v>
      </c>
      <c r="BP1949" s="0" t="s">
        <v>130</v>
      </c>
      <c r="BQ1949" s="0" t="s">
        <v>130</v>
      </c>
      <c r="BR1949" s="0" t="s">
        <v>130</v>
      </c>
      <c r="BS1949" s="0" t="s">
        <v>130</v>
      </c>
      <c r="BT1949" s="0" t="s">
        <v>130</v>
      </c>
      <c r="BU1949" s="0" t="s">
        <v>130</v>
      </c>
      <c r="BV1949" s="0" t="s">
        <v>130</v>
      </c>
      <c r="BW1949" s="0" t="s">
        <v>130</v>
      </c>
      <c r="BX1949" s="0" t="s">
        <v>130</v>
      </c>
      <c r="BY1949" s="0" t="s">
        <v>130</v>
      </c>
      <c r="BZ1949" s="0" t="s">
        <v>130</v>
      </c>
      <c r="CA1949" s="0" t="s">
        <v>130</v>
      </c>
      <c r="CB1949" s="0" t="s">
        <v>130</v>
      </c>
      <c r="CC1949" s="0" t="s">
        <v>130</v>
      </c>
      <c r="CD1949" s="0" t="s">
        <v>130</v>
      </c>
      <c r="CE1949" s="0" t="s">
        <v>130</v>
      </c>
      <c r="CF1949" s="0" t="s">
        <v>130</v>
      </c>
      <c r="CG1949" s="0" t="s">
        <v>130</v>
      </c>
      <c r="CH1949" s="0" t="s">
        <v>130</v>
      </c>
      <c r="CI1949" s="0" t="s">
        <v>130</v>
      </c>
      <c r="CJ1949" s="0" t="s">
        <v>130</v>
      </c>
      <c r="CK1949" s="0" t="s">
        <v>130</v>
      </c>
      <c r="CL1949" s="0" t="s">
        <v>130</v>
      </c>
      <c r="CM1949" s="0" t="s">
        <v>130</v>
      </c>
      <c r="CN1949" s="0" t="s">
        <v>130</v>
      </c>
      <c r="CO1949" s="0" t="s">
        <v>130</v>
      </c>
      <c r="CP1949" s="0" t="s">
        <v>130</v>
      </c>
      <c r="CQ1949" s="0" t="s">
        <v>130</v>
      </c>
      <c r="CR1949" s="0" t="s">
        <v>130</v>
      </c>
      <c r="CS1949" s="0" t="s">
        <v>130</v>
      </c>
      <c r="CT1949" s="0" t="s">
        <v>5493</v>
      </c>
    </row>
    <row r="1950">
      <c r="A1950" s="14">
        <v>9785761</v>
      </c>
      <c r="B1950" s="0" t="s">
        <v>4063</v>
      </c>
      <c r="C1950" s="16">
        <f>HYPERLINK("https://eosportal.federatedhermes.com/companies/Q29tcGFueQppODMwNTM=", "CF Industries Holdings Inc")</f>
      </c>
      <c r="D1950" s="0" t="s">
        <v>25</v>
      </c>
      <c r="E1950" s="0" t="s">
        <v>5494</v>
      </c>
      <c r="F1950" s="16">
        <f>HYPERLINK("https://eosportal.federatedhermes.com/engagements/RW5nYWdlbWVudAppMzE2Njg=", "Ince factory closure")</f>
      </c>
      <c r="G1950" s="14" t="s">
        <v>5495</v>
      </c>
      <c r="H1950" s="0" t="s">
        <v>130</v>
      </c>
      <c r="I1950" s="14" t="s">
        <v>131</v>
      </c>
      <c r="J1950" s="0" t="s">
        <v>132</v>
      </c>
      <c r="K1950" s="0" t="s">
        <v>133</v>
      </c>
      <c r="L1950" s="0" t="s">
        <v>160</v>
      </c>
      <c r="M1950" s="0" t="s">
        <v>135</v>
      </c>
      <c r="N1950" s="0" t="s">
        <v>136</v>
      </c>
      <c r="O1950" s="0" t="s">
        <v>706</v>
      </c>
      <c r="Q1950" s="0" t="s">
        <v>130</v>
      </c>
      <c r="R1950" s="0" t="s">
        <v>138</v>
      </c>
      <c r="S1950" s="14">
        <v>0</v>
      </c>
      <c r="T1950" s="0" t="s">
        <v>2270</v>
      </c>
      <c r="U1950" s="0" t="s">
        <v>138</v>
      </c>
      <c r="V1950" s="14" t="s">
        <v>138</v>
      </c>
      <c r="W1950" s="0" t="s">
        <v>138</v>
      </c>
      <c r="X1950" s="14" t="s">
        <v>138</v>
      </c>
      <c r="Y1950" s="0" t="s">
        <v>138</v>
      </c>
      <c r="Z1950" s="14" t="s">
        <v>138</v>
      </c>
      <c r="AA1950" s="0" t="s">
        <v>138</v>
      </c>
      <c r="AB1950" s="14" t="s">
        <v>138</v>
      </c>
      <c r="AD1950" s="0" t="s">
        <v>138</v>
      </c>
      <c r="AF1950" s="0">
        <v>0</v>
      </c>
      <c r="AG1950" s="0">
        <v>0</v>
      </c>
      <c r="AH1950" s="0" t="s">
        <v>140</v>
      </c>
      <c r="AI1950" s="0" t="s">
        <v>138</v>
      </c>
      <c r="AL1950" s="14"/>
      <c r="AN1950" s="14"/>
      <c r="AQ1950" s="0" t="s">
        <v>130</v>
      </c>
      <c r="AR1950" s="0" t="s">
        <v>130</v>
      </c>
      <c r="AS1950" s="0" t="s">
        <v>130</v>
      </c>
      <c r="AT1950" s="0" t="s">
        <v>130</v>
      </c>
      <c r="AU1950" s="0" t="s">
        <v>130</v>
      </c>
      <c r="AV1950" s="0" t="s">
        <v>130</v>
      </c>
      <c r="AW1950" s="0" t="s">
        <v>130</v>
      </c>
      <c r="AX1950" s="0" t="s">
        <v>130</v>
      </c>
      <c r="AY1950" s="0" t="s">
        <v>130</v>
      </c>
      <c r="AZ1950" s="0" t="s">
        <v>130</v>
      </c>
      <c r="BA1950" s="0" t="s">
        <v>130</v>
      </c>
      <c r="BB1950" s="0" t="s">
        <v>130</v>
      </c>
      <c r="BC1950" s="0" t="s">
        <v>130</v>
      </c>
      <c r="BD1950" s="0" t="s">
        <v>130</v>
      </c>
      <c r="BE1950" s="0" t="s">
        <v>130</v>
      </c>
      <c r="BF1950" s="0" t="s">
        <v>130</v>
      </c>
      <c r="BG1950" s="0" t="s">
        <v>130</v>
      </c>
      <c r="BH1950" s="0" t="s">
        <v>130</v>
      </c>
      <c r="BI1950" s="0" t="s">
        <v>130</v>
      </c>
      <c r="BJ1950" s="0" t="s">
        <v>130</v>
      </c>
      <c r="BK1950" s="0" t="s">
        <v>130</v>
      </c>
      <c r="BL1950" s="0" t="s">
        <v>130</v>
      </c>
      <c r="BM1950" s="0" t="s">
        <v>130</v>
      </c>
      <c r="BN1950" s="0" t="s">
        <v>130</v>
      </c>
      <c r="BO1950" s="0" t="s">
        <v>130</v>
      </c>
      <c r="BP1950" s="0" t="s">
        <v>130</v>
      </c>
      <c r="BQ1950" s="0" t="s">
        <v>130</v>
      </c>
      <c r="BR1950" s="0" t="s">
        <v>130</v>
      </c>
      <c r="BS1950" s="0" t="s">
        <v>130</v>
      </c>
      <c r="BT1950" s="0" t="s">
        <v>130</v>
      </c>
      <c r="BU1950" s="0" t="s">
        <v>130</v>
      </c>
      <c r="BV1950" s="0" t="s">
        <v>130</v>
      </c>
      <c r="BW1950" s="0" t="s">
        <v>130</v>
      </c>
      <c r="BX1950" s="0" t="s">
        <v>130</v>
      </c>
      <c r="BY1950" s="0" t="s">
        <v>130</v>
      </c>
      <c r="BZ1950" s="0" t="s">
        <v>130</v>
      </c>
      <c r="CA1950" s="0" t="s">
        <v>130</v>
      </c>
      <c r="CB1950" s="0" t="s">
        <v>130</v>
      </c>
      <c r="CC1950" s="0" t="s">
        <v>130</v>
      </c>
      <c r="CD1950" s="0" t="s">
        <v>130</v>
      </c>
      <c r="CE1950" s="0" t="s">
        <v>130</v>
      </c>
      <c r="CF1950" s="0" t="s">
        <v>130</v>
      </c>
      <c r="CG1950" s="0" t="s">
        <v>130</v>
      </c>
      <c r="CH1950" s="0" t="s">
        <v>130</v>
      </c>
      <c r="CI1950" s="0" t="s">
        <v>130</v>
      </c>
      <c r="CJ1950" s="0" t="s">
        <v>130</v>
      </c>
      <c r="CK1950" s="0" t="s">
        <v>130</v>
      </c>
      <c r="CL1950" s="0" t="s">
        <v>130</v>
      </c>
      <c r="CM1950" s="0" t="s">
        <v>130</v>
      </c>
      <c r="CN1950" s="0" t="s">
        <v>130</v>
      </c>
      <c r="CO1950" s="0" t="s">
        <v>130</v>
      </c>
      <c r="CP1950" s="0" t="s">
        <v>130</v>
      </c>
      <c r="CQ1950" s="0" t="s">
        <v>130</v>
      </c>
      <c r="CR1950" s="0" t="s">
        <v>130</v>
      </c>
      <c r="CS1950" s="0" t="s">
        <v>130</v>
      </c>
      <c r="CT1950" s="0" t="s">
        <v>5496</v>
      </c>
    </row>
    <row r="1951">
      <c r="A1951" s="14">
        <v>9785761</v>
      </c>
      <c r="B1951" s="0" t="s">
        <v>4063</v>
      </c>
      <c r="C1951" s="16">
        <f>HYPERLINK("https://eosportal.federatedhermes.com/companies/Q29tcGFueQppODMwNTM=", "CF Industries Holdings Inc")</f>
      </c>
      <c r="D1951" s="0" t="s">
        <v>25</v>
      </c>
      <c r="E1951" s="0" t="s">
        <v>5497</v>
      </c>
      <c r="F1951" s="16">
        <f>HYPERLINK("https://eosportal.federatedhermes.com/engagements/RW5nYWdlbWVudAppMzE2Njk=", "Fertiliser application")</f>
      </c>
      <c r="G1951" s="14" t="s">
        <v>5498</v>
      </c>
      <c r="H1951" s="0" t="s">
        <v>130</v>
      </c>
      <c r="I1951" s="14" t="s">
        <v>131</v>
      </c>
      <c r="J1951" s="0" t="s">
        <v>197</v>
      </c>
      <c r="K1951" s="0" t="s">
        <v>348</v>
      </c>
      <c r="L1951" s="0" t="s">
        <v>650</v>
      </c>
      <c r="M1951" s="0" t="s">
        <v>135</v>
      </c>
      <c r="N1951" s="0" t="s">
        <v>136</v>
      </c>
      <c r="O1951" s="0" t="s">
        <v>706</v>
      </c>
      <c r="Q1951" s="0" t="s">
        <v>130</v>
      </c>
      <c r="R1951" s="0" t="s">
        <v>138</v>
      </c>
      <c r="S1951" s="14">
        <v>0</v>
      </c>
      <c r="T1951" s="0" t="s">
        <v>2270</v>
      </c>
      <c r="U1951" s="0" t="s">
        <v>138</v>
      </c>
      <c r="V1951" s="14" t="s">
        <v>138</v>
      </c>
      <c r="W1951" s="0" t="s">
        <v>138</v>
      </c>
      <c r="X1951" s="14" t="s">
        <v>138</v>
      </c>
      <c r="Y1951" s="0" t="s">
        <v>138</v>
      </c>
      <c r="Z1951" s="14" t="s">
        <v>138</v>
      </c>
      <c r="AA1951" s="0" t="s">
        <v>138</v>
      </c>
      <c r="AB1951" s="14" t="s">
        <v>138</v>
      </c>
      <c r="AD1951" s="0" t="s">
        <v>138</v>
      </c>
      <c r="AF1951" s="0">
        <v>0</v>
      </c>
      <c r="AG1951" s="0">
        <v>0</v>
      </c>
      <c r="AH1951" s="0" t="s">
        <v>140</v>
      </c>
      <c r="AI1951" s="0" t="s">
        <v>138</v>
      </c>
      <c r="AL1951" s="14"/>
      <c r="AN1951" s="14"/>
      <c r="AQ1951" s="0" t="s">
        <v>130</v>
      </c>
      <c r="AR1951" s="0" t="s">
        <v>130</v>
      </c>
      <c r="AS1951" s="0" t="s">
        <v>130</v>
      </c>
      <c r="AT1951" s="0" t="s">
        <v>130</v>
      </c>
      <c r="AU1951" s="0" t="s">
        <v>130</v>
      </c>
      <c r="AV1951" s="0" t="s">
        <v>141</v>
      </c>
      <c r="AW1951" s="0" t="s">
        <v>130</v>
      </c>
      <c r="AX1951" s="0" t="s">
        <v>130</v>
      </c>
      <c r="AY1951" s="0" t="s">
        <v>130</v>
      </c>
      <c r="AZ1951" s="0" t="s">
        <v>130</v>
      </c>
      <c r="BA1951" s="0" t="s">
        <v>130</v>
      </c>
      <c r="BB1951" s="0" t="s">
        <v>130</v>
      </c>
      <c r="BC1951" s="0" t="s">
        <v>130</v>
      </c>
      <c r="BD1951" s="0" t="s">
        <v>141</v>
      </c>
      <c r="BE1951" s="0" t="s">
        <v>130</v>
      </c>
      <c r="BF1951" s="0" t="s">
        <v>130</v>
      </c>
      <c r="BG1951" s="0" t="s">
        <v>130</v>
      </c>
      <c r="BH1951" s="0" t="s">
        <v>130</v>
      </c>
      <c r="BI1951" s="0" t="s">
        <v>130</v>
      </c>
      <c r="BJ1951" s="0" t="s">
        <v>130</v>
      </c>
      <c r="BK1951" s="0" t="s">
        <v>130</v>
      </c>
      <c r="BL1951" s="0" t="s">
        <v>130</v>
      </c>
      <c r="BM1951" s="0" t="s">
        <v>130</v>
      </c>
      <c r="BN1951" s="0" t="s">
        <v>130</v>
      </c>
      <c r="BO1951" s="0" t="s">
        <v>130</v>
      </c>
      <c r="BP1951" s="0" t="s">
        <v>130</v>
      </c>
      <c r="BQ1951" s="0" t="s">
        <v>130</v>
      </c>
      <c r="BR1951" s="0" t="s">
        <v>130</v>
      </c>
      <c r="BS1951" s="0" t="s">
        <v>130</v>
      </c>
      <c r="BT1951" s="0" t="s">
        <v>130</v>
      </c>
      <c r="BU1951" s="0" t="s">
        <v>130</v>
      </c>
      <c r="BV1951" s="0" t="s">
        <v>130</v>
      </c>
      <c r="BW1951" s="0" t="s">
        <v>130</v>
      </c>
      <c r="BX1951" s="0" t="s">
        <v>130</v>
      </c>
      <c r="BY1951" s="0" t="s">
        <v>130</v>
      </c>
      <c r="BZ1951" s="0" t="s">
        <v>130</v>
      </c>
      <c r="CA1951" s="0" t="s">
        <v>130</v>
      </c>
      <c r="CB1951" s="0" t="s">
        <v>130</v>
      </c>
      <c r="CC1951" s="0" t="s">
        <v>130</v>
      </c>
      <c r="CD1951" s="0" t="s">
        <v>130</v>
      </c>
      <c r="CE1951" s="0" t="s">
        <v>130</v>
      </c>
      <c r="CF1951" s="0" t="s">
        <v>130</v>
      </c>
      <c r="CG1951" s="0" t="s">
        <v>130</v>
      </c>
      <c r="CH1951" s="0" t="s">
        <v>130</v>
      </c>
      <c r="CI1951" s="0" t="s">
        <v>130</v>
      </c>
      <c r="CJ1951" s="0" t="s">
        <v>130</v>
      </c>
      <c r="CK1951" s="0" t="s">
        <v>130</v>
      </c>
      <c r="CL1951" s="0" t="s">
        <v>130</v>
      </c>
      <c r="CM1951" s="0" t="s">
        <v>130</v>
      </c>
      <c r="CN1951" s="0" t="s">
        <v>130</v>
      </c>
      <c r="CO1951" s="0" t="s">
        <v>130</v>
      </c>
      <c r="CP1951" s="0" t="s">
        <v>130</v>
      </c>
      <c r="CQ1951" s="0" t="s">
        <v>130</v>
      </c>
      <c r="CR1951" s="0" t="s">
        <v>130</v>
      </c>
      <c r="CS1951" s="0" t="s">
        <v>130</v>
      </c>
      <c r="CT1951" s="0" t="s">
        <v>5499</v>
      </c>
    </row>
    <row r="1952">
      <c r="A1952" s="14">
        <v>1442748</v>
      </c>
      <c r="B1952" s="0" t="s">
        <v>3624</v>
      </c>
      <c r="C1952" s="16">
        <f>HYPERLINK("https://eosportal.federatedhermes.com/companies/Q29tcGFueQppNjI1MDA=", "Mitsubishi UFJ Financial Group Inc")</f>
      </c>
      <c r="D1952" s="0" t="s">
        <v>25</v>
      </c>
      <c r="E1952" s="0" t="s">
        <v>5500</v>
      </c>
      <c r="F1952" s="16">
        <f>HYPERLINK("https://eosportal.federatedhermes.com/engagements/RW5nYWdlbWVudAppMzE2NzE=", "Human rights due diligence")</f>
      </c>
      <c r="G1952" s="14" t="s">
        <v>5501</v>
      </c>
      <c r="H1952" s="0" t="s">
        <v>141</v>
      </c>
      <c r="I1952" s="14" t="s">
        <v>1645</v>
      </c>
      <c r="J1952" s="0" t="s">
        <v>153</v>
      </c>
      <c r="K1952" s="0" t="s">
        <v>243</v>
      </c>
      <c r="L1952" s="0" t="s">
        <v>244</v>
      </c>
      <c r="M1952" s="0" t="s">
        <v>802</v>
      </c>
      <c r="N1952" s="0" t="s">
        <v>952</v>
      </c>
      <c r="O1952" s="0" t="s">
        <v>238</v>
      </c>
      <c r="Q1952" s="0" t="s">
        <v>130</v>
      </c>
      <c r="R1952" s="0" t="s">
        <v>138</v>
      </c>
      <c r="S1952" s="14">
        <v>0</v>
      </c>
      <c r="T1952" s="0" t="s">
        <v>2270</v>
      </c>
      <c r="U1952" s="0" t="s">
        <v>138</v>
      </c>
      <c r="V1952" s="14" t="s">
        <v>138</v>
      </c>
      <c r="W1952" s="0" t="s">
        <v>138</v>
      </c>
      <c r="X1952" s="14" t="s">
        <v>138</v>
      </c>
      <c r="Y1952" s="0" t="s">
        <v>138</v>
      </c>
      <c r="Z1952" s="14" t="s">
        <v>138</v>
      </c>
      <c r="AA1952" s="0" t="s">
        <v>138</v>
      </c>
      <c r="AB1952" s="14" t="s">
        <v>138</v>
      </c>
      <c r="AD1952" s="0" t="s">
        <v>138</v>
      </c>
      <c r="AF1952" s="0">
        <v>0</v>
      </c>
      <c r="AG1952" s="0">
        <v>0</v>
      </c>
      <c r="AH1952" s="0" t="s">
        <v>140</v>
      </c>
      <c r="AI1952" s="0" t="s">
        <v>138</v>
      </c>
      <c r="AL1952" s="14"/>
      <c r="AN1952" s="14"/>
      <c r="AQ1952" s="0" t="s">
        <v>130</v>
      </c>
      <c r="AR1952" s="0" t="s">
        <v>130</v>
      </c>
      <c r="AS1952" s="0" t="s">
        <v>130</v>
      </c>
      <c r="AT1952" s="0" t="s">
        <v>130</v>
      </c>
      <c r="AU1952" s="0" t="s">
        <v>130</v>
      </c>
      <c r="AV1952" s="0" t="s">
        <v>130</v>
      </c>
      <c r="AW1952" s="0" t="s">
        <v>130</v>
      </c>
      <c r="AX1952" s="0" t="s">
        <v>141</v>
      </c>
      <c r="AY1952" s="0" t="s">
        <v>130</v>
      </c>
      <c r="AZ1952" s="0" t="s">
        <v>130</v>
      </c>
      <c r="BA1952" s="0" t="s">
        <v>130</v>
      </c>
      <c r="BB1952" s="0" t="s">
        <v>130</v>
      </c>
      <c r="BC1952" s="0" t="s">
        <v>130</v>
      </c>
      <c r="BD1952" s="0" t="s">
        <v>130</v>
      </c>
      <c r="BE1952" s="0" t="s">
        <v>130</v>
      </c>
      <c r="BF1952" s="0" t="s">
        <v>130</v>
      </c>
      <c r="BG1952" s="0" t="s">
        <v>130</v>
      </c>
      <c r="BH1952" s="0" t="s">
        <v>130</v>
      </c>
      <c r="BI1952" s="0" t="s">
        <v>130</v>
      </c>
      <c r="BJ1952" s="0" t="s">
        <v>130</v>
      </c>
      <c r="BK1952" s="0" t="s">
        <v>130</v>
      </c>
      <c r="BL1952" s="0" t="s">
        <v>130</v>
      </c>
      <c r="BM1952" s="0" t="s">
        <v>130</v>
      </c>
      <c r="BN1952" s="0" t="s">
        <v>130</v>
      </c>
      <c r="BO1952" s="0" t="s">
        <v>130</v>
      </c>
      <c r="BP1952" s="0" t="s">
        <v>130</v>
      </c>
      <c r="BQ1952" s="0" t="s">
        <v>130</v>
      </c>
      <c r="BR1952" s="0" t="s">
        <v>130</v>
      </c>
      <c r="BS1952" s="0" t="s">
        <v>130</v>
      </c>
      <c r="BT1952" s="0" t="s">
        <v>130</v>
      </c>
      <c r="BU1952" s="0" t="s">
        <v>130</v>
      </c>
      <c r="BV1952" s="0" t="s">
        <v>130</v>
      </c>
      <c r="BW1952" s="0" t="s">
        <v>130</v>
      </c>
      <c r="BX1952" s="0" t="s">
        <v>130</v>
      </c>
      <c r="BY1952" s="0" t="s">
        <v>130</v>
      </c>
      <c r="BZ1952" s="0" t="s">
        <v>130</v>
      </c>
      <c r="CA1952" s="0" t="s">
        <v>130</v>
      </c>
      <c r="CB1952" s="0" t="s">
        <v>130</v>
      </c>
      <c r="CC1952" s="0" t="s">
        <v>130</v>
      </c>
      <c r="CD1952" s="0" t="s">
        <v>130</v>
      </c>
      <c r="CE1952" s="0" t="s">
        <v>130</v>
      </c>
      <c r="CF1952" s="0" t="s">
        <v>130</v>
      </c>
      <c r="CG1952" s="0" t="s">
        <v>130</v>
      </c>
      <c r="CH1952" s="0" t="s">
        <v>130</v>
      </c>
      <c r="CI1952" s="0" t="s">
        <v>130</v>
      </c>
      <c r="CJ1952" s="0" t="s">
        <v>130</v>
      </c>
      <c r="CK1952" s="0" t="s">
        <v>130</v>
      </c>
      <c r="CL1952" s="0" t="s">
        <v>130</v>
      </c>
      <c r="CM1952" s="0" t="s">
        <v>130</v>
      </c>
      <c r="CN1952" s="0" t="s">
        <v>130</v>
      </c>
      <c r="CO1952" s="0" t="s">
        <v>130</v>
      </c>
      <c r="CP1952" s="0" t="s">
        <v>130</v>
      </c>
      <c r="CQ1952" s="0" t="s">
        <v>130</v>
      </c>
      <c r="CR1952" s="0" t="s">
        <v>130</v>
      </c>
      <c r="CS1952" s="0" t="s">
        <v>130</v>
      </c>
      <c r="CT1952" s="0" t="s">
        <v>5502</v>
      </c>
    </row>
    <row r="1953">
      <c r="A1953" s="14">
        <v>1442748</v>
      </c>
      <c r="B1953" s="0" t="s">
        <v>3624</v>
      </c>
      <c r="C1953" s="16">
        <f>HYPERLINK("https://eosportal.federatedhermes.com/companies/Q29tcGFueQppNjI1MDA=", "Mitsubishi UFJ Financial Group Inc")</f>
      </c>
      <c r="D1953" s="0" t="s">
        <v>25</v>
      </c>
      <c r="E1953" s="0" t="s">
        <v>5033</v>
      </c>
      <c r="F1953" s="16">
        <f>HYPERLINK("https://eosportal.federatedhermes.com/engagements/RW5nYWdlbWVudAppMzE2NzI=", "Board governance")</f>
      </c>
      <c r="G1953" s="14" t="s">
        <v>5503</v>
      </c>
      <c r="H1953" s="0" t="s">
        <v>141</v>
      </c>
      <c r="I1953" s="14" t="s">
        <v>1645</v>
      </c>
      <c r="J1953" s="0" t="s">
        <v>145</v>
      </c>
      <c r="K1953" s="0" t="s">
        <v>164</v>
      </c>
      <c r="L1953" s="0" t="s">
        <v>970</v>
      </c>
      <c r="M1953" s="0" t="s">
        <v>802</v>
      </c>
      <c r="N1953" s="0" t="s">
        <v>952</v>
      </c>
      <c r="O1953" s="0" t="s">
        <v>238</v>
      </c>
      <c r="Q1953" s="0" t="s">
        <v>141</v>
      </c>
      <c r="R1953" s="0" t="s">
        <v>138</v>
      </c>
      <c r="S1953" s="14">
        <v>1</v>
      </c>
      <c r="T1953" s="0" t="s">
        <v>2270</v>
      </c>
      <c r="U1953" s="0" t="s">
        <v>138</v>
      </c>
      <c r="V1953" s="14" t="s">
        <v>138</v>
      </c>
      <c r="W1953" s="0" t="s">
        <v>138</v>
      </c>
      <c r="X1953" s="14" t="s">
        <v>138</v>
      </c>
      <c r="Y1953" s="0" t="s">
        <v>138</v>
      </c>
      <c r="Z1953" s="14" t="s">
        <v>138</v>
      </c>
      <c r="AA1953" s="0" t="s">
        <v>138</v>
      </c>
      <c r="AB1953" s="14" t="s">
        <v>138</v>
      </c>
      <c r="AD1953" s="0" t="s">
        <v>138</v>
      </c>
      <c r="AF1953" s="0">
        <v>0</v>
      </c>
      <c r="AG1953" s="0">
        <v>0</v>
      </c>
      <c r="AH1953" s="0" t="s">
        <v>140</v>
      </c>
      <c r="AI1953" s="0" t="s">
        <v>138</v>
      </c>
      <c r="AK1953" s="0" t="s">
        <v>3626</v>
      </c>
      <c r="AL1953" s="14"/>
      <c r="AN1953" s="14"/>
      <c r="AQ1953" s="0" t="s">
        <v>130</v>
      </c>
      <c r="AR1953" s="0" t="s">
        <v>130</v>
      </c>
      <c r="AS1953" s="0" t="s">
        <v>130</v>
      </c>
      <c r="AT1953" s="0" t="s">
        <v>130</v>
      </c>
      <c r="AU1953" s="0" t="s">
        <v>130</v>
      </c>
      <c r="AV1953" s="0" t="s">
        <v>130</v>
      </c>
      <c r="AW1953" s="0" t="s">
        <v>130</v>
      </c>
      <c r="AX1953" s="0" t="s">
        <v>130</v>
      </c>
      <c r="AY1953" s="0" t="s">
        <v>130</v>
      </c>
      <c r="AZ1953" s="0" t="s">
        <v>130</v>
      </c>
      <c r="BA1953" s="0" t="s">
        <v>130</v>
      </c>
      <c r="BB1953" s="0" t="s">
        <v>130</v>
      </c>
      <c r="BC1953" s="0" t="s">
        <v>130</v>
      </c>
      <c r="BD1953" s="0" t="s">
        <v>130</v>
      </c>
      <c r="BE1953" s="0" t="s">
        <v>130</v>
      </c>
      <c r="BF1953" s="0" t="s">
        <v>130</v>
      </c>
      <c r="BG1953" s="0" t="s">
        <v>130</v>
      </c>
      <c r="BH1953" s="0" t="s">
        <v>130</v>
      </c>
      <c r="BI1953" s="0" t="s">
        <v>130</v>
      </c>
      <c r="BJ1953" s="0" t="s">
        <v>130</v>
      </c>
      <c r="BK1953" s="0" t="s">
        <v>130</v>
      </c>
      <c r="BL1953" s="0" t="s">
        <v>130</v>
      </c>
      <c r="BM1953" s="0" t="s">
        <v>130</v>
      </c>
      <c r="BN1953" s="0" t="s">
        <v>130</v>
      </c>
      <c r="BO1953" s="0" t="s">
        <v>130</v>
      </c>
      <c r="BP1953" s="0" t="s">
        <v>130</v>
      </c>
      <c r="BQ1953" s="0" t="s">
        <v>130</v>
      </c>
      <c r="BR1953" s="0" t="s">
        <v>130</v>
      </c>
      <c r="BS1953" s="0" t="s">
        <v>130</v>
      </c>
      <c r="BT1953" s="0" t="s">
        <v>130</v>
      </c>
      <c r="BU1953" s="0" t="s">
        <v>130</v>
      </c>
      <c r="BV1953" s="0" t="s">
        <v>130</v>
      </c>
      <c r="BW1953" s="0" t="s">
        <v>130</v>
      </c>
      <c r="BX1953" s="0" t="s">
        <v>130</v>
      </c>
      <c r="BY1953" s="0" t="s">
        <v>130</v>
      </c>
      <c r="BZ1953" s="0" t="s">
        <v>130</v>
      </c>
      <c r="CA1953" s="0" t="s">
        <v>130</v>
      </c>
      <c r="CB1953" s="0" t="s">
        <v>130</v>
      </c>
      <c r="CC1953" s="0" t="s">
        <v>130</v>
      </c>
      <c r="CD1953" s="0" t="s">
        <v>130</v>
      </c>
      <c r="CE1953" s="0" t="s">
        <v>130</v>
      </c>
      <c r="CF1953" s="0" t="s">
        <v>130</v>
      </c>
      <c r="CG1953" s="0" t="s">
        <v>130</v>
      </c>
      <c r="CH1953" s="0" t="s">
        <v>130</v>
      </c>
      <c r="CI1953" s="0" t="s">
        <v>130</v>
      </c>
      <c r="CJ1953" s="0" t="s">
        <v>130</v>
      </c>
      <c r="CK1953" s="0" t="s">
        <v>130</v>
      </c>
      <c r="CL1953" s="0" t="s">
        <v>130</v>
      </c>
      <c r="CM1953" s="0" t="s">
        <v>130</v>
      </c>
      <c r="CN1953" s="0" t="s">
        <v>130</v>
      </c>
      <c r="CO1953" s="0" t="s">
        <v>130</v>
      </c>
      <c r="CP1953" s="0" t="s">
        <v>130</v>
      </c>
      <c r="CQ1953" s="0" t="s">
        <v>130</v>
      </c>
      <c r="CR1953" s="0" t="s">
        <v>130</v>
      </c>
      <c r="CS1953" s="0" t="s">
        <v>130</v>
      </c>
      <c r="CT1953" s="0" t="s">
        <v>5504</v>
      </c>
    </row>
    <row r="1954">
      <c r="A1954" s="14">
        <v>108444</v>
      </c>
      <c r="B1954" s="0" t="s">
        <v>2214</v>
      </c>
      <c r="C1954" s="16">
        <f>HYPERLINK("https://eosportal.federatedhermes.com/companies/Q29tcGFueQppNjQzNzA=", "Bank of Montreal")</f>
      </c>
      <c r="D1954" s="0" t="s">
        <v>23</v>
      </c>
      <c r="E1954" s="0" t="s">
        <v>228</v>
      </c>
      <c r="F1954" s="16">
        <f>HYPERLINK("https://eosportal.federatedhermes.com/engagements/RW5nYWdlbWVudAppMzE2NzU=", "Climate strategy")</f>
      </c>
      <c r="G1954" s="14" t="s">
        <v>5505</v>
      </c>
      <c r="H1954" s="0" t="s">
        <v>141</v>
      </c>
      <c r="I1954" s="14" t="s">
        <v>191</v>
      </c>
      <c r="J1954" s="0" t="s">
        <v>197</v>
      </c>
      <c r="K1954" s="0" t="s">
        <v>198</v>
      </c>
      <c r="L1954" s="0" t="s">
        <v>220</v>
      </c>
      <c r="M1954" s="0" t="s">
        <v>135</v>
      </c>
      <c r="N1954" s="0" t="s">
        <v>1678</v>
      </c>
      <c r="O1954" s="0" t="s">
        <v>238</v>
      </c>
      <c r="Q1954" s="0" t="s">
        <v>130</v>
      </c>
      <c r="R1954" s="0" t="s">
        <v>141</v>
      </c>
      <c r="S1954" s="14">
        <v>0</v>
      </c>
      <c r="T1954" s="0" t="s">
        <v>2270</v>
      </c>
      <c r="U1954" s="0" t="s">
        <v>221</v>
      </c>
      <c r="V1954" s="14" t="s">
        <v>2270</v>
      </c>
      <c r="W1954" s="0" t="s">
        <v>221</v>
      </c>
      <c r="X1954" s="14" t="s">
        <v>2270</v>
      </c>
      <c r="Y1954" s="0" t="s">
        <v>221</v>
      </c>
      <c r="Z1954" s="14" t="s">
        <v>361</v>
      </c>
      <c r="AA1954" s="0" t="s">
        <v>223</v>
      </c>
      <c r="AB1954" s="14" t="s">
        <v>138</v>
      </c>
      <c r="AC1954" s="0" t="s">
        <v>17</v>
      </c>
      <c r="AD1954" s="0" t="s">
        <v>20</v>
      </c>
      <c r="AE1954" s="0" t="s">
        <v>2266</v>
      </c>
      <c r="AF1954" s="0">
        <v>1</v>
      </c>
      <c r="AG1954" s="0">
        <v>0</v>
      </c>
      <c r="AH1954" s="0" t="s">
        <v>140</v>
      </c>
      <c r="AI1954" s="0" t="s">
        <v>479</v>
      </c>
      <c r="AL1954" s="14"/>
      <c r="AN1954" s="14"/>
      <c r="AQ1954" s="0" t="s">
        <v>130</v>
      </c>
      <c r="AR1954" s="0" t="s">
        <v>130</v>
      </c>
      <c r="AS1954" s="0" t="s">
        <v>130</v>
      </c>
      <c r="AT1954" s="0" t="s">
        <v>130</v>
      </c>
      <c r="AU1954" s="0" t="s">
        <v>130</v>
      </c>
      <c r="AV1954" s="0" t="s">
        <v>130</v>
      </c>
      <c r="AW1954" s="0" t="s">
        <v>141</v>
      </c>
      <c r="AX1954" s="0" t="s">
        <v>130</v>
      </c>
      <c r="AY1954" s="0" t="s">
        <v>141</v>
      </c>
      <c r="AZ1954" s="0" t="s">
        <v>130</v>
      </c>
      <c r="BA1954" s="0" t="s">
        <v>130</v>
      </c>
      <c r="BB1954" s="0" t="s">
        <v>130</v>
      </c>
      <c r="BC1954" s="0" t="s">
        <v>141</v>
      </c>
      <c r="BD1954" s="0" t="s">
        <v>130</v>
      </c>
      <c r="BE1954" s="0" t="s">
        <v>130</v>
      </c>
      <c r="BF1954" s="0" t="s">
        <v>130</v>
      </c>
      <c r="BG1954" s="0" t="s">
        <v>130</v>
      </c>
      <c r="BH1954" s="0" t="s">
        <v>141</v>
      </c>
      <c r="BI1954" s="0" t="s">
        <v>141</v>
      </c>
      <c r="BJ1954" s="0" t="s">
        <v>141</v>
      </c>
      <c r="BK1954" s="0" t="s">
        <v>130</v>
      </c>
      <c r="BL1954" s="0" t="s">
        <v>130</v>
      </c>
      <c r="BM1954" s="0" t="s">
        <v>130</v>
      </c>
      <c r="BN1954" s="0" t="s">
        <v>130</v>
      </c>
      <c r="BO1954" s="0" t="s">
        <v>130</v>
      </c>
      <c r="BP1954" s="0" t="s">
        <v>130</v>
      </c>
      <c r="BQ1954" s="0" t="s">
        <v>130</v>
      </c>
      <c r="BR1954" s="0" t="s">
        <v>130</v>
      </c>
      <c r="BS1954" s="0" t="s">
        <v>130</v>
      </c>
      <c r="BT1954" s="0" t="s">
        <v>130</v>
      </c>
      <c r="BU1954" s="0" t="s">
        <v>130</v>
      </c>
      <c r="BV1954" s="0" t="s">
        <v>141</v>
      </c>
      <c r="BW1954" s="0" t="s">
        <v>141</v>
      </c>
      <c r="BX1954" s="0" t="s">
        <v>130</v>
      </c>
      <c r="BY1954" s="0" t="s">
        <v>130</v>
      </c>
      <c r="BZ1954" s="0" t="s">
        <v>130</v>
      </c>
      <c r="CA1954" s="0" t="s">
        <v>130</v>
      </c>
      <c r="CB1954" s="0" t="s">
        <v>130</v>
      </c>
      <c r="CC1954" s="0" t="s">
        <v>130</v>
      </c>
      <c r="CD1954" s="0" t="s">
        <v>130</v>
      </c>
      <c r="CE1954" s="0" t="s">
        <v>130</v>
      </c>
      <c r="CF1954" s="0" t="s">
        <v>130</v>
      </c>
      <c r="CG1954" s="0" t="s">
        <v>130</v>
      </c>
      <c r="CH1954" s="0" t="s">
        <v>130</v>
      </c>
      <c r="CI1954" s="0" t="s">
        <v>130</v>
      </c>
      <c r="CJ1954" s="0" t="s">
        <v>130</v>
      </c>
      <c r="CK1954" s="0" t="s">
        <v>130</v>
      </c>
      <c r="CL1954" s="0" t="s">
        <v>130</v>
      </c>
      <c r="CM1954" s="0" t="s">
        <v>130</v>
      </c>
      <c r="CN1954" s="0" t="s">
        <v>130</v>
      </c>
      <c r="CO1954" s="0" t="s">
        <v>130</v>
      </c>
      <c r="CP1954" s="0" t="s">
        <v>130</v>
      </c>
      <c r="CQ1954" s="0" t="s">
        <v>130</v>
      </c>
      <c r="CR1954" s="0" t="s">
        <v>130</v>
      </c>
      <c r="CS1954" s="0" t="s">
        <v>130</v>
      </c>
      <c r="CT1954" s="0" t="s">
        <v>5506</v>
      </c>
    </row>
    <row r="1955">
      <c r="A1955" s="14">
        <v>110411</v>
      </c>
      <c r="B1955" s="0" t="s">
        <v>2250</v>
      </c>
      <c r="C1955" s="16">
        <f>HYPERLINK("https://eosportal.federatedhermes.com/companies/Q29tcGFueQppNzc5MjQ=", "Royal Bank of Canada")</f>
      </c>
      <c r="D1955" s="0" t="s">
        <v>23</v>
      </c>
      <c r="E1955" s="0" t="s">
        <v>5284</v>
      </c>
      <c r="F1955" s="16">
        <f>HYPERLINK("https://eosportal.federatedhermes.com/engagements/RW5nYWdlbWVudAppMzE2Nzc=", "Financing requirement for FPIC")</f>
      </c>
      <c r="G1955" s="14" t="s">
        <v>5507</v>
      </c>
      <c r="H1955" s="0" t="s">
        <v>141</v>
      </c>
      <c r="I1955" s="14" t="s">
        <v>191</v>
      </c>
      <c r="J1955" s="0" t="s">
        <v>153</v>
      </c>
      <c r="K1955" s="0" t="s">
        <v>243</v>
      </c>
      <c r="L1955" s="0" t="s">
        <v>571</v>
      </c>
      <c r="M1955" s="0" t="s">
        <v>135</v>
      </c>
      <c r="N1955" s="0" t="s">
        <v>1678</v>
      </c>
      <c r="O1955" s="0" t="s">
        <v>238</v>
      </c>
      <c r="Q1955" s="0" t="s">
        <v>141</v>
      </c>
      <c r="R1955" s="0" t="s">
        <v>141</v>
      </c>
      <c r="S1955" s="14">
        <v>1</v>
      </c>
      <c r="T1955" s="0" t="s">
        <v>2270</v>
      </c>
      <c r="U1955" s="0" t="s">
        <v>221</v>
      </c>
      <c r="V1955" s="14" t="s">
        <v>2270</v>
      </c>
      <c r="W1955" s="0" t="s">
        <v>221</v>
      </c>
      <c r="X1955" s="14" t="s">
        <v>361</v>
      </c>
      <c r="Y1955" s="0" t="s">
        <v>223</v>
      </c>
      <c r="Z1955" s="14" t="s">
        <v>138</v>
      </c>
      <c r="AA1955" s="0" t="s">
        <v>224</v>
      </c>
      <c r="AB1955" s="14" t="s">
        <v>138</v>
      </c>
      <c r="AC1955" s="0" t="s">
        <v>14</v>
      </c>
      <c r="AD1955" s="0" t="s">
        <v>17</v>
      </c>
      <c r="AE1955" s="0" t="s">
        <v>5508</v>
      </c>
      <c r="AF1955" s="0">
        <v>1</v>
      </c>
      <c r="AG1955" s="0">
        <v>0</v>
      </c>
      <c r="AH1955" s="0" t="s">
        <v>140</v>
      </c>
      <c r="AI1955" s="0" t="s">
        <v>479</v>
      </c>
      <c r="AK1955" s="0" t="s">
        <v>2263</v>
      </c>
      <c r="AL1955" s="14"/>
      <c r="AN1955" s="14"/>
      <c r="AQ1955" s="0" t="s">
        <v>130</v>
      </c>
      <c r="AR1955" s="0" t="s">
        <v>130</v>
      </c>
      <c r="AS1955" s="0" t="s">
        <v>130</v>
      </c>
      <c r="AT1955" s="0" t="s">
        <v>130</v>
      </c>
      <c r="AU1955" s="0" t="s">
        <v>130</v>
      </c>
      <c r="AV1955" s="0" t="s">
        <v>130</v>
      </c>
      <c r="AW1955" s="0" t="s">
        <v>130</v>
      </c>
      <c r="AX1955" s="0" t="s">
        <v>130</v>
      </c>
      <c r="AY1955" s="0" t="s">
        <v>130</v>
      </c>
      <c r="AZ1955" s="0" t="s">
        <v>141</v>
      </c>
      <c r="BA1955" s="0" t="s">
        <v>141</v>
      </c>
      <c r="BB1955" s="0" t="s">
        <v>130</v>
      </c>
      <c r="BC1955" s="0" t="s">
        <v>130</v>
      </c>
      <c r="BD1955" s="0" t="s">
        <v>130</v>
      </c>
      <c r="BE1955" s="0" t="s">
        <v>130</v>
      </c>
      <c r="BF1955" s="0" t="s">
        <v>141</v>
      </c>
      <c r="BG1955" s="0" t="s">
        <v>130</v>
      </c>
      <c r="BH1955" s="0" t="s">
        <v>130</v>
      </c>
      <c r="BI1955" s="0" t="s">
        <v>130</v>
      </c>
      <c r="BJ1955" s="0" t="s">
        <v>130</v>
      </c>
      <c r="BK1955" s="0" t="s">
        <v>130</v>
      </c>
      <c r="BL1955" s="0" t="s">
        <v>130</v>
      </c>
      <c r="BM1955" s="0" t="s">
        <v>130</v>
      </c>
      <c r="BN1955" s="0" t="s">
        <v>130</v>
      </c>
      <c r="BO1955" s="0" t="s">
        <v>130</v>
      </c>
      <c r="BP1955" s="0" t="s">
        <v>130</v>
      </c>
      <c r="BQ1955" s="0" t="s">
        <v>130</v>
      </c>
      <c r="BR1955" s="0" t="s">
        <v>130</v>
      </c>
      <c r="BS1955" s="0" t="s">
        <v>130</v>
      </c>
      <c r="BT1955" s="0" t="s">
        <v>130</v>
      </c>
      <c r="BU1955" s="0" t="s">
        <v>130</v>
      </c>
      <c r="BV1955" s="0" t="s">
        <v>130</v>
      </c>
      <c r="BW1955" s="0" t="s">
        <v>130</v>
      </c>
      <c r="BX1955" s="0" t="s">
        <v>130</v>
      </c>
      <c r="BY1955" s="0" t="s">
        <v>130</v>
      </c>
      <c r="BZ1955" s="0" t="s">
        <v>130</v>
      </c>
      <c r="CA1955" s="0" t="s">
        <v>130</v>
      </c>
      <c r="CB1955" s="0" t="s">
        <v>130</v>
      </c>
      <c r="CC1955" s="0" t="s">
        <v>130</v>
      </c>
      <c r="CD1955" s="0" t="s">
        <v>130</v>
      </c>
      <c r="CE1955" s="0" t="s">
        <v>130</v>
      </c>
      <c r="CF1955" s="0" t="s">
        <v>130</v>
      </c>
      <c r="CG1955" s="0" t="s">
        <v>130</v>
      </c>
      <c r="CH1955" s="0" t="s">
        <v>130</v>
      </c>
      <c r="CI1955" s="0" t="s">
        <v>130</v>
      </c>
      <c r="CJ1955" s="0" t="s">
        <v>130</v>
      </c>
      <c r="CK1955" s="0" t="s">
        <v>130</v>
      </c>
      <c r="CL1955" s="0" t="s">
        <v>130</v>
      </c>
      <c r="CM1955" s="0" t="s">
        <v>130</v>
      </c>
      <c r="CN1955" s="0" t="s">
        <v>130</v>
      </c>
      <c r="CO1955" s="0" t="s">
        <v>130</v>
      </c>
      <c r="CP1955" s="0" t="s">
        <v>130</v>
      </c>
      <c r="CQ1955" s="0" t="s">
        <v>130</v>
      </c>
      <c r="CR1955" s="0" t="s">
        <v>130</v>
      </c>
      <c r="CS1955" s="0" t="s">
        <v>130</v>
      </c>
      <c r="CT1955" s="0" t="s">
        <v>5509</v>
      </c>
    </row>
    <row r="1956">
      <c r="A1956" s="14">
        <v>9268711</v>
      </c>
      <c r="B1956" s="0" t="s">
        <v>4005</v>
      </c>
      <c r="C1956" s="16">
        <f>HYPERLINK("https://eosportal.federatedhermes.com/companies/Q29tcGFueQppODU0MTQ=", "Shell PLC")</f>
      </c>
      <c r="D1956" s="0" t="s">
        <v>23</v>
      </c>
      <c r="E1956" s="0" t="s">
        <v>5510</v>
      </c>
      <c r="F1956" s="16">
        <f>HYPERLINK("https://eosportal.federatedhermes.com/engagements/RW5nYWdlbWVudAppMzE2ODE=", "Robust carbon offsetting strategy")</f>
      </c>
      <c r="G1956" s="14" t="s">
        <v>5511</v>
      </c>
      <c r="H1956" s="0" t="s">
        <v>141</v>
      </c>
      <c r="I1956" s="14" t="s">
        <v>191</v>
      </c>
      <c r="J1956" s="0" t="s">
        <v>197</v>
      </c>
      <c r="K1956" s="0" t="s">
        <v>198</v>
      </c>
      <c r="L1956" s="0" t="s">
        <v>216</v>
      </c>
      <c r="M1956" s="0" t="s">
        <v>272</v>
      </c>
      <c r="N1956" s="0" t="s">
        <v>273</v>
      </c>
      <c r="O1956" s="0" t="s">
        <v>542</v>
      </c>
      <c r="Q1956" s="0" t="s">
        <v>130</v>
      </c>
      <c r="R1956" s="0" t="s">
        <v>130</v>
      </c>
      <c r="S1956" s="14">
        <v>0</v>
      </c>
      <c r="T1956" s="0" t="s">
        <v>231</v>
      </c>
      <c r="U1956" s="0" t="s">
        <v>221</v>
      </c>
      <c r="V1956" s="14" t="s">
        <v>231</v>
      </c>
      <c r="W1956" s="0" t="s">
        <v>221</v>
      </c>
      <c r="X1956" s="14" t="s">
        <v>4412</v>
      </c>
      <c r="Y1956" s="0" t="s">
        <v>223</v>
      </c>
      <c r="Z1956" s="14" t="s">
        <v>138</v>
      </c>
      <c r="AA1956" s="0" t="s">
        <v>224</v>
      </c>
      <c r="AB1956" s="14" t="s">
        <v>138</v>
      </c>
      <c r="AD1956" s="0" t="s">
        <v>17</v>
      </c>
      <c r="AF1956" s="0">
        <v>0</v>
      </c>
      <c r="AG1956" s="0">
        <v>0</v>
      </c>
      <c r="AH1956" s="0" t="s">
        <v>140</v>
      </c>
      <c r="AI1956" s="0" t="s">
        <v>232</v>
      </c>
      <c r="AL1956" s="14"/>
      <c r="AN1956" s="14"/>
      <c r="AQ1956" s="0" t="s">
        <v>130</v>
      </c>
      <c r="AR1956" s="0" t="s">
        <v>130</v>
      </c>
      <c r="AS1956" s="0" t="s">
        <v>130</v>
      </c>
      <c r="AT1956" s="0" t="s">
        <v>130</v>
      </c>
      <c r="AU1956" s="0" t="s">
        <v>130</v>
      </c>
      <c r="AV1956" s="0" t="s">
        <v>130</v>
      </c>
      <c r="AW1956" s="0" t="s">
        <v>141</v>
      </c>
      <c r="AX1956" s="0" t="s">
        <v>130</v>
      </c>
      <c r="AY1956" s="0" t="s">
        <v>130</v>
      </c>
      <c r="AZ1956" s="0" t="s">
        <v>130</v>
      </c>
      <c r="BA1956" s="0" t="s">
        <v>130</v>
      </c>
      <c r="BB1956" s="0" t="s">
        <v>130</v>
      </c>
      <c r="BC1956" s="0" t="s">
        <v>141</v>
      </c>
      <c r="BD1956" s="0" t="s">
        <v>130</v>
      </c>
      <c r="BE1956" s="0" t="s">
        <v>130</v>
      </c>
      <c r="BF1956" s="0" t="s">
        <v>130</v>
      </c>
      <c r="BG1956" s="0" t="s">
        <v>130</v>
      </c>
      <c r="BH1956" s="0" t="s">
        <v>141</v>
      </c>
      <c r="BI1956" s="0" t="s">
        <v>141</v>
      </c>
      <c r="BJ1956" s="0" t="s">
        <v>141</v>
      </c>
      <c r="BK1956" s="0" t="s">
        <v>130</v>
      </c>
      <c r="BL1956" s="0" t="s">
        <v>130</v>
      </c>
      <c r="BM1956" s="0" t="s">
        <v>130</v>
      </c>
      <c r="BN1956" s="0" t="s">
        <v>130</v>
      </c>
      <c r="BO1956" s="0" t="s">
        <v>130</v>
      </c>
      <c r="BP1956" s="0" t="s">
        <v>130</v>
      </c>
      <c r="BQ1956" s="0" t="s">
        <v>130</v>
      </c>
      <c r="BR1956" s="0" t="s">
        <v>130</v>
      </c>
      <c r="BS1956" s="0" t="s">
        <v>130</v>
      </c>
      <c r="BT1956" s="0" t="s">
        <v>130</v>
      </c>
      <c r="BU1956" s="0" t="s">
        <v>130</v>
      </c>
      <c r="BV1956" s="0" t="s">
        <v>141</v>
      </c>
      <c r="BW1956" s="0" t="s">
        <v>141</v>
      </c>
      <c r="BX1956" s="0" t="s">
        <v>130</v>
      </c>
      <c r="BY1956" s="0" t="s">
        <v>130</v>
      </c>
      <c r="BZ1956" s="0" t="s">
        <v>130</v>
      </c>
      <c r="CA1956" s="0" t="s">
        <v>130</v>
      </c>
      <c r="CB1956" s="0" t="s">
        <v>130</v>
      </c>
      <c r="CC1956" s="0" t="s">
        <v>130</v>
      </c>
      <c r="CD1956" s="0" t="s">
        <v>130</v>
      </c>
      <c r="CE1956" s="0" t="s">
        <v>130</v>
      </c>
      <c r="CF1956" s="0" t="s">
        <v>130</v>
      </c>
      <c r="CG1956" s="0" t="s">
        <v>130</v>
      </c>
      <c r="CH1956" s="0" t="s">
        <v>130</v>
      </c>
      <c r="CI1956" s="0" t="s">
        <v>130</v>
      </c>
      <c r="CJ1956" s="0" t="s">
        <v>130</v>
      </c>
      <c r="CK1956" s="0" t="s">
        <v>130</v>
      </c>
      <c r="CL1956" s="0" t="s">
        <v>130</v>
      </c>
      <c r="CM1956" s="0" t="s">
        <v>130</v>
      </c>
      <c r="CN1956" s="0" t="s">
        <v>130</v>
      </c>
      <c r="CO1956" s="0" t="s">
        <v>130</v>
      </c>
      <c r="CP1956" s="0" t="s">
        <v>130</v>
      </c>
      <c r="CQ1956" s="0" t="s">
        <v>130</v>
      </c>
      <c r="CR1956" s="0" t="s">
        <v>130</v>
      </c>
      <c r="CS1956" s="0" t="s">
        <v>130</v>
      </c>
      <c r="CT1956" s="0" t="s">
        <v>5512</v>
      </c>
    </row>
    <row r="1957">
      <c r="A1957" s="14">
        <v>101499</v>
      </c>
      <c r="B1957" s="0" t="s">
        <v>1676</v>
      </c>
      <c r="C1957" s="16">
        <f>HYPERLINK("https://eosportal.federatedhermes.com/companies/Q29tcGFueQppNTg5Nzk=", "TC Energy Corp")</f>
      </c>
      <c r="D1957" s="0" t="s">
        <v>25</v>
      </c>
      <c r="E1957" s="0" t="s">
        <v>5513</v>
      </c>
      <c r="F1957" s="16">
        <f>HYPERLINK("https://eosportal.federatedhermes.com/engagements/RW5nYWdlbWVudAppMzE2ODM=", "Keystone pipeline spillage")</f>
      </c>
      <c r="G1957" s="14" t="s">
        <v>5514</v>
      </c>
      <c r="H1957" s="0" t="s">
        <v>130</v>
      </c>
      <c r="I1957" s="14" t="s">
        <v>131</v>
      </c>
      <c r="J1957" s="0" t="s">
        <v>197</v>
      </c>
      <c r="K1957" s="0" t="s">
        <v>348</v>
      </c>
      <c r="L1957" s="0" t="s">
        <v>650</v>
      </c>
      <c r="M1957" s="0" t="s">
        <v>135</v>
      </c>
      <c r="N1957" s="0" t="s">
        <v>1678</v>
      </c>
      <c r="O1957" s="0" t="s">
        <v>542</v>
      </c>
      <c r="Q1957" s="0" t="s">
        <v>130</v>
      </c>
      <c r="R1957" s="0" t="s">
        <v>138</v>
      </c>
      <c r="S1957" s="14">
        <v>0</v>
      </c>
      <c r="T1957" s="0" t="s">
        <v>2270</v>
      </c>
      <c r="U1957" s="0" t="s">
        <v>138</v>
      </c>
      <c r="V1957" s="14" t="s">
        <v>138</v>
      </c>
      <c r="W1957" s="0" t="s">
        <v>138</v>
      </c>
      <c r="X1957" s="14" t="s">
        <v>138</v>
      </c>
      <c r="Y1957" s="0" t="s">
        <v>138</v>
      </c>
      <c r="Z1957" s="14" t="s">
        <v>138</v>
      </c>
      <c r="AA1957" s="0" t="s">
        <v>138</v>
      </c>
      <c r="AB1957" s="14" t="s">
        <v>138</v>
      </c>
      <c r="AD1957" s="0" t="s">
        <v>138</v>
      </c>
      <c r="AF1957" s="0">
        <v>0</v>
      </c>
      <c r="AG1957" s="0">
        <v>0</v>
      </c>
      <c r="AH1957" s="0" t="s">
        <v>140</v>
      </c>
      <c r="AI1957" s="0" t="s">
        <v>138</v>
      </c>
      <c r="AL1957" s="14"/>
      <c r="AN1957" s="14"/>
      <c r="AQ1957" s="0" t="s">
        <v>130</v>
      </c>
      <c r="AR1957" s="0" t="s">
        <v>130</v>
      </c>
      <c r="AS1957" s="0" t="s">
        <v>141</v>
      </c>
      <c r="AT1957" s="0" t="s">
        <v>130</v>
      </c>
      <c r="AU1957" s="0" t="s">
        <v>130</v>
      </c>
      <c r="AV1957" s="0" t="s">
        <v>141</v>
      </c>
      <c r="AW1957" s="0" t="s">
        <v>130</v>
      </c>
      <c r="AX1957" s="0" t="s">
        <v>130</v>
      </c>
      <c r="AY1957" s="0" t="s">
        <v>130</v>
      </c>
      <c r="AZ1957" s="0" t="s">
        <v>130</v>
      </c>
      <c r="BA1957" s="0" t="s">
        <v>130</v>
      </c>
      <c r="BB1957" s="0" t="s">
        <v>130</v>
      </c>
      <c r="BC1957" s="0" t="s">
        <v>130</v>
      </c>
      <c r="BD1957" s="0" t="s">
        <v>141</v>
      </c>
      <c r="BE1957" s="0" t="s">
        <v>130</v>
      </c>
      <c r="BF1957" s="0" t="s">
        <v>130</v>
      </c>
      <c r="BG1957" s="0" t="s">
        <v>130</v>
      </c>
      <c r="BH1957" s="0" t="s">
        <v>130</v>
      </c>
      <c r="BI1957" s="0" t="s">
        <v>130</v>
      </c>
      <c r="BJ1957" s="0" t="s">
        <v>130</v>
      </c>
      <c r="BK1957" s="0" t="s">
        <v>130</v>
      </c>
      <c r="BL1957" s="0" t="s">
        <v>130</v>
      </c>
      <c r="BM1957" s="0" t="s">
        <v>130</v>
      </c>
      <c r="BN1957" s="0" t="s">
        <v>130</v>
      </c>
      <c r="BO1957" s="0" t="s">
        <v>130</v>
      </c>
      <c r="BP1957" s="0" t="s">
        <v>130</v>
      </c>
      <c r="BQ1957" s="0" t="s">
        <v>130</v>
      </c>
      <c r="BR1957" s="0" t="s">
        <v>130</v>
      </c>
      <c r="BS1957" s="0" t="s">
        <v>130</v>
      </c>
      <c r="BT1957" s="0" t="s">
        <v>130</v>
      </c>
      <c r="BU1957" s="0" t="s">
        <v>130</v>
      </c>
      <c r="BV1957" s="0" t="s">
        <v>130</v>
      </c>
      <c r="BW1957" s="0" t="s">
        <v>130</v>
      </c>
      <c r="BX1957" s="0" t="s">
        <v>130</v>
      </c>
      <c r="BY1957" s="0" t="s">
        <v>130</v>
      </c>
      <c r="BZ1957" s="0" t="s">
        <v>130</v>
      </c>
      <c r="CA1957" s="0" t="s">
        <v>130</v>
      </c>
      <c r="CB1957" s="0" t="s">
        <v>130</v>
      </c>
      <c r="CC1957" s="0" t="s">
        <v>130</v>
      </c>
      <c r="CD1957" s="0" t="s">
        <v>130</v>
      </c>
      <c r="CE1957" s="0" t="s">
        <v>130</v>
      </c>
      <c r="CF1957" s="0" t="s">
        <v>130</v>
      </c>
      <c r="CG1957" s="0" t="s">
        <v>130</v>
      </c>
      <c r="CH1957" s="0" t="s">
        <v>130</v>
      </c>
      <c r="CI1957" s="0" t="s">
        <v>130</v>
      </c>
      <c r="CJ1957" s="0" t="s">
        <v>130</v>
      </c>
      <c r="CK1957" s="0" t="s">
        <v>130</v>
      </c>
      <c r="CL1957" s="0" t="s">
        <v>130</v>
      </c>
      <c r="CM1957" s="0" t="s">
        <v>130</v>
      </c>
      <c r="CN1957" s="0" t="s">
        <v>130</v>
      </c>
      <c r="CO1957" s="0" t="s">
        <v>130</v>
      </c>
      <c r="CP1957" s="0" t="s">
        <v>130</v>
      </c>
      <c r="CQ1957" s="0" t="s">
        <v>130</v>
      </c>
      <c r="CR1957" s="0" t="s">
        <v>130</v>
      </c>
      <c r="CS1957" s="0" t="s">
        <v>130</v>
      </c>
      <c r="CT1957" s="0" t="s">
        <v>5515</v>
      </c>
    </row>
    <row r="1958">
      <c r="A1958" s="14">
        <v>117621</v>
      </c>
      <c r="B1958" s="0" t="s">
        <v>2862</v>
      </c>
      <c r="C1958" s="16">
        <f>HYPERLINK("https://eosportal.federatedhermes.com/companies/Q29tcGFueQppNjc3Mzc=", "Hyundai Motor Co")</f>
      </c>
      <c r="D1958" s="0" t="s">
        <v>23</v>
      </c>
      <c r="E1958" s="0" t="s">
        <v>5516</v>
      </c>
      <c r="F1958" s="16">
        <f>HYPERLINK("https://eosportal.federatedhermes.com/engagements/RW5nYWdlbWVudAppMzE2OTA=", "Management of ESG in the supply chain")</f>
      </c>
      <c r="G1958" s="14" t="s">
        <v>5517</v>
      </c>
      <c r="H1958" s="0" t="s">
        <v>141</v>
      </c>
      <c r="I1958" s="14" t="s">
        <v>191</v>
      </c>
      <c r="J1958" s="0" t="s">
        <v>153</v>
      </c>
      <c r="K1958" s="0" t="s">
        <v>243</v>
      </c>
      <c r="L1958" s="0" t="s">
        <v>244</v>
      </c>
      <c r="M1958" s="0" t="s">
        <v>802</v>
      </c>
      <c r="N1958" s="0" t="s">
        <v>2800</v>
      </c>
      <c r="O1958" s="0" t="s">
        <v>425</v>
      </c>
      <c r="Q1958" s="0" t="s">
        <v>141</v>
      </c>
      <c r="R1958" s="0" t="s">
        <v>130</v>
      </c>
      <c r="S1958" s="14">
        <v>1</v>
      </c>
      <c r="T1958" s="0" t="s">
        <v>2270</v>
      </c>
      <c r="U1958" s="0" t="s">
        <v>221</v>
      </c>
      <c r="V1958" s="14" t="s">
        <v>2270</v>
      </c>
      <c r="W1958" s="0" t="s">
        <v>221</v>
      </c>
      <c r="X1958" s="14" t="s">
        <v>2270</v>
      </c>
      <c r="Y1958" s="0" t="s">
        <v>221</v>
      </c>
      <c r="Z1958" s="14" t="s">
        <v>3562</v>
      </c>
      <c r="AA1958" s="0" t="s">
        <v>223</v>
      </c>
      <c r="AB1958" s="14" t="s">
        <v>138</v>
      </c>
      <c r="AD1958" s="0" t="s">
        <v>20</v>
      </c>
      <c r="AF1958" s="0">
        <v>0</v>
      </c>
      <c r="AG1958" s="0">
        <v>0</v>
      </c>
      <c r="AH1958" s="0" t="s">
        <v>140</v>
      </c>
      <c r="AI1958" s="0" t="s">
        <v>479</v>
      </c>
      <c r="AK1958" s="0" t="s">
        <v>2866</v>
      </c>
      <c r="AL1958" s="14"/>
      <c r="AN1958" s="14"/>
      <c r="AQ1958" s="0" t="s">
        <v>130</v>
      </c>
      <c r="AR1958" s="0" t="s">
        <v>130</v>
      </c>
      <c r="AS1958" s="0" t="s">
        <v>130</v>
      </c>
      <c r="AT1958" s="0" t="s">
        <v>130</v>
      </c>
      <c r="AU1958" s="0" t="s">
        <v>130</v>
      </c>
      <c r="AV1958" s="0" t="s">
        <v>130</v>
      </c>
      <c r="AW1958" s="0" t="s">
        <v>130</v>
      </c>
      <c r="AX1958" s="0" t="s">
        <v>141</v>
      </c>
      <c r="AY1958" s="0" t="s">
        <v>130</v>
      </c>
      <c r="AZ1958" s="0" t="s">
        <v>130</v>
      </c>
      <c r="BA1958" s="0" t="s">
        <v>130</v>
      </c>
      <c r="BB1958" s="0" t="s">
        <v>130</v>
      </c>
      <c r="BC1958" s="0" t="s">
        <v>130</v>
      </c>
      <c r="BD1958" s="0" t="s">
        <v>130</v>
      </c>
      <c r="BE1958" s="0" t="s">
        <v>130</v>
      </c>
      <c r="BF1958" s="0" t="s">
        <v>130</v>
      </c>
      <c r="BG1958" s="0" t="s">
        <v>130</v>
      </c>
      <c r="BH1958" s="0" t="s">
        <v>130</v>
      </c>
      <c r="BI1958" s="0" t="s">
        <v>130</v>
      </c>
      <c r="BJ1958" s="0" t="s">
        <v>130</v>
      </c>
      <c r="BK1958" s="0" t="s">
        <v>130</v>
      </c>
      <c r="BL1958" s="0" t="s">
        <v>130</v>
      </c>
      <c r="BM1958" s="0" t="s">
        <v>130</v>
      </c>
      <c r="BN1958" s="0" t="s">
        <v>130</v>
      </c>
      <c r="BO1958" s="0" t="s">
        <v>130</v>
      </c>
      <c r="BP1958" s="0" t="s">
        <v>130</v>
      </c>
      <c r="BQ1958" s="0" t="s">
        <v>130</v>
      </c>
      <c r="BR1958" s="0" t="s">
        <v>130</v>
      </c>
      <c r="BS1958" s="0" t="s">
        <v>130</v>
      </c>
      <c r="BT1958" s="0" t="s">
        <v>130</v>
      </c>
      <c r="BU1958" s="0" t="s">
        <v>130</v>
      </c>
      <c r="BV1958" s="0" t="s">
        <v>130</v>
      </c>
      <c r="BW1958" s="0" t="s">
        <v>130</v>
      </c>
      <c r="BX1958" s="0" t="s">
        <v>130</v>
      </c>
      <c r="BY1958" s="0" t="s">
        <v>130</v>
      </c>
      <c r="BZ1958" s="0" t="s">
        <v>130</v>
      </c>
      <c r="CA1958" s="0" t="s">
        <v>130</v>
      </c>
      <c r="CB1958" s="0" t="s">
        <v>130</v>
      </c>
      <c r="CC1958" s="0" t="s">
        <v>130</v>
      </c>
      <c r="CD1958" s="0" t="s">
        <v>130</v>
      </c>
      <c r="CE1958" s="0" t="s">
        <v>130</v>
      </c>
      <c r="CF1958" s="0" t="s">
        <v>130</v>
      </c>
      <c r="CG1958" s="0" t="s">
        <v>130</v>
      </c>
      <c r="CH1958" s="0" t="s">
        <v>130</v>
      </c>
      <c r="CI1958" s="0" t="s">
        <v>130</v>
      </c>
      <c r="CJ1958" s="0" t="s">
        <v>130</v>
      </c>
      <c r="CK1958" s="0" t="s">
        <v>130</v>
      </c>
      <c r="CL1958" s="0" t="s">
        <v>130</v>
      </c>
      <c r="CM1958" s="0" t="s">
        <v>130</v>
      </c>
      <c r="CN1958" s="0" t="s">
        <v>130</v>
      </c>
      <c r="CO1958" s="0" t="s">
        <v>130</v>
      </c>
      <c r="CP1958" s="0" t="s">
        <v>130</v>
      </c>
      <c r="CQ1958" s="0" t="s">
        <v>130</v>
      </c>
      <c r="CR1958" s="0" t="s">
        <v>130</v>
      </c>
      <c r="CS1958" s="0" t="s">
        <v>130</v>
      </c>
      <c r="CT1958" s="0" t="s">
        <v>5518</v>
      </c>
    </row>
    <row r="1959">
      <c r="A1959" s="14">
        <v>117621</v>
      </c>
      <c r="B1959" s="0" t="s">
        <v>2862</v>
      </c>
      <c r="C1959" s="16">
        <f>HYPERLINK("https://eosportal.federatedhermes.com/companies/Q29tcGFueQppNjc3Mzc=", "Hyundai Motor Co")</f>
      </c>
      <c r="D1959" s="0" t="s">
        <v>23</v>
      </c>
      <c r="E1959" s="0" t="s">
        <v>5519</v>
      </c>
      <c r="F1959" s="16">
        <f>HYPERLINK("https://eosportal.federatedhermes.com/engagements/RW5nYWdlbWVudAppMzE2OTE=", "Validation of carbon emission targets")</f>
      </c>
      <c r="G1959" s="14" t="s">
        <v>5520</v>
      </c>
      <c r="H1959" s="0" t="s">
        <v>141</v>
      </c>
      <c r="I1959" s="14" t="s">
        <v>191</v>
      </c>
      <c r="J1959" s="0" t="s">
        <v>197</v>
      </c>
      <c r="K1959" s="0" t="s">
        <v>198</v>
      </c>
      <c r="L1959" s="0" t="s">
        <v>216</v>
      </c>
      <c r="M1959" s="0" t="s">
        <v>802</v>
      </c>
      <c r="N1959" s="0" t="s">
        <v>2800</v>
      </c>
      <c r="O1959" s="0" t="s">
        <v>425</v>
      </c>
      <c r="Q1959" s="0" t="s">
        <v>130</v>
      </c>
      <c r="R1959" s="0" t="s">
        <v>130</v>
      </c>
      <c r="S1959" s="14">
        <v>0</v>
      </c>
      <c r="T1959" s="0" t="s">
        <v>2270</v>
      </c>
      <c r="U1959" s="0" t="s">
        <v>221</v>
      </c>
      <c r="V1959" s="14" t="s">
        <v>2270</v>
      </c>
      <c r="W1959" s="0" t="s">
        <v>221</v>
      </c>
      <c r="X1959" s="14" t="s">
        <v>2270</v>
      </c>
      <c r="Y1959" s="0" t="s">
        <v>223</v>
      </c>
      <c r="Z1959" s="14" t="s">
        <v>138</v>
      </c>
      <c r="AA1959" s="0" t="s">
        <v>224</v>
      </c>
      <c r="AB1959" s="14" t="s">
        <v>138</v>
      </c>
      <c r="AD1959" s="0" t="s">
        <v>17</v>
      </c>
      <c r="AF1959" s="0">
        <v>0</v>
      </c>
      <c r="AG1959" s="0">
        <v>0</v>
      </c>
      <c r="AH1959" s="0" t="s">
        <v>140</v>
      </c>
      <c r="AI1959" s="0" t="s">
        <v>479</v>
      </c>
      <c r="AL1959" s="14"/>
      <c r="AN1959" s="14"/>
      <c r="AQ1959" s="0" t="s">
        <v>130</v>
      </c>
      <c r="AR1959" s="0" t="s">
        <v>130</v>
      </c>
      <c r="AS1959" s="0" t="s">
        <v>130</v>
      </c>
      <c r="AT1959" s="0" t="s">
        <v>130</v>
      </c>
      <c r="AU1959" s="0" t="s">
        <v>130</v>
      </c>
      <c r="AV1959" s="0" t="s">
        <v>130</v>
      </c>
      <c r="AW1959" s="0" t="s">
        <v>141</v>
      </c>
      <c r="AX1959" s="0" t="s">
        <v>130</v>
      </c>
      <c r="AY1959" s="0" t="s">
        <v>130</v>
      </c>
      <c r="AZ1959" s="0" t="s">
        <v>130</v>
      </c>
      <c r="BA1959" s="0" t="s">
        <v>130</v>
      </c>
      <c r="BB1959" s="0" t="s">
        <v>130</v>
      </c>
      <c r="BC1959" s="0" t="s">
        <v>141</v>
      </c>
      <c r="BD1959" s="0" t="s">
        <v>130</v>
      </c>
      <c r="BE1959" s="0" t="s">
        <v>130</v>
      </c>
      <c r="BF1959" s="0" t="s">
        <v>130</v>
      </c>
      <c r="BG1959" s="0" t="s">
        <v>130</v>
      </c>
      <c r="BH1959" s="0" t="s">
        <v>141</v>
      </c>
      <c r="BI1959" s="0" t="s">
        <v>141</v>
      </c>
      <c r="BJ1959" s="0" t="s">
        <v>141</v>
      </c>
      <c r="BK1959" s="0" t="s">
        <v>130</v>
      </c>
      <c r="BL1959" s="0" t="s">
        <v>130</v>
      </c>
      <c r="BM1959" s="0" t="s">
        <v>130</v>
      </c>
      <c r="BN1959" s="0" t="s">
        <v>130</v>
      </c>
      <c r="BO1959" s="0" t="s">
        <v>130</v>
      </c>
      <c r="BP1959" s="0" t="s">
        <v>130</v>
      </c>
      <c r="BQ1959" s="0" t="s">
        <v>130</v>
      </c>
      <c r="BR1959" s="0" t="s">
        <v>130</v>
      </c>
      <c r="BS1959" s="0" t="s">
        <v>130</v>
      </c>
      <c r="BT1959" s="0" t="s">
        <v>130</v>
      </c>
      <c r="BU1959" s="0" t="s">
        <v>130</v>
      </c>
      <c r="BV1959" s="0" t="s">
        <v>141</v>
      </c>
      <c r="BW1959" s="0" t="s">
        <v>141</v>
      </c>
      <c r="BX1959" s="0" t="s">
        <v>130</v>
      </c>
      <c r="BY1959" s="0" t="s">
        <v>130</v>
      </c>
      <c r="BZ1959" s="0" t="s">
        <v>130</v>
      </c>
      <c r="CA1959" s="0" t="s">
        <v>130</v>
      </c>
      <c r="CB1959" s="0" t="s">
        <v>130</v>
      </c>
      <c r="CC1959" s="0" t="s">
        <v>130</v>
      </c>
      <c r="CD1959" s="0" t="s">
        <v>130</v>
      </c>
      <c r="CE1959" s="0" t="s">
        <v>130</v>
      </c>
      <c r="CF1959" s="0" t="s">
        <v>130</v>
      </c>
      <c r="CG1959" s="0" t="s">
        <v>130</v>
      </c>
      <c r="CH1959" s="0" t="s">
        <v>130</v>
      </c>
      <c r="CI1959" s="0" t="s">
        <v>130</v>
      </c>
      <c r="CJ1959" s="0" t="s">
        <v>130</v>
      </c>
      <c r="CK1959" s="0" t="s">
        <v>130</v>
      </c>
      <c r="CL1959" s="0" t="s">
        <v>130</v>
      </c>
      <c r="CM1959" s="0" t="s">
        <v>130</v>
      </c>
      <c r="CN1959" s="0" t="s">
        <v>130</v>
      </c>
      <c r="CO1959" s="0" t="s">
        <v>130</v>
      </c>
      <c r="CP1959" s="0" t="s">
        <v>130</v>
      </c>
      <c r="CQ1959" s="0" t="s">
        <v>130</v>
      </c>
      <c r="CR1959" s="0" t="s">
        <v>130</v>
      </c>
      <c r="CS1959" s="0" t="s">
        <v>130</v>
      </c>
      <c r="CT1959" s="0" t="s">
        <v>5521</v>
      </c>
    </row>
    <row r="1960">
      <c r="A1960" s="14">
        <v>108620</v>
      </c>
      <c r="B1960" s="0" t="s">
        <v>2194</v>
      </c>
      <c r="C1960" s="16">
        <f>HYPERLINK("https://eosportal.federatedhermes.com/companies/Q29tcGFueQppNzU3MjE=", "Canadian Imperial Bank of Commerce")</f>
      </c>
      <c r="D1960" s="0" t="s">
        <v>23</v>
      </c>
      <c r="E1960" s="0" t="s">
        <v>228</v>
      </c>
      <c r="F1960" s="16">
        <f>HYPERLINK("https://eosportal.federatedhermes.com/engagements/RW5nYWdlbWVudAppMzE2OTI=", "Climate strategy")</f>
      </c>
      <c r="G1960" s="14" t="s">
        <v>5522</v>
      </c>
      <c r="H1960" s="0" t="s">
        <v>141</v>
      </c>
      <c r="I1960" s="14" t="s">
        <v>191</v>
      </c>
      <c r="J1960" s="0" t="s">
        <v>197</v>
      </c>
      <c r="K1960" s="0" t="s">
        <v>198</v>
      </c>
      <c r="L1960" s="0" t="s">
        <v>220</v>
      </c>
      <c r="M1960" s="0" t="s">
        <v>135</v>
      </c>
      <c r="N1960" s="0" t="s">
        <v>1678</v>
      </c>
      <c r="O1960" s="0" t="s">
        <v>238</v>
      </c>
      <c r="Q1960" s="0" t="s">
        <v>130</v>
      </c>
      <c r="R1960" s="0" t="s">
        <v>130</v>
      </c>
      <c r="S1960" s="14">
        <v>0</v>
      </c>
      <c r="T1960" s="0" t="s">
        <v>2270</v>
      </c>
      <c r="U1960" s="0" t="s">
        <v>221</v>
      </c>
      <c r="V1960" s="14" t="s">
        <v>2270</v>
      </c>
      <c r="W1960" s="0" t="s">
        <v>221</v>
      </c>
      <c r="X1960" s="14" t="s">
        <v>2270</v>
      </c>
      <c r="Y1960" s="0" t="s">
        <v>221</v>
      </c>
      <c r="Z1960" s="14" t="s">
        <v>360</v>
      </c>
      <c r="AA1960" s="0" t="s">
        <v>223</v>
      </c>
      <c r="AB1960" s="14" t="s">
        <v>138</v>
      </c>
      <c r="AD1960" s="0" t="s">
        <v>20</v>
      </c>
      <c r="AF1960" s="0">
        <v>0</v>
      </c>
      <c r="AG1960" s="0">
        <v>0</v>
      </c>
      <c r="AH1960" s="0" t="s">
        <v>140</v>
      </c>
      <c r="AI1960" s="0" t="s">
        <v>479</v>
      </c>
      <c r="AL1960" s="14"/>
      <c r="AN1960" s="14"/>
      <c r="AQ1960" s="0" t="s">
        <v>130</v>
      </c>
      <c r="AR1960" s="0" t="s">
        <v>130</v>
      </c>
      <c r="AS1960" s="0" t="s">
        <v>130</v>
      </c>
      <c r="AT1960" s="0" t="s">
        <v>130</v>
      </c>
      <c r="AU1960" s="0" t="s">
        <v>130</v>
      </c>
      <c r="AV1960" s="0" t="s">
        <v>130</v>
      </c>
      <c r="AW1960" s="0" t="s">
        <v>141</v>
      </c>
      <c r="AX1960" s="0" t="s">
        <v>130</v>
      </c>
      <c r="AY1960" s="0" t="s">
        <v>141</v>
      </c>
      <c r="AZ1960" s="0" t="s">
        <v>130</v>
      </c>
      <c r="BA1960" s="0" t="s">
        <v>130</v>
      </c>
      <c r="BB1960" s="0" t="s">
        <v>130</v>
      </c>
      <c r="BC1960" s="0" t="s">
        <v>141</v>
      </c>
      <c r="BD1960" s="0" t="s">
        <v>130</v>
      </c>
      <c r="BE1960" s="0" t="s">
        <v>130</v>
      </c>
      <c r="BF1960" s="0" t="s">
        <v>130</v>
      </c>
      <c r="BG1960" s="0" t="s">
        <v>130</v>
      </c>
      <c r="BH1960" s="0" t="s">
        <v>141</v>
      </c>
      <c r="BI1960" s="0" t="s">
        <v>141</v>
      </c>
      <c r="BJ1960" s="0" t="s">
        <v>141</v>
      </c>
      <c r="BK1960" s="0" t="s">
        <v>130</v>
      </c>
      <c r="BL1960" s="0" t="s">
        <v>130</v>
      </c>
      <c r="BM1960" s="0" t="s">
        <v>130</v>
      </c>
      <c r="BN1960" s="0" t="s">
        <v>130</v>
      </c>
      <c r="BO1960" s="0" t="s">
        <v>130</v>
      </c>
      <c r="BP1960" s="0" t="s">
        <v>130</v>
      </c>
      <c r="BQ1960" s="0" t="s">
        <v>130</v>
      </c>
      <c r="BR1960" s="0" t="s">
        <v>130</v>
      </c>
      <c r="BS1960" s="0" t="s">
        <v>130</v>
      </c>
      <c r="BT1960" s="0" t="s">
        <v>130</v>
      </c>
      <c r="BU1960" s="0" t="s">
        <v>130</v>
      </c>
      <c r="BV1960" s="0" t="s">
        <v>141</v>
      </c>
      <c r="BW1960" s="0" t="s">
        <v>141</v>
      </c>
      <c r="BX1960" s="0" t="s">
        <v>130</v>
      </c>
      <c r="BY1960" s="0" t="s">
        <v>130</v>
      </c>
      <c r="BZ1960" s="0" t="s">
        <v>130</v>
      </c>
      <c r="CA1960" s="0" t="s">
        <v>130</v>
      </c>
      <c r="CB1960" s="0" t="s">
        <v>130</v>
      </c>
      <c r="CC1960" s="0" t="s">
        <v>130</v>
      </c>
      <c r="CD1960" s="0" t="s">
        <v>130</v>
      </c>
      <c r="CE1960" s="0" t="s">
        <v>130</v>
      </c>
      <c r="CF1960" s="0" t="s">
        <v>130</v>
      </c>
      <c r="CG1960" s="0" t="s">
        <v>130</v>
      </c>
      <c r="CH1960" s="0" t="s">
        <v>130</v>
      </c>
      <c r="CI1960" s="0" t="s">
        <v>130</v>
      </c>
      <c r="CJ1960" s="0" t="s">
        <v>130</v>
      </c>
      <c r="CK1960" s="0" t="s">
        <v>130</v>
      </c>
      <c r="CL1960" s="0" t="s">
        <v>130</v>
      </c>
      <c r="CM1960" s="0" t="s">
        <v>130</v>
      </c>
      <c r="CN1960" s="0" t="s">
        <v>130</v>
      </c>
      <c r="CO1960" s="0" t="s">
        <v>130</v>
      </c>
      <c r="CP1960" s="0" t="s">
        <v>130</v>
      </c>
      <c r="CQ1960" s="0" t="s">
        <v>130</v>
      </c>
      <c r="CR1960" s="0" t="s">
        <v>130</v>
      </c>
      <c r="CS1960" s="0" t="s">
        <v>130</v>
      </c>
      <c r="CT1960" s="0" t="s">
        <v>5523</v>
      </c>
    </row>
    <row r="1961">
      <c r="A1961" s="14">
        <v>115785</v>
      </c>
      <c r="B1961" s="0" t="s">
        <v>2695</v>
      </c>
      <c r="C1961" s="16">
        <f>HYPERLINK("https://eosportal.federatedhermes.com/companies/Q29tcGFueQppODU0NDE=", "Roche Holding AG")</f>
      </c>
      <c r="D1961" s="0" t="s">
        <v>25</v>
      </c>
      <c r="E1961" s="0" t="s">
        <v>5524</v>
      </c>
      <c r="F1961" s="16">
        <f>HYPERLINK("https://eosportal.federatedhermes.com/engagements/RW5nYWdlbWVudAppMzE2OTQ=", "Biodiversity impact")</f>
      </c>
      <c r="G1961" s="14" t="s">
        <v>5525</v>
      </c>
      <c r="H1961" s="0" t="s">
        <v>141</v>
      </c>
      <c r="I1961" s="14" t="s">
        <v>191</v>
      </c>
      <c r="J1961" s="0" t="s">
        <v>197</v>
      </c>
      <c r="K1961" s="0" t="s">
        <v>337</v>
      </c>
      <c r="L1961" s="0" t="s">
        <v>576</v>
      </c>
      <c r="M1961" s="0" t="s">
        <v>378</v>
      </c>
      <c r="N1961" s="0" t="s">
        <v>1059</v>
      </c>
      <c r="O1961" s="0" t="s">
        <v>274</v>
      </c>
      <c r="Q1961" s="0" t="s">
        <v>130</v>
      </c>
      <c r="R1961" s="0" t="s">
        <v>138</v>
      </c>
      <c r="S1961" s="14">
        <v>0</v>
      </c>
      <c r="T1961" s="0" t="s">
        <v>2270</v>
      </c>
      <c r="U1961" s="0" t="s">
        <v>138</v>
      </c>
      <c r="V1961" s="14" t="s">
        <v>138</v>
      </c>
      <c r="W1961" s="0" t="s">
        <v>138</v>
      </c>
      <c r="X1961" s="14" t="s">
        <v>138</v>
      </c>
      <c r="Y1961" s="0" t="s">
        <v>138</v>
      </c>
      <c r="Z1961" s="14" t="s">
        <v>138</v>
      </c>
      <c r="AA1961" s="0" t="s">
        <v>138</v>
      </c>
      <c r="AB1961" s="14" t="s">
        <v>138</v>
      </c>
      <c r="AD1961" s="0" t="s">
        <v>138</v>
      </c>
      <c r="AF1961" s="0">
        <v>0</v>
      </c>
      <c r="AG1961" s="0">
        <v>0</v>
      </c>
      <c r="AH1961" s="0" t="s">
        <v>140</v>
      </c>
      <c r="AI1961" s="0" t="s">
        <v>138</v>
      </c>
      <c r="AL1961" s="14"/>
      <c r="AN1961" s="14"/>
      <c r="AQ1961" s="0" t="s">
        <v>130</v>
      </c>
      <c r="AR1961" s="0" t="s">
        <v>141</v>
      </c>
      <c r="AS1961" s="0" t="s">
        <v>130</v>
      </c>
      <c r="AT1961" s="0" t="s">
        <v>130</v>
      </c>
      <c r="AU1961" s="0" t="s">
        <v>130</v>
      </c>
      <c r="AV1961" s="0" t="s">
        <v>141</v>
      </c>
      <c r="AW1961" s="0" t="s">
        <v>130</v>
      </c>
      <c r="AX1961" s="0" t="s">
        <v>130</v>
      </c>
      <c r="AY1961" s="0" t="s">
        <v>130</v>
      </c>
      <c r="AZ1961" s="0" t="s">
        <v>130</v>
      </c>
      <c r="BA1961" s="0" t="s">
        <v>141</v>
      </c>
      <c r="BB1961" s="0" t="s">
        <v>141</v>
      </c>
      <c r="BC1961" s="0" t="s">
        <v>130</v>
      </c>
      <c r="BD1961" s="0" t="s">
        <v>141</v>
      </c>
      <c r="BE1961" s="0" t="s">
        <v>141</v>
      </c>
      <c r="BF1961" s="0" t="s">
        <v>130</v>
      </c>
      <c r="BG1961" s="0" t="s">
        <v>130</v>
      </c>
      <c r="BH1961" s="0" t="s">
        <v>130</v>
      </c>
      <c r="BI1961" s="0" t="s">
        <v>130</v>
      </c>
      <c r="BJ1961" s="0" t="s">
        <v>130</v>
      </c>
      <c r="BK1961" s="0" t="s">
        <v>130</v>
      </c>
      <c r="BL1961" s="0" t="s">
        <v>130</v>
      </c>
      <c r="BM1961" s="0" t="s">
        <v>130</v>
      </c>
      <c r="BN1961" s="0" t="s">
        <v>130</v>
      </c>
      <c r="BO1961" s="0" t="s">
        <v>130</v>
      </c>
      <c r="BP1961" s="0" t="s">
        <v>130</v>
      </c>
      <c r="BQ1961" s="0" t="s">
        <v>130</v>
      </c>
      <c r="BR1961" s="0" t="s">
        <v>130</v>
      </c>
      <c r="BS1961" s="0" t="s">
        <v>130</v>
      </c>
      <c r="BT1961" s="0" t="s">
        <v>130</v>
      </c>
      <c r="BU1961" s="0" t="s">
        <v>130</v>
      </c>
      <c r="BV1961" s="0" t="s">
        <v>130</v>
      </c>
      <c r="BW1961" s="0" t="s">
        <v>130</v>
      </c>
      <c r="BX1961" s="0" t="s">
        <v>130</v>
      </c>
      <c r="BY1961" s="0" t="s">
        <v>130</v>
      </c>
      <c r="BZ1961" s="0" t="s">
        <v>130</v>
      </c>
      <c r="CA1961" s="0" t="s">
        <v>130</v>
      </c>
      <c r="CB1961" s="0" t="s">
        <v>130</v>
      </c>
      <c r="CC1961" s="0" t="s">
        <v>130</v>
      </c>
      <c r="CD1961" s="0" t="s">
        <v>130</v>
      </c>
      <c r="CE1961" s="0" t="s">
        <v>130</v>
      </c>
      <c r="CF1961" s="0" t="s">
        <v>130</v>
      </c>
      <c r="CG1961" s="0" t="s">
        <v>130</v>
      </c>
      <c r="CH1961" s="0" t="s">
        <v>130</v>
      </c>
      <c r="CI1961" s="0" t="s">
        <v>130</v>
      </c>
      <c r="CJ1961" s="0" t="s">
        <v>130</v>
      </c>
      <c r="CK1961" s="0" t="s">
        <v>130</v>
      </c>
      <c r="CL1961" s="0" t="s">
        <v>130</v>
      </c>
      <c r="CM1961" s="0" t="s">
        <v>130</v>
      </c>
      <c r="CN1961" s="0" t="s">
        <v>130</v>
      </c>
      <c r="CO1961" s="0" t="s">
        <v>130</v>
      </c>
      <c r="CP1961" s="0" t="s">
        <v>130</v>
      </c>
      <c r="CQ1961" s="0" t="s">
        <v>130</v>
      </c>
      <c r="CR1961" s="0" t="s">
        <v>130</v>
      </c>
      <c r="CS1961" s="0" t="s">
        <v>130</v>
      </c>
      <c r="CT1961" s="0" t="s">
        <v>5526</v>
      </c>
    </row>
    <row r="1962">
      <c r="A1962" s="14">
        <v>111435</v>
      </c>
      <c r="B1962" s="0" t="s">
        <v>406</v>
      </c>
      <c r="C1962" s="16">
        <f>HYPERLINK("https://eosportal.federatedhermes.com/companies/Q29tcGFueQppNzgyNjk=", "CRH PLC")</f>
      </c>
      <c r="D1962" s="0" t="s">
        <v>23</v>
      </c>
      <c r="E1962" s="0" t="s">
        <v>5527</v>
      </c>
      <c r="F1962" s="16">
        <f>HYPERLINK("https://eosportal.federatedhermes.com/engagements/RW5nYWdlbWVudAppMzE2OTY=", "Assurance of sufficiency of climate strategy")</f>
      </c>
      <c r="G1962" s="14" t="s">
        <v>5528</v>
      </c>
      <c r="H1962" s="0" t="s">
        <v>141</v>
      </c>
      <c r="I1962" s="14" t="s">
        <v>191</v>
      </c>
      <c r="J1962" s="0" t="s">
        <v>197</v>
      </c>
      <c r="K1962" s="0" t="s">
        <v>198</v>
      </c>
      <c r="L1962" s="0" t="s">
        <v>199</v>
      </c>
      <c r="M1962" s="0" t="s">
        <v>378</v>
      </c>
      <c r="N1962" s="0" t="s">
        <v>409</v>
      </c>
      <c r="O1962" s="0" t="s">
        <v>373</v>
      </c>
      <c r="Q1962" s="0" t="s">
        <v>141</v>
      </c>
      <c r="R1962" s="0" t="s">
        <v>141</v>
      </c>
      <c r="S1962" s="14">
        <v>1</v>
      </c>
      <c r="T1962" s="0" t="s">
        <v>394</v>
      </c>
      <c r="U1962" s="0" t="s">
        <v>221</v>
      </c>
      <c r="V1962" s="14" t="s">
        <v>394</v>
      </c>
      <c r="W1962" s="0" t="s">
        <v>221</v>
      </c>
      <c r="X1962" s="14" t="s">
        <v>206</v>
      </c>
      <c r="Y1962" s="0" t="s">
        <v>221</v>
      </c>
      <c r="Z1962" s="14" t="s">
        <v>3562</v>
      </c>
      <c r="AA1962" s="0" t="s">
        <v>221</v>
      </c>
      <c r="AB1962" s="14" t="s">
        <v>361</v>
      </c>
      <c r="AC1962" s="0" t="s">
        <v>20</v>
      </c>
      <c r="AD1962" s="0" t="s">
        <v>362</v>
      </c>
      <c r="AE1962" s="0" t="s">
        <v>363</v>
      </c>
      <c r="AF1962" s="0">
        <v>1</v>
      </c>
      <c r="AG1962" s="0">
        <v>0</v>
      </c>
      <c r="AH1962" s="0" t="s">
        <v>140</v>
      </c>
      <c r="AI1962" s="0" t="s">
        <v>221</v>
      </c>
      <c r="AJ1962" s="0" t="s">
        <v>577</v>
      </c>
      <c r="AK1962" s="0" t="s">
        <v>1834</v>
      </c>
      <c r="AL1962" s="14" t="s">
        <v>5529</v>
      </c>
      <c r="AM1962" s="0" t="s">
        <v>580</v>
      </c>
      <c r="AN1962" s="14"/>
      <c r="AQ1962" s="0" t="s">
        <v>130</v>
      </c>
      <c r="AR1962" s="0" t="s">
        <v>130</v>
      </c>
      <c r="AS1962" s="0" t="s">
        <v>130</v>
      </c>
      <c r="AT1962" s="0" t="s">
        <v>130</v>
      </c>
      <c r="AU1962" s="0" t="s">
        <v>130</v>
      </c>
      <c r="AV1962" s="0" t="s">
        <v>130</v>
      </c>
      <c r="AW1962" s="0" t="s">
        <v>130</v>
      </c>
      <c r="AX1962" s="0" t="s">
        <v>130</v>
      </c>
      <c r="AY1962" s="0" t="s">
        <v>130</v>
      </c>
      <c r="AZ1962" s="0" t="s">
        <v>130</v>
      </c>
      <c r="BA1962" s="0" t="s">
        <v>130</v>
      </c>
      <c r="BB1962" s="0" t="s">
        <v>141</v>
      </c>
      <c r="BC1962" s="0" t="s">
        <v>130</v>
      </c>
      <c r="BD1962" s="0" t="s">
        <v>130</v>
      </c>
      <c r="BE1962" s="0" t="s">
        <v>130</v>
      </c>
      <c r="BF1962" s="0" t="s">
        <v>130</v>
      </c>
      <c r="BG1962" s="0" t="s">
        <v>130</v>
      </c>
      <c r="BH1962" s="0" t="s">
        <v>130</v>
      </c>
      <c r="BI1962" s="0" t="s">
        <v>130</v>
      </c>
      <c r="BJ1962" s="0" t="s">
        <v>130</v>
      </c>
      <c r="BK1962" s="0" t="s">
        <v>130</v>
      </c>
      <c r="BL1962" s="0" t="s">
        <v>130</v>
      </c>
      <c r="BM1962" s="0" t="s">
        <v>130</v>
      </c>
      <c r="BN1962" s="0" t="s">
        <v>130</v>
      </c>
      <c r="BO1962" s="0" t="s">
        <v>130</v>
      </c>
      <c r="BP1962" s="0" t="s">
        <v>130</v>
      </c>
      <c r="BQ1962" s="0" t="s">
        <v>130</v>
      </c>
      <c r="BR1962" s="0" t="s">
        <v>130</v>
      </c>
      <c r="BS1962" s="0" t="s">
        <v>130</v>
      </c>
      <c r="BT1962" s="0" t="s">
        <v>130</v>
      </c>
      <c r="BU1962" s="0" t="s">
        <v>130</v>
      </c>
      <c r="BV1962" s="0" t="s">
        <v>130</v>
      </c>
      <c r="BW1962" s="0" t="s">
        <v>130</v>
      </c>
      <c r="BX1962" s="0" t="s">
        <v>130</v>
      </c>
      <c r="BY1962" s="0" t="s">
        <v>130</v>
      </c>
      <c r="BZ1962" s="0" t="s">
        <v>130</v>
      </c>
      <c r="CA1962" s="0" t="s">
        <v>130</v>
      </c>
      <c r="CB1962" s="0" t="s">
        <v>130</v>
      </c>
      <c r="CC1962" s="0" t="s">
        <v>130</v>
      </c>
      <c r="CD1962" s="0" t="s">
        <v>130</v>
      </c>
      <c r="CE1962" s="0" t="s">
        <v>130</v>
      </c>
      <c r="CF1962" s="0" t="s">
        <v>130</v>
      </c>
      <c r="CG1962" s="0" t="s">
        <v>130</v>
      </c>
      <c r="CH1962" s="0" t="s">
        <v>130</v>
      </c>
      <c r="CI1962" s="0" t="s">
        <v>130</v>
      </c>
      <c r="CJ1962" s="0" t="s">
        <v>130</v>
      </c>
      <c r="CK1962" s="0" t="s">
        <v>130</v>
      </c>
      <c r="CL1962" s="0" t="s">
        <v>130</v>
      </c>
      <c r="CM1962" s="0" t="s">
        <v>130</v>
      </c>
      <c r="CN1962" s="0" t="s">
        <v>130</v>
      </c>
      <c r="CO1962" s="0" t="s">
        <v>130</v>
      </c>
      <c r="CP1962" s="0" t="s">
        <v>130</v>
      </c>
      <c r="CQ1962" s="0" t="s">
        <v>130</v>
      </c>
      <c r="CR1962" s="0" t="s">
        <v>130</v>
      </c>
      <c r="CS1962" s="0" t="s">
        <v>130</v>
      </c>
      <c r="CT1962" s="0" t="s">
        <v>5530</v>
      </c>
    </row>
    <row r="1963">
      <c r="A1963" s="14">
        <v>101034</v>
      </c>
      <c r="B1963" s="0" t="s">
        <v>1164</v>
      </c>
      <c r="C1963" s="16">
        <f>HYPERLINK("https://eosportal.federatedhermes.com/companies/Q29tcGFueQppNTg5NTM=", "National Australia Bank Ltd")</f>
      </c>
      <c r="D1963" s="0" t="s">
        <v>23</v>
      </c>
      <c r="E1963" s="0" t="s">
        <v>5531</v>
      </c>
      <c r="F1963" s="16">
        <f>HYPERLINK("https://eosportal.federatedhermes.com/engagements/RW5nYWdlbWVudAppMzE2OTg=", "TNFD reporting")</f>
      </c>
      <c r="G1963" s="14" t="s">
        <v>5532</v>
      </c>
      <c r="H1963" s="0" t="s">
        <v>141</v>
      </c>
      <c r="I1963" s="14" t="s">
        <v>131</v>
      </c>
      <c r="J1963" s="0" t="s">
        <v>197</v>
      </c>
      <c r="K1963" s="0" t="s">
        <v>337</v>
      </c>
      <c r="L1963" s="0" t="s">
        <v>576</v>
      </c>
      <c r="M1963" s="0" t="s">
        <v>371</v>
      </c>
      <c r="N1963" s="0" t="s">
        <v>372</v>
      </c>
      <c r="O1963" s="0" t="s">
        <v>238</v>
      </c>
      <c r="Q1963" s="0" t="s">
        <v>141</v>
      </c>
      <c r="R1963" s="0" t="s">
        <v>130</v>
      </c>
      <c r="S1963" s="14">
        <v>1</v>
      </c>
      <c r="T1963" s="0" t="s">
        <v>583</v>
      </c>
      <c r="U1963" s="0" t="s">
        <v>221</v>
      </c>
      <c r="V1963" s="14" t="s">
        <v>583</v>
      </c>
      <c r="W1963" s="0" t="s">
        <v>221</v>
      </c>
      <c r="X1963" s="14" t="s">
        <v>583</v>
      </c>
      <c r="Y1963" s="0" t="s">
        <v>221</v>
      </c>
      <c r="Z1963" s="14" t="s">
        <v>2270</v>
      </c>
      <c r="AA1963" s="0" t="s">
        <v>223</v>
      </c>
      <c r="AB1963" s="14" t="s">
        <v>138</v>
      </c>
      <c r="AD1963" s="0" t="s">
        <v>20</v>
      </c>
      <c r="AF1963" s="0">
        <v>0</v>
      </c>
      <c r="AG1963" s="0">
        <v>0</v>
      </c>
      <c r="AH1963" s="0" t="s">
        <v>140</v>
      </c>
      <c r="AI1963" s="0" t="s">
        <v>479</v>
      </c>
      <c r="AK1963" s="0" t="s">
        <v>578</v>
      </c>
      <c r="AL1963" s="14"/>
      <c r="AN1963" s="14"/>
      <c r="AQ1963" s="0" t="s">
        <v>130</v>
      </c>
      <c r="AR1963" s="0" t="s">
        <v>141</v>
      </c>
      <c r="AS1963" s="0" t="s">
        <v>130</v>
      </c>
      <c r="AT1963" s="0" t="s">
        <v>130</v>
      </c>
      <c r="AU1963" s="0" t="s">
        <v>130</v>
      </c>
      <c r="AV1963" s="0" t="s">
        <v>130</v>
      </c>
      <c r="AW1963" s="0" t="s">
        <v>130</v>
      </c>
      <c r="AX1963" s="0" t="s">
        <v>130</v>
      </c>
      <c r="AY1963" s="0" t="s">
        <v>130</v>
      </c>
      <c r="AZ1963" s="0" t="s">
        <v>130</v>
      </c>
      <c r="BA1963" s="0" t="s">
        <v>130</v>
      </c>
      <c r="BB1963" s="0" t="s">
        <v>141</v>
      </c>
      <c r="BC1963" s="0" t="s">
        <v>130</v>
      </c>
      <c r="BD1963" s="0" t="s">
        <v>130</v>
      </c>
      <c r="BE1963" s="0" t="s">
        <v>141</v>
      </c>
      <c r="BF1963" s="0" t="s">
        <v>130</v>
      </c>
      <c r="BG1963" s="0" t="s">
        <v>130</v>
      </c>
      <c r="BH1963" s="0" t="s">
        <v>130</v>
      </c>
      <c r="BI1963" s="0" t="s">
        <v>130</v>
      </c>
      <c r="BJ1963" s="0" t="s">
        <v>130</v>
      </c>
      <c r="BK1963" s="0" t="s">
        <v>130</v>
      </c>
      <c r="BL1963" s="0" t="s">
        <v>130</v>
      </c>
      <c r="BM1963" s="0" t="s">
        <v>130</v>
      </c>
      <c r="BN1963" s="0" t="s">
        <v>130</v>
      </c>
      <c r="BO1963" s="0" t="s">
        <v>130</v>
      </c>
      <c r="BP1963" s="0" t="s">
        <v>130</v>
      </c>
      <c r="BQ1963" s="0" t="s">
        <v>130</v>
      </c>
      <c r="BR1963" s="0" t="s">
        <v>130</v>
      </c>
      <c r="BS1963" s="0" t="s">
        <v>130</v>
      </c>
      <c r="BT1963" s="0" t="s">
        <v>130</v>
      </c>
      <c r="BU1963" s="0" t="s">
        <v>130</v>
      </c>
      <c r="BV1963" s="0" t="s">
        <v>130</v>
      </c>
      <c r="BW1963" s="0" t="s">
        <v>130</v>
      </c>
      <c r="BX1963" s="0" t="s">
        <v>130</v>
      </c>
      <c r="BY1963" s="0" t="s">
        <v>130</v>
      </c>
      <c r="BZ1963" s="0" t="s">
        <v>130</v>
      </c>
      <c r="CA1963" s="0" t="s">
        <v>130</v>
      </c>
      <c r="CB1963" s="0" t="s">
        <v>130</v>
      </c>
      <c r="CC1963" s="0" t="s">
        <v>130</v>
      </c>
      <c r="CD1963" s="0" t="s">
        <v>130</v>
      </c>
      <c r="CE1963" s="0" t="s">
        <v>130</v>
      </c>
      <c r="CF1963" s="0" t="s">
        <v>130</v>
      </c>
      <c r="CG1963" s="0" t="s">
        <v>130</v>
      </c>
      <c r="CH1963" s="0" t="s">
        <v>130</v>
      </c>
      <c r="CI1963" s="0" t="s">
        <v>130</v>
      </c>
      <c r="CJ1963" s="0" t="s">
        <v>130</v>
      </c>
      <c r="CK1963" s="0" t="s">
        <v>130</v>
      </c>
      <c r="CL1963" s="0" t="s">
        <v>130</v>
      </c>
      <c r="CM1963" s="0" t="s">
        <v>130</v>
      </c>
      <c r="CN1963" s="0" t="s">
        <v>130</v>
      </c>
      <c r="CO1963" s="0" t="s">
        <v>130</v>
      </c>
      <c r="CP1963" s="0" t="s">
        <v>130</v>
      </c>
      <c r="CQ1963" s="0" t="s">
        <v>130</v>
      </c>
      <c r="CR1963" s="0" t="s">
        <v>130</v>
      </c>
      <c r="CS1963" s="0" t="s">
        <v>130</v>
      </c>
      <c r="CT1963" s="0" t="s">
        <v>5533</v>
      </c>
    </row>
    <row r="1964">
      <c r="A1964" s="14">
        <v>115505</v>
      </c>
      <c r="B1964" s="0" t="s">
        <v>2425</v>
      </c>
      <c r="C1964" s="16">
        <f>HYPERLINK("https://eosportal.federatedhermes.com/companies/Q29tcGFueQppNTg5NTA=", "Vinci SA")</f>
      </c>
      <c r="D1964" s="0" t="s">
        <v>23</v>
      </c>
      <c r="E1964" s="0" t="s">
        <v>5534</v>
      </c>
      <c r="F1964" s="16">
        <f>HYPERLINK("https://eosportal.federatedhermes.com/engagements/RW5nYWdlbWVudAppMzE3MDA=", "Whistleblowing Reporting")</f>
      </c>
      <c r="G1964" s="14" t="s">
        <v>5535</v>
      </c>
      <c r="H1964" s="0" t="s">
        <v>141</v>
      </c>
      <c r="I1964" s="14" t="s">
        <v>191</v>
      </c>
      <c r="J1964" s="0" t="s">
        <v>153</v>
      </c>
      <c r="K1964" s="0" t="s">
        <v>185</v>
      </c>
      <c r="L1964" s="0" t="s">
        <v>186</v>
      </c>
      <c r="M1964" s="0" t="s">
        <v>378</v>
      </c>
      <c r="N1964" s="0" t="s">
        <v>1646</v>
      </c>
      <c r="O1964" s="0" t="s">
        <v>176</v>
      </c>
      <c r="Q1964" s="0" t="s">
        <v>130</v>
      </c>
      <c r="R1964" s="0" t="s">
        <v>130</v>
      </c>
      <c r="S1964" s="14">
        <v>0</v>
      </c>
      <c r="T1964" s="0" t="s">
        <v>2270</v>
      </c>
      <c r="U1964" s="0" t="s">
        <v>221</v>
      </c>
      <c r="V1964" s="14" t="s">
        <v>2270</v>
      </c>
      <c r="W1964" s="0" t="s">
        <v>221</v>
      </c>
      <c r="X1964" s="14" t="s">
        <v>2270</v>
      </c>
      <c r="Y1964" s="0" t="s">
        <v>223</v>
      </c>
      <c r="Z1964" s="14" t="s">
        <v>138</v>
      </c>
      <c r="AA1964" s="0" t="s">
        <v>224</v>
      </c>
      <c r="AB1964" s="14" t="s">
        <v>138</v>
      </c>
      <c r="AD1964" s="0" t="s">
        <v>17</v>
      </c>
      <c r="AF1964" s="0">
        <v>0</v>
      </c>
      <c r="AG1964" s="0">
        <v>0</v>
      </c>
      <c r="AH1964" s="0" t="s">
        <v>140</v>
      </c>
      <c r="AI1964" s="0" t="s">
        <v>479</v>
      </c>
      <c r="AL1964" s="14"/>
      <c r="AN1964" s="14"/>
      <c r="AQ1964" s="0" t="s">
        <v>130</v>
      </c>
      <c r="AR1964" s="0" t="s">
        <v>130</v>
      </c>
      <c r="AS1964" s="0" t="s">
        <v>130</v>
      </c>
      <c r="AT1964" s="0" t="s">
        <v>130</v>
      </c>
      <c r="AU1964" s="0" t="s">
        <v>130</v>
      </c>
      <c r="AV1964" s="0" t="s">
        <v>130</v>
      </c>
      <c r="AW1964" s="0" t="s">
        <v>130</v>
      </c>
      <c r="AX1964" s="0" t="s">
        <v>130</v>
      </c>
      <c r="AY1964" s="0" t="s">
        <v>130</v>
      </c>
      <c r="AZ1964" s="0" t="s">
        <v>130</v>
      </c>
      <c r="BA1964" s="0" t="s">
        <v>130</v>
      </c>
      <c r="BB1964" s="0" t="s">
        <v>130</v>
      </c>
      <c r="BC1964" s="0" t="s">
        <v>130</v>
      </c>
      <c r="BD1964" s="0" t="s">
        <v>130</v>
      </c>
      <c r="BE1964" s="0" t="s">
        <v>130</v>
      </c>
      <c r="BF1964" s="0" t="s">
        <v>130</v>
      </c>
      <c r="BG1964" s="0" t="s">
        <v>130</v>
      </c>
      <c r="BH1964" s="0" t="s">
        <v>130</v>
      </c>
      <c r="BI1964" s="0" t="s">
        <v>130</v>
      </c>
      <c r="BJ1964" s="0" t="s">
        <v>130</v>
      </c>
      <c r="BK1964" s="0" t="s">
        <v>130</v>
      </c>
      <c r="BL1964" s="0" t="s">
        <v>130</v>
      </c>
      <c r="BM1964" s="0" t="s">
        <v>130</v>
      </c>
      <c r="BN1964" s="0" t="s">
        <v>130</v>
      </c>
      <c r="BO1964" s="0" t="s">
        <v>130</v>
      </c>
      <c r="BP1964" s="0" t="s">
        <v>130</v>
      </c>
      <c r="BQ1964" s="0" t="s">
        <v>130</v>
      </c>
      <c r="BR1964" s="0" t="s">
        <v>130</v>
      </c>
      <c r="BS1964" s="0" t="s">
        <v>130</v>
      </c>
      <c r="BT1964" s="0" t="s">
        <v>130</v>
      </c>
      <c r="BU1964" s="0" t="s">
        <v>130</v>
      </c>
      <c r="BV1964" s="0" t="s">
        <v>130</v>
      </c>
      <c r="BW1964" s="0" t="s">
        <v>130</v>
      </c>
      <c r="BX1964" s="0" t="s">
        <v>130</v>
      </c>
      <c r="BY1964" s="0" t="s">
        <v>130</v>
      </c>
      <c r="BZ1964" s="0" t="s">
        <v>130</v>
      </c>
      <c r="CA1964" s="0" t="s">
        <v>130</v>
      </c>
      <c r="CB1964" s="0" t="s">
        <v>130</v>
      </c>
      <c r="CC1964" s="0" t="s">
        <v>130</v>
      </c>
      <c r="CD1964" s="0" t="s">
        <v>130</v>
      </c>
      <c r="CE1964" s="0" t="s">
        <v>130</v>
      </c>
      <c r="CF1964" s="0" t="s">
        <v>130</v>
      </c>
      <c r="CG1964" s="0" t="s">
        <v>130</v>
      </c>
      <c r="CH1964" s="0" t="s">
        <v>130</v>
      </c>
      <c r="CI1964" s="0" t="s">
        <v>130</v>
      </c>
      <c r="CJ1964" s="0" t="s">
        <v>130</v>
      </c>
      <c r="CK1964" s="0" t="s">
        <v>130</v>
      </c>
      <c r="CL1964" s="0" t="s">
        <v>130</v>
      </c>
      <c r="CM1964" s="0" t="s">
        <v>130</v>
      </c>
      <c r="CN1964" s="0" t="s">
        <v>130</v>
      </c>
      <c r="CO1964" s="0" t="s">
        <v>130</v>
      </c>
      <c r="CP1964" s="0" t="s">
        <v>130</v>
      </c>
      <c r="CQ1964" s="0" t="s">
        <v>130</v>
      </c>
      <c r="CR1964" s="0" t="s">
        <v>130</v>
      </c>
      <c r="CS1964" s="0" t="s">
        <v>130</v>
      </c>
      <c r="CT1964" s="0" t="s">
        <v>5536</v>
      </c>
    </row>
    <row r="1965">
      <c r="A1965" s="14">
        <v>101254</v>
      </c>
      <c r="B1965" s="0" t="s">
        <v>1531</v>
      </c>
      <c r="C1965" s="16">
        <f>HYPERLINK("https://eosportal.federatedhermes.com/companies/Q29tcGFueQppNTg5NjY=", "Repsol SA")</f>
      </c>
      <c r="D1965" s="0" t="s">
        <v>23</v>
      </c>
      <c r="E1965" s="0" t="s">
        <v>5537</v>
      </c>
      <c r="F1965" s="16">
        <f>HYPERLINK("https://eosportal.federatedhermes.com/engagements/RW5nYWdlbWVudAppMzE3MTI=", "Paris Agreement aligned capex")</f>
      </c>
      <c r="G1965" s="14" t="s">
        <v>5538</v>
      </c>
      <c r="H1965" s="0" t="s">
        <v>141</v>
      </c>
      <c r="I1965" s="14" t="s">
        <v>191</v>
      </c>
      <c r="J1965" s="0" t="s">
        <v>197</v>
      </c>
      <c r="K1965" s="0" t="s">
        <v>198</v>
      </c>
      <c r="L1965" s="0" t="s">
        <v>216</v>
      </c>
      <c r="M1965" s="0" t="s">
        <v>378</v>
      </c>
      <c r="N1965" s="0" t="s">
        <v>379</v>
      </c>
      <c r="O1965" s="0" t="s">
        <v>542</v>
      </c>
      <c r="Q1965" s="0" t="s">
        <v>130</v>
      </c>
      <c r="R1965" s="0" t="s">
        <v>130</v>
      </c>
      <c r="S1965" s="14">
        <v>0</v>
      </c>
      <c r="T1965" s="0" t="s">
        <v>193</v>
      </c>
      <c r="U1965" s="0" t="s">
        <v>221</v>
      </c>
      <c r="V1965" s="14" t="s">
        <v>193</v>
      </c>
      <c r="W1965" s="0" t="s">
        <v>221</v>
      </c>
      <c r="X1965" s="14" t="s">
        <v>193</v>
      </c>
      <c r="Y1965" s="0" t="s">
        <v>221</v>
      </c>
      <c r="Z1965" s="14" t="s">
        <v>193</v>
      </c>
      <c r="AA1965" s="0" t="s">
        <v>223</v>
      </c>
      <c r="AB1965" s="14" t="s">
        <v>138</v>
      </c>
      <c r="AD1965" s="0" t="s">
        <v>20</v>
      </c>
      <c r="AF1965" s="0">
        <v>0</v>
      </c>
      <c r="AG1965" s="0">
        <v>0</v>
      </c>
      <c r="AH1965" s="0" t="s">
        <v>140</v>
      </c>
      <c r="AI1965" s="0" t="s">
        <v>598</v>
      </c>
      <c r="AL1965" s="14"/>
      <c r="AN1965" s="14"/>
      <c r="AQ1965" s="0" t="s">
        <v>130</v>
      </c>
      <c r="AR1965" s="0" t="s">
        <v>130</v>
      </c>
      <c r="AS1965" s="0" t="s">
        <v>130</v>
      </c>
      <c r="AT1965" s="0" t="s">
        <v>130</v>
      </c>
      <c r="AU1965" s="0" t="s">
        <v>130</v>
      </c>
      <c r="AV1965" s="0" t="s">
        <v>130</v>
      </c>
      <c r="AW1965" s="0" t="s">
        <v>141</v>
      </c>
      <c r="AX1965" s="0" t="s">
        <v>130</v>
      </c>
      <c r="AY1965" s="0" t="s">
        <v>130</v>
      </c>
      <c r="AZ1965" s="0" t="s">
        <v>130</v>
      </c>
      <c r="BA1965" s="0" t="s">
        <v>130</v>
      </c>
      <c r="BB1965" s="0" t="s">
        <v>130</v>
      </c>
      <c r="BC1965" s="0" t="s">
        <v>141</v>
      </c>
      <c r="BD1965" s="0" t="s">
        <v>130</v>
      </c>
      <c r="BE1965" s="0" t="s">
        <v>130</v>
      </c>
      <c r="BF1965" s="0" t="s">
        <v>130</v>
      </c>
      <c r="BG1965" s="0" t="s">
        <v>130</v>
      </c>
      <c r="BH1965" s="0" t="s">
        <v>141</v>
      </c>
      <c r="BI1965" s="0" t="s">
        <v>141</v>
      </c>
      <c r="BJ1965" s="0" t="s">
        <v>141</v>
      </c>
      <c r="BK1965" s="0" t="s">
        <v>130</v>
      </c>
      <c r="BL1965" s="0" t="s">
        <v>130</v>
      </c>
      <c r="BM1965" s="0" t="s">
        <v>130</v>
      </c>
      <c r="BN1965" s="0" t="s">
        <v>130</v>
      </c>
      <c r="BO1965" s="0" t="s">
        <v>130</v>
      </c>
      <c r="BP1965" s="0" t="s">
        <v>130</v>
      </c>
      <c r="BQ1965" s="0" t="s">
        <v>130</v>
      </c>
      <c r="BR1965" s="0" t="s">
        <v>130</v>
      </c>
      <c r="BS1965" s="0" t="s">
        <v>130</v>
      </c>
      <c r="BT1965" s="0" t="s">
        <v>130</v>
      </c>
      <c r="BU1965" s="0" t="s">
        <v>130</v>
      </c>
      <c r="BV1965" s="0" t="s">
        <v>141</v>
      </c>
      <c r="BW1965" s="0" t="s">
        <v>141</v>
      </c>
      <c r="BX1965" s="0" t="s">
        <v>130</v>
      </c>
      <c r="BY1965" s="0" t="s">
        <v>130</v>
      </c>
      <c r="BZ1965" s="0" t="s">
        <v>130</v>
      </c>
      <c r="CA1965" s="0" t="s">
        <v>130</v>
      </c>
      <c r="CB1965" s="0" t="s">
        <v>130</v>
      </c>
      <c r="CC1965" s="0" t="s">
        <v>130</v>
      </c>
      <c r="CD1965" s="0" t="s">
        <v>130</v>
      </c>
      <c r="CE1965" s="0" t="s">
        <v>130</v>
      </c>
      <c r="CF1965" s="0" t="s">
        <v>130</v>
      </c>
      <c r="CG1965" s="0" t="s">
        <v>130</v>
      </c>
      <c r="CH1965" s="0" t="s">
        <v>130</v>
      </c>
      <c r="CI1965" s="0" t="s">
        <v>130</v>
      </c>
      <c r="CJ1965" s="0" t="s">
        <v>130</v>
      </c>
      <c r="CK1965" s="0" t="s">
        <v>130</v>
      </c>
      <c r="CL1965" s="0" t="s">
        <v>130</v>
      </c>
      <c r="CM1965" s="0" t="s">
        <v>130</v>
      </c>
      <c r="CN1965" s="0" t="s">
        <v>130</v>
      </c>
      <c r="CO1965" s="0" t="s">
        <v>130</v>
      </c>
      <c r="CP1965" s="0" t="s">
        <v>130</v>
      </c>
      <c r="CQ1965" s="0" t="s">
        <v>130</v>
      </c>
      <c r="CR1965" s="0" t="s">
        <v>130</v>
      </c>
      <c r="CS1965" s="0" t="s">
        <v>130</v>
      </c>
      <c r="CT1965" s="0" t="s">
        <v>5539</v>
      </c>
    </row>
    <row r="1966">
      <c r="A1966" s="14">
        <v>115505</v>
      </c>
      <c r="B1966" s="0" t="s">
        <v>2425</v>
      </c>
      <c r="C1966" s="16">
        <f>HYPERLINK("https://eosportal.federatedhermes.com/companies/Q29tcGFueQppNTg5NTA=", "Vinci SA")</f>
      </c>
      <c r="D1966" s="0" t="s">
        <v>23</v>
      </c>
      <c r="E1966" s="0" t="s">
        <v>5540</v>
      </c>
      <c r="F1966" s="16">
        <f>HYPERLINK("https://eosportal.federatedhermes.com/engagements/RW5nYWdlbWVudAppMzE3MTQ=", "1.5-degrees Celsius SBTi-validated climate target")</f>
      </c>
      <c r="G1966" s="14" t="s">
        <v>5541</v>
      </c>
      <c r="H1966" s="0" t="s">
        <v>141</v>
      </c>
      <c r="I1966" s="14" t="s">
        <v>191</v>
      </c>
      <c r="J1966" s="0" t="s">
        <v>197</v>
      </c>
      <c r="K1966" s="0" t="s">
        <v>198</v>
      </c>
      <c r="L1966" s="0" t="s">
        <v>216</v>
      </c>
      <c r="M1966" s="0" t="s">
        <v>378</v>
      </c>
      <c r="N1966" s="0" t="s">
        <v>1646</v>
      </c>
      <c r="O1966" s="0" t="s">
        <v>176</v>
      </c>
      <c r="Q1966" s="0" t="s">
        <v>141</v>
      </c>
      <c r="R1966" s="0" t="s">
        <v>130</v>
      </c>
      <c r="S1966" s="14">
        <v>1</v>
      </c>
      <c r="T1966" s="0" t="s">
        <v>2270</v>
      </c>
      <c r="U1966" s="0" t="s">
        <v>221</v>
      </c>
      <c r="V1966" s="14" t="s">
        <v>2270</v>
      </c>
      <c r="W1966" s="0" t="s">
        <v>221</v>
      </c>
      <c r="X1966" s="14" t="s">
        <v>2270</v>
      </c>
      <c r="Y1966" s="0" t="s">
        <v>221</v>
      </c>
      <c r="Z1966" s="14" t="s">
        <v>360</v>
      </c>
      <c r="AA1966" s="0" t="s">
        <v>223</v>
      </c>
      <c r="AB1966" s="14" t="s">
        <v>138</v>
      </c>
      <c r="AD1966" s="0" t="s">
        <v>20</v>
      </c>
      <c r="AF1966" s="0">
        <v>0</v>
      </c>
      <c r="AG1966" s="0">
        <v>0</v>
      </c>
      <c r="AH1966" s="0" t="s">
        <v>140</v>
      </c>
      <c r="AI1966" s="0" t="s">
        <v>479</v>
      </c>
      <c r="AK1966" s="0" t="s">
        <v>436</v>
      </c>
      <c r="AL1966" s="14"/>
      <c r="AN1966" s="14"/>
      <c r="AQ1966" s="0" t="s">
        <v>130</v>
      </c>
      <c r="AR1966" s="0" t="s">
        <v>130</v>
      </c>
      <c r="AS1966" s="0" t="s">
        <v>130</v>
      </c>
      <c r="AT1966" s="0" t="s">
        <v>130</v>
      </c>
      <c r="AU1966" s="0" t="s">
        <v>130</v>
      </c>
      <c r="AV1966" s="0" t="s">
        <v>130</v>
      </c>
      <c r="AW1966" s="0" t="s">
        <v>141</v>
      </c>
      <c r="AX1966" s="0" t="s">
        <v>130</v>
      </c>
      <c r="AY1966" s="0" t="s">
        <v>130</v>
      </c>
      <c r="AZ1966" s="0" t="s">
        <v>130</v>
      </c>
      <c r="BA1966" s="0" t="s">
        <v>130</v>
      </c>
      <c r="BB1966" s="0" t="s">
        <v>130</v>
      </c>
      <c r="BC1966" s="0" t="s">
        <v>141</v>
      </c>
      <c r="BD1966" s="0" t="s">
        <v>130</v>
      </c>
      <c r="BE1966" s="0" t="s">
        <v>130</v>
      </c>
      <c r="BF1966" s="0" t="s">
        <v>130</v>
      </c>
      <c r="BG1966" s="0" t="s">
        <v>130</v>
      </c>
      <c r="BH1966" s="0" t="s">
        <v>141</v>
      </c>
      <c r="BI1966" s="0" t="s">
        <v>141</v>
      </c>
      <c r="BJ1966" s="0" t="s">
        <v>141</v>
      </c>
      <c r="BK1966" s="0" t="s">
        <v>130</v>
      </c>
      <c r="BL1966" s="0" t="s">
        <v>130</v>
      </c>
      <c r="BM1966" s="0" t="s">
        <v>130</v>
      </c>
      <c r="BN1966" s="0" t="s">
        <v>130</v>
      </c>
      <c r="BO1966" s="0" t="s">
        <v>130</v>
      </c>
      <c r="BP1966" s="0" t="s">
        <v>130</v>
      </c>
      <c r="BQ1966" s="0" t="s">
        <v>130</v>
      </c>
      <c r="BR1966" s="0" t="s">
        <v>130</v>
      </c>
      <c r="BS1966" s="0" t="s">
        <v>130</v>
      </c>
      <c r="BT1966" s="0" t="s">
        <v>130</v>
      </c>
      <c r="BU1966" s="0" t="s">
        <v>130</v>
      </c>
      <c r="BV1966" s="0" t="s">
        <v>141</v>
      </c>
      <c r="BW1966" s="0" t="s">
        <v>141</v>
      </c>
      <c r="BX1966" s="0" t="s">
        <v>130</v>
      </c>
      <c r="BY1966" s="0" t="s">
        <v>130</v>
      </c>
      <c r="BZ1966" s="0" t="s">
        <v>130</v>
      </c>
      <c r="CA1966" s="0" t="s">
        <v>130</v>
      </c>
      <c r="CB1966" s="0" t="s">
        <v>130</v>
      </c>
      <c r="CC1966" s="0" t="s">
        <v>130</v>
      </c>
      <c r="CD1966" s="0" t="s">
        <v>130</v>
      </c>
      <c r="CE1966" s="0" t="s">
        <v>130</v>
      </c>
      <c r="CF1966" s="0" t="s">
        <v>130</v>
      </c>
      <c r="CG1966" s="0" t="s">
        <v>130</v>
      </c>
      <c r="CH1966" s="0" t="s">
        <v>130</v>
      </c>
      <c r="CI1966" s="0" t="s">
        <v>130</v>
      </c>
      <c r="CJ1966" s="0" t="s">
        <v>130</v>
      </c>
      <c r="CK1966" s="0" t="s">
        <v>130</v>
      </c>
      <c r="CL1966" s="0" t="s">
        <v>130</v>
      </c>
      <c r="CM1966" s="0" t="s">
        <v>130</v>
      </c>
      <c r="CN1966" s="0" t="s">
        <v>130</v>
      </c>
      <c r="CO1966" s="0" t="s">
        <v>130</v>
      </c>
      <c r="CP1966" s="0" t="s">
        <v>130</v>
      </c>
      <c r="CQ1966" s="0" t="s">
        <v>130</v>
      </c>
      <c r="CR1966" s="0" t="s">
        <v>130</v>
      </c>
      <c r="CS1966" s="0" t="s">
        <v>130</v>
      </c>
      <c r="CT1966" s="0" t="s">
        <v>5542</v>
      </c>
    </row>
    <row r="1967">
      <c r="A1967" s="14">
        <v>18302043</v>
      </c>
      <c r="B1967" s="0" t="s">
        <v>4424</v>
      </c>
      <c r="C1967" s="16">
        <f>HYPERLINK("https://eosportal.federatedhermes.com/companies/Q29tcGFueQppNTg5ODI=", "Kinder Morgan Inc")</f>
      </c>
      <c r="D1967" s="0" t="s">
        <v>23</v>
      </c>
      <c r="E1967" s="0" t="s">
        <v>5543</v>
      </c>
      <c r="F1967" s="16">
        <f>HYPERLINK("https://eosportal.federatedhermes.com/engagements/RW5nYWdlbWVudAppMzE3MTU=", "Methane management best practices")</f>
      </c>
      <c r="G1967" s="14" t="s">
        <v>5544</v>
      </c>
      <c r="H1967" s="0" t="s">
        <v>141</v>
      </c>
      <c r="I1967" s="14" t="s">
        <v>191</v>
      </c>
      <c r="J1967" s="0" t="s">
        <v>197</v>
      </c>
      <c r="K1967" s="0" t="s">
        <v>198</v>
      </c>
      <c r="L1967" s="0" t="s">
        <v>220</v>
      </c>
      <c r="M1967" s="0" t="s">
        <v>135</v>
      </c>
      <c r="N1967" s="0" t="s">
        <v>136</v>
      </c>
      <c r="O1967" s="0" t="s">
        <v>542</v>
      </c>
      <c r="Q1967" s="0" t="s">
        <v>141</v>
      </c>
      <c r="R1967" s="0" t="s">
        <v>130</v>
      </c>
      <c r="S1967" s="14">
        <v>1</v>
      </c>
      <c r="T1967" s="0" t="s">
        <v>597</v>
      </c>
      <c r="U1967" s="0" t="s">
        <v>221</v>
      </c>
      <c r="V1967" s="14" t="s">
        <v>597</v>
      </c>
      <c r="W1967" s="0" t="s">
        <v>221</v>
      </c>
      <c r="X1967" s="14" t="s">
        <v>597</v>
      </c>
      <c r="Y1967" s="0" t="s">
        <v>223</v>
      </c>
      <c r="Z1967" s="14" t="s">
        <v>138</v>
      </c>
      <c r="AA1967" s="0" t="s">
        <v>224</v>
      </c>
      <c r="AB1967" s="14" t="s">
        <v>138</v>
      </c>
      <c r="AD1967" s="0" t="s">
        <v>17</v>
      </c>
      <c r="AF1967" s="0">
        <v>0</v>
      </c>
      <c r="AG1967" s="0">
        <v>0</v>
      </c>
      <c r="AH1967" s="0" t="s">
        <v>140</v>
      </c>
      <c r="AI1967" s="0" t="s">
        <v>479</v>
      </c>
      <c r="AK1967" s="0" t="s">
        <v>847</v>
      </c>
      <c r="AL1967" s="14"/>
      <c r="AN1967" s="14"/>
      <c r="AQ1967" s="0" t="s">
        <v>130</v>
      </c>
      <c r="AR1967" s="0" t="s">
        <v>130</v>
      </c>
      <c r="AS1967" s="0" t="s">
        <v>130</v>
      </c>
      <c r="AT1967" s="0" t="s">
        <v>130</v>
      </c>
      <c r="AU1967" s="0" t="s">
        <v>130</v>
      </c>
      <c r="AV1967" s="0" t="s">
        <v>130</v>
      </c>
      <c r="AW1967" s="0" t="s">
        <v>141</v>
      </c>
      <c r="AX1967" s="0" t="s">
        <v>130</v>
      </c>
      <c r="AY1967" s="0" t="s">
        <v>141</v>
      </c>
      <c r="AZ1967" s="0" t="s">
        <v>130</v>
      </c>
      <c r="BA1967" s="0" t="s">
        <v>130</v>
      </c>
      <c r="BB1967" s="0" t="s">
        <v>130</v>
      </c>
      <c r="BC1967" s="0" t="s">
        <v>141</v>
      </c>
      <c r="BD1967" s="0" t="s">
        <v>130</v>
      </c>
      <c r="BE1967" s="0" t="s">
        <v>130</v>
      </c>
      <c r="BF1967" s="0" t="s">
        <v>130</v>
      </c>
      <c r="BG1967" s="0" t="s">
        <v>130</v>
      </c>
      <c r="BH1967" s="0" t="s">
        <v>130</v>
      </c>
      <c r="BI1967" s="0" t="s">
        <v>130</v>
      </c>
      <c r="BJ1967" s="0" t="s">
        <v>130</v>
      </c>
      <c r="BK1967" s="0" t="s">
        <v>130</v>
      </c>
      <c r="BL1967" s="0" t="s">
        <v>130</v>
      </c>
      <c r="BM1967" s="0" t="s">
        <v>130</v>
      </c>
      <c r="BN1967" s="0" t="s">
        <v>130</v>
      </c>
      <c r="BO1967" s="0" t="s">
        <v>130</v>
      </c>
      <c r="BP1967" s="0" t="s">
        <v>130</v>
      </c>
      <c r="BQ1967" s="0" t="s">
        <v>130</v>
      </c>
      <c r="BR1967" s="0" t="s">
        <v>130</v>
      </c>
      <c r="BS1967" s="0" t="s">
        <v>130</v>
      </c>
      <c r="BT1967" s="0" t="s">
        <v>130</v>
      </c>
      <c r="BU1967" s="0" t="s">
        <v>130</v>
      </c>
      <c r="BV1967" s="0" t="s">
        <v>130</v>
      </c>
      <c r="BW1967" s="0" t="s">
        <v>130</v>
      </c>
      <c r="BX1967" s="0" t="s">
        <v>130</v>
      </c>
      <c r="BY1967" s="0" t="s">
        <v>130</v>
      </c>
      <c r="BZ1967" s="0" t="s">
        <v>130</v>
      </c>
      <c r="CA1967" s="0" t="s">
        <v>130</v>
      </c>
      <c r="CB1967" s="0" t="s">
        <v>130</v>
      </c>
      <c r="CC1967" s="0" t="s">
        <v>130</v>
      </c>
      <c r="CD1967" s="0" t="s">
        <v>130</v>
      </c>
      <c r="CE1967" s="0" t="s">
        <v>130</v>
      </c>
      <c r="CF1967" s="0" t="s">
        <v>130</v>
      </c>
      <c r="CG1967" s="0" t="s">
        <v>130</v>
      </c>
      <c r="CH1967" s="0" t="s">
        <v>130</v>
      </c>
      <c r="CI1967" s="0" t="s">
        <v>130</v>
      </c>
      <c r="CJ1967" s="0" t="s">
        <v>130</v>
      </c>
      <c r="CK1967" s="0" t="s">
        <v>130</v>
      </c>
      <c r="CL1967" s="0" t="s">
        <v>130</v>
      </c>
      <c r="CM1967" s="0" t="s">
        <v>130</v>
      </c>
      <c r="CN1967" s="0" t="s">
        <v>130</v>
      </c>
      <c r="CO1967" s="0" t="s">
        <v>130</v>
      </c>
      <c r="CP1967" s="0" t="s">
        <v>130</v>
      </c>
      <c r="CQ1967" s="0" t="s">
        <v>130</v>
      </c>
      <c r="CR1967" s="0" t="s">
        <v>130</v>
      </c>
      <c r="CS1967" s="0" t="s">
        <v>130</v>
      </c>
      <c r="CT1967" s="0" t="s">
        <v>5545</v>
      </c>
    </row>
    <row r="1968">
      <c r="A1968" s="14">
        <v>18302043</v>
      </c>
      <c r="B1968" s="0" t="s">
        <v>4424</v>
      </c>
      <c r="C1968" s="16">
        <f>HYPERLINK("https://eosportal.federatedhermes.com/companies/Q29tcGFueQppNTg5ODI=", "Kinder Morgan Inc")</f>
      </c>
      <c r="D1968" s="0" t="s">
        <v>23</v>
      </c>
      <c r="E1968" s="0" t="s">
        <v>746</v>
      </c>
      <c r="F1968" s="16">
        <f>HYPERLINK("https://eosportal.federatedhermes.com/engagements/RW5nYWdlbWVudAppMzE3MTY=", "Improved climate-related financial disclosures")</f>
      </c>
      <c r="G1968" s="14" t="s">
        <v>5546</v>
      </c>
      <c r="H1968" s="0" t="s">
        <v>141</v>
      </c>
      <c r="I1968" s="14" t="s">
        <v>191</v>
      </c>
      <c r="J1968" s="0" t="s">
        <v>197</v>
      </c>
      <c r="K1968" s="0" t="s">
        <v>198</v>
      </c>
      <c r="L1968" s="0" t="s">
        <v>199</v>
      </c>
      <c r="M1968" s="0" t="s">
        <v>135</v>
      </c>
      <c r="N1968" s="0" t="s">
        <v>136</v>
      </c>
      <c r="O1968" s="0" t="s">
        <v>542</v>
      </c>
      <c r="Q1968" s="0" t="s">
        <v>130</v>
      </c>
      <c r="R1968" s="0" t="s">
        <v>130</v>
      </c>
      <c r="S1968" s="14">
        <v>0</v>
      </c>
      <c r="T1968" s="0" t="s">
        <v>597</v>
      </c>
      <c r="U1968" s="0" t="s">
        <v>221</v>
      </c>
      <c r="V1968" s="14" t="s">
        <v>597</v>
      </c>
      <c r="W1968" s="0" t="s">
        <v>221</v>
      </c>
      <c r="X1968" s="14" t="s">
        <v>597</v>
      </c>
      <c r="Y1968" s="0" t="s">
        <v>1255</v>
      </c>
      <c r="Z1968" s="14" t="s">
        <v>361</v>
      </c>
      <c r="AA1968" s="0" t="s">
        <v>1255</v>
      </c>
      <c r="AB1968" s="14" t="s">
        <v>361</v>
      </c>
      <c r="AD1968" s="0" t="s">
        <v>1256</v>
      </c>
      <c r="AF1968" s="0">
        <v>0</v>
      </c>
      <c r="AG1968" s="0">
        <v>0</v>
      </c>
      <c r="AH1968" s="0" t="s">
        <v>140</v>
      </c>
      <c r="AI1968" s="0" t="s">
        <v>1255</v>
      </c>
      <c r="AJ1968" s="0" t="s">
        <v>1257</v>
      </c>
      <c r="AL1968" s="14"/>
      <c r="AN1968" s="14"/>
      <c r="AQ1968" s="0" t="s">
        <v>130</v>
      </c>
      <c r="AR1968" s="0" t="s">
        <v>130</v>
      </c>
      <c r="AS1968" s="0" t="s">
        <v>130</v>
      </c>
      <c r="AT1968" s="0" t="s">
        <v>130</v>
      </c>
      <c r="AU1968" s="0" t="s">
        <v>130</v>
      </c>
      <c r="AV1968" s="0" t="s">
        <v>130</v>
      </c>
      <c r="AW1968" s="0" t="s">
        <v>130</v>
      </c>
      <c r="AX1968" s="0" t="s">
        <v>130</v>
      </c>
      <c r="AY1968" s="0" t="s">
        <v>130</v>
      </c>
      <c r="AZ1968" s="0" t="s">
        <v>130</v>
      </c>
      <c r="BA1968" s="0" t="s">
        <v>130</v>
      </c>
      <c r="BB1968" s="0" t="s">
        <v>141</v>
      </c>
      <c r="BC1968" s="0" t="s">
        <v>130</v>
      </c>
      <c r="BD1968" s="0" t="s">
        <v>130</v>
      </c>
      <c r="BE1968" s="0" t="s">
        <v>130</v>
      </c>
      <c r="BF1968" s="0" t="s">
        <v>130</v>
      </c>
      <c r="BG1968" s="0" t="s">
        <v>130</v>
      </c>
      <c r="BH1968" s="0" t="s">
        <v>130</v>
      </c>
      <c r="BI1968" s="0" t="s">
        <v>130</v>
      </c>
      <c r="BJ1968" s="0" t="s">
        <v>130</v>
      </c>
      <c r="BK1968" s="0" t="s">
        <v>130</v>
      </c>
      <c r="BL1968" s="0" t="s">
        <v>130</v>
      </c>
      <c r="BM1968" s="0" t="s">
        <v>130</v>
      </c>
      <c r="BN1968" s="0" t="s">
        <v>130</v>
      </c>
      <c r="BO1968" s="0" t="s">
        <v>130</v>
      </c>
      <c r="BP1968" s="0" t="s">
        <v>130</v>
      </c>
      <c r="BQ1968" s="0" t="s">
        <v>130</v>
      </c>
      <c r="BR1968" s="0" t="s">
        <v>130</v>
      </c>
      <c r="BS1968" s="0" t="s">
        <v>130</v>
      </c>
      <c r="BT1968" s="0" t="s">
        <v>130</v>
      </c>
      <c r="BU1968" s="0" t="s">
        <v>130</v>
      </c>
      <c r="BV1968" s="0" t="s">
        <v>130</v>
      </c>
      <c r="BW1968" s="0" t="s">
        <v>130</v>
      </c>
      <c r="BX1968" s="0" t="s">
        <v>130</v>
      </c>
      <c r="BY1968" s="0" t="s">
        <v>130</v>
      </c>
      <c r="BZ1968" s="0" t="s">
        <v>130</v>
      </c>
      <c r="CA1968" s="0" t="s">
        <v>130</v>
      </c>
      <c r="CB1968" s="0" t="s">
        <v>130</v>
      </c>
      <c r="CC1968" s="0" t="s">
        <v>130</v>
      </c>
      <c r="CD1968" s="0" t="s">
        <v>130</v>
      </c>
      <c r="CE1968" s="0" t="s">
        <v>130</v>
      </c>
      <c r="CF1968" s="0" t="s">
        <v>130</v>
      </c>
      <c r="CG1968" s="0" t="s">
        <v>130</v>
      </c>
      <c r="CH1968" s="0" t="s">
        <v>130</v>
      </c>
      <c r="CI1968" s="0" t="s">
        <v>130</v>
      </c>
      <c r="CJ1968" s="0" t="s">
        <v>130</v>
      </c>
      <c r="CK1968" s="0" t="s">
        <v>130</v>
      </c>
      <c r="CL1968" s="0" t="s">
        <v>130</v>
      </c>
      <c r="CM1968" s="0" t="s">
        <v>130</v>
      </c>
      <c r="CN1968" s="0" t="s">
        <v>130</v>
      </c>
      <c r="CO1968" s="0" t="s">
        <v>130</v>
      </c>
      <c r="CP1968" s="0" t="s">
        <v>130</v>
      </c>
      <c r="CQ1968" s="0" t="s">
        <v>130</v>
      </c>
      <c r="CR1968" s="0" t="s">
        <v>130</v>
      </c>
      <c r="CS1968" s="0" t="s">
        <v>130</v>
      </c>
      <c r="CT1968" s="0" t="s">
        <v>5547</v>
      </c>
    </row>
    <row r="1969">
      <c r="A1969" s="14">
        <v>107032</v>
      </c>
      <c r="B1969" s="0" t="s">
        <v>2117</v>
      </c>
      <c r="C1969" s="16">
        <f>HYPERLINK("https://eosportal.federatedhermes.com/companies/Q29tcGFueQppNDM5MjE=", "State Street Corp")</f>
      </c>
      <c r="D1969" s="0" t="s">
        <v>25</v>
      </c>
      <c r="E1969" s="0" t="s">
        <v>5548</v>
      </c>
      <c r="F1969" s="16">
        <f>HYPERLINK("https://eosportal.federatedhermes.com/engagements/RW5nYWdlbWVudAppMzE3MTk=", "Director overcommitment")</f>
      </c>
      <c r="G1969" s="14" t="s">
        <v>5549</v>
      </c>
      <c r="H1969" s="0" t="s">
        <v>130</v>
      </c>
      <c r="I1969" s="14" t="s">
        <v>319</v>
      </c>
      <c r="J1969" s="0" t="s">
        <v>145</v>
      </c>
      <c r="K1969" s="0" t="s">
        <v>164</v>
      </c>
      <c r="L1969" s="0" t="s">
        <v>165</v>
      </c>
      <c r="M1969" s="0" t="s">
        <v>135</v>
      </c>
      <c r="N1969" s="0" t="s">
        <v>136</v>
      </c>
      <c r="O1969" s="0" t="s">
        <v>238</v>
      </c>
      <c r="Q1969" s="0" t="s">
        <v>130</v>
      </c>
      <c r="R1969" s="0" t="s">
        <v>138</v>
      </c>
      <c r="S1969" s="14">
        <v>0</v>
      </c>
      <c r="T1969" s="0" t="s">
        <v>2270</v>
      </c>
      <c r="U1969" s="0" t="s">
        <v>138</v>
      </c>
      <c r="V1969" s="14" t="s">
        <v>138</v>
      </c>
      <c r="W1969" s="0" t="s">
        <v>138</v>
      </c>
      <c r="X1969" s="14" t="s">
        <v>138</v>
      </c>
      <c r="Y1969" s="0" t="s">
        <v>138</v>
      </c>
      <c r="Z1969" s="14" t="s">
        <v>138</v>
      </c>
      <c r="AA1969" s="0" t="s">
        <v>138</v>
      </c>
      <c r="AB1969" s="14" t="s">
        <v>138</v>
      </c>
      <c r="AD1969" s="0" t="s">
        <v>138</v>
      </c>
      <c r="AF1969" s="0">
        <v>0</v>
      </c>
      <c r="AG1969" s="0">
        <v>0</v>
      </c>
      <c r="AH1969" s="0" t="s">
        <v>140</v>
      </c>
      <c r="AI1969" s="0" t="s">
        <v>138</v>
      </c>
      <c r="AL1969" s="14"/>
      <c r="AN1969" s="14"/>
      <c r="AQ1969" s="0" t="s">
        <v>130</v>
      </c>
      <c r="AR1969" s="0" t="s">
        <v>130</v>
      </c>
      <c r="AS1969" s="0" t="s">
        <v>130</v>
      </c>
      <c r="AT1969" s="0" t="s">
        <v>130</v>
      </c>
      <c r="AU1969" s="0" t="s">
        <v>130</v>
      </c>
      <c r="AV1969" s="0" t="s">
        <v>130</v>
      </c>
      <c r="AW1969" s="0" t="s">
        <v>130</v>
      </c>
      <c r="AX1969" s="0" t="s">
        <v>130</v>
      </c>
      <c r="AY1969" s="0" t="s">
        <v>130</v>
      </c>
      <c r="AZ1969" s="0" t="s">
        <v>130</v>
      </c>
      <c r="BA1969" s="0" t="s">
        <v>130</v>
      </c>
      <c r="BB1969" s="0" t="s">
        <v>130</v>
      </c>
      <c r="BC1969" s="0" t="s">
        <v>130</v>
      </c>
      <c r="BD1969" s="0" t="s">
        <v>130</v>
      </c>
      <c r="BE1969" s="0" t="s">
        <v>130</v>
      </c>
      <c r="BF1969" s="0" t="s">
        <v>130</v>
      </c>
      <c r="BG1969" s="0" t="s">
        <v>130</v>
      </c>
      <c r="BH1969" s="0" t="s">
        <v>130</v>
      </c>
      <c r="BI1969" s="0" t="s">
        <v>130</v>
      </c>
      <c r="BJ1969" s="0" t="s">
        <v>130</v>
      </c>
      <c r="BK1969" s="0" t="s">
        <v>130</v>
      </c>
      <c r="BL1969" s="0" t="s">
        <v>130</v>
      </c>
      <c r="BM1969" s="0" t="s">
        <v>130</v>
      </c>
      <c r="BN1969" s="0" t="s">
        <v>130</v>
      </c>
      <c r="BO1969" s="0" t="s">
        <v>130</v>
      </c>
      <c r="BP1969" s="0" t="s">
        <v>130</v>
      </c>
      <c r="BQ1969" s="0" t="s">
        <v>130</v>
      </c>
      <c r="BR1969" s="0" t="s">
        <v>130</v>
      </c>
      <c r="BS1969" s="0" t="s">
        <v>130</v>
      </c>
      <c r="BT1969" s="0" t="s">
        <v>130</v>
      </c>
      <c r="BU1969" s="0" t="s">
        <v>130</v>
      </c>
      <c r="BV1969" s="0" t="s">
        <v>130</v>
      </c>
      <c r="BW1969" s="0" t="s">
        <v>130</v>
      </c>
      <c r="BX1969" s="0" t="s">
        <v>130</v>
      </c>
      <c r="BY1969" s="0" t="s">
        <v>130</v>
      </c>
      <c r="BZ1969" s="0" t="s">
        <v>130</v>
      </c>
      <c r="CA1969" s="0" t="s">
        <v>130</v>
      </c>
      <c r="CB1969" s="0" t="s">
        <v>130</v>
      </c>
      <c r="CC1969" s="0" t="s">
        <v>130</v>
      </c>
      <c r="CD1969" s="0" t="s">
        <v>130</v>
      </c>
      <c r="CE1969" s="0" t="s">
        <v>130</v>
      </c>
      <c r="CF1969" s="0" t="s">
        <v>130</v>
      </c>
      <c r="CG1969" s="0" t="s">
        <v>130</v>
      </c>
      <c r="CH1969" s="0" t="s">
        <v>130</v>
      </c>
      <c r="CI1969" s="0" t="s">
        <v>130</v>
      </c>
      <c r="CJ1969" s="0" t="s">
        <v>130</v>
      </c>
      <c r="CK1969" s="0" t="s">
        <v>130</v>
      </c>
      <c r="CL1969" s="0" t="s">
        <v>130</v>
      </c>
      <c r="CM1969" s="0" t="s">
        <v>130</v>
      </c>
      <c r="CN1969" s="0" t="s">
        <v>130</v>
      </c>
      <c r="CO1969" s="0" t="s">
        <v>130</v>
      </c>
      <c r="CP1969" s="0" t="s">
        <v>130</v>
      </c>
      <c r="CQ1969" s="0" t="s">
        <v>130</v>
      </c>
      <c r="CR1969" s="0" t="s">
        <v>130</v>
      </c>
      <c r="CS1969" s="0" t="s">
        <v>130</v>
      </c>
      <c r="CT1969" s="0" t="s">
        <v>5550</v>
      </c>
    </row>
    <row r="1970">
      <c r="A1970" s="14">
        <v>115505</v>
      </c>
      <c r="B1970" s="0" t="s">
        <v>2425</v>
      </c>
      <c r="C1970" s="16">
        <f>HYPERLINK("https://eosportal.federatedhermes.com/companies/Q29tcGFueQppNTg5NTA=", "Vinci SA")</f>
      </c>
      <c r="D1970" s="0" t="s">
        <v>25</v>
      </c>
      <c r="E1970" s="0" t="s">
        <v>5551</v>
      </c>
      <c r="F1970" s="16">
        <f>HYPERLINK("https://eosportal.federatedhermes.com/engagements/RW5nYWdlbWVudAppMzE3MjM=", "TNFD")</f>
      </c>
      <c r="G1970" s="14" t="s">
        <v>5552</v>
      </c>
      <c r="H1970" s="0" t="s">
        <v>141</v>
      </c>
      <c r="I1970" s="14" t="s">
        <v>191</v>
      </c>
      <c r="J1970" s="0" t="s">
        <v>197</v>
      </c>
      <c r="K1970" s="0" t="s">
        <v>337</v>
      </c>
      <c r="L1970" s="0" t="s">
        <v>576</v>
      </c>
      <c r="M1970" s="0" t="s">
        <v>378</v>
      </c>
      <c r="N1970" s="0" t="s">
        <v>1646</v>
      </c>
      <c r="O1970" s="0" t="s">
        <v>176</v>
      </c>
      <c r="Q1970" s="0" t="s">
        <v>130</v>
      </c>
      <c r="R1970" s="0" t="s">
        <v>138</v>
      </c>
      <c r="S1970" s="14">
        <v>0</v>
      </c>
      <c r="T1970" s="0" t="s">
        <v>2270</v>
      </c>
      <c r="U1970" s="0" t="s">
        <v>138</v>
      </c>
      <c r="V1970" s="14" t="s">
        <v>138</v>
      </c>
      <c r="W1970" s="0" t="s">
        <v>138</v>
      </c>
      <c r="X1970" s="14" t="s">
        <v>138</v>
      </c>
      <c r="Y1970" s="0" t="s">
        <v>138</v>
      </c>
      <c r="Z1970" s="14" t="s">
        <v>138</v>
      </c>
      <c r="AA1970" s="0" t="s">
        <v>138</v>
      </c>
      <c r="AB1970" s="14" t="s">
        <v>138</v>
      </c>
      <c r="AD1970" s="0" t="s">
        <v>138</v>
      </c>
      <c r="AF1970" s="0">
        <v>0</v>
      </c>
      <c r="AG1970" s="0">
        <v>0</v>
      </c>
      <c r="AH1970" s="0" t="s">
        <v>140</v>
      </c>
      <c r="AI1970" s="0" t="s">
        <v>138</v>
      </c>
      <c r="AL1970" s="14"/>
      <c r="AN1970" s="14"/>
      <c r="AQ1970" s="0" t="s">
        <v>130</v>
      </c>
      <c r="AR1970" s="0" t="s">
        <v>141</v>
      </c>
      <c r="AS1970" s="0" t="s">
        <v>130</v>
      </c>
      <c r="AT1970" s="0" t="s">
        <v>130</v>
      </c>
      <c r="AU1970" s="0" t="s">
        <v>130</v>
      </c>
      <c r="AV1970" s="0" t="s">
        <v>141</v>
      </c>
      <c r="AW1970" s="0" t="s">
        <v>130</v>
      </c>
      <c r="AX1970" s="0" t="s">
        <v>130</v>
      </c>
      <c r="AY1970" s="0" t="s">
        <v>130</v>
      </c>
      <c r="AZ1970" s="0" t="s">
        <v>130</v>
      </c>
      <c r="BA1970" s="0" t="s">
        <v>141</v>
      </c>
      <c r="BB1970" s="0" t="s">
        <v>141</v>
      </c>
      <c r="BC1970" s="0" t="s">
        <v>130</v>
      </c>
      <c r="BD1970" s="0" t="s">
        <v>141</v>
      </c>
      <c r="BE1970" s="0" t="s">
        <v>141</v>
      </c>
      <c r="BF1970" s="0" t="s">
        <v>130</v>
      </c>
      <c r="BG1970" s="0" t="s">
        <v>130</v>
      </c>
      <c r="BH1970" s="0" t="s">
        <v>130</v>
      </c>
      <c r="BI1970" s="0" t="s">
        <v>130</v>
      </c>
      <c r="BJ1970" s="0" t="s">
        <v>130</v>
      </c>
      <c r="BK1970" s="0" t="s">
        <v>130</v>
      </c>
      <c r="BL1970" s="0" t="s">
        <v>130</v>
      </c>
      <c r="BM1970" s="0" t="s">
        <v>130</v>
      </c>
      <c r="BN1970" s="0" t="s">
        <v>130</v>
      </c>
      <c r="BO1970" s="0" t="s">
        <v>130</v>
      </c>
      <c r="BP1970" s="0" t="s">
        <v>130</v>
      </c>
      <c r="BQ1970" s="0" t="s">
        <v>130</v>
      </c>
      <c r="BR1970" s="0" t="s">
        <v>130</v>
      </c>
      <c r="BS1970" s="0" t="s">
        <v>130</v>
      </c>
      <c r="BT1970" s="0" t="s">
        <v>130</v>
      </c>
      <c r="BU1970" s="0" t="s">
        <v>130</v>
      </c>
      <c r="BV1970" s="0" t="s">
        <v>130</v>
      </c>
      <c r="BW1970" s="0" t="s">
        <v>130</v>
      </c>
      <c r="BX1970" s="0" t="s">
        <v>130</v>
      </c>
      <c r="BY1970" s="0" t="s">
        <v>130</v>
      </c>
      <c r="BZ1970" s="0" t="s">
        <v>130</v>
      </c>
      <c r="CA1970" s="0" t="s">
        <v>130</v>
      </c>
      <c r="CB1970" s="0" t="s">
        <v>130</v>
      </c>
      <c r="CC1970" s="0" t="s">
        <v>130</v>
      </c>
      <c r="CD1970" s="0" t="s">
        <v>130</v>
      </c>
      <c r="CE1970" s="0" t="s">
        <v>130</v>
      </c>
      <c r="CF1970" s="0" t="s">
        <v>130</v>
      </c>
      <c r="CG1970" s="0" t="s">
        <v>130</v>
      </c>
      <c r="CH1970" s="0" t="s">
        <v>130</v>
      </c>
      <c r="CI1970" s="0" t="s">
        <v>130</v>
      </c>
      <c r="CJ1970" s="0" t="s">
        <v>130</v>
      </c>
      <c r="CK1970" s="0" t="s">
        <v>130</v>
      </c>
      <c r="CL1970" s="0" t="s">
        <v>130</v>
      </c>
      <c r="CM1970" s="0" t="s">
        <v>130</v>
      </c>
      <c r="CN1970" s="0" t="s">
        <v>130</v>
      </c>
      <c r="CO1970" s="0" t="s">
        <v>130</v>
      </c>
      <c r="CP1970" s="0" t="s">
        <v>130</v>
      </c>
      <c r="CQ1970" s="0" t="s">
        <v>130</v>
      </c>
      <c r="CR1970" s="0" t="s">
        <v>130</v>
      </c>
      <c r="CS1970" s="0" t="s">
        <v>130</v>
      </c>
      <c r="CT1970" s="0" t="s">
        <v>5553</v>
      </c>
    </row>
    <row r="1971">
      <c r="A1971" s="14">
        <v>117621</v>
      </c>
      <c r="B1971" s="0" t="s">
        <v>2862</v>
      </c>
      <c r="C1971" s="16">
        <f>HYPERLINK("https://eosportal.federatedhermes.com/companies/Q29tcGFueQppNjc3Mzc=", "Hyundai Motor Co")</f>
      </c>
      <c r="D1971" s="0" t="s">
        <v>25</v>
      </c>
      <c r="E1971" s="0" t="s">
        <v>5554</v>
      </c>
      <c r="F1971" s="16">
        <f>HYPERLINK("https://eosportal.federatedhermes.com/engagements/RW5nYWdlbWVudAppMzE3MjQ=", "FIFA sponsorship")</f>
      </c>
      <c r="G1971" s="14" t="s">
        <v>5555</v>
      </c>
      <c r="H1971" s="0" t="s">
        <v>141</v>
      </c>
      <c r="I1971" s="14" t="s">
        <v>191</v>
      </c>
      <c r="J1971" s="0" t="s">
        <v>153</v>
      </c>
      <c r="K1971" s="0" t="s">
        <v>243</v>
      </c>
      <c r="L1971" s="0" t="s">
        <v>244</v>
      </c>
      <c r="M1971" s="0" t="s">
        <v>802</v>
      </c>
      <c r="N1971" s="0" t="s">
        <v>2800</v>
      </c>
      <c r="O1971" s="0" t="s">
        <v>425</v>
      </c>
      <c r="Q1971" s="0" t="s">
        <v>130</v>
      </c>
      <c r="R1971" s="0" t="s">
        <v>138</v>
      </c>
      <c r="S1971" s="14">
        <v>0</v>
      </c>
      <c r="T1971" s="0" t="s">
        <v>2270</v>
      </c>
      <c r="U1971" s="0" t="s">
        <v>138</v>
      </c>
      <c r="V1971" s="14" t="s">
        <v>138</v>
      </c>
      <c r="W1971" s="0" t="s">
        <v>138</v>
      </c>
      <c r="X1971" s="14" t="s">
        <v>138</v>
      </c>
      <c r="Y1971" s="0" t="s">
        <v>138</v>
      </c>
      <c r="Z1971" s="14" t="s">
        <v>138</v>
      </c>
      <c r="AA1971" s="0" t="s">
        <v>138</v>
      </c>
      <c r="AB1971" s="14" t="s">
        <v>138</v>
      </c>
      <c r="AD1971" s="0" t="s">
        <v>138</v>
      </c>
      <c r="AF1971" s="0">
        <v>0</v>
      </c>
      <c r="AG1971" s="0">
        <v>0</v>
      </c>
      <c r="AH1971" s="0" t="s">
        <v>140</v>
      </c>
      <c r="AI1971" s="0" t="s">
        <v>138</v>
      </c>
      <c r="AL1971" s="14"/>
      <c r="AN1971" s="14"/>
      <c r="AQ1971" s="0" t="s">
        <v>130</v>
      </c>
      <c r="AR1971" s="0" t="s">
        <v>130</v>
      </c>
      <c r="AS1971" s="0" t="s">
        <v>130</v>
      </c>
      <c r="AT1971" s="0" t="s">
        <v>130</v>
      </c>
      <c r="AU1971" s="0" t="s">
        <v>130</v>
      </c>
      <c r="AV1971" s="0" t="s">
        <v>130</v>
      </c>
      <c r="AW1971" s="0" t="s">
        <v>130</v>
      </c>
      <c r="AX1971" s="0" t="s">
        <v>141</v>
      </c>
      <c r="AY1971" s="0" t="s">
        <v>130</v>
      </c>
      <c r="AZ1971" s="0" t="s">
        <v>130</v>
      </c>
      <c r="BA1971" s="0" t="s">
        <v>130</v>
      </c>
      <c r="BB1971" s="0" t="s">
        <v>130</v>
      </c>
      <c r="BC1971" s="0" t="s">
        <v>130</v>
      </c>
      <c r="BD1971" s="0" t="s">
        <v>130</v>
      </c>
      <c r="BE1971" s="0" t="s">
        <v>130</v>
      </c>
      <c r="BF1971" s="0" t="s">
        <v>130</v>
      </c>
      <c r="BG1971" s="0" t="s">
        <v>130</v>
      </c>
      <c r="BH1971" s="0" t="s">
        <v>130</v>
      </c>
      <c r="BI1971" s="0" t="s">
        <v>130</v>
      </c>
      <c r="BJ1971" s="0" t="s">
        <v>130</v>
      </c>
      <c r="BK1971" s="0" t="s">
        <v>130</v>
      </c>
      <c r="BL1971" s="0" t="s">
        <v>130</v>
      </c>
      <c r="BM1971" s="0" t="s">
        <v>130</v>
      </c>
      <c r="BN1971" s="0" t="s">
        <v>130</v>
      </c>
      <c r="BO1971" s="0" t="s">
        <v>130</v>
      </c>
      <c r="BP1971" s="0" t="s">
        <v>130</v>
      </c>
      <c r="BQ1971" s="0" t="s">
        <v>130</v>
      </c>
      <c r="BR1971" s="0" t="s">
        <v>130</v>
      </c>
      <c r="BS1971" s="0" t="s">
        <v>130</v>
      </c>
      <c r="BT1971" s="0" t="s">
        <v>130</v>
      </c>
      <c r="BU1971" s="0" t="s">
        <v>130</v>
      </c>
      <c r="BV1971" s="0" t="s">
        <v>130</v>
      </c>
      <c r="BW1971" s="0" t="s">
        <v>130</v>
      </c>
      <c r="BX1971" s="0" t="s">
        <v>130</v>
      </c>
      <c r="BY1971" s="0" t="s">
        <v>130</v>
      </c>
      <c r="BZ1971" s="0" t="s">
        <v>130</v>
      </c>
      <c r="CA1971" s="0" t="s">
        <v>130</v>
      </c>
      <c r="CB1971" s="0" t="s">
        <v>130</v>
      </c>
      <c r="CC1971" s="0" t="s">
        <v>130</v>
      </c>
      <c r="CD1971" s="0" t="s">
        <v>130</v>
      </c>
      <c r="CE1971" s="0" t="s">
        <v>130</v>
      </c>
      <c r="CF1971" s="0" t="s">
        <v>130</v>
      </c>
      <c r="CG1971" s="0" t="s">
        <v>130</v>
      </c>
      <c r="CH1971" s="0" t="s">
        <v>130</v>
      </c>
      <c r="CI1971" s="0" t="s">
        <v>130</v>
      </c>
      <c r="CJ1971" s="0" t="s">
        <v>130</v>
      </c>
      <c r="CK1971" s="0" t="s">
        <v>130</v>
      </c>
      <c r="CL1971" s="0" t="s">
        <v>130</v>
      </c>
      <c r="CM1971" s="0" t="s">
        <v>130</v>
      </c>
      <c r="CN1971" s="0" t="s">
        <v>130</v>
      </c>
      <c r="CO1971" s="0" t="s">
        <v>130</v>
      </c>
      <c r="CP1971" s="0" t="s">
        <v>130</v>
      </c>
      <c r="CQ1971" s="0" t="s">
        <v>130</v>
      </c>
      <c r="CR1971" s="0" t="s">
        <v>130</v>
      </c>
      <c r="CS1971" s="0" t="s">
        <v>130</v>
      </c>
      <c r="CT1971" s="0" t="s">
        <v>5556</v>
      </c>
    </row>
    <row r="1972">
      <c r="A1972" s="14">
        <v>153737</v>
      </c>
      <c r="B1972" s="0" t="s">
        <v>2939</v>
      </c>
      <c r="C1972" s="16">
        <f>HYPERLINK("https://eosportal.federatedhermes.com/companies/Q29tcGFueQppNDc5OTI=", "Taiwan Semiconductor Manufacturing Co Ltd")</f>
      </c>
      <c r="D1972" s="0" t="s">
        <v>23</v>
      </c>
      <c r="E1972" s="0" t="s">
        <v>5557</v>
      </c>
      <c r="F1972" s="16">
        <f>HYPERLINK("https://eosportal.federatedhermes.com/engagements/RW5nYWdlbWVudAppMzE3MzE=", "Medium-term GHG reduction targets")</f>
      </c>
      <c r="G1972" s="14" t="s">
        <v>5558</v>
      </c>
      <c r="H1972" s="0" t="s">
        <v>141</v>
      </c>
      <c r="I1972" s="14" t="s">
        <v>131</v>
      </c>
      <c r="J1972" s="0" t="s">
        <v>197</v>
      </c>
      <c r="K1972" s="0" t="s">
        <v>198</v>
      </c>
      <c r="L1972" s="0" t="s">
        <v>216</v>
      </c>
      <c r="M1972" s="0" t="s">
        <v>802</v>
      </c>
      <c r="N1972" s="0" t="s">
        <v>2941</v>
      </c>
      <c r="O1972" s="0" t="s">
        <v>1125</v>
      </c>
      <c r="Q1972" s="0" t="s">
        <v>130</v>
      </c>
      <c r="R1972" s="0" t="s">
        <v>130</v>
      </c>
      <c r="S1972" s="14">
        <v>0</v>
      </c>
      <c r="T1972" s="0" t="s">
        <v>597</v>
      </c>
      <c r="U1972" s="0" t="s">
        <v>221</v>
      </c>
      <c r="V1972" s="14" t="s">
        <v>597</v>
      </c>
      <c r="W1972" s="0" t="s">
        <v>221</v>
      </c>
      <c r="X1972" s="14" t="s">
        <v>2629</v>
      </c>
      <c r="Y1972" s="0" t="s">
        <v>223</v>
      </c>
      <c r="Z1972" s="14" t="s">
        <v>138</v>
      </c>
      <c r="AA1972" s="0" t="s">
        <v>224</v>
      </c>
      <c r="AB1972" s="14" t="s">
        <v>138</v>
      </c>
      <c r="AD1972" s="0" t="s">
        <v>17</v>
      </c>
      <c r="AF1972" s="0">
        <v>0</v>
      </c>
      <c r="AG1972" s="0">
        <v>0</v>
      </c>
      <c r="AH1972" s="0" t="s">
        <v>140</v>
      </c>
      <c r="AI1972" s="0" t="s">
        <v>479</v>
      </c>
      <c r="AL1972" s="14"/>
      <c r="AN1972" s="14"/>
      <c r="AQ1972" s="0" t="s">
        <v>130</v>
      </c>
      <c r="AR1972" s="0" t="s">
        <v>130</v>
      </c>
      <c r="AS1972" s="0" t="s">
        <v>130</v>
      </c>
      <c r="AT1972" s="0" t="s">
        <v>130</v>
      </c>
      <c r="AU1972" s="0" t="s">
        <v>130</v>
      </c>
      <c r="AV1972" s="0" t="s">
        <v>130</v>
      </c>
      <c r="AW1972" s="0" t="s">
        <v>141</v>
      </c>
      <c r="AX1972" s="0" t="s">
        <v>130</v>
      </c>
      <c r="AY1972" s="0" t="s">
        <v>130</v>
      </c>
      <c r="AZ1972" s="0" t="s">
        <v>130</v>
      </c>
      <c r="BA1972" s="0" t="s">
        <v>130</v>
      </c>
      <c r="BB1972" s="0" t="s">
        <v>130</v>
      </c>
      <c r="BC1972" s="0" t="s">
        <v>141</v>
      </c>
      <c r="BD1972" s="0" t="s">
        <v>130</v>
      </c>
      <c r="BE1972" s="0" t="s">
        <v>130</v>
      </c>
      <c r="BF1972" s="0" t="s">
        <v>130</v>
      </c>
      <c r="BG1972" s="0" t="s">
        <v>130</v>
      </c>
      <c r="BH1972" s="0" t="s">
        <v>141</v>
      </c>
      <c r="BI1972" s="0" t="s">
        <v>141</v>
      </c>
      <c r="BJ1972" s="0" t="s">
        <v>141</v>
      </c>
      <c r="BK1972" s="0" t="s">
        <v>130</v>
      </c>
      <c r="BL1972" s="0" t="s">
        <v>130</v>
      </c>
      <c r="BM1972" s="0" t="s">
        <v>130</v>
      </c>
      <c r="BN1972" s="0" t="s">
        <v>130</v>
      </c>
      <c r="BO1972" s="0" t="s">
        <v>130</v>
      </c>
      <c r="BP1972" s="0" t="s">
        <v>130</v>
      </c>
      <c r="BQ1972" s="0" t="s">
        <v>130</v>
      </c>
      <c r="BR1972" s="0" t="s">
        <v>130</v>
      </c>
      <c r="BS1972" s="0" t="s">
        <v>130</v>
      </c>
      <c r="BT1972" s="0" t="s">
        <v>130</v>
      </c>
      <c r="BU1972" s="0" t="s">
        <v>130</v>
      </c>
      <c r="BV1972" s="0" t="s">
        <v>141</v>
      </c>
      <c r="BW1972" s="0" t="s">
        <v>141</v>
      </c>
      <c r="BX1972" s="0" t="s">
        <v>130</v>
      </c>
      <c r="BY1972" s="0" t="s">
        <v>130</v>
      </c>
      <c r="BZ1972" s="0" t="s">
        <v>130</v>
      </c>
      <c r="CA1972" s="0" t="s">
        <v>130</v>
      </c>
      <c r="CB1972" s="0" t="s">
        <v>130</v>
      </c>
      <c r="CC1972" s="0" t="s">
        <v>130</v>
      </c>
      <c r="CD1972" s="0" t="s">
        <v>130</v>
      </c>
      <c r="CE1972" s="0" t="s">
        <v>130</v>
      </c>
      <c r="CF1972" s="0" t="s">
        <v>130</v>
      </c>
      <c r="CG1972" s="0" t="s">
        <v>130</v>
      </c>
      <c r="CH1972" s="0" t="s">
        <v>130</v>
      </c>
      <c r="CI1972" s="0" t="s">
        <v>130</v>
      </c>
      <c r="CJ1972" s="0" t="s">
        <v>130</v>
      </c>
      <c r="CK1972" s="0" t="s">
        <v>130</v>
      </c>
      <c r="CL1972" s="0" t="s">
        <v>130</v>
      </c>
      <c r="CM1972" s="0" t="s">
        <v>130</v>
      </c>
      <c r="CN1972" s="0" t="s">
        <v>130</v>
      </c>
      <c r="CO1972" s="0" t="s">
        <v>130</v>
      </c>
      <c r="CP1972" s="0" t="s">
        <v>130</v>
      </c>
      <c r="CQ1972" s="0" t="s">
        <v>130</v>
      </c>
      <c r="CR1972" s="0" t="s">
        <v>130</v>
      </c>
      <c r="CS1972" s="0" t="s">
        <v>130</v>
      </c>
      <c r="CT1972" s="0" t="s">
        <v>5559</v>
      </c>
    </row>
    <row r="1973">
      <c r="A1973" s="14">
        <v>101499</v>
      </c>
      <c r="B1973" s="0" t="s">
        <v>1676</v>
      </c>
      <c r="C1973" s="16">
        <f>HYPERLINK("https://eosportal.federatedhermes.com/companies/Q29tcGFueQppNTg5Nzk=", "TC Energy Corp")</f>
      </c>
      <c r="D1973" s="0" t="s">
        <v>23</v>
      </c>
      <c r="E1973" s="0" t="s">
        <v>746</v>
      </c>
      <c r="F1973" s="16">
        <f>HYPERLINK("https://eosportal.federatedhermes.com/engagements/RW5nYWdlbWVudAppMzE3Mzg=", "Improved climate-related financial disclosures")</f>
      </c>
      <c r="G1973" s="14" t="s">
        <v>747</v>
      </c>
      <c r="H1973" s="0" t="s">
        <v>130</v>
      </c>
      <c r="I1973" s="14" t="s">
        <v>131</v>
      </c>
      <c r="J1973" s="0" t="s">
        <v>197</v>
      </c>
      <c r="K1973" s="0" t="s">
        <v>198</v>
      </c>
      <c r="L1973" s="0" t="s">
        <v>199</v>
      </c>
      <c r="M1973" s="0" t="s">
        <v>135</v>
      </c>
      <c r="N1973" s="0" t="s">
        <v>1678</v>
      </c>
      <c r="O1973" s="0" t="s">
        <v>542</v>
      </c>
      <c r="Q1973" s="0" t="s">
        <v>141</v>
      </c>
      <c r="R1973" s="0" t="s">
        <v>130</v>
      </c>
      <c r="S1973" s="14">
        <v>1</v>
      </c>
      <c r="T1973" s="0" t="s">
        <v>231</v>
      </c>
      <c r="U1973" s="0" t="s">
        <v>221</v>
      </c>
      <c r="V1973" s="14" t="s">
        <v>231</v>
      </c>
      <c r="W1973" s="0" t="s">
        <v>221</v>
      </c>
      <c r="X1973" s="14" t="s">
        <v>446</v>
      </c>
      <c r="Y1973" s="0" t="s">
        <v>223</v>
      </c>
      <c r="Z1973" s="14" t="s">
        <v>138</v>
      </c>
      <c r="AA1973" s="0" t="s">
        <v>224</v>
      </c>
      <c r="AB1973" s="14" t="s">
        <v>138</v>
      </c>
      <c r="AD1973" s="0" t="s">
        <v>17</v>
      </c>
      <c r="AF1973" s="0">
        <v>0</v>
      </c>
      <c r="AG1973" s="0">
        <v>0</v>
      </c>
      <c r="AH1973" s="0" t="s">
        <v>140</v>
      </c>
      <c r="AI1973" s="0" t="s">
        <v>232</v>
      </c>
      <c r="AK1973" s="0" t="s">
        <v>149</v>
      </c>
      <c r="AL1973" s="14"/>
      <c r="AN1973" s="14"/>
      <c r="AQ1973" s="0" t="s">
        <v>130</v>
      </c>
      <c r="AR1973" s="0" t="s">
        <v>130</v>
      </c>
      <c r="AS1973" s="0" t="s">
        <v>130</v>
      </c>
      <c r="AT1973" s="0" t="s">
        <v>130</v>
      </c>
      <c r="AU1973" s="0" t="s">
        <v>130</v>
      </c>
      <c r="AV1973" s="0" t="s">
        <v>130</v>
      </c>
      <c r="AW1973" s="0" t="s">
        <v>130</v>
      </c>
      <c r="AX1973" s="0" t="s">
        <v>130</v>
      </c>
      <c r="AY1973" s="0" t="s">
        <v>130</v>
      </c>
      <c r="AZ1973" s="0" t="s">
        <v>130</v>
      </c>
      <c r="BA1973" s="0" t="s">
        <v>130</v>
      </c>
      <c r="BB1973" s="0" t="s">
        <v>141</v>
      </c>
      <c r="BC1973" s="0" t="s">
        <v>130</v>
      </c>
      <c r="BD1973" s="0" t="s">
        <v>130</v>
      </c>
      <c r="BE1973" s="0" t="s">
        <v>130</v>
      </c>
      <c r="BF1973" s="0" t="s">
        <v>130</v>
      </c>
      <c r="BG1973" s="0" t="s">
        <v>130</v>
      </c>
      <c r="BH1973" s="0" t="s">
        <v>130</v>
      </c>
      <c r="BI1973" s="0" t="s">
        <v>130</v>
      </c>
      <c r="BJ1973" s="0" t="s">
        <v>130</v>
      </c>
      <c r="BK1973" s="0" t="s">
        <v>130</v>
      </c>
      <c r="BL1973" s="0" t="s">
        <v>130</v>
      </c>
      <c r="BM1973" s="0" t="s">
        <v>130</v>
      </c>
      <c r="BN1973" s="0" t="s">
        <v>130</v>
      </c>
      <c r="BO1973" s="0" t="s">
        <v>130</v>
      </c>
      <c r="BP1973" s="0" t="s">
        <v>130</v>
      </c>
      <c r="BQ1973" s="0" t="s">
        <v>130</v>
      </c>
      <c r="BR1973" s="0" t="s">
        <v>130</v>
      </c>
      <c r="BS1973" s="0" t="s">
        <v>130</v>
      </c>
      <c r="BT1973" s="0" t="s">
        <v>130</v>
      </c>
      <c r="BU1973" s="0" t="s">
        <v>130</v>
      </c>
      <c r="BV1973" s="0" t="s">
        <v>130</v>
      </c>
      <c r="BW1973" s="0" t="s">
        <v>130</v>
      </c>
      <c r="BX1973" s="0" t="s">
        <v>130</v>
      </c>
      <c r="BY1973" s="0" t="s">
        <v>130</v>
      </c>
      <c r="BZ1973" s="0" t="s">
        <v>130</v>
      </c>
      <c r="CA1973" s="0" t="s">
        <v>130</v>
      </c>
      <c r="CB1973" s="0" t="s">
        <v>130</v>
      </c>
      <c r="CC1973" s="0" t="s">
        <v>130</v>
      </c>
      <c r="CD1973" s="0" t="s">
        <v>130</v>
      </c>
      <c r="CE1973" s="0" t="s">
        <v>130</v>
      </c>
      <c r="CF1973" s="0" t="s">
        <v>130</v>
      </c>
      <c r="CG1973" s="0" t="s">
        <v>130</v>
      </c>
      <c r="CH1973" s="0" t="s">
        <v>130</v>
      </c>
      <c r="CI1973" s="0" t="s">
        <v>130</v>
      </c>
      <c r="CJ1973" s="0" t="s">
        <v>130</v>
      </c>
      <c r="CK1973" s="0" t="s">
        <v>130</v>
      </c>
      <c r="CL1973" s="0" t="s">
        <v>130</v>
      </c>
      <c r="CM1973" s="0" t="s">
        <v>130</v>
      </c>
      <c r="CN1973" s="0" t="s">
        <v>130</v>
      </c>
      <c r="CO1973" s="0" t="s">
        <v>130</v>
      </c>
      <c r="CP1973" s="0" t="s">
        <v>130</v>
      </c>
      <c r="CQ1973" s="0" t="s">
        <v>130</v>
      </c>
      <c r="CR1973" s="0" t="s">
        <v>130</v>
      </c>
      <c r="CS1973" s="0" t="s">
        <v>130</v>
      </c>
      <c r="CT1973" s="0" t="s">
        <v>5560</v>
      </c>
    </row>
    <row r="1974">
      <c r="A1974" s="14">
        <v>101499</v>
      </c>
      <c r="B1974" s="0" t="s">
        <v>1676</v>
      </c>
      <c r="C1974" s="16">
        <f>HYPERLINK("https://eosportal.federatedhermes.com/companies/Q29tcGFueQppNTg5Nzk=", "TC Energy Corp")</f>
      </c>
      <c r="D1974" s="0" t="s">
        <v>23</v>
      </c>
      <c r="E1974" s="0" t="s">
        <v>5543</v>
      </c>
      <c r="F1974" s="16">
        <f>HYPERLINK("https://eosportal.federatedhermes.com/engagements/RW5nYWdlbWVudAppMzE3Mzk=", "Methane management best practices")</f>
      </c>
      <c r="G1974" s="14" t="s">
        <v>5544</v>
      </c>
      <c r="H1974" s="0" t="s">
        <v>130</v>
      </c>
      <c r="I1974" s="14" t="s">
        <v>131</v>
      </c>
      <c r="J1974" s="0" t="s">
        <v>197</v>
      </c>
      <c r="K1974" s="0" t="s">
        <v>198</v>
      </c>
      <c r="L1974" s="0" t="s">
        <v>220</v>
      </c>
      <c r="M1974" s="0" t="s">
        <v>135</v>
      </c>
      <c r="N1974" s="0" t="s">
        <v>1678</v>
      </c>
      <c r="O1974" s="0" t="s">
        <v>542</v>
      </c>
      <c r="Q1974" s="0" t="s">
        <v>141</v>
      </c>
      <c r="R1974" s="0" t="s">
        <v>130</v>
      </c>
      <c r="S1974" s="14">
        <v>2</v>
      </c>
      <c r="T1974" s="0" t="s">
        <v>231</v>
      </c>
      <c r="U1974" s="0" t="s">
        <v>221</v>
      </c>
      <c r="V1974" s="14" t="s">
        <v>231</v>
      </c>
      <c r="W1974" s="0" t="s">
        <v>221</v>
      </c>
      <c r="X1974" s="14" t="s">
        <v>2629</v>
      </c>
      <c r="Y1974" s="0" t="s">
        <v>221</v>
      </c>
      <c r="Z1974" s="14" t="s">
        <v>446</v>
      </c>
      <c r="AA1974" s="0" t="s">
        <v>223</v>
      </c>
      <c r="AB1974" s="14" t="s">
        <v>138</v>
      </c>
      <c r="AD1974" s="0" t="s">
        <v>20</v>
      </c>
      <c r="AF1974" s="0">
        <v>0</v>
      </c>
      <c r="AG1974" s="0">
        <v>0</v>
      </c>
      <c r="AH1974" s="0" t="s">
        <v>140</v>
      </c>
      <c r="AI1974" s="0" t="s">
        <v>479</v>
      </c>
      <c r="AK1974" s="0" t="s">
        <v>149</v>
      </c>
      <c r="AL1974" s="14"/>
      <c r="AN1974" s="14"/>
      <c r="AQ1974" s="0" t="s">
        <v>130</v>
      </c>
      <c r="AR1974" s="0" t="s">
        <v>130</v>
      </c>
      <c r="AS1974" s="0" t="s">
        <v>130</v>
      </c>
      <c r="AT1974" s="0" t="s">
        <v>130</v>
      </c>
      <c r="AU1974" s="0" t="s">
        <v>130</v>
      </c>
      <c r="AV1974" s="0" t="s">
        <v>130</v>
      </c>
      <c r="AW1974" s="0" t="s">
        <v>141</v>
      </c>
      <c r="AX1974" s="0" t="s">
        <v>130</v>
      </c>
      <c r="AY1974" s="0" t="s">
        <v>141</v>
      </c>
      <c r="AZ1974" s="0" t="s">
        <v>130</v>
      </c>
      <c r="BA1974" s="0" t="s">
        <v>130</v>
      </c>
      <c r="BB1974" s="0" t="s">
        <v>130</v>
      </c>
      <c r="BC1974" s="0" t="s">
        <v>141</v>
      </c>
      <c r="BD1974" s="0" t="s">
        <v>130</v>
      </c>
      <c r="BE1974" s="0" t="s">
        <v>130</v>
      </c>
      <c r="BF1974" s="0" t="s">
        <v>130</v>
      </c>
      <c r="BG1974" s="0" t="s">
        <v>130</v>
      </c>
      <c r="BH1974" s="0" t="s">
        <v>130</v>
      </c>
      <c r="BI1974" s="0" t="s">
        <v>130</v>
      </c>
      <c r="BJ1974" s="0" t="s">
        <v>130</v>
      </c>
      <c r="BK1974" s="0" t="s">
        <v>130</v>
      </c>
      <c r="BL1974" s="0" t="s">
        <v>130</v>
      </c>
      <c r="BM1974" s="0" t="s">
        <v>130</v>
      </c>
      <c r="BN1974" s="0" t="s">
        <v>130</v>
      </c>
      <c r="BO1974" s="0" t="s">
        <v>130</v>
      </c>
      <c r="BP1974" s="0" t="s">
        <v>130</v>
      </c>
      <c r="BQ1974" s="0" t="s">
        <v>130</v>
      </c>
      <c r="BR1974" s="0" t="s">
        <v>130</v>
      </c>
      <c r="BS1974" s="0" t="s">
        <v>130</v>
      </c>
      <c r="BT1974" s="0" t="s">
        <v>130</v>
      </c>
      <c r="BU1974" s="0" t="s">
        <v>130</v>
      </c>
      <c r="BV1974" s="0" t="s">
        <v>130</v>
      </c>
      <c r="BW1974" s="0" t="s">
        <v>130</v>
      </c>
      <c r="BX1974" s="0" t="s">
        <v>130</v>
      </c>
      <c r="BY1974" s="0" t="s">
        <v>130</v>
      </c>
      <c r="BZ1974" s="0" t="s">
        <v>130</v>
      </c>
      <c r="CA1974" s="0" t="s">
        <v>130</v>
      </c>
      <c r="CB1974" s="0" t="s">
        <v>130</v>
      </c>
      <c r="CC1974" s="0" t="s">
        <v>130</v>
      </c>
      <c r="CD1974" s="0" t="s">
        <v>130</v>
      </c>
      <c r="CE1974" s="0" t="s">
        <v>130</v>
      </c>
      <c r="CF1974" s="0" t="s">
        <v>130</v>
      </c>
      <c r="CG1974" s="0" t="s">
        <v>130</v>
      </c>
      <c r="CH1974" s="0" t="s">
        <v>130</v>
      </c>
      <c r="CI1974" s="0" t="s">
        <v>130</v>
      </c>
      <c r="CJ1974" s="0" t="s">
        <v>130</v>
      </c>
      <c r="CK1974" s="0" t="s">
        <v>130</v>
      </c>
      <c r="CL1974" s="0" t="s">
        <v>130</v>
      </c>
      <c r="CM1974" s="0" t="s">
        <v>130</v>
      </c>
      <c r="CN1974" s="0" t="s">
        <v>130</v>
      </c>
      <c r="CO1974" s="0" t="s">
        <v>130</v>
      </c>
      <c r="CP1974" s="0" t="s">
        <v>130</v>
      </c>
      <c r="CQ1974" s="0" t="s">
        <v>130</v>
      </c>
      <c r="CR1974" s="0" t="s">
        <v>130</v>
      </c>
      <c r="CS1974" s="0" t="s">
        <v>130</v>
      </c>
      <c r="CT1974" s="0" t="s">
        <v>5561</v>
      </c>
    </row>
    <row r="1975">
      <c r="A1975" s="14">
        <v>101499</v>
      </c>
      <c r="B1975" s="0" t="s">
        <v>1676</v>
      </c>
      <c r="C1975" s="16">
        <f>HYPERLINK("https://eosportal.federatedhermes.com/companies/Q29tcGFueQppNTg5Nzk=", "TC Energy Corp")</f>
      </c>
      <c r="D1975" s="0" t="s">
        <v>23</v>
      </c>
      <c r="E1975" s="0" t="s">
        <v>5274</v>
      </c>
      <c r="F1975" s="16">
        <f>HYPERLINK("https://eosportal.federatedhermes.com/engagements/RW5nYWdlbWVudAppMzE3NDA=", "Energy Efficiency Strategy")</f>
      </c>
      <c r="G1975" s="14" t="s">
        <v>5275</v>
      </c>
      <c r="H1975" s="0" t="s">
        <v>130</v>
      </c>
      <c r="I1975" s="14" t="s">
        <v>131</v>
      </c>
      <c r="J1975" s="0" t="s">
        <v>197</v>
      </c>
      <c r="K1975" s="0" t="s">
        <v>198</v>
      </c>
      <c r="L1975" s="0" t="s">
        <v>220</v>
      </c>
      <c r="M1975" s="0" t="s">
        <v>135</v>
      </c>
      <c r="N1975" s="0" t="s">
        <v>1678</v>
      </c>
      <c r="O1975" s="0" t="s">
        <v>542</v>
      </c>
      <c r="Q1975" s="0" t="s">
        <v>141</v>
      </c>
      <c r="R1975" s="0" t="s">
        <v>130</v>
      </c>
      <c r="S1975" s="14">
        <v>2</v>
      </c>
      <c r="T1975" s="0" t="s">
        <v>231</v>
      </c>
      <c r="U1975" s="0" t="s">
        <v>221</v>
      </c>
      <c r="V1975" s="14" t="s">
        <v>231</v>
      </c>
      <c r="W1975" s="0" t="s">
        <v>221</v>
      </c>
      <c r="X1975" s="14" t="s">
        <v>2428</v>
      </c>
      <c r="Y1975" s="0" t="s">
        <v>223</v>
      </c>
      <c r="Z1975" s="14" t="s">
        <v>138</v>
      </c>
      <c r="AA1975" s="0" t="s">
        <v>224</v>
      </c>
      <c r="AB1975" s="14" t="s">
        <v>138</v>
      </c>
      <c r="AD1975" s="0" t="s">
        <v>17</v>
      </c>
      <c r="AF1975" s="0">
        <v>0</v>
      </c>
      <c r="AG1975" s="0">
        <v>0</v>
      </c>
      <c r="AH1975" s="0" t="s">
        <v>140</v>
      </c>
      <c r="AI1975" s="0" t="s">
        <v>232</v>
      </c>
      <c r="AK1975" s="0" t="s">
        <v>149</v>
      </c>
      <c r="AL1975" s="14"/>
      <c r="AN1975" s="14"/>
      <c r="AQ1975" s="0" t="s">
        <v>130</v>
      </c>
      <c r="AR1975" s="0" t="s">
        <v>130</v>
      </c>
      <c r="AS1975" s="0" t="s">
        <v>130</v>
      </c>
      <c r="AT1975" s="0" t="s">
        <v>130</v>
      </c>
      <c r="AU1975" s="0" t="s">
        <v>130</v>
      </c>
      <c r="AV1975" s="0" t="s">
        <v>130</v>
      </c>
      <c r="AW1975" s="0" t="s">
        <v>141</v>
      </c>
      <c r="AX1975" s="0" t="s">
        <v>130</v>
      </c>
      <c r="AY1975" s="0" t="s">
        <v>141</v>
      </c>
      <c r="AZ1975" s="0" t="s">
        <v>130</v>
      </c>
      <c r="BA1975" s="0" t="s">
        <v>130</v>
      </c>
      <c r="BB1975" s="0" t="s">
        <v>130</v>
      </c>
      <c r="BC1975" s="0" t="s">
        <v>141</v>
      </c>
      <c r="BD1975" s="0" t="s">
        <v>130</v>
      </c>
      <c r="BE1975" s="0" t="s">
        <v>130</v>
      </c>
      <c r="BF1975" s="0" t="s">
        <v>130</v>
      </c>
      <c r="BG1975" s="0" t="s">
        <v>130</v>
      </c>
      <c r="BH1975" s="0" t="s">
        <v>130</v>
      </c>
      <c r="BI1975" s="0" t="s">
        <v>130</v>
      </c>
      <c r="BJ1975" s="0" t="s">
        <v>130</v>
      </c>
      <c r="BK1975" s="0" t="s">
        <v>130</v>
      </c>
      <c r="BL1975" s="0" t="s">
        <v>130</v>
      </c>
      <c r="BM1975" s="0" t="s">
        <v>130</v>
      </c>
      <c r="BN1975" s="0" t="s">
        <v>130</v>
      </c>
      <c r="BO1975" s="0" t="s">
        <v>130</v>
      </c>
      <c r="BP1975" s="0" t="s">
        <v>130</v>
      </c>
      <c r="BQ1975" s="0" t="s">
        <v>130</v>
      </c>
      <c r="BR1975" s="0" t="s">
        <v>130</v>
      </c>
      <c r="BS1975" s="0" t="s">
        <v>130</v>
      </c>
      <c r="BT1975" s="0" t="s">
        <v>130</v>
      </c>
      <c r="BU1975" s="0" t="s">
        <v>130</v>
      </c>
      <c r="BV1975" s="0" t="s">
        <v>130</v>
      </c>
      <c r="BW1975" s="0" t="s">
        <v>130</v>
      </c>
      <c r="BX1975" s="0" t="s">
        <v>130</v>
      </c>
      <c r="BY1975" s="0" t="s">
        <v>130</v>
      </c>
      <c r="BZ1975" s="0" t="s">
        <v>130</v>
      </c>
      <c r="CA1975" s="0" t="s">
        <v>130</v>
      </c>
      <c r="CB1975" s="0" t="s">
        <v>130</v>
      </c>
      <c r="CC1975" s="0" t="s">
        <v>130</v>
      </c>
      <c r="CD1975" s="0" t="s">
        <v>130</v>
      </c>
      <c r="CE1975" s="0" t="s">
        <v>130</v>
      </c>
      <c r="CF1975" s="0" t="s">
        <v>130</v>
      </c>
      <c r="CG1975" s="0" t="s">
        <v>130</v>
      </c>
      <c r="CH1975" s="0" t="s">
        <v>130</v>
      </c>
      <c r="CI1975" s="0" t="s">
        <v>130</v>
      </c>
      <c r="CJ1975" s="0" t="s">
        <v>130</v>
      </c>
      <c r="CK1975" s="0" t="s">
        <v>130</v>
      </c>
      <c r="CL1975" s="0" t="s">
        <v>130</v>
      </c>
      <c r="CM1975" s="0" t="s">
        <v>130</v>
      </c>
      <c r="CN1975" s="0" t="s">
        <v>130</v>
      </c>
      <c r="CO1975" s="0" t="s">
        <v>130</v>
      </c>
      <c r="CP1975" s="0" t="s">
        <v>130</v>
      </c>
      <c r="CQ1975" s="0" t="s">
        <v>130</v>
      </c>
      <c r="CR1975" s="0" t="s">
        <v>130</v>
      </c>
      <c r="CS1975" s="0" t="s">
        <v>130</v>
      </c>
      <c r="CT1975" s="0" t="s">
        <v>5562</v>
      </c>
    </row>
    <row r="1976">
      <c r="A1976" s="14">
        <v>18302043</v>
      </c>
      <c r="B1976" s="0" t="s">
        <v>4424</v>
      </c>
      <c r="C1976" s="16">
        <f>HYPERLINK("https://eosportal.federatedhermes.com/companies/Q29tcGFueQppNTg5ODI=", "Kinder Morgan Inc")</f>
      </c>
      <c r="D1976" s="0" t="s">
        <v>23</v>
      </c>
      <c r="E1976" s="0" t="s">
        <v>228</v>
      </c>
      <c r="F1976" s="16">
        <f>HYPERLINK("https://eosportal.federatedhermes.com/engagements/RW5nYWdlbWVudAppMzE3NDM=", "Climate strategy")</f>
      </c>
      <c r="G1976" s="14" t="s">
        <v>5454</v>
      </c>
      <c r="H1976" s="0" t="s">
        <v>141</v>
      </c>
      <c r="I1976" s="14" t="s">
        <v>191</v>
      </c>
      <c r="J1976" s="0" t="s">
        <v>197</v>
      </c>
      <c r="K1976" s="0" t="s">
        <v>198</v>
      </c>
      <c r="L1976" s="0" t="s">
        <v>220</v>
      </c>
      <c r="M1976" s="0" t="s">
        <v>135</v>
      </c>
      <c r="N1976" s="0" t="s">
        <v>136</v>
      </c>
      <c r="O1976" s="0" t="s">
        <v>542</v>
      </c>
      <c r="Q1976" s="0" t="s">
        <v>141</v>
      </c>
      <c r="R1976" s="0" t="s">
        <v>130</v>
      </c>
      <c r="S1976" s="14">
        <v>1</v>
      </c>
      <c r="T1976" s="0" t="s">
        <v>597</v>
      </c>
      <c r="U1976" s="0" t="s">
        <v>221</v>
      </c>
      <c r="V1976" s="14" t="s">
        <v>597</v>
      </c>
      <c r="W1976" s="0" t="s">
        <v>221</v>
      </c>
      <c r="X1976" s="14" t="s">
        <v>222</v>
      </c>
      <c r="Y1976" s="0" t="s">
        <v>223</v>
      </c>
      <c r="Z1976" s="14" t="s">
        <v>138</v>
      </c>
      <c r="AA1976" s="0" t="s">
        <v>224</v>
      </c>
      <c r="AB1976" s="14" t="s">
        <v>138</v>
      </c>
      <c r="AD1976" s="0" t="s">
        <v>17</v>
      </c>
      <c r="AF1976" s="0">
        <v>0</v>
      </c>
      <c r="AG1976" s="0">
        <v>0</v>
      </c>
      <c r="AH1976" s="0" t="s">
        <v>140</v>
      </c>
      <c r="AI1976" s="0" t="s">
        <v>479</v>
      </c>
      <c r="AK1976" s="0" t="s">
        <v>847</v>
      </c>
      <c r="AL1976" s="14"/>
      <c r="AN1976" s="14"/>
      <c r="AQ1976" s="0" t="s">
        <v>130</v>
      </c>
      <c r="AR1976" s="0" t="s">
        <v>130</v>
      </c>
      <c r="AS1976" s="0" t="s">
        <v>130</v>
      </c>
      <c r="AT1976" s="0" t="s">
        <v>130</v>
      </c>
      <c r="AU1976" s="0" t="s">
        <v>130</v>
      </c>
      <c r="AV1976" s="0" t="s">
        <v>130</v>
      </c>
      <c r="AW1976" s="0" t="s">
        <v>141</v>
      </c>
      <c r="AX1976" s="0" t="s">
        <v>130</v>
      </c>
      <c r="AY1976" s="0" t="s">
        <v>141</v>
      </c>
      <c r="AZ1976" s="0" t="s">
        <v>130</v>
      </c>
      <c r="BA1976" s="0" t="s">
        <v>130</v>
      </c>
      <c r="BB1976" s="0" t="s">
        <v>130</v>
      </c>
      <c r="BC1976" s="0" t="s">
        <v>141</v>
      </c>
      <c r="BD1976" s="0" t="s">
        <v>130</v>
      </c>
      <c r="BE1976" s="0" t="s">
        <v>130</v>
      </c>
      <c r="BF1976" s="0" t="s">
        <v>130</v>
      </c>
      <c r="BG1976" s="0" t="s">
        <v>130</v>
      </c>
      <c r="BH1976" s="0" t="s">
        <v>141</v>
      </c>
      <c r="BI1976" s="0" t="s">
        <v>141</v>
      </c>
      <c r="BJ1976" s="0" t="s">
        <v>141</v>
      </c>
      <c r="BK1976" s="0" t="s">
        <v>130</v>
      </c>
      <c r="BL1976" s="0" t="s">
        <v>130</v>
      </c>
      <c r="BM1976" s="0" t="s">
        <v>130</v>
      </c>
      <c r="BN1976" s="0" t="s">
        <v>130</v>
      </c>
      <c r="BO1976" s="0" t="s">
        <v>130</v>
      </c>
      <c r="BP1976" s="0" t="s">
        <v>130</v>
      </c>
      <c r="BQ1976" s="0" t="s">
        <v>130</v>
      </c>
      <c r="BR1976" s="0" t="s">
        <v>130</v>
      </c>
      <c r="BS1976" s="0" t="s">
        <v>130</v>
      </c>
      <c r="BT1976" s="0" t="s">
        <v>130</v>
      </c>
      <c r="BU1976" s="0" t="s">
        <v>130</v>
      </c>
      <c r="BV1976" s="0" t="s">
        <v>141</v>
      </c>
      <c r="BW1976" s="0" t="s">
        <v>141</v>
      </c>
      <c r="BX1976" s="0" t="s">
        <v>130</v>
      </c>
      <c r="BY1976" s="0" t="s">
        <v>130</v>
      </c>
      <c r="BZ1976" s="0" t="s">
        <v>130</v>
      </c>
      <c r="CA1976" s="0" t="s">
        <v>130</v>
      </c>
      <c r="CB1976" s="0" t="s">
        <v>130</v>
      </c>
      <c r="CC1976" s="0" t="s">
        <v>130</v>
      </c>
      <c r="CD1976" s="0" t="s">
        <v>130</v>
      </c>
      <c r="CE1976" s="0" t="s">
        <v>130</v>
      </c>
      <c r="CF1976" s="0" t="s">
        <v>130</v>
      </c>
      <c r="CG1976" s="0" t="s">
        <v>130</v>
      </c>
      <c r="CH1976" s="0" t="s">
        <v>130</v>
      </c>
      <c r="CI1976" s="0" t="s">
        <v>130</v>
      </c>
      <c r="CJ1976" s="0" t="s">
        <v>130</v>
      </c>
      <c r="CK1976" s="0" t="s">
        <v>130</v>
      </c>
      <c r="CL1976" s="0" t="s">
        <v>130</v>
      </c>
      <c r="CM1976" s="0" t="s">
        <v>130</v>
      </c>
      <c r="CN1976" s="0" t="s">
        <v>130</v>
      </c>
      <c r="CO1976" s="0" t="s">
        <v>130</v>
      </c>
      <c r="CP1976" s="0" t="s">
        <v>130</v>
      </c>
      <c r="CQ1976" s="0" t="s">
        <v>130</v>
      </c>
      <c r="CR1976" s="0" t="s">
        <v>130</v>
      </c>
      <c r="CS1976" s="0" t="s">
        <v>130</v>
      </c>
      <c r="CT1976" s="0" t="s">
        <v>5563</v>
      </c>
    </row>
    <row r="1977">
      <c r="A1977" s="14">
        <v>100312</v>
      </c>
      <c r="B1977" s="0" t="s">
        <v>476</v>
      </c>
      <c r="C1977" s="16">
        <f>HYPERLINK("https://eosportal.federatedhermes.com/companies/Q29tcGFueQppNTg5OTQ=", "JPMorgan Chase &amp; Co")</f>
      </c>
      <c r="D1977" s="0" t="s">
        <v>23</v>
      </c>
      <c r="E1977" s="0" t="s">
        <v>5564</v>
      </c>
      <c r="F1977" s="16">
        <f>HYPERLINK("https://eosportal.federatedhermes.com/engagements/RW5nYWdlbWVudAppMzE3NDQ=", "Compliance enhancements (risk management)")</f>
      </c>
      <c r="G1977" s="14" t="s">
        <v>5565</v>
      </c>
      <c r="H1977" s="0" t="s">
        <v>141</v>
      </c>
      <c r="I1977" s="14" t="s">
        <v>191</v>
      </c>
      <c r="J1977" s="0" t="s">
        <v>145</v>
      </c>
      <c r="K1977" s="0" t="s">
        <v>146</v>
      </c>
      <c r="L1977" s="0" t="s">
        <v>147</v>
      </c>
      <c r="M1977" s="0" t="s">
        <v>135</v>
      </c>
      <c r="N1977" s="0" t="s">
        <v>136</v>
      </c>
      <c r="O1977" s="0" t="s">
        <v>238</v>
      </c>
      <c r="Q1977" s="0" t="s">
        <v>130</v>
      </c>
      <c r="R1977" s="0" t="s">
        <v>130</v>
      </c>
      <c r="S1977" s="14">
        <v>0</v>
      </c>
      <c r="T1977" s="0" t="s">
        <v>231</v>
      </c>
      <c r="U1977" s="0" t="s">
        <v>221</v>
      </c>
      <c r="V1977" s="14" t="s">
        <v>231</v>
      </c>
      <c r="W1977" s="0" t="s">
        <v>221</v>
      </c>
      <c r="X1977" s="14" t="s">
        <v>446</v>
      </c>
      <c r="Y1977" s="0" t="s">
        <v>223</v>
      </c>
      <c r="Z1977" s="14" t="s">
        <v>138</v>
      </c>
      <c r="AA1977" s="0" t="s">
        <v>224</v>
      </c>
      <c r="AB1977" s="14" t="s">
        <v>138</v>
      </c>
      <c r="AD1977" s="0" t="s">
        <v>17</v>
      </c>
      <c r="AF1977" s="0">
        <v>0</v>
      </c>
      <c r="AG1977" s="0">
        <v>0</v>
      </c>
      <c r="AH1977" s="0" t="s">
        <v>140</v>
      </c>
      <c r="AI1977" s="0" t="s">
        <v>232</v>
      </c>
      <c r="AL1977" s="14"/>
      <c r="AN1977" s="14"/>
      <c r="AQ1977" s="0" t="s">
        <v>130</v>
      </c>
      <c r="AR1977" s="0" t="s">
        <v>130</v>
      </c>
      <c r="AS1977" s="0" t="s">
        <v>130</v>
      </c>
      <c r="AT1977" s="0" t="s">
        <v>130</v>
      </c>
      <c r="AU1977" s="0" t="s">
        <v>130</v>
      </c>
      <c r="AV1977" s="0" t="s">
        <v>130</v>
      </c>
      <c r="AW1977" s="0" t="s">
        <v>130</v>
      </c>
      <c r="AX1977" s="0" t="s">
        <v>130</v>
      </c>
      <c r="AY1977" s="0" t="s">
        <v>130</v>
      </c>
      <c r="AZ1977" s="0" t="s">
        <v>130</v>
      </c>
      <c r="BA1977" s="0" t="s">
        <v>130</v>
      </c>
      <c r="BB1977" s="0" t="s">
        <v>130</v>
      </c>
      <c r="BC1977" s="0" t="s">
        <v>130</v>
      </c>
      <c r="BD1977" s="0" t="s">
        <v>130</v>
      </c>
      <c r="BE1977" s="0" t="s">
        <v>130</v>
      </c>
      <c r="BF1977" s="0" t="s">
        <v>130</v>
      </c>
      <c r="BG1977" s="0" t="s">
        <v>130</v>
      </c>
      <c r="BH1977" s="0" t="s">
        <v>130</v>
      </c>
      <c r="BI1977" s="0" t="s">
        <v>130</v>
      </c>
      <c r="BJ1977" s="0" t="s">
        <v>130</v>
      </c>
      <c r="BK1977" s="0" t="s">
        <v>130</v>
      </c>
      <c r="BL1977" s="0" t="s">
        <v>130</v>
      </c>
      <c r="BM1977" s="0" t="s">
        <v>130</v>
      </c>
      <c r="BN1977" s="0" t="s">
        <v>130</v>
      </c>
      <c r="BO1977" s="0" t="s">
        <v>130</v>
      </c>
      <c r="BP1977" s="0" t="s">
        <v>130</v>
      </c>
      <c r="BQ1977" s="0" t="s">
        <v>130</v>
      </c>
      <c r="BR1977" s="0" t="s">
        <v>130</v>
      </c>
      <c r="BS1977" s="0" t="s">
        <v>130</v>
      </c>
      <c r="BT1977" s="0" t="s">
        <v>130</v>
      </c>
      <c r="BU1977" s="0" t="s">
        <v>130</v>
      </c>
      <c r="BV1977" s="0" t="s">
        <v>130</v>
      </c>
      <c r="BW1977" s="0" t="s">
        <v>130</v>
      </c>
      <c r="BX1977" s="0" t="s">
        <v>130</v>
      </c>
      <c r="BY1977" s="0" t="s">
        <v>130</v>
      </c>
      <c r="BZ1977" s="0" t="s">
        <v>130</v>
      </c>
      <c r="CA1977" s="0" t="s">
        <v>130</v>
      </c>
      <c r="CB1977" s="0" t="s">
        <v>130</v>
      </c>
      <c r="CC1977" s="0" t="s">
        <v>130</v>
      </c>
      <c r="CD1977" s="0" t="s">
        <v>130</v>
      </c>
      <c r="CE1977" s="0" t="s">
        <v>130</v>
      </c>
      <c r="CF1977" s="0" t="s">
        <v>130</v>
      </c>
      <c r="CG1977" s="0" t="s">
        <v>130</v>
      </c>
      <c r="CH1977" s="0" t="s">
        <v>130</v>
      </c>
      <c r="CI1977" s="0" t="s">
        <v>130</v>
      </c>
      <c r="CJ1977" s="0" t="s">
        <v>130</v>
      </c>
      <c r="CK1977" s="0" t="s">
        <v>130</v>
      </c>
      <c r="CL1977" s="0" t="s">
        <v>130</v>
      </c>
      <c r="CM1977" s="0" t="s">
        <v>130</v>
      </c>
      <c r="CN1977" s="0" t="s">
        <v>130</v>
      </c>
      <c r="CO1977" s="0" t="s">
        <v>130</v>
      </c>
      <c r="CP1977" s="0" t="s">
        <v>130</v>
      </c>
      <c r="CQ1977" s="0" t="s">
        <v>130</v>
      </c>
      <c r="CR1977" s="0" t="s">
        <v>130</v>
      </c>
      <c r="CS1977" s="0" t="s">
        <v>130</v>
      </c>
      <c r="CT1977" s="0" t="s">
        <v>5566</v>
      </c>
    </row>
    <row r="1978">
      <c r="A1978" s="14">
        <v>219229</v>
      </c>
      <c r="B1978" s="0" t="s">
        <v>3419</v>
      </c>
      <c r="C1978" s="16">
        <f>HYPERLINK("https://eosportal.federatedhermes.com/companies/Q29tcGFueQppNjE5Mjc=", "Localiza Rent a Car SA")</f>
      </c>
      <c r="D1978" s="0" t="s">
        <v>23</v>
      </c>
      <c r="E1978" s="0" t="s">
        <v>5567</v>
      </c>
      <c r="F1978" s="16">
        <f>HYPERLINK("https://eosportal.federatedhermes.com/engagements/RW5nYWdlbWVudAppMzE3NDU=", "Net zero commitment with targets")</f>
      </c>
      <c r="G1978" s="14" t="s">
        <v>5568</v>
      </c>
      <c r="H1978" s="0" t="s">
        <v>130</v>
      </c>
      <c r="I1978" s="14" t="s">
        <v>131</v>
      </c>
      <c r="J1978" s="0" t="s">
        <v>197</v>
      </c>
      <c r="K1978" s="0" t="s">
        <v>198</v>
      </c>
      <c r="L1978" s="0" t="s">
        <v>216</v>
      </c>
      <c r="M1978" s="0" t="s">
        <v>2807</v>
      </c>
      <c r="N1978" s="0" t="s">
        <v>3041</v>
      </c>
      <c r="O1978" s="0" t="s">
        <v>425</v>
      </c>
      <c r="Q1978" s="0" t="s">
        <v>141</v>
      </c>
      <c r="R1978" s="0" t="s">
        <v>130</v>
      </c>
      <c r="S1978" s="14">
        <v>1</v>
      </c>
      <c r="T1978" s="0" t="s">
        <v>2270</v>
      </c>
      <c r="U1978" s="0" t="s">
        <v>221</v>
      </c>
      <c r="V1978" s="14" t="s">
        <v>2270</v>
      </c>
      <c r="W1978" s="0" t="s">
        <v>223</v>
      </c>
      <c r="X1978" s="14" t="s">
        <v>138</v>
      </c>
      <c r="Y1978" s="0" t="s">
        <v>224</v>
      </c>
      <c r="Z1978" s="14" t="s">
        <v>138</v>
      </c>
      <c r="AA1978" s="0" t="s">
        <v>224</v>
      </c>
      <c r="AB1978" s="14" t="s">
        <v>138</v>
      </c>
      <c r="AD1978" s="0" t="s">
        <v>14</v>
      </c>
      <c r="AF1978" s="0">
        <v>0</v>
      </c>
      <c r="AG1978" s="0">
        <v>0</v>
      </c>
      <c r="AH1978" s="0" t="s">
        <v>140</v>
      </c>
      <c r="AI1978" s="0" t="s">
        <v>225</v>
      </c>
      <c r="AK1978" s="0" t="s">
        <v>714</v>
      </c>
      <c r="AL1978" s="14"/>
      <c r="AN1978" s="14"/>
      <c r="AQ1978" s="0" t="s">
        <v>130</v>
      </c>
      <c r="AR1978" s="0" t="s">
        <v>130</v>
      </c>
      <c r="AS1978" s="0" t="s">
        <v>130</v>
      </c>
      <c r="AT1978" s="0" t="s">
        <v>130</v>
      </c>
      <c r="AU1978" s="0" t="s">
        <v>130</v>
      </c>
      <c r="AV1978" s="0" t="s">
        <v>130</v>
      </c>
      <c r="AW1978" s="0" t="s">
        <v>141</v>
      </c>
      <c r="AX1978" s="0" t="s">
        <v>130</v>
      </c>
      <c r="AY1978" s="0" t="s">
        <v>130</v>
      </c>
      <c r="AZ1978" s="0" t="s">
        <v>130</v>
      </c>
      <c r="BA1978" s="0" t="s">
        <v>130</v>
      </c>
      <c r="BB1978" s="0" t="s">
        <v>130</v>
      </c>
      <c r="BC1978" s="0" t="s">
        <v>141</v>
      </c>
      <c r="BD1978" s="0" t="s">
        <v>130</v>
      </c>
      <c r="BE1978" s="0" t="s">
        <v>130</v>
      </c>
      <c r="BF1978" s="0" t="s">
        <v>130</v>
      </c>
      <c r="BG1978" s="0" t="s">
        <v>130</v>
      </c>
      <c r="BH1978" s="0" t="s">
        <v>141</v>
      </c>
      <c r="BI1978" s="0" t="s">
        <v>141</v>
      </c>
      <c r="BJ1978" s="0" t="s">
        <v>141</v>
      </c>
      <c r="BK1978" s="0" t="s">
        <v>130</v>
      </c>
      <c r="BL1978" s="0" t="s">
        <v>130</v>
      </c>
      <c r="BM1978" s="0" t="s">
        <v>130</v>
      </c>
      <c r="BN1978" s="0" t="s">
        <v>130</v>
      </c>
      <c r="BO1978" s="0" t="s">
        <v>130</v>
      </c>
      <c r="BP1978" s="0" t="s">
        <v>130</v>
      </c>
      <c r="BQ1978" s="0" t="s">
        <v>130</v>
      </c>
      <c r="BR1978" s="0" t="s">
        <v>130</v>
      </c>
      <c r="BS1978" s="0" t="s">
        <v>130</v>
      </c>
      <c r="BT1978" s="0" t="s">
        <v>130</v>
      </c>
      <c r="BU1978" s="0" t="s">
        <v>130</v>
      </c>
      <c r="BV1978" s="0" t="s">
        <v>141</v>
      </c>
      <c r="BW1978" s="0" t="s">
        <v>141</v>
      </c>
      <c r="BX1978" s="0" t="s">
        <v>130</v>
      </c>
      <c r="BY1978" s="0" t="s">
        <v>130</v>
      </c>
      <c r="BZ1978" s="0" t="s">
        <v>130</v>
      </c>
      <c r="CA1978" s="0" t="s">
        <v>130</v>
      </c>
      <c r="CB1978" s="0" t="s">
        <v>130</v>
      </c>
      <c r="CC1978" s="0" t="s">
        <v>130</v>
      </c>
      <c r="CD1978" s="0" t="s">
        <v>130</v>
      </c>
      <c r="CE1978" s="0" t="s">
        <v>130</v>
      </c>
      <c r="CF1978" s="0" t="s">
        <v>130</v>
      </c>
      <c r="CG1978" s="0" t="s">
        <v>130</v>
      </c>
      <c r="CH1978" s="0" t="s">
        <v>130</v>
      </c>
      <c r="CI1978" s="0" t="s">
        <v>130</v>
      </c>
      <c r="CJ1978" s="0" t="s">
        <v>130</v>
      </c>
      <c r="CK1978" s="0" t="s">
        <v>130</v>
      </c>
      <c r="CL1978" s="0" t="s">
        <v>130</v>
      </c>
      <c r="CM1978" s="0" t="s">
        <v>130</v>
      </c>
      <c r="CN1978" s="0" t="s">
        <v>130</v>
      </c>
      <c r="CO1978" s="0" t="s">
        <v>130</v>
      </c>
      <c r="CP1978" s="0" t="s">
        <v>130</v>
      </c>
      <c r="CQ1978" s="0" t="s">
        <v>130</v>
      </c>
      <c r="CR1978" s="0" t="s">
        <v>130</v>
      </c>
      <c r="CS1978" s="0" t="s">
        <v>130</v>
      </c>
      <c r="CT1978" s="0" t="s">
        <v>5569</v>
      </c>
    </row>
    <row r="1979">
      <c r="A1979" s="14">
        <v>106583</v>
      </c>
      <c r="B1979" s="0" t="s">
        <v>2098</v>
      </c>
      <c r="C1979" s="16">
        <f>HYPERLINK("https://eosportal.federatedhermes.com/companies/Q29tcGFueQppNjc3NDY=", "Roper Technologies Inc")</f>
      </c>
      <c r="D1979" s="0" t="s">
        <v>23</v>
      </c>
      <c r="E1979" s="0" t="s">
        <v>1903</v>
      </c>
      <c r="F1979" s="16">
        <f>HYPERLINK("https://eosportal.federatedhermes.com/engagements/RW5nYWdlbWVudAppMzE3NDY=", "CEO shareholding requirements")</f>
      </c>
      <c r="G1979" s="14" t="s">
        <v>5570</v>
      </c>
      <c r="H1979" s="0" t="s">
        <v>130</v>
      </c>
      <c r="I1979" s="14" t="s">
        <v>319</v>
      </c>
      <c r="J1979" s="0" t="s">
        <v>145</v>
      </c>
      <c r="K1979" s="0" t="s">
        <v>146</v>
      </c>
      <c r="L1979" s="0" t="s">
        <v>147</v>
      </c>
      <c r="M1979" s="0" t="s">
        <v>135</v>
      </c>
      <c r="N1979" s="0" t="s">
        <v>136</v>
      </c>
      <c r="O1979" s="0" t="s">
        <v>137</v>
      </c>
      <c r="Q1979" s="0" t="s">
        <v>130</v>
      </c>
      <c r="R1979" s="0" t="s">
        <v>130</v>
      </c>
      <c r="S1979" s="14">
        <v>0</v>
      </c>
      <c r="T1979" s="0" t="s">
        <v>231</v>
      </c>
      <c r="U1979" s="0" t="s">
        <v>221</v>
      </c>
      <c r="V1979" s="14" t="s">
        <v>231</v>
      </c>
      <c r="W1979" s="0" t="s">
        <v>221</v>
      </c>
      <c r="X1979" s="14" t="s">
        <v>231</v>
      </c>
      <c r="Y1979" s="0" t="s">
        <v>223</v>
      </c>
      <c r="Z1979" s="14" t="s">
        <v>138</v>
      </c>
      <c r="AA1979" s="0" t="s">
        <v>224</v>
      </c>
      <c r="AB1979" s="14" t="s">
        <v>138</v>
      </c>
      <c r="AD1979" s="0" t="s">
        <v>17</v>
      </c>
      <c r="AF1979" s="0">
        <v>0</v>
      </c>
      <c r="AG1979" s="0">
        <v>0</v>
      </c>
      <c r="AH1979" s="0" t="s">
        <v>140</v>
      </c>
      <c r="AI1979" s="0" t="s">
        <v>232</v>
      </c>
      <c r="AL1979" s="14"/>
      <c r="AN1979" s="14"/>
      <c r="AQ1979" s="0" t="s">
        <v>130</v>
      </c>
      <c r="AR1979" s="0" t="s">
        <v>130</v>
      </c>
      <c r="AS1979" s="0" t="s">
        <v>130</v>
      </c>
      <c r="AT1979" s="0" t="s">
        <v>130</v>
      </c>
      <c r="AU1979" s="0" t="s">
        <v>130</v>
      </c>
      <c r="AV1979" s="0" t="s">
        <v>130</v>
      </c>
      <c r="AW1979" s="0" t="s">
        <v>130</v>
      </c>
      <c r="AX1979" s="0" t="s">
        <v>130</v>
      </c>
      <c r="AY1979" s="0" t="s">
        <v>130</v>
      </c>
      <c r="AZ1979" s="0" t="s">
        <v>130</v>
      </c>
      <c r="BA1979" s="0" t="s">
        <v>130</v>
      </c>
      <c r="BB1979" s="0" t="s">
        <v>130</v>
      </c>
      <c r="BC1979" s="0" t="s">
        <v>130</v>
      </c>
      <c r="BD1979" s="0" t="s">
        <v>130</v>
      </c>
      <c r="BE1979" s="0" t="s">
        <v>130</v>
      </c>
      <c r="BF1979" s="0" t="s">
        <v>130</v>
      </c>
      <c r="BG1979" s="0" t="s">
        <v>130</v>
      </c>
      <c r="BH1979" s="0" t="s">
        <v>130</v>
      </c>
      <c r="BI1979" s="0" t="s">
        <v>130</v>
      </c>
      <c r="BJ1979" s="0" t="s">
        <v>130</v>
      </c>
      <c r="BK1979" s="0" t="s">
        <v>130</v>
      </c>
      <c r="BL1979" s="0" t="s">
        <v>130</v>
      </c>
      <c r="BM1979" s="0" t="s">
        <v>130</v>
      </c>
      <c r="BN1979" s="0" t="s">
        <v>130</v>
      </c>
      <c r="BO1979" s="0" t="s">
        <v>130</v>
      </c>
      <c r="BP1979" s="0" t="s">
        <v>130</v>
      </c>
      <c r="BQ1979" s="0" t="s">
        <v>130</v>
      </c>
      <c r="BR1979" s="0" t="s">
        <v>130</v>
      </c>
      <c r="BS1979" s="0" t="s">
        <v>130</v>
      </c>
      <c r="BT1979" s="0" t="s">
        <v>130</v>
      </c>
      <c r="BU1979" s="0" t="s">
        <v>130</v>
      </c>
      <c r="BV1979" s="0" t="s">
        <v>130</v>
      </c>
      <c r="BW1979" s="0" t="s">
        <v>130</v>
      </c>
      <c r="BX1979" s="0" t="s">
        <v>130</v>
      </c>
      <c r="BY1979" s="0" t="s">
        <v>130</v>
      </c>
      <c r="BZ1979" s="0" t="s">
        <v>130</v>
      </c>
      <c r="CA1979" s="0" t="s">
        <v>130</v>
      </c>
      <c r="CB1979" s="0" t="s">
        <v>130</v>
      </c>
      <c r="CC1979" s="0" t="s">
        <v>130</v>
      </c>
      <c r="CD1979" s="0" t="s">
        <v>130</v>
      </c>
      <c r="CE1979" s="0" t="s">
        <v>130</v>
      </c>
      <c r="CF1979" s="0" t="s">
        <v>130</v>
      </c>
      <c r="CG1979" s="0" t="s">
        <v>130</v>
      </c>
      <c r="CH1979" s="0" t="s">
        <v>130</v>
      </c>
      <c r="CI1979" s="0" t="s">
        <v>130</v>
      </c>
      <c r="CJ1979" s="0" t="s">
        <v>130</v>
      </c>
      <c r="CK1979" s="0" t="s">
        <v>130</v>
      </c>
      <c r="CL1979" s="0" t="s">
        <v>130</v>
      </c>
      <c r="CM1979" s="0" t="s">
        <v>130</v>
      </c>
      <c r="CN1979" s="0" t="s">
        <v>130</v>
      </c>
      <c r="CO1979" s="0" t="s">
        <v>130</v>
      </c>
      <c r="CP1979" s="0" t="s">
        <v>130</v>
      </c>
      <c r="CQ1979" s="0" t="s">
        <v>130</v>
      </c>
      <c r="CR1979" s="0" t="s">
        <v>130</v>
      </c>
      <c r="CS1979" s="0" t="s">
        <v>130</v>
      </c>
      <c r="CT1979" s="0" t="s">
        <v>5571</v>
      </c>
    </row>
    <row r="1980">
      <c r="A1980" s="14">
        <v>16378307</v>
      </c>
      <c r="B1980" s="0" t="s">
        <v>4202</v>
      </c>
      <c r="C1980" s="16">
        <f>HYPERLINK("https://eosportal.federatedhermes.com/companies/Q29tcGFueQppNzU3MTg=", "ServiceNow Inc")</f>
      </c>
      <c r="D1980" s="0" t="s">
        <v>23</v>
      </c>
      <c r="E1980" s="0" t="s">
        <v>2231</v>
      </c>
      <c r="F1980" s="16">
        <f>HYPERLINK("https://eosportal.federatedhermes.com/engagements/RW5nYWdlbWVudAppMzE3NTA=", "Integrated Reporting")</f>
      </c>
      <c r="G1980" s="14" t="s">
        <v>5572</v>
      </c>
      <c r="H1980" s="0" t="s">
        <v>141</v>
      </c>
      <c r="I1980" s="14" t="s">
        <v>131</v>
      </c>
      <c r="J1980" s="0" t="s">
        <v>132</v>
      </c>
      <c r="K1980" s="0" t="s">
        <v>170</v>
      </c>
      <c r="L1980" s="0" t="s">
        <v>171</v>
      </c>
      <c r="M1980" s="0" t="s">
        <v>135</v>
      </c>
      <c r="N1980" s="0" t="s">
        <v>136</v>
      </c>
      <c r="O1980" s="0" t="s">
        <v>137</v>
      </c>
      <c r="Q1980" s="0" t="s">
        <v>130</v>
      </c>
      <c r="R1980" s="0" t="s">
        <v>130</v>
      </c>
      <c r="S1980" s="14">
        <v>0</v>
      </c>
      <c r="T1980" s="0" t="s">
        <v>2270</v>
      </c>
      <c r="U1980" s="0" t="s">
        <v>221</v>
      </c>
      <c r="V1980" s="14" t="s">
        <v>2270</v>
      </c>
      <c r="W1980" s="0" t="s">
        <v>221</v>
      </c>
      <c r="X1980" s="14" t="s">
        <v>2270</v>
      </c>
      <c r="Y1980" s="0" t="s">
        <v>223</v>
      </c>
      <c r="Z1980" s="14" t="s">
        <v>138</v>
      </c>
      <c r="AA1980" s="0" t="s">
        <v>224</v>
      </c>
      <c r="AB1980" s="14" t="s">
        <v>138</v>
      </c>
      <c r="AD1980" s="0" t="s">
        <v>17</v>
      </c>
      <c r="AF1980" s="0">
        <v>0</v>
      </c>
      <c r="AG1980" s="0">
        <v>0</v>
      </c>
      <c r="AH1980" s="0" t="s">
        <v>140</v>
      </c>
      <c r="AI1980" s="0" t="s">
        <v>479</v>
      </c>
      <c r="AL1980" s="14"/>
      <c r="AN1980" s="14"/>
      <c r="AQ1980" s="0" t="s">
        <v>130</v>
      </c>
      <c r="AR1980" s="0" t="s">
        <v>130</v>
      </c>
      <c r="AS1980" s="0" t="s">
        <v>130</v>
      </c>
      <c r="AT1980" s="0" t="s">
        <v>130</v>
      </c>
      <c r="AU1980" s="0" t="s">
        <v>130</v>
      </c>
      <c r="AV1980" s="0" t="s">
        <v>130</v>
      </c>
      <c r="AW1980" s="0" t="s">
        <v>130</v>
      </c>
      <c r="AX1980" s="0" t="s">
        <v>130</v>
      </c>
      <c r="AY1980" s="0" t="s">
        <v>130</v>
      </c>
      <c r="AZ1980" s="0" t="s">
        <v>130</v>
      </c>
      <c r="BA1980" s="0" t="s">
        <v>130</v>
      </c>
      <c r="BB1980" s="0" t="s">
        <v>130</v>
      </c>
      <c r="BC1980" s="0" t="s">
        <v>130</v>
      </c>
      <c r="BD1980" s="0" t="s">
        <v>130</v>
      </c>
      <c r="BE1980" s="0" t="s">
        <v>130</v>
      </c>
      <c r="BF1980" s="0" t="s">
        <v>130</v>
      </c>
      <c r="BG1980" s="0" t="s">
        <v>130</v>
      </c>
      <c r="BH1980" s="0" t="s">
        <v>130</v>
      </c>
      <c r="BI1980" s="0" t="s">
        <v>130</v>
      </c>
      <c r="BJ1980" s="0" t="s">
        <v>130</v>
      </c>
      <c r="BK1980" s="0" t="s">
        <v>130</v>
      </c>
      <c r="BL1980" s="0" t="s">
        <v>130</v>
      </c>
      <c r="BM1980" s="0" t="s">
        <v>130</v>
      </c>
      <c r="BN1980" s="0" t="s">
        <v>130</v>
      </c>
      <c r="BO1980" s="0" t="s">
        <v>130</v>
      </c>
      <c r="BP1980" s="0" t="s">
        <v>130</v>
      </c>
      <c r="BQ1980" s="0" t="s">
        <v>130</v>
      </c>
      <c r="BR1980" s="0" t="s">
        <v>130</v>
      </c>
      <c r="BS1980" s="0" t="s">
        <v>130</v>
      </c>
      <c r="BT1980" s="0" t="s">
        <v>130</v>
      </c>
      <c r="BU1980" s="0" t="s">
        <v>130</v>
      </c>
      <c r="BV1980" s="0" t="s">
        <v>130</v>
      </c>
      <c r="BW1980" s="0" t="s">
        <v>130</v>
      </c>
      <c r="BX1980" s="0" t="s">
        <v>130</v>
      </c>
      <c r="BY1980" s="0" t="s">
        <v>130</v>
      </c>
      <c r="BZ1980" s="0" t="s">
        <v>130</v>
      </c>
      <c r="CA1980" s="0" t="s">
        <v>130</v>
      </c>
      <c r="CB1980" s="0" t="s">
        <v>130</v>
      </c>
      <c r="CC1980" s="0" t="s">
        <v>130</v>
      </c>
      <c r="CD1980" s="0" t="s">
        <v>130</v>
      </c>
      <c r="CE1980" s="0" t="s">
        <v>130</v>
      </c>
      <c r="CF1980" s="0" t="s">
        <v>130</v>
      </c>
      <c r="CG1980" s="0" t="s">
        <v>130</v>
      </c>
      <c r="CH1980" s="0" t="s">
        <v>130</v>
      </c>
      <c r="CI1980" s="0" t="s">
        <v>130</v>
      </c>
      <c r="CJ1980" s="0" t="s">
        <v>130</v>
      </c>
      <c r="CK1980" s="0" t="s">
        <v>130</v>
      </c>
      <c r="CL1980" s="0" t="s">
        <v>130</v>
      </c>
      <c r="CM1980" s="0" t="s">
        <v>130</v>
      </c>
      <c r="CN1980" s="0" t="s">
        <v>130</v>
      </c>
      <c r="CO1980" s="0" t="s">
        <v>130</v>
      </c>
      <c r="CP1980" s="0" t="s">
        <v>130</v>
      </c>
      <c r="CQ1980" s="0" t="s">
        <v>130</v>
      </c>
      <c r="CR1980" s="0" t="s">
        <v>130</v>
      </c>
      <c r="CS1980" s="0" t="s">
        <v>130</v>
      </c>
      <c r="CT1980" s="0" t="s">
        <v>5573</v>
      </c>
    </row>
    <row r="1981">
      <c r="A1981" s="14">
        <v>101177</v>
      </c>
      <c r="B1981" s="0" t="s">
        <v>5248</v>
      </c>
      <c r="C1981" s="16">
        <f>HYPERLINK("https://eosportal.federatedhermes.com/companies/Q29tcGFueQppODUwMDc=", "PulteGroup Inc")</f>
      </c>
      <c r="D1981" s="0" t="s">
        <v>23</v>
      </c>
      <c r="E1981" s="0" t="s">
        <v>228</v>
      </c>
      <c r="F1981" s="16">
        <f>HYPERLINK("https://eosportal.federatedhermes.com/engagements/RW5nYWdlbWVudAppMzE3NTM=", "Climate strategy")</f>
      </c>
      <c r="G1981" s="14" t="s">
        <v>5574</v>
      </c>
      <c r="H1981" s="0" t="s">
        <v>130</v>
      </c>
      <c r="I1981" s="14" t="s">
        <v>131</v>
      </c>
      <c r="J1981" s="0" t="s">
        <v>197</v>
      </c>
      <c r="K1981" s="0" t="s">
        <v>198</v>
      </c>
      <c r="L1981" s="0" t="s">
        <v>220</v>
      </c>
      <c r="M1981" s="0" t="s">
        <v>135</v>
      </c>
      <c r="N1981" s="0" t="s">
        <v>136</v>
      </c>
      <c r="O1981" s="0" t="s">
        <v>332</v>
      </c>
      <c r="Q1981" s="0" t="s">
        <v>141</v>
      </c>
      <c r="R1981" s="0" t="s">
        <v>130</v>
      </c>
      <c r="S1981" s="14">
        <v>1</v>
      </c>
      <c r="T1981" s="0" t="s">
        <v>2270</v>
      </c>
      <c r="U1981" s="0" t="s">
        <v>221</v>
      </c>
      <c r="V1981" s="14" t="s">
        <v>2270</v>
      </c>
      <c r="W1981" s="0" t="s">
        <v>221</v>
      </c>
      <c r="X1981" s="14" t="s">
        <v>4412</v>
      </c>
      <c r="Y1981" s="0" t="s">
        <v>221</v>
      </c>
      <c r="Z1981" s="14" t="s">
        <v>4412</v>
      </c>
      <c r="AA1981" s="0" t="s">
        <v>223</v>
      </c>
      <c r="AB1981" s="14" t="s">
        <v>138</v>
      </c>
      <c r="AD1981" s="0" t="s">
        <v>20</v>
      </c>
      <c r="AF1981" s="0">
        <v>0</v>
      </c>
      <c r="AG1981" s="0">
        <v>0</v>
      </c>
      <c r="AH1981" s="0" t="s">
        <v>140</v>
      </c>
      <c r="AI1981" s="0" t="s">
        <v>479</v>
      </c>
      <c r="AK1981" s="0" t="s">
        <v>578</v>
      </c>
      <c r="AL1981" s="14"/>
      <c r="AN1981" s="14"/>
      <c r="AQ1981" s="0" t="s">
        <v>130</v>
      </c>
      <c r="AR1981" s="0" t="s">
        <v>130</v>
      </c>
      <c r="AS1981" s="0" t="s">
        <v>130</v>
      </c>
      <c r="AT1981" s="0" t="s">
        <v>130</v>
      </c>
      <c r="AU1981" s="0" t="s">
        <v>130</v>
      </c>
      <c r="AV1981" s="0" t="s">
        <v>130</v>
      </c>
      <c r="AW1981" s="0" t="s">
        <v>141</v>
      </c>
      <c r="AX1981" s="0" t="s">
        <v>130</v>
      </c>
      <c r="AY1981" s="0" t="s">
        <v>141</v>
      </c>
      <c r="AZ1981" s="0" t="s">
        <v>130</v>
      </c>
      <c r="BA1981" s="0" t="s">
        <v>130</v>
      </c>
      <c r="BB1981" s="0" t="s">
        <v>130</v>
      </c>
      <c r="BC1981" s="0" t="s">
        <v>141</v>
      </c>
      <c r="BD1981" s="0" t="s">
        <v>130</v>
      </c>
      <c r="BE1981" s="0" t="s">
        <v>130</v>
      </c>
      <c r="BF1981" s="0" t="s">
        <v>130</v>
      </c>
      <c r="BG1981" s="0" t="s">
        <v>130</v>
      </c>
      <c r="BH1981" s="0" t="s">
        <v>141</v>
      </c>
      <c r="BI1981" s="0" t="s">
        <v>141</v>
      </c>
      <c r="BJ1981" s="0" t="s">
        <v>141</v>
      </c>
      <c r="BK1981" s="0" t="s">
        <v>130</v>
      </c>
      <c r="BL1981" s="0" t="s">
        <v>130</v>
      </c>
      <c r="BM1981" s="0" t="s">
        <v>130</v>
      </c>
      <c r="BN1981" s="0" t="s">
        <v>130</v>
      </c>
      <c r="BO1981" s="0" t="s">
        <v>130</v>
      </c>
      <c r="BP1981" s="0" t="s">
        <v>130</v>
      </c>
      <c r="BQ1981" s="0" t="s">
        <v>130</v>
      </c>
      <c r="BR1981" s="0" t="s">
        <v>130</v>
      </c>
      <c r="BS1981" s="0" t="s">
        <v>130</v>
      </c>
      <c r="BT1981" s="0" t="s">
        <v>130</v>
      </c>
      <c r="BU1981" s="0" t="s">
        <v>130</v>
      </c>
      <c r="BV1981" s="0" t="s">
        <v>141</v>
      </c>
      <c r="BW1981" s="0" t="s">
        <v>141</v>
      </c>
      <c r="BX1981" s="0" t="s">
        <v>130</v>
      </c>
      <c r="BY1981" s="0" t="s">
        <v>130</v>
      </c>
      <c r="BZ1981" s="0" t="s">
        <v>130</v>
      </c>
      <c r="CA1981" s="0" t="s">
        <v>130</v>
      </c>
      <c r="CB1981" s="0" t="s">
        <v>130</v>
      </c>
      <c r="CC1981" s="0" t="s">
        <v>130</v>
      </c>
      <c r="CD1981" s="0" t="s">
        <v>130</v>
      </c>
      <c r="CE1981" s="0" t="s">
        <v>130</v>
      </c>
      <c r="CF1981" s="0" t="s">
        <v>130</v>
      </c>
      <c r="CG1981" s="0" t="s">
        <v>130</v>
      </c>
      <c r="CH1981" s="0" t="s">
        <v>130</v>
      </c>
      <c r="CI1981" s="0" t="s">
        <v>130</v>
      </c>
      <c r="CJ1981" s="0" t="s">
        <v>130</v>
      </c>
      <c r="CK1981" s="0" t="s">
        <v>130</v>
      </c>
      <c r="CL1981" s="0" t="s">
        <v>130</v>
      </c>
      <c r="CM1981" s="0" t="s">
        <v>130</v>
      </c>
      <c r="CN1981" s="0" t="s">
        <v>130</v>
      </c>
      <c r="CO1981" s="0" t="s">
        <v>130</v>
      </c>
      <c r="CP1981" s="0" t="s">
        <v>130</v>
      </c>
      <c r="CQ1981" s="0" t="s">
        <v>130</v>
      </c>
      <c r="CR1981" s="0" t="s">
        <v>130</v>
      </c>
      <c r="CS1981" s="0" t="s">
        <v>130</v>
      </c>
      <c r="CT1981" s="0" t="s">
        <v>5575</v>
      </c>
    </row>
    <row r="1982">
      <c r="A1982" s="14">
        <v>114713</v>
      </c>
      <c r="B1982" s="0" t="s">
        <v>2092</v>
      </c>
      <c r="C1982" s="16">
        <f>HYPERLINK("https://eosportal.federatedhermes.com/companies/Q29tcGFueQppODU4Nzg=", "Shin-Etsu Chemical Co Ltd")</f>
      </c>
      <c r="D1982" s="0" t="s">
        <v>25</v>
      </c>
      <c r="E1982" s="0" t="s">
        <v>729</v>
      </c>
      <c r="F1982" s="16">
        <f>HYPERLINK("https://eosportal.federatedhermes.com/engagements/RW5nYWdlbWVudAppMzE3NjI=", "Board diversity")</f>
      </c>
      <c r="G1982" s="14" t="s">
        <v>5576</v>
      </c>
      <c r="H1982" s="0" t="s">
        <v>130</v>
      </c>
      <c r="I1982" s="14" t="s">
        <v>319</v>
      </c>
      <c r="J1982" s="0" t="s">
        <v>145</v>
      </c>
      <c r="K1982" s="0" t="s">
        <v>164</v>
      </c>
      <c r="L1982" s="0" t="s">
        <v>165</v>
      </c>
      <c r="M1982" s="0" t="s">
        <v>802</v>
      </c>
      <c r="N1982" s="0" t="s">
        <v>952</v>
      </c>
      <c r="O1982" s="0" t="s">
        <v>706</v>
      </c>
      <c r="Q1982" s="0" t="s">
        <v>130</v>
      </c>
      <c r="R1982" s="0" t="s">
        <v>138</v>
      </c>
      <c r="S1982" s="14">
        <v>0</v>
      </c>
      <c r="T1982" s="0" t="s">
        <v>2270</v>
      </c>
      <c r="U1982" s="0" t="s">
        <v>138</v>
      </c>
      <c r="V1982" s="14" t="s">
        <v>138</v>
      </c>
      <c r="W1982" s="0" t="s">
        <v>138</v>
      </c>
      <c r="X1982" s="14" t="s">
        <v>138</v>
      </c>
      <c r="Y1982" s="0" t="s">
        <v>138</v>
      </c>
      <c r="Z1982" s="14" t="s">
        <v>138</v>
      </c>
      <c r="AA1982" s="0" t="s">
        <v>138</v>
      </c>
      <c r="AB1982" s="14" t="s">
        <v>138</v>
      </c>
      <c r="AD1982" s="0" t="s">
        <v>138</v>
      </c>
      <c r="AF1982" s="0">
        <v>0</v>
      </c>
      <c r="AG1982" s="0">
        <v>0</v>
      </c>
      <c r="AH1982" s="0" t="s">
        <v>140</v>
      </c>
      <c r="AI1982" s="0" t="s">
        <v>138</v>
      </c>
      <c r="AL1982" s="14"/>
      <c r="AN1982" s="14"/>
      <c r="AQ1982" s="0" t="s">
        <v>130</v>
      </c>
      <c r="AR1982" s="0" t="s">
        <v>130</v>
      </c>
      <c r="AS1982" s="0" t="s">
        <v>130</v>
      </c>
      <c r="AT1982" s="0" t="s">
        <v>130</v>
      </c>
      <c r="AU1982" s="0" t="s">
        <v>141</v>
      </c>
      <c r="AV1982" s="0" t="s">
        <v>130</v>
      </c>
      <c r="AW1982" s="0" t="s">
        <v>130</v>
      </c>
      <c r="AX1982" s="0" t="s">
        <v>130</v>
      </c>
      <c r="AY1982" s="0" t="s">
        <v>130</v>
      </c>
      <c r="AZ1982" s="0" t="s">
        <v>141</v>
      </c>
      <c r="BA1982" s="0" t="s">
        <v>130</v>
      </c>
      <c r="BB1982" s="0" t="s">
        <v>130</v>
      </c>
      <c r="BC1982" s="0" t="s">
        <v>130</v>
      </c>
      <c r="BD1982" s="0" t="s">
        <v>130</v>
      </c>
      <c r="BE1982" s="0" t="s">
        <v>130</v>
      </c>
      <c r="BF1982" s="0" t="s">
        <v>130</v>
      </c>
      <c r="BG1982" s="0" t="s">
        <v>130</v>
      </c>
      <c r="BH1982" s="0" t="s">
        <v>130</v>
      </c>
      <c r="BI1982" s="0" t="s">
        <v>130</v>
      </c>
      <c r="BJ1982" s="0" t="s">
        <v>130</v>
      </c>
      <c r="BK1982" s="0" t="s">
        <v>130</v>
      </c>
      <c r="BL1982" s="0" t="s">
        <v>130</v>
      </c>
      <c r="BM1982" s="0" t="s">
        <v>130</v>
      </c>
      <c r="BN1982" s="0" t="s">
        <v>130</v>
      </c>
      <c r="BO1982" s="0" t="s">
        <v>130</v>
      </c>
      <c r="BP1982" s="0" t="s">
        <v>130</v>
      </c>
      <c r="BQ1982" s="0" t="s">
        <v>130</v>
      </c>
      <c r="BR1982" s="0" t="s">
        <v>130</v>
      </c>
      <c r="BS1982" s="0" t="s">
        <v>130</v>
      </c>
      <c r="BT1982" s="0" t="s">
        <v>130</v>
      </c>
      <c r="BU1982" s="0" t="s">
        <v>130</v>
      </c>
      <c r="BV1982" s="0" t="s">
        <v>130</v>
      </c>
      <c r="BW1982" s="0" t="s">
        <v>130</v>
      </c>
      <c r="BX1982" s="0" t="s">
        <v>130</v>
      </c>
      <c r="BY1982" s="0" t="s">
        <v>130</v>
      </c>
      <c r="BZ1982" s="0" t="s">
        <v>130</v>
      </c>
      <c r="CA1982" s="0" t="s">
        <v>130</v>
      </c>
      <c r="CB1982" s="0" t="s">
        <v>130</v>
      </c>
      <c r="CC1982" s="0" t="s">
        <v>130</v>
      </c>
      <c r="CD1982" s="0" t="s">
        <v>130</v>
      </c>
      <c r="CE1982" s="0" t="s">
        <v>130</v>
      </c>
      <c r="CF1982" s="0" t="s">
        <v>130</v>
      </c>
      <c r="CG1982" s="0" t="s">
        <v>130</v>
      </c>
      <c r="CH1982" s="0" t="s">
        <v>130</v>
      </c>
      <c r="CI1982" s="0" t="s">
        <v>130</v>
      </c>
      <c r="CJ1982" s="0" t="s">
        <v>130</v>
      </c>
      <c r="CK1982" s="0" t="s">
        <v>130</v>
      </c>
      <c r="CL1982" s="0" t="s">
        <v>130</v>
      </c>
      <c r="CM1982" s="0" t="s">
        <v>130</v>
      </c>
      <c r="CN1982" s="0" t="s">
        <v>130</v>
      </c>
      <c r="CO1982" s="0" t="s">
        <v>130</v>
      </c>
      <c r="CP1982" s="0" t="s">
        <v>130</v>
      </c>
      <c r="CQ1982" s="0" t="s">
        <v>130</v>
      </c>
      <c r="CR1982" s="0" t="s">
        <v>130</v>
      </c>
      <c r="CS1982" s="0" t="s">
        <v>130</v>
      </c>
      <c r="CT1982" s="0" t="s">
        <v>5577</v>
      </c>
    </row>
    <row r="1983">
      <c r="A1983" s="14">
        <v>114713</v>
      </c>
      <c r="B1983" s="0" t="s">
        <v>2092</v>
      </c>
      <c r="C1983" s="16">
        <f>HYPERLINK("https://eosportal.federatedhermes.com/companies/Q29tcGFueQppODU4Nzg=", "Shin-Etsu Chemical Co Ltd")</f>
      </c>
      <c r="D1983" s="0" t="s">
        <v>25</v>
      </c>
      <c r="E1983" s="0" t="s">
        <v>5578</v>
      </c>
      <c r="F1983" s="16">
        <f>HYPERLINK("https://eosportal.federatedhermes.com/engagements/RW5nYWdlbWVudAppMzE3NjM=", "Improve Chemscore")</f>
      </c>
      <c r="G1983" s="14" t="s">
        <v>5579</v>
      </c>
      <c r="H1983" s="0" t="s">
        <v>130</v>
      </c>
      <c r="I1983" s="14" t="s">
        <v>319</v>
      </c>
      <c r="J1983" s="0" t="s">
        <v>197</v>
      </c>
      <c r="K1983" s="0" t="s">
        <v>348</v>
      </c>
      <c r="L1983" s="0" t="s">
        <v>650</v>
      </c>
      <c r="M1983" s="0" t="s">
        <v>802</v>
      </c>
      <c r="N1983" s="0" t="s">
        <v>952</v>
      </c>
      <c r="O1983" s="0" t="s">
        <v>706</v>
      </c>
      <c r="Q1983" s="0" t="s">
        <v>141</v>
      </c>
      <c r="R1983" s="0" t="s">
        <v>138</v>
      </c>
      <c r="S1983" s="14">
        <v>1</v>
      </c>
      <c r="T1983" s="0" t="s">
        <v>2270</v>
      </c>
      <c r="U1983" s="0" t="s">
        <v>138</v>
      </c>
      <c r="V1983" s="14" t="s">
        <v>138</v>
      </c>
      <c r="W1983" s="0" t="s">
        <v>138</v>
      </c>
      <c r="X1983" s="14" t="s">
        <v>138</v>
      </c>
      <c r="Y1983" s="0" t="s">
        <v>138</v>
      </c>
      <c r="Z1983" s="14" t="s">
        <v>138</v>
      </c>
      <c r="AA1983" s="0" t="s">
        <v>138</v>
      </c>
      <c r="AB1983" s="14" t="s">
        <v>138</v>
      </c>
      <c r="AD1983" s="0" t="s">
        <v>138</v>
      </c>
      <c r="AF1983" s="0">
        <v>0</v>
      </c>
      <c r="AG1983" s="0">
        <v>0</v>
      </c>
      <c r="AH1983" s="0" t="s">
        <v>140</v>
      </c>
      <c r="AI1983" s="0" t="s">
        <v>138</v>
      </c>
      <c r="AK1983" s="0" t="s">
        <v>714</v>
      </c>
      <c r="AL1983" s="14"/>
      <c r="AN1983" s="14"/>
      <c r="AQ1983" s="0" t="s">
        <v>130</v>
      </c>
      <c r="AR1983" s="0" t="s">
        <v>130</v>
      </c>
      <c r="AS1983" s="0" t="s">
        <v>141</v>
      </c>
      <c r="AT1983" s="0" t="s">
        <v>130</v>
      </c>
      <c r="AU1983" s="0" t="s">
        <v>130</v>
      </c>
      <c r="AV1983" s="0" t="s">
        <v>130</v>
      </c>
      <c r="AW1983" s="0" t="s">
        <v>130</v>
      </c>
      <c r="AX1983" s="0" t="s">
        <v>130</v>
      </c>
      <c r="AY1983" s="0" t="s">
        <v>130</v>
      </c>
      <c r="AZ1983" s="0" t="s">
        <v>130</v>
      </c>
      <c r="BA1983" s="0" t="s">
        <v>130</v>
      </c>
      <c r="BB1983" s="0" t="s">
        <v>141</v>
      </c>
      <c r="BC1983" s="0" t="s">
        <v>130</v>
      </c>
      <c r="BD1983" s="0" t="s">
        <v>130</v>
      </c>
      <c r="BE1983" s="0" t="s">
        <v>130</v>
      </c>
      <c r="BF1983" s="0" t="s">
        <v>130</v>
      </c>
      <c r="BG1983" s="0" t="s">
        <v>130</v>
      </c>
      <c r="BH1983" s="0" t="s">
        <v>130</v>
      </c>
      <c r="BI1983" s="0" t="s">
        <v>130</v>
      </c>
      <c r="BJ1983" s="0" t="s">
        <v>130</v>
      </c>
      <c r="BK1983" s="0" t="s">
        <v>130</v>
      </c>
      <c r="BL1983" s="0" t="s">
        <v>130</v>
      </c>
      <c r="BM1983" s="0" t="s">
        <v>130</v>
      </c>
      <c r="BN1983" s="0" t="s">
        <v>130</v>
      </c>
      <c r="BO1983" s="0" t="s">
        <v>130</v>
      </c>
      <c r="BP1983" s="0" t="s">
        <v>130</v>
      </c>
      <c r="BQ1983" s="0" t="s">
        <v>130</v>
      </c>
      <c r="BR1983" s="0" t="s">
        <v>130</v>
      </c>
      <c r="BS1983" s="0" t="s">
        <v>130</v>
      </c>
      <c r="BT1983" s="0" t="s">
        <v>130</v>
      </c>
      <c r="BU1983" s="0" t="s">
        <v>130</v>
      </c>
      <c r="BV1983" s="0" t="s">
        <v>130</v>
      </c>
      <c r="BW1983" s="0" t="s">
        <v>130</v>
      </c>
      <c r="BX1983" s="0" t="s">
        <v>130</v>
      </c>
      <c r="BY1983" s="0" t="s">
        <v>130</v>
      </c>
      <c r="BZ1983" s="0" t="s">
        <v>130</v>
      </c>
      <c r="CA1983" s="0" t="s">
        <v>130</v>
      </c>
      <c r="CB1983" s="0" t="s">
        <v>130</v>
      </c>
      <c r="CC1983" s="0" t="s">
        <v>130</v>
      </c>
      <c r="CD1983" s="0" t="s">
        <v>130</v>
      </c>
      <c r="CE1983" s="0" t="s">
        <v>130</v>
      </c>
      <c r="CF1983" s="0" t="s">
        <v>130</v>
      </c>
      <c r="CG1983" s="0" t="s">
        <v>130</v>
      </c>
      <c r="CH1983" s="0" t="s">
        <v>130</v>
      </c>
      <c r="CI1983" s="0" t="s">
        <v>130</v>
      </c>
      <c r="CJ1983" s="0" t="s">
        <v>130</v>
      </c>
      <c r="CK1983" s="0" t="s">
        <v>130</v>
      </c>
      <c r="CL1983" s="0" t="s">
        <v>130</v>
      </c>
      <c r="CM1983" s="0" t="s">
        <v>130</v>
      </c>
      <c r="CN1983" s="0" t="s">
        <v>130</v>
      </c>
      <c r="CO1983" s="0" t="s">
        <v>130</v>
      </c>
      <c r="CP1983" s="0" t="s">
        <v>130</v>
      </c>
      <c r="CQ1983" s="0" t="s">
        <v>130</v>
      </c>
      <c r="CR1983" s="0" t="s">
        <v>130</v>
      </c>
      <c r="CS1983" s="0" t="s">
        <v>130</v>
      </c>
      <c r="CT1983" s="0" t="s">
        <v>5580</v>
      </c>
    </row>
    <row r="1984">
      <c r="A1984" s="14">
        <v>101177</v>
      </c>
      <c r="B1984" s="0" t="s">
        <v>5248</v>
      </c>
      <c r="C1984" s="16">
        <f>HYPERLINK("https://eosportal.federatedhermes.com/companies/Q29tcGFueQppODUwMDc=", "PulteGroup Inc")</f>
      </c>
      <c r="D1984" s="0" t="s">
        <v>25</v>
      </c>
      <c r="E1984" s="0" t="s">
        <v>5581</v>
      </c>
      <c r="F1984" s="16">
        <f>HYPERLINK("https://eosportal.federatedhermes.com/engagements/RW5nYWdlbWVudAppMzE3Nzc=", "UNGP aligned human rights policy")</f>
      </c>
      <c r="G1984" s="14" t="s">
        <v>5582</v>
      </c>
      <c r="H1984" s="0" t="s">
        <v>130</v>
      </c>
      <c r="I1984" s="14" t="s">
        <v>131</v>
      </c>
      <c r="J1984" s="0" t="s">
        <v>153</v>
      </c>
      <c r="K1984" s="0" t="s">
        <v>243</v>
      </c>
      <c r="L1984" s="0" t="s">
        <v>244</v>
      </c>
      <c r="M1984" s="0" t="s">
        <v>135</v>
      </c>
      <c r="N1984" s="0" t="s">
        <v>136</v>
      </c>
      <c r="O1984" s="0" t="s">
        <v>332</v>
      </c>
      <c r="Q1984" s="0" t="s">
        <v>130</v>
      </c>
      <c r="R1984" s="0" t="s">
        <v>138</v>
      </c>
      <c r="S1984" s="14">
        <v>0</v>
      </c>
      <c r="T1984" s="0" t="s">
        <v>2270</v>
      </c>
      <c r="U1984" s="0" t="s">
        <v>138</v>
      </c>
      <c r="V1984" s="14" t="s">
        <v>138</v>
      </c>
      <c r="W1984" s="0" t="s">
        <v>138</v>
      </c>
      <c r="X1984" s="14" t="s">
        <v>138</v>
      </c>
      <c r="Y1984" s="0" t="s">
        <v>138</v>
      </c>
      <c r="Z1984" s="14" t="s">
        <v>138</v>
      </c>
      <c r="AA1984" s="0" t="s">
        <v>138</v>
      </c>
      <c r="AB1984" s="14" t="s">
        <v>138</v>
      </c>
      <c r="AD1984" s="0" t="s">
        <v>138</v>
      </c>
      <c r="AF1984" s="0">
        <v>0</v>
      </c>
      <c r="AG1984" s="0">
        <v>0</v>
      </c>
      <c r="AH1984" s="0" t="s">
        <v>140</v>
      </c>
      <c r="AI1984" s="0" t="s">
        <v>138</v>
      </c>
      <c r="AL1984" s="14"/>
      <c r="AN1984" s="14"/>
      <c r="AQ1984" s="0" t="s">
        <v>130</v>
      </c>
      <c r="AR1984" s="0" t="s">
        <v>130</v>
      </c>
      <c r="AS1984" s="0" t="s">
        <v>130</v>
      </c>
      <c r="AT1984" s="0" t="s">
        <v>130</v>
      </c>
      <c r="AU1984" s="0" t="s">
        <v>130</v>
      </c>
      <c r="AV1984" s="0" t="s">
        <v>130</v>
      </c>
      <c r="AW1984" s="0" t="s">
        <v>130</v>
      </c>
      <c r="AX1984" s="0" t="s">
        <v>141</v>
      </c>
      <c r="AY1984" s="0" t="s">
        <v>130</v>
      </c>
      <c r="AZ1984" s="0" t="s">
        <v>130</v>
      </c>
      <c r="BA1984" s="0" t="s">
        <v>130</v>
      </c>
      <c r="BB1984" s="0" t="s">
        <v>130</v>
      </c>
      <c r="BC1984" s="0" t="s">
        <v>130</v>
      </c>
      <c r="BD1984" s="0" t="s">
        <v>130</v>
      </c>
      <c r="BE1984" s="0" t="s">
        <v>130</v>
      </c>
      <c r="BF1984" s="0" t="s">
        <v>130</v>
      </c>
      <c r="BG1984" s="0" t="s">
        <v>130</v>
      </c>
      <c r="BH1984" s="0" t="s">
        <v>130</v>
      </c>
      <c r="BI1984" s="0" t="s">
        <v>130</v>
      </c>
      <c r="BJ1984" s="0" t="s">
        <v>130</v>
      </c>
      <c r="BK1984" s="0" t="s">
        <v>130</v>
      </c>
      <c r="BL1984" s="0" t="s">
        <v>130</v>
      </c>
      <c r="BM1984" s="0" t="s">
        <v>130</v>
      </c>
      <c r="BN1984" s="0" t="s">
        <v>130</v>
      </c>
      <c r="BO1984" s="0" t="s">
        <v>130</v>
      </c>
      <c r="BP1984" s="0" t="s">
        <v>130</v>
      </c>
      <c r="BQ1984" s="0" t="s">
        <v>130</v>
      </c>
      <c r="BR1984" s="0" t="s">
        <v>130</v>
      </c>
      <c r="BS1984" s="0" t="s">
        <v>130</v>
      </c>
      <c r="BT1984" s="0" t="s">
        <v>130</v>
      </c>
      <c r="BU1984" s="0" t="s">
        <v>130</v>
      </c>
      <c r="BV1984" s="0" t="s">
        <v>130</v>
      </c>
      <c r="BW1984" s="0" t="s">
        <v>130</v>
      </c>
      <c r="BX1984" s="0" t="s">
        <v>130</v>
      </c>
      <c r="BY1984" s="0" t="s">
        <v>130</v>
      </c>
      <c r="BZ1984" s="0" t="s">
        <v>130</v>
      </c>
      <c r="CA1984" s="0" t="s">
        <v>130</v>
      </c>
      <c r="CB1984" s="0" t="s">
        <v>130</v>
      </c>
      <c r="CC1984" s="0" t="s">
        <v>130</v>
      </c>
      <c r="CD1984" s="0" t="s">
        <v>130</v>
      </c>
      <c r="CE1984" s="0" t="s">
        <v>130</v>
      </c>
      <c r="CF1984" s="0" t="s">
        <v>130</v>
      </c>
      <c r="CG1984" s="0" t="s">
        <v>130</v>
      </c>
      <c r="CH1984" s="0" t="s">
        <v>130</v>
      </c>
      <c r="CI1984" s="0" t="s">
        <v>130</v>
      </c>
      <c r="CJ1984" s="0" t="s">
        <v>130</v>
      </c>
      <c r="CK1984" s="0" t="s">
        <v>130</v>
      </c>
      <c r="CL1984" s="0" t="s">
        <v>130</v>
      </c>
      <c r="CM1984" s="0" t="s">
        <v>130</v>
      </c>
      <c r="CN1984" s="0" t="s">
        <v>130</v>
      </c>
      <c r="CO1984" s="0" t="s">
        <v>130</v>
      </c>
      <c r="CP1984" s="0" t="s">
        <v>130</v>
      </c>
      <c r="CQ1984" s="0" t="s">
        <v>130</v>
      </c>
      <c r="CR1984" s="0" t="s">
        <v>130</v>
      </c>
      <c r="CS1984" s="0" t="s">
        <v>130</v>
      </c>
      <c r="CT1984" s="0" t="s">
        <v>5583</v>
      </c>
    </row>
    <row r="1985">
      <c r="A1985" s="14">
        <v>70940270</v>
      </c>
      <c r="B1985" s="0" t="s">
        <v>4590</v>
      </c>
      <c r="C1985" s="16">
        <f>HYPERLINK("https://eosportal.federatedhermes.com/companies/Q29tcGFueQppODU0MTY=", "Linde PLC")</f>
      </c>
      <c r="D1985" s="0" t="s">
        <v>25</v>
      </c>
      <c r="E1985" s="0" t="s">
        <v>5584</v>
      </c>
      <c r="F1985" s="16">
        <f>HYPERLINK("https://eosportal.federatedhermes.com/engagements/RW5nYWdlbWVudAppMzE3ODI=", "Delisting from Frankfurt Stock Exchange")</f>
      </c>
      <c r="G1985" s="14" t="s">
        <v>5585</v>
      </c>
      <c r="H1985" s="0" t="s">
        <v>141</v>
      </c>
      <c r="I1985" s="14" t="s">
        <v>191</v>
      </c>
      <c r="J1985" s="0" t="s">
        <v>145</v>
      </c>
      <c r="K1985" s="0" t="s">
        <v>400</v>
      </c>
      <c r="L1985" s="0" t="s">
        <v>401</v>
      </c>
      <c r="M1985" s="0" t="s">
        <v>135</v>
      </c>
      <c r="N1985" s="0" t="s">
        <v>136</v>
      </c>
      <c r="O1985" s="0" t="s">
        <v>706</v>
      </c>
      <c r="Q1985" s="0" t="s">
        <v>130</v>
      </c>
      <c r="R1985" s="0" t="s">
        <v>138</v>
      </c>
      <c r="S1985" s="14">
        <v>0</v>
      </c>
      <c r="T1985" s="0" t="s">
        <v>2629</v>
      </c>
      <c r="U1985" s="0" t="s">
        <v>138</v>
      </c>
      <c r="V1985" s="14" t="s">
        <v>138</v>
      </c>
      <c r="W1985" s="0" t="s">
        <v>138</v>
      </c>
      <c r="X1985" s="14" t="s">
        <v>138</v>
      </c>
      <c r="Y1985" s="0" t="s">
        <v>138</v>
      </c>
      <c r="Z1985" s="14" t="s">
        <v>138</v>
      </c>
      <c r="AA1985" s="0" t="s">
        <v>138</v>
      </c>
      <c r="AB1985" s="14" t="s">
        <v>138</v>
      </c>
      <c r="AD1985" s="0" t="s">
        <v>138</v>
      </c>
      <c r="AF1985" s="0">
        <v>0</v>
      </c>
      <c r="AG1985" s="0">
        <v>0</v>
      </c>
      <c r="AH1985" s="0" t="s">
        <v>140</v>
      </c>
      <c r="AI1985" s="0" t="s">
        <v>138</v>
      </c>
      <c r="AL1985" s="14"/>
      <c r="AN1985" s="14"/>
      <c r="AQ1985" s="0" t="s">
        <v>130</v>
      </c>
      <c r="AR1985" s="0" t="s">
        <v>130</v>
      </c>
      <c r="AS1985" s="0" t="s">
        <v>130</v>
      </c>
      <c r="AT1985" s="0" t="s">
        <v>130</v>
      </c>
      <c r="AU1985" s="0" t="s">
        <v>130</v>
      </c>
      <c r="AV1985" s="0" t="s">
        <v>130</v>
      </c>
      <c r="AW1985" s="0" t="s">
        <v>130</v>
      </c>
      <c r="AX1985" s="0" t="s">
        <v>130</v>
      </c>
      <c r="AY1985" s="0" t="s">
        <v>130</v>
      </c>
      <c r="AZ1985" s="0" t="s">
        <v>130</v>
      </c>
      <c r="BA1985" s="0" t="s">
        <v>130</v>
      </c>
      <c r="BB1985" s="0" t="s">
        <v>130</v>
      </c>
      <c r="BC1985" s="0" t="s">
        <v>130</v>
      </c>
      <c r="BD1985" s="0" t="s">
        <v>130</v>
      </c>
      <c r="BE1985" s="0" t="s">
        <v>130</v>
      </c>
      <c r="BF1985" s="0" t="s">
        <v>130</v>
      </c>
      <c r="BG1985" s="0" t="s">
        <v>130</v>
      </c>
      <c r="BH1985" s="0" t="s">
        <v>130</v>
      </c>
      <c r="BI1985" s="0" t="s">
        <v>130</v>
      </c>
      <c r="BJ1985" s="0" t="s">
        <v>130</v>
      </c>
      <c r="BK1985" s="0" t="s">
        <v>130</v>
      </c>
      <c r="BL1985" s="0" t="s">
        <v>130</v>
      </c>
      <c r="BM1985" s="0" t="s">
        <v>130</v>
      </c>
      <c r="BN1985" s="0" t="s">
        <v>130</v>
      </c>
      <c r="BO1985" s="0" t="s">
        <v>130</v>
      </c>
      <c r="BP1985" s="0" t="s">
        <v>130</v>
      </c>
      <c r="BQ1985" s="0" t="s">
        <v>130</v>
      </c>
      <c r="BR1985" s="0" t="s">
        <v>130</v>
      </c>
      <c r="BS1985" s="0" t="s">
        <v>130</v>
      </c>
      <c r="BT1985" s="0" t="s">
        <v>130</v>
      </c>
      <c r="BU1985" s="0" t="s">
        <v>130</v>
      </c>
      <c r="BV1985" s="0" t="s">
        <v>130</v>
      </c>
      <c r="BW1985" s="0" t="s">
        <v>130</v>
      </c>
      <c r="BX1985" s="0" t="s">
        <v>130</v>
      </c>
      <c r="BY1985" s="0" t="s">
        <v>130</v>
      </c>
      <c r="BZ1985" s="0" t="s">
        <v>130</v>
      </c>
      <c r="CA1985" s="0" t="s">
        <v>130</v>
      </c>
      <c r="CB1985" s="0" t="s">
        <v>130</v>
      </c>
      <c r="CC1985" s="0" t="s">
        <v>130</v>
      </c>
      <c r="CD1985" s="0" t="s">
        <v>130</v>
      </c>
      <c r="CE1985" s="0" t="s">
        <v>130</v>
      </c>
      <c r="CF1985" s="0" t="s">
        <v>130</v>
      </c>
      <c r="CG1985" s="0" t="s">
        <v>130</v>
      </c>
      <c r="CH1985" s="0" t="s">
        <v>130</v>
      </c>
      <c r="CI1985" s="0" t="s">
        <v>130</v>
      </c>
      <c r="CJ1985" s="0" t="s">
        <v>130</v>
      </c>
      <c r="CK1985" s="0" t="s">
        <v>130</v>
      </c>
      <c r="CL1985" s="0" t="s">
        <v>130</v>
      </c>
      <c r="CM1985" s="0" t="s">
        <v>130</v>
      </c>
      <c r="CN1985" s="0" t="s">
        <v>130</v>
      </c>
      <c r="CO1985" s="0" t="s">
        <v>130</v>
      </c>
      <c r="CP1985" s="0" t="s">
        <v>130</v>
      </c>
      <c r="CQ1985" s="0" t="s">
        <v>130</v>
      </c>
      <c r="CR1985" s="0" t="s">
        <v>130</v>
      </c>
      <c r="CS1985" s="0" t="s">
        <v>130</v>
      </c>
      <c r="CT1985" s="0" t="s">
        <v>5586</v>
      </c>
    </row>
    <row r="1986">
      <c r="A1986" s="14">
        <v>159234</v>
      </c>
      <c r="B1986" s="0" t="s">
        <v>5587</v>
      </c>
      <c r="C1986" s="16">
        <f>HYPERLINK("https://eosportal.federatedhermes.com/companies/Q29tcGFueQppNDY5MDg=", "Ally Financial Inc")</f>
      </c>
      <c r="D1986" s="0" t="s">
        <v>23</v>
      </c>
      <c r="E1986" s="0" t="s">
        <v>628</v>
      </c>
      <c r="F1986" s="16">
        <f>HYPERLINK("https://eosportal.federatedhermes.com/engagements/RW5nYWdlbWVudAppMzE3OTM=", "Talent management strategy focused on Workforce")</f>
      </c>
      <c r="G1986" s="14" t="s">
        <v>5588</v>
      </c>
      <c r="H1986" s="0" t="s">
        <v>130</v>
      </c>
      <c r="I1986" s="14" t="s">
        <v>319</v>
      </c>
      <c r="J1986" s="0" t="s">
        <v>153</v>
      </c>
      <c r="K1986" s="0" t="s">
        <v>154</v>
      </c>
      <c r="L1986" s="0" t="s">
        <v>268</v>
      </c>
      <c r="M1986" s="0" t="s">
        <v>135</v>
      </c>
      <c r="N1986" s="0" t="s">
        <v>136</v>
      </c>
      <c r="O1986" s="0" t="s">
        <v>238</v>
      </c>
      <c r="Q1986" s="0" t="s">
        <v>130</v>
      </c>
      <c r="R1986" s="0" t="s">
        <v>130</v>
      </c>
      <c r="S1986" s="14">
        <v>0</v>
      </c>
      <c r="T1986" s="0" t="s">
        <v>222</v>
      </c>
      <c r="U1986" s="0" t="s">
        <v>221</v>
      </c>
      <c r="V1986" s="14" t="s">
        <v>222</v>
      </c>
      <c r="W1986" s="0" t="s">
        <v>221</v>
      </c>
      <c r="X1986" s="14" t="s">
        <v>222</v>
      </c>
      <c r="Y1986" s="0" t="s">
        <v>1255</v>
      </c>
      <c r="Z1986" s="14" t="s">
        <v>361</v>
      </c>
      <c r="AA1986" s="0" t="s">
        <v>1255</v>
      </c>
      <c r="AB1986" s="14" t="s">
        <v>361</v>
      </c>
      <c r="AD1986" s="0" t="s">
        <v>1256</v>
      </c>
      <c r="AF1986" s="0">
        <v>0</v>
      </c>
      <c r="AG1986" s="0">
        <v>0</v>
      </c>
      <c r="AH1986" s="0" t="s">
        <v>140</v>
      </c>
      <c r="AI1986" s="0" t="s">
        <v>1255</v>
      </c>
      <c r="AJ1986" s="0" t="s">
        <v>5589</v>
      </c>
      <c r="AL1986" s="14"/>
      <c r="AN1986" s="14"/>
      <c r="AQ1986" s="0" t="s">
        <v>130</v>
      </c>
      <c r="AR1986" s="0" t="s">
        <v>130</v>
      </c>
      <c r="AS1986" s="0" t="s">
        <v>130</v>
      </c>
      <c r="AT1986" s="0" t="s">
        <v>130</v>
      </c>
      <c r="AU1986" s="0" t="s">
        <v>141</v>
      </c>
      <c r="AV1986" s="0" t="s">
        <v>130</v>
      </c>
      <c r="AW1986" s="0" t="s">
        <v>130</v>
      </c>
      <c r="AX1986" s="0" t="s">
        <v>130</v>
      </c>
      <c r="AY1986" s="0" t="s">
        <v>130</v>
      </c>
      <c r="AZ1986" s="0" t="s">
        <v>130</v>
      </c>
      <c r="BA1986" s="0" t="s">
        <v>130</v>
      </c>
      <c r="BB1986" s="0" t="s">
        <v>130</v>
      </c>
      <c r="BC1986" s="0" t="s">
        <v>130</v>
      </c>
      <c r="BD1986" s="0" t="s">
        <v>130</v>
      </c>
      <c r="BE1986" s="0" t="s">
        <v>130</v>
      </c>
      <c r="BF1986" s="0" t="s">
        <v>130</v>
      </c>
      <c r="BG1986" s="0" t="s">
        <v>130</v>
      </c>
      <c r="BH1986" s="0" t="s">
        <v>130</v>
      </c>
      <c r="BI1986" s="0" t="s">
        <v>130</v>
      </c>
      <c r="BJ1986" s="0" t="s">
        <v>130</v>
      </c>
      <c r="BK1986" s="0" t="s">
        <v>130</v>
      </c>
      <c r="BL1986" s="0" t="s">
        <v>130</v>
      </c>
      <c r="BM1986" s="0" t="s">
        <v>130</v>
      </c>
      <c r="BN1986" s="0" t="s">
        <v>130</v>
      </c>
      <c r="BO1986" s="0" t="s">
        <v>130</v>
      </c>
      <c r="BP1986" s="0" t="s">
        <v>130</v>
      </c>
      <c r="BQ1986" s="0" t="s">
        <v>130</v>
      </c>
      <c r="BR1986" s="0" t="s">
        <v>130</v>
      </c>
      <c r="BS1986" s="0" t="s">
        <v>130</v>
      </c>
      <c r="BT1986" s="0" t="s">
        <v>130</v>
      </c>
      <c r="BU1986" s="0" t="s">
        <v>130</v>
      </c>
      <c r="BV1986" s="0" t="s">
        <v>130</v>
      </c>
      <c r="BW1986" s="0" t="s">
        <v>130</v>
      </c>
      <c r="BX1986" s="0" t="s">
        <v>130</v>
      </c>
      <c r="BY1986" s="0" t="s">
        <v>130</v>
      </c>
      <c r="BZ1986" s="0" t="s">
        <v>130</v>
      </c>
      <c r="CA1986" s="0" t="s">
        <v>130</v>
      </c>
      <c r="CB1986" s="0" t="s">
        <v>130</v>
      </c>
      <c r="CC1986" s="0" t="s">
        <v>130</v>
      </c>
      <c r="CD1986" s="0" t="s">
        <v>130</v>
      </c>
      <c r="CE1986" s="0" t="s">
        <v>130</v>
      </c>
      <c r="CF1986" s="0" t="s">
        <v>130</v>
      </c>
      <c r="CG1986" s="0" t="s">
        <v>130</v>
      </c>
      <c r="CH1986" s="0" t="s">
        <v>130</v>
      </c>
      <c r="CI1986" s="0" t="s">
        <v>130</v>
      </c>
      <c r="CJ1986" s="0" t="s">
        <v>130</v>
      </c>
      <c r="CK1986" s="0" t="s">
        <v>141</v>
      </c>
      <c r="CL1986" s="0" t="s">
        <v>130</v>
      </c>
      <c r="CM1986" s="0" t="s">
        <v>130</v>
      </c>
      <c r="CN1986" s="0" t="s">
        <v>130</v>
      </c>
      <c r="CO1986" s="0" t="s">
        <v>130</v>
      </c>
      <c r="CP1986" s="0" t="s">
        <v>130</v>
      </c>
      <c r="CQ1986" s="0" t="s">
        <v>130</v>
      </c>
      <c r="CR1986" s="0" t="s">
        <v>130</v>
      </c>
      <c r="CS1986" s="0" t="s">
        <v>130</v>
      </c>
      <c r="CT1986" s="0" t="s">
        <v>5590</v>
      </c>
    </row>
    <row r="1987">
      <c r="A1987" s="14">
        <v>159234</v>
      </c>
      <c r="B1987" s="0" t="s">
        <v>5587</v>
      </c>
      <c r="C1987" s="16">
        <f>HYPERLINK("https://eosportal.federatedhermes.com/companies/Q29tcGFueQppNDY5MDg=", "Ally Financial Inc")</f>
      </c>
      <c r="D1987" s="0" t="s">
        <v>23</v>
      </c>
      <c r="E1987" s="0" t="s">
        <v>228</v>
      </c>
      <c r="F1987" s="16">
        <f>HYPERLINK("https://eosportal.federatedhermes.com/engagements/RW5nYWdlbWVudAppMzE3OTQ=", "Climate strategy")</f>
      </c>
      <c r="G1987" s="14" t="s">
        <v>5591</v>
      </c>
      <c r="H1987" s="0" t="s">
        <v>130</v>
      </c>
      <c r="I1987" s="14" t="s">
        <v>319</v>
      </c>
      <c r="J1987" s="0" t="s">
        <v>197</v>
      </c>
      <c r="K1987" s="0" t="s">
        <v>198</v>
      </c>
      <c r="L1987" s="0" t="s">
        <v>220</v>
      </c>
      <c r="M1987" s="0" t="s">
        <v>135</v>
      </c>
      <c r="N1987" s="0" t="s">
        <v>136</v>
      </c>
      <c r="O1987" s="0" t="s">
        <v>238</v>
      </c>
      <c r="Q1987" s="0" t="s">
        <v>130</v>
      </c>
      <c r="R1987" s="0" t="s">
        <v>130</v>
      </c>
      <c r="S1987" s="14">
        <v>0</v>
      </c>
      <c r="T1987" s="0" t="s">
        <v>360</v>
      </c>
      <c r="U1987" s="0" t="s">
        <v>221</v>
      </c>
      <c r="V1987" s="14" t="s">
        <v>360</v>
      </c>
      <c r="W1987" s="0" t="s">
        <v>1255</v>
      </c>
      <c r="X1987" s="14" t="s">
        <v>361</v>
      </c>
      <c r="Y1987" s="0" t="s">
        <v>1255</v>
      </c>
      <c r="Z1987" s="14" t="s">
        <v>361</v>
      </c>
      <c r="AA1987" s="0" t="s">
        <v>1255</v>
      </c>
      <c r="AB1987" s="14" t="s">
        <v>361</v>
      </c>
      <c r="AD1987" s="0" t="s">
        <v>1256</v>
      </c>
      <c r="AF1987" s="0">
        <v>0</v>
      </c>
      <c r="AG1987" s="0">
        <v>0</v>
      </c>
      <c r="AH1987" s="0" t="s">
        <v>140</v>
      </c>
      <c r="AI1987" s="0" t="s">
        <v>1255</v>
      </c>
      <c r="AJ1987" s="0" t="s">
        <v>5589</v>
      </c>
      <c r="AL1987" s="14"/>
      <c r="AN1987" s="14"/>
      <c r="AQ1987" s="0" t="s">
        <v>130</v>
      </c>
      <c r="AR1987" s="0" t="s">
        <v>130</v>
      </c>
      <c r="AS1987" s="0" t="s">
        <v>130</v>
      </c>
      <c r="AT1987" s="0" t="s">
        <v>130</v>
      </c>
      <c r="AU1987" s="0" t="s">
        <v>130</v>
      </c>
      <c r="AV1987" s="0" t="s">
        <v>130</v>
      </c>
      <c r="AW1987" s="0" t="s">
        <v>141</v>
      </c>
      <c r="AX1987" s="0" t="s">
        <v>130</v>
      </c>
      <c r="AY1987" s="0" t="s">
        <v>141</v>
      </c>
      <c r="AZ1987" s="0" t="s">
        <v>130</v>
      </c>
      <c r="BA1987" s="0" t="s">
        <v>130</v>
      </c>
      <c r="BB1987" s="0" t="s">
        <v>130</v>
      </c>
      <c r="BC1987" s="0" t="s">
        <v>141</v>
      </c>
      <c r="BD1987" s="0" t="s">
        <v>130</v>
      </c>
      <c r="BE1987" s="0" t="s">
        <v>130</v>
      </c>
      <c r="BF1987" s="0" t="s">
        <v>130</v>
      </c>
      <c r="BG1987" s="0" t="s">
        <v>130</v>
      </c>
      <c r="BH1987" s="0" t="s">
        <v>141</v>
      </c>
      <c r="BI1987" s="0" t="s">
        <v>141</v>
      </c>
      <c r="BJ1987" s="0" t="s">
        <v>141</v>
      </c>
      <c r="BK1987" s="0" t="s">
        <v>130</v>
      </c>
      <c r="BL1987" s="0" t="s">
        <v>130</v>
      </c>
      <c r="BM1987" s="0" t="s">
        <v>130</v>
      </c>
      <c r="BN1987" s="0" t="s">
        <v>130</v>
      </c>
      <c r="BO1987" s="0" t="s">
        <v>130</v>
      </c>
      <c r="BP1987" s="0" t="s">
        <v>130</v>
      </c>
      <c r="BQ1987" s="0" t="s">
        <v>130</v>
      </c>
      <c r="BR1987" s="0" t="s">
        <v>130</v>
      </c>
      <c r="BS1987" s="0" t="s">
        <v>130</v>
      </c>
      <c r="BT1987" s="0" t="s">
        <v>130</v>
      </c>
      <c r="BU1987" s="0" t="s">
        <v>130</v>
      </c>
      <c r="BV1987" s="0" t="s">
        <v>141</v>
      </c>
      <c r="BW1987" s="0" t="s">
        <v>141</v>
      </c>
      <c r="BX1987" s="0" t="s">
        <v>130</v>
      </c>
      <c r="BY1987" s="0" t="s">
        <v>130</v>
      </c>
      <c r="BZ1987" s="0" t="s">
        <v>130</v>
      </c>
      <c r="CA1987" s="0" t="s">
        <v>130</v>
      </c>
      <c r="CB1987" s="0" t="s">
        <v>130</v>
      </c>
      <c r="CC1987" s="0" t="s">
        <v>130</v>
      </c>
      <c r="CD1987" s="0" t="s">
        <v>130</v>
      </c>
      <c r="CE1987" s="0" t="s">
        <v>130</v>
      </c>
      <c r="CF1987" s="0" t="s">
        <v>130</v>
      </c>
      <c r="CG1987" s="0" t="s">
        <v>130</v>
      </c>
      <c r="CH1987" s="0" t="s">
        <v>130</v>
      </c>
      <c r="CI1987" s="0" t="s">
        <v>130</v>
      </c>
      <c r="CJ1987" s="0" t="s">
        <v>130</v>
      </c>
      <c r="CK1987" s="0" t="s">
        <v>130</v>
      </c>
      <c r="CL1987" s="0" t="s">
        <v>130</v>
      </c>
      <c r="CM1987" s="0" t="s">
        <v>130</v>
      </c>
      <c r="CN1987" s="0" t="s">
        <v>130</v>
      </c>
      <c r="CO1987" s="0" t="s">
        <v>130</v>
      </c>
      <c r="CP1987" s="0" t="s">
        <v>130</v>
      </c>
      <c r="CQ1987" s="0" t="s">
        <v>130</v>
      </c>
      <c r="CR1987" s="0" t="s">
        <v>130</v>
      </c>
      <c r="CS1987" s="0" t="s">
        <v>130</v>
      </c>
      <c r="CT1987" s="0" t="s">
        <v>5592</v>
      </c>
    </row>
    <row r="1988">
      <c r="A1988" s="14">
        <v>46946968</v>
      </c>
      <c r="B1988" s="0" t="s">
        <v>4663</v>
      </c>
      <c r="C1988" s="16">
        <f>HYPERLINK("https://eosportal.federatedhermes.com/companies/Q29tcGFueQppNTE1MjI=", "Alphabet Inc")</f>
      </c>
      <c r="D1988" s="0" t="s">
        <v>23</v>
      </c>
      <c r="E1988" s="0" t="s">
        <v>5593</v>
      </c>
      <c r="F1988" s="16">
        <f>HYPERLINK("https://eosportal.federatedhermes.com/engagements/RW5nYWdlbWVudAppMzE4MDk=", "Financial Impacts of Children")</f>
      </c>
      <c r="G1988" s="14" t="s">
        <v>5594</v>
      </c>
      <c r="H1988" s="0" t="s">
        <v>141</v>
      </c>
      <c r="I1988" s="14" t="s">
        <v>191</v>
      </c>
      <c r="J1988" s="0" t="s">
        <v>153</v>
      </c>
      <c r="K1988" s="0" t="s">
        <v>243</v>
      </c>
      <c r="L1988" s="0" t="s">
        <v>537</v>
      </c>
      <c r="M1988" s="0" t="s">
        <v>135</v>
      </c>
      <c r="N1988" s="0" t="s">
        <v>136</v>
      </c>
      <c r="O1988" s="0" t="s">
        <v>137</v>
      </c>
      <c r="Q1988" s="0" t="s">
        <v>141</v>
      </c>
      <c r="R1988" s="0" t="s">
        <v>130</v>
      </c>
      <c r="S1988" s="14">
        <v>1</v>
      </c>
      <c r="T1988" s="0" t="s">
        <v>597</v>
      </c>
      <c r="U1988" s="0" t="s">
        <v>221</v>
      </c>
      <c r="V1988" s="14" t="s">
        <v>597</v>
      </c>
      <c r="W1988" s="0" t="s">
        <v>221</v>
      </c>
      <c r="X1988" s="14" t="s">
        <v>478</v>
      </c>
      <c r="Y1988" s="0" t="s">
        <v>221</v>
      </c>
      <c r="Z1988" s="14" t="s">
        <v>3265</v>
      </c>
      <c r="AA1988" s="0" t="s">
        <v>223</v>
      </c>
      <c r="AB1988" s="14" t="s">
        <v>138</v>
      </c>
      <c r="AD1988" s="0" t="s">
        <v>20</v>
      </c>
      <c r="AF1988" s="0">
        <v>0</v>
      </c>
      <c r="AG1988" s="0">
        <v>0</v>
      </c>
      <c r="AH1988" s="0" t="s">
        <v>140</v>
      </c>
      <c r="AI1988" s="0" t="s">
        <v>479</v>
      </c>
      <c r="AK1988" s="0" t="s">
        <v>4274</v>
      </c>
      <c r="AL1988" s="14"/>
      <c r="AN1988" s="14"/>
      <c r="AQ1988" s="0" t="s">
        <v>130</v>
      </c>
      <c r="AR1988" s="0" t="s">
        <v>130</v>
      </c>
      <c r="AS1988" s="0" t="s">
        <v>130</v>
      </c>
      <c r="AT1988" s="0" t="s">
        <v>130</v>
      </c>
      <c r="AU1988" s="0" t="s">
        <v>130</v>
      </c>
      <c r="AV1988" s="0" t="s">
        <v>130</v>
      </c>
      <c r="AW1988" s="0" t="s">
        <v>130</v>
      </c>
      <c r="AX1988" s="0" t="s">
        <v>130</v>
      </c>
      <c r="AY1988" s="0" t="s">
        <v>130</v>
      </c>
      <c r="AZ1988" s="0" t="s">
        <v>130</v>
      </c>
      <c r="BA1988" s="0" t="s">
        <v>130</v>
      </c>
      <c r="BB1988" s="0" t="s">
        <v>141</v>
      </c>
      <c r="BC1988" s="0" t="s">
        <v>130</v>
      </c>
      <c r="BD1988" s="0" t="s">
        <v>130</v>
      </c>
      <c r="BE1988" s="0" t="s">
        <v>130</v>
      </c>
      <c r="BF1988" s="0" t="s">
        <v>141</v>
      </c>
      <c r="BG1988" s="0" t="s">
        <v>130</v>
      </c>
      <c r="BH1988" s="0" t="s">
        <v>130</v>
      </c>
      <c r="BI1988" s="0" t="s">
        <v>130</v>
      </c>
      <c r="BJ1988" s="0" t="s">
        <v>130</v>
      </c>
      <c r="BK1988" s="0" t="s">
        <v>130</v>
      </c>
      <c r="BL1988" s="0" t="s">
        <v>130</v>
      </c>
      <c r="BM1988" s="0" t="s">
        <v>130</v>
      </c>
      <c r="BN1988" s="0" t="s">
        <v>130</v>
      </c>
      <c r="BO1988" s="0" t="s">
        <v>130</v>
      </c>
      <c r="BP1988" s="0" t="s">
        <v>130</v>
      </c>
      <c r="BQ1988" s="0" t="s">
        <v>130</v>
      </c>
      <c r="BR1988" s="0" t="s">
        <v>130</v>
      </c>
      <c r="BS1988" s="0" t="s">
        <v>130</v>
      </c>
      <c r="BT1988" s="0" t="s">
        <v>130</v>
      </c>
      <c r="BU1988" s="0" t="s">
        <v>130</v>
      </c>
      <c r="BV1988" s="0" t="s">
        <v>130</v>
      </c>
      <c r="BW1988" s="0" t="s">
        <v>130</v>
      </c>
      <c r="BX1988" s="0" t="s">
        <v>130</v>
      </c>
      <c r="BY1988" s="0" t="s">
        <v>130</v>
      </c>
      <c r="BZ1988" s="0" t="s">
        <v>130</v>
      </c>
      <c r="CA1988" s="0" t="s">
        <v>130</v>
      </c>
      <c r="CB1988" s="0" t="s">
        <v>130</v>
      </c>
      <c r="CC1988" s="0" t="s">
        <v>130</v>
      </c>
      <c r="CD1988" s="0" t="s">
        <v>130</v>
      </c>
      <c r="CE1988" s="0" t="s">
        <v>130</v>
      </c>
      <c r="CF1988" s="0" t="s">
        <v>130</v>
      </c>
      <c r="CG1988" s="0" t="s">
        <v>130</v>
      </c>
      <c r="CH1988" s="0" t="s">
        <v>130</v>
      </c>
      <c r="CI1988" s="0" t="s">
        <v>130</v>
      </c>
      <c r="CJ1988" s="0" t="s">
        <v>130</v>
      </c>
      <c r="CK1988" s="0" t="s">
        <v>130</v>
      </c>
      <c r="CL1988" s="0" t="s">
        <v>130</v>
      </c>
      <c r="CM1988" s="0" t="s">
        <v>130</v>
      </c>
      <c r="CN1988" s="0" t="s">
        <v>130</v>
      </c>
      <c r="CO1988" s="0" t="s">
        <v>130</v>
      </c>
      <c r="CP1988" s="0" t="s">
        <v>130</v>
      </c>
      <c r="CQ1988" s="0" t="s">
        <v>130</v>
      </c>
      <c r="CR1988" s="0" t="s">
        <v>130</v>
      </c>
      <c r="CS1988" s="0" t="s">
        <v>130</v>
      </c>
      <c r="CT1988" s="0" t="s">
        <v>5595</v>
      </c>
    </row>
    <row r="1989">
      <c r="A1989" s="14">
        <v>41633927</v>
      </c>
      <c r="B1989" s="0" t="s">
        <v>4569</v>
      </c>
      <c r="C1989" s="16">
        <f>HYPERLINK("https://eosportal.federatedhermes.com/companies/Q29tcGFueQppNTIxODI=", "Stellantis NV")</f>
      </c>
      <c r="D1989" s="0" t="s">
        <v>23</v>
      </c>
      <c r="E1989" s="0" t="s">
        <v>1147</v>
      </c>
      <c r="F1989" s="16">
        <f>HYPERLINK("https://eosportal.federatedhermes.com/engagements/RW5nYWdlbWVudAppMzE4MTI=", "Climate resilient strategy - enhanced scope")</f>
      </c>
      <c r="G1989" s="14" t="s">
        <v>5596</v>
      </c>
      <c r="H1989" s="0" t="s">
        <v>141</v>
      </c>
      <c r="I1989" s="14" t="s">
        <v>1645</v>
      </c>
      <c r="J1989" s="0" t="s">
        <v>197</v>
      </c>
      <c r="K1989" s="0" t="s">
        <v>198</v>
      </c>
      <c r="L1989" s="0" t="s">
        <v>220</v>
      </c>
      <c r="M1989" s="0" t="s">
        <v>378</v>
      </c>
      <c r="N1989" s="0" t="s">
        <v>2554</v>
      </c>
      <c r="O1989" s="0" t="s">
        <v>425</v>
      </c>
      <c r="Q1989" s="0" t="s">
        <v>141</v>
      </c>
      <c r="R1989" s="0" t="s">
        <v>130</v>
      </c>
      <c r="S1989" s="14">
        <v>1</v>
      </c>
      <c r="T1989" s="0" t="s">
        <v>2629</v>
      </c>
      <c r="U1989" s="0" t="s">
        <v>221</v>
      </c>
      <c r="V1989" s="14" t="s">
        <v>2629</v>
      </c>
      <c r="W1989" s="0" t="s">
        <v>221</v>
      </c>
      <c r="X1989" s="14" t="s">
        <v>360</v>
      </c>
      <c r="Y1989" s="0" t="s">
        <v>223</v>
      </c>
      <c r="Z1989" s="14" t="s">
        <v>138</v>
      </c>
      <c r="AA1989" s="0" t="s">
        <v>224</v>
      </c>
      <c r="AB1989" s="14" t="s">
        <v>138</v>
      </c>
      <c r="AD1989" s="0" t="s">
        <v>17</v>
      </c>
      <c r="AF1989" s="0">
        <v>0</v>
      </c>
      <c r="AG1989" s="0">
        <v>0</v>
      </c>
      <c r="AH1989" s="0" t="s">
        <v>140</v>
      </c>
      <c r="AI1989" s="0" t="s">
        <v>479</v>
      </c>
      <c r="AK1989" s="0" t="s">
        <v>2044</v>
      </c>
      <c r="AL1989" s="14"/>
      <c r="AN1989" s="14"/>
      <c r="AQ1989" s="0" t="s">
        <v>130</v>
      </c>
      <c r="AR1989" s="0" t="s">
        <v>130</v>
      </c>
      <c r="AS1989" s="0" t="s">
        <v>130</v>
      </c>
      <c r="AT1989" s="0" t="s">
        <v>130</v>
      </c>
      <c r="AU1989" s="0" t="s">
        <v>130</v>
      </c>
      <c r="AV1989" s="0" t="s">
        <v>130</v>
      </c>
      <c r="AW1989" s="0" t="s">
        <v>141</v>
      </c>
      <c r="AX1989" s="0" t="s">
        <v>130</v>
      </c>
      <c r="AY1989" s="0" t="s">
        <v>141</v>
      </c>
      <c r="AZ1989" s="0" t="s">
        <v>130</v>
      </c>
      <c r="BA1989" s="0" t="s">
        <v>130</v>
      </c>
      <c r="BB1989" s="0" t="s">
        <v>130</v>
      </c>
      <c r="BC1989" s="0" t="s">
        <v>141</v>
      </c>
      <c r="BD1989" s="0" t="s">
        <v>130</v>
      </c>
      <c r="BE1989" s="0" t="s">
        <v>130</v>
      </c>
      <c r="BF1989" s="0" t="s">
        <v>130</v>
      </c>
      <c r="BG1989" s="0" t="s">
        <v>130</v>
      </c>
      <c r="BH1989" s="0" t="s">
        <v>141</v>
      </c>
      <c r="BI1989" s="0" t="s">
        <v>141</v>
      </c>
      <c r="BJ1989" s="0" t="s">
        <v>141</v>
      </c>
      <c r="BK1989" s="0" t="s">
        <v>130</v>
      </c>
      <c r="BL1989" s="0" t="s">
        <v>130</v>
      </c>
      <c r="BM1989" s="0" t="s">
        <v>130</v>
      </c>
      <c r="BN1989" s="0" t="s">
        <v>130</v>
      </c>
      <c r="BO1989" s="0" t="s">
        <v>130</v>
      </c>
      <c r="BP1989" s="0" t="s">
        <v>130</v>
      </c>
      <c r="BQ1989" s="0" t="s">
        <v>130</v>
      </c>
      <c r="BR1989" s="0" t="s">
        <v>130</v>
      </c>
      <c r="BS1989" s="0" t="s">
        <v>130</v>
      </c>
      <c r="BT1989" s="0" t="s">
        <v>130</v>
      </c>
      <c r="BU1989" s="0" t="s">
        <v>130</v>
      </c>
      <c r="BV1989" s="0" t="s">
        <v>141</v>
      </c>
      <c r="BW1989" s="0" t="s">
        <v>141</v>
      </c>
      <c r="BX1989" s="0" t="s">
        <v>130</v>
      </c>
      <c r="BY1989" s="0" t="s">
        <v>130</v>
      </c>
      <c r="BZ1989" s="0" t="s">
        <v>130</v>
      </c>
      <c r="CA1989" s="0" t="s">
        <v>130</v>
      </c>
      <c r="CB1989" s="0" t="s">
        <v>130</v>
      </c>
      <c r="CC1989" s="0" t="s">
        <v>130</v>
      </c>
      <c r="CD1989" s="0" t="s">
        <v>130</v>
      </c>
      <c r="CE1989" s="0" t="s">
        <v>130</v>
      </c>
      <c r="CF1989" s="0" t="s">
        <v>130</v>
      </c>
      <c r="CG1989" s="0" t="s">
        <v>130</v>
      </c>
      <c r="CH1989" s="0" t="s">
        <v>130</v>
      </c>
      <c r="CI1989" s="0" t="s">
        <v>130</v>
      </c>
      <c r="CJ1989" s="0" t="s">
        <v>130</v>
      </c>
      <c r="CK1989" s="0" t="s">
        <v>130</v>
      </c>
      <c r="CL1989" s="0" t="s">
        <v>130</v>
      </c>
      <c r="CM1989" s="0" t="s">
        <v>130</v>
      </c>
      <c r="CN1989" s="0" t="s">
        <v>130</v>
      </c>
      <c r="CO1989" s="0" t="s">
        <v>130</v>
      </c>
      <c r="CP1989" s="0" t="s">
        <v>130</v>
      </c>
      <c r="CQ1989" s="0" t="s">
        <v>130</v>
      </c>
      <c r="CR1989" s="0" t="s">
        <v>130</v>
      </c>
      <c r="CS1989" s="0" t="s">
        <v>130</v>
      </c>
      <c r="CT1989" s="0" t="s">
        <v>5597</v>
      </c>
    </row>
    <row r="1990">
      <c r="A1990" s="14">
        <v>100602</v>
      </c>
      <c r="B1990" s="0" t="s">
        <v>827</v>
      </c>
      <c r="C1990" s="16">
        <f>HYPERLINK("https://eosportal.federatedhermes.com/companies/Q29tcGFueQppNTQxNzY=", "Ford Motor Co")</f>
      </c>
      <c r="D1990" s="0" t="s">
        <v>23</v>
      </c>
      <c r="E1990" s="0" t="s">
        <v>684</v>
      </c>
      <c r="F1990" s="16">
        <f>HYPERLINK("https://eosportal.federatedhermes.com/engagements/RW5nYWdlbWVudAppMzE4MjM=", "Just transition for employees and the community")</f>
      </c>
      <c r="G1990" s="14" t="s">
        <v>685</v>
      </c>
      <c r="H1990" s="0" t="s">
        <v>141</v>
      </c>
      <c r="I1990" s="14" t="s">
        <v>191</v>
      </c>
      <c r="J1990" s="0" t="s">
        <v>197</v>
      </c>
      <c r="K1990" s="0" t="s">
        <v>198</v>
      </c>
      <c r="L1990" s="0" t="s">
        <v>199</v>
      </c>
      <c r="M1990" s="0" t="s">
        <v>135</v>
      </c>
      <c r="N1990" s="0" t="s">
        <v>136</v>
      </c>
      <c r="O1990" s="0" t="s">
        <v>425</v>
      </c>
      <c r="Q1990" s="0" t="s">
        <v>141</v>
      </c>
      <c r="R1990" s="0" t="s">
        <v>130</v>
      </c>
      <c r="S1990" s="14">
        <v>1</v>
      </c>
      <c r="T1990" s="0" t="s">
        <v>478</v>
      </c>
      <c r="U1990" s="0" t="s">
        <v>221</v>
      </c>
      <c r="V1990" s="14" t="s">
        <v>478</v>
      </c>
      <c r="W1990" s="0" t="s">
        <v>221</v>
      </c>
      <c r="X1990" s="14" t="s">
        <v>446</v>
      </c>
      <c r="Y1990" s="0" t="s">
        <v>223</v>
      </c>
      <c r="Z1990" s="14" t="s">
        <v>138</v>
      </c>
      <c r="AA1990" s="0" t="s">
        <v>224</v>
      </c>
      <c r="AB1990" s="14" t="s">
        <v>138</v>
      </c>
      <c r="AD1990" s="0" t="s">
        <v>17</v>
      </c>
      <c r="AF1990" s="0">
        <v>0</v>
      </c>
      <c r="AG1990" s="0">
        <v>0</v>
      </c>
      <c r="AH1990" s="0" t="s">
        <v>140</v>
      </c>
      <c r="AI1990" s="0" t="s">
        <v>479</v>
      </c>
      <c r="AK1990" s="0" t="s">
        <v>847</v>
      </c>
      <c r="AL1990" s="14"/>
      <c r="AN1990" s="14"/>
      <c r="AQ1990" s="0" t="s">
        <v>130</v>
      </c>
      <c r="AR1990" s="0" t="s">
        <v>130</v>
      </c>
      <c r="AS1990" s="0" t="s">
        <v>130</v>
      </c>
      <c r="AT1990" s="0" t="s">
        <v>130</v>
      </c>
      <c r="AU1990" s="0" t="s">
        <v>130</v>
      </c>
      <c r="AV1990" s="0" t="s">
        <v>130</v>
      </c>
      <c r="AW1990" s="0" t="s">
        <v>130</v>
      </c>
      <c r="AX1990" s="0" t="s">
        <v>130</v>
      </c>
      <c r="AY1990" s="0" t="s">
        <v>130</v>
      </c>
      <c r="AZ1990" s="0" t="s">
        <v>130</v>
      </c>
      <c r="BA1990" s="0" t="s">
        <v>130</v>
      </c>
      <c r="BB1990" s="0" t="s">
        <v>141</v>
      </c>
      <c r="BC1990" s="0" t="s">
        <v>130</v>
      </c>
      <c r="BD1990" s="0" t="s">
        <v>130</v>
      </c>
      <c r="BE1990" s="0" t="s">
        <v>130</v>
      </c>
      <c r="BF1990" s="0" t="s">
        <v>130</v>
      </c>
      <c r="BG1990" s="0" t="s">
        <v>130</v>
      </c>
      <c r="BH1990" s="0" t="s">
        <v>130</v>
      </c>
      <c r="BI1990" s="0" t="s">
        <v>130</v>
      </c>
      <c r="BJ1990" s="0" t="s">
        <v>130</v>
      </c>
      <c r="BK1990" s="0" t="s">
        <v>130</v>
      </c>
      <c r="BL1990" s="0" t="s">
        <v>130</v>
      </c>
      <c r="BM1990" s="0" t="s">
        <v>130</v>
      </c>
      <c r="BN1990" s="0" t="s">
        <v>130</v>
      </c>
      <c r="BO1990" s="0" t="s">
        <v>130</v>
      </c>
      <c r="BP1990" s="0" t="s">
        <v>130</v>
      </c>
      <c r="BQ1990" s="0" t="s">
        <v>130</v>
      </c>
      <c r="BR1990" s="0" t="s">
        <v>130</v>
      </c>
      <c r="BS1990" s="0" t="s">
        <v>130</v>
      </c>
      <c r="BT1990" s="0" t="s">
        <v>130</v>
      </c>
      <c r="BU1990" s="0" t="s">
        <v>130</v>
      </c>
      <c r="BV1990" s="0" t="s">
        <v>130</v>
      </c>
      <c r="BW1990" s="0" t="s">
        <v>130</v>
      </c>
      <c r="BX1990" s="0" t="s">
        <v>130</v>
      </c>
      <c r="BY1990" s="0" t="s">
        <v>130</v>
      </c>
      <c r="BZ1990" s="0" t="s">
        <v>130</v>
      </c>
      <c r="CA1990" s="0" t="s">
        <v>130</v>
      </c>
      <c r="CB1990" s="0" t="s">
        <v>130</v>
      </c>
      <c r="CC1990" s="0" t="s">
        <v>130</v>
      </c>
      <c r="CD1990" s="0" t="s">
        <v>130</v>
      </c>
      <c r="CE1990" s="0" t="s">
        <v>130</v>
      </c>
      <c r="CF1990" s="0" t="s">
        <v>130</v>
      </c>
      <c r="CG1990" s="0" t="s">
        <v>130</v>
      </c>
      <c r="CH1990" s="0" t="s">
        <v>130</v>
      </c>
      <c r="CI1990" s="0" t="s">
        <v>130</v>
      </c>
      <c r="CJ1990" s="0" t="s">
        <v>130</v>
      </c>
      <c r="CK1990" s="0" t="s">
        <v>141</v>
      </c>
      <c r="CL1990" s="0" t="s">
        <v>130</v>
      </c>
      <c r="CM1990" s="0" t="s">
        <v>130</v>
      </c>
      <c r="CN1990" s="0" t="s">
        <v>130</v>
      </c>
      <c r="CO1990" s="0" t="s">
        <v>130</v>
      </c>
      <c r="CP1990" s="0" t="s">
        <v>130</v>
      </c>
      <c r="CQ1990" s="0" t="s">
        <v>130</v>
      </c>
      <c r="CR1990" s="0" t="s">
        <v>130</v>
      </c>
      <c r="CS1990" s="0" t="s">
        <v>130</v>
      </c>
      <c r="CT1990" s="0" t="s">
        <v>5598</v>
      </c>
    </row>
    <row r="1991">
      <c r="A1991" s="14">
        <v>115757</v>
      </c>
      <c r="B1991" s="0" t="s">
        <v>2655</v>
      </c>
      <c r="C1991" s="16">
        <f>HYPERLINK("https://eosportal.federatedhermes.com/companies/Q29tcGFueQppNTg5Mjc=", "Volkswagen AG")</f>
      </c>
      <c r="D1991" s="0" t="s">
        <v>23</v>
      </c>
      <c r="E1991" s="0" t="s">
        <v>5432</v>
      </c>
      <c r="F1991" s="16">
        <f>HYPERLINK("https://eosportal.federatedhermes.com/engagements/RW5nYWdlbWVudAppMzE4NDY=", "1.5°C aligned Scope 3 target")</f>
      </c>
      <c r="G1991" s="14" t="s">
        <v>5599</v>
      </c>
      <c r="H1991" s="0" t="s">
        <v>141</v>
      </c>
      <c r="I1991" s="14" t="s">
        <v>1645</v>
      </c>
      <c r="J1991" s="0" t="s">
        <v>197</v>
      </c>
      <c r="K1991" s="0" t="s">
        <v>198</v>
      </c>
      <c r="L1991" s="0" t="s">
        <v>216</v>
      </c>
      <c r="M1991" s="0" t="s">
        <v>378</v>
      </c>
      <c r="N1991" s="0" t="s">
        <v>2485</v>
      </c>
      <c r="O1991" s="0" t="s">
        <v>425</v>
      </c>
      <c r="Q1991" s="0" t="s">
        <v>141</v>
      </c>
      <c r="R1991" s="0" t="s">
        <v>130</v>
      </c>
      <c r="S1991" s="14">
        <v>1</v>
      </c>
      <c r="T1991" s="0" t="s">
        <v>2629</v>
      </c>
      <c r="U1991" s="0" t="s">
        <v>221</v>
      </c>
      <c r="V1991" s="14" t="s">
        <v>2629</v>
      </c>
      <c r="W1991" s="0" t="s">
        <v>221</v>
      </c>
      <c r="X1991" s="14" t="s">
        <v>2629</v>
      </c>
      <c r="Y1991" s="0" t="s">
        <v>223</v>
      </c>
      <c r="Z1991" s="14" t="s">
        <v>138</v>
      </c>
      <c r="AA1991" s="0" t="s">
        <v>224</v>
      </c>
      <c r="AB1991" s="14" t="s">
        <v>138</v>
      </c>
      <c r="AD1991" s="0" t="s">
        <v>17</v>
      </c>
      <c r="AF1991" s="0">
        <v>0</v>
      </c>
      <c r="AG1991" s="0">
        <v>0</v>
      </c>
      <c r="AH1991" s="0" t="s">
        <v>140</v>
      </c>
      <c r="AI1991" s="0" t="s">
        <v>479</v>
      </c>
      <c r="AK1991" s="0" t="s">
        <v>413</v>
      </c>
      <c r="AL1991" s="14"/>
      <c r="AN1991" s="14"/>
      <c r="AQ1991" s="0" t="s">
        <v>130</v>
      </c>
      <c r="AR1991" s="0" t="s">
        <v>130</v>
      </c>
      <c r="AS1991" s="0" t="s">
        <v>130</v>
      </c>
      <c r="AT1991" s="0" t="s">
        <v>130</v>
      </c>
      <c r="AU1991" s="0" t="s">
        <v>130</v>
      </c>
      <c r="AV1991" s="0" t="s">
        <v>130</v>
      </c>
      <c r="AW1991" s="0" t="s">
        <v>141</v>
      </c>
      <c r="AX1991" s="0" t="s">
        <v>130</v>
      </c>
      <c r="AY1991" s="0" t="s">
        <v>130</v>
      </c>
      <c r="AZ1991" s="0" t="s">
        <v>130</v>
      </c>
      <c r="BA1991" s="0" t="s">
        <v>130</v>
      </c>
      <c r="BB1991" s="0" t="s">
        <v>130</v>
      </c>
      <c r="BC1991" s="0" t="s">
        <v>141</v>
      </c>
      <c r="BD1991" s="0" t="s">
        <v>130</v>
      </c>
      <c r="BE1991" s="0" t="s">
        <v>130</v>
      </c>
      <c r="BF1991" s="0" t="s">
        <v>130</v>
      </c>
      <c r="BG1991" s="0" t="s">
        <v>130</v>
      </c>
      <c r="BH1991" s="0" t="s">
        <v>141</v>
      </c>
      <c r="BI1991" s="0" t="s">
        <v>141</v>
      </c>
      <c r="BJ1991" s="0" t="s">
        <v>141</v>
      </c>
      <c r="BK1991" s="0" t="s">
        <v>130</v>
      </c>
      <c r="BL1991" s="0" t="s">
        <v>130</v>
      </c>
      <c r="BM1991" s="0" t="s">
        <v>130</v>
      </c>
      <c r="BN1991" s="0" t="s">
        <v>130</v>
      </c>
      <c r="BO1991" s="0" t="s">
        <v>130</v>
      </c>
      <c r="BP1991" s="0" t="s">
        <v>130</v>
      </c>
      <c r="BQ1991" s="0" t="s">
        <v>130</v>
      </c>
      <c r="BR1991" s="0" t="s">
        <v>130</v>
      </c>
      <c r="BS1991" s="0" t="s">
        <v>130</v>
      </c>
      <c r="BT1991" s="0" t="s">
        <v>130</v>
      </c>
      <c r="BU1991" s="0" t="s">
        <v>130</v>
      </c>
      <c r="BV1991" s="0" t="s">
        <v>141</v>
      </c>
      <c r="BW1991" s="0" t="s">
        <v>141</v>
      </c>
      <c r="BX1991" s="0" t="s">
        <v>130</v>
      </c>
      <c r="BY1991" s="0" t="s">
        <v>130</v>
      </c>
      <c r="BZ1991" s="0" t="s">
        <v>130</v>
      </c>
      <c r="CA1991" s="0" t="s">
        <v>130</v>
      </c>
      <c r="CB1991" s="0" t="s">
        <v>130</v>
      </c>
      <c r="CC1991" s="0" t="s">
        <v>130</v>
      </c>
      <c r="CD1991" s="0" t="s">
        <v>130</v>
      </c>
      <c r="CE1991" s="0" t="s">
        <v>130</v>
      </c>
      <c r="CF1991" s="0" t="s">
        <v>130</v>
      </c>
      <c r="CG1991" s="0" t="s">
        <v>130</v>
      </c>
      <c r="CH1991" s="0" t="s">
        <v>130</v>
      </c>
      <c r="CI1991" s="0" t="s">
        <v>130</v>
      </c>
      <c r="CJ1991" s="0" t="s">
        <v>130</v>
      </c>
      <c r="CK1991" s="0" t="s">
        <v>130</v>
      </c>
      <c r="CL1991" s="0" t="s">
        <v>130</v>
      </c>
      <c r="CM1991" s="0" t="s">
        <v>130</v>
      </c>
      <c r="CN1991" s="0" t="s">
        <v>130</v>
      </c>
      <c r="CO1991" s="0" t="s">
        <v>130</v>
      </c>
      <c r="CP1991" s="0" t="s">
        <v>130</v>
      </c>
      <c r="CQ1991" s="0" t="s">
        <v>130</v>
      </c>
      <c r="CR1991" s="0" t="s">
        <v>130</v>
      </c>
      <c r="CS1991" s="0" t="s">
        <v>130</v>
      </c>
      <c r="CT1991" s="0" t="s">
        <v>5600</v>
      </c>
    </row>
    <row r="1992">
      <c r="A1992" s="14">
        <v>28399721</v>
      </c>
      <c r="B1992" s="0" t="s">
        <v>4350</v>
      </c>
      <c r="C1992" s="16">
        <f>HYPERLINK("https://eosportal.federatedhermes.com/companies/Q29tcGFueQppNTg5ODY=", "Phillips 66")</f>
      </c>
      <c r="D1992" s="0" t="s">
        <v>23</v>
      </c>
      <c r="E1992" s="0" t="s">
        <v>5601</v>
      </c>
      <c r="F1992" s="16">
        <f>HYPERLINK("https://eosportal.federatedhermes.com/engagements/RW5nYWdlbWVudAppMzE4NTk=", "Human Rights Impact Assessment and Due Diligence")</f>
      </c>
      <c r="G1992" s="14" t="s">
        <v>5602</v>
      </c>
      <c r="H1992" s="0" t="s">
        <v>141</v>
      </c>
      <c r="I1992" s="14" t="s">
        <v>191</v>
      </c>
      <c r="J1992" s="0" t="s">
        <v>153</v>
      </c>
      <c r="K1992" s="0" t="s">
        <v>243</v>
      </c>
      <c r="L1992" s="0" t="s">
        <v>571</v>
      </c>
      <c r="M1992" s="0" t="s">
        <v>135</v>
      </c>
      <c r="N1992" s="0" t="s">
        <v>136</v>
      </c>
      <c r="O1992" s="0" t="s">
        <v>542</v>
      </c>
      <c r="Q1992" s="0" t="s">
        <v>130</v>
      </c>
      <c r="R1992" s="0" t="s">
        <v>130</v>
      </c>
      <c r="S1992" s="14">
        <v>0</v>
      </c>
      <c r="T1992" s="0" t="s">
        <v>478</v>
      </c>
      <c r="U1992" s="0" t="s">
        <v>221</v>
      </c>
      <c r="V1992" s="14" t="s">
        <v>478</v>
      </c>
      <c r="W1992" s="0" t="s">
        <v>221</v>
      </c>
      <c r="X1992" s="14" t="s">
        <v>478</v>
      </c>
      <c r="Y1992" s="0" t="s">
        <v>221</v>
      </c>
      <c r="Z1992" s="14" t="s">
        <v>2428</v>
      </c>
      <c r="AA1992" s="0" t="s">
        <v>223</v>
      </c>
      <c r="AB1992" s="14" t="s">
        <v>138</v>
      </c>
      <c r="AD1992" s="0" t="s">
        <v>20</v>
      </c>
      <c r="AF1992" s="0">
        <v>0</v>
      </c>
      <c r="AG1992" s="0">
        <v>0</v>
      </c>
      <c r="AH1992" s="0" t="s">
        <v>140</v>
      </c>
      <c r="AI1992" s="0" t="s">
        <v>598</v>
      </c>
      <c r="AL1992" s="14"/>
      <c r="AN1992" s="14"/>
      <c r="AQ1992" s="0" t="s">
        <v>130</v>
      </c>
      <c r="AR1992" s="0" t="s">
        <v>130</v>
      </c>
      <c r="AS1992" s="0" t="s">
        <v>130</v>
      </c>
      <c r="AT1992" s="0" t="s">
        <v>130</v>
      </c>
      <c r="AU1992" s="0" t="s">
        <v>130</v>
      </c>
      <c r="AV1992" s="0" t="s">
        <v>130</v>
      </c>
      <c r="AW1992" s="0" t="s">
        <v>130</v>
      </c>
      <c r="AX1992" s="0" t="s">
        <v>130</v>
      </c>
      <c r="AY1992" s="0" t="s">
        <v>130</v>
      </c>
      <c r="AZ1992" s="0" t="s">
        <v>141</v>
      </c>
      <c r="BA1992" s="0" t="s">
        <v>141</v>
      </c>
      <c r="BB1992" s="0" t="s">
        <v>130</v>
      </c>
      <c r="BC1992" s="0" t="s">
        <v>130</v>
      </c>
      <c r="BD1992" s="0" t="s">
        <v>130</v>
      </c>
      <c r="BE1992" s="0" t="s">
        <v>130</v>
      </c>
      <c r="BF1992" s="0" t="s">
        <v>141</v>
      </c>
      <c r="BG1992" s="0" t="s">
        <v>130</v>
      </c>
      <c r="BH1992" s="0" t="s">
        <v>130</v>
      </c>
      <c r="BI1992" s="0" t="s">
        <v>130</v>
      </c>
      <c r="BJ1992" s="0" t="s">
        <v>130</v>
      </c>
      <c r="BK1992" s="0" t="s">
        <v>130</v>
      </c>
      <c r="BL1992" s="0" t="s">
        <v>130</v>
      </c>
      <c r="BM1992" s="0" t="s">
        <v>130</v>
      </c>
      <c r="BN1992" s="0" t="s">
        <v>130</v>
      </c>
      <c r="BO1992" s="0" t="s">
        <v>130</v>
      </c>
      <c r="BP1992" s="0" t="s">
        <v>130</v>
      </c>
      <c r="BQ1992" s="0" t="s">
        <v>130</v>
      </c>
      <c r="BR1992" s="0" t="s">
        <v>130</v>
      </c>
      <c r="BS1992" s="0" t="s">
        <v>130</v>
      </c>
      <c r="BT1992" s="0" t="s">
        <v>130</v>
      </c>
      <c r="BU1992" s="0" t="s">
        <v>130</v>
      </c>
      <c r="BV1992" s="0" t="s">
        <v>130</v>
      </c>
      <c r="BW1992" s="0" t="s">
        <v>130</v>
      </c>
      <c r="BX1992" s="0" t="s">
        <v>130</v>
      </c>
      <c r="BY1992" s="0" t="s">
        <v>130</v>
      </c>
      <c r="BZ1992" s="0" t="s">
        <v>130</v>
      </c>
      <c r="CA1992" s="0" t="s">
        <v>130</v>
      </c>
      <c r="CB1992" s="0" t="s">
        <v>130</v>
      </c>
      <c r="CC1992" s="0" t="s">
        <v>130</v>
      </c>
      <c r="CD1992" s="0" t="s">
        <v>130</v>
      </c>
      <c r="CE1992" s="0" t="s">
        <v>130</v>
      </c>
      <c r="CF1992" s="0" t="s">
        <v>130</v>
      </c>
      <c r="CG1992" s="0" t="s">
        <v>130</v>
      </c>
      <c r="CH1992" s="0" t="s">
        <v>130</v>
      </c>
      <c r="CI1992" s="0" t="s">
        <v>130</v>
      </c>
      <c r="CJ1992" s="0" t="s">
        <v>130</v>
      </c>
      <c r="CK1992" s="0" t="s">
        <v>130</v>
      </c>
      <c r="CL1992" s="0" t="s">
        <v>130</v>
      </c>
      <c r="CM1992" s="0" t="s">
        <v>130</v>
      </c>
      <c r="CN1992" s="0" t="s">
        <v>130</v>
      </c>
      <c r="CO1992" s="0" t="s">
        <v>130</v>
      </c>
      <c r="CP1992" s="0" t="s">
        <v>130</v>
      </c>
      <c r="CQ1992" s="0" t="s">
        <v>130</v>
      </c>
      <c r="CR1992" s="0" t="s">
        <v>130</v>
      </c>
      <c r="CS1992" s="0" t="s">
        <v>130</v>
      </c>
      <c r="CT1992" s="0" t="s">
        <v>5603</v>
      </c>
    </row>
    <row r="1993">
      <c r="A1993" s="14">
        <v>101174</v>
      </c>
      <c r="B1993" s="0" t="s">
        <v>1365</v>
      </c>
      <c r="C1993" s="16">
        <f>HYPERLINK("https://eosportal.federatedhermes.com/companies/Q29tcGFueQppNTg5ODc=", "ConocoPhillips")</f>
      </c>
      <c r="D1993" s="0" t="s">
        <v>23</v>
      </c>
      <c r="E1993" s="0" t="s">
        <v>5601</v>
      </c>
      <c r="F1993" s="16">
        <f>HYPERLINK("https://eosportal.federatedhermes.com/engagements/RW5nYWdlbWVudAppMzE4NjA=", "Human Rights Impact Assessment and Due Diligence")</f>
      </c>
      <c r="G1993" s="14" t="s">
        <v>5604</v>
      </c>
      <c r="H1993" s="0" t="s">
        <v>141</v>
      </c>
      <c r="I1993" s="14" t="s">
        <v>191</v>
      </c>
      <c r="J1993" s="0" t="s">
        <v>153</v>
      </c>
      <c r="K1993" s="0" t="s">
        <v>243</v>
      </c>
      <c r="L1993" s="0" t="s">
        <v>571</v>
      </c>
      <c r="M1993" s="0" t="s">
        <v>135</v>
      </c>
      <c r="N1993" s="0" t="s">
        <v>136</v>
      </c>
      <c r="O1993" s="0" t="s">
        <v>542</v>
      </c>
      <c r="Q1993" s="0" t="s">
        <v>141</v>
      </c>
      <c r="R1993" s="0" t="s">
        <v>130</v>
      </c>
      <c r="S1993" s="14">
        <v>1</v>
      </c>
      <c r="T1993" s="0" t="s">
        <v>2629</v>
      </c>
      <c r="U1993" s="0" t="s">
        <v>221</v>
      </c>
      <c r="V1993" s="14" t="s">
        <v>2629</v>
      </c>
      <c r="W1993" s="0" t="s">
        <v>221</v>
      </c>
      <c r="X1993" s="14" t="s">
        <v>3562</v>
      </c>
      <c r="Y1993" s="0" t="s">
        <v>223</v>
      </c>
      <c r="Z1993" s="14" t="s">
        <v>138</v>
      </c>
      <c r="AA1993" s="0" t="s">
        <v>224</v>
      </c>
      <c r="AB1993" s="14" t="s">
        <v>138</v>
      </c>
      <c r="AD1993" s="0" t="s">
        <v>17</v>
      </c>
      <c r="AF1993" s="0">
        <v>0</v>
      </c>
      <c r="AG1993" s="0">
        <v>0</v>
      </c>
      <c r="AH1993" s="0" t="s">
        <v>140</v>
      </c>
      <c r="AI1993" s="0" t="s">
        <v>479</v>
      </c>
      <c r="AK1993" s="0" t="s">
        <v>2330</v>
      </c>
      <c r="AL1993" s="14"/>
      <c r="AN1993" s="14"/>
      <c r="AQ1993" s="0" t="s">
        <v>130</v>
      </c>
      <c r="AR1993" s="0" t="s">
        <v>130</v>
      </c>
      <c r="AS1993" s="0" t="s">
        <v>130</v>
      </c>
      <c r="AT1993" s="0" t="s">
        <v>130</v>
      </c>
      <c r="AU1993" s="0" t="s">
        <v>130</v>
      </c>
      <c r="AV1993" s="0" t="s">
        <v>130</v>
      </c>
      <c r="AW1993" s="0" t="s">
        <v>130</v>
      </c>
      <c r="AX1993" s="0" t="s">
        <v>130</v>
      </c>
      <c r="AY1993" s="0" t="s">
        <v>130</v>
      </c>
      <c r="AZ1993" s="0" t="s">
        <v>141</v>
      </c>
      <c r="BA1993" s="0" t="s">
        <v>141</v>
      </c>
      <c r="BB1993" s="0" t="s">
        <v>130</v>
      </c>
      <c r="BC1993" s="0" t="s">
        <v>130</v>
      </c>
      <c r="BD1993" s="0" t="s">
        <v>130</v>
      </c>
      <c r="BE1993" s="0" t="s">
        <v>130</v>
      </c>
      <c r="BF1993" s="0" t="s">
        <v>141</v>
      </c>
      <c r="BG1993" s="0" t="s">
        <v>130</v>
      </c>
      <c r="BH1993" s="0" t="s">
        <v>130</v>
      </c>
      <c r="BI1993" s="0" t="s">
        <v>130</v>
      </c>
      <c r="BJ1993" s="0" t="s">
        <v>130</v>
      </c>
      <c r="BK1993" s="0" t="s">
        <v>130</v>
      </c>
      <c r="BL1993" s="0" t="s">
        <v>130</v>
      </c>
      <c r="BM1993" s="0" t="s">
        <v>130</v>
      </c>
      <c r="BN1993" s="0" t="s">
        <v>130</v>
      </c>
      <c r="BO1993" s="0" t="s">
        <v>130</v>
      </c>
      <c r="BP1993" s="0" t="s">
        <v>130</v>
      </c>
      <c r="BQ1993" s="0" t="s">
        <v>130</v>
      </c>
      <c r="BR1993" s="0" t="s">
        <v>130</v>
      </c>
      <c r="BS1993" s="0" t="s">
        <v>130</v>
      </c>
      <c r="BT1993" s="0" t="s">
        <v>130</v>
      </c>
      <c r="BU1993" s="0" t="s">
        <v>130</v>
      </c>
      <c r="BV1993" s="0" t="s">
        <v>130</v>
      </c>
      <c r="BW1993" s="0" t="s">
        <v>130</v>
      </c>
      <c r="BX1993" s="0" t="s">
        <v>130</v>
      </c>
      <c r="BY1993" s="0" t="s">
        <v>130</v>
      </c>
      <c r="BZ1993" s="0" t="s">
        <v>130</v>
      </c>
      <c r="CA1993" s="0" t="s">
        <v>130</v>
      </c>
      <c r="CB1993" s="0" t="s">
        <v>130</v>
      </c>
      <c r="CC1993" s="0" t="s">
        <v>130</v>
      </c>
      <c r="CD1993" s="0" t="s">
        <v>130</v>
      </c>
      <c r="CE1993" s="0" t="s">
        <v>130</v>
      </c>
      <c r="CF1993" s="0" t="s">
        <v>130</v>
      </c>
      <c r="CG1993" s="0" t="s">
        <v>130</v>
      </c>
      <c r="CH1993" s="0" t="s">
        <v>130</v>
      </c>
      <c r="CI1993" s="0" t="s">
        <v>130</v>
      </c>
      <c r="CJ1993" s="0" t="s">
        <v>130</v>
      </c>
      <c r="CK1993" s="0" t="s">
        <v>130</v>
      </c>
      <c r="CL1993" s="0" t="s">
        <v>130</v>
      </c>
      <c r="CM1993" s="0" t="s">
        <v>130</v>
      </c>
      <c r="CN1993" s="0" t="s">
        <v>130</v>
      </c>
      <c r="CO1993" s="0" t="s">
        <v>130</v>
      </c>
      <c r="CP1993" s="0" t="s">
        <v>130</v>
      </c>
      <c r="CQ1993" s="0" t="s">
        <v>130</v>
      </c>
      <c r="CR1993" s="0" t="s">
        <v>130</v>
      </c>
      <c r="CS1993" s="0" t="s">
        <v>130</v>
      </c>
      <c r="CT1993" s="0" t="s">
        <v>5605</v>
      </c>
    </row>
    <row r="1994">
      <c r="A1994" s="14">
        <v>101214</v>
      </c>
      <c r="B1994" s="0" t="s">
        <v>1420</v>
      </c>
      <c r="C1994" s="16">
        <f>HYPERLINK("https://eosportal.federatedhermes.com/companies/Q29tcGFueQppNTg5OTE=", "Citigroup Inc")</f>
      </c>
      <c r="D1994" s="0" t="s">
        <v>23</v>
      </c>
      <c r="E1994" s="0" t="s">
        <v>1147</v>
      </c>
      <c r="F1994" s="16">
        <f>HYPERLINK("https://eosportal.federatedhermes.com/engagements/RW5nYWdlbWVudAppMzE4NjI=", "Climate resilient strategy - enhanced scope")</f>
      </c>
      <c r="G1994" s="14" t="s">
        <v>5606</v>
      </c>
      <c r="H1994" s="0" t="s">
        <v>141</v>
      </c>
      <c r="I1994" s="14" t="s">
        <v>191</v>
      </c>
      <c r="J1994" s="0" t="s">
        <v>197</v>
      </c>
      <c r="K1994" s="0" t="s">
        <v>198</v>
      </c>
      <c r="L1994" s="0" t="s">
        <v>220</v>
      </c>
      <c r="M1994" s="0" t="s">
        <v>135</v>
      </c>
      <c r="N1994" s="0" t="s">
        <v>136</v>
      </c>
      <c r="O1994" s="0" t="s">
        <v>238</v>
      </c>
      <c r="Q1994" s="0" t="s">
        <v>141</v>
      </c>
      <c r="R1994" s="0" t="s">
        <v>130</v>
      </c>
      <c r="S1994" s="14">
        <v>1</v>
      </c>
      <c r="T1994" s="0" t="s">
        <v>2629</v>
      </c>
      <c r="U1994" s="0" t="s">
        <v>221</v>
      </c>
      <c r="V1994" s="14" t="s">
        <v>2629</v>
      </c>
      <c r="W1994" s="0" t="s">
        <v>221</v>
      </c>
      <c r="X1994" s="14" t="s">
        <v>2629</v>
      </c>
      <c r="Y1994" s="0" t="s">
        <v>221</v>
      </c>
      <c r="Z1994" s="14" t="s">
        <v>478</v>
      </c>
      <c r="AA1994" s="0" t="s">
        <v>223</v>
      </c>
      <c r="AB1994" s="14" t="s">
        <v>138</v>
      </c>
      <c r="AD1994" s="0" t="s">
        <v>20</v>
      </c>
      <c r="AF1994" s="0">
        <v>0</v>
      </c>
      <c r="AG1994" s="0">
        <v>0</v>
      </c>
      <c r="AH1994" s="0" t="s">
        <v>140</v>
      </c>
      <c r="AI1994" s="0" t="s">
        <v>598</v>
      </c>
      <c r="AK1994" s="0" t="s">
        <v>1439</v>
      </c>
      <c r="AL1994" s="14"/>
      <c r="AN1994" s="14"/>
      <c r="AQ1994" s="0" t="s">
        <v>130</v>
      </c>
      <c r="AR1994" s="0" t="s">
        <v>130</v>
      </c>
      <c r="AS1994" s="0" t="s">
        <v>130</v>
      </c>
      <c r="AT1994" s="0" t="s">
        <v>130</v>
      </c>
      <c r="AU1994" s="0" t="s">
        <v>130</v>
      </c>
      <c r="AV1994" s="0" t="s">
        <v>130</v>
      </c>
      <c r="AW1994" s="0" t="s">
        <v>141</v>
      </c>
      <c r="AX1994" s="0" t="s">
        <v>130</v>
      </c>
      <c r="AY1994" s="0" t="s">
        <v>141</v>
      </c>
      <c r="AZ1994" s="0" t="s">
        <v>130</v>
      </c>
      <c r="BA1994" s="0" t="s">
        <v>130</v>
      </c>
      <c r="BB1994" s="0" t="s">
        <v>130</v>
      </c>
      <c r="BC1994" s="0" t="s">
        <v>141</v>
      </c>
      <c r="BD1994" s="0" t="s">
        <v>130</v>
      </c>
      <c r="BE1994" s="0" t="s">
        <v>130</v>
      </c>
      <c r="BF1994" s="0" t="s">
        <v>130</v>
      </c>
      <c r="BG1994" s="0" t="s">
        <v>130</v>
      </c>
      <c r="BH1994" s="0" t="s">
        <v>141</v>
      </c>
      <c r="BI1994" s="0" t="s">
        <v>141</v>
      </c>
      <c r="BJ1994" s="0" t="s">
        <v>141</v>
      </c>
      <c r="BK1994" s="0" t="s">
        <v>130</v>
      </c>
      <c r="BL1994" s="0" t="s">
        <v>130</v>
      </c>
      <c r="BM1994" s="0" t="s">
        <v>130</v>
      </c>
      <c r="BN1994" s="0" t="s">
        <v>130</v>
      </c>
      <c r="BO1994" s="0" t="s">
        <v>130</v>
      </c>
      <c r="BP1994" s="0" t="s">
        <v>130</v>
      </c>
      <c r="BQ1994" s="0" t="s">
        <v>130</v>
      </c>
      <c r="BR1994" s="0" t="s">
        <v>130</v>
      </c>
      <c r="BS1994" s="0" t="s">
        <v>130</v>
      </c>
      <c r="BT1994" s="0" t="s">
        <v>130</v>
      </c>
      <c r="BU1994" s="0" t="s">
        <v>130</v>
      </c>
      <c r="BV1994" s="0" t="s">
        <v>141</v>
      </c>
      <c r="BW1994" s="0" t="s">
        <v>141</v>
      </c>
      <c r="BX1994" s="0" t="s">
        <v>130</v>
      </c>
      <c r="BY1994" s="0" t="s">
        <v>130</v>
      </c>
      <c r="BZ1994" s="0" t="s">
        <v>130</v>
      </c>
      <c r="CA1994" s="0" t="s">
        <v>130</v>
      </c>
      <c r="CB1994" s="0" t="s">
        <v>130</v>
      </c>
      <c r="CC1994" s="0" t="s">
        <v>130</v>
      </c>
      <c r="CD1994" s="0" t="s">
        <v>130</v>
      </c>
      <c r="CE1994" s="0" t="s">
        <v>130</v>
      </c>
      <c r="CF1994" s="0" t="s">
        <v>130</v>
      </c>
      <c r="CG1994" s="0" t="s">
        <v>130</v>
      </c>
      <c r="CH1994" s="0" t="s">
        <v>130</v>
      </c>
      <c r="CI1994" s="0" t="s">
        <v>130</v>
      </c>
      <c r="CJ1994" s="0" t="s">
        <v>130</v>
      </c>
      <c r="CK1994" s="0" t="s">
        <v>130</v>
      </c>
      <c r="CL1994" s="0" t="s">
        <v>130</v>
      </c>
      <c r="CM1994" s="0" t="s">
        <v>130</v>
      </c>
      <c r="CN1994" s="0" t="s">
        <v>130</v>
      </c>
      <c r="CO1994" s="0" t="s">
        <v>130</v>
      </c>
      <c r="CP1994" s="0" t="s">
        <v>130</v>
      </c>
      <c r="CQ1994" s="0" t="s">
        <v>130</v>
      </c>
      <c r="CR1994" s="0" t="s">
        <v>130</v>
      </c>
      <c r="CS1994" s="0" t="s">
        <v>130</v>
      </c>
      <c r="CT1994" s="0" t="s">
        <v>5607</v>
      </c>
    </row>
    <row r="1995">
      <c r="A1995" s="14">
        <v>100312</v>
      </c>
      <c r="B1995" s="0" t="s">
        <v>476</v>
      </c>
      <c r="C1995" s="16">
        <f>HYPERLINK("https://eosportal.federatedhermes.com/companies/Q29tcGFueQppNTg5OTQ=", "JPMorgan Chase &amp; Co")</f>
      </c>
      <c r="D1995" s="0" t="s">
        <v>23</v>
      </c>
      <c r="E1995" s="0" t="s">
        <v>746</v>
      </c>
      <c r="F1995" s="16">
        <f>HYPERLINK("https://eosportal.federatedhermes.com/engagements/RW5nYWdlbWVudAppMzE4NjY=", "Improved climate-related financial disclosures")</f>
      </c>
      <c r="G1995" s="14" t="s">
        <v>747</v>
      </c>
      <c r="H1995" s="0" t="s">
        <v>141</v>
      </c>
      <c r="I1995" s="14" t="s">
        <v>191</v>
      </c>
      <c r="J1995" s="0" t="s">
        <v>197</v>
      </c>
      <c r="K1995" s="0" t="s">
        <v>198</v>
      </c>
      <c r="L1995" s="0" t="s">
        <v>199</v>
      </c>
      <c r="M1995" s="0" t="s">
        <v>135</v>
      </c>
      <c r="N1995" s="0" t="s">
        <v>136</v>
      </c>
      <c r="O1995" s="0" t="s">
        <v>238</v>
      </c>
      <c r="Q1995" s="0" t="s">
        <v>141</v>
      </c>
      <c r="R1995" s="0" t="s">
        <v>130</v>
      </c>
      <c r="S1995" s="14">
        <v>1</v>
      </c>
      <c r="T1995" s="0" t="s">
        <v>231</v>
      </c>
      <c r="U1995" s="0" t="s">
        <v>221</v>
      </c>
      <c r="V1995" s="14" t="s">
        <v>231</v>
      </c>
      <c r="W1995" s="0" t="s">
        <v>221</v>
      </c>
      <c r="X1995" s="14" t="s">
        <v>2270</v>
      </c>
      <c r="Y1995" s="0" t="s">
        <v>221</v>
      </c>
      <c r="Z1995" s="14" t="s">
        <v>360</v>
      </c>
      <c r="AA1995" s="0" t="s">
        <v>223</v>
      </c>
      <c r="AB1995" s="14" t="s">
        <v>138</v>
      </c>
      <c r="AD1995" s="0" t="s">
        <v>20</v>
      </c>
      <c r="AF1995" s="0">
        <v>0</v>
      </c>
      <c r="AG1995" s="0">
        <v>0</v>
      </c>
      <c r="AH1995" s="0" t="s">
        <v>140</v>
      </c>
      <c r="AI1995" s="0" t="s">
        <v>479</v>
      </c>
      <c r="AK1995" s="0" t="s">
        <v>300</v>
      </c>
      <c r="AL1995" s="14"/>
      <c r="AN1995" s="14"/>
      <c r="AQ1995" s="0" t="s">
        <v>130</v>
      </c>
      <c r="AR1995" s="0" t="s">
        <v>130</v>
      </c>
      <c r="AS1995" s="0" t="s">
        <v>130</v>
      </c>
      <c r="AT1995" s="0" t="s">
        <v>130</v>
      </c>
      <c r="AU1995" s="0" t="s">
        <v>130</v>
      </c>
      <c r="AV1995" s="0" t="s">
        <v>130</v>
      </c>
      <c r="AW1995" s="0" t="s">
        <v>130</v>
      </c>
      <c r="AX1995" s="0" t="s">
        <v>130</v>
      </c>
      <c r="AY1995" s="0" t="s">
        <v>130</v>
      </c>
      <c r="AZ1995" s="0" t="s">
        <v>130</v>
      </c>
      <c r="BA1995" s="0" t="s">
        <v>130</v>
      </c>
      <c r="BB1995" s="0" t="s">
        <v>141</v>
      </c>
      <c r="BC1995" s="0" t="s">
        <v>130</v>
      </c>
      <c r="BD1995" s="0" t="s">
        <v>130</v>
      </c>
      <c r="BE1995" s="0" t="s">
        <v>130</v>
      </c>
      <c r="BF1995" s="0" t="s">
        <v>130</v>
      </c>
      <c r="BG1995" s="0" t="s">
        <v>130</v>
      </c>
      <c r="BH1995" s="0" t="s">
        <v>130</v>
      </c>
      <c r="BI1995" s="0" t="s">
        <v>130</v>
      </c>
      <c r="BJ1995" s="0" t="s">
        <v>130</v>
      </c>
      <c r="BK1995" s="0" t="s">
        <v>130</v>
      </c>
      <c r="BL1995" s="0" t="s">
        <v>130</v>
      </c>
      <c r="BM1995" s="0" t="s">
        <v>130</v>
      </c>
      <c r="BN1995" s="0" t="s">
        <v>130</v>
      </c>
      <c r="BO1995" s="0" t="s">
        <v>130</v>
      </c>
      <c r="BP1995" s="0" t="s">
        <v>130</v>
      </c>
      <c r="BQ1995" s="0" t="s">
        <v>130</v>
      </c>
      <c r="BR1995" s="0" t="s">
        <v>130</v>
      </c>
      <c r="BS1995" s="0" t="s">
        <v>130</v>
      </c>
      <c r="BT1995" s="0" t="s">
        <v>130</v>
      </c>
      <c r="BU1995" s="0" t="s">
        <v>130</v>
      </c>
      <c r="BV1995" s="0" t="s">
        <v>130</v>
      </c>
      <c r="BW1995" s="0" t="s">
        <v>130</v>
      </c>
      <c r="BX1995" s="0" t="s">
        <v>130</v>
      </c>
      <c r="BY1995" s="0" t="s">
        <v>130</v>
      </c>
      <c r="BZ1995" s="0" t="s">
        <v>130</v>
      </c>
      <c r="CA1995" s="0" t="s">
        <v>130</v>
      </c>
      <c r="CB1995" s="0" t="s">
        <v>130</v>
      </c>
      <c r="CC1995" s="0" t="s">
        <v>130</v>
      </c>
      <c r="CD1995" s="0" t="s">
        <v>130</v>
      </c>
      <c r="CE1995" s="0" t="s">
        <v>130</v>
      </c>
      <c r="CF1995" s="0" t="s">
        <v>130</v>
      </c>
      <c r="CG1995" s="0" t="s">
        <v>130</v>
      </c>
      <c r="CH1995" s="0" t="s">
        <v>130</v>
      </c>
      <c r="CI1995" s="0" t="s">
        <v>130</v>
      </c>
      <c r="CJ1995" s="0" t="s">
        <v>130</v>
      </c>
      <c r="CK1995" s="0" t="s">
        <v>130</v>
      </c>
      <c r="CL1995" s="0" t="s">
        <v>130</v>
      </c>
      <c r="CM1995" s="0" t="s">
        <v>130</v>
      </c>
      <c r="CN1995" s="0" t="s">
        <v>130</v>
      </c>
      <c r="CO1995" s="0" t="s">
        <v>130</v>
      </c>
      <c r="CP1995" s="0" t="s">
        <v>130</v>
      </c>
      <c r="CQ1995" s="0" t="s">
        <v>130</v>
      </c>
      <c r="CR1995" s="0" t="s">
        <v>130</v>
      </c>
      <c r="CS1995" s="0" t="s">
        <v>130</v>
      </c>
      <c r="CT1995" s="0" t="s">
        <v>5608</v>
      </c>
    </row>
    <row r="1996">
      <c r="A1996" s="14">
        <v>100312</v>
      </c>
      <c r="B1996" s="0" t="s">
        <v>476</v>
      </c>
      <c r="C1996" s="16">
        <f>HYPERLINK("https://eosportal.federatedhermes.com/companies/Q29tcGFueQppNTg5OTQ=", "JPMorgan Chase &amp; Co")</f>
      </c>
      <c r="D1996" s="0" t="s">
        <v>23</v>
      </c>
      <c r="E1996" s="0" t="s">
        <v>5609</v>
      </c>
      <c r="F1996" s="16">
        <f>HYPERLINK("https://eosportal.federatedhermes.com/engagements/RW5nYWdlbWVudAppMzE4Njc=", "Talent management strategy focused on the board and workforce")</f>
      </c>
      <c r="G1996" s="14" t="s">
        <v>5610</v>
      </c>
      <c r="H1996" s="0" t="s">
        <v>141</v>
      </c>
      <c r="I1996" s="14" t="s">
        <v>191</v>
      </c>
      <c r="J1996" s="0" t="s">
        <v>153</v>
      </c>
      <c r="K1996" s="0" t="s">
        <v>154</v>
      </c>
      <c r="L1996" s="0" t="s">
        <v>268</v>
      </c>
      <c r="M1996" s="0" t="s">
        <v>135</v>
      </c>
      <c r="N1996" s="0" t="s">
        <v>136</v>
      </c>
      <c r="O1996" s="0" t="s">
        <v>238</v>
      </c>
      <c r="Q1996" s="0" t="s">
        <v>130</v>
      </c>
      <c r="R1996" s="0" t="s">
        <v>130</v>
      </c>
      <c r="S1996" s="14">
        <v>0</v>
      </c>
      <c r="T1996" s="0" t="s">
        <v>2629</v>
      </c>
      <c r="U1996" s="0" t="s">
        <v>221</v>
      </c>
      <c r="V1996" s="14" t="s">
        <v>2629</v>
      </c>
      <c r="W1996" s="0" t="s">
        <v>221</v>
      </c>
      <c r="X1996" s="14" t="s">
        <v>478</v>
      </c>
      <c r="Y1996" s="0" t="s">
        <v>221</v>
      </c>
      <c r="Z1996" s="14" t="s">
        <v>360</v>
      </c>
      <c r="AA1996" s="0" t="s">
        <v>223</v>
      </c>
      <c r="AB1996" s="14" t="s">
        <v>138</v>
      </c>
      <c r="AD1996" s="0" t="s">
        <v>20</v>
      </c>
      <c r="AF1996" s="0">
        <v>0</v>
      </c>
      <c r="AG1996" s="0">
        <v>0</v>
      </c>
      <c r="AH1996" s="0" t="s">
        <v>140</v>
      </c>
      <c r="AI1996" s="0" t="s">
        <v>598</v>
      </c>
      <c r="AL1996" s="14"/>
      <c r="AN1996" s="14"/>
      <c r="AQ1996" s="0" t="s">
        <v>130</v>
      </c>
      <c r="AR1996" s="0" t="s">
        <v>130</v>
      </c>
      <c r="AS1996" s="0" t="s">
        <v>130</v>
      </c>
      <c r="AT1996" s="0" t="s">
        <v>130</v>
      </c>
      <c r="AU1996" s="0" t="s">
        <v>130</v>
      </c>
      <c r="AV1996" s="0" t="s">
        <v>130</v>
      </c>
      <c r="AW1996" s="0" t="s">
        <v>130</v>
      </c>
      <c r="AX1996" s="0" t="s">
        <v>130</v>
      </c>
      <c r="AY1996" s="0" t="s">
        <v>130</v>
      </c>
      <c r="AZ1996" s="0" t="s">
        <v>130</v>
      </c>
      <c r="BA1996" s="0" t="s">
        <v>130</v>
      </c>
      <c r="BB1996" s="0" t="s">
        <v>130</v>
      </c>
      <c r="BC1996" s="0" t="s">
        <v>130</v>
      </c>
      <c r="BD1996" s="0" t="s">
        <v>130</v>
      </c>
      <c r="BE1996" s="0" t="s">
        <v>130</v>
      </c>
      <c r="BF1996" s="0" t="s">
        <v>130</v>
      </c>
      <c r="BG1996" s="0" t="s">
        <v>130</v>
      </c>
      <c r="BH1996" s="0" t="s">
        <v>130</v>
      </c>
      <c r="BI1996" s="0" t="s">
        <v>130</v>
      </c>
      <c r="BJ1996" s="0" t="s">
        <v>130</v>
      </c>
      <c r="BK1996" s="0" t="s">
        <v>130</v>
      </c>
      <c r="BL1996" s="0" t="s">
        <v>130</v>
      </c>
      <c r="BM1996" s="0" t="s">
        <v>130</v>
      </c>
      <c r="BN1996" s="0" t="s">
        <v>130</v>
      </c>
      <c r="BO1996" s="0" t="s">
        <v>130</v>
      </c>
      <c r="BP1996" s="0" t="s">
        <v>130</v>
      </c>
      <c r="BQ1996" s="0" t="s">
        <v>130</v>
      </c>
      <c r="BR1996" s="0" t="s">
        <v>130</v>
      </c>
      <c r="BS1996" s="0" t="s">
        <v>130</v>
      </c>
      <c r="BT1996" s="0" t="s">
        <v>130</v>
      </c>
      <c r="BU1996" s="0" t="s">
        <v>130</v>
      </c>
      <c r="BV1996" s="0" t="s">
        <v>130</v>
      </c>
      <c r="BW1996" s="0" t="s">
        <v>130</v>
      </c>
      <c r="BX1996" s="0" t="s">
        <v>130</v>
      </c>
      <c r="BY1996" s="0" t="s">
        <v>130</v>
      </c>
      <c r="BZ1996" s="0" t="s">
        <v>130</v>
      </c>
      <c r="CA1996" s="0" t="s">
        <v>130</v>
      </c>
      <c r="CB1996" s="0" t="s">
        <v>130</v>
      </c>
      <c r="CC1996" s="0" t="s">
        <v>130</v>
      </c>
      <c r="CD1996" s="0" t="s">
        <v>130</v>
      </c>
      <c r="CE1996" s="0" t="s">
        <v>130</v>
      </c>
      <c r="CF1996" s="0" t="s">
        <v>130</v>
      </c>
      <c r="CG1996" s="0" t="s">
        <v>130</v>
      </c>
      <c r="CH1996" s="0" t="s">
        <v>130</v>
      </c>
      <c r="CI1996" s="0" t="s">
        <v>130</v>
      </c>
      <c r="CJ1996" s="0" t="s">
        <v>130</v>
      </c>
      <c r="CK1996" s="0" t="s">
        <v>141</v>
      </c>
      <c r="CL1996" s="0" t="s">
        <v>130</v>
      </c>
      <c r="CM1996" s="0" t="s">
        <v>130</v>
      </c>
      <c r="CN1996" s="0" t="s">
        <v>130</v>
      </c>
      <c r="CO1996" s="0" t="s">
        <v>130</v>
      </c>
      <c r="CP1996" s="0" t="s">
        <v>130</v>
      </c>
      <c r="CQ1996" s="0" t="s">
        <v>130</v>
      </c>
      <c r="CR1996" s="0" t="s">
        <v>130</v>
      </c>
      <c r="CS1996" s="0" t="s">
        <v>130</v>
      </c>
      <c r="CT1996" s="0" t="s">
        <v>5611</v>
      </c>
    </row>
    <row r="1997">
      <c r="A1997" s="14">
        <v>48364393</v>
      </c>
      <c r="B1997" s="0" t="s">
        <v>4718</v>
      </c>
      <c r="C1997" s="16">
        <f>HYPERLINK("https://eosportal.federatedhermes.com/companies/Q29tcGFueQppNTg5OTY=", "DuPont de Nemours Inc")</f>
      </c>
      <c r="D1997" s="0" t="s">
        <v>23</v>
      </c>
      <c r="E1997" s="0" t="s">
        <v>1859</v>
      </c>
      <c r="F1997" s="16">
        <f>HYPERLINK("https://eosportal.federatedhermes.com/engagements/RW5nYWdlbWVudAppMzE4NzA=", "Governance oversight of industry associations")</f>
      </c>
      <c r="G1997" s="14" t="s">
        <v>4545</v>
      </c>
      <c r="H1997" s="0" t="s">
        <v>141</v>
      </c>
      <c r="I1997" s="14" t="s">
        <v>191</v>
      </c>
      <c r="J1997" s="0" t="s">
        <v>197</v>
      </c>
      <c r="K1997" s="0" t="s">
        <v>198</v>
      </c>
      <c r="L1997" s="0" t="s">
        <v>199</v>
      </c>
      <c r="M1997" s="0" t="s">
        <v>135</v>
      </c>
      <c r="N1997" s="0" t="s">
        <v>136</v>
      </c>
      <c r="O1997" s="0" t="s">
        <v>706</v>
      </c>
      <c r="Q1997" s="0" t="s">
        <v>130</v>
      </c>
      <c r="R1997" s="0" t="s">
        <v>130</v>
      </c>
      <c r="S1997" s="14">
        <v>0</v>
      </c>
      <c r="T1997" s="0" t="s">
        <v>478</v>
      </c>
      <c r="U1997" s="0" t="s">
        <v>221</v>
      </c>
      <c r="V1997" s="14" t="s">
        <v>478</v>
      </c>
      <c r="W1997" s="0" t="s">
        <v>221</v>
      </c>
      <c r="X1997" s="14" t="s">
        <v>4412</v>
      </c>
      <c r="Y1997" s="0" t="s">
        <v>223</v>
      </c>
      <c r="Z1997" s="14" t="s">
        <v>138</v>
      </c>
      <c r="AA1997" s="0" t="s">
        <v>224</v>
      </c>
      <c r="AB1997" s="14" t="s">
        <v>138</v>
      </c>
      <c r="AD1997" s="0" t="s">
        <v>17</v>
      </c>
      <c r="AF1997" s="0">
        <v>0</v>
      </c>
      <c r="AG1997" s="0">
        <v>0</v>
      </c>
      <c r="AH1997" s="0" t="s">
        <v>140</v>
      </c>
      <c r="AI1997" s="0" t="s">
        <v>479</v>
      </c>
      <c r="AL1997" s="14"/>
      <c r="AN1997" s="14"/>
      <c r="AQ1997" s="0" t="s">
        <v>130</v>
      </c>
      <c r="AR1997" s="0" t="s">
        <v>130</v>
      </c>
      <c r="AS1997" s="0" t="s">
        <v>130</v>
      </c>
      <c r="AT1997" s="0" t="s">
        <v>130</v>
      </c>
      <c r="AU1997" s="0" t="s">
        <v>130</v>
      </c>
      <c r="AV1997" s="0" t="s">
        <v>130</v>
      </c>
      <c r="AW1997" s="0" t="s">
        <v>130</v>
      </c>
      <c r="AX1997" s="0" t="s">
        <v>130</v>
      </c>
      <c r="AY1997" s="0" t="s">
        <v>130</v>
      </c>
      <c r="AZ1997" s="0" t="s">
        <v>130</v>
      </c>
      <c r="BA1997" s="0" t="s">
        <v>130</v>
      </c>
      <c r="BB1997" s="0" t="s">
        <v>141</v>
      </c>
      <c r="BC1997" s="0" t="s">
        <v>130</v>
      </c>
      <c r="BD1997" s="0" t="s">
        <v>130</v>
      </c>
      <c r="BE1997" s="0" t="s">
        <v>130</v>
      </c>
      <c r="BF1997" s="0" t="s">
        <v>130</v>
      </c>
      <c r="BG1997" s="0" t="s">
        <v>130</v>
      </c>
      <c r="BH1997" s="0" t="s">
        <v>130</v>
      </c>
      <c r="BI1997" s="0" t="s">
        <v>130</v>
      </c>
      <c r="BJ1997" s="0" t="s">
        <v>130</v>
      </c>
      <c r="BK1997" s="0" t="s">
        <v>130</v>
      </c>
      <c r="BL1997" s="0" t="s">
        <v>130</v>
      </c>
      <c r="BM1997" s="0" t="s">
        <v>130</v>
      </c>
      <c r="BN1997" s="0" t="s">
        <v>130</v>
      </c>
      <c r="BO1997" s="0" t="s">
        <v>130</v>
      </c>
      <c r="BP1997" s="0" t="s">
        <v>130</v>
      </c>
      <c r="BQ1997" s="0" t="s">
        <v>130</v>
      </c>
      <c r="BR1997" s="0" t="s">
        <v>130</v>
      </c>
      <c r="BS1997" s="0" t="s">
        <v>130</v>
      </c>
      <c r="BT1997" s="0" t="s">
        <v>130</v>
      </c>
      <c r="BU1997" s="0" t="s">
        <v>130</v>
      </c>
      <c r="BV1997" s="0" t="s">
        <v>130</v>
      </c>
      <c r="BW1997" s="0" t="s">
        <v>130</v>
      </c>
      <c r="BX1997" s="0" t="s">
        <v>130</v>
      </c>
      <c r="BY1997" s="0" t="s">
        <v>130</v>
      </c>
      <c r="BZ1997" s="0" t="s">
        <v>130</v>
      </c>
      <c r="CA1997" s="0" t="s">
        <v>130</v>
      </c>
      <c r="CB1997" s="0" t="s">
        <v>130</v>
      </c>
      <c r="CC1997" s="0" t="s">
        <v>130</v>
      </c>
      <c r="CD1997" s="0" t="s">
        <v>130</v>
      </c>
      <c r="CE1997" s="0" t="s">
        <v>130</v>
      </c>
      <c r="CF1997" s="0" t="s">
        <v>130</v>
      </c>
      <c r="CG1997" s="0" t="s">
        <v>130</v>
      </c>
      <c r="CH1997" s="0" t="s">
        <v>130</v>
      </c>
      <c r="CI1997" s="0" t="s">
        <v>130</v>
      </c>
      <c r="CJ1997" s="0" t="s">
        <v>130</v>
      </c>
      <c r="CK1997" s="0" t="s">
        <v>130</v>
      </c>
      <c r="CL1997" s="0" t="s">
        <v>130</v>
      </c>
      <c r="CM1997" s="0" t="s">
        <v>130</v>
      </c>
      <c r="CN1997" s="0" t="s">
        <v>130</v>
      </c>
      <c r="CO1997" s="0" t="s">
        <v>130</v>
      </c>
      <c r="CP1997" s="0" t="s">
        <v>130</v>
      </c>
      <c r="CQ1997" s="0" t="s">
        <v>130</v>
      </c>
      <c r="CR1997" s="0" t="s">
        <v>130</v>
      </c>
      <c r="CS1997" s="0" t="s">
        <v>130</v>
      </c>
      <c r="CT1997" s="0" t="s">
        <v>5612</v>
      </c>
    </row>
    <row r="1998">
      <c r="A1998" s="14">
        <v>1442748</v>
      </c>
      <c r="B1998" s="0" t="s">
        <v>3624</v>
      </c>
      <c r="C1998" s="16">
        <f>HYPERLINK("https://eosportal.federatedhermes.com/companies/Q29tcGFueQppNjI1MDA=", "Mitsubishi UFJ Financial Group Inc")</f>
      </c>
      <c r="D1998" s="0" t="s">
        <v>23</v>
      </c>
      <c r="E1998" s="0" t="s">
        <v>3027</v>
      </c>
      <c r="F1998" s="16">
        <f>HYPERLINK("https://eosportal.federatedhermes.com/engagements/RW5nYWdlbWVudAppMzE4OTI=", "Board gender diversity")</f>
      </c>
      <c r="G1998" s="14" t="s">
        <v>5613</v>
      </c>
      <c r="H1998" s="0" t="s">
        <v>141</v>
      </c>
      <c r="I1998" s="14" t="s">
        <v>1645</v>
      </c>
      <c r="J1998" s="0" t="s">
        <v>145</v>
      </c>
      <c r="K1998" s="0" t="s">
        <v>164</v>
      </c>
      <c r="L1998" s="0" t="s">
        <v>165</v>
      </c>
      <c r="M1998" s="0" t="s">
        <v>802</v>
      </c>
      <c r="N1998" s="0" t="s">
        <v>952</v>
      </c>
      <c r="O1998" s="0" t="s">
        <v>238</v>
      </c>
      <c r="Q1998" s="0" t="s">
        <v>141</v>
      </c>
      <c r="R1998" s="0" t="s">
        <v>130</v>
      </c>
      <c r="S1998" s="14">
        <v>1</v>
      </c>
      <c r="T1998" s="0" t="s">
        <v>597</v>
      </c>
      <c r="U1998" s="0" t="s">
        <v>221</v>
      </c>
      <c r="V1998" s="14" t="s">
        <v>597</v>
      </c>
      <c r="W1998" s="0" t="s">
        <v>223</v>
      </c>
      <c r="X1998" s="14" t="s">
        <v>138</v>
      </c>
      <c r="Y1998" s="0" t="s">
        <v>224</v>
      </c>
      <c r="Z1998" s="14" t="s">
        <v>138</v>
      </c>
      <c r="AA1998" s="0" t="s">
        <v>224</v>
      </c>
      <c r="AB1998" s="14" t="s">
        <v>138</v>
      </c>
      <c r="AD1998" s="0" t="s">
        <v>14</v>
      </c>
      <c r="AF1998" s="0">
        <v>0</v>
      </c>
      <c r="AG1998" s="0">
        <v>0</v>
      </c>
      <c r="AH1998" s="0" t="s">
        <v>140</v>
      </c>
      <c r="AI1998" s="0" t="s">
        <v>598</v>
      </c>
      <c r="AK1998" s="0" t="s">
        <v>3789</v>
      </c>
      <c r="AL1998" s="14"/>
      <c r="AN1998" s="14"/>
      <c r="AQ1998" s="0" t="s">
        <v>130</v>
      </c>
      <c r="AR1998" s="0" t="s">
        <v>130</v>
      </c>
      <c r="AS1998" s="0" t="s">
        <v>130</v>
      </c>
      <c r="AT1998" s="0" t="s">
        <v>130</v>
      </c>
      <c r="AU1998" s="0" t="s">
        <v>141</v>
      </c>
      <c r="AV1998" s="0" t="s">
        <v>130</v>
      </c>
      <c r="AW1998" s="0" t="s">
        <v>130</v>
      </c>
      <c r="AX1998" s="0" t="s">
        <v>130</v>
      </c>
      <c r="AY1998" s="0" t="s">
        <v>130</v>
      </c>
      <c r="AZ1998" s="0" t="s">
        <v>130</v>
      </c>
      <c r="BA1998" s="0" t="s">
        <v>130</v>
      </c>
      <c r="BB1998" s="0" t="s">
        <v>130</v>
      </c>
      <c r="BC1998" s="0" t="s">
        <v>130</v>
      </c>
      <c r="BD1998" s="0" t="s">
        <v>130</v>
      </c>
      <c r="BE1998" s="0" t="s">
        <v>130</v>
      </c>
      <c r="BF1998" s="0" t="s">
        <v>130</v>
      </c>
      <c r="BG1998" s="0" t="s">
        <v>130</v>
      </c>
      <c r="BH1998" s="0" t="s">
        <v>130</v>
      </c>
      <c r="BI1998" s="0" t="s">
        <v>130</v>
      </c>
      <c r="BJ1998" s="0" t="s">
        <v>130</v>
      </c>
      <c r="BK1998" s="0" t="s">
        <v>130</v>
      </c>
      <c r="BL1998" s="0" t="s">
        <v>130</v>
      </c>
      <c r="BM1998" s="0" t="s">
        <v>130</v>
      </c>
      <c r="BN1998" s="0" t="s">
        <v>130</v>
      </c>
      <c r="BO1998" s="0" t="s">
        <v>130</v>
      </c>
      <c r="BP1998" s="0" t="s">
        <v>130</v>
      </c>
      <c r="BQ1998" s="0" t="s">
        <v>130</v>
      </c>
      <c r="BR1998" s="0" t="s">
        <v>130</v>
      </c>
      <c r="BS1998" s="0" t="s">
        <v>130</v>
      </c>
      <c r="BT1998" s="0" t="s">
        <v>130</v>
      </c>
      <c r="BU1998" s="0" t="s">
        <v>130</v>
      </c>
      <c r="BV1998" s="0" t="s">
        <v>130</v>
      </c>
      <c r="BW1998" s="0" t="s">
        <v>130</v>
      </c>
      <c r="BX1998" s="0" t="s">
        <v>130</v>
      </c>
      <c r="BY1998" s="0" t="s">
        <v>130</v>
      </c>
      <c r="BZ1998" s="0" t="s">
        <v>130</v>
      </c>
      <c r="CA1998" s="0" t="s">
        <v>130</v>
      </c>
      <c r="CB1998" s="0" t="s">
        <v>130</v>
      </c>
      <c r="CC1998" s="0" t="s">
        <v>130</v>
      </c>
      <c r="CD1998" s="0" t="s">
        <v>130</v>
      </c>
      <c r="CE1998" s="0" t="s">
        <v>130</v>
      </c>
      <c r="CF1998" s="0" t="s">
        <v>130</v>
      </c>
      <c r="CG1998" s="0" t="s">
        <v>130</v>
      </c>
      <c r="CH1998" s="0" t="s">
        <v>130</v>
      </c>
      <c r="CI1998" s="0" t="s">
        <v>130</v>
      </c>
      <c r="CJ1998" s="0" t="s">
        <v>130</v>
      </c>
      <c r="CK1998" s="0" t="s">
        <v>130</v>
      </c>
      <c r="CL1998" s="0" t="s">
        <v>130</v>
      </c>
      <c r="CM1998" s="0" t="s">
        <v>130</v>
      </c>
      <c r="CN1998" s="0" t="s">
        <v>130</v>
      </c>
      <c r="CO1998" s="0" t="s">
        <v>130</v>
      </c>
      <c r="CP1998" s="0" t="s">
        <v>130</v>
      </c>
      <c r="CQ1998" s="0" t="s">
        <v>130</v>
      </c>
      <c r="CR1998" s="0" t="s">
        <v>130</v>
      </c>
      <c r="CS1998" s="0" t="s">
        <v>130</v>
      </c>
      <c r="CT1998" s="0" t="s">
        <v>5614</v>
      </c>
    </row>
    <row r="1999">
      <c r="A1999" s="14">
        <v>1442748</v>
      </c>
      <c r="B1999" s="0" t="s">
        <v>3624</v>
      </c>
      <c r="C1999" s="16">
        <f>HYPERLINK("https://eosportal.federatedhermes.com/companies/Q29tcGFueQppNjI1MDA=", "Mitsubishi UFJ Financial Group Inc")</f>
      </c>
      <c r="D1999" s="0" t="s">
        <v>23</v>
      </c>
      <c r="E1999" s="0" t="s">
        <v>5615</v>
      </c>
      <c r="F1999" s="16">
        <f>HYPERLINK("https://eosportal.federatedhermes.com/engagements/RW5nYWdlbWVudAppMzE4OTM=", "Workforce gender diversity")</f>
      </c>
      <c r="G1999" s="14" t="s">
        <v>5616</v>
      </c>
      <c r="H1999" s="0" t="s">
        <v>141</v>
      </c>
      <c r="I1999" s="14" t="s">
        <v>1645</v>
      </c>
      <c r="J1999" s="0" t="s">
        <v>153</v>
      </c>
      <c r="K1999" s="0" t="s">
        <v>154</v>
      </c>
      <c r="L1999" s="0" t="s">
        <v>268</v>
      </c>
      <c r="M1999" s="0" t="s">
        <v>802</v>
      </c>
      <c r="N1999" s="0" t="s">
        <v>952</v>
      </c>
      <c r="O1999" s="0" t="s">
        <v>238</v>
      </c>
      <c r="Q1999" s="0" t="s">
        <v>141</v>
      </c>
      <c r="R1999" s="0" t="s">
        <v>130</v>
      </c>
      <c r="S1999" s="14">
        <v>1</v>
      </c>
      <c r="T1999" s="0" t="s">
        <v>597</v>
      </c>
      <c r="U1999" s="0" t="s">
        <v>221</v>
      </c>
      <c r="V1999" s="14" t="s">
        <v>597</v>
      </c>
      <c r="W1999" s="0" t="s">
        <v>223</v>
      </c>
      <c r="X1999" s="14" t="s">
        <v>138</v>
      </c>
      <c r="Y1999" s="0" t="s">
        <v>224</v>
      </c>
      <c r="Z1999" s="14" t="s">
        <v>138</v>
      </c>
      <c r="AA1999" s="0" t="s">
        <v>224</v>
      </c>
      <c r="AB1999" s="14" t="s">
        <v>138</v>
      </c>
      <c r="AD1999" s="0" t="s">
        <v>14</v>
      </c>
      <c r="AF1999" s="0">
        <v>0</v>
      </c>
      <c r="AG1999" s="0">
        <v>0</v>
      </c>
      <c r="AH1999" s="0" t="s">
        <v>140</v>
      </c>
      <c r="AI1999" s="0" t="s">
        <v>232</v>
      </c>
      <c r="AK1999" s="0" t="s">
        <v>3789</v>
      </c>
      <c r="AL1999" s="14"/>
      <c r="AN1999" s="14"/>
      <c r="AQ1999" s="0" t="s">
        <v>130</v>
      </c>
      <c r="AR1999" s="0" t="s">
        <v>130</v>
      </c>
      <c r="AS1999" s="0" t="s">
        <v>130</v>
      </c>
      <c r="AT1999" s="0" t="s">
        <v>130</v>
      </c>
      <c r="AU1999" s="0" t="s">
        <v>141</v>
      </c>
      <c r="AV1999" s="0" t="s">
        <v>130</v>
      </c>
      <c r="AW1999" s="0" t="s">
        <v>130</v>
      </c>
      <c r="AX1999" s="0" t="s">
        <v>130</v>
      </c>
      <c r="AY1999" s="0" t="s">
        <v>130</v>
      </c>
      <c r="AZ1999" s="0" t="s">
        <v>130</v>
      </c>
      <c r="BA1999" s="0" t="s">
        <v>130</v>
      </c>
      <c r="BB1999" s="0" t="s">
        <v>130</v>
      </c>
      <c r="BC1999" s="0" t="s">
        <v>130</v>
      </c>
      <c r="BD1999" s="0" t="s">
        <v>130</v>
      </c>
      <c r="BE1999" s="0" t="s">
        <v>130</v>
      </c>
      <c r="BF1999" s="0" t="s">
        <v>130</v>
      </c>
      <c r="BG1999" s="0" t="s">
        <v>130</v>
      </c>
      <c r="BH1999" s="0" t="s">
        <v>130</v>
      </c>
      <c r="BI1999" s="0" t="s">
        <v>130</v>
      </c>
      <c r="BJ1999" s="0" t="s">
        <v>130</v>
      </c>
      <c r="BK1999" s="0" t="s">
        <v>130</v>
      </c>
      <c r="BL1999" s="0" t="s">
        <v>130</v>
      </c>
      <c r="BM1999" s="0" t="s">
        <v>130</v>
      </c>
      <c r="BN1999" s="0" t="s">
        <v>130</v>
      </c>
      <c r="BO1999" s="0" t="s">
        <v>130</v>
      </c>
      <c r="BP1999" s="0" t="s">
        <v>130</v>
      </c>
      <c r="BQ1999" s="0" t="s">
        <v>130</v>
      </c>
      <c r="BR1999" s="0" t="s">
        <v>130</v>
      </c>
      <c r="BS1999" s="0" t="s">
        <v>130</v>
      </c>
      <c r="BT1999" s="0" t="s">
        <v>130</v>
      </c>
      <c r="BU1999" s="0" t="s">
        <v>130</v>
      </c>
      <c r="BV1999" s="0" t="s">
        <v>130</v>
      </c>
      <c r="BW1999" s="0" t="s">
        <v>130</v>
      </c>
      <c r="BX1999" s="0" t="s">
        <v>130</v>
      </c>
      <c r="BY1999" s="0" t="s">
        <v>130</v>
      </c>
      <c r="BZ1999" s="0" t="s">
        <v>130</v>
      </c>
      <c r="CA1999" s="0" t="s">
        <v>130</v>
      </c>
      <c r="CB1999" s="0" t="s">
        <v>130</v>
      </c>
      <c r="CC1999" s="0" t="s">
        <v>130</v>
      </c>
      <c r="CD1999" s="0" t="s">
        <v>130</v>
      </c>
      <c r="CE1999" s="0" t="s">
        <v>130</v>
      </c>
      <c r="CF1999" s="0" t="s">
        <v>130</v>
      </c>
      <c r="CG1999" s="0" t="s">
        <v>130</v>
      </c>
      <c r="CH1999" s="0" t="s">
        <v>130</v>
      </c>
      <c r="CI1999" s="0" t="s">
        <v>130</v>
      </c>
      <c r="CJ1999" s="0" t="s">
        <v>130</v>
      </c>
      <c r="CK1999" s="0" t="s">
        <v>141</v>
      </c>
      <c r="CL1999" s="0" t="s">
        <v>130</v>
      </c>
      <c r="CM1999" s="0" t="s">
        <v>130</v>
      </c>
      <c r="CN1999" s="0" t="s">
        <v>130</v>
      </c>
      <c r="CO1999" s="0" t="s">
        <v>130</v>
      </c>
      <c r="CP1999" s="0" t="s">
        <v>130</v>
      </c>
      <c r="CQ1999" s="0" t="s">
        <v>130</v>
      </c>
      <c r="CR1999" s="0" t="s">
        <v>130</v>
      </c>
      <c r="CS1999" s="0" t="s">
        <v>130</v>
      </c>
      <c r="CT1999" s="0" t="s">
        <v>5617</v>
      </c>
    </row>
    <row r="2000">
      <c r="A2000" s="14">
        <v>108444</v>
      </c>
      <c r="B2000" s="0" t="s">
        <v>2214</v>
      </c>
      <c r="C2000" s="16">
        <f>HYPERLINK("https://eosportal.federatedhermes.com/companies/Q29tcGFueQppNjQzNzA=", "Bank of Montreal")</f>
      </c>
      <c r="D2000" s="0" t="s">
        <v>23</v>
      </c>
      <c r="E2000" s="0" t="s">
        <v>5284</v>
      </c>
      <c r="F2000" s="16">
        <f>HYPERLINK("https://eosportal.federatedhermes.com/engagements/RW5nYWdlbWVudAppMzE5MTI=", "Financing requirement for FPIC")</f>
      </c>
      <c r="G2000" s="14" t="s">
        <v>5285</v>
      </c>
      <c r="H2000" s="0" t="s">
        <v>141</v>
      </c>
      <c r="I2000" s="14" t="s">
        <v>191</v>
      </c>
      <c r="J2000" s="0" t="s">
        <v>153</v>
      </c>
      <c r="K2000" s="0" t="s">
        <v>243</v>
      </c>
      <c r="L2000" s="0" t="s">
        <v>571</v>
      </c>
      <c r="M2000" s="0" t="s">
        <v>135</v>
      </c>
      <c r="N2000" s="0" t="s">
        <v>1678</v>
      </c>
      <c r="O2000" s="0" t="s">
        <v>238</v>
      </c>
      <c r="Q2000" s="0" t="s">
        <v>141</v>
      </c>
      <c r="R2000" s="0" t="s">
        <v>141</v>
      </c>
      <c r="S2000" s="14">
        <v>1</v>
      </c>
      <c r="T2000" s="0" t="s">
        <v>360</v>
      </c>
      <c r="U2000" s="0" t="s">
        <v>221</v>
      </c>
      <c r="V2000" s="14" t="s">
        <v>360</v>
      </c>
      <c r="W2000" s="0" t="s">
        <v>221</v>
      </c>
      <c r="X2000" s="14" t="s">
        <v>3562</v>
      </c>
      <c r="Y2000" s="0" t="s">
        <v>221</v>
      </c>
      <c r="Z2000" s="14" t="s">
        <v>361</v>
      </c>
      <c r="AA2000" s="0" t="s">
        <v>223</v>
      </c>
      <c r="AB2000" s="14" t="s">
        <v>138</v>
      </c>
      <c r="AC2000" s="0" t="s">
        <v>17</v>
      </c>
      <c r="AD2000" s="0" t="s">
        <v>20</v>
      </c>
      <c r="AE2000" s="0" t="s">
        <v>2266</v>
      </c>
      <c r="AF2000" s="0">
        <v>1</v>
      </c>
      <c r="AG2000" s="0">
        <v>0</v>
      </c>
      <c r="AH2000" s="0" t="s">
        <v>140</v>
      </c>
      <c r="AI2000" s="0" t="s">
        <v>598</v>
      </c>
      <c r="AK2000" s="0" t="s">
        <v>339</v>
      </c>
      <c r="AL2000" s="14"/>
      <c r="AN2000" s="14"/>
      <c r="AQ2000" s="0" t="s">
        <v>130</v>
      </c>
      <c r="AR2000" s="0" t="s">
        <v>130</v>
      </c>
      <c r="AS2000" s="0" t="s">
        <v>130</v>
      </c>
      <c r="AT2000" s="0" t="s">
        <v>130</v>
      </c>
      <c r="AU2000" s="0" t="s">
        <v>130</v>
      </c>
      <c r="AV2000" s="0" t="s">
        <v>130</v>
      </c>
      <c r="AW2000" s="0" t="s">
        <v>130</v>
      </c>
      <c r="AX2000" s="0" t="s">
        <v>130</v>
      </c>
      <c r="AY2000" s="0" t="s">
        <v>130</v>
      </c>
      <c r="AZ2000" s="0" t="s">
        <v>141</v>
      </c>
      <c r="BA2000" s="0" t="s">
        <v>141</v>
      </c>
      <c r="BB2000" s="0" t="s">
        <v>130</v>
      </c>
      <c r="BC2000" s="0" t="s">
        <v>130</v>
      </c>
      <c r="BD2000" s="0" t="s">
        <v>130</v>
      </c>
      <c r="BE2000" s="0" t="s">
        <v>130</v>
      </c>
      <c r="BF2000" s="0" t="s">
        <v>141</v>
      </c>
      <c r="BG2000" s="0" t="s">
        <v>130</v>
      </c>
      <c r="BH2000" s="0" t="s">
        <v>130</v>
      </c>
      <c r="BI2000" s="0" t="s">
        <v>130</v>
      </c>
      <c r="BJ2000" s="0" t="s">
        <v>130</v>
      </c>
      <c r="BK2000" s="0" t="s">
        <v>130</v>
      </c>
      <c r="BL2000" s="0" t="s">
        <v>130</v>
      </c>
      <c r="BM2000" s="0" t="s">
        <v>130</v>
      </c>
      <c r="BN2000" s="0" t="s">
        <v>130</v>
      </c>
      <c r="BO2000" s="0" t="s">
        <v>130</v>
      </c>
      <c r="BP2000" s="0" t="s">
        <v>130</v>
      </c>
      <c r="BQ2000" s="0" t="s">
        <v>130</v>
      </c>
      <c r="BR2000" s="0" t="s">
        <v>130</v>
      </c>
      <c r="BS2000" s="0" t="s">
        <v>130</v>
      </c>
      <c r="BT2000" s="0" t="s">
        <v>130</v>
      </c>
      <c r="BU2000" s="0" t="s">
        <v>130</v>
      </c>
      <c r="BV2000" s="0" t="s">
        <v>130</v>
      </c>
      <c r="BW2000" s="0" t="s">
        <v>130</v>
      </c>
      <c r="BX2000" s="0" t="s">
        <v>130</v>
      </c>
      <c r="BY2000" s="0" t="s">
        <v>130</v>
      </c>
      <c r="BZ2000" s="0" t="s">
        <v>130</v>
      </c>
      <c r="CA2000" s="0" t="s">
        <v>130</v>
      </c>
      <c r="CB2000" s="0" t="s">
        <v>130</v>
      </c>
      <c r="CC2000" s="0" t="s">
        <v>130</v>
      </c>
      <c r="CD2000" s="0" t="s">
        <v>130</v>
      </c>
      <c r="CE2000" s="0" t="s">
        <v>130</v>
      </c>
      <c r="CF2000" s="0" t="s">
        <v>130</v>
      </c>
      <c r="CG2000" s="0" t="s">
        <v>130</v>
      </c>
      <c r="CH2000" s="0" t="s">
        <v>130</v>
      </c>
      <c r="CI2000" s="0" t="s">
        <v>130</v>
      </c>
      <c r="CJ2000" s="0" t="s">
        <v>130</v>
      </c>
      <c r="CK2000" s="0" t="s">
        <v>130</v>
      </c>
      <c r="CL2000" s="0" t="s">
        <v>130</v>
      </c>
      <c r="CM2000" s="0" t="s">
        <v>130</v>
      </c>
      <c r="CN2000" s="0" t="s">
        <v>130</v>
      </c>
      <c r="CO2000" s="0" t="s">
        <v>130</v>
      </c>
      <c r="CP2000" s="0" t="s">
        <v>130</v>
      </c>
      <c r="CQ2000" s="0" t="s">
        <v>130</v>
      </c>
      <c r="CR2000" s="0" t="s">
        <v>130</v>
      </c>
      <c r="CS2000" s="0" t="s">
        <v>130</v>
      </c>
      <c r="CT2000" s="0" t="s">
        <v>5618</v>
      </c>
    </row>
    <row r="2001">
      <c r="A2001" s="14">
        <v>100743</v>
      </c>
      <c r="B2001" s="0" t="s">
        <v>927</v>
      </c>
      <c r="C2001" s="16">
        <f>HYPERLINK("https://eosportal.federatedhermes.com/companies/Q29tcGFueQppNjQzNzc=", "Home Depot Inc/The")</f>
      </c>
      <c r="D2001" s="0" t="s">
        <v>23</v>
      </c>
      <c r="E2001" s="0" t="s">
        <v>5278</v>
      </c>
      <c r="F2001" s="16">
        <f>HYPERLINK("https://eosportal.federatedhermes.com/engagements/RW5nYWdlbWVudAppMzE5MTM=", "Pay gap reporting")</f>
      </c>
      <c r="G2001" s="14" t="s">
        <v>5619</v>
      </c>
      <c r="H2001" s="0" t="s">
        <v>141</v>
      </c>
      <c r="I2001" s="14" t="s">
        <v>191</v>
      </c>
      <c r="J2001" s="0" t="s">
        <v>153</v>
      </c>
      <c r="K2001" s="0" t="s">
        <v>154</v>
      </c>
      <c r="L2001" s="0" t="s">
        <v>268</v>
      </c>
      <c r="M2001" s="0" t="s">
        <v>135</v>
      </c>
      <c r="N2001" s="0" t="s">
        <v>136</v>
      </c>
      <c r="O2001" s="0" t="s">
        <v>643</v>
      </c>
      <c r="Q2001" s="0" t="s">
        <v>141</v>
      </c>
      <c r="R2001" s="0" t="s">
        <v>130</v>
      </c>
      <c r="S2001" s="14">
        <v>2</v>
      </c>
      <c r="T2001" s="0" t="s">
        <v>478</v>
      </c>
      <c r="U2001" s="0" t="s">
        <v>221</v>
      </c>
      <c r="V2001" s="14" t="s">
        <v>478</v>
      </c>
      <c r="W2001" s="0" t="s">
        <v>221</v>
      </c>
      <c r="X2001" s="14" t="s">
        <v>478</v>
      </c>
      <c r="Y2001" s="0" t="s">
        <v>223</v>
      </c>
      <c r="Z2001" s="14" t="s">
        <v>138</v>
      </c>
      <c r="AA2001" s="0" t="s">
        <v>224</v>
      </c>
      <c r="AB2001" s="14" t="s">
        <v>138</v>
      </c>
      <c r="AD2001" s="0" t="s">
        <v>17</v>
      </c>
      <c r="AF2001" s="0">
        <v>0</v>
      </c>
      <c r="AG2001" s="0">
        <v>0</v>
      </c>
      <c r="AH2001" s="0" t="s">
        <v>140</v>
      </c>
      <c r="AI2001" s="0" t="s">
        <v>479</v>
      </c>
      <c r="AK2001" s="0" t="s">
        <v>300</v>
      </c>
      <c r="AL2001" s="14"/>
      <c r="AN2001" s="14"/>
      <c r="AQ2001" s="0" t="s">
        <v>130</v>
      </c>
      <c r="AR2001" s="0" t="s">
        <v>130</v>
      </c>
      <c r="AS2001" s="0" t="s">
        <v>130</v>
      </c>
      <c r="AT2001" s="0" t="s">
        <v>130</v>
      </c>
      <c r="AU2001" s="0" t="s">
        <v>130</v>
      </c>
      <c r="AV2001" s="0" t="s">
        <v>130</v>
      </c>
      <c r="AW2001" s="0" t="s">
        <v>130</v>
      </c>
      <c r="AX2001" s="0" t="s">
        <v>141</v>
      </c>
      <c r="AY2001" s="0" t="s">
        <v>130</v>
      </c>
      <c r="AZ2001" s="0" t="s">
        <v>130</v>
      </c>
      <c r="BA2001" s="0" t="s">
        <v>130</v>
      </c>
      <c r="BB2001" s="0" t="s">
        <v>130</v>
      </c>
      <c r="BC2001" s="0" t="s">
        <v>130</v>
      </c>
      <c r="BD2001" s="0" t="s">
        <v>130</v>
      </c>
      <c r="BE2001" s="0" t="s">
        <v>130</v>
      </c>
      <c r="BF2001" s="0" t="s">
        <v>130</v>
      </c>
      <c r="BG2001" s="0" t="s">
        <v>130</v>
      </c>
      <c r="BH2001" s="0" t="s">
        <v>130</v>
      </c>
      <c r="BI2001" s="0" t="s">
        <v>130</v>
      </c>
      <c r="BJ2001" s="0" t="s">
        <v>130</v>
      </c>
      <c r="BK2001" s="0" t="s">
        <v>130</v>
      </c>
      <c r="BL2001" s="0" t="s">
        <v>130</v>
      </c>
      <c r="BM2001" s="0" t="s">
        <v>130</v>
      </c>
      <c r="BN2001" s="0" t="s">
        <v>130</v>
      </c>
      <c r="BO2001" s="0" t="s">
        <v>130</v>
      </c>
      <c r="BP2001" s="0" t="s">
        <v>130</v>
      </c>
      <c r="BQ2001" s="0" t="s">
        <v>130</v>
      </c>
      <c r="BR2001" s="0" t="s">
        <v>130</v>
      </c>
      <c r="BS2001" s="0" t="s">
        <v>130</v>
      </c>
      <c r="BT2001" s="0" t="s">
        <v>130</v>
      </c>
      <c r="BU2001" s="0" t="s">
        <v>130</v>
      </c>
      <c r="BV2001" s="0" t="s">
        <v>130</v>
      </c>
      <c r="BW2001" s="0" t="s">
        <v>130</v>
      </c>
      <c r="BX2001" s="0" t="s">
        <v>130</v>
      </c>
      <c r="BY2001" s="0" t="s">
        <v>130</v>
      </c>
      <c r="BZ2001" s="0" t="s">
        <v>130</v>
      </c>
      <c r="CA2001" s="0" t="s">
        <v>130</v>
      </c>
      <c r="CB2001" s="0" t="s">
        <v>130</v>
      </c>
      <c r="CC2001" s="0" t="s">
        <v>130</v>
      </c>
      <c r="CD2001" s="0" t="s">
        <v>130</v>
      </c>
      <c r="CE2001" s="0" t="s">
        <v>130</v>
      </c>
      <c r="CF2001" s="0" t="s">
        <v>130</v>
      </c>
      <c r="CG2001" s="0" t="s">
        <v>130</v>
      </c>
      <c r="CH2001" s="0" t="s">
        <v>130</v>
      </c>
      <c r="CI2001" s="0" t="s">
        <v>130</v>
      </c>
      <c r="CJ2001" s="0" t="s">
        <v>130</v>
      </c>
      <c r="CK2001" s="0" t="s">
        <v>141</v>
      </c>
      <c r="CL2001" s="0" t="s">
        <v>130</v>
      </c>
      <c r="CM2001" s="0" t="s">
        <v>130</v>
      </c>
      <c r="CN2001" s="0" t="s">
        <v>130</v>
      </c>
      <c r="CO2001" s="0" t="s">
        <v>130</v>
      </c>
      <c r="CP2001" s="0" t="s">
        <v>130</v>
      </c>
      <c r="CQ2001" s="0" t="s">
        <v>130</v>
      </c>
      <c r="CR2001" s="0" t="s">
        <v>130</v>
      </c>
      <c r="CS2001" s="0" t="s">
        <v>130</v>
      </c>
      <c r="CT2001" s="0" t="s">
        <v>5620</v>
      </c>
    </row>
    <row r="2002">
      <c r="A2002" s="14">
        <v>100743</v>
      </c>
      <c r="B2002" s="0" t="s">
        <v>927</v>
      </c>
      <c r="C2002" s="16">
        <f>HYPERLINK("https://eosportal.federatedhermes.com/companies/Q29tcGFueQppNjQzNzc=", "Home Depot Inc/The")</f>
      </c>
      <c r="D2002" s="0" t="s">
        <v>23</v>
      </c>
      <c r="E2002" s="0" t="s">
        <v>228</v>
      </c>
      <c r="F2002" s="16">
        <f>HYPERLINK("https://eosportal.federatedhermes.com/engagements/RW5nYWdlbWVudAppMzE5MTQ=", "Climate strategy")</f>
      </c>
      <c r="G2002" s="14" t="s">
        <v>5621</v>
      </c>
      <c r="H2002" s="0" t="s">
        <v>141</v>
      </c>
      <c r="I2002" s="14" t="s">
        <v>191</v>
      </c>
      <c r="J2002" s="0" t="s">
        <v>197</v>
      </c>
      <c r="K2002" s="0" t="s">
        <v>198</v>
      </c>
      <c r="L2002" s="0" t="s">
        <v>220</v>
      </c>
      <c r="M2002" s="0" t="s">
        <v>135</v>
      </c>
      <c r="N2002" s="0" t="s">
        <v>136</v>
      </c>
      <c r="O2002" s="0" t="s">
        <v>643</v>
      </c>
      <c r="Q2002" s="0" t="s">
        <v>130</v>
      </c>
      <c r="R2002" s="0" t="s">
        <v>130</v>
      </c>
      <c r="S2002" s="14">
        <v>0</v>
      </c>
      <c r="T2002" s="0" t="s">
        <v>478</v>
      </c>
      <c r="U2002" s="0" t="s">
        <v>221</v>
      </c>
      <c r="V2002" s="14" t="s">
        <v>478</v>
      </c>
      <c r="W2002" s="0" t="s">
        <v>221</v>
      </c>
      <c r="X2002" s="14" t="s">
        <v>478</v>
      </c>
      <c r="Y2002" s="0" t="s">
        <v>223</v>
      </c>
      <c r="Z2002" s="14" t="s">
        <v>138</v>
      </c>
      <c r="AA2002" s="0" t="s">
        <v>224</v>
      </c>
      <c r="AB2002" s="14" t="s">
        <v>138</v>
      </c>
      <c r="AD2002" s="0" t="s">
        <v>17</v>
      </c>
      <c r="AF2002" s="0">
        <v>0</v>
      </c>
      <c r="AG2002" s="0">
        <v>0</v>
      </c>
      <c r="AH2002" s="0" t="s">
        <v>140</v>
      </c>
      <c r="AI2002" s="0" t="s">
        <v>479</v>
      </c>
      <c r="AL2002" s="14"/>
      <c r="AN2002" s="14"/>
      <c r="AQ2002" s="0" t="s">
        <v>130</v>
      </c>
      <c r="AR2002" s="0" t="s">
        <v>130</v>
      </c>
      <c r="AS2002" s="0" t="s">
        <v>130</v>
      </c>
      <c r="AT2002" s="0" t="s">
        <v>130</v>
      </c>
      <c r="AU2002" s="0" t="s">
        <v>130</v>
      </c>
      <c r="AV2002" s="0" t="s">
        <v>130</v>
      </c>
      <c r="AW2002" s="0" t="s">
        <v>141</v>
      </c>
      <c r="AX2002" s="0" t="s">
        <v>130</v>
      </c>
      <c r="AY2002" s="0" t="s">
        <v>141</v>
      </c>
      <c r="AZ2002" s="0" t="s">
        <v>130</v>
      </c>
      <c r="BA2002" s="0" t="s">
        <v>130</v>
      </c>
      <c r="BB2002" s="0" t="s">
        <v>130</v>
      </c>
      <c r="BC2002" s="0" t="s">
        <v>141</v>
      </c>
      <c r="BD2002" s="0" t="s">
        <v>130</v>
      </c>
      <c r="BE2002" s="0" t="s">
        <v>130</v>
      </c>
      <c r="BF2002" s="0" t="s">
        <v>130</v>
      </c>
      <c r="BG2002" s="0" t="s">
        <v>130</v>
      </c>
      <c r="BH2002" s="0" t="s">
        <v>141</v>
      </c>
      <c r="BI2002" s="0" t="s">
        <v>141</v>
      </c>
      <c r="BJ2002" s="0" t="s">
        <v>141</v>
      </c>
      <c r="BK2002" s="0" t="s">
        <v>130</v>
      </c>
      <c r="BL2002" s="0" t="s">
        <v>130</v>
      </c>
      <c r="BM2002" s="0" t="s">
        <v>130</v>
      </c>
      <c r="BN2002" s="0" t="s">
        <v>130</v>
      </c>
      <c r="BO2002" s="0" t="s">
        <v>130</v>
      </c>
      <c r="BP2002" s="0" t="s">
        <v>130</v>
      </c>
      <c r="BQ2002" s="0" t="s">
        <v>130</v>
      </c>
      <c r="BR2002" s="0" t="s">
        <v>130</v>
      </c>
      <c r="BS2002" s="0" t="s">
        <v>130</v>
      </c>
      <c r="BT2002" s="0" t="s">
        <v>130</v>
      </c>
      <c r="BU2002" s="0" t="s">
        <v>130</v>
      </c>
      <c r="BV2002" s="0" t="s">
        <v>141</v>
      </c>
      <c r="BW2002" s="0" t="s">
        <v>141</v>
      </c>
      <c r="BX2002" s="0" t="s">
        <v>130</v>
      </c>
      <c r="BY2002" s="0" t="s">
        <v>130</v>
      </c>
      <c r="BZ2002" s="0" t="s">
        <v>130</v>
      </c>
      <c r="CA2002" s="0" t="s">
        <v>130</v>
      </c>
      <c r="CB2002" s="0" t="s">
        <v>130</v>
      </c>
      <c r="CC2002" s="0" t="s">
        <v>130</v>
      </c>
      <c r="CD2002" s="0" t="s">
        <v>130</v>
      </c>
      <c r="CE2002" s="0" t="s">
        <v>130</v>
      </c>
      <c r="CF2002" s="0" t="s">
        <v>130</v>
      </c>
      <c r="CG2002" s="0" t="s">
        <v>130</v>
      </c>
      <c r="CH2002" s="0" t="s">
        <v>130</v>
      </c>
      <c r="CI2002" s="0" t="s">
        <v>130</v>
      </c>
      <c r="CJ2002" s="0" t="s">
        <v>130</v>
      </c>
      <c r="CK2002" s="0" t="s">
        <v>130</v>
      </c>
      <c r="CL2002" s="0" t="s">
        <v>130</v>
      </c>
      <c r="CM2002" s="0" t="s">
        <v>130</v>
      </c>
      <c r="CN2002" s="0" t="s">
        <v>130</v>
      </c>
      <c r="CO2002" s="0" t="s">
        <v>130</v>
      </c>
      <c r="CP2002" s="0" t="s">
        <v>130</v>
      </c>
      <c r="CQ2002" s="0" t="s">
        <v>130</v>
      </c>
      <c r="CR2002" s="0" t="s">
        <v>130</v>
      </c>
      <c r="CS2002" s="0" t="s">
        <v>130</v>
      </c>
      <c r="CT2002" s="0" t="s">
        <v>5622</v>
      </c>
    </row>
    <row r="2003">
      <c r="A2003" s="14">
        <v>58244711</v>
      </c>
      <c r="B2003" s="0" t="s">
        <v>4639</v>
      </c>
      <c r="C2003" s="16">
        <f>HYPERLINK("https://eosportal.federatedhermes.com/companies/Q29tcGFueQppNzU2NjQ=", "ASE Technology Holding Co Ltd")</f>
      </c>
      <c r="D2003" s="0" t="s">
        <v>23</v>
      </c>
      <c r="E2003" s="0" t="s">
        <v>5615</v>
      </c>
      <c r="F2003" s="16">
        <f>HYPERLINK("https://eosportal.federatedhermes.com/engagements/RW5nYWdlbWVudAppMzE5NzI=", "Workforce gender diversity")</f>
      </c>
      <c r="G2003" s="14" t="s">
        <v>5623</v>
      </c>
      <c r="H2003" s="0" t="s">
        <v>130</v>
      </c>
      <c r="I2003" s="14" t="s">
        <v>131</v>
      </c>
      <c r="J2003" s="0" t="s">
        <v>153</v>
      </c>
      <c r="K2003" s="0" t="s">
        <v>154</v>
      </c>
      <c r="L2003" s="0" t="s">
        <v>268</v>
      </c>
      <c r="M2003" s="0" t="s">
        <v>802</v>
      </c>
      <c r="N2003" s="0" t="s">
        <v>2941</v>
      </c>
      <c r="O2003" s="0" t="s">
        <v>1125</v>
      </c>
      <c r="Q2003" s="0" t="s">
        <v>130</v>
      </c>
      <c r="R2003" s="0" t="s">
        <v>130</v>
      </c>
      <c r="S2003" s="14">
        <v>0</v>
      </c>
      <c r="T2003" s="0" t="s">
        <v>222</v>
      </c>
      <c r="U2003" s="0" t="s">
        <v>221</v>
      </c>
      <c r="V2003" s="14" t="s">
        <v>222</v>
      </c>
      <c r="W2003" s="0" t="s">
        <v>221</v>
      </c>
      <c r="X2003" s="14" t="s">
        <v>446</v>
      </c>
      <c r="Y2003" s="0" t="s">
        <v>223</v>
      </c>
      <c r="Z2003" s="14" t="s">
        <v>138</v>
      </c>
      <c r="AA2003" s="0" t="s">
        <v>224</v>
      </c>
      <c r="AB2003" s="14" t="s">
        <v>138</v>
      </c>
      <c r="AD2003" s="0" t="s">
        <v>17</v>
      </c>
      <c r="AF2003" s="0">
        <v>0</v>
      </c>
      <c r="AG2003" s="0">
        <v>0</v>
      </c>
      <c r="AH2003" s="0" t="s">
        <v>140</v>
      </c>
      <c r="AI2003" s="0" t="s">
        <v>479</v>
      </c>
      <c r="AL2003" s="14"/>
      <c r="AN2003" s="14"/>
      <c r="AQ2003" s="0" t="s">
        <v>130</v>
      </c>
      <c r="AR2003" s="0" t="s">
        <v>130</v>
      </c>
      <c r="AS2003" s="0" t="s">
        <v>141</v>
      </c>
      <c r="AT2003" s="0" t="s">
        <v>141</v>
      </c>
      <c r="AU2003" s="0" t="s">
        <v>141</v>
      </c>
      <c r="AV2003" s="0" t="s">
        <v>130</v>
      </c>
      <c r="AW2003" s="0" t="s">
        <v>130</v>
      </c>
      <c r="AX2003" s="0" t="s">
        <v>141</v>
      </c>
      <c r="AY2003" s="0" t="s">
        <v>130</v>
      </c>
      <c r="AZ2003" s="0" t="s">
        <v>141</v>
      </c>
      <c r="BA2003" s="0" t="s">
        <v>130</v>
      </c>
      <c r="BB2003" s="0" t="s">
        <v>130</v>
      </c>
      <c r="BC2003" s="0" t="s">
        <v>130</v>
      </c>
      <c r="BD2003" s="0" t="s">
        <v>130</v>
      </c>
      <c r="BE2003" s="0" t="s">
        <v>130</v>
      </c>
      <c r="BF2003" s="0" t="s">
        <v>141</v>
      </c>
      <c r="BG2003" s="0" t="s">
        <v>130</v>
      </c>
      <c r="BH2003" s="0" t="s">
        <v>130</v>
      </c>
      <c r="BI2003" s="0" t="s">
        <v>130</v>
      </c>
      <c r="BJ2003" s="0" t="s">
        <v>130</v>
      </c>
      <c r="BK2003" s="0" t="s">
        <v>130</v>
      </c>
      <c r="BL2003" s="0" t="s">
        <v>130</v>
      </c>
      <c r="BM2003" s="0" t="s">
        <v>130</v>
      </c>
      <c r="BN2003" s="0" t="s">
        <v>130</v>
      </c>
      <c r="BO2003" s="0" t="s">
        <v>130</v>
      </c>
      <c r="BP2003" s="0" t="s">
        <v>130</v>
      </c>
      <c r="BQ2003" s="0" t="s">
        <v>130</v>
      </c>
      <c r="BR2003" s="0" t="s">
        <v>130</v>
      </c>
      <c r="BS2003" s="0" t="s">
        <v>130</v>
      </c>
      <c r="BT2003" s="0" t="s">
        <v>130</v>
      </c>
      <c r="BU2003" s="0" t="s">
        <v>130</v>
      </c>
      <c r="BV2003" s="0" t="s">
        <v>130</v>
      </c>
      <c r="BW2003" s="0" t="s">
        <v>130</v>
      </c>
      <c r="BX2003" s="0" t="s">
        <v>130</v>
      </c>
      <c r="BY2003" s="0" t="s">
        <v>130</v>
      </c>
      <c r="BZ2003" s="0" t="s">
        <v>130</v>
      </c>
      <c r="CA2003" s="0" t="s">
        <v>130</v>
      </c>
      <c r="CB2003" s="0" t="s">
        <v>130</v>
      </c>
      <c r="CC2003" s="0" t="s">
        <v>130</v>
      </c>
      <c r="CD2003" s="0" t="s">
        <v>130</v>
      </c>
      <c r="CE2003" s="0" t="s">
        <v>130</v>
      </c>
      <c r="CF2003" s="0" t="s">
        <v>130</v>
      </c>
      <c r="CG2003" s="0" t="s">
        <v>130</v>
      </c>
      <c r="CH2003" s="0" t="s">
        <v>130</v>
      </c>
      <c r="CI2003" s="0" t="s">
        <v>130</v>
      </c>
      <c r="CJ2003" s="0" t="s">
        <v>130</v>
      </c>
      <c r="CK2003" s="0" t="s">
        <v>141</v>
      </c>
      <c r="CL2003" s="0" t="s">
        <v>130</v>
      </c>
      <c r="CM2003" s="0" t="s">
        <v>130</v>
      </c>
      <c r="CN2003" s="0" t="s">
        <v>130</v>
      </c>
      <c r="CO2003" s="0" t="s">
        <v>130</v>
      </c>
      <c r="CP2003" s="0" t="s">
        <v>130</v>
      </c>
      <c r="CQ2003" s="0" t="s">
        <v>130</v>
      </c>
      <c r="CR2003" s="0" t="s">
        <v>130</v>
      </c>
      <c r="CS2003" s="0" t="s">
        <v>130</v>
      </c>
      <c r="CT2003" s="0" t="s">
        <v>5624</v>
      </c>
    </row>
    <row r="2004">
      <c r="A2004" s="14">
        <v>186941</v>
      </c>
      <c r="B2004" s="0" t="s">
        <v>3270</v>
      </c>
      <c r="C2004" s="16">
        <f>HYPERLINK("https://eosportal.federatedhermes.com/companies/Q29tcGFueQppNzc5MzA=", "China Construction Bank Corp")</f>
      </c>
      <c r="D2004" s="0" t="s">
        <v>25</v>
      </c>
      <c r="E2004" s="0" t="s">
        <v>5625</v>
      </c>
      <c r="F2004" s="16">
        <f>HYPERLINK("https://eosportal.federatedhermes.com/engagements/RW5nYWdlbWVudAppMzIwMDE=", "Time-bound targets to increase diversity")</f>
      </c>
      <c r="G2004" s="14" t="s">
        <v>5626</v>
      </c>
      <c r="H2004" s="0" t="s">
        <v>141</v>
      </c>
      <c r="I2004" s="14" t="s">
        <v>131</v>
      </c>
      <c r="J2004" s="0" t="s">
        <v>153</v>
      </c>
      <c r="K2004" s="0" t="s">
        <v>154</v>
      </c>
      <c r="L2004" s="0" t="s">
        <v>268</v>
      </c>
      <c r="M2004" s="0" t="s">
        <v>2807</v>
      </c>
      <c r="N2004" s="0" t="s">
        <v>3272</v>
      </c>
      <c r="O2004" s="0" t="s">
        <v>238</v>
      </c>
      <c r="Q2004" s="0" t="s">
        <v>130</v>
      </c>
      <c r="R2004" s="0" t="s">
        <v>138</v>
      </c>
      <c r="S2004" s="14">
        <v>0</v>
      </c>
      <c r="T2004" s="0" t="s">
        <v>478</v>
      </c>
      <c r="U2004" s="0" t="s">
        <v>138</v>
      </c>
      <c r="V2004" s="14" t="s">
        <v>138</v>
      </c>
      <c r="W2004" s="0" t="s">
        <v>138</v>
      </c>
      <c r="X2004" s="14" t="s">
        <v>138</v>
      </c>
      <c r="Y2004" s="0" t="s">
        <v>138</v>
      </c>
      <c r="Z2004" s="14" t="s">
        <v>138</v>
      </c>
      <c r="AA2004" s="0" t="s">
        <v>138</v>
      </c>
      <c r="AB2004" s="14" t="s">
        <v>138</v>
      </c>
      <c r="AD2004" s="0" t="s">
        <v>138</v>
      </c>
      <c r="AF2004" s="0">
        <v>0</v>
      </c>
      <c r="AG2004" s="0">
        <v>0</v>
      </c>
      <c r="AH2004" s="0" t="s">
        <v>140</v>
      </c>
      <c r="AI2004" s="0" t="s">
        <v>138</v>
      </c>
      <c r="AL2004" s="14"/>
      <c r="AN2004" s="14"/>
      <c r="AQ2004" s="0" t="s">
        <v>130</v>
      </c>
      <c r="AR2004" s="0" t="s">
        <v>130</v>
      </c>
      <c r="AS2004" s="0" t="s">
        <v>130</v>
      </c>
      <c r="AT2004" s="0" t="s">
        <v>130</v>
      </c>
      <c r="AU2004" s="0" t="s">
        <v>130</v>
      </c>
      <c r="AV2004" s="0" t="s">
        <v>130</v>
      </c>
      <c r="AW2004" s="0" t="s">
        <v>130</v>
      </c>
      <c r="AX2004" s="0" t="s">
        <v>141</v>
      </c>
      <c r="AY2004" s="0" t="s">
        <v>130</v>
      </c>
      <c r="AZ2004" s="0" t="s">
        <v>130</v>
      </c>
      <c r="BA2004" s="0" t="s">
        <v>130</v>
      </c>
      <c r="BB2004" s="0" t="s">
        <v>130</v>
      </c>
      <c r="BC2004" s="0" t="s">
        <v>130</v>
      </c>
      <c r="BD2004" s="0" t="s">
        <v>130</v>
      </c>
      <c r="BE2004" s="0" t="s">
        <v>130</v>
      </c>
      <c r="BF2004" s="0" t="s">
        <v>130</v>
      </c>
      <c r="BG2004" s="0" t="s">
        <v>130</v>
      </c>
      <c r="BH2004" s="0" t="s">
        <v>130</v>
      </c>
      <c r="BI2004" s="0" t="s">
        <v>130</v>
      </c>
      <c r="BJ2004" s="0" t="s">
        <v>130</v>
      </c>
      <c r="BK2004" s="0" t="s">
        <v>130</v>
      </c>
      <c r="BL2004" s="0" t="s">
        <v>130</v>
      </c>
      <c r="BM2004" s="0" t="s">
        <v>130</v>
      </c>
      <c r="BN2004" s="0" t="s">
        <v>130</v>
      </c>
      <c r="BO2004" s="0" t="s">
        <v>130</v>
      </c>
      <c r="BP2004" s="0" t="s">
        <v>130</v>
      </c>
      <c r="BQ2004" s="0" t="s">
        <v>130</v>
      </c>
      <c r="BR2004" s="0" t="s">
        <v>130</v>
      </c>
      <c r="BS2004" s="0" t="s">
        <v>130</v>
      </c>
      <c r="BT2004" s="0" t="s">
        <v>130</v>
      </c>
      <c r="BU2004" s="0" t="s">
        <v>130</v>
      </c>
      <c r="BV2004" s="0" t="s">
        <v>130</v>
      </c>
      <c r="BW2004" s="0" t="s">
        <v>130</v>
      </c>
      <c r="BX2004" s="0" t="s">
        <v>130</v>
      </c>
      <c r="BY2004" s="0" t="s">
        <v>130</v>
      </c>
      <c r="BZ2004" s="0" t="s">
        <v>130</v>
      </c>
      <c r="CA2004" s="0" t="s">
        <v>130</v>
      </c>
      <c r="CB2004" s="0" t="s">
        <v>130</v>
      </c>
      <c r="CC2004" s="0" t="s">
        <v>130</v>
      </c>
      <c r="CD2004" s="0" t="s">
        <v>130</v>
      </c>
      <c r="CE2004" s="0" t="s">
        <v>130</v>
      </c>
      <c r="CF2004" s="0" t="s">
        <v>130</v>
      </c>
      <c r="CG2004" s="0" t="s">
        <v>130</v>
      </c>
      <c r="CH2004" s="0" t="s">
        <v>130</v>
      </c>
      <c r="CI2004" s="0" t="s">
        <v>130</v>
      </c>
      <c r="CJ2004" s="0" t="s">
        <v>130</v>
      </c>
      <c r="CK2004" s="0" t="s">
        <v>141</v>
      </c>
      <c r="CL2004" s="0" t="s">
        <v>130</v>
      </c>
      <c r="CM2004" s="0" t="s">
        <v>130</v>
      </c>
      <c r="CN2004" s="0" t="s">
        <v>130</v>
      </c>
      <c r="CO2004" s="0" t="s">
        <v>130</v>
      </c>
      <c r="CP2004" s="0" t="s">
        <v>130</v>
      </c>
      <c r="CQ2004" s="0" t="s">
        <v>130</v>
      </c>
      <c r="CR2004" s="0" t="s">
        <v>130</v>
      </c>
      <c r="CS2004" s="0" t="s">
        <v>130</v>
      </c>
      <c r="CT2004" s="0" t="s">
        <v>5627</v>
      </c>
    </row>
    <row r="2005">
      <c r="A2005" s="14">
        <v>69512787</v>
      </c>
      <c r="B2005" s="0" t="s">
        <v>4833</v>
      </c>
      <c r="C2005" s="16">
        <f>HYPERLINK("https://eosportal.federatedhermes.com/companies/Q29tcGFueQppODExMjQ=", "Seagate Technology Holdings PLC")</f>
      </c>
      <c r="D2005" s="0" t="s">
        <v>23</v>
      </c>
      <c r="E2005" s="0" t="s">
        <v>5628</v>
      </c>
      <c r="F2005" s="16">
        <f>HYPERLINK("https://eosportal.federatedhermes.com/engagements/RW5nYWdlbWVudAppMzIwMTU=", "Supply chain monitoring")</f>
      </c>
      <c r="G2005" s="14" t="s">
        <v>5629</v>
      </c>
      <c r="H2005" s="0" t="s">
        <v>130</v>
      </c>
      <c r="I2005" s="14" t="s">
        <v>131</v>
      </c>
      <c r="J2005" s="0" t="s">
        <v>153</v>
      </c>
      <c r="K2005" s="0" t="s">
        <v>243</v>
      </c>
      <c r="L2005" s="0" t="s">
        <v>244</v>
      </c>
      <c r="M2005" s="0" t="s">
        <v>135</v>
      </c>
      <c r="N2005" s="0" t="s">
        <v>136</v>
      </c>
      <c r="O2005" s="0" t="s">
        <v>1125</v>
      </c>
      <c r="Q2005" s="0" t="s">
        <v>130</v>
      </c>
      <c r="R2005" s="0" t="s">
        <v>130</v>
      </c>
      <c r="S2005" s="14">
        <v>0</v>
      </c>
      <c r="T2005" s="0" t="s">
        <v>3562</v>
      </c>
      <c r="U2005" s="0" t="s">
        <v>221</v>
      </c>
      <c r="V2005" s="14" t="s">
        <v>3562</v>
      </c>
      <c r="W2005" s="0" t="s">
        <v>221</v>
      </c>
      <c r="X2005" s="14" t="s">
        <v>3562</v>
      </c>
      <c r="Y2005" s="0" t="s">
        <v>223</v>
      </c>
      <c r="Z2005" s="14" t="s">
        <v>138</v>
      </c>
      <c r="AA2005" s="0" t="s">
        <v>224</v>
      </c>
      <c r="AB2005" s="14" t="s">
        <v>138</v>
      </c>
      <c r="AD2005" s="0" t="s">
        <v>17</v>
      </c>
      <c r="AF2005" s="0">
        <v>0</v>
      </c>
      <c r="AG2005" s="0">
        <v>0</v>
      </c>
      <c r="AH2005" s="0" t="s">
        <v>140</v>
      </c>
      <c r="AI2005" s="0" t="s">
        <v>598</v>
      </c>
      <c r="AL2005" s="14"/>
      <c r="AN2005" s="14"/>
      <c r="AQ2005" s="0" t="s">
        <v>130</v>
      </c>
      <c r="AR2005" s="0" t="s">
        <v>130</v>
      </c>
      <c r="AS2005" s="0" t="s">
        <v>130</v>
      </c>
      <c r="AT2005" s="0" t="s">
        <v>130</v>
      </c>
      <c r="AU2005" s="0" t="s">
        <v>130</v>
      </c>
      <c r="AV2005" s="0" t="s">
        <v>130</v>
      </c>
      <c r="AW2005" s="0" t="s">
        <v>130</v>
      </c>
      <c r="AX2005" s="0" t="s">
        <v>141</v>
      </c>
      <c r="AY2005" s="0" t="s">
        <v>130</v>
      </c>
      <c r="AZ2005" s="0" t="s">
        <v>130</v>
      </c>
      <c r="BA2005" s="0" t="s">
        <v>130</v>
      </c>
      <c r="BB2005" s="0" t="s">
        <v>130</v>
      </c>
      <c r="BC2005" s="0" t="s">
        <v>130</v>
      </c>
      <c r="BD2005" s="0" t="s">
        <v>130</v>
      </c>
      <c r="BE2005" s="0" t="s">
        <v>130</v>
      </c>
      <c r="BF2005" s="0" t="s">
        <v>130</v>
      </c>
      <c r="BG2005" s="0" t="s">
        <v>130</v>
      </c>
      <c r="BH2005" s="0" t="s">
        <v>130</v>
      </c>
      <c r="BI2005" s="0" t="s">
        <v>130</v>
      </c>
      <c r="BJ2005" s="0" t="s">
        <v>130</v>
      </c>
      <c r="BK2005" s="0" t="s">
        <v>130</v>
      </c>
      <c r="BL2005" s="0" t="s">
        <v>130</v>
      </c>
      <c r="BM2005" s="0" t="s">
        <v>130</v>
      </c>
      <c r="BN2005" s="0" t="s">
        <v>130</v>
      </c>
      <c r="BO2005" s="0" t="s">
        <v>130</v>
      </c>
      <c r="BP2005" s="0" t="s">
        <v>130</v>
      </c>
      <c r="BQ2005" s="0" t="s">
        <v>130</v>
      </c>
      <c r="BR2005" s="0" t="s">
        <v>130</v>
      </c>
      <c r="BS2005" s="0" t="s">
        <v>130</v>
      </c>
      <c r="BT2005" s="0" t="s">
        <v>130</v>
      </c>
      <c r="BU2005" s="0" t="s">
        <v>130</v>
      </c>
      <c r="BV2005" s="0" t="s">
        <v>130</v>
      </c>
      <c r="BW2005" s="0" t="s">
        <v>130</v>
      </c>
      <c r="BX2005" s="0" t="s">
        <v>130</v>
      </c>
      <c r="BY2005" s="0" t="s">
        <v>130</v>
      </c>
      <c r="BZ2005" s="0" t="s">
        <v>130</v>
      </c>
      <c r="CA2005" s="0" t="s">
        <v>130</v>
      </c>
      <c r="CB2005" s="0" t="s">
        <v>130</v>
      </c>
      <c r="CC2005" s="0" t="s">
        <v>130</v>
      </c>
      <c r="CD2005" s="0" t="s">
        <v>130</v>
      </c>
      <c r="CE2005" s="0" t="s">
        <v>130</v>
      </c>
      <c r="CF2005" s="0" t="s">
        <v>130</v>
      </c>
      <c r="CG2005" s="0" t="s">
        <v>130</v>
      </c>
      <c r="CH2005" s="0" t="s">
        <v>130</v>
      </c>
      <c r="CI2005" s="0" t="s">
        <v>130</v>
      </c>
      <c r="CJ2005" s="0" t="s">
        <v>130</v>
      </c>
      <c r="CK2005" s="0" t="s">
        <v>130</v>
      </c>
      <c r="CL2005" s="0" t="s">
        <v>130</v>
      </c>
      <c r="CM2005" s="0" t="s">
        <v>130</v>
      </c>
      <c r="CN2005" s="0" t="s">
        <v>130</v>
      </c>
      <c r="CO2005" s="0" t="s">
        <v>130</v>
      </c>
      <c r="CP2005" s="0" t="s">
        <v>130</v>
      </c>
      <c r="CQ2005" s="0" t="s">
        <v>130</v>
      </c>
      <c r="CR2005" s="0" t="s">
        <v>130</v>
      </c>
      <c r="CS2005" s="0" t="s">
        <v>130</v>
      </c>
      <c r="CT2005" s="0" t="s">
        <v>5630</v>
      </c>
    </row>
    <row r="2006">
      <c r="A2006" s="14">
        <v>69512787</v>
      </c>
      <c r="B2006" s="0" t="s">
        <v>4833</v>
      </c>
      <c r="C2006" s="16">
        <f>HYPERLINK("https://eosportal.federatedhermes.com/companies/Q29tcGFueQppODExMjQ=", "Seagate Technology Holdings PLC")</f>
      </c>
      <c r="D2006" s="0" t="s">
        <v>23</v>
      </c>
      <c r="E2006" s="0" t="s">
        <v>218</v>
      </c>
      <c r="F2006" s="16">
        <f>HYPERLINK("https://eosportal.federatedhermes.com/engagements/RW5nYWdlbWVudAppMzIwMTY=", "Validation of sufficiency of climate strategy")</f>
      </c>
      <c r="G2006" s="14" t="s">
        <v>219</v>
      </c>
      <c r="H2006" s="0" t="s">
        <v>130</v>
      </c>
      <c r="I2006" s="14" t="s">
        <v>131</v>
      </c>
      <c r="J2006" s="0" t="s">
        <v>197</v>
      </c>
      <c r="K2006" s="0" t="s">
        <v>198</v>
      </c>
      <c r="L2006" s="0" t="s">
        <v>220</v>
      </c>
      <c r="M2006" s="0" t="s">
        <v>135</v>
      </c>
      <c r="N2006" s="0" t="s">
        <v>136</v>
      </c>
      <c r="O2006" s="0" t="s">
        <v>1125</v>
      </c>
      <c r="Q2006" s="0" t="s">
        <v>130</v>
      </c>
      <c r="R2006" s="0" t="s">
        <v>130</v>
      </c>
      <c r="S2006" s="14">
        <v>0</v>
      </c>
      <c r="T2006" s="0" t="s">
        <v>360</v>
      </c>
      <c r="U2006" s="0" t="s">
        <v>221</v>
      </c>
      <c r="V2006" s="14" t="s">
        <v>360</v>
      </c>
      <c r="W2006" s="0" t="s">
        <v>221</v>
      </c>
      <c r="X2006" s="14" t="s">
        <v>2842</v>
      </c>
      <c r="Y2006" s="0" t="s">
        <v>221</v>
      </c>
      <c r="Z2006" s="14" t="s">
        <v>449</v>
      </c>
      <c r="AA2006" s="0" t="s">
        <v>223</v>
      </c>
      <c r="AB2006" s="14" t="s">
        <v>138</v>
      </c>
      <c r="AD2006" s="0" t="s">
        <v>20</v>
      </c>
      <c r="AF2006" s="0">
        <v>0</v>
      </c>
      <c r="AG2006" s="0">
        <v>0</v>
      </c>
      <c r="AH2006" s="0" t="s">
        <v>140</v>
      </c>
      <c r="AI2006" s="0" t="s">
        <v>598</v>
      </c>
      <c r="AL2006" s="14"/>
      <c r="AN2006" s="14"/>
      <c r="AQ2006" s="0" t="s">
        <v>130</v>
      </c>
      <c r="AR2006" s="0" t="s">
        <v>130</v>
      </c>
      <c r="AS2006" s="0" t="s">
        <v>130</v>
      </c>
      <c r="AT2006" s="0" t="s">
        <v>130</v>
      </c>
      <c r="AU2006" s="0" t="s">
        <v>130</v>
      </c>
      <c r="AV2006" s="0" t="s">
        <v>130</v>
      </c>
      <c r="AW2006" s="0" t="s">
        <v>141</v>
      </c>
      <c r="AX2006" s="0" t="s">
        <v>130</v>
      </c>
      <c r="AY2006" s="0" t="s">
        <v>141</v>
      </c>
      <c r="AZ2006" s="0" t="s">
        <v>130</v>
      </c>
      <c r="BA2006" s="0" t="s">
        <v>130</v>
      </c>
      <c r="BB2006" s="0" t="s">
        <v>130</v>
      </c>
      <c r="BC2006" s="0" t="s">
        <v>141</v>
      </c>
      <c r="BD2006" s="0" t="s">
        <v>130</v>
      </c>
      <c r="BE2006" s="0" t="s">
        <v>130</v>
      </c>
      <c r="BF2006" s="0" t="s">
        <v>130</v>
      </c>
      <c r="BG2006" s="0" t="s">
        <v>130</v>
      </c>
      <c r="BH2006" s="0" t="s">
        <v>141</v>
      </c>
      <c r="BI2006" s="0" t="s">
        <v>141</v>
      </c>
      <c r="BJ2006" s="0" t="s">
        <v>141</v>
      </c>
      <c r="BK2006" s="0" t="s">
        <v>130</v>
      </c>
      <c r="BL2006" s="0" t="s">
        <v>130</v>
      </c>
      <c r="BM2006" s="0" t="s">
        <v>130</v>
      </c>
      <c r="BN2006" s="0" t="s">
        <v>130</v>
      </c>
      <c r="BO2006" s="0" t="s">
        <v>130</v>
      </c>
      <c r="BP2006" s="0" t="s">
        <v>130</v>
      </c>
      <c r="BQ2006" s="0" t="s">
        <v>130</v>
      </c>
      <c r="BR2006" s="0" t="s">
        <v>130</v>
      </c>
      <c r="BS2006" s="0" t="s">
        <v>130</v>
      </c>
      <c r="BT2006" s="0" t="s">
        <v>130</v>
      </c>
      <c r="BU2006" s="0" t="s">
        <v>130</v>
      </c>
      <c r="BV2006" s="0" t="s">
        <v>141</v>
      </c>
      <c r="BW2006" s="0" t="s">
        <v>141</v>
      </c>
      <c r="BX2006" s="0" t="s">
        <v>130</v>
      </c>
      <c r="BY2006" s="0" t="s">
        <v>130</v>
      </c>
      <c r="BZ2006" s="0" t="s">
        <v>130</v>
      </c>
      <c r="CA2006" s="0" t="s">
        <v>130</v>
      </c>
      <c r="CB2006" s="0" t="s">
        <v>130</v>
      </c>
      <c r="CC2006" s="0" t="s">
        <v>130</v>
      </c>
      <c r="CD2006" s="0" t="s">
        <v>130</v>
      </c>
      <c r="CE2006" s="0" t="s">
        <v>130</v>
      </c>
      <c r="CF2006" s="0" t="s">
        <v>130</v>
      </c>
      <c r="CG2006" s="0" t="s">
        <v>130</v>
      </c>
      <c r="CH2006" s="0" t="s">
        <v>130</v>
      </c>
      <c r="CI2006" s="0" t="s">
        <v>130</v>
      </c>
      <c r="CJ2006" s="0" t="s">
        <v>130</v>
      </c>
      <c r="CK2006" s="0" t="s">
        <v>130</v>
      </c>
      <c r="CL2006" s="0" t="s">
        <v>130</v>
      </c>
      <c r="CM2006" s="0" t="s">
        <v>130</v>
      </c>
      <c r="CN2006" s="0" t="s">
        <v>130</v>
      </c>
      <c r="CO2006" s="0" t="s">
        <v>130</v>
      </c>
      <c r="CP2006" s="0" t="s">
        <v>130</v>
      </c>
      <c r="CQ2006" s="0" t="s">
        <v>130</v>
      </c>
      <c r="CR2006" s="0" t="s">
        <v>130</v>
      </c>
      <c r="CS2006" s="0" t="s">
        <v>130</v>
      </c>
      <c r="CT2006" s="0" t="s">
        <v>5631</v>
      </c>
    </row>
    <row r="2007">
      <c r="A2007" s="14">
        <v>70940270</v>
      </c>
      <c r="B2007" s="0" t="s">
        <v>4590</v>
      </c>
      <c r="C2007" s="16">
        <f>HYPERLINK("https://eosportal.federatedhermes.com/companies/Q29tcGFueQppODU0MTY=", "Linde PLC")</f>
      </c>
      <c r="D2007" s="0" t="s">
        <v>23</v>
      </c>
      <c r="E2007" s="0" t="s">
        <v>218</v>
      </c>
      <c r="F2007" s="16">
        <f>HYPERLINK("https://eosportal.federatedhermes.com/engagements/RW5nYWdlbWVudAppMzIwMjk=", "Validation of sufficiency of climate strategy")</f>
      </c>
      <c r="G2007" s="14" t="s">
        <v>219</v>
      </c>
      <c r="H2007" s="0" t="s">
        <v>141</v>
      </c>
      <c r="I2007" s="14" t="s">
        <v>191</v>
      </c>
      <c r="J2007" s="0" t="s">
        <v>197</v>
      </c>
      <c r="K2007" s="0" t="s">
        <v>198</v>
      </c>
      <c r="L2007" s="0" t="s">
        <v>220</v>
      </c>
      <c r="M2007" s="0" t="s">
        <v>135</v>
      </c>
      <c r="N2007" s="0" t="s">
        <v>136</v>
      </c>
      <c r="O2007" s="0" t="s">
        <v>706</v>
      </c>
      <c r="Q2007" s="0" t="s">
        <v>130</v>
      </c>
      <c r="R2007" s="0" t="s">
        <v>130</v>
      </c>
      <c r="S2007" s="14">
        <v>0</v>
      </c>
      <c r="T2007" s="0" t="s">
        <v>478</v>
      </c>
      <c r="U2007" s="0" t="s">
        <v>221</v>
      </c>
      <c r="V2007" s="14" t="s">
        <v>478</v>
      </c>
      <c r="W2007" s="0" t="s">
        <v>221</v>
      </c>
      <c r="X2007" s="14" t="s">
        <v>449</v>
      </c>
      <c r="Y2007" s="0" t="s">
        <v>223</v>
      </c>
      <c r="Z2007" s="14" t="s">
        <v>138</v>
      </c>
      <c r="AA2007" s="0" t="s">
        <v>224</v>
      </c>
      <c r="AB2007" s="14" t="s">
        <v>138</v>
      </c>
      <c r="AD2007" s="0" t="s">
        <v>17</v>
      </c>
      <c r="AF2007" s="0">
        <v>0</v>
      </c>
      <c r="AG2007" s="0">
        <v>0</v>
      </c>
      <c r="AH2007" s="0" t="s">
        <v>140</v>
      </c>
      <c r="AI2007" s="0" t="s">
        <v>479</v>
      </c>
      <c r="AL2007" s="14"/>
      <c r="AN2007" s="14"/>
      <c r="AQ2007" s="0" t="s">
        <v>130</v>
      </c>
      <c r="AR2007" s="0" t="s">
        <v>130</v>
      </c>
      <c r="AS2007" s="0" t="s">
        <v>130</v>
      </c>
      <c r="AT2007" s="0" t="s">
        <v>130</v>
      </c>
      <c r="AU2007" s="0" t="s">
        <v>130</v>
      </c>
      <c r="AV2007" s="0" t="s">
        <v>130</v>
      </c>
      <c r="AW2007" s="0" t="s">
        <v>141</v>
      </c>
      <c r="AX2007" s="0" t="s">
        <v>130</v>
      </c>
      <c r="AY2007" s="0" t="s">
        <v>141</v>
      </c>
      <c r="AZ2007" s="0" t="s">
        <v>130</v>
      </c>
      <c r="BA2007" s="0" t="s">
        <v>130</v>
      </c>
      <c r="BB2007" s="0" t="s">
        <v>130</v>
      </c>
      <c r="BC2007" s="0" t="s">
        <v>141</v>
      </c>
      <c r="BD2007" s="0" t="s">
        <v>130</v>
      </c>
      <c r="BE2007" s="0" t="s">
        <v>130</v>
      </c>
      <c r="BF2007" s="0" t="s">
        <v>130</v>
      </c>
      <c r="BG2007" s="0" t="s">
        <v>130</v>
      </c>
      <c r="BH2007" s="0" t="s">
        <v>141</v>
      </c>
      <c r="BI2007" s="0" t="s">
        <v>141</v>
      </c>
      <c r="BJ2007" s="0" t="s">
        <v>141</v>
      </c>
      <c r="BK2007" s="0" t="s">
        <v>130</v>
      </c>
      <c r="BL2007" s="0" t="s">
        <v>130</v>
      </c>
      <c r="BM2007" s="0" t="s">
        <v>130</v>
      </c>
      <c r="BN2007" s="0" t="s">
        <v>130</v>
      </c>
      <c r="BO2007" s="0" t="s">
        <v>130</v>
      </c>
      <c r="BP2007" s="0" t="s">
        <v>130</v>
      </c>
      <c r="BQ2007" s="0" t="s">
        <v>130</v>
      </c>
      <c r="BR2007" s="0" t="s">
        <v>130</v>
      </c>
      <c r="BS2007" s="0" t="s">
        <v>130</v>
      </c>
      <c r="BT2007" s="0" t="s">
        <v>130</v>
      </c>
      <c r="BU2007" s="0" t="s">
        <v>130</v>
      </c>
      <c r="BV2007" s="0" t="s">
        <v>141</v>
      </c>
      <c r="BW2007" s="0" t="s">
        <v>141</v>
      </c>
      <c r="BX2007" s="0" t="s">
        <v>130</v>
      </c>
      <c r="BY2007" s="0" t="s">
        <v>130</v>
      </c>
      <c r="BZ2007" s="0" t="s">
        <v>130</v>
      </c>
      <c r="CA2007" s="0" t="s">
        <v>130</v>
      </c>
      <c r="CB2007" s="0" t="s">
        <v>130</v>
      </c>
      <c r="CC2007" s="0" t="s">
        <v>130</v>
      </c>
      <c r="CD2007" s="0" t="s">
        <v>130</v>
      </c>
      <c r="CE2007" s="0" t="s">
        <v>130</v>
      </c>
      <c r="CF2007" s="0" t="s">
        <v>130</v>
      </c>
      <c r="CG2007" s="0" t="s">
        <v>130</v>
      </c>
      <c r="CH2007" s="0" t="s">
        <v>130</v>
      </c>
      <c r="CI2007" s="0" t="s">
        <v>130</v>
      </c>
      <c r="CJ2007" s="0" t="s">
        <v>130</v>
      </c>
      <c r="CK2007" s="0" t="s">
        <v>130</v>
      </c>
      <c r="CL2007" s="0" t="s">
        <v>130</v>
      </c>
      <c r="CM2007" s="0" t="s">
        <v>130</v>
      </c>
      <c r="CN2007" s="0" t="s">
        <v>130</v>
      </c>
      <c r="CO2007" s="0" t="s">
        <v>130</v>
      </c>
      <c r="CP2007" s="0" t="s">
        <v>130</v>
      </c>
      <c r="CQ2007" s="0" t="s">
        <v>130</v>
      </c>
      <c r="CR2007" s="0" t="s">
        <v>130</v>
      </c>
      <c r="CS2007" s="0" t="s">
        <v>130</v>
      </c>
      <c r="CT2007" s="0" t="s">
        <v>5632</v>
      </c>
    </row>
    <row r="2008">
      <c r="A2008" s="14">
        <v>182074</v>
      </c>
      <c r="B2008" s="0" t="s">
        <v>3209</v>
      </c>
      <c r="C2008" s="16">
        <f>HYPERLINK("https://eosportal.federatedhermes.com/companies/Q29tcGFueQppODU4NzQ=", "Equinor ASA")</f>
      </c>
      <c r="D2008" s="0" t="s">
        <v>23</v>
      </c>
      <c r="E2008" s="0" t="s">
        <v>5633</v>
      </c>
      <c r="F2008" s="16">
        <f>HYPERLINK("https://eosportal.federatedhermes.com/engagements/RW5nYWdlbWVudAppMzIwMzg=", "Physical Climate Risk Resilience")</f>
      </c>
      <c r="G2008" s="14" t="s">
        <v>5634</v>
      </c>
      <c r="H2008" s="0" t="s">
        <v>141</v>
      </c>
      <c r="I2008" s="14" t="s">
        <v>191</v>
      </c>
      <c r="J2008" s="0" t="s">
        <v>197</v>
      </c>
      <c r="K2008" s="0" t="s">
        <v>198</v>
      </c>
      <c r="L2008" s="0" t="s">
        <v>682</v>
      </c>
      <c r="M2008" s="0" t="s">
        <v>378</v>
      </c>
      <c r="N2008" s="0" t="s">
        <v>3211</v>
      </c>
      <c r="O2008" s="0" t="s">
        <v>542</v>
      </c>
      <c r="Q2008" s="0" t="s">
        <v>130</v>
      </c>
      <c r="R2008" s="0" t="s">
        <v>130</v>
      </c>
      <c r="S2008" s="14">
        <v>0</v>
      </c>
      <c r="T2008" s="0" t="s">
        <v>478</v>
      </c>
      <c r="U2008" s="0" t="s">
        <v>221</v>
      </c>
      <c r="V2008" s="14" t="s">
        <v>478</v>
      </c>
      <c r="W2008" s="0" t="s">
        <v>221</v>
      </c>
      <c r="X2008" s="14" t="s">
        <v>360</v>
      </c>
      <c r="Y2008" s="0" t="s">
        <v>223</v>
      </c>
      <c r="Z2008" s="14" t="s">
        <v>138</v>
      </c>
      <c r="AA2008" s="0" t="s">
        <v>224</v>
      </c>
      <c r="AB2008" s="14" t="s">
        <v>138</v>
      </c>
      <c r="AD2008" s="0" t="s">
        <v>17</v>
      </c>
      <c r="AF2008" s="0">
        <v>0</v>
      </c>
      <c r="AG2008" s="0">
        <v>0</v>
      </c>
      <c r="AH2008" s="0" t="s">
        <v>140</v>
      </c>
      <c r="AI2008" s="0" t="s">
        <v>479</v>
      </c>
      <c r="AL2008" s="14"/>
      <c r="AN2008" s="14"/>
      <c r="AQ2008" s="0" t="s">
        <v>130</v>
      </c>
      <c r="AR2008" s="0" t="s">
        <v>130</v>
      </c>
      <c r="AS2008" s="0" t="s">
        <v>130</v>
      </c>
      <c r="AT2008" s="0" t="s">
        <v>130</v>
      </c>
      <c r="AU2008" s="0" t="s">
        <v>130</v>
      </c>
      <c r="AV2008" s="0" t="s">
        <v>130</v>
      </c>
      <c r="AW2008" s="0" t="s">
        <v>130</v>
      </c>
      <c r="AX2008" s="0" t="s">
        <v>130</v>
      </c>
      <c r="AY2008" s="0" t="s">
        <v>130</v>
      </c>
      <c r="AZ2008" s="0" t="s">
        <v>130</v>
      </c>
      <c r="BA2008" s="0" t="s">
        <v>130</v>
      </c>
      <c r="BB2008" s="0" t="s">
        <v>130</v>
      </c>
      <c r="BC2008" s="0" t="s">
        <v>141</v>
      </c>
      <c r="BD2008" s="0" t="s">
        <v>130</v>
      </c>
      <c r="BE2008" s="0" t="s">
        <v>130</v>
      </c>
      <c r="BF2008" s="0" t="s">
        <v>130</v>
      </c>
      <c r="BG2008" s="0" t="s">
        <v>130</v>
      </c>
      <c r="BH2008" s="0" t="s">
        <v>130</v>
      </c>
      <c r="BI2008" s="0" t="s">
        <v>130</v>
      </c>
      <c r="BJ2008" s="0" t="s">
        <v>130</v>
      </c>
      <c r="BK2008" s="0" t="s">
        <v>130</v>
      </c>
      <c r="BL2008" s="0" t="s">
        <v>130</v>
      </c>
      <c r="BM2008" s="0" t="s">
        <v>130</v>
      </c>
      <c r="BN2008" s="0" t="s">
        <v>130</v>
      </c>
      <c r="BO2008" s="0" t="s">
        <v>130</v>
      </c>
      <c r="BP2008" s="0" t="s">
        <v>130</v>
      </c>
      <c r="BQ2008" s="0" t="s">
        <v>130</v>
      </c>
      <c r="BR2008" s="0" t="s">
        <v>130</v>
      </c>
      <c r="BS2008" s="0" t="s">
        <v>130</v>
      </c>
      <c r="BT2008" s="0" t="s">
        <v>130</v>
      </c>
      <c r="BU2008" s="0" t="s">
        <v>130</v>
      </c>
      <c r="BV2008" s="0" t="s">
        <v>130</v>
      </c>
      <c r="BW2008" s="0" t="s">
        <v>130</v>
      </c>
      <c r="BX2008" s="0" t="s">
        <v>130</v>
      </c>
      <c r="BY2008" s="0" t="s">
        <v>130</v>
      </c>
      <c r="BZ2008" s="0" t="s">
        <v>130</v>
      </c>
      <c r="CA2008" s="0" t="s">
        <v>130</v>
      </c>
      <c r="CB2008" s="0" t="s">
        <v>130</v>
      </c>
      <c r="CC2008" s="0" t="s">
        <v>130</v>
      </c>
      <c r="CD2008" s="0" t="s">
        <v>130</v>
      </c>
      <c r="CE2008" s="0" t="s">
        <v>130</v>
      </c>
      <c r="CF2008" s="0" t="s">
        <v>130</v>
      </c>
      <c r="CG2008" s="0" t="s">
        <v>130</v>
      </c>
      <c r="CH2008" s="0" t="s">
        <v>130</v>
      </c>
      <c r="CI2008" s="0" t="s">
        <v>130</v>
      </c>
      <c r="CJ2008" s="0" t="s">
        <v>130</v>
      </c>
      <c r="CK2008" s="0" t="s">
        <v>130</v>
      </c>
      <c r="CL2008" s="0" t="s">
        <v>130</v>
      </c>
      <c r="CM2008" s="0" t="s">
        <v>130</v>
      </c>
      <c r="CN2008" s="0" t="s">
        <v>130</v>
      </c>
      <c r="CO2008" s="0" t="s">
        <v>130</v>
      </c>
      <c r="CP2008" s="0" t="s">
        <v>130</v>
      </c>
      <c r="CQ2008" s="0" t="s">
        <v>130</v>
      </c>
      <c r="CR2008" s="0" t="s">
        <v>130</v>
      </c>
      <c r="CS2008" s="0" t="s">
        <v>130</v>
      </c>
      <c r="CT2008" s="0" t="s">
        <v>5635</v>
      </c>
    </row>
    <row r="2009">
      <c r="A2009" s="14">
        <v>110755</v>
      </c>
      <c r="B2009" s="0" t="s">
        <v>2303</v>
      </c>
      <c r="C2009" s="16">
        <f>HYPERLINK("https://eosportal.federatedhermes.com/companies/Q29tcGFueQppODYxNDM=", "Toronto-Dominion Bank/The")</f>
      </c>
      <c r="D2009" s="0" t="s">
        <v>23</v>
      </c>
      <c r="E2009" s="0" t="s">
        <v>5636</v>
      </c>
      <c r="F2009" s="16">
        <f>HYPERLINK("https://eosportal.federatedhermes.com/engagements/RW5nYWdlbWVudAppMzIwMzk=", "Methane best practices")</f>
      </c>
      <c r="G2009" s="14" t="s">
        <v>5637</v>
      </c>
      <c r="H2009" s="0" t="s">
        <v>141</v>
      </c>
      <c r="I2009" s="14" t="s">
        <v>191</v>
      </c>
      <c r="J2009" s="0" t="s">
        <v>197</v>
      </c>
      <c r="K2009" s="0" t="s">
        <v>198</v>
      </c>
      <c r="L2009" s="0" t="s">
        <v>220</v>
      </c>
      <c r="M2009" s="0" t="s">
        <v>135</v>
      </c>
      <c r="N2009" s="0" t="s">
        <v>1678</v>
      </c>
      <c r="O2009" s="0" t="s">
        <v>238</v>
      </c>
      <c r="Q2009" s="0" t="s">
        <v>141</v>
      </c>
      <c r="R2009" s="0" t="s">
        <v>130</v>
      </c>
      <c r="S2009" s="14">
        <v>1</v>
      </c>
      <c r="T2009" s="0" t="s">
        <v>2629</v>
      </c>
      <c r="U2009" s="0" t="s">
        <v>221</v>
      </c>
      <c r="V2009" s="14" t="s">
        <v>2629</v>
      </c>
      <c r="W2009" s="0" t="s">
        <v>221</v>
      </c>
      <c r="X2009" s="14" t="s">
        <v>2629</v>
      </c>
      <c r="Y2009" s="0" t="s">
        <v>223</v>
      </c>
      <c r="Z2009" s="14" t="s">
        <v>138</v>
      </c>
      <c r="AA2009" s="0" t="s">
        <v>224</v>
      </c>
      <c r="AB2009" s="14" t="s">
        <v>138</v>
      </c>
      <c r="AD2009" s="0" t="s">
        <v>17</v>
      </c>
      <c r="AF2009" s="0">
        <v>0</v>
      </c>
      <c r="AG2009" s="0">
        <v>0</v>
      </c>
      <c r="AH2009" s="0" t="s">
        <v>140</v>
      </c>
      <c r="AI2009" s="0" t="s">
        <v>479</v>
      </c>
      <c r="AK2009" s="0" t="s">
        <v>1984</v>
      </c>
      <c r="AL2009" s="14"/>
      <c r="AN2009" s="14"/>
      <c r="AQ2009" s="0" t="s">
        <v>130</v>
      </c>
      <c r="AR2009" s="0" t="s">
        <v>130</v>
      </c>
      <c r="AS2009" s="0" t="s">
        <v>130</v>
      </c>
      <c r="AT2009" s="0" t="s">
        <v>130</v>
      </c>
      <c r="AU2009" s="0" t="s">
        <v>130</v>
      </c>
      <c r="AV2009" s="0" t="s">
        <v>130</v>
      </c>
      <c r="AW2009" s="0" t="s">
        <v>141</v>
      </c>
      <c r="AX2009" s="0" t="s">
        <v>130</v>
      </c>
      <c r="AY2009" s="0" t="s">
        <v>141</v>
      </c>
      <c r="AZ2009" s="0" t="s">
        <v>130</v>
      </c>
      <c r="BA2009" s="0" t="s">
        <v>130</v>
      </c>
      <c r="BB2009" s="0" t="s">
        <v>130</v>
      </c>
      <c r="BC2009" s="0" t="s">
        <v>141</v>
      </c>
      <c r="BD2009" s="0" t="s">
        <v>130</v>
      </c>
      <c r="BE2009" s="0" t="s">
        <v>130</v>
      </c>
      <c r="BF2009" s="0" t="s">
        <v>130</v>
      </c>
      <c r="BG2009" s="0" t="s">
        <v>130</v>
      </c>
      <c r="BH2009" s="0" t="s">
        <v>130</v>
      </c>
      <c r="BI2009" s="0" t="s">
        <v>130</v>
      </c>
      <c r="BJ2009" s="0" t="s">
        <v>130</v>
      </c>
      <c r="BK2009" s="0" t="s">
        <v>130</v>
      </c>
      <c r="BL2009" s="0" t="s">
        <v>130</v>
      </c>
      <c r="BM2009" s="0" t="s">
        <v>130</v>
      </c>
      <c r="BN2009" s="0" t="s">
        <v>130</v>
      </c>
      <c r="BO2009" s="0" t="s">
        <v>130</v>
      </c>
      <c r="BP2009" s="0" t="s">
        <v>130</v>
      </c>
      <c r="BQ2009" s="0" t="s">
        <v>130</v>
      </c>
      <c r="BR2009" s="0" t="s">
        <v>130</v>
      </c>
      <c r="BS2009" s="0" t="s">
        <v>130</v>
      </c>
      <c r="BT2009" s="0" t="s">
        <v>130</v>
      </c>
      <c r="BU2009" s="0" t="s">
        <v>130</v>
      </c>
      <c r="BV2009" s="0" t="s">
        <v>130</v>
      </c>
      <c r="BW2009" s="0" t="s">
        <v>130</v>
      </c>
      <c r="BX2009" s="0" t="s">
        <v>130</v>
      </c>
      <c r="BY2009" s="0" t="s">
        <v>130</v>
      </c>
      <c r="BZ2009" s="0" t="s">
        <v>130</v>
      </c>
      <c r="CA2009" s="0" t="s">
        <v>130</v>
      </c>
      <c r="CB2009" s="0" t="s">
        <v>130</v>
      </c>
      <c r="CC2009" s="0" t="s">
        <v>130</v>
      </c>
      <c r="CD2009" s="0" t="s">
        <v>130</v>
      </c>
      <c r="CE2009" s="0" t="s">
        <v>130</v>
      </c>
      <c r="CF2009" s="0" t="s">
        <v>130</v>
      </c>
      <c r="CG2009" s="0" t="s">
        <v>130</v>
      </c>
      <c r="CH2009" s="0" t="s">
        <v>130</v>
      </c>
      <c r="CI2009" s="0" t="s">
        <v>130</v>
      </c>
      <c r="CJ2009" s="0" t="s">
        <v>130</v>
      </c>
      <c r="CK2009" s="0" t="s">
        <v>130</v>
      </c>
      <c r="CL2009" s="0" t="s">
        <v>130</v>
      </c>
      <c r="CM2009" s="0" t="s">
        <v>130</v>
      </c>
      <c r="CN2009" s="0" t="s">
        <v>130</v>
      </c>
      <c r="CO2009" s="0" t="s">
        <v>130</v>
      </c>
      <c r="CP2009" s="0" t="s">
        <v>130</v>
      </c>
      <c r="CQ2009" s="0" t="s">
        <v>130</v>
      </c>
      <c r="CR2009" s="0" t="s">
        <v>130</v>
      </c>
      <c r="CS2009" s="0" t="s">
        <v>130</v>
      </c>
      <c r="CT2009" s="0" t="s">
        <v>5638</v>
      </c>
    </row>
    <row r="2010">
      <c r="A2010" s="14">
        <v>110755</v>
      </c>
      <c r="B2010" s="0" t="s">
        <v>2303</v>
      </c>
      <c r="C2010" s="16">
        <f>HYPERLINK("https://eosportal.federatedhermes.com/companies/Q29tcGFueQppODYxNDM=", "Toronto-Dominion Bank/The")</f>
      </c>
      <c r="D2010" s="0" t="s">
        <v>23</v>
      </c>
      <c r="E2010" s="0" t="s">
        <v>5284</v>
      </c>
      <c r="F2010" s="16">
        <f>HYPERLINK("https://eosportal.federatedhermes.com/engagements/RW5nYWdlbWVudAppMzIwNDA=", "Financing requirement for FPIC")</f>
      </c>
      <c r="G2010" s="14" t="s">
        <v>5639</v>
      </c>
      <c r="H2010" s="0" t="s">
        <v>141</v>
      </c>
      <c r="I2010" s="14" t="s">
        <v>191</v>
      </c>
      <c r="J2010" s="0" t="s">
        <v>153</v>
      </c>
      <c r="K2010" s="0" t="s">
        <v>243</v>
      </c>
      <c r="L2010" s="0" t="s">
        <v>571</v>
      </c>
      <c r="M2010" s="0" t="s">
        <v>135</v>
      </c>
      <c r="N2010" s="0" t="s">
        <v>1678</v>
      </c>
      <c r="O2010" s="0" t="s">
        <v>238</v>
      </c>
      <c r="Q2010" s="0" t="s">
        <v>141</v>
      </c>
      <c r="R2010" s="0" t="s">
        <v>141</v>
      </c>
      <c r="S2010" s="14">
        <v>1</v>
      </c>
      <c r="T2010" s="0" t="s">
        <v>2629</v>
      </c>
      <c r="U2010" s="0" t="s">
        <v>221</v>
      </c>
      <c r="V2010" s="14" t="s">
        <v>2629</v>
      </c>
      <c r="W2010" s="0" t="s">
        <v>221</v>
      </c>
      <c r="X2010" s="14" t="s">
        <v>2629</v>
      </c>
      <c r="Y2010" s="0" t="s">
        <v>221</v>
      </c>
      <c r="Z2010" s="14" t="s">
        <v>361</v>
      </c>
      <c r="AA2010" s="0" t="s">
        <v>223</v>
      </c>
      <c r="AB2010" s="14" t="s">
        <v>138</v>
      </c>
      <c r="AC2010" s="0" t="s">
        <v>17</v>
      </c>
      <c r="AD2010" s="0" t="s">
        <v>20</v>
      </c>
      <c r="AE2010" s="0" t="s">
        <v>2266</v>
      </c>
      <c r="AF2010" s="0">
        <v>1</v>
      </c>
      <c r="AG2010" s="0">
        <v>0</v>
      </c>
      <c r="AH2010" s="0" t="s">
        <v>140</v>
      </c>
      <c r="AI2010" s="0" t="s">
        <v>598</v>
      </c>
      <c r="AK2010" s="0" t="s">
        <v>1386</v>
      </c>
      <c r="AL2010" s="14"/>
      <c r="AN2010" s="14"/>
      <c r="AQ2010" s="0" t="s">
        <v>130</v>
      </c>
      <c r="AR2010" s="0" t="s">
        <v>130</v>
      </c>
      <c r="AS2010" s="0" t="s">
        <v>130</v>
      </c>
      <c r="AT2010" s="0" t="s">
        <v>130</v>
      </c>
      <c r="AU2010" s="0" t="s">
        <v>130</v>
      </c>
      <c r="AV2010" s="0" t="s">
        <v>130</v>
      </c>
      <c r="AW2010" s="0" t="s">
        <v>130</v>
      </c>
      <c r="AX2010" s="0" t="s">
        <v>130</v>
      </c>
      <c r="AY2010" s="0" t="s">
        <v>130</v>
      </c>
      <c r="AZ2010" s="0" t="s">
        <v>141</v>
      </c>
      <c r="BA2010" s="0" t="s">
        <v>141</v>
      </c>
      <c r="BB2010" s="0" t="s">
        <v>130</v>
      </c>
      <c r="BC2010" s="0" t="s">
        <v>130</v>
      </c>
      <c r="BD2010" s="0" t="s">
        <v>130</v>
      </c>
      <c r="BE2010" s="0" t="s">
        <v>130</v>
      </c>
      <c r="BF2010" s="0" t="s">
        <v>141</v>
      </c>
      <c r="BG2010" s="0" t="s">
        <v>130</v>
      </c>
      <c r="BH2010" s="0" t="s">
        <v>130</v>
      </c>
      <c r="BI2010" s="0" t="s">
        <v>130</v>
      </c>
      <c r="BJ2010" s="0" t="s">
        <v>130</v>
      </c>
      <c r="BK2010" s="0" t="s">
        <v>130</v>
      </c>
      <c r="BL2010" s="0" t="s">
        <v>130</v>
      </c>
      <c r="BM2010" s="0" t="s">
        <v>130</v>
      </c>
      <c r="BN2010" s="0" t="s">
        <v>130</v>
      </c>
      <c r="BO2010" s="0" t="s">
        <v>130</v>
      </c>
      <c r="BP2010" s="0" t="s">
        <v>130</v>
      </c>
      <c r="BQ2010" s="0" t="s">
        <v>130</v>
      </c>
      <c r="BR2010" s="0" t="s">
        <v>130</v>
      </c>
      <c r="BS2010" s="0" t="s">
        <v>130</v>
      </c>
      <c r="BT2010" s="0" t="s">
        <v>130</v>
      </c>
      <c r="BU2010" s="0" t="s">
        <v>130</v>
      </c>
      <c r="BV2010" s="0" t="s">
        <v>130</v>
      </c>
      <c r="BW2010" s="0" t="s">
        <v>130</v>
      </c>
      <c r="BX2010" s="0" t="s">
        <v>130</v>
      </c>
      <c r="BY2010" s="0" t="s">
        <v>130</v>
      </c>
      <c r="BZ2010" s="0" t="s">
        <v>130</v>
      </c>
      <c r="CA2010" s="0" t="s">
        <v>130</v>
      </c>
      <c r="CB2010" s="0" t="s">
        <v>130</v>
      </c>
      <c r="CC2010" s="0" t="s">
        <v>130</v>
      </c>
      <c r="CD2010" s="0" t="s">
        <v>130</v>
      </c>
      <c r="CE2010" s="0" t="s">
        <v>130</v>
      </c>
      <c r="CF2010" s="0" t="s">
        <v>130</v>
      </c>
      <c r="CG2010" s="0" t="s">
        <v>130</v>
      </c>
      <c r="CH2010" s="0" t="s">
        <v>130</v>
      </c>
      <c r="CI2010" s="0" t="s">
        <v>130</v>
      </c>
      <c r="CJ2010" s="0" t="s">
        <v>130</v>
      </c>
      <c r="CK2010" s="0" t="s">
        <v>130</v>
      </c>
      <c r="CL2010" s="0" t="s">
        <v>130</v>
      </c>
      <c r="CM2010" s="0" t="s">
        <v>130</v>
      </c>
      <c r="CN2010" s="0" t="s">
        <v>130</v>
      </c>
      <c r="CO2010" s="0" t="s">
        <v>130</v>
      </c>
      <c r="CP2010" s="0" t="s">
        <v>130</v>
      </c>
      <c r="CQ2010" s="0" t="s">
        <v>130</v>
      </c>
      <c r="CR2010" s="0" t="s">
        <v>130</v>
      </c>
      <c r="CS2010" s="0" t="s">
        <v>130</v>
      </c>
      <c r="CT2010" s="0" t="s">
        <v>5640</v>
      </c>
    </row>
    <row r="2011">
      <c r="A2011" s="14">
        <v>7281855</v>
      </c>
      <c r="B2011" s="0" t="s">
        <v>3813</v>
      </c>
      <c r="C2011" s="16">
        <f>HYPERLINK("https://eosportal.federatedhermes.com/companies/Q29tcGFueQppODU4ODE=", "LG Chem Ltd")</f>
      </c>
      <c r="D2011" s="0" t="s">
        <v>25</v>
      </c>
      <c r="E2011" s="0" t="s">
        <v>5641</v>
      </c>
      <c r="F2011" s="16">
        <f>HYPERLINK("https://eosportal.federatedhermes.com/engagements/RW5nYWdlbWVudAppMzIwNTg=", "Cross-shareholding with Korea Zin")</f>
      </c>
      <c r="G2011" s="14" t="s">
        <v>5642</v>
      </c>
      <c r="H2011" s="0" t="s">
        <v>141</v>
      </c>
      <c r="I2011" s="14" t="s">
        <v>191</v>
      </c>
      <c r="J2011" s="0" t="s">
        <v>145</v>
      </c>
      <c r="K2011" s="0" t="s">
        <v>400</v>
      </c>
      <c r="L2011" s="0" t="s">
        <v>507</v>
      </c>
      <c r="M2011" s="0" t="s">
        <v>802</v>
      </c>
      <c r="N2011" s="0" t="s">
        <v>2800</v>
      </c>
      <c r="O2011" s="0" t="s">
        <v>706</v>
      </c>
      <c r="Q2011" s="0" t="s">
        <v>130</v>
      </c>
      <c r="R2011" s="0" t="s">
        <v>138</v>
      </c>
      <c r="S2011" s="14">
        <v>0</v>
      </c>
      <c r="T2011" s="0" t="s">
        <v>2629</v>
      </c>
      <c r="U2011" s="0" t="s">
        <v>138</v>
      </c>
      <c r="V2011" s="14" t="s">
        <v>138</v>
      </c>
      <c r="W2011" s="0" t="s">
        <v>138</v>
      </c>
      <c r="X2011" s="14" t="s">
        <v>138</v>
      </c>
      <c r="Y2011" s="0" t="s">
        <v>138</v>
      </c>
      <c r="Z2011" s="14" t="s">
        <v>138</v>
      </c>
      <c r="AA2011" s="0" t="s">
        <v>138</v>
      </c>
      <c r="AB2011" s="14" t="s">
        <v>138</v>
      </c>
      <c r="AD2011" s="0" t="s">
        <v>138</v>
      </c>
      <c r="AF2011" s="0">
        <v>0</v>
      </c>
      <c r="AG2011" s="0">
        <v>0</v>
      </c>
      <c r="AH2011" s="0" t="s">
        <v>140</v>
      </c>
      <c r="AI2011" s="0" t="s">
        <v>138</v>
      </c>
      <c r="AL2011" s="14"/>
      <c r="AN2011" s="14"/>
      <c r="AQ2011" s="0" t="s">
        <v>130</v>
      </c>
      <c r="AR2011" s="0" t="s">
        <v>130</v>
      </c>
      <c r="AS2011" s="0" t="s">
        <v>130</v>
      </c>
      <c r="AT2011" s="0" t="s">
        <v>130</v>
      </c>
      <c r="AU2011" s="0" t="s">
        <v>130</v>
      </c>
      <c r="AV2011" s="0" t="s">
        <v>130</v>
      </c>
      <c r="AW2011" s="0" t="s">
        <v>130</v>
      </c>
      <c r="AX2011" s="0" t="s">
        <v>130</v>
      </c>
      <c r="AY2011" s="0" t="s">
        <v>130</v>
      </c>
      <c r="AZ2011" s="0" t="s">
        <v>130</v>
      </c>
      <c r="BA2011" s="0" t="s">
        <v>130</v>
      </c>
      <c r="BB2011" s="0" t="s">
        <v>130</v>
      </c>
      <c r="BC2011" s="0" t="s">
        <v>130</v>
      </c>
      <c r="BD2011" s="0" t="s">
        <v>130</v>
      </c>
      <c r="BE2011" s="0" t="s">
        <v>130</v>
      </c>
      <c r="BF2011" s="0" t="s">
        <v>130</v>
      </c>
      <c r="BG2011" s="0" t="s">
        <v>130</v>
      </c>
      <c r="BH2011" s="0" t="s">
        <v>130</v>
      </c>
      <c r="BI2011" s="0" t="s">
        <v>130</v>
      </c>
      <c r="BJ2011" s="0" t="s">
        <v>130</v>
      </c>
      <c r="BK2011" s="0" t="s">
        <v>130</v>
      </c>
      <c r="BL2011" s="0" t="s">
        <v>130</v>
      </c>
      <c r="BM2011" s="0" t="s">
        <v>130</v>
      </c>
      <c r="BN2011" s="0" t="s">
        <v>130</v>
      </c>
      <c r="BO2011" s="0" t="s">
        <v>130</v>
      </c>
      <c r="BP2011" s="0" t="s">
        <v>130</v>
      </c>
      <c r="BQ2011" s="0" t="s">
        <v>130</v>
      </c>
      <c r="BR2011" s="0" t="s">
        <v>130</v>
      </c>
      <c r="BS2011" s="0" t="s">
        <v>130</v>
      </c>
      <c r="BT2011" s="0" t="s">
        <v>130</v>
      </c>
      <c r="BU2011" s="0" t="s">
        <v>130</v>
      </c>
      <c r="BV2011" s="0" t="s">
        <v>130</v>
      </c>
      <c r="BW2011" s="0" t="s">
        <v>130</v>
      </c>
      <c r="BX2011" s="0" t="s">
        <v>130</v>
      </c>
      <c r="BY2011" s="0" t="s">
        <v>130</v>
      </c>
      <c r="BZ2011" s="0" t="s">
        <v>130</v>
      </c>
      <c r="CA2011" s="0" t="s">
        <v>130</v>
      </c>
      <c r="CB2011" s="0" t="s">
        <v>130</v>
      </c>
      <c r="CC2011" s="0" t="s">
        <v>130</v>
      </c>
      <c r="CD2011" s="0" t="s">
        <v>130</v>
      </c>
      <c r="CE2011" s="0" t="s">
        <v>130</v>
      </c>
      <c r="CF2011" s="0" t="s">
        <v>130</v>
      </c>
      <c r="CG2011" s="0" t="s">
        <v>130</v>
      </c>
      <c r="CH2011" s="0" t="s">
        <v>130</v>
      </c>
      <c r="CI2011" s="0" t="s">
        <v>130</v>
      </c>
      <c r="CJ2011" s="0" t="s">
        <v>130</v>
      </c>
      <c r="CK2011" s="0" t="s">
        <v>130</v>
      </c>
      <c r="CL2011" s="0" t="s">
        <v>130</v>
      </c>
      <c r="CM2011" s="0" t="s">
        <v>130</v>
      </c>
      <c r="CN2011" s="0" t="s">
        <v>130</v>
      </c>
      <c r="CO2011" s="0" t="s">
        <v>130</v>
      </c>
      <c r="CP2011" s="0" t="s">
        <v>130</v>
      </c>
      <c r="CQ2011" s="0" t="s">
        <v>130</v>
      </c>
      <c r="CR2011" s="0" t="s">
        <v>130</v>
      </c>
      <c r="CS2011" s="0" t="s">
        <v>130</v>
      </c>
      <c r="CT2011" s="0" t="s">
        <v>5643</v>
      </c>
    </row>
    <row r="2012">
      <c r="A2012" s="14">
        <v>116563</v>
      </c>
      <c r="B2012" s="0" t="s">
        <v>2780</v>
      </c>
      <c r="C2012" s="16">
        <f>HYPERLINK("https://eosportal.federatedhermes.com/companies/Q29tcGFueQppNzU2NjU=", "Techtronic Industries Co Ltd")</f>
      </c>
      <c r="D2012" s="0" t="s">
        <v>23</v>
      </c>
      <c r="E2012" s="0" t="s">
        <v>218</v>
      </c>
      <c r="F2012" s="16">
        <f>HYPERLINK("https://eosportal.federatedhermes.com/engagements/RW5nYWdlbWVudAppMzIwNjM=", "Validation of sufficiency of climate strategy")</f>
      </c>
      <c r="G2012" s="14" t="s">
        <v>219</v>
      </c>
      <c r="H2012" s="0" t="s">
        <v>130</v>
      </c>
      <c r="I2012" s="14" t="s">
        <v>131</v>
      </c>
      <c r="J2012" s="0" t="s">
        <v>197</v>
      </c>
      <c r="K2012" s="0" t="s">
        <v>198</v>
      </c>
      <c r="L2012" s="0" t="s">
        <v>220</v>
      </c>
      <c r="M2012" s="0" t="s">
        <v>802</v>
      </c>
      <c r="N2012" s="0" t="s">
        <v>803</v>
      </c>
      <c r="O2012" s="0" t="s">
        <v>176</v>
      </c>
      <c r="Q2012" s="0" t="s">
        <v>141</v>
      </c>
      <c r="R2012" s="0" t="s">
        <v>130</v>
      </c>
      <c r="S2012" s="14">
        <v>1</v>
      </c>
      <c r="T2012" s="0" t="s">
        <v>2270</v>
      </c>
      <c r="U2012" s="0" t="s">
        <v>221</v>
      </c>
      <c r="V2012" s="14" t="s">
        <v>2270</v>
      </c>
      <c r="W2012" s="0" t="s">
        <v>221</v>
      </c>
      <c r="X2012" s="14" t="s">
        <v>2270</v>
      </c>
      <c r="Y2012" s="0" t="s">
        <v>221</v>
      </c>
      <c r="Z2012" s="14" t="s">
        <v>446</v>
      </c>
      <c r="AA2012" s="0" t="s">
        <v>223</v>
      </c>
      <c r="AB2012" s="14" t="s">
        <v>138</v>
      </c>
      <c r="AD2012" s="0" t="s">
        <v>20</v>
      </c>
      <c r="AF2012" s="0">
        <v>0</v>
      </c>
      <c r="AG2012" s="0">
        <v>0</v>
      </c>
      <c r="AH2012" s="0" t="s">
        <v>140</v>
      </c>
      <c r="AI2012" s="0" t="s">
        <v>479</v>
      </c>
      <c r="AK2012" s="0" t="s">
        <v>2529</v>
      </c>
      <c r="AL2012" s="14"/>
      <c r="AN2012" s="14"/>
      <c r="AQ2012" s="0" t="s">
        <v>130</v>
      </c>
      <c r="AR2012" s="0" t="s">
        <v>130</v>
      </c>
      <c r="AS2012" s="0" t="s">
        <v>130</v>
      </c>
      <c r="AT2012" s="0" t="s">
        <v>130</v>
      </c>
      <c r="AU2012" s="0" t="s">
        <v>130</v>
      </c>
      <c r="AV2012" s="0" t="s">
        <v>130</v>
      </c>
      <c r="AW2012" s="0" t="s">
        <v>141</v>
      </c>
      <c r="AX2012" s="0" t="s">
        <v>130</v>
      </c>
      <c r="AY2012" s="0" t="s">
        <v>141</v>
      </c>
      <c r="AZ2012" s="0" t="s">
        <v>130</v>
      </c>
      <c r="BA2012" s="0" t="s">
        <v>130</v>
      </c>
      <c r="BB2012" s="0" t="s">
        <v>130</v>
      </c>
      <c r="BC2012" s="0" t="s">
        <v>141</v>
      </c>
      <c r="BD2012" s="0" t="s">
        <v>130</v>
      </c>
      <c r="BE2012" s="0" t="s">
        <v>130</v>
      </c>
      <c r="BF2012" s="0" t="s">
        <v>130</v>
      </c>
      <c r="BG2012" s="0" t="s">
        <v>130</v>
      </c>
      <c r="BH2012" s="0" t="s">
        <v>141</v>
      </c>
      <c r="BI2012" s="0" t="s">
        <v>141</v>
      </c>
      <c r="BJ2012" s="0" t="s">
        <v>141</v>
      </c>
      <c r="BK2012" s="0" t="s">
        <v>130</v>
      </c>
      <c r="BL2012" s="0" t="s">
        <v>130</v>
      </c>
      <c r="BM2012" s="0" t="s">
        <v>130</v>
      </c>
      <c r="BN2012" s="0" t="s">
        <v>130</v>
      </c>
      <c r="BO2012" s="0" t="s">
        <v>130</v>
      </c>
      <c r="BP2012" s="0" t="s">
        <v>130</v>
      </c>
      <c r="BQ2012" s="0" t="s">
        <v>130</v>
      </c>
      <c r="BR2012" s="0" t="s">
        <v>130</v>
      </c>
      <c r="BS2012" s="0" t="s">
        <v>130</v>
      </c>
      <c r="BT2012" s="0" t="s">
        <v>130</v>
      </c>
      <c r="BU2012" s="0" t="s">
        <v>130</v>
      </c>
      <c r="BV2012" s="0" t="s">
        <v>141</v>
      </c>
      <c r="BW2012" s="0" t="s">
        <v>141</v>
      </c>
      <c r="BX2012" s="0" t="s">
        <v>130</v>
      </c>
      <c r="BY2012" s="0" t="s">
        <v>130</v>
      </c>
      <c r="BZ2012" s="0" t="s">
        <v>130</v>
      </c>
      <c r="CA2012" s="0" t="s">
        <v>130</v>
      </c>
      <c r="CB2012" s="0" t="s">
        <v>130</v>
      </c>
      <c r="CC2012" s="0" t="s">
        <v>130</v>
      </c>
      <c r="CD2012" s="0" t="s">
        <v>130</v>
      </c>
      <c r="CE2012" s="0" t="s">
        <v>130</v>
      </c>
      <c r="CF2012" s="0" t="s">
        <v>130</v>
      </c>
      <c r="CG2012" s="0" t="s">
        <v>130</v>
      </c>
      <c r="CH2012" s="0" t="s">
        <v>130</v>
      </c>
      <c r="CI2012" s="0" t="s">
        <v>130</v>
      </c>
      <c r="CJ2012" s="0" t="s">
        <v>130</v>
      </c>
      <c r="CK2012" s="0" t="s">
        <v>130</v>
      </c>
      <c r="CL2012" s="0" t="s">
        <v>130</v>
      </c>
      <c r="CM2012" s="0" t="s">
        <v>130</v>
      </c>
      <c r="CN2012" s="0" t="s">
        <v>130</v>
      </c>
      <c r="CO2012" s="0" t="s">
        <v>130</v>
      </c>
      <c r="CP2012" s="0" t="s">
        <v>130</v>
      </c>
      <c r="CQ2012" s="0" t="s">
        <v>130</v>
      </c>
      <c r="CR2012" s="0" t="s">
        <v>130</v>
      </c>
      <c r="CS2012" s="0" t="s">
        <v>130</v>
      </c>
      <c r="CT2012" s="0" t="s">
        <v>5644</v>
      </c>
    </row>
    <row r="2013">
      <c r="A2013" s="14">
        <v>112122</v>
      </c>
      <c r="B2013" s="0" t="s">
        <v>799</v>
      </c>
      <c r="C2013" s="16">
        <f>HYPERLINK("https://eosportal.federatedhermes.com/companies/Q29tcGFueQppNjMxMDk=", "Prudential PLC")</f>
      </c>
      <c r="D2013" s="0" t="s">
        <v>25</v>
      </c>
      <c r="E2013" s="0" t="s">
        <v>5645</v>
      </c>
      <c r="F2013" s="16">
        <f>HYPERLINK("https://eosportal.federatedhermes.com/engagements/RW5nYWdlbWVudAppMzIwNjg=", "Validation of climate targets")</f>
      </c>
      <c r="G2013" s="14" t="s">
        <v>5646</v>
      </c>
      <c r="H2013" s="0" t="s">
        <v>130</v>
      </c>
      <c r="I2013" s="14" t="s">
        <v>319</v>
      </c>
      <c r="J2013" s="0" t="s">
        <v>197</v>
      </c>
      <c r="K2013" s="0" t="s">
        <v>198</v>
      </c>
      <c r="L2013" s="0" t="s">
        <v>216</v>
      </c>
      <c r="M2013" s="0" t="s">
        <v>802</v>
      </c>
      <c r="N2013" s="0" t="s">
        <v>803</v>
      </c>
      <c r="O2013" s="0" t="s">
        <v>238</v>
      </c>
      <c r="Q2013" s="0" t="s">
        <v>130</v>
      </c>
      <c r="R2013" s="0" t="s">
        <v>138</v>
      </c>
      <c r="S2013" s="14">
        <v>0</v>
      </c>
      <c r="T2013" s="0" t="s">
        <v>2629</v>
      </c>
      <c r="U2013" s="0" t="s">
        <v>138</v>
      </c>
      <c r="V2013" s="14" t="s">
        <v>138</v>
      </c>
      <c r="W2013" s="0" t="s">
        <v>138</v>
      </c>
      <c r="X2013" s="14" t="s">
        <v>138</v>
      </c>
      <c r="Y2013" s="0" t="s">
        <v>138</v>
      </c>
      <c r="Z2013" s="14" t="s">
        <v>138</v>
      </c>
      <c r="AA2013" s="0" t="s">
        <v>138</v>
      </c>
      <c r="AB2013" s="14" t="s">
        <v>138</v>
      </c>
      <c r="AD2013" s="0" t="s">
        <v>138</v>
      </c>
      <c r="AF2013" s="0">
        <v>0</v>
      </c>
      <c r="AG2013" s="0">
        <v>0</v>
      </c>
      <c r="AH2013" s="0" t="s">
        <v>140</v>
      </c>
      <c r="AI2013" s="0" t="s">
        <v>138</v>
      </c>
      <c r="AL2013" s="14"/>
      <c r="AN2013" s="14"/>
      <c r="AQ2013" s="0" t="s">
        <v>130</v>
      </c>
      <c r="AR2013" s="0" t="s">
        <v>130</v>
      </c>
      <c r="AS2013" s="0" t="s">
        <v>130</v>
      </c>
      <c r="AT2013" s="0" t="s">
        <v>130</v>
      </c>
      <c r="AU2013" s="0" t="s">
        <v>130</v>
      </c>
      <c r="AV2013" s="0" t="s">
        <v>130</v>
      </c>
      <c r="AW2013" s="0" t="s">
        <v>141</v>
      </c>
      <c r="AX2013" s="0" t="s">
        <v>130</v>
      </c>
      <c r="AY2013" s="0" t="s">
        <v>130</v>
      </c>
      <c r="AZ2013" s="0" t="s">
        <v>130</v>
      </c>
      <c r="BA2013" s="0" t="s">
        <v>130</v>
      </c>
      <c r="BB2013" s="0" t="s">
        <v>130</v>
      </c>
      <c r="BC2013" s="0" t="s">
        <v>141</v>
      </c>
      <c r="BD2013" s="0" t="s">
        <v>130</v>
      </c>
      <c r="BE2013" s="0" t="s">
        <v>130</v>
      </c>
      <c r="BF2013" s="0" t="s">
        <v>130</v>
      </c>
      <c r="BG2013" s="0" t="s">
        <v>130</v>
      </c>
      <c r="BH2013" s="0" t="s">
        <v>141</v>
      </c>
      <c r="BI2013" s="0" t="s">
        <v>141</v>
      </c>
      <c r="BJ2013" s="0" t="s">
        <v>141</v>
      </c>
      <c r="BK2013" s="0" t="s">
        <v>130</v>
      </c>
      <c r="BL2013" s="0" t="s">
        <v>130</v>
      </c>
      <c r="BM2013" s="0" t="s">
        <v>130</v>
      </c>
      <c r="BN2013" s="0" t="s">
        <v>130</v>
      </c>
      <c r="BO2013" s="0" t="s">
        <v>130</v>
      </c>
      <c r="BP2013" s="0" t="s">
        <v>130</v>
      </c>
      <c r="BQ2013" s="0" t="s">
        <v>130</v>
      </c>
      <c r="BR2013" s="0" t="s">
        <v>130</v>
      </c>
      <c r="BS2013" s="0" t="s">
        <v>130</v>
      </c>
      <c r="BT2013" s="0" t="s">
        <v>130</v>
      </c>
      <c r="BU2013" s="0" t="s">
        <v>130</v>
      </c>
      <c r="BV2013" s="0" t="s">
        <v>141</v>
      </c>
      <c r="BW2013" s="0" t="s">
        <v>141</v>
      </c>
      <c r="BX2013" s="0" t="s">
        <v>130</v>
      </c>
      <c r="BY2013" s="0" t="s">
        <v>130</v>
      </c>
      <c r="BZ2013" s="0" t="s">
        <v>130</v>
      </c>
      <c r="CA2013" s="0" t="s">
        <v>130</v>
      </c>
      <c r="CB2013" s="0" t="s">
        <v>130</v>
      </c>
      <c r="CC2013" s="0" t="s">
        <v>130</v>
      </c>
      <c r="CD2013" s="0" t="s">
        <v>130</v>
      </c>
      <c r="CE2013" s="0" t="s">
        <v>130</v>
      </c>
      <c r="CF2013" s="0" t="s">
        <v>130</v>
      </c>
      <c r="CG2013" s="0" t="s">
        <v>130</v>
      </c>
      <c r="CH2013" s="0" t="s">
        <v>130</v>
      </c>
      <c r="CI2013" s="0" t="s">
        <v>130</v>
      </c>
      <c r="CJ2013" s="0" t="s">
        <v>130</v>
      </c>
      <c r="CK2013" s="0" t="s">
        <v>130</v>
      </c>
      <c r="CL2013" s="0" t="s">
        <v>130</v>
      </c>
      <c r="CM2013" s="0" t="s">
        <v>130</v>
      </c>
      <c r="CN2013" s="0" t="s">
        <v>130</v>
      </c>
      <c r="CO2013" s="0" t="s">
        <v>130</v>
      </c>
      <c r="CP2013" s="0" t="s">
        <v>130</v>
      </c>
      <c r="CQ2013" s="0" t="s">
        <v>130</v>
      </c>
      <c r="CR2013" s="0" t="s">
        <v>130</v>
      </c>
      <c r="CS2013" s="0" t="s">
        <v>130</v>
      </c>
      <c r="CT2013" s="0" t="s">
        <v>5647</v>
      </c>
    </row>
    <row r="2014">
      <c r="A2014" s="14">
        <v>38791673</v>
      </c>
      <c r="B2014" s="0" t="s">
        <v>5648</v>
      </c>
      <c r="C2014" s="16">
        <f>HYPERLINK("https://eosportal.federatedhermes.com/companies/Q29tcGFueQppNTg3MDI=", "Wiwynn Corp")</f>
      </c>
      <c r="D2014" s="0" t="s">
        <v>25</v>
      </c>
      <c r="E2014" s="0" t="s">
        <v>5649</v>
      </c>
      <c r="F2014" s="16">
        <f>HYPERLINK("https://eosportal.federatedhermes.com/engagements/RW5nYWdlbWVudAppMzIwNzg=", "Company alignment with the Paris Agreement")</f>
      </c>
      <c r="G2014" s="14" t="s">
        <v>5650</v>
      </c>
      <c r="H2014" s="0" t="s">
        <v>130</v>
      </c>
      <c r="I2014" s="14" t="s">
        <v>131</v>
      </c>
      <c r="J2014" s="0" t="s">
        <v>197</v>
      </c>
      <c r="K2014" s="0" t="s">
        <v>198</v>
      </c>
      <c r="L2014" s="0" t="s">
        <v>199</v>
      </c>
      <c r="M2014" s="0" t="s">
        <v>802</v>
      </c>
      <c r="N2014" s="0" t="s">
        <v>2941</v>
      </c>
      <c r="O2014" s="0" t="s">
        <v>1125</v>
      </c>
      <c r="Q2014" s="0" t="s">
        <v>141</v>
      </c>
      <c r="R2014" s="0" t="s">
        <v>138</v>
      </c>
      <c r="S2014" s="14">
        <v>1</v>
      </c>
      <c r="T2014" s="0" t="s">
        <v>2270</v>
      </c>
      <c r="U2014" s="0" t="s">
        <v>138</v>
      </c>
      <c r="V2014" s="14" t="s">
        <v>138</v>
      </c>
      <c r="W2014" s="0" t="s">
        <v>138</v>
      </c>
      <c r="X2014" s="14" t="s">
        <v>138</v>
      </c>
      <c r="Y2014" s="0" t="s">
        <v>138</v>
      </c>
      <c r="Z2014" s="14" t="s">
        <v>138</v>
      </c>
      <c r="AA2014" s="0" t="s">
        <v>138</v>
      </c>
      <c r="AB2014" s="14" t="s">
        <v>138</v>
      </c>
      <c r="AD2014" s="0" t="s">
        <v>138</v>
      </c>
      <c r="AF2014" s="0">
        <v>0</v>
      </c>
      <c r="AG2014" s="0">
        <v>0</v>
      </c>
      <c r="AH2014" s="0" t="s">
        <v>140</v>
      </c>
      <c r="AI2014" s="0" t="s">
        <v>138</v>
      </c>
      <c r="AK2014" s="0" t="s">
        <v>2529</v>
      </c>
      <c r="AL2014" s="14"/>
      <c r="AN2014" s="14"/>
      <c r="AQ2014" s="0" t="s">
        <v>130</v>
      </c>
      <c r="AR2014" s="0" t="s">
        <v>130</v>
      </c>
      <c r="AS2014" s="0" t="s">
        <v>130</v>
      </c>
      <c r="AT2014" s="0" t="s">
        <v>130</v>
      </c>
      <c r="AU2014" s="0" t="s">
        <v>130</v>
      </c>
      <c r="AV2014" s="0" t="s">
        <v>130</v>
      </c>
      <c r="AW2014" s="0" t="s">
        <v>130</v>
      </c>
      <c r="AX2014" s="0" t="s">
        <v>130</v>
      </c>
      <c r="AY2014" s="0" t="s">
        <v>130</v>
      </c>
      <c r="AZ2014" s="0" t="s">
        <v>130</v>
      </c>
      <c r="BA2014" s="0" t="s">
        <v>130</v>
      </c>
      <c r="BB2014" s="0" t="s">
        <v>141</v>
      </c>
      <c r="BC2014" s="0" t="s">
        <v>141</v>
      </c>
      <c r="BD2014" s="0" t="s">
        <v>130</v>
      </c>
      <c r="BE2014" s="0" t="s">
        <v>130</v>
      </c>
      <c r="BF2014" s="0" t="s">
        <v>130</v>
      </c>
      <c r="BG2014" s="0" t="s">
        <v>130</v>
      </c>
      <c r="BH2014" s="0" t="s">
        <v>130</v>
      </c>
      <c r="BI2014" s="0" t="s">
        <v>130</v>
      </c>
      <c r="BJ2014" s="0" t="s">
        <v>130</v>
      </c>
      <c r="BK2014" s="0" t="s">
        <v>130</v>
      </c>
      <c r="BL2014" s="0" t="s">
        <v>130</v>
      </c>
      <c r="BM2014" s="0" t="s">
        <v>130</v>
      </c>
      <c r="BN2014" s="0" t="s">
        <v>130</v>
      </c>
      <c r="BO2014" s="0" t="s">
        <v>130</v>
      </c>
      <c r="BP2014" s="0" t="s">
        <v>130</v>
      </c>
      <c r="BQ2014" s="0" t="s">
        <v>130</v>
      </c>
      <c r="BR2014" s="0" t="s">
        <v>130</v>
      </c>
      <c r="BS2014" s="0" t="s">
        <v>130</v>
      </c>
      <c r="BT2014" s="0" t="s">
        <v>130</v>
      </c>
      <c r="BU2014" s="0" t="s">
        <v>130</v>
      </c>
      <c r="BV2014" s="0" t="s">
        <v>130</v>
      </c>
      <c r="BW2014" s="0" t="s">
        <v>130</v>
      </c>
      <c r="BX2014" s="0" t="s">
        <v>130</v>
      </c>
      <c r="BY2014" s="0" t="s">
        <v>130</v>
      </c>
      <c r="BZ2014" s="0" t="s">
        <v>130</v>
      </c>
      <c r="CA2014" s="0" t="s">
        <v>130</v>
      </c>
      <c r="CB2014" s="0" t="s">
        <v>130</v>
      </c>
      <c r="CC2014" s="0" t="s">
        <v>130</v>
      </c>
      <c r="CD2014" s="0" t="s">
        <v>130</v>
      </c>
      <c r="CE2014" s="0" t="s">
        <v>130</v>
      </c>
      <c r="CF2014" s="0" t="s">
        <v>130</v>
      </c>
      <c r="CG2014" s="0" t="s">
        <v>130</v>
      </c>
      <c r="CH2014" s="0" t="s">
        <v>130</v>
      </c>
      <c r="CI2014" s="0" t="s">
        <v>130</v>
      </c>
      <c r="CJ2014" s="0" t="s">
        <v>130</v>
      </c>
      <c r="CK2014" s="0" t="s">
        <v>130</v>
      </c>
      <c r="CL2014" s="0" t="s">
        <v>130</v>
      </c>
      <c r="CM2014" s="0" t="s">
        <v>130</v>
      </c>
      <c r="CN2014" s="0" t="s">
        <v>130</v>
      </c>
      <c r="CO2014" s="0" t="s">
        <v>130</v>
      </c>
      <c r="CP2014" s="0" t="s">
        <v>130</v>
      </c>
      <c r="CQ2014" s="0" t="s">
        <v>130</v>
      </c>
      <c r="CR2014" s="0" t="s">
        <v>130</v>
      </c>
      <c r="CS2014" s="0" t="s">
        <v>130</v>
      </c>
      <c r="CT2014" s="0" t="s">
        <v>5651</v>
      </c>
    </row>
    <row r="2015">
      <c r="A2015" s="14">
        <v>117341</v>
      </c>
      <c r="B2015" s="0" t="s">
        <v>2804</v>
      </c>
      <c r="C2015" s="16">
        <f>HYPERLINK("https://eosportal.federatedhermes.com/companies/Q29tcGFueQppNjI0ODY=", "Cemex SAB de CV")</f>
      </c>
      <c r="D2015" s="0" t="s">
        <v>25</v>
      </c>
      <c r="E2015" s="0" t="s">
        <v>5649</v>
      </c>
      <c r="F2015" s="16">
        <f>HYPERLINK("https://eosportal.federatedhermes.com/engagements/RW5nYWdlbWVudAppMzIwODI=", "Company alignment with the Paris Agreement")</f>
      </c>
      <c r="G2015" s="14" t="s">
        <v>5650</v>
      </c>
      <c r="H2015" s="0" t="s">
        <v>141</v>
      </c>
      <c r="I2015" s="14" t="s">
        <v>636</v>
      </c>
      <c r="J2015" s="0" t="s">
        <v>197</v>
      </c>
      <c r="K2015" s="0" t="s">
        <v>198</v>
      </c>
      <c r="L2015" s="0" t="s">
        <v>216</v>
      </c>
      <c r="M2015" s="0" t="s">
        <v>2807</v>
      </c>
      <c r="N2015" s="0" t="s">
        <v>2808</v>
      </c>
      <c r="O2015" s="0" t="s">
        <v>373</v>
      </c>
      <c r="Q2015" s="0" t="s">
        <v>130</v>
      </c>
      <c r="R2015" s="0" t="s">
        <v>138</v>
      </c>
      <c r="S2015" s="14">
        <v>0</v>
      </c>
      <c r="T2015" s="0" t="s">
        <v>2270</v>
      </c>
      <c r="U2015" s="0" t="s">
        <v>138</v>
      </c>
      <c r="V2015" s="14" t="s">
        <v>138</v>
      </c>
      <c r="W2015" s="0" t="s">
        <v>138</v>
      </c>
      <c r="X2015" s="14" t="s">
        <v>138</v>
      </c>
      <c r="Y2015" s="0" t="s">
        <v>138</v>
      </c>
      <c r="Z2015" s="14" t="s">
        <v>138</v>
      </c>
      <c r="AA2015" s="0" t="s">
        <v>138</v>
      </c>
      <c r="AB2015" s="14" t="s">
        <v>138</v>
      </c>
      <c r="AD2015" s="0" t="s">
        <v>138</v>
      </c>
      <c r="AF2015" s="0">
        <v>0</v>
      </c>
      <c r="AG2015" s="0">
        <v>0</v>
      </c>
      <c r="AH2015" s="0" t="s">
        <v>140</v>
      </c>
      <c r="AI2015" s="0" t="s">
        <v>138</v>
      </c>
      <c r="AL2015" s="14"/>
      <c r="AN2015" s="14"/>
      <c r="AQ2015" s="0" t="s">
        <v>130</v>
      </c>
      <c r="AR2015" s="0" t="s">
        <v>130</v>
      </c>
      <c r="AS2015" s="0" t="s">
        <v>130</v>
      </c>
      <c r="AT2015" s="0" t="s">
        <v>130</v>
      </c>
      <c r="AU2015" s="0" t="s">
        <v>130</v>
      </c>
      <c r="AV2015" s="0" t="s">
        <v>130</v>
      </c>
      <c r="AW2015" s="0" t="s">
        <v>141</v>
      </c>
      <c r="AX2015" s="0" t="s">
        <v>130</v>
      </c>
      <c r="AY2015" s="0" t="s">
        <v>130</v>
      </c>
      <c r="AZ2015" s="0" t="s">
        <v>130</v>
      </c>
      <c r="BA2015" s="0" t="s">
        <v>130</v>
      </c>
      <c r="BB2015" s="0" t="s">
        <v>130</v>
      </c>
      <c r="BC2015" s="0" t="s">
        <v>141</v>
      </c>
      <c r="BD2015" s="0" t="s">
        <v>130</v>
      </c>
      <c r="BE2015" s="0" t="s">
        <v>130</v>
      </c>
      <c r="BF2015" s="0" t="s">
        <v>130</v>
      </c>
      <c r="BG2015" s="0" t="s">
        <v>130</v>
      </c>
      <c r="BH2015" s="0" t="s">
        <v>141</v>
      </c>
      <c r="BI2015" s="0" t="s">
        <v>141</v>
      </c>
      <c r="BJ2015" s="0" t="s">
        <v>141</v>
      </c>
      <c r="BK2015" s="0" t="s">
        <v>130</v>
      </c>
      <c r="BL2015" s="0" t="s">
        <v>130</v>
      </c>
      <c r="BM2015" s="0" t="s">
        <v>130</v>
      </c>
      <c r="BN2015" s="0" t="s">
        <v>130</v>
      </c>
      <c r="BO2015" s="0" t="s">
        <v>130</v>
      </c>
      <c r="BP2015" s="0" t="s">
        <v>130</v>
      </c>
      <c r="BQ2015" s="0" t="s">
        <v>130</v>
      </c>
      <c r="BR2015" s="0" t="s">
        <v>130</v>
      </c>
      <c r="BS2015" s="0" t="s">
        <v>130</v>
      </c>
      <c r="BT2015" s="0" t="s">
        <v>130</v>
      </c>
      <c r="BU2015" s="0" t="s">
        <v>130</v>
      </c>
      <c r="BV2015" s="0" t="s">
        <v>141</v>
      </c>
      <c r="BW2015" s="0" t="s">
        <v>141</v>
      </c>
      <c r="BX2015" s="0" t="s">
        <v>130</v>
      </c>
      <c r="BY2015" s="0" t="s">
        <v>130</v>
      </c>
      <c r="BZ2015" s="0" t="s">
        <v>130</v>
      </c>
      <c r="CA2015" s="0" t="s">
        <v>130</v>
      </c>
      <c r="CB2015" s="0" t="s">
        <v>130</v>
      </c>
      <c r="CC2015" s="0" t="s">
        <v>130</v>
      </c>
      <c r="CD2015" s="0" t="s">
        <v>130</v>
      </c>
      <c r="CE2015" s="0" t="s">
        <v>130</v>
      </c>
      <c r="CF2015" s="0" t="s">
        <v>130</v>
      </c>
      <c r="CG2015" s="0" t="s">
        <v>130</v>
      </c>
      <c r="CH2015" s="0" t="s">
        <v>130</v>
      </c>
      <c r="CI2015" s="0" t="s">
        <v>130</v>
      </c>
      <c r="CJ2015" s="0" t="s">
        <v>130</v>
      </c>
      <c r="CK2015" s="0" t="s">
        <v>130</v>
      </c>
      <c r="CL2015" s="0" t="s">
        <v>130</v>
      </c>
      <c r="CM2015" s="0" t="s">
        <v>130</v>
      </c>
      <c r="CN2015" s="0" t="s">
        <v>130</v>
      </c>
      <c r="CO2015" s="0" t="s">
        <v>130</v>
      </c>
      <c r="CP2015" s="0" t="s">
        <v>130</v>
      </c>
      <c r="CQ2015" s="0" t="s">
        <v>130</v>
      </c>
      <c r="CR2015" s="0" t="s">
        <v>130</v>
      </c>
      <c r="CS2015" s="0" t="s">
        <v>130</v>
      </c>
      <c r="CT2015" s="0" t="s">
        <v>5652</v>
      </c>
    </row>
    <row r="2016">
      <c r="A2016" s="14">
        <v>253334</v>
      </c>
      <c r="B2016" s="0" t="s">
        <v>3516</v>
      </c>
      <c r="C2016" s="16">
        <f>HYPERLINK("https://eosportal.federatedhermes.com/companies/Q29tcGFueQppODY1MjA=", "GAIL India Ltd")</f>
      </c>
      <c r="D2016" s="0" t="s">
        <v>25</v>
      </c>
      <c r="E2016" s="0" t="s">
        <v>5649</v>
      </c>
      <c r="F2016" s="16">
        <f>HYPERLINK("https://eosportal.federatedhermes.com/engagements/RW5nYWdlbWVudAppMzIwODc=", "Company alignment with the Paris Agreement")</f>
      </c>
      <c r="G2016" s="14" t="s">
        <v>5650</v>
      </c>
      <c r="H2016" s="0" t="s">
        <v>130</v>
      </c>
      <c r="I2016" s="14" t="s">
        <v>131</v>
      </c>
      <c r="J2016" s="0" t="s">
        <v>197</v>
      </c>
      <c r="K2016" s="0" t="s">
        <v>198</v>
      </c>
      <c r="L2016" s="0" t="s">
        <v>216</v>
      </c>
      <c r="M2016" s="0" t="s">
        <v>2807</v>
      </c>
      <c r="N2016" s="0" t="s">
        <v>2969</v>
      </c>
      <c r="O2016" s="0" t="s">
        <v>192</v>
      </c>
      <c r="Q2016" s="0" t="s">
        <v>130</v>
      </c>
      <c r="R2016" s="0" t="s">
        <v>138</v>
      </c>
      <c r="S2016" s="14">
        <v>0</v>
      </c>
      <c r="T2016" s="0" t="s">
        <v>2270</v>
      </c>
      <c r="U2016" s="0" t="s">
        <v>138</v>
      </c>
      <c r="V2016" s="14" t="s">
        <v>138</v>
      </c>
      <c r="W2016" s="0" t="s">
        <v>138</v>
      </c>
      <c r="X2016" s="14" t="s">
        <v>138</v>
      </c>
      <c r="Y2016" s="0" t="s">
        <v>138</v>
      </c>
      <c r="Z2016" s="14" t="s">
        <v>138</v>
      </c>
      <c r="AA2016" s="0" t="s">
        <v>138</v>
      </c>
      <c r="AB2016" s="14" t="s">
        <v>138</v>
      </c>
      <c r="AD2016" s="0" t="s">
        <v>138</v>
      </c>
      <c r="AF2016" s="0">
        <v>0</v>
      </c>
      <c r="AG2016" s="0">
        <v>0</v>
      </c>
      <c r="AH2016" s="0" t="s">
        <v>140</v>
      </c>
      <c r="AI2016" s="0" t="s">
        <v>138</v>
      </c>
      <c r="AL2016" s="14"/>
      <c r="AN2016" s="14"/>
      <c r="AQ2016" s="0" t="s">
        <v>130</v>
      </c>
      <c r="AR2016" s="0" t="s">
        <v>130</v>
      </c>
      <c r="AS2016" s="0" t="s">
        <v>130</v>
      </c>
      <c r="AT2016" s="0" t="s">
        <v>130</v>
      </c>
      <c r="AU2016" s="0" t="s">
        <v>130</v>
      </c>
      <c r="AV2016" s="0" t="s">
        <v>130</v>
      </c>
      <c r="AW2016" s="0" t="s">
        <v>141</v>
      </c>
      <c r="AX2016" s="0" t="s">
        <v>130</v>
      </c>
      <c r="AY2016" s="0" t="s">
        <v>130</v>
      </c>
      <c r="AZ2016" s="0" t="s">
        <v>130</v>
      </c>
      <c r="BA2016" s="0" t="s">
        <v>130</v>
      </c>
      <c r="BB2016" s="0" t="s">
        <v>130</v>
      </c>
      <c r="BC2016" s="0" t="s">
        <v>141</v>
      </c>
      <c r="BD2016" s="0" t="s">
        <v>130</v>
      </c>
      <c r="BE2016" s="0" t="s">
        <v>130</v>
      </c>
      <c r="BF2016" s="0" t="s">
        <v>130</v>
      </c>
      <c r="BG2016" s="0" t="s">
        <v>130</v>
      </c>
      <c r="BH2016" s="0" t="s">
        <v>141</v>
      </c>
      <c r="BI2016" s="0" t="s">
        <v>141</v>
      </c>
      <c r="BJ2016" s="0" t="s">
        <v>141</v>
      </c>
      <c r="BK2016" s="0" t="s">
        <v>130</v>
      </c>
      <c r="BL2016" s="0" t="s">
        <v>130</v>
      </c>
      <c r="BM2016" s="0" t="s">
        <v>130</v>
      </c>
      <c r="BN2016" s="0" t="s">
        <v>130</v>
      </c>
      <c r="BO2016" s="0" t="s">
        <v>130</v>
      </c>
      <c r="BP2016" s="0" t="s">
        <v>130</v>
      </c>
      <c r="BQ2016" s="0" t="s">
        <v>130</v>
      </c>
      <c r="BR2016" s="0" t="s">
        <v>130</v>
      </c>
      <c r="BS2016" s="0" t="s">
        <v>130</v>
      </c>
      <c r="BT2016" s="0" t="s">
        <v>130</v>
      </c>
      <c r="BU2016" s="0" t="s">
        <v>130</v>
      </c>
      <c r="BV2016" s="0" t="s">
        <v>141</v>
      </c>
      <c r="BW2016" s="0" t="s">
        <v>141</v>
      </c>
      <c r="BX2016" s="0" t="s">
        <v>130</v>
      </c>
      <c r="BY2016" s="0" t="s">
        <v>130</v>
      </c>
      <c r="BZ2016" s="0" t="s">
        <v>130</v>
      </c>
      <c r="CA2016" s="0" t="s">
        <v>130</v>
      </c>
      <c r="CB2016" s="0" t="s">
        <v>130</v>
      </c>
      <c r="CC2016" s="0" t="s">
        <v>130</v>
      </c>
      <c r="CD2016" s="0" t="s">
        <v>130</v>
      </c>
      <c r="CE2016" s="0" t="s">
        <v>130</v>
      </c>
      <c r="CF2016" s="0" t="s">
        <v>130</v>
      </c>
      <c r="CG2016" s="0" t="s">
        <v>130</v>
      </c>
      <c r="CH2016" s="0" t="s">
        <v>130</v>
      </c>
      <c r="CI2016" s="0" t="s">
        <v>130</v>
      </c>
      <c r="CJ2016" s="0" t="s">
        <v>130</v>
      </c>
      <c r="CK2016" s="0" t="s">
        <v>130</v>
      </c>
      <c r="CL2016" s="0" t="s">
        <v>130</v>
      </c>
      <c r="CM2016" s="0" t="s">
        <v>130</v>
      </c>
      <c r="CN2016" s="0" t="s">
        <v>130</v>
      </c>
      <c r="CO2016" s="0" t="s">
        <v>130</v>
      </c>
      <c r="CP2016" s="0" t="s">
        <v>130</v>
      </c>
      <c r="CQ2016" s="0" t="s">
        <v>130</v>
      </c>
      <c r="CR2016" s="0" t="s">
        <v>130</v>
      </c>
      <c r="CS2016" s="0" t="s">
        <v>130</v>
      </c>
      <c r="CT2016" s="0" t="s">
        <v>5653</v>
      </c>
    </row>
    <row r="2017">
      <c r="A2017" s="14">
        <v>328683</v>
      </c>
      <c r="B2017" s="0" t="s">
        <v>3664</v>
      </c>
      <c r="C2017" s="16">
        <f>HYPERLINK("https://eosportal.federatedhermes.com/companies/Q29tcGFueQppNTg5MjI=", "Mercedes-Benz Group AG")</f>
      </c>
      <c r="D2017" s="0" t="s">
        <v>25</v>
      </c>
      <c r="E2017" s="0" t="s">
        <v>1542</v>
      </c>
      <c r="F2017" s="16">
        <f>HYPERLINK("https://eosportal.federatedhermes.com/engagements/RW5nYWdlbWVudAppMzIwODk=", "Just transition")</f>
      </c>
      <c r="G2017" s="14" t="s">
        <v>5654</v>
      </c>
      <c r="H2017" s="0" t="s">
        <v>141</v>
      </c>
      <c r="I2017" s="14" t="s">
        <v>1645</v>
      </c>
      <c r="J2017" s="0" t="s">
        <v>197</v>
      </c>
      <c r="K2017" s="0" t="s">
        <v>198</v>
      </c>
      <c r="L2017" s="0" t="s">
        <v>199</v>
      </c>
      <c r="M2017" s="0" t="s">
        <v>378</v>
      </c>
      <c r="N2017" s="0" t="s">
        <v>2485</v>
      </c>
      <c r="O2017" s="0" t="s">
        <v>425</v>
      </c>
      <c r="Q2017" s="0" t="s">
        <v>141</v>
      </c>
      <c r="R2017" s="0" t="s">
        <v>138</v>
      </c>
      <c r="S2017" s="14">
        <v>1</v>
      </c>
      <c r="T2017" s="0" t="s">
        <v>2629</v>
      </c>
      <c r="U2017" s="0" t="s">
        <v>138</v>
      </c>
      <c r="V2017" s="14" t="s">
        <v>138</v>
      </c>
      <c r="W2017" s="0" t="s">
        <v>138</v>
      </c>
      <c r="X2017" s="14" t="s">
        <v>138</v>
      </c>
      <c r="Y2017" s="0" t="s">
        <v>138</v>
      </c>
      <c r="Z2017" s="14" t="s">
        <v>138</v>
      </c>
      <c r="AA2017" s="0" t="s">
        <v>138</v>
      </c>
      <c r="AB2017" s="14" t="s">
        <v>138</v>
      </c>
      <c r="AD2017" s="0" t="s">
        <v>138</v>
      </c>
      <c r="AF2017" s="0">
        <v>0</v>
      </c>
      <c r="AG2017" s="0">
        <v>0</v>
      </c>
      <c r="AH2017" s="0" t="s">
        <v>140</v>
      </c>
      <c r="AI2017" s="0" t="s">
        <v>138</v>
      </c>
      <c r="AK2017" s="0" t="s">
        <v>2044</v>
      </c>
      <c r="AL2017" s="14"/>
      <c r="AN2017" s="14"/>
      <c r="AQ2017" s="0" t="s">
        <v>130</v>
      </c>
      <c r="AR2017" s="0" t="s">
        <v>130</v>
      </c>
      <c r="AS2017" s="0" t="s">
        <v>130</v>
      </c>
      <c r="AT2017" s="0" t="s">
        <v>130</v>
      </c>
      <c r="AU2017" s="0" t="s">
        <v>130</v>
      </c>
      <c r="AV2017" s="0" t="s">
        <v>130</v>
      </c>
      <c r="AW2017" s="0" t="s">
        <v>130</v>
      </c>
      <c r="AX2017" s="0" t="s">
        <v>130</v>
      </c>
      <c r="AY2017" s="0" t="s">
        <v>130</v>
      </c>
      <c r="AZ2017" s="0" t="s">
        <v>130</v>
      </c>
      <c r="BA2017" s="0" t="s">
        <v>130</v>
      </c>
      <c r="BB2017" s="0" t="s">
        <v>141</v>
      </c>
      <c r="BC2017" s="0" t="s">
        <v>130</v>
      </c>
      <c r="BD2017" s="0" t="s">
        <v>130</v>
      </c>
      <c r="BE2017" s="0" t="s">
        <v>130</v>
      </c>
      <c r="BF2017" s="0" t="s">
        <v>130</v>
      </c>
      <c r="BG2017" s="0" t="s">
        <v>130</v>
      </c>
      <c r="BH2017" s="0" t="s">
        <v>130</v>
      </c>
      <c r="BI2017" s="0" t="s">
        <v>130</v>
      </c>
      <c r="BJ2017" s="0" t="s">
        <v>130</v>
      </c>
      <c r="BK2017" s="0" t="s">
        <v>130</v>
      </c>
      <c r="BL2017" s="0" t="s">
        <v>130</v>
      </c>
      <c r="BM2017" s="0" t="s">
        <v>130</v>
      </c>
      <c r="BN2017" s="0" t="s">
        <v>130</v>
      </c>
      <c r="BO2017" s="0" t="s">
        <v>130</v>
      </c>
      <c r="BP2017" s="0" t="s">
        <v>130</v>
      </c>
      <c r="BQ2017" s="0" t="s">
        <v>130</v>
      </c>
      <c r="BR2017" s="0" t="s">
        <v>130</v>
      </c>
      <c r="BS2017" s="0" t="s">
        <v>130</v>
      </c>
      <c r="BT2017" s="0" t="s">
        <v>130</v>
      </c>
      <c r="BU2017" s="0" t="s">
        <v>130</v>
      </c>
      <c r="BV2017" s="0" t="s">
        <v>130</v>
      </c>
      <c r="BW2017" s="0" t="s">
        <v>130</v>
      </c>
      <c r="BX2017" s="0" t="s">
        <v>130</v>
      </c>
      <c r="BY2017" s="0" t="s">
        <v>130</v>
      </c>
      <c r="BZ2017" s="0" t="s">
        <v>130</v>
      </c>
      <c r="CA2017" s="0" t="s">
        <v>130</v>
      </c>
      <c r="CB2017" s="0" t="s">
        <v>130</v>
      </c>
      <c r="CC2017" s="0" t="s">
        <v>130</v>
      </c>
      <c r="CD2017" s="0" t="s">
        <v>130</v>
      </c>
      <c r="CE2017" s="0" t="s">
        <v>130</v>
      </c>
      <c r="CF2017" s="0" t="s">
        <v>130</v>
      </c>
      <c r="CG2017" s="0" t="s">
        <v>130</v>
      </c>
      <c r="CH2017" s="0" t="s">
        <v>130</v>
      </c>
      <c r="CI2017" s="0" t="s">
        <v>130</v>
      </c>
      <c r="CJ2017" s="0" t="s">
        <v>130</v>
      </c>
      <c r="CK2017" s="0" t="s">
        <v>130</v>
      </c>
      <c r="CL2017" s="0" t="s">
        <v>130</v>
      </c>
      <c r="CM2017" s="0" t="s">
        <v>130</v>
      </c>
      <c r="CN2017" s="0" t="s">
        <v>130</v>
      </c>
      <c r="CO2017" s="0" t="s">
        <v>130</v>
      </c>
      <c r="CP2017" s="0" t="s">
        <v>130</v>
      </c>
      <c r="CQ2017" s="0" t="s">
        <v>130</v>
      </c>
      <c r="CR2017" s="0" t="s">
        <v>130</v>
      </c>
      <c r="CS2017" s="0" t="s">
        <v>130</v>
      </c>
      <c r="CT2017" s="0" t="s">
        <v>5655</v>
      </c>
    </row>
    <row r="2018">
      <c r="A2018" s="14">
        <v>101499</v>
      </c>
      <c r="B2018" s="0" t="s">
        <v>1676</v>
      </c>
      <c r="C2018" s="16">
        <f>HYPERLINK("https://eosportal.federatedhermes.com/companies/Q29tcGFueQppNTg5Nzk=", "TC Energy Corp")</f>
      </c>
      <c r="D2018" s="0" t="s">
        <v>25</v>
      </c>
      <c r="E2018" s="0" t="s">
        <v>5656</v>
      </c>
      <c r="F2018" s="16">
        <f>HYPERLINK("https://eosportal.federatedhermes.com/engagements/RW5nYWdlbWVudAppMzIwOTQ=", "Oil Spill in Kansas")</f>
      </c>
      <c r="G2018" s="14" t="s">
        <v>5657</v>
      </c>
      <c r="H2018" s="0" t="s">
        <v>130</v>
      </c>
      <c r="I2018" s="14" t="s">
        <v>131</v>
      </c>
      <c r="J2018" s="0" t="s">
        <v>197</v>
      </c>
      <c r="K2018" s="0" t="s">
        <v>348</v>
      </c>
      <c r="L2018" s="0" t="s">
        <v>650</v>
      </c>
      <c r="M2018" s="0" t="s">
        <v>135</v>
      </c>
      <c r="N2018" s="0" t="s">
        <v>1678</v>
      </c>
      <c r="O2018" s="0" t="s">
        <v>542</v>
      </c>
      <c r="Q2018" s="0" t="s">
        <v>130</v>
      </c>
      <c r="R2018" s="0" t="s">
        <v>138</v>
      </c>
      <c r="S2018" s="14">
        <v>0</v>
      </c>
      <c r="T2018" s="0" t="s">
        <v>2629</v>
      </c>
      <c r="U2018" s="0" t="s">
        <v>138</v>
      </c>
      <c r="V2018" s="14" t="s">
        <v>138</v>
      </c>
      <c r="W2018" s="0" t="s">
        <v>138</v>
      </c>
      <c r="X2018" s="14" t="s">
        <v>138</v>
      </c>
      <c r="Y2018" s="0" t="s">
        <v>138</v>
      </c>
      <c r="Z2018" s="14" t="s">
        <v>138</v>
      </c>
      <c r="AA2018" s="0" t="s">
        <v>138</v>
      </c>
      <c r="AB2018" s="14" t="s">
        <v>138</v>
      </c>
      <c r="AD2018" s="0" t="s">
        <v>138</v>
      </c>
      <c r="AF2018" s="0">
        <v>0</v>
      </c>
      <c r="AG2018" s="0">
        <v>0</v>
      </c>
      <c r="AH2018" s="0" t="s">
        <v>140</v>
      </c>
      <c r="AI2018" s="0" t="s">
        <v>138</v>
      </c>
      <c r="AL2018" s="14"/>
      <c r="AN2018" s="14"/>
      <c r="AQ2018" s="0" t="s">
        <v>130</v>
      </c>
      <c r="AR2018" s="0" t="s">
        <v>130</v>
      </c>
      <c r="AS2018" s="0" t="s">
        <v>141</v>
      </c>
      <c r="AT2018" s="0" t="s">
        <v>130</v>
      </c>
      <c r="AU2018" s="0" t="s">
        <v>130</v>
      </c>
      <c r="AV2018" s="0" t="s">
        <v>141</v>
      </c>
      <c r="AW2018" s="0" t="s">
        <v>130</v>
      </c>
      <c r="AX2018" s="0" t="s">
        <v>130</v>
      </c>
      <c r="AY2018" s="0" t="s">
        <v>130</v>
      </c>
      <c r="AZ2018" s="0" t="s">
        <v>130</v>
      </c>
      <c r="BA2018" s="0" t="s">
        <v>130</v>
      </c>
      <c r="BB2018" s="0" t="s">
        <v>130</v>
      </c>
      <c r="BC2018" s="0" t="s">
        <v>130</v>
      </c>
      <c r="BD2018" s="0" t="s">
        <v>141</v>
      </c>
      <c r="BE2018" s="0" t="s">
        <v>130</v>
      </c>
      <c r="BF2018" s="0" t="s">
        <v>130</v>
      </c>
      <c r="BG2018" s="0" t="s">
        <v>130</v>
      </c>
      <c r="BH2018" s="0" t="s">
        <v>130</v>
      </c>
      <c r="BI2018" s="0" t="s">
        <v>130</v>
      </c>
      <c r="BJ2018" s="0" t="s">
        <v>130</v>
      </c>
      <c r="BK2018" s="0" t="s">
        <v>130</v>
      </c>
      <c r="BL2018" s="0" t="s">
        <v>130</v>
      </c>
      <c r="BM2018" s="0" t="s">
        <v>130</v>
      </c>
      <c r="BN2018" s="0" t="s">
        <v>130</v>
      </c>
      <c r="BO2018" s="0" t="s">
        <v>130</v>
      </c>
      <c r="BP2018" s="0" t="s">
        <v>130</v>
      </c>
      <c r="BQ2018" s="0" t="s">
        <v>130</v>
      </c>
      <c r="BR2018" s="0" t="s">
        <v>130</v>
      </c>
      <c r="BS2018" s="0" t="s">
        <v>130</v>
      </c>
      <c r="BT2018" s="0" t="s">
        <v>130</v>
      </c>
      <c r="BU2018" s="0" t="s">
        <v>130</v>
      </c>
      <c r="BV2018" s="0" t="s">
        <v>130</v>
      </c>
      <c r="BW2018" s="0" t="s">
        <v>130</v>
      </c>
      <c r="BX2018" s="0" t="s">
        <v>130</v>
      </c>
      <c r="BY2018" s="0" t="s">
        <v>130</v>
      </c>
      <c r="BZ2018" s="0" t="s">
        <v>130</v>
      </c>
      <c r="CA2018" s="0" t="s">
        <v>130</v>
      </c>
      <c r="CB2018" s="0" t="s">
        <v>130</v>
      </c>
      <c r="CC2018" s="0" t="s">
        <v>130</v>
      </c>
      <c r="CD2018" s="0" t="s">
        <v>130</v>
      </c>
      <c r="CE2018" s="0" t="s">
        <v>130</v>
      </c>
      <c r="CF2018" s="0" t="s">
        <v>130</v>
      </c>
      <c r="CG2018" s="0" t="s">
        <v>130</v>
      </c>
      <c r="CH2018" s="0" t="s">
        <v>130</v>
      </c>
      <c r="CI2018" s="0" t="s">
        <v>130</v>
      </c>
      <c r="CJ2018" s="0" t="s">
        <v>130</v>
      </c>
      <c r="CK2018" s="0" t="s">
        <v>130</v>
      </c>
      <c r="CL2018" s="0" t="s">
        <v>130</v>
      </c>
      <c r="CM2018" s="0" t="s">
        <v>130</v>
      </c>
      <c r="CN2018" s="0" t="s">
        <v>130</v>
      </c>
      <c r="CO2018" s="0" t="s">
        <v>130</v>
      </c>
      <c r="CP2018" s="0" t="s">
        <v>130</v>
      </c>
      <c r="CQ2018" s="0" t="s">
        <v>130</v>
      </c>
      <c r="CR2018" s="0" t="s">
        <v>130</v>
      </c>
      <c r="CS2018" s="0" t="s">
        <v>130</v>
      </c>
      <c r="CT2018" s="0" t="s">
        <v>5658</v>
      </c>
    </row>
    <row r="2019">
      <c r="A2019" s="14">
        <v>11204665</v>
      </c>
      <c r="B2019" s="0" t="s">
        <v>3998</v>
      </c>
      <c r="C2019" s="16">
        <f>HYPERLINK("https://eosportal.federatedhermes.com/companies/Q29tcGFueQppNjQ2NDE=", "Brambles Ltd")</f>
      </c>
      <c r="D2019" s="0" t="s">
        <v>25</v>
      </c>
      <c r="E2019" s="0" t="s">
        <v>3400</v>
      </c>
      <c r="F2019" s="16">
        <f>HYPERLINK("https://eosportal.federatedhermes.com/engagements/RW5nYWdlbWVudAppMzIwOTY=", "Living wages")</f>
      </c>
      <c r="G2019" s="14" t="s">
        <v>5659</v>
      </c>
      <c r="H2019" s="0" t="s">
        <v>130</v>
      </c>
      <c r="I2019" s="14" t="s">
        <v>319</v>
      </c>
      <c r="J2019" s="0" t="s">
        <v>153</v>
      </c>
      <c r="K2019" s="0" t="s">
        <v>154</v>
      </c>
      <c r="L2019" s="0" t="s">
        <v>306</v>
      </c>
      <c r="M2019" s="0" t="s">
        <v>371</v>
      </c>
      <c r="N2019" s="0" t="s">
        <v>372</v>
      </c>
      <c r="O2019" s="0" t="s">
        <v>176</v>
      </c>
      <c r="Q2019" s="0" t="s">
        <v>130</v>
      </c>
      <c r="R2019" s="0" t="s">
        <v>138</v>
      </c>
      <c r="S2019" s="14">
        <v>0</v>
      </c>
      <c r="T2019" s="0" t="s">
        <v>2629</v>
      </c>
      <c r="U2019" s="0" t="s">
        <v>138</v>
      </c>
      <c r="V2019" s="14" t="s">
        <v>138</v>
      </c>
      <c r="W2019" s="0" t="s">
        <v>138</v>
      </c>
      <c r="X2019" s="14" t="s">
        <v>138</v>
      </c>
      <c r="Y2019" s="0" t="s">
        <v>138</v>
      </c>
      <c r="Z2019" s="14" t="s">
        <v>138</v>
      </c>
      <c r="AA2019" s="0" t="s">
        <v>138</v>
      </c>
      <c r="AB2019" s="14" t="s">
        <v>138</v>
      </c>
      <c r="AD2019" s="0" t="s">
        <v>138</v>
      </c>
      <c r="AF2019" s="0">
        <v>0</v>
      </c>
      <c r="AG2019" s="0">
        <v>0</v>
      </c>
      <c r="AH2019" s="0" t="s">
        <v>140</v>
      </c>
      <c r="AI2019" s="0" t="s">
        <v>138</v>
      </c>
      <c r="AL2019" s="14"/>
      <c r="AN2019" s="14"/>
      <c r="AQ2019" s="0" t="s">
        <v>141</v>
      </c>
      <c r="AR2019" s="0" t="s">
        <v>130</v>
      </c>
      <c r="AS2019" s="0" t="s">
        <v>130</v>
      </c>
      <c r="AT2019" s="0" t="s">
        <v>130</v>
      </c>
      <c r="AU2019" s="0" t="s">
        <v>130</v>
      </c>
      <c r="AV2019" s="0" t="s">
        <v>130</v>
      </c>
      <c r="AW2019" s="0" t="s">
        <v>130</v>
      </c>
      <c r="AX2019" s="0" t="s">
        <v>141</v>
      </c>
      <c r="AY2019" s="0" t="s">
        <v>130</v>
      </c>
      <c r="AZ2019" s="0" t="s">
        <v>141</v>
      </c>
      <c r="BA2019" s="0" t="s">
        <v>130</v>
      </c>
      <c r="BB2019" s="0" t="s">
        <v>130</v>
      </c>
      <c r="BC2019" s="0" t="s">
        <v>130</v>
      </c>
      <c r="BD2019" s="0" t="s">
        <v>130</v>
      </c>
      <c r="BE2019" s="0" t="s">
        <v>130</v>
      </c>
      <c r="BF2019" s="0" t="s">
        <v>130</v>
      </c>
      <c r="BG2019" s="0" t="s">
        <v>130</v>
      </c>
      <c r="BH2019" s="0" t="s">
        <v>130</v>
      </c>
      <c r="BI2019" s="0" t="s">
        <v>130</v>
      </c>
      <c r="BJ2019" s="0" t="s">
        <v>130</v>
      </c>
      <c r="BK2019" s="0" t="s">
        <v>130</v>
      </c>
      <c r="BL2019" s="0" t="s">
        <v>130</v>
      </c>
      <c r="BM2019" s="0" t="s">
        <v>130</v>
      </c>
      <c r="BN2019" s="0" t="s">
        <v>130</v>
      </c>
      <c r="BO2019" s="0" t="s">
        <v>130</v>
      </c>
      <c r="BP2019" s="0" t="s">
        <v>130</v>
      </c>
      <c r="BQ2019" s="0" t="s">
        <v>130</v>
      </c>
      <c r="BR2019" s="0" t="s">
        <v>130</v>
      </c>
      <c r="BS2019" s="0" t="s">
        <v>130</v>
      </c>
      <c r="BT2019" s="0" t="s">
        <v>130</v>
      </c>
      <c r="BU2019" s="0" t="s">
        <v>130</v>
      </c>
      <c r="BV2019" s="0" t="s">
        <v>130</v>
      </c>
      <c r="BW2019" s="0" t="s">
        <v>130</v>
      </c>
      <c r="BX2019" s="0" t="s">
        <v>130</v>
      </c>
      <c r="BY2019" s="0" t="s">
        <v>130</v>
      </c>
      <c r="BZ2019" s="0" t="s">
        <v>130</v>
      </c>
      <c r="CA2019" s="0" t="s">
        <v>130</v>
      </c>
      <c r="CB2019" s="0" t="s">
        <v>130</v>
      </c>
      <c r="CC2019" s="0" t="s">
        <v>130</v>
      </c>
      <c r="CD2019" s="0" t="s">
        <v>130</v>
      </c>
      <c r="CE2019" s="0" t="s">
        <v>130</v>
      </c>
      <c r="CF2019" s="0" t="s">
        <v>130</v>
      </c>
      <c r="CG2019" s="0" t="s">
        <v>130</v>
      </c>
      <c r="CH2019" s="0" t="s">
        <v>130</v>
      </c>
      <c r="CI2019" s="0" t="s">
        <v>130</v>
      </c>
      <c r="CJ2019" s="0" t="s">
        <v>130</v>
      </c>
      <c r="CK2019" s="0" t="s">
        <v>130</v>
      </c>
      <c r="CL2019" s="0" t="s">
        <v>130</v>
      </c>
      <c r="CM2019" s="0" t="s">
        <v>130</v>
      </c>
      <c r="CN2019" s="0" t="s">
        <v>130</v>
      </c>
      <c r="CO2019" s="0" t="s">
        <v>130</v>
      </c>
      <c r="CP2019" s="0" t="s">
        <v>130</v>
      </c>
      <c r="CQ2019" s="0" t="s">
        <v>130</v>
      </c>
      <c r="CR2019" s="0" t="s">
        <v>130</v>
      </c>
      <c r="CS2019" s="0" t="s">
        <v>130</v>
      </c>
      <c r="CT2019" s="0" t="s">
        <v>5660</v>
      </c>
    </row>
    <row r="2020">
      <c r="A2020" s="14">
        <v>173487</v>
      </c>
      <c r="B2020" s="0" t="s">
        <v>3104</v>
      </c>
      <c r="C2020" s="16">
        <f>HYPERLINK("https://eosportal.federatedhermes.com/companies/Q29tcGFueQppNzQwNjA=", "Bank Rakyat Indonesia Persero Tbk PT")</f>
      </c>
      <c r="D2020" s="0" t="s">
        <v>25</v>
      </c>
      <c r="E2020" s="0" t="s">
        <v>3400</v>
      </c>
      <c r="F2020" s="16">
        <f>HYPERLINK("https://eosportal.federatedhermes.com/engagements/RW5nYWdlbWVudAppMzIwOTk=", "Living wages")</f>
      </c>
      <c r="G2020" s="14" t="s">
        <v>5659</v>
      </c>
      <c r="H2020" s="0" t="s">
        <v>130</v>
      </c>
      <c r="I2020" s="14" t="s">
        <v>131</v>
      </c>
      <c r="J2020" s="0" t="s">
        <v>153</v>
      </c>
      <c r="K2020" s="0" t="s">
        <v>154</v>
      </c>
      <c r="L2020" s="0" t="s">
        <v>306</v>
      </c>
      <c r="M2020" s="0" t="s">
        <v>2807</v>
      </c>
      <c r="N2020" s="0" t="s">
        <v>2826</v>
      </c>
      <c r="O2020" s="0" t="s">
        <v>238</v>
      </c>
      <c r="Q2020" s="0" t="s">
        <v>130</v>
      </c>
      <c r="R2020" s="0" t="s">
        <v>138</v>
      </c>
      <c r="S2020" s="14">
        <v>0</v>
      </c>
      <c r="T2020" s="0" t="s">
        <v>2629</v>
      </c>
      <c r="U2020" s="0" t="s">
        <v>138</v>
      </c>
      <c r="V2020" s="14" t="s">
        <v>138</v>
      </c>
      <c r="W2020" s="0" t="s">
        <v>138</v>
      </c>
      <c r="X2020" s="14" t="s">
        <v>138</v>
      </c>
      <c r="Y2020" s="0" t="s">
        <v>138</v>
      </c>
      <c r="Z2020" s="14" t="s">
        <v>138</v>
      </c>
      <c r="AA2020" s="0" t="s">
        <v>138</v>
      </c>
      <c r="AB2020" s="14" t="s">
        <v>138</v>
      </c>
      <c r="AD2020" s="0" t="s">
        <v>138</v>
      </c>
      <c r="AF2020" s="0">
        <v>0</v>
      </c>
      <c r="AG2020" s="0">
        <v>0</v>
      </c>
      <c r="AH2020" s="0" t="s">
        <v>140</v>
      </c>
      <c r="AI2020" s="0" t="s">
        <v>138</v>
      </c>
      <c r="AL2020" s="14"/>
      <c r="AN2020" s="14"/>
      <c r="AQ2020" s="0" t="s">
        <v>141</v>
      </c>
      <c r="AR2020" s="0" t="s">
        <v>130</v>
      </c>
      <c r="AS2020" s="0" t="s">
        <v>130</v>
      </c>
      <c r="AT2020" s="0" t="s">
        <v>130</v>
      </c>
      <c r="AU2020" s="0" t="s">
        <v>130</v>
      </c>
      <c r="AV2020" s="0" t="s">
        <v>130</v>
      </c>
      <c r="AW2020" s="0" t="s">
        <v>130</v>
      </c>
      <c r="AX2020" s="0" t="s">
        <v>141</v>
      </c>
      <c r="AY2020" s="0" t="s">
        <v>130</v>
      </c>
      <c r="AZ2020" s="0" t="s">
        <v>141</v>
      </c>
      <c r="BA2020" s="0" t="s">
        <v>130</v>
      </c>
      <c r="BB2020" s="0" t="s">
        <v>130</v>
      </c>
      <c r="BC2020" s="0" t="s">
        <v>130</v>
      </c>
      <c r="BD2020" s="0" t="s">
        <v>130</v>
      </c>
      <c r="BE2020" s="0" t="s">
        <v>130</v>
      </c>
      <c r="BF2020" s="0" t="s">
        <v>130</v>
      </c>
      <c r="BG2020" s="0" t="s">
        <v>130</v>
      </c>
      <c r="BH2020" s="0" t="s">
        <v>130</v>
      </c>
      <c r="BI2020" s="0" t="s">
        <v>130</v>
      </c>
      <c r="BJ2020" s="0" t="s">
        <v>130</v>
      </c>
      <c r="BK2020" s="0" t="s">
        <v>130</v>
      </c>
      <c r="BL2020" s="0" t="s">
        <v>130</v>
      </c>
      <c r="BM2020" s="0" t="s">
        <v>130</v>
      </c>
      <c r="BN2020" s="0" t="s">
        <v>130</v>
      </c>
      <c r="BO2020" s="0" t="s">
        <v>130</v>
      </c>
      <c r="BP2020" s="0" t="s">
        <v>130</v>
      </c>
      <c r="BQ2020" s="0" t="s">
        <v>130</v>
      </c>
      <c r="BR2020" s="0" t="s">
        <v>130</v>
      </c>
      <c r="BS2020" s="0" t="s">
        <v>130</v>
      </c>
      <c r="BT2020" s="0" t="s">
        <v>130</v>
      </c>
      <c r="BU2020" s="0" t="s">
        <v>130</v>
      </c>
      <c r="BV2020" s="0" t="s">
        <v>130</v>
      </c>
      <c r="BW2020" s="0" t="s">
        <v>130</v>
      </c>
      <c r="BX2020" s="0" t="s">
        <v>130</v>
      </c>
      <c r="BY2020" s="0" t="s">
        <v>130</v>
      </c>
      <c r="BZ2020" s="0" t="s">
        <v>130</v>
      </c>
      <c r="CA2020" s="0" t="s">
        <v>130</v>
      </c>
      <c r="CB2020" s="0" t="s">
        <v>130</v>
      </c>
      <c r="CC2020" s="0" t="s">
        <v>130</v>
      </c>
      <c r="CD2020" s="0" t="s">
        <v>130</v>
      </c>
      <c r="CE2020" s="0" t="s">
        <v>130</v>
      </c>
      <c r="CF2020" s="0" t="s">
        <v>130</v>
      </c>
      <c r="CG2020" s="0" t="s">
        <v>130</v>
      </c>
      <c r="CH2020" s="0" t="s">
        <v>130</v>
      </c>
      <c r="CI2020" s="0" t="s">
        <v>130</v>
      </c>
      <c r="CJ2020" s="0" t="s">
        <v>130</v>
      </c>
      <c r="CK2020" s="0" t="s">
        <v>130</v>
      </c>
      <c r="CL2020" s="0" t="s">
        <v>130</v>
      </c>
      <c r="CM2020" s="0" t="s">
        <v>130</v>
      </c>
      <c r="CN2020" s="0" t="s">
        <v>130</v>
      </c>
      <c r="CO2020" s="0" t="s">
        <v>130</v>
      </c>
      <c r="CP2020" s="0" t="s">
        <v>130</v>
      </c>
      <c r="CQ2020" s="0" t="s">
        <v>130</v>
      </c>
      <c r="CR2020" s="0" t="s">
        <v>130</v>
      </c>
      <c r="CS2020" s="0" t="s">
        <v>130</v>
      </c>
      <c r="CT2020" s="0" t="s">
        <v>5661</v>
      </c>
    </row>
    <row r="2021">
      <c r="A2021" s="14">
        <v>1747817</v>
      </c>
      <c r="B2021" s="0" t="s">
        <v>3701</v>
      </c>
      <c r="C2021" s="16">
        <f>HYPERLINK("https://eosportal.federatedhermes.com/companies/Q29tcGFueQppNzQ3MjA=", "Axon Enterprise Inc")</f>
      </c>
      <c r="D2021" s="0" t="s">
        <v>25</v>
      </c>
      <c r="E2021" s="0" t="s">
        <v>3400</v>
      </c>
      <c r="F2021" s="16">
        <f>HYPERLINK("https://eosportal.federatedhermes.com/engagements/RW5nYWdlbWVudAppMzIxMDA=", "Living wages")</f>
      </c>
      <c r="G2021" s="14" t="s">
        <v>5659</v>
      </c>
      <c r="H2021" s="0" t="s">
        <v>130</v>
      </c>
      <c r="I2021" s="14" t="s">
        <v>131</v>
      </c>
      <c r="J2021" s="0" t="s">
        <v>153</v>
      </c>
      <c r="K2021" s="0" t="s">
        <v>154</v>
      </c>
      <c r="L2021" s="0" t="s">
        <v>306</v>
      </c>
      <c r="M2021" s="0" t="s">
        <v>135</v>
      </c>
      <c r="N2021" s="0" t="s">
        <v>136</v>
      </c>
      <c r="O2021" s="0" t="s">
        <v>176</v>
      </c>
      <c r="Q2021" s="0" t="s">
        <v>130</v>
      </c>
      <c r="R2021" s="0" t="s">
        <v>138</v>
      </c>
      <c r="S2021" s="14">
        <v>0</v>
      </c>
      <c r="T2021" s="0" t="s">
        <v>2629</v>
      </c>
      <c r="U2021" s="0" t="s">
        <v>138</v>
      </c>
      <c r="V2021" s="14" t="s">
        <v>138</v>
      </c>
      <c r="W2021" s="0" t="s">
        <v>138</v>
      </c>
      <c r="X2021" s="14" t="s">
        <v>138</v>
      </c>
      <c r="Y2021" s="0" t="s">
        <v>138</v>
      </c>
      <c r="Z2021" s="14" t="s">
        <v>138</v>
      </c>
      <c r="AA2021" s="0" t="s">
        <v>138</v>
      </c>
      <c r="AB2021" s="14" t="s">
        <v>138</v>
      </c>
      <c r="AD2021" s="0" t="s">
        <v>138</v>
      </c>
      <c r="AF2021" s="0">
        <v>0</v>
      </c>
      <c r="AG2021" s="0">
        <v>0</v>
      </c>
      <c r="AH2021" s="0" t="s">
        <v>140</v>
      </c>
      <c r="AI2021" s="0" t="s">
        <v>138</v>
      </c>
      <c r="AL2021" s="14"/>
      <c r="AN2021" s="14"/>
      <c r="AQ2021" s="0" t="s">
        <v>141</v>
      </c>
      <c r="AR2021" s="0" t="s">
        <v>130</v>
      </c>
      <c r="AS2021" s="0" t="s">
        <v>130</v>
      </c>
      <c r="AT2021" s="0" t="s">
        <v>130</v>
      </c>
      <c r="AU2021" s="0" t="s">
        <v>130</v>
      </c>
      <c r="AV2021" s="0" t="s">
        <v>130</v>
      </c>
      <c r="AW2021" s="0" t="s">
        <v>130</v>
      </c>
      <c r="AX2021" s="0" t="s">
        <v>141</v>
      </c>
      <c r="AY2021" s="0" t="s">
        <v>130</v>
      </c>
      <c r="AZ2021" s="0" t="s">
        <v>141</v>
      </c>
      <c r="BA2021" s="0" t="s">
        <v>130</v>
      </c>
      <c r="BB2021" s="0" t="s">
        <v>130</v>
      </c>
      <c r="BC2021" s="0" t="s">
        <v>130</v>
      </c>
      <c r="BD2021" s="0" t="s">
        <v>130</v>
      </c>
      <c r="BE2021" s="0" t="s">
        <v>130</v>
      </c>
      <c r="BF2021" s="0" t="s">
        <v>130</v>
      </c>
      <c r="BG2021" s="0" t="s">
        <v>130</v>
      </c>
      <c r="BH2021" s="0" t="s">
        <v>130</v>
      </c>
      <c r="BI2021" s="0" t="s">
        <v>130</v>
      </c>
      <c r="BJ2021" s="0" t="s">
        <v>130</v>
      </c>
      <c r="BK2021" s="0" t="s">
        <v>130</v>
      </c>
      <c r="BL2021" s="0" t="s">
        <v>130</v>
      </c>
      <c r="BM2021" s="0" t="s">
        <v>130</v>
      </c>
      <c r="BN2021" s="0" t="s">
        <v>130</v>
      </c>
      <c r="BO2021" s="0" t="s">
        <v>130</v>
      </c>
      <c r="BP2021" s="0" t="s">
        <v>130</v>
      </c>
      <c r="BQ2021" s="0" t="s">
        <v>130</v>
      </c>
      <c r="BR2021" s="0" t="s">
        <v>130</v>
      </c>
      <c r="BS2021" s="0" t="s">
        <v>130</v>
      </c>
      <c r="BT2021" s="0" t="s">
        <v>130</v>
      </c>
      <c r="BU2021" s="0" t="s">
        <v>130</v>
      </c>
      <c r="BV2021" s="0" t="s">
        <v>130</v>
      </c>
      <c r="BW2021" s="0" t="s">
        <v>130</v>
      </c>
      <c r="BX2021" s="0" t="s">
        <v>130</v>
      </c>
      <c r="BY2021" s="0" t="s">
        <v>130</v>
      </c>
      <c r="BZ2021" s="0" t="s">
        <v>130</v>
      </c>
      <c r="CA2021" s="0" t="s">
        <v>130</v>
      </c>
      <c r="CB2021" s="0" t="s">
        <v>130</v>
      </c>
      <c r="CC2021" s="0" t="s">
        <v>130</v>
      </c>
      <c r="CD2021" s="0" t="s">
        <v>130</v>
      </c>
      <c r="CE2021" s="0" t="s">
        <v>130</v>
      </c>
      <c r="CF2021" s="0" t="s">
        <v>130</v>
      </c>
      <c r="CG2021" s="0" t="s">
        <v>130</v>
      </c>
      <c r="CH2021" s="0" t="s">
        <v>130</v>
      </c>
      <c r="CI2021" s="0" t="s">
        <v>130</v>
      </c>
      <c r="CJ2021" s="0" t="s">
        <v>130</v>
      </c>
      <c r="CK2021" s="0" t="s">
        <v>130</v>
      </c>
      <c r="CL2021" s="0" t="s">
        <v>130</v>
      </c>
      <c r="CM2021" s="0" t="s">
        <v>130</v>
      </c>
      <c r="CN2021" s="0" t="s">
        <v>130</v>
      </c>
      <c r="CO2021" s="0" t="s">
        <v>130</v>
      </c>
      <c r="CP2021" s="0" t="s">
        <v>130</v>
      </c>
      <c r="CQ2021" s="0" t="s">
        <v>130</v>
      </c>
      <c r="CR2021" s="0" t="s">
        <v>130</v>
      </c>
      <c r="CS2021" s="0" t="s">
        <v>130</v>
      </c>
      <c r="CT2021" s="0" t="s">
        <v>5662</v>
      </c>
    </row>
    <row r="2022">
      <c r="A2022" s="14">
        <v>58244711</v>
      </c>
      <c r="B2022" s="0" t="s">
        <v>4639</v>
      </c>
      <c r="C2022" s="16">
        <f>HYPERLINK("https://eosportal.federatedhermes.com/companies/Q29tcGFueQppNzU2NjQ=", "ASE Technology Holding Co Ltd")</f>
      </c>
      <c r="D2022" s="0" t="s">
        <v>25</v>
      </c>
      <c r="E2022" s="0" t="s">
        <v>3400</v>
      </c>
      <c r="F2022" s="16">
        <f>HYPERLINK("https://eosportal.federatedhermes.com/engagements/RW5nYWdlbWVudAppMzIxMDE=", "Living wages")</f>
      </c>
      <c r="G2022" s="14" t="s">
        <v>5663</v>
      </c>
      <c r="H2022" s="0" t="s">
        <v>130</v>
      </c>
      <c r="I2022" s="14" t="s">
        <v>131</v>
      </c>
      <c r="J2022" s="0" t="s">
        <v>153</v>
      </c>
      <c r="K2022" s="0" t="s">
        <v>154</v>
      </c>
      <c r="L2022" s="0" t="s">
        <v>306</v>
      </c>
      <c r="M2022" s="0" t="s">
        <v>802</v>
      </c>
      <c r="N2022" s="0" t="s">
        <v>2941</v>
      </c>
      <c r="O2022" s="0" t="s">
        <v>1125</v>
      </c>
      <c r="Q2022" s="0" t="s">
        <v>130</v>
      </c>
      <c r="R2022" s="0" t="s">
        <v>138</v>
      </c>
      <c r="S2022" s="14">
        <v>0</v>
      </c>
      <c r="T2022" s="0" t="s">
        <v>2629</v>
      </c>
      <c r="U2022" s="0" t="s">
        <v>138</v>
      </c>
      <c r="V2022" s="14" t="s">
        <v>138</v>
      </c>
      <c r="W2022" s="0" t="s">
        <v>138</v>
      </c>
      <c r="X2022" s="14" t="s">
        <v>138</v>
      </c>
      <c r="Y2022" s="0" t="s">
        <v>138</v>
      </c>
      <c r="Z2022" s="14" t="s">
        <v>138</v>
      </c>
      <c r="AA2022" s="0" t="s">
        <v>138</v>
      </c>
      <c r="AB2022" s="14" t="s">
        <v>138</v>
      </c>
      <c r="AD2022" s="0" t="s">
        <v>138</v>
      </c>
      <c r="AF2022" s="0">
        <v>0</v>
      </c>
      <c r="AG2022" s="0">
        <v>0</v>
      </c>
      <c r="AH2022" s="0" t="s">
        <v>140</v>
      </c>
      <c r="AI2022" s="0" t="s">
        <v>138</v>
      </c>
      <c r="AL2022" s="14"/>
      <c r="AN2022" s="14"/>
      <c r="AQ2022" s="0" t="s">
        <v>141</v>
      </c>
      <c r="AR2022" s="0" t="s">
        <v>130</v>
      </c>
      <c r="AS2022" s="0" t="s">
        <v>130</v>
      </c>
      <c r="AT2022" s="0" t="s">
        <v>130</v>
      </c>
      <c r="AU2022" s="0" t="s">
        <v>130</v>
      </c>
      <c r="AV2022" s="0" t="s">
        <v>130</v>
      </c>
      <c r="AW2022" s="0" t="s">
        <v>130</v>
      </c>
      <c r="AX2022" s="0" t="s">
        <v>141</v>
      </c>
      <c r="AY2022" s="0" t="s">
        <v>130</v>
      </c>
      <c r="AZ2022" s="0" t="s">
        <v>141</v>
      </c>
      <c r="BA2022" s="0" t="s">
        <v>130</v>
      </c>
      <c r="BB2022" s="0" t="s">
        <v>130</v>
      </c>
      <c r="BC2022" s="0" t="s">
        <v>130</v>
      </c>
      <c r="BD2022" s="0" t="s">
        <v>130</v>
      </c>
      <c r="BE2022" s="0" t="s">
        <v>130</v>
      </c>
      <c r="BF2022" s="0" t="s">
        <v>130</v>
      </c>
      <c r="BG2022" s="0" t="s">
        <v>130</v>
      </c>
      <c r="BH2022" s="0" t="s">
        <v>130</v>
      </c>
      <c r="BI2022" s="0" t="s">
        <v>130</v>
      </c>
      <c r="BJ2022" s="0" t="s">
        <v>130</v>
      </c>
      <c r="BK2022" s="0" t="s">
        <v>130</v>
      </c>
      <c r="BL2022" s="0" t="s">
        <v>130</v>
      </c>
      <c r="BM2022" s="0" t="s">
        <v>130</v>
      </c>
      <c r="BN2022" s="0" t="s">
        <v>130</v>
      </c>
      <c r="BO2022" s="0" t="s">
        <v>130</v>
      </c>
      <c r="BP2022" s="0" t="s">
        <v>130</v>
      </c>
      <c r="BQ2022" s="0" t="s">
        <v>130</v>
      </c>
      <c r="BR2022" s="0" t="s">
        <v>130</v>
      </c>
      <c r="BS2022" s="0" t="s">
        <v>130</v>
      </c>
      <c r="BT2022" s="0" t="s">
        <v>130</v>
      </c>
      <c r="BU2022" s="0" t="s">
        <v>130</v>
      </c>
      <c r="BV2022" s="0" t="s">
        <v>130</v>
      </c>
      <c r="BW2022" s="0" t="s">
        <v>130</v>
      </c>
      <c r="BX2022" s="0" t="s">
        <v>130</v>
      </c>
      <c r="BY2022" s="0" t="s">
        <v>130</v>
      </c>
      <c r="BZ2022" s="0" t="s">
        <v>130</v>
      </c>
      <c r="CA2022" s="0" t="s">
        <v>130</v>
      </c>
      <c r="CB2022" s="0" t="s">
        <v>130</v>
      </c>
      <c r="CC2022" s="0" t="s">
        <v>130</v>
      </c>
      <c r="CD2022" s="0" t="s">
        <v>130</v>
      </c>
      <c r="CE2022" s="0" t="s">
        <v>130</v>
      </c>
      <c r="CF2022" s="0" t="s">
        <v>130</v>
      </c>
      <c r="CG2022" s="0" t="s">
        <v>130</v>
      </c>
      <c r="CH2022" s="0" t="s">
        <v>130</v>
      </c>
      <c r="CI2022" s="0" t="s">
        <v>130</v>
      </c>
      <c r="CJ2022" s="0" t="s">
        <v>130</v>
      </c>
      <c r="CK2022" s="0" t="s">
        <v>130</v>
      </c>
      <c r="CL2022" s="0" t="s">
        <v>130</v>
      </c>
      <c r="CM2022" s="0" t="s">
        <v>130</v>
      </c>
      <c r="CN2022" s="0" t="s">
        <v>130</v>
      </c>
      <c r="CO2022" s="0" t="s">
        <v>130</v>
      </c>
      <c r="CP2022" s="0" t="s">
        <v>130</v>
      </c>
      <c r="CQ2022" s="0" t="s">
        <v>130</v>
      </c>
      <c r="CR2022" s="0" t="s">
        <v>130</v>
      </c>
      <c r="CS2022" s="0" t="s">
        <v>130</v>
      </c>
      <c r="CT2022" s="0" t="s">
        <v>5664</v>
      </c>
    </row>
    <row r="2023">
      <c r="A2023" s="14">
        <v>163205</v>
      </c>
      <c r="B2023" s="0" t="s">
        <v>2981</v>
      </c>
      <c r="C2023" s="16">
        <f>HYPERLINK("https://eosportal.federatedhermes.com/companies/Q29tcGFueQppNzcyNzM=", "ASML Holding NV")</f>
      </c>
      <c r="D2023" s="0" t="s">
        <v>25</v>
      </c>
      <c r="E2023" s="0" t="s">
        <v>3400</v>
      </c>
      <c r="F2023" s="16">
        <f>HYPERLINK("https://eosportal.federatedhermes.com/engagements/RW5nYWdlbWVudAppMzIxMDQ=", "Living wages")</f>
      </c>
      <c r="G2023" s="14" t="s">
        <v>5659</v>
      </c>
      <c r="H2023" s="0" t="s">
        <v>130</v>
      </c>
      <c r="I2023" s="14" t="s">
        <v>319</v>
      </c>
      <c r="J2023" s="0" t="s">
        <v>153</v>
      </c>
      <c r="K2023" s="0" t="s">
        <v>154</v>
      </c>
      <c r="L2023" s="0" t="s">
        <v>306</v>
      </c>
      <c r="M2023" s="0" t="s">
        <v>378</v>
      </c>
      <c r="N2023" s="0" t="s">
        <v>2554</v>
      </c>
      <c r="O2023" s="0" t="s">
        <v>1125</v>
      </c>
      <c r="Q2023" s="0" t="s">
        <v>130</v>
      </c>
      <c r="R2023" s="0" t="s">
        <v>138</v>
      </c>
      <c r="S2023" s="14">
        <v>0</v>
      </c>
      <c r="T2023" s="0" t="s">
        <v>2629</v>
      </c>
      <c r="U2023" s="0" t="s">
        <v>138</v>
      </c>
      <c r="V2023" s="14" t="s">
        <v>138</v>
      </c>
      <c r="W2023" s="0" t="s">
        <v>138</v>
      </c>
      <c r="X2023" s="14" t="s">
        <v>138</v>
      </c>
      <c r="Y2023" s="0" t="s">
        <v>138</v>
      </c>
      <c r="Z2023" s="14" t="s">
        <v>138</v>
      </c>
      <c r="AA2023" s="0" t="s">
        <v>138</v>
      </c>
      <c r="AB2023" s="14" t="s">
        <v>138</v>
      </c>
      <c r="AD2023" s="0" t="s">
        <v>138</v>
      </c>
      <c r="AF2023" s="0">
        <v>0</v>
      </c>
      <c r="AG2023" s="0">
        <v>0</v>
      </c>
      <c r="AH2023" s="0" t="s">
        <v>140</v>
      </c>
      <c r="AI2023" s="0" t="s">
        <v>138</v>
      </c>
      <c r="AL2023" s="14"/>
      <c r="AN2023" s="14"/>
      <c r="AQ2023" s="0" t="s">
        <v>141</v>
      </c>
      <c r="AR2023" s="0" t="s">
        <v>130</v>
      </c>
      <c r="AS2023" s="0" t="s">
        <v>130</v>
      </c>
      <c r="AT2023" s="0" t="s">
        <v>130</v>
      </c>
      <c r="AU2023" s="0" t="s">
        <v>130</v>
      </c>
      <c r="AV2023" s="0" t="s">
        <v>130</v>
      </c>
      <c r="AW2023" s="0" t="s">
        <v>130</v>
      </c>
      <c r="AX2023" s="0" t="s">
        <v>141</v>
      </c>
      <c r="AY2023" s="0" t="s">
        <v>130</v>
      </c>
      <c r="AZ2023" s="0" t="s">
        <v>141</v>
      </c>
      <c r="BA2023" s="0" t="s">
        <v>130</v>
      </c>
      <c r="BB2023" s="0" t="s">
        <v>130</v>
      </c>
      <c r="BC2023" s="0" t="s">
        <v>130</v>
      </c>
      <c r="BD2023" s="0" t="s">
        <v>130</v>
      </c>
      <c r="BE2023" s="0" t="s">
        <v>130</v>
      </c>
      <c r="BF2023" s="0" t="s">
        <v>130</v>
      </c>
      <c r="BG2023" s="0" t="s">
        <v>130</v>
      </c>
      <c r="BH2023" s="0" t="s">
        <v>130</v>
      </c>
      <c r="BI2023" s="0" t="s">
        <v>130</v>
      </c>
      <c r="BJ2023" s="0" t="s">
        <v>130</v>
      </c>
      <c r="BK2023" s="0" t="s">
        <v>130</v>
      </c>
      <c r="BL2023" s="0" t="s">
        <v>130</v>
      </c>
      <c r="BM2023" s="0" t="s">
        <v>130</v>
      </c>
      <c r="BN2023" s="0" t="s">
        <v>130</v>
      </c>
      <c r="BO2023" s="0" t="s">
        <v>130</v>
      </c>
      <c r="BP2023" s="0" t="s">
        <v>130</v>
      </c>
      <c r="BQ2023" s="0" t="s">
        <v>130</v>
      </c>
      <c r="BR2023" s="0" t="s">
        <v>130</v>
      </c>
      <c r="BS2023" s="0" t="s">
        <v>130</v>
      </c>
      <c r="BT2023" s="0" t="s">
        <v>130</v>
      </c>
      <c r="BU2023" s="0" t="s">
        <v>130</v>
      </c>
      <c r="BV2023" s="0" t="s">
        <v>130</v>
      </c>
      <c r="BW2023" s="0" t="s">
        <v>130</v>
      </c>
      <c r="BX2023" s="0" t="s">
        <v>130</v>
      </c>
      <c r="BY2023" s="0" t="s">
        <v>130</v>
      </c>
      <c r="BZ2023" s="0" t="s">
        <v>130</v>
      </c>
      <c r="CA2023" s="0" t="s">
        <v>130</v>
      </c>
      <c r="CB2023" s="0" t="s">
        <v>130</v>
      </c>
      <c r="CC2023" s="0" t="s">
        <v>130</v>
      </c>
      <c r="CD2023" s="0" t="s">
        <v>130</v>
      </c>
      <c r="CE2023" s="0" t="s">
        <v>130</v>
      </c>
      <c r="CF2023" s="0" t="s">
        <v>130</v>
      </c>
      <c r="CG2023" s="0" t="s">
        <v>130</v>
      </c>
      <c r="CH2023" s="0" t="s">
        <v>130</v>
      </c>
      <c r="CI2023" s="0" t="s">
        <v>130</v>
      </c>
      <c r="CJ2023" s="0" t="s">
        <v>130</v>
      </c>
      <c r="CK2023" s="0" t="s">
        <v>130</v>
      </c>
      <c r="CL2023" s="0" t="s">
        <v>130</v>
      </c>
      <c r="CM2023" s="0" t="s">
        <v>130</v>
      </c>
      <c r="CN2023" s="0" t="s">
        <v>130</v>
      </c>
      <c r="CO2023" s="0" t="s">
        <v>130</v>
      </c>
      <c r="CP2023" s="0" t="s">
        <v>130</v>
      </c>
      <c r="CQ2023" s="0" t="s">
        <v>130</v>
      </c>
      <c r="CR2023" s="0" t="s">
        <v>130</v>
      </c>
      <c r="CS2023" s="0" t="s">
        <v>130</v>
      </c>
      <c r="CT2023" s="0" t="s">
        <v>5665</v>
      </c>
    </row>
    <row r="2024">
      <c r="A2024" s="14">
        <v>100499</v>
      </c>
      <c r="B2024" s="0" t="s">
        <v>703</v>
      </c>
      <c r="C2024" s="16">
        <f>HYPERLINK("https://eosportal.federatedhermes.com/companies/Q29tcGFueQppNTQ0OTU=", "Ecolab Inc")</f>
      </c>
      <c r="D2024" s="0" t="s">
        <v>25</v>
      </c>
      <c r="E2024" s="0" t="s">
        <v>3400</v>
      </c>
      <c r="F2024" s="16">
        <f>HYPERLINK("https://eosportal.federatedhermes.com/engagements/RW5nYWdlbWVudAppMzIxMTU=", "Living wages")</f>
      </c>
      <c r="G2024" s="14" t="s">
        <v>5659</v>
      </c>
      <c r="H2024" s="0" t="s">
        <v>130</v>
      </c>
      <c r="I2024" s="14" t="s">
        <v>319</v>
      </c>
      <c r="J2024" s="0" t="s">
        <v>153</v>
      </c>
      <c r="K2024" s="0" t="s">
        <v>154</v>
      </c>
      <c r="L2024" s="0" t="s">
        <v>306</v>
      </c>
      <c r="M2024" s="0" t="s">
        <v>135</v>
      </c>
      <c r="N2024" s="0" t="s">
        <v>136</v>
      </c>
      <c r="O2024" s="0" t="s">
        <v>706</v>
      </c>
      <c r="Q2024" s="0" t="s">
        <v>130</v>
      </c>
      <c r="R2024" s="0" t="s">
        <v>138</v>
      </c>
      <c r="S2024" s="14">
        <v>0</v>
      </c>
      <c r="T2024" s="0" t="s">
        <v>2629</v>
      </c>
      <c r="U2024" s="0" t="s">
        <v>138</v>
      </c>
      <c r="V2024" s="14" t="s">
        <v>138</v>
      </c>
      <c r="W2024" s="0" t="s">
        <v>138</v>
      </c>
      <c r="X2024" s="14" t="s">
        <v>138</v>
      </c>
      <c r="Y2024" s="0" t="s">
        <v>138</v>
      </c>
      <c r="Z2024" s="14" t="s">
        <v>138</v>
      </c>
      <c r="AA2024" s="0" t="s">
        <v>138</v>
      </c>
      <c r="AB2024" s="14" t="s">
        <v>138</v>
      </c>
      <c r="AD2024" s="0" t="s">
        <v>138</v>
      </c>
      <c r="AF2024" s="0">
        <v>0</v>
      </c>
      <c r="AG2024" s="0">
        <v>0</v>
      </c>
      <c r="AH2024" s="0" t="s">
        <v>140</v>
      </c>
      <c r="AI2024" s="0" t="s">
        <v>138</v>
      </c>
      <c r="AL2024" s="14"/>
      <c r="AN2024" s="14"/>
      <c r="AQ2024" s="0" t="s">
        <v>141</v>
      </c>
      <c r="AR2024" s="0" t="s">
        <v>130</v>
      </c>
      <c r="AS2024" s="0" t="s">
        <v>130</v>
      </c>
      <c r="AT2024" s="0" t="s">
        <v>130</v>
      </c>
      <c r="AU2024" s="0" t="s">
        <v>130</v>
      </c>
      <c r="AV2024" s="0" t="s">
        <v>130</v>
      </c>
      <c r="AW2024" s="0" t="s">
        <v>130</v>
      </c>
      <c r="AX2024" s="0" t="s">
        <v>141</v>
      </c>
      <c r="AY2024" s="0" t="s">
        <v>130</v>
      </c>
      <c r="AZ2024" s="0" t="s">
        <v>141</v>
      </c>
      <c r="BA2024" s="0" t="s">
        <v>130</v>
      </c>
      <c r="BB2024" s="0" t="s">
        <v>130</v>
      </c>
      <c r="BC2024" s="0" t="s">
        <v>130</v>
      </c>
      <c r="BD2024" s="0" t="s">
        <v>130</v>
      </c>
      <c r="BE2024" s="0" t="s">
        <v>130</v>
      </c>
      <c r="BF2024" s="0" t="s">
        <v>130</v>
      </c>
      <c r="BG2024" s="0" t="s">
        <v>130</v>
      </c>
      <c r="BH2024" s="0" t="s">
        <v>130</v>
      </c>
      <c r="BI2024" s="0" t="s">
        <v>130</v>
      </c>
      <c r="BJ2024" s="0" t="s">
        <v>130</v>
      </c>
      <c r="BK2024" s="0" t="s">
        <v>130</v>
      </c>
      <c r="BL2024" s="0" t="s">
        <v>130</v>
      </c>
      <c r="BM2024" s="0" t="s">
        <v>130</v>
      </c>
      <c r="BN2024" s="0" t="s">
        <v>130</v>
      </c>
      <c r="BO2024" s="0" t="s">
        <v>130</v>
      </c>
      <c r="BP2024" s="0" t="s">
        <v>130</v>
      </c>
      <c r="BQ2024" s="0" t="s">
        <v>130</v>
      </c>
      <c r="BR2024" s="0" t="s">
        <v>130</v>
      </c>
      <c r="BS2024" s="0" t="s">
        <v>130</v>
      </c>
      <c r="BT2024" s="0" t="s">
        <v>130</v>
      </c>
      <c r="BU2024" s="0" t="s">
        <v>130</v>
      </c>
      <c r="BV2024" s="0" t="s">
        <v>130</v>
      </c>
      <c r="BW2024" s="0" t="s">
        <v>130</v>
      </c>
      <c r="BX2024" s="0" t="s">
        <v>130</v>
      </c>
      <c r="BY2024" s="0" t="s">
        <v>130</v>
      </c>
      <c r="BZ2024" s="0" t="s">
        <v>130</v>
      </c>
      <c r="CA2024" s="0" t="s">
        <v>130</v>
      </c>
      <c r="CB2024" s="0" t="s">
        <v>130</v>
      </c>
      <c r="CC2024" s="0" t="s">
        <v>130</v>
      </c>
      <c r="CD2024" s="0" t="s">
        <v>130</v>
      </c>
      <c r="CE2024" s="0" t="s">
        <v>130</v>
      </c>
      <c r="CF2024" s="0" t="s">
        <v>130</v>
      </c>
      <c r="CG2024" s="0" t="s">
        <v>130</v>
      </c>
      <c r="CH2024" s="0" t="s">
        <v>130</v>
      </c>
      <c r="CI2024" s="0" t="s">
        <v>130</v>
      </c>
      <c r="CJ2024" s="0" t="s">
        <v>130</v>
      </c>
      <c r="CK2024" s="0" t="s">
        <v>130</v>
      </c>
      <c r="CL2024" s="0" t="s">
        <v>130</v>
      </c>
      <c r="CM2024" s="0" t="s">
        <v>130</v>
      </c>
      <c r="CN2024" s="0" t="s">
        <v>130</v>
      </c>
      <c r="CO2024" s="0" t="s">
        <v>130</v>
      </c>
      <c r="CP2024" s="0" t="s">
        <v>130</v>
      </c>
      <c r="CQ2024" s="0" t="s">
        <v>130</v>
      </c>
      <c r="CR2024" s="0" t="s">
        <v>130</v>
      </c>
      <c r="CS2024" s="0" t="s">
        <v>130</v>
      </c>
      <c r="CT2024" s="0" t="s">
        <v>5666</v>
      </c>
    </row>
    <row r="2025">
      <c r="A2025" s="14">
        <v>100537</v>
      </c>
      <c r="B2025" s="0" t="s">
        <v>728</v>
      </c>
      <c r="C2025" s="16">
        <f>HYPERLINK("https://eosportal.federatedhermes.com/companies/Q29tcGFueQppNTQ1MDY=", "Equifax Inc")</f>
      </c>
      <c r="D2025" s="0" t="s">
        <v>25</v>
      </c>
      <c r="E2025" s="0" t="s">
        <v>3400</v>
      </c>
      <c r="F2025" s="16">
        <f>HYPERLINK("https://eosportal.federatedhermes.com/engagements/RW5nYWdlbWVudAppMzIxMTY=", "Living wages")</f>
      </c>
      <c r="G2025" s="14" t="s">
        <v>5659</v>
      </c>
      <c r="H2025" s="0" t="s">
        <v>130</v>
      </c>
      <c r="I2025" s="14" t="s">
        <v>131</v>
      </c>
      <c r="J2025" s="0" t="s">
        <v>153</v>
      </c>
      <c r="K2025" s="0" t="s">
        <v>154</v>
      </c>
      <c r="L2025" s="0" t="s">
        <v>306</v>
      </c>
      <c r="M2025" s="0" t="s">
        <v>135</v>
      </c>
      <c r="N2025" s="0" t="s">
        <v>136</v>
      </c>
      <c r="O2025" s="0" t="s">
        <v>176</v>
      </c>
      <c r="Q2025" s="0" t="s">
        <v>130</v>
      </c>
      <c r="R2025" s="0" t="s">
        <v>138</v>
      </c>
      <c r="S2025" s="14">
        <v>0</v>
      </c>
      <c r="T2025" s="0" t="s">
        <v>2629</v>
      </c>
      <c r="U2025" s="0" t="s">
        <v>138</v>
      </c>
      <c r="V2025" s="14" t="s">
        <v>138</v>
      </c>
      <c r="W2025" s="0" t="s">
        <v>138</v>
      </c>
      <c r="X2025" s="14" t="s">
        <v>138</v>
      </c>
      <c r="Y2025" s="0" t="s">
        <v>138</v>
      </c>
      <c r="Z2025" s="14" t="s">
        <v>138</v>
      </c>
      <c r="AA2025" s="0" t="s">
        <v>138</v>
      </c>
      <c r="AB2025" s="14" t="s">
        <v>138</v>
      </c>
      <c r="AD2025" s="0" t="s">
        <v>138</v>
      </c>
      <c r="AF2025" s="0">
        <v>0</v>
      </c>
      <c r="AG2025" s="0">
        <v>0</v>
      </c>
      <c r="AH2025" s="0" t="s">
        <v>140</v>
      </c>
      <c r="AI2025" s="0" t="s">
        <v>138</v>
      </c>
      <c r="AL2025" s="14"/>
      <c r="AN2025" s="14"/>
      <c r="AQ2025" s="0" t="s">
        <v>141</v>
      </c>
      <c r="AR2025" s="0" t="s">
        <v>130</v>
      </c>
      <c r="AS2025" s="0" t="s">
        <v>130</v>
      </c>
      <c r="AT2025" s="0" t="s">
        <v>130</v>
      </c>
      <c r="AU2025" s="0" t="s">
        <v>130</v>
      </c>
      <c r="AV2025" s="0" t="s">
        <v>130</v>
      </c>
      <c r="AW2025" s="0" t="s">
        <v>130</v>
      </c>
      <c r="AX2025" s="0" t="s">
        <v>141</v>
      </c>
      <c r="AY2025" s="0" t="s">
        <v>130</v>
      </c>
      <c r="AZ2025" s="0" t="s">
        <v>141</v>
      </c>
      <c r="BA2025" s="0" t="s">
        <v>130</v>
      </c>
      <c r="BB2025" s="0" t="s">
        <v>130</v>
      </c>
      <c r="BC2025" s="0" t="s">
        <v>130</v>
      </c>
      <c r="BD2025" s="0" t="s">
        <v>130</v>
      </c>
      <c r="BE2025" s="0" t="s">
        <v>130</v>
      </c>
      <c r="BF2025" s="0" t="s">
        <v>130</v>
      </c>
      <c r="BG2025" s="0" t="s">
        <v>130</v>
      </c>
      <c r="BH2025" s="0" t="s">
        <v>130</v>
      </c>
      <c r="BI2025" s="0" t="s">
        <v>130</v>
      </c>
      <c r="BJ2025" s="0" t="s">
        <v>130</v>
      </c>
      <c r="BK2025" s="0" t="s">
        <v>130</v>
      </c>
      <c r="BL2025" s="0" t="s">
        <v>130</v>
      </c>
      <c r="BM2025" s="0" t="s">
        <v>130</v>
      </c>
      <c r="BN2025" s="0" t="s">
        <v>130</v>
      </c>
      <c r="BO2025" s="0" t="s">
        <v>130</v>
      </c>
      <c r="BP2025" s="0" t="s">
        <v>130</v>
      </c>
      <c r="BQ2025" s="0" t="s">
        <v>130</v>
      </c>
      <c r="BR2025" s="0" t="s">
        <v>130</v>
      </c>
      <c r="BS2025" s="0" t="s">
        <v>130</v>
      </c>
      <c r="BT2025" s="0" t="s">
        <v>130</v>
      </c>
      <c r="BU2025" s="0" t="s">
        <v>130</v>
      </c>
      <c r="BV2025" s="0" t="s">
        <v>130</v>
      </c>
      <c r="BW2025" s="0" t="s">
        <v>130</v>
      </c>
      <c r="BX2025" s="0" t="s">
        <v>130</v>
      </c>
      <c r="BY2025" s="0" t="s">
        <v>130</v>
      </c>
      <c r="BZ2025" s="0" t="s">
        <v>130</v>
      </c>
      <c r="CA2025" s="0" t="s">
        <v>130</v>
      </c>
      <c r="CB2025" s="0" t="s">
        <v>130</v>
      </c>
      <c r="CC2025" s="0" t="s">
        <v>130</v>
      </c>
      <c r="CD2025" s="0" t="s">
        <v>130</v>
      </c>
      <c r="CE2025" s="0" t="s">
        <v>130</v>
      </c>
      <c r="CF2025" s="0" t="s">
        <v>130</v>
      </c>
      <c r="CG2025" s="0" t="s">
        <v>130</v>
      </c>
      <c r="CH2025" s="0" t="s">
        <v>130</v>
      </c>
      <c r="CI2025" s="0" t="s">
        <v>130</v>
      </c>
      <c r="CJ2025" s="0" t="s">
        <v>130</v>
      </c>
      <c r="CK2025" s="0" t="s">
        <v>130</v>
      </c>
      <c r="CL2025" s="0" t="s">
        <v>130</v>
      </c>
      <c r="CM2025" s="0" t="s">
        <v>130</v>
      </c>
      <c r="CN2025" s="0" t="s">
        <v>130</v>
      </c>
      <c r="CO2025" s="0" t="s">
        <v>130</v>
      </c>
      <c r="CP2025" s="0" t="s">
        <v>130</v>
      </c>
      <c r="CQ2025" s="0" t="s">
        <v>130</v>
      </c>
      <c r="CR2025" s="0" t="s">
        <v>130</v>
      </c>
      <c r="CS2025" s="0" t="s">
        <v>130</v>
      </c>
      <c r="CT2025" s="0" t="s">
        <v>5667</v>
      </c>
    </row>
    <row r="2026">
      <c r="A2026" s="14">
        <v>156276</v>
      </c>
      <c r="B2026" s="0" t="s">
        <v>4955</v>
      </c>
      <c r="C2026" s="16">
        <f>HYPERLINK("https://eosportal.federatedhermes.com/companies/Q29tcGFueQppNTY2Njc=", "Lonza Group AG")</f>
      </c>
      <c r="D2026" s="0" t="s">
        <v>25</v>
      </c>
      <c r="E2026" s="0" t="s">
        <v>3400</v>
      </c>
      <c r="F2026" s="16">
        <f>HYPERLINK("https://eosportal.federatedhermes.com/engagements/RW5nYWdlbWVudAppMzIxMTg=", "Living wages")</f>
      </c>
      <c r="G2026" s="14" t="s">
        <v>5659</v>
      </c>
      <c r="H2026" s="0" t="s">
        <v>130</v>
      </c>
      <c r="I2026" s="14" t="s">
        <v>319</v>
      </c>
      <c r="J2026" s="0" t="s">
        <v>153</v>
      </c>
      <c r="K2026" s="0" t="s">
        <v>154</v>
      </c>
      <c r="L2026" s="0" t="s">
        <v>306</v>
      </c>
      <c r="M2026" s="0" t="s">
        <v>378</v>
      </c>
      <c r="N2026" s="0" t="s">
        <v>1059</v>
      </c>
      <c r="O2026" s="0" t="s">
        <v>274</v>
      </c>
      <c r="Q2026" s="0" t="s">
        <v>130</v>
      </c>
      <c r="R2026" s="0" t="s">
        <v>138</v>
      </c>
      <c r="S2026" s="14">
        <v>0</v>
      </c>
      <c r="T2026" s="0" t="s">
        <v>2629</v>
      </c>
      <c r="U2026" s="0" t="s">
        <v>138</v>
      </c>
      <c r="V2026" s="14" t="s">
        <v>138</v>
      </c>
      <c r="W2026" s="0" t="s">
        <v>138</v>
      </c>
      <c r="X2026" s="14" t="s">
        <v>138</v>
      </c>
      <c r="Y2026" s="0" t="s">
        <v>138</v>
      </c>
      <c r="Z2026" s="14" t="s">
        <v>138</v>
      </c>
      <c r="AA2026" s="0" t="s">
        <v>138</v>
      </c>
      <c r="AB2026" s="14" t="s">
        <v>138</v>
      </c>
      <c r="AD2026" s="0" t="s">
        <v>138</v>
      </c>
      <c r="AF2026" s="0">
        <v>0</v>
      </c>
      <c r="AG2026" s="0">
        <v>0</v>
      </c>
      <c r="AH2026" s="0" t="s">
        <v>140</v>
      </c>
      <c r="AI2026" s="0" t="s">
        <v>138</v>
      </c>
      <c r="AL2026" s="14"/>
      <c r="AN2026" s="14"/>
      <c r="AQ2026" s="0" t="s">
        <v>141</v>
      </c>
      <c r="AR2026" s="0" t="s">
        <v>130</v>
      </c>
      <c r="AS2026" s="0" t="s">
        <v>130</v>
      </c>
      <c r="AT2026" s="0" t="s">
        <v>130</v>
      </c>
      <c r="AU2026" s="0" t="s">
        <v>130</v>
      </c>
      <c r="AV2026" s="0" t="s">
        <v>130</v>
      </c>
      <c r="AW2026" s="0" t="s">
        <v>130</v>
      </c>
      <c r="AX2026" s="0" t="s">
        <v>141</v>
      </c>
      <c r="AY2026" s="0" t="s">
        <v>130</v>
      </c>
      <c r="AZ2026" s="0" t="s">
        <v>141</v>
      </c>
      <c r="BA2026" s="0" t="s">
        <v>130</v>
      </c>
      <c r="BB2026" s="0" t="s">
        <v>130</v>
      </c>
      <c r="BC2026" s="0" t="s">
        <v>130</v>
      </c>
      <c r="BD2026" s="0" t="s">
        <v>130</v>
      </c>
      <c r="BE2026" s="0" t="s">
        <v>130</v>
      </c>
      <c r="BF2026" s="0" t="s">
        <v>130</v>
      </c>
      <c r="BG2026" s="0" t="s">
        <v>130</v>
      </c>
      <c r="BH2026" s="0" t="s">
        <v>130</v>
      </c>
      <c r="BI2026" s="0" t="s">
        <v>130</v>
      </c>
      <c r="BJ2026" s="0" t="s">
        <v>130</v>
      </c>
      <c r="BK2026" s="0" t="s">
        <v>130</v>
      </c>
      <c r="BL2026" s="0" t="s">
        <v>130</v>
      </c>
      <c r="BM2026" s="0" t="s">
        <v>130</v>
      </c>
      <c r="BN2026" s="0" t="s">
        <v>130</v>
      </c>
      <c r="BO2026" s="0" t="s">
        <v>130</v>
      </c>
      <c r="BP2026" s="0" t="s">
        <v>130</v>
      </c>
      <c r="BQ2026" s="0" t="s">
        <v>130</v>
      </c>
      <c r="BR2026" s="0" t="s">
        <v>130</v>
      </c>
      <c r="BS2026" s="0" t="s">
        <v>130</v>
      </c>
      <c r="BT2026" s="0" t="s">
        <v>130</v>
      </c>
      <c r="BU2026" s="0" t="s">
        <v>130</v>
      </c>
      <c r="BV2026" s="0" t="s">
        <v>130</v>
      </c>
      <c r="BW2026" s="0" t="s">
        <v>130</v>
      </c>
      <c r="BX2026" s="0" t="s">
        <v>130</v>
      </c>
      <c r="BY2026" s="0" t="s">
        <v>130</v>
      </c>
      <c r="BZ2026" s="0" t="s">
        <v>130</v>
      </c>
      <c r="CA2026" s="0" t="s">
        <v>130</v>
      </c>
      <c r="CB2026" s="0" t="s">
        <v>130</v>
      </c>
      <c r="CC2026" s="0" t="s">
        <v>130</v>
      </c>
      <c r="CD2026" s="0" t="s">
        <v>130</v>
      </c>
      <c r="CE2026" s="0" t="s">
        <v>130</v>
      </c>
      <c r="CF2026" s="0" t="s">
        <v>130</v>
      </c>
      <c r="CG2026" s="0" t="s">
        <v>130</v>
      </c>
      <c r="CH2026" s="0" t="s">
        <v>130</v>
      </c>
      <c r="CI2026" s="0" t="s">
        <v>130</v>
      </c>
      <c r="CJ2026" s="0" t="s">
        <v>130</v>
      </c>
      <c r="CK2026" s="0" t="s">
        <v>130</v>
      </c>
      <c r="CL2026" s="0" t="s">
        <v>130</v>
      </c>
      <c r="CM2026" s="0" t="s">
        <v>130</v>
      </c>
      <c r="CN2026" s="0" t="s">
        <v>130</v>
      </c>
      <c r="CO2026" s="0" t="s">
        <v>130</v>
      </c>
      <c r="CP2026" s="0" t="s">
        <v>130</v>
      </c>
      <c r="CQ2026" s="0" t="s">
        <v>130</v>
      </c>
      <c r="CR2026" s="0" t="s">
        <v>130</v>
      </c>
      <c r="CS2026" s="0" t="s">
        <v>130</v>
      </c>
      <c r="CT2026" s="0" t="s">
        <v>5668</v>
      </c>
    </row>
    <row r="2027">
      <c r="A2027" s="14">
        <v>100438</v>
      </c>
      <c r="B2027" s="0" t="s">
        <v>573</v>
      </c>
      <c r="C2027" s="16">
        <f>HYPERLINK("https://eosportal.federatedhermes.com/companies/Q29tcGFueQppNjQzODk=", "Deere &amp; Co")</f>
      </c>
      <c r="D2027" s="0" t="s">
        <v>25</v>
      </c>
      <c r="E2027" s="0" t="s">
        <v>3400</v>
      </c>
      <c r="F2027" s="16">
        <f>HYPERLINK("https://eosportal.federatedhermes.com/engagements/RW5nYWdlbWVudAppMzIxMjA=", "Living wages")</f>
      </c>
      <c r="G2027" s="14" t="s">
        <v>5659</v>
      </c>
      <c r="H2027" s="0" t="s">
        <v>141</v>
      </c>
      <c r="I2027" s="14" t="s">
        <v>191</v>
      </c>
      <c r="J2027" s="0" t="s">
        <v>153</v>
      </c>
      <c r="K2027" s="0" t="s">
        <v>154</v>
      </c>
      <c r="L2027" s="0" t="s">
        <v>306</v>
      </c>
      <c r="M2027" s="0" t="s">
        <v>135</v>
      </c>
      <c r="N2027" s="0" t="s">
        <v>136</v>
      </c>
      <c r="O2027" s="0" t="s">
        <v>176</v>
      </c>
      <c r="Q2027" s="0" t="s">
        <v>130</v>
      </c>
      <c r="R2027" s="0" t="s">
        <v>138</v>
      </c>
      <c r="S2027" s="14">
        <v>0</v>
      </c>
      <c r="T2027" s="0" t="s">
        <v>2629</v>
      </c>
      <c r="U2027" s="0" t="s">
        <v>138</v>
      </c>
      <c r="V2027" s="14" t="s">
        <v>138</v>
      </c>
      <c r="W2027" s="0" t="s">
        <v>138</v>
      </c>
      <c r="X2027" s="14" t="s">
        <v>138</v>
      </c>
      <c r="Y2027" s="0" t="s">
        <v>138</v>
      </c>
      <c r="Z2027" s="14" t="s">
        <v>138</v>
      </c>
      <c r="AA2027" s="0" t="s">
        <v>138</v>
      </c>
      <c r="AB2027" s="14" t="s">
        <v>138</v>
      </c>
      <c r="AD2027" s="0" t="s">
        <v>138</v>
      </c>
      <c r="AF2027" s="0">
        <v>0</v>
      </c>
      <c r="AG2027" s="0">
        <v>0</v>
      </c>
      <c r="AH2027" s="0" t="s">
        <v>140</v>
      </c>
      <c r="AI2027" s="0" t="s">
        <v>138</v>
      </c>
      <c r="AL2027" s="14"/>
      <c r="AN2027" s="14"/>
      <c r="AQ2027" s="0" t="s">
        <v>141</v>
      </c>
      <c r="AR2027" s="0" t="s">
        <v>130</v>
      </c>
      <c r="AS2027" s="0" t="s">
        <v>130</v>
      </c>
      <c r="AT2027" s="0" t="s">
        <v>130</v>
      </c>
      <c r="AU2027" s="0" t="s">
        <v>130</v>
      </c>
      <c r="AV2027" s="0" t="s">
        <v>130</v>
      </c>
      <c r="AW2027" s="0" t="s">
        <v>130</v>
      </c>
      <c r="AX2027" s="0" t="s">
        <v>141</v>
      </c>
      <c r="AY2027" s="0" t="s">
        <v>130</v>
      </c>
      <c r="AZ2027" s="0" t="s">
        <v>141</v>
      </c>
      <c r="BA2027" s="0" t="s">
        <v>130</v>
      </c>
      <c r="BB2027" s="0" t="s">
        <v>130</v>
      </c>
      <c r="BC2027" s="0" t="s">
        <v>130</v>
      </c>
      <c r="BD2027" s="0" t="s">
        <v>130</v>
      </c>
      <c r="BE2027" s="0" t="s">
        <v>130</v>
      </c>
      <c r="BF2027" s="0" t="s">
        <v>130</v>
      </c>
      <c r="BG2027" s="0" t="s">
        <v>130</v>
      </c>
      <c r="BH2027" s="0" t="s">
        <v>130</v>
      </c>
      <c r="BI2027" s="0" t="s">
        <v>130</v>
      </c>
      <c r="BJ2027" s="0" t="s">
        <v>130</v>
      </c>
      <c r="BK2027" s="0" t="s">
        <v>130</v>
      </c>
      <c r="BL2027" s="0" t="s">
        <v>130</v>
      </c>
      <c r="BM2027" s="0" t="s">
        <v>130</v>
      </c>
      <c r="BN2027" s="0" t="s">
        <v>130</v>
      </c>
      <c r="BO2027" s="0" t="s">
        <v>130</v>
      </c>
      <c r="BP2027" s="0" t="s">
        <v>130</v>
      </c>
      <c r="BQ2027" s="0" t="s">
        <v>130</v>
      </c>
      <c r="BR2027" s="0" t="s">
        <v>130</v>
      </c>
      <c r="BS2027" s="0" t="s">
        <v>130</v>
      </c>
      <c r="BT2027" s="0" t="s">
        <v>130</v>
      </c>
      <c r="BU2027" s="0" t="s">
        <v>130</v>
      </c>
      <c r="BV2027" s="0" t="s">
        <v>130</v>
      </c>
      <c r="BW2027" s="0" t="s">
        <v>130</v>
      </c>
      <c r="BX2027" s="0" t="s">
        <v>130</v>
      </c>
      <c r="BY2027" s="0" t="s">
        <v>130</v>
      </c>
      <c r="BZ2027" s="0" t="s">
        <v>130</v>
      </c>
      <c r="CA2027" s="0" t="s">
        <v>130</v>
      </c>
      <c r="CB2027" s="0" t="s">
        <v>130</v>
      </c>
      <c r="CC2027" s="0" t="s">
        <v>130</v>
      </c>
      <c r="CD2027" s="0" t="s">
        <v>130</v>
      </c>
      <c r="CE2027" s="0" t="s">
        <v>130</v>
      </c>
      <c r="CF2027" s="0" t="s">
        <v>130</v>
      </c>
      <c r="CG2027" s="0" t="s">
        <v>130</v>
      </c>
      <c r="CH2027" s="0" t="s">
        <v>130</v>
      </c>
      <c r="CI2027" s="0" t="s">
        <v>130</v>
      </c>
      <c r="CJ2027" s="0" t="s">
        <v>130</v>
      </c>
      <c r="CK2027" s="0" t="s">
        <v>130</v>
      </c>
      <c r="CL2027" s="0" t="s">
        <v>130</v>
      </c>
      <c r="CM2027" s="0" t="s">
        <v>130</v>
      </c>
      <c r="CN2027" s="0" t="s">
        <v>130</v>
      </c>
      <c r="CO2027" s="0" t="s">
        <v>130</v>
      </c>
      <c r="CP2027" s="0" t="s">
        <v>130</v>
      </c>
      <c r="CQ2027" s="0" t="s">
        <v>130</v>
      </c>
      <c r="CR2027" s="0" t="s">
        <v>130</v>
      </c>
      <c r="CS2027" s="0" t="s">
        <v>130</v>
      </c>
      <c r="CT2027" s="0" t="s">
        <v>5669</v>
      </c>
    </row>
    <row r="2028">
      <c r="A2028" s="14">
        <v>344500</v>
      </c>
      <c r="B2028" s="0" t="s">
        <v>3697</v>
      </c>
      <c r="C2028" s="16">
        <f>HYPERLINK("https://eosportal.federatedhermes.com/companies/Q29tcGFueQppNjY1MDA=", "Republic Services Inc")</f>
      </c>
      <c r="D2028" s="0" t="s">
        <v>25</v>
      </c>
      <c r="E2028" s="0" t="s">
        <v>3400</v>
      </c>
      <c r="F2028" s="16">
        <f>HYPERLINK("https://eosportal.federatedhermes.com/engagements/RW5nYWdlbWVudAppMzIxMjE=", "Living wages")</f>
      </c>
      <c r="G2028" s="14" t="s">
        <v>5659</v>
      </c>
      <c r="H2028" s="0" t="s">
        <v>130</v>
      </c>
      <c r="I2028" s="14" t="s">
        <v>319</v>
      </c>
      <c r="J2028" s="0" t="s">
        <v>153</v>
      </c>
      <c r="K2028" s="0" t="s">
        <v>154</v>
      </c>
      <c r="L2028" s="0" t="s">
        <v>306</v>
      </c>
      <c r="M2028" s="0" t="s">
        <v>135</v>
      </c>
      <c r="N2028" s="0" t="s">
        <v>136</v>
      </c>
      <c r="O2028" s="0" t="s">
        <v>176</v>
      </c>
      <c r="Q2028" s="0" t="s">
        <v>141</v>
      </c>
      <c r="R2028" s="0" t="s">
        <v>138</v>
      </c>
      <c r="S2028" s="14">
        <v>1</v>
      </c>
      <c r="T2028" s="0" t="s">
        <v>2629</v>
      </c>
      <c r="U2028" s="0" t="s">
        <v>138</v>
      </c>
      <c r="V2028" s="14" t="s">
        <v>138</v>
      </c>
      <c r="W2028" s="0" t="s">
        <v>138</v>
      </c>
      <c r="X2028" s="14" t="s">
        <v>138</v>
      </c>
      <c r="Y2028" s="0" t="s">
        <v>138</v>
      </c>
      <c r="Z2028" s="14" t="s">
        <v>138</v>
      </c>
      <c r="AA2028" s="0" t="s">
        <v>138</v>
      </c>
      <c r="AB2028" s="14" t="s">
        <v>138</v>
      </c>
      <c r="AD2028" s="0" t="s">
        <v>138</v>
      </c>
      <c r="AF2028" s="0">
        <v>0</v>
      </c>
      <c r="AG2028" s="0">
        <v>0</v>
      </c>
      <c r="AH2028" s="0" t="s">
        <v>140</v>
      </c>
      <c r="AI2028" s="0" t="s">
        <v>138</v>
      </c>
      <c r="AK2028" s="0" t="s">
        <v>1853</v>
      </c>
      <c r="AL2028" s="14"/>
      <c r="AN2028" s="14"/>
      <c r="AQ2028" s="0" t="s">
        <v>141</v>
      </c>
      <c r="AR2028" s="0" t="s">
        <v>130</v>
      </c>
      <c r="AS2028" s="0" t="s">
        <v>130</v>
      </c>
      <c r="AT2028" s="0" t="s">
        <v>130</v>
      </c>
      <c r="AU2028" s="0" t="s">
        <v>130</v>
      </c>
      <c r="AV2028" s="0" t="s">
        <v>130</v>
      </c>
      <c r="AW2028" s="0" t="s">
        <v>130</v>
      </c>
      <c r="AX2028" s="0" t="s">
        <v>141</v>
      </c>
      <c r="AY2028" s="0" t="s">
        <v>130</v>
      </c>
      <c r="AZ2028" s="0" t="s">
        <v>141</v>
      </c>
      <c r="BA2028" s="0" t="s">
        <v>130</v>
      </c>
      <c r="BB2028" s="0" t="s">
        <v>130</v>
      </c>
      <c r="BC2028" s="0" t="s">
        <v>130</v>
      </c>
      <c r="BD2028" s="0" t="s">
        <v>130</v>
      </c>
      <c r="BE2028" s="0" t="s">
        <v>130</v>
      </c>
      <c r="BF2028" s="0" t="s">
        <v>130</v>
      </c>
      <c r="BG2028" s="0" t="s">
        <v>130</v>
      </c>
      <c r="BH2028" s="0" t="s">
        <v>130</v>
      </c>
      <c r="BI2028" s="0" t="s">
        <v>130</v>
      </c>
      <c r="BJ2028" s="0" t="s">
        <v>130</v>
      </c>
      <c r="BK2028" s="0" t="s">
        <v>130</v>
      </c>
      <c r="BL2028" s="0" t="s">
        <v>130</v>
      </c>
      <c r="BM2028" s="0" t="s">
        <v>130</v>
      </c>
      <c r="BN2028" s="0" t="s">
        <v>130</v>
      </c>
      <c r="BO2028" s="0" t="s">
        <v>130</v>
      </c>
      <c r="BP2028" s="0" t="s">
        <v>130</v>
      </c>
      <c r="BQ2028" s="0" t="s">
        <v>130</v>
      </c>
      <c r="BR2028" s="0" t="s">
        <v>130</v>
      </c>
      <c r="BS2028" s="0" t="s">
        <v>130</v>
      </c>
      <c r="BT2028" s="0" t="s">
        <v>130</v>
      </c>
      <c r="BU2028" s="0" t="s">
        <v>130</v>
      </c>
      <c r="BV2028" s="0" t="s">
        <v>130</v>
      </c>
      <c r="BW2028" s="0" t="s">
        <v>130</v>
      </c>
      <c r="BX2028" s="0" t="s">
        <v>130</v>
      </c>
      <c r="BY2028" s="0" t="s">
        <v>130</v>
      </c>
      <c r="BZ2028" s="0" t="s">
        <v>130</v>
      </c>
      <c r="CA2028" s="0" t="s">
        <v>130</v>
      </c>
      <c r="CB2028" s="0" t="s">
        <v>130</v>
      </c>
      <c r="CC2028" s="0" t="s">
        <v>130</v>
      </c>
      <c r="CD2028" s="0" t="s">
        <v>130</v>
      </c>
      <c r="CE2028" s="0" t="s">
        <v>130</v>
      </c>
      <c r="CF2028" s="0" t="s">
        <v>130</v>
      </c>
      <c r="CG2028" s="0" t="s">
        <v>130</v>
      </c>
      <c r="CH2028" s="0" t="s">
        <v>130</v>
      </c>
      <c r="CI2028" s="0" t="s">
        <v>130</v>
      </c>
      <c r="CJ2028" s="0" t="s">
        <v>130</v>
      </c>
      <c r="CK2028" s="0" t="s">
        <v>130</v>
      </c>
      <c r="CL2028" s="0" t="s">
        <v>130</v>
      </c>
      <c r="CM2028" s="0" t="s">
        <v>130</v>
      </c>
      <c r="CN2028" s="0" t="s">
        <v>130</v>
      </c>
      <c r="CO2028" s="0" t="s">
        <v>130</v>
      </c>
      <c r="CP2028" s="0" t="s">
        <v>130</v>
      </c>
      <c r="CQ2028" s="0" t="s">
        <v>130</v>
      </c>
      <c r="CR2028" s="0" t="s">
        <v>130</v>
      </c>
      <c r="CS2028" s="0" t="s">
        <v>130</v>
      </c>
      <c r="CT2028" s="0" t="s">
        <v>5670</v>
      </c>
    </row>
    <row r="2029">
      <c r="A2029" s="14">
        <v>101095</v>
      </c>
      <c r="B2029" s="0" t="s">
        <v>1337</v>
      </c>
      <c r="C2029" s="16">
        <f>HYPERLINK("https://eosportal.federatedhermes.com/companies/Q29tcGFueQppNDk4MzA=", "Novo Nordisk A/S")</f>
      </c>
      <c r="D2029" s="0" t="s">
        <v>25</v>
      </c>
      <c r="E2029" s="0" t="s">
        <v>3400</v>
      </c>
      <c r="F2029" s="16">
        <f>HYPERLINK("https://eosportal.federatedhermes.com/engagements/RW5nYWdlbWVudAppMzIxMzM=", "Living wages")</f>
      </c>
      <c r="G2029" s="14" t="s">
        <v>5671</v>
      </c>
      <c r="H2029" s="0" t="s">
        <v>141</v>
      </c>
      <c r="I2029" s="14" t="s">
        <v>131</v>
      </c>
      <c r="J2029" s="0" t="s">
        <v>153</v>
      </c>
      <c r="K2029" s="0" t="s">
        <v>154</v>
      </c>
      <c r="L2029" s="0" t="s">
        <v>306</v>
      </c>
      <c r="M2029" s="0" t="s">
        <v>378</v>
      </c>
      <c r="N2029" s="0" t="s">
        <v>1339</v>
      </c>
      <c r="O2029" s="0" t="s">
        <v>274</v>
      </c>
      <c r="Q2029" s="0" t="s">
        <v>130</v>
      </c>
      <c r="R2029" s="0" t="s">
        <v>138</v>
      </c>
      <c r="S2029" s="14">
        <v>0</v>
      </c>
      <c r="T2029" s="0" t="s">
        <v>2629</v>
      </c>
      <c r="U2029" s="0" t="s">
        <v>138</v>
      </c>
      <c r="V2029" s="14" t="s">
        <v>138</v>
      </c>
      <c r="W2029" s="0" t="s">
        <v>138</v>
      </c>
      <c r="X2029" s="14" t="s">
        <v>138</v>
      </c>
      <c r="Y2029" s="0" t="s">
        <v>138</v>
      </c>
      <c r="Z2029" s="14" t="s">
        <v>138</v>
      </c>
      <c r="AA2029" s="0" t="s">
        <v>138</v>
      </c>
      <c r="AB2029" s="14" t="s">
        <v>138</v>
      </c>
      <c r="AD2029" s="0" t="s">
        <v>138</v>
      </c>
      <c r="AF2029" s="0">
        <v>0</v>
      </c>
      <c r="AG2029" s="0">
        <v>0</v>
      </c>
      <c r="AH2029" s="0" t="s">
        <v>140</v>
      </c>
      <c r="AI2029" s="0" t="s">
        <v>138</v>
      </c>
      <c r="AL2029" s="14"/>
      <c r="AN2029" s="14"/>
      <c r="AQ2029" s="0" t="s">
        <v>141</v>
      </c>
      <c r="AR2029" s="0" t="s">
        <v>130</v>
      </c>
      <c r="AS2029" s="0" t="s">
        <v>130</v>
      </c>
      <c r="AT2029" s="0" t="s">
        <v>130</v>
      </c>
      <c r="AU2029" s="0" t="s">
        <v>130</v>
      </c>
      <c r="AV2029" s="0" t="s">
        <v>130</v>
      </c>
      <c r="AW2029" s="0" t="s">
        <v>130</v>
      </c>
      <c r="AX2029" s="0" t="s">
        <v>141</v>
      </c>
      <c r="AY2029" s="0" t="s">
        <v>130</v>
      </c>
      <c r="AZ2029" s="0" t="s">
        <v>141</v>
      </c>
      <c r="BA2029" s="0" t="s">
        <v>130</v>
      </c>
      <c r="BB2029" s="0" t="s">
        <v>130</v>
      </c>
      <c r="BC2029" s="0" t="s">
        <v>130</v>
      </c>
      <c r="BD2029" s="0" t="s">
        <v>130</v>
      </c>
      <c r="BE2029" s="0" t="s">
        <v>130</v>
      </c>
      <c r="BF2029" s="0" t="s">
        <v>130</v>
      </c>
      <c r="BG2029" s="0" t="s">
        <v>130</v>
      </c>
      <c r="BH2029" s="0" t="s">
        <v>130</v>
      </c>
      <c r="BI2029" s="0" t="s">
        <v>130</v>
      </c>
      <c r="BJ2029" s="0" t="s">
        <v>130</v>
      </c>
      <c r="BK2029" s="0" t="s">
        <v>130</v>
      </c>
      <c r="BL2029" s="0" t="s">
        <v>130</v>
      </c>
      <c r="BM2029" s="0" t="s">
        <v>130</v>
      </c>
      <c r="BN2029" s="0" t="s">
        <v>130</v>
      </c>
      <c r="BO2029" s="0" t="s">
        <v>130</v>
      </c>
      <c r="BP2029" s="0" t="s">
        <v>130</v>
      </c>
      <c r="BQ2029" s="0" t="s">
        <v>130</v>
      </c>
      <c r="BR2029" s="0" t="s">
        <v>130</v>
      </c>
      <c r="BS2029" s="0" t="s">
        <v>130</v>
      </c>
      <c r="BT2029" s="0" t="s">
        <v>130</v>
      </c>
      <c r="BU2029" s="0" t="s">
        <v>130</v>
      </c>
      <c r="BV2029" s="0" t="s">
        <v>130</v>
      </c>
      <c r="BW2029" s="0" t="s">
        <v>130</v>
      </c>
      <c r="BX2029" s="0" t="s">
        <v>130</v>
      </c>
      <c r="BY2029" s="0" t="s">
        <v>130</v>
      </c>
      <c r="BZ2029" s="0" t="s">
        <v>130</v>
      </c>
      <c r="CA2029" s="0" t="s">
        <v>130</v>
      </c>
      <c r="CB2029" s="0" t="s">
        <v>130</v>
      </c>
      <c r="CC2029" s="0" t="s">
        <v>130</v>
      </c>
      <c r="CD2029" s="0" t="s">
        <v>130</v>
      </c>
      <c r="CE2029" s="0" t="s">
        <v>130</v>
      </c>
      <c r="CF2029" s="0" t="s">
        <v>130</v>
      </c>
      <c r="CG2029" s="0" t="s">
        <v>130</v>
      </c>
      <c r="CH2029" s="0" t="s">
        <v>130</v>
      </c>
      <c r="CI2029" s="0" t="s">
        <v>130</v>
      </c>
      <c r="CJ2029" s="0" t="s">
        <v>130</v>
      </c>
      <c r="CK2029" s="0" t="s">
        <v>130</v>
      </c>
      <c r="CL2029" s="0" t="s">
        <v>130</v>
      </c>
      <c r="CM2029" s="0" t="s">
        <v>130</v>
      </c>
      <c r="CN2029" s="0" t="s">
        <v>130</v>
      </c>
      <c r="CO2029" s="0" t="s">
        <v>130</v>
      </c>
      <c r="CP2029" s="0" t="s">
        <v>130</v>
      </c>
      <c r="CQ2029" s="0" t="s">
        <v>130</v>
      </c>
      <c r="CR2029" s="0" t="s">
        <v>130</v>
      </c>
      <c r="CS2029" s="0" t="s">
        <v>130</v>
      </c>
      <c r="CT2029" s="0" t="s">
        <v>5672</v>
      </c>
    </row>
    <row r="2030">
      <c r="A2030" s="14">
        <v>117976</v>
      </c>
      <c r="B2030" s="0" t="s">
        <v>4944</v>
      </c>
      <c r="C2030" s="16">
        <f>HYPERLINK("https://eosportal.federatedhermes.com/companies/Q29tcGFueQppNTg5MTU=", "Sika AG")</f>
      </c>
      <c r="D2030" s="0" t="s">
        <v>25</v>
      </c>
      <c r="E2030" s="0" t="s">
        <v>3400</v>
      </c>
      <c r="F2030" s="16">
        <f>HYPERLINK("https://eosportal.federatedhermes.com/engagements/RW5nYWdlbWVudAppMzIxMzk=", "Living wages")</f>
      </c>
      <c r="G2030" s="14" t="s">
        <v>5671</v>
      </c>
      <c r="H2030" s="0" t="s">
        <v>141</v>
      </c>
      <c r="I2030" s="14" t="s">
        <v>191</v>
      </c>
      <c r="J2030" s="0" t="s">
        <v>153</v>
      </c>
      <c r="K2030" s="0" t="s">
        <v>154</v>
      </c>
      <c r="L2030" s="0" t="s">
        <v>306</v>
      </c>
      <c r="M2030" s="0" t="s">
        <v>378</v>
      </c>
      <c r="N2030" s="0" t="s">
        <v>1059</v>
      </c>
      <c r="O2030" s="0" t="s">
        <v>706</v>
      </c>
      <c r="Q2030" s="0" t="s">
        <v>130</v>
      </c>
      <c r="R2030" s="0" t="s">
        <v>138</v>
      </c>
      <c r="S2030" s="14">
        <v>0</v>
      </c>
      <c r="T2030" s="0" t="s">
        <v>2629</v>
      </c>
      <c r="U2030" s="0" t="s">
        <v>138</v>
      </c>
      <c r="V2030" s="14" t="s">
        <v>138</v>
      </c>
      <c r="W2030" s="0" t="s">
        <v>138</v>
      </c>
      <c r="X2030" s="14" t="s">
        <v>138</v>
      </c>
      <c r="Y2030" s="0" t="s">
        <v>138</v>
      </c>
      <c r="Z2030" s="14" t="s">
        <v>138</v>
      </c>
      <c r="AA2030" s="0" t="s">
        <v>138</v>
      </c>
      <c r="AB2030" s="14" t="s">
        <v>138</v>
      </c>
      <c r="AD2030" s="0" t="s">
        <v>138</v>
      </c>
      <c r="AF2030" s="0">
        <v>0</v>
      </c>
      <c r="AG2030" s="0">
        <v>0</v>
      </c>
      <c r="AH2030" s="0" t="s">
        <v>140</v>
      </c>
      <c r="AI2030" s="0" t="s">
        <v>138</v>
      </c>
      <c r="AL2030" s="14"/>
      <c r="AN2030" s="14"/>
      <c r="AQ2030" s="0" t="s">
        <v>141</v>
      </c>
      <c r="AR2030" s="0" t="s">
        <v>130</v>
      </c>
      <c r="AS2030" s="0" t="s">
        <v>130</v>
      </c>
      <c r="AT2030" s="0" t="s">
        <v>130</v>
      </c>
      <c r="AU2030" s="0" t="s">
        <v>130</v>
      </c>
      <c r="AV2030" s="0" t="s">
        <v>130</v>
      </c>
      <c r="AW2030" s="0" t="s">
        <v>130</v>
      </c>
      <c r="AX2030" s="0" t="s">
        <v>141</v>
      </c>
      <c r="AY2030" s="0" t="s">
        <v>130</v>
      </c>
      <c r="AZ2030" s="0" t="s">
        <v>141</v>
      </c>
      <c r="BA2030" s="0" t="s">
        <v>130</v>
      </c>
      <c r="BB2030" s="0" t="s">
        <v>130</v>
      </c>
      <c r="BC2030" s="0" t="s">
        <v>130</v>
      </c>
      <c r="BD2030" s="0" t="s">
        <v>130</v>
      </c>
      <c r="BE2030" s="0" t="s">
        <v>130</v>
      </c>
      <c r="BF2030" s="0" t="s">
        <v>130</v>
      </c>
      <c r="BG2030" s="0" t="s">
        <v>130</v>
      </c>
      <c r="BH2030" s="0" t="s">
        <v>130</v>
      </c>
      <c r="BI2030" s="0" t="s">
        <v>130</v>
      </c>
      <c r="BJ2030" s="0" t="s">
        <v>130</v>
      </c>
      <c r="BK2030" s="0" t="s">
        <v>130</v>
      </c>
      <c r="BL2030" s="0" t="s">
        <v>130</v>
      </c>
      <c r="BM2030" s="0" t="s">
        <v>130</v>
      </c>
      <c r="BN2030" s="0" t="s">
        <v>130</v>
      </c>
      <c r="BO2030" s="0" t="s">
        <v>130</v>
      </c>
      <c r="BP2030" s="0" t="s">
        <v>130</v>
      </c>
      <c r="BQ2030" s="0" t="s">
        <v>130</v>
      </c>
      <c r="BR2030" s="0" t="s">
        <v>130</v>
      </c>
      <c r="BS2030" s="0" t="s">
        <v>130</v>
      </c>
      <c r="BT2030" s="0" t="s">
        <v>130</v>
      </c>
      <c r="BU2030" s="0" t="s">
        <v>130</v>
      </c>
      <c r="BV2030" s="0" t="s">
        <v>130</v>
      </c>
      <c r="BW2030" s="0" t="s">
        <v>130</v>
      </c>
      <c r="BX2030" s="0" t="s">
        <v>130</v>
      </c>
      <c r="BY2030" s="0" t="s">
        <v>130</v>
      </c>
      <c r="BZ2030" s="0" t="s">
        <v>130</v>
      </c>
      <c r="CA2030" s="0" t="s">
        <v>130</v>
      </c>
      <c r="CB2030" s="0" t="s">
        <v>130</v>
      </c>
      <c r="CC2030" s="0" t="s">
        <v>130</v>
      </c>
      <c r="CD2030" s="0" t="s">
        <v>130</v>
      </c>
      <c r="CE2030" s="0" t="s">
        <v>130</v>
      </c>
      <c r="CF2030" s="0" t="s">
        <v>130</v>
      </c>
      <c r="CG2030" s="0" t="s">
        <v>130</v>
      </c>
      <c r="CH2030" s="0" t="s">
        <v>130</v>
      </c>
      <c r="CI2030" s="0" t="s">
        <v>130</v>
      </c>
      <c r="CJ2030" s="0" t="s">
        <v>130</v>
      </c>
      <c r="CK2030" s="0" t="s">
        <v>130</v>
      </c>
      <c r="CL2030" s="0" t="s">
        <v>130</v>
      </c>
      <c r="CM2030" s="0" t="s">
        <v>130</v>
      </c>
      <c r="CN2030" s="0" t="s">
        <v>130</v>
      </c>
      <c r="CO2030" s="0" t="s">
        <v>130</v>
      </c>
      <c r="CP2030" s="0" t="s">
        <v>130</v>
      </c>
      <c r="CQ2030" s="0" t="s">
        <v>130</v>
      </c>
      <c r="CR2030" s="0" t="s">
        <v>130</v>
      </c>
      <c r="CS2030" s="0" t="s">
        <v>130</v>
      </c>
      <c r="CT2030" s="0" t="s">
        <v>5673</v>
      </c>
    </row>
    <row r="2031">
      <c r="A2031" s="14">
        <v>58890738</v>
      </c>
      <c r="B2031" s="0" t="s">
        <v>4704</v>
      </c>
      <c r="C2031" s="16">
        <f>HYPERLINK("https://eosportal.federatedhermes.com/companies/Q29tcGFueQppNjE1MTM=", "Epiroc AB")</f>
      </c>
      <c r="D2031" s="0" t="s">
        <v>25</v>
      </c>
      <c r="E2031" s="0" t="s">
        <v>3400</v>
      </c>
      <c r="F2031" s="16">
        <f>HYPERLINK("https://eosportal.federatedhermes.com/engagements/RW5nYWdlbWVudAppMzIxNDI=", "Living wages")</f>
      </c>
      <c r="G2031" s="14" t="s">
        <v>5671</v>
      </c>
      <c r="H2031" s="0" t="s">
        <v>130</v>
      </c>
      <c r="I2031" s="14" t="s">
        <v>131</v>
      </c>
      <c r="J2031" s="0" t="s">
        <v>153</v>
      </c>
      <c r="K2031" s="0" t="s">
        <v>154</v>
      </c>
      <c r="L2031" s="0" t="s">
        <v>306</v>
      </c>
      <c r="M2031" s="0" t="s">
        <v>378</v>
      </c>
      <c r="N2031" s="0" t="s">
        <v>4706</v>
      </c>
      <c r="O2031" s="0" t="s">
        <v>425</v>
      </c>
      <c r="Q2031" s="0" t="s">
        <v>130</v>
      </c>
      <c r="R2031" s="0" t="s">
        <v>138</v>
      </c>
      <c r="S2031" s="14">
        <v>0</v>
      </c>
      <c r="T2031" s="0" t="s">
        <v>2629</v>
      </c>
      <c r="U2031" s="0" t="s">
        <v>138</v>
      </c>
      <c r="V2031" s="14" t="s">
        <v>138</v>
      </c>
      <c r="W2031" s="0" t="s">
        <v>138</v>
      </c>
      <c r="X2031" s="14" t="s">
        <v>138</v>
      </c>
      <c r="Y2031" s="0" t="s">
        <v>138</v>
      </c>
      <c r="Z2031" s="14" t="s">
        <v>138</v>
      </c>
      <c r="AA2031" s="0" t="s">
        <v>138</v>
      </c>
      <c r="AB2031" s="14" t="s">
        <v>138</v>
      </c>
      <c r="AD2031" s="0" t="s">
        <v>138</v>
      </c>
      <c r="AF2031" s="0">
        <v>0</v>
      </c>
      <c r="AG2031" s="0">
        <v>0</v>
      </c>
      <c r="AH2031" s="0" t="s">
        <v>140</v>
      </c>
      <c r="AI2031" s="0" t="s">
        <v>138</v>
      </c>
      <c r="AL2031" s="14"/>
      <c r="AN2031" s="14"/>
      <c r="AQ2031" s="0" t="s">
        <v>141</v>
      </c>
      <c r="AR2031" s="0" t="s">
        <v>130</v>
      </c>
      <c r="AS2031" s="0" t="s">
        <v>130</v>
      </c>
      <c r="AT2031" s="0" t="s">
        <v>130</v>
      </c>
      <c r="AU2031" s="0" t="s">
        <v>130</v>
      </c>
      <c r="AV2031" s="0" t="s">
        <v>130</v>
      </c>
      <c r="AW2031" s="0" t="s">
        <v>130</v>
      </c>
      <c r="AX2031" s="0" t="s">
        <v>141</v>
      </c>
      <c r="AY2031" s="0" t="s">
        <v>130</v>
      </c>
      <c r="AZ2031" s="0" t="s">
        <v>141</v>
      </c>
      <c r="BA2031" s="0" t="s">
        <v>130</v>
      </c>
      <c r="BB2031" s="0" t="s">
        <v>130</v>
      </c>
      <c r="BC2031" s="0" t="s">
        <v>130</v>
      </c>
      <c r="BD2031" s="0" t="s">
        <v>130</v>
      </c>
      <c r="BE2031" s="0" t="s">
        <v>130</v>
      </c>
      <c r="BF2031" s="0" t="s">
        <v>130</v>
      </c>
      <c r="BG2031" s="0" t="s">
        <v>130</v>
      </c>
      <c r="BH2031" s="0" t="s">
        <v>130</v>
      </c>
      <c r="BI2031" s="0" t="s">
        <v>130</v>
      </c>
      <c r="BJ2031" s="0" t="s">
        <v>130</v>
      </c>
      <c r="BK2031" s="0" t="s">
        <v>130</v>
      </c>
      <c r="BL2031" s="0" t="s">
        <v>130</v>
      </c>
      <c r="BM2031" s="0" t="s">
        <v>130</v>
      </c>
      <c r="BN2031" s="0" t="s">
        <v>130</v>
      </c>
      <c r="BO2031" s="0" t="s">
        <v>130</v>
      </c>
      <c r="BP2031" s="0" t="s">
        <v>130</v>
      </c>
      <c r="BQ2031" s="0" t="s">
        <v>130</v>
      </c>
      <c r="BR2031" s="0" t="s">
        <v>130</v>
      </c>
      <c r="BS2031" s="0" t="s">
        <v>130</v>
      </c>
      <c r="BT2031" s="0" t="s">
        <v>130</v>
      </c>
      <c r="BU2031" s="0" t="s">
        <v>130</v>
      </c>
      <c r="BV2031" s="0" t="s">
        <v>130</v>
      </c>
      <c r="BW2031" s="0" t="s">
        <v>130</v>
      </c>
      <c r="BX2031" s="0" t="s">
        <v>130</v>
      </c>
      <c r="BY2031" s="0" t="s">
        <v>130</v>
      </c>
      <c r="BZ2031" s="0" t="s">
        <v>130</v>
      </c>
      <c r="CA2031" s="0" t="s">
        <v>130</v>
      </c>
      <c r="CB2031" s="0" t="s">
        <v>130</v>
      </c>
      <c r="CC2031" s="0" t="s">
        <v>130</v>
      </c>
      <c r="CD2031" s="0" t="s">
        <v>130</v>
      </c>
      <c r="CE2031" s="0" t="s">
        <v>130</v>
      </c>
      <c r="CF2031" s="0" t="s">
        <v>130</v>
      </c>
      <c r="CG2031" s="0" t="s">
        <v>130</v>
      </c>
      <c r="CH2031" s="0" t="s">
        <v>130</v>
      </c>
      <c r="CI2031" s="0" t="s">
        <v>130</v>
      </c>
      <c r="CJ2031" s="0" t="s">
        <v>130</v>
      </c>
      <c r="CK2031" s="0" t="s">
        <v>130</v>
      </c>
      <c r="CL2031" s="0" t="s">
        <v>130</v>
      </c>
      <c r="CM2031" s="0" t="s">
        <v>130</v>
      </c>
      <c r="CN2031" s="0" t="s">
        <v>130</v>
      </c>
      <c r="CO2031" s="0" t="s">
        <v>130</v>
      </c>
      <c r="CP2031" s="0" t="s">
        <v>130</v>
      </c>
      <c r="CQ2031" s="0" t="s">
        <v>130</v>
      </c>
      <c r="CR2031" s="0" t="s">
        <v>130</v>
      </c>
      <c r="CS2031" s="0" t="s">
        <v>130</v>
      </c>
      <c r="CT2031" s="0" t="s">
        <v>5674</v>
      </c>
    </row>
    <row r="2032">
      <c r="A2032" s="14">
        <v>101743</v>
      </c>
      <c r="B2032" s="0" t="s">
        <v>1893</v>
      </c>
      <c r="C2032" s="16">
        <f>HYPERLINK("https://eosportal.federatedhermes.com/companies/Q29tcGFueQppNjI1MDg=", "Microsoft Corp")</f>
      </c>
      <c r="D2032" s="0" t="s">
        <v>25</v>
      </c>
      <c r="E2032" s="0" t="s">
        <v>3400</v>
      </c>
      <c r="F2032" s="16">
        <f>HYPERLINK("https://eosportal.federatedhermes.com/engagements/RW5nYWdlbWVudAppMzIxNDY=", "Living wages")</f>
      </c>
      <c r="G2032" s="14" t="s">
        <v>5675</v>
      </c>
      <c r="H2032" s="0" t="s">
        <v>141</v>
      </c>
      <c r="I2032" s="14" t="s">
        <v>191</v>
      </c>
      <c r="J2032" s="0" t="s">
        <v>153</v>
      </c>
      <c r="K2032" s="0" t="s">
        <v>154</v>
      </c>
      <c r="L2032" s="0" t="s">
        <v>306</v>
      </c>
      <c r="M2032" s="0" t="s">
        <v>135</v>
      </c>
      <c r="N2032" s="0" t="s">
        <v>136</v>
      </c>
      <c r="O2032" s="0" t="s">
        <v>137</v>
      </c>
      <c r="Q2032" s="0" t="s">
        <v>130</v>
      </c>
      <c r="R2032" s="0" t="s">
        <v>138</v>
      </c>
      <c r="S2032" s="14">
        <v>0</v>
      </c>
      <c r="T2032" s="0" t="s">
        <v>2629</v>
      </c>
      <c r="U2032" s="0" t="s">
        <v>138</v>
      </c>
      <c r="V2032" s="14" t="s">
        <v>138</v>
      </c>
      <c r="W2032" s="0" t="s">
        <v>138</v>
      </c>
      <c r="X2032" s="14" t="s">
        <v>138</v>
      </c>
      <c r="Y2032" s="0" t="s">
        <v>138</v>
      </c>
      <c r="Z2032" s="14" t="s">
        <v>138</v>
      </c>
      <c r="AA2032" s="0" t="s">
        <v>138</v>
      </c>
      <c r="AB2032" s="14" t="s">
        <v>138</v>
      </c>
      <c r="AD2032" s="0" t="s">
        <v>138</v>
      </c>
      <c r="AF2032" s="0">
        <v>0</v>
      </c>
      <c r="AG2032" s="0">
        <v>0</v>
      </c>
      <c r="AH2032" s="0" t="s">
        <v>140</v>
      </c>
      <c r="AI2032" s="0" t="s">
        <v>138</v>
      </c>
      <c r="AL2032" s="14"/>
      <c r="AN2032" s="14"/>
      <c r="AQ2032" s="0" t="s">
        <v>141</v>
      </c>
      <c r="AR2032" s="0" t="s">
        <v>130</v>
      </c>
      <c r="AS2032" s="0" t="s">
        <v>130</v>
      </c>
      <c r="AT2032" s="0" t="s">
        <v>130</v>
      </c>
      <c r="AU2032" s="0" t="s">
        <v>130</v>
      </c>
      <c r="AV2032" s="0" t="s">
        <v>130</v>
      </c>
      <c r="AW2032" s="0" t="s">
        <v>130</v>
      </c>
      <c r="AX2032" s="0" t="s">
        <v>141</v>
      </c>
      <c r="AY2032" s="0" t="s">
        <v>130</v>
      </c>
      <c r="AZ2032" s="0" t="s">
        <v>141</v>
      </c>
      <c r="BA2032" s="0" t="s">
        <v>130</v>
      </c>
      <c r="BB2032" s="0" t="s">
        <v>130</v>
      </c>
      <c r="BC2032" s="0" t="s">
        <v>130</v>
      </c>
      <c r="BD2032" s="0" t="s">
        <v>130</v>
      </c>
      <c r="BE2032" s="0" t="s">
        <v>130</v>
      </c>
      <c r="BF2032" s="0" t="s">
        <v>130</v>
      </c>
      <c r="BG2032" s="0" t="s">
        <v>130</v>
      </c>
      <c r="BH2032" s="0" t="s">
        <v>130</v>
      </c>
      <c r="BI2032" s="0" t="s">
        <v>130</v>
      </c>
      <c r="BJ2032" s="0" t="s">
        <v>130</v>
      </c>
      <c r="BK2032" s="0" t="s">
        <v>130</v>
      </c>
      <c r="BL2032" s="0" t="s">
        <v>130</v>
      </c>
      <c r="BM2032" s="0" t="s">
        <v>130</v>
      </c>
      <c r="BN2032" s="0" t="s">
        <v>130</v>
      </c>
      <c r="BO2032" s="0" t="s">
        <v>130</v>
      </c>
      <c r="BP2032" s="0" t="s">
        <v>130</v>
      </c>
      <c r="BQ2032" s="0" t="s">
        <v>130</v>
      </c>
      <c r="BR2032" s="0" t="s">
        <v>130</v>
      </c>
      <c r="BS2032" s="0" t="s">
        <v>130</v>
      </c>
      <c r="BT2032" s="0" t="s">
        <v>130</v>
      </c>
      <c r="BU2032" s="0" t="s">
        <v>130</v>
      </c>
      <c r="BV2032" s="0" t="s">
        <v>130</v>
      </c>
      <c r="BW2032" s="0" t="s">
        <v>130</v>
      </c>
      <c r="BX2032" s="0" t="s">
        <v>130</v>
      </c>
      <c r="BY2032" s="0" t="s">
        <v>130</v>
      </c>
      <c r="BZ2032" s="0" t="s">
        <v>130</v>
      </c>
      <c r="CA2032" s="0" t="s">
        <v>130</v>
      </c>
      <c r="CB2032" s="0" t="s">
        <v>130</v>
      </c>
      <c r="CC2032" s="0" t="s">
        <v>130</v>
      </c>
      <c r="CD2032" s="0" t="s">
        <v>130</v>
      </c>
      <c r="CE2032" s="0" t="s">
        <v>130</v>
      </c>
      <c r="CF2032" s="0" t="s">
        <v>130</v>
      </c>
      <c r="CG2032" s="0" t="s">
        <v>130</v>
      </c>
      <c r="CH2032" s="0" t="s">
        <v>130</v>
      </c>
      <c r="CI2032" s="0" t="s">
        <v>130</v>
      </c>
      <c r="CJ2032" s="0" t="s">
        <v>130</v>
      </c>
      <c r="CK2032" s="0" t="s">
        <v>130</v>
      </c>
      <c r="CL2032" s="0" t="s">
        <v>130</v>
      </c>
      <c r="CM2032" s="0" t="s">
        <v>130</v>
      </c>
      <c r="CN2032" s="0" t="s">
        <v>130</v>
      </c>
      <c r="CO2032" s="0" t="s">
        <v>130</v>
      </c>
      <c r="CP2032" s="0" t="s">
        <v>130</v>
      </c>
      <c r="CQ2032" s="0" t="s">
        <v>130</v>
      </c>
      <c r="CR2032" s="0" t="s">
        <v>130</v>
      </c>
      <c r="CS2032" s="0" t="s">
        <v>130</v>
      </c>
      <c r="CT2032" s="0" t="s">
        <v>5676</v>
      </c>
    </row>
    <row r="2033">
      <c r="A2033" s="14">
        <v>115518</v>
      </c>
      <c r="B2033" s="0" t="s">
        <v>2451</v>
      </c>
      <c r="C2033" s="16">
        <f>HYPERLINK("https://eosportal.federatedhermes.com/companies/Q29tcGFueQppNjMxNjU=", "Schneider Electric SE")</f>
      </c>
      <c r="D2033" s="0" t="s">
        <v>25</v>
      </c>
      <c r="E2033" s="0" t="s">
        <v>3400</v>
      </c>
      <c r="F2033" s="16">
        <f>HYPERLINK("https://eosportal.federatedhermes.com/engagements/RW5nYWdlbWVudAppMzIxNDk=", "Living wages")</f>
      </c>
      <c r="G2033" s="14" t="s">
        <v>5671</v>
      </c>
      <c r="H2033" s="0" t="s">
        <v>141</v>
      </c>
      <c r="I2033" s="14" t="s">
        <v>131</v>
      </c>
      <c r="J2033" s="0" t="s">
        <v>153</v>
      </c>
      <c r="K2033" s="0" t="s">
        <v>154</v>
      </c>
      <c r="L2033" s="0" t="s">
        <v>306</v>
      </c>
      <c r="M2033" s="0" t="s">
        <v>378</v>
      </c>
      <c r="N2033" s="0" t="s">
        <v>1646</v>
      </c>
      <c r="O2033" s="0" t="s">
        <v>176</v>
      </c>
      <c r="Q2033" s="0" t="s">
        <v>130</v>
      </c>
      <c r="R2033" s="0" t="s">
        <v>138</v>
      </c>
      <c r="S2033" s="14">
        <v>0</v>
      </c>
      <c r="T2033" s="0" t="s">
        <v>2629</v>
      </c>
      <c r="U2033" s="0" t="s">
        <v>138</v>
      </c>
      <c r="V2033" s="14" t="s">
        <v>138</v>
      </c>
      <c r="W2033" s="0" t="s">
        <v>138</v>
      </c>
      <c r="X2033" s="14" t="s">
        <v>138</v>
      </c>
      <c r="Y2033" s="0" t="s">
        <v>138</v>
      </c>
      <c r="Z2033" s="14" t="s">
        <v>138</v>
      </c>
      <c r="AA2033" s="0" t="s">
        <v>138</v>
      </c>
      <c r="AB2033" s="14" t="s">
        <v>138</v>
      </c>
      <c r="AD2033" s="0" t="s">
        <v>138</v>
      </c>
      <c r="AF2033" s="0">
        <v>0</v>
      </c>
      <c r="AG2033" s="0">
        <v>0</v>
      </c>
      <c r="AH2033" s="0" t="s">
        <v>140</v>
      </c>
      <c r="AI2033" s="0" t="s">
        <v>138</v>
      </c>
      <c r="AL2033" s="14"/>
      <c r="AN2033" s="14"/>
      <c r="AQ2033" s="0" t="s">
        <v>141</v>
      </c>
      <c r="AR2033" s="0" t="s">
        <v>130</v>
      </c>
      <c r="AS2033" s="0" t="s">
        <v>130</v>
      </c>
      <c r="AT2033" s="0" t="s">
        <v>130</v>
      </c>
      <c r="AU2033" s="0" t="s">
        <v>130</v>
      </c>
      <c r="AV2033" s="0" t="s">
        <v>130</v>
      </c>
      <c r="AW2033" s="0" t="s">
        <v>130</v>
      </c>
      <c r="AX2033" s="0" t="s">
        <v>141</v>
      </c>
      <c r="AY2033" s="0" t="s">
        <v>130</v>
      </c>
      <c r="AZ2033" s="0" t="s">
        <v>141</v>
      </c>
      <c r="BA2033" s="0" t="s">
        <v>130</v>
      </c>
      <c r="BB2033" s="0" t="s">
        <v>130</v>
      </c>
      <c r="BC2033" s="0" t="s">
        <v>130</v>
      </c>
      <c r="BD2033" s="0" t="s">
        <v>130</v>
      </c>
      <c r="BE2033" s="0" t="s">
        <v>130</v>
      </c>
      <c r="BF2033" s="0" t="s">
        <v>130</v>
      </c>
      <c r="BG2033" s="0" t="s">
        <v>130</v>
      </c>
      <c r="BH2033" s="0" t="s">
        <v>130</v>
      </c>
      <c r="BI2033" s="0" t="s">
        <v>130</v>
      </c>
      <c r="BJ2033" s="0" t="s">
        <v>130</v>
      </c>
      <c r="BK2033" s="0" t="s">
        <v>130</v>
      </c>
      <c r="BL2033" s="0" t="s">
        <v>130</v>
      </c>
      <c r="BM2033" s="0" t="s">
        <v>130</v>
      </c>
      <c r="BN2033" s="0" t="s">
        <v>130</v>
      </c>
      <c r="BO2033" s="0" t="s">
        <v>130</v>
      </c>
      <c r="BP2033" s="0" t="s">
        <v>130</v>
      </c>
      <c r="BQ2033" s="0" t="s">
        <v>130</v>
      </c>
      <c r="BR2033" s="0" t="s">
        <v>130</v>
      </c>
      <c r="BS2033" s="0" t="s">
        <v>130</v>
      </c>
      <c r="BT2033" s="0" t="s">
        <v>130</v>
      </c>
      <c r="BU2033" s="0" t="s">
        <v>130</v>
      </c>
      <c r="BV2033" s="0" t="s">
        <v>130</v>
      </c>
      <c r="BW2033" s="0" t="s">
        <v>130</v>
      </c>
      <c r="BX2033" s="0" t="s">
        <v>130</v>
      </c>
      <c r="BY2033" s="0" t="s">
        <v>130</v>
      </c>
      <c r="BZ2033" s="0" t="s">
        <v>130</v>
      </c>
      <c r="CA2033" s="0" t="s">
        <v>130</v>
      </c>
      <c r="CB2033" s="0" t="s">
        <v>130</v>
      </c>
      <c r="CC2033" s="0" t="s">
        <v>130</v>
      </c>
      <c r="CD2033" s="0" t="s">
        <v>130</v>
      </c>
      <c r="CE2033" s="0" t="s">
        <v>130</v>
      </c>
      <c r="CF2033" s="0" t="s">
        <v>130</v>
      </c>
      <c r="CG2033" s="0" t="s">
        <v>130</v>
      </c>
      <c r="CH2033" s="0" t="s">
        <v>130</v>
      </c>
      <c r="CI2033" s="0" t="s">
        <v>130</v>
      </c>
      <c r="CJ2033" s="0" t="s">
        <v>130</v>
      </c>
      <c r="CK2033" s="0" t="s">
        <v>130</v>
      </c>
      <c r="CL2033" s="0" t="s">
        <v>130</v>
      </c>
      <c r="CM2033" s="0" t="s">
        <v>130</v>
      </c>
      <c r="CN2033" s="0" t="s">
        <v>130</v>
      </c>
      <c r="CO2033" s="0" t="s">
        <v>130</v>
      </c>
      <c r="CP2033" s="0" t="s">
        <v>130</v>
      </c>
      <c r="CQ2033" s="0" t="s">
        <v>130</v>
      </c>
      <c r="CR2033" s="0" t="s">
        <v>130</v>
      </c>
      <c r="CS2033" s="0" t="s">
        <v>130</v>
      </c>
      <c r="CT2033" s="0" t="s">
        <v>5677</v>
      </c>
    </row>
    <row r="2034">
      <c r="A2034" s="14">
        <v>24815130</v>
      </c>
      <c r="B2034" s="0" t="s">
        <v>4314</v>
      </c>
      <c r="C2034" s="16">
        <f>HYPERLINK("https://eosportal.federatedhermes.com/companies/Q29tcGFueQppNjMzMjY=", "IQVIA Holdings Inc")</f>
      </c>
      <c r="D2034" s="0" t="s">
        <v>25</v>
      </c>
      <c r="E2034" s="0" t="s">
        <v>3400</v>
      </c>
      <c r="F2034" s="16">
        <f>HYPERLINK("https://eosportal.federatedhermes.com/engagements/RW5nYWdlbWVudAppMzIxNTA=", "Living wages")</f>
      </c>
      <c r="G2034" s="14" t="s">
        <v>5671</v>
      </c>
      <c r="H2034" s="0" t="s">
        <v>130</v>
      </c>
      <c r="I2034" s="14" t="s">
        <v>131</v>
      </c>
      <c r="J2034" s="0" t="s">
        <v>153</v>
      </c>
      <c r="K2034" s="0" t="s">
        <v>154</v>
      </c>
      <c r="L2034" s="0" t="s">
        <v>306</v>
      </c>
      <c r="M2034" s="0" t="s">
        <v>135</v>
      </c>
      <c r="N2034" s="0" t="s">
        <v>136</v>
      </c>
      <c r="O2034" s="0" t="s">
        <v>274</v>
      </c>
      <c r="Q2034" s="0" t="s">
        <v>130</v>
      </c>
      <c r="R2034" s="0" t="s">
        <v>138</v>
      </c>
      <c r="S2034" s="14">
        <v>0</v>
      </c>
      <c r="T2034" s="0" t="s">
        <v>2629</v>
      </c>
      <c r="U2034" s="0" t="s">
        <v>138</v>
      </c>
      <c r="V2034" s="14" t="s">
        <v>138</v>
      </c>
      <c r="W2034" s="0" t="s">
        <v>138</v>
      </c>
      <c r="X2034" s="14" t="s">
        <v>138</v>
      </c>
      <c r="Y2034" s="0" t="s">
        <v>138</v>
      </c>
      <c r="Z2034" s="14" t="s">
        <v>138</v>
      </c>
      <c r="AA2034" s="0" t="s">
        <v>138</v>
      </c>
      <c r="AB2034" s="14" t="s">
        <v>138</v>
      </c>
      <c r="AD2034" s="0" t="s">
        <v>138</v>
      </c>
      <c r="AF2034" s="0">
        <v>0</v>
      </c>
      <c r="AG2034" s="0">
        <v>0</v>
      </c>
      <c r="AH2034" s="0" t="s">
        <v>140</v>
      </c>
      <c r="AI2034" s="0" t="s">
        <v>138</v>
      </c>
      <c r="AL2034" s="14"/>
      <c r="AN2034" s="14"/>
      <c r="AQ2034" s="0" t="s">
        <v>141</v>
      </c>
      <c r="AR2034" s="0" t="s">
        <v>130</v>
      </c>
      <c r="AS2034" s="0" t="s">
        <v>130</v>
      </c>
      <c r="AT2034" s="0" t="s">
        <v>130</v>
      </c>
      <c r="AU2034" s="0" t="s">
        <v>130</v>
      </c>
      <c r="AV2034" s="0" t="s">
        <v>130</v>
      </c>
      <c r="AW2034" s="0" t="s">
        <v>130</v>
      </c>
      <c r="AX2034" s="0" t="s">
        <v>141</v>
      </c>
      <c r="AY2034" s="0" t="s">
        <v>130</v>
      </c>
      <c r="AZ2034" s="0" t="s">
        <v>141</v>
      </c>
      <c r="BA2034" s="0" t="s">
        <v>130</v>
      </c>
      <c r="BB2034" s="0" t="s">
        <v>130</v>
      </c>
      <c r="BC2034" s="0" t="s">
        <v>130</v>
      </c>
      <c r="BD2034" s="0" t="s">
        <v>130</v>
      </c>
      <c r="BE2034" s="0" t="s">
        <v>130</v>
      </c>
      <c r="BF2034" s="0" t="s">
        <v>130</v>
      </c>
      <c r="BG2034" s="0" t="s">
        <v>130</v>
      </c>
      <c r="BH2034" s="0" t="s">
        <v>130</v>
      </c>
      <c r="BI2034" s="0" t="s">
        <v>130</v>
      </c>
      <c r="BJ2034" s="0" t="s">
        <v>130</v>
      </c>
      <c r="BK2034" s="0" t="s">
        <v>130</v>
      </c>
      <c r="BL2034" s="0" t="s">
        <v>130</v>
      </c>
      <c r="BM2034" s="0" t="s">
        <v>130</v>
      </c>
      <c r="BN2034" s="0" t="s">
        <v>130</v>
      </c>
      <c r="BO2034" s="0" t="s">
        <v>130</v>
      </c>
      <c r="BP2034" s="0" t="s">
        <v>130</v>
      </c>
      <c r="BQ2034" s="0" t="s">
        <v>130</v>
      </c>
      <c r="BR2034" s="0" t="s">
        <v>130</v>
      </c>
      <c r="BS2034" s="0" t="s">
        <v>130</v>
      </c>
      <c r="BT2034" s="0" t="s">
        <v>130</v>
      </c>
      <c r="BU2034" s="0" t="s">
        <v>130</v>
      </c>
      <c r="BV2034" s="0" t="s">
        <v>130</v>
      </c>
      <c r="BW2034" s="0" t="s">
        <v>130</v>
      </c>
      <c r="BX2034" s="0" t="s">
        <v>130</v>
      </c>
      <c r="BY2034" s="0" t="s">
        <v>130</v>
      </c>
      <c r="BZ2034" s="0" t="s">
        <v>130</v>
      </c>
      <c r="CA2034" s="0" t="s">
        <v>130</v>
      </c>
      <c r="CB2034" s="0" t="s">
        <v>130</v>
      </c>
      <c r="CC2034" s="0" t="s">
        <v>130</v>
      </c>
      <c r="CD2034" s="0" t="s">
        <v>130</v>
      </c>
      <c r="CE2034" s="0" t="s">
        <v>130</v>
      </c>
      <c r="CF2034" s="0" t="s">
        <v>130</v>
      </c>
      <c r="CG2034" s="0" t="s">
        <v>130</v>
      </c>
      <c r="CH2034" s="0" t="s">
        <v>130</v>
      </c>
      <c r="CI2034" s="0" t="s">
        <v>130</v>
      </c>
      <c r="CJ2034" s="0" t="s">
        <v>130</v>
      </c>
      <c r="CK2034" s="0" t="s">
        <v>130</v>
      </c>
      <c r="CL2034" s="0" t="s">
        <v>130</v>
      </c>
      <c r="CM2034" s="0" t="s">
        <v>130</v>
      </c>
      <c r="CN2034" s="0" t="s">
        <v>130</v>
      </c>
      <c r="CO2034" s="0" t="s">
        <v>130</v>
      </c>
      <c r="CP2034" s="0" t="s">
        <v>130</v>
      </c>
      <c r="CQ2034" s="0" t="s">
        <v>130</v>
      </c>
      <c r="CR2034" s="0" t="s">
        <v>130</v>
      </c>
      <c r="CS2034" s="0" t="s">
        <v>130</v>
      </c>
      <c r="CT2034" s="0" t="s">
        <v>5678</v>
      </c>
    </row>
    <row r="2035">
      <c r="A2035" s="14">
        <v>101454</v>
      </c>
      <c r="B2035" s="0" t="s">
        <v>1625</v>
      </c>
      <c r="C2035" s="16">
        <f>HYPERLINK("https://eosportal.federatedhermes.com/companies/Q29tcGFueQppNjUwODU=", "Teradyne Inc")</f>
      </c>
      <c r="D2035" s="0" t="s">
        <v>25</v>
      </c>
      <c r="E2035" s="0" t="s">
        <v>3400</v>
      </c>
      <c r="F2035" s="16">
        <f>HYPERLINK("https://eosportal.federatedhermes.com/engagements/RW5nYWdlbWVudAppMzIxNTE=", "Living wages")</f>
      </c>
      <c r="G2035" s="14" t="s">
        <v>5671</v>
      </c>
      <c r="H2035" s="0" t="s">
        <v>130</v>
      </c>
      <c r="I2035" s="14" t="s">
        <v>131</v>
      </c>
      <c r="J2035" s="0" t="s">
        <v>153</v>
      </c>
      <c r="K2035" s="0" t="s">
        <v>154</v>
      </c>
      <c r="L2035" s="0" t="s">
        <v>306</v>
      </c>
      <c r="M2035" s="0" t="s">
        <v>135</v>
      </c>
      <c r="N2035" s="0" t="s">
        <v>136</v>
      </c>
      <c r="O2035" s="0" t="s">
        <v>1125</v>
      </c>
      <c r="Q2035" s="0" t="s">
        <v>130</v>
      </c>
      <c r="R2035" s="0" t="s">
        <v>138</v>
      </c>
      <c r="S2035" s="14">
        <v>0</v>
      </c>
      <c r="T2035" s="0" t="s">
        <v>2629</v>
      </c>
      <c r="U2035" s="0" t="s">
        <v>138</v>
      </c>
      <c r="V2035" s="14" t="s">
        <v>138</v>
      </c>
      <c r="W2035" s="0" t="s">
        <v>138</v>
      </c>
      <c r="X2035" s="14" t="s">
        <v>138</v>
      </c>
      <c r="Y2035" s="0" t="s">
        <v>138</v>
      </c>
      <c r="Z2035" s="14" t="s">
        <v>138</v>
      </c>
      <c r="AA2035" s="0" t="s">
        <v>138</v>
      </c>
      <c r="AB2035" s="14" t="s">
        <v>138</v>
      </c>
      <c r="AD2035" s="0" t="s">
        <v>138</v>
      </c>
      <c r="AF2035" s="0">
        <v>0</v>
      </c>
      <c r="AG2035" s="0">
        <v>0</v>
      </c>
      <c r="AH2035" s="0" t="s">
        <v>140</v>
      </c>
      <c r="AI2035" s="0" t="s">
        <v>138</v>
      </c>
      <c r="AL2035" s="14"/>
      <c r="AN2035" s="14"/>
      <c r="AQ2035" s="0" t="s">
        <v>141</v>
      </c>
      <c r="AR2035" s="0" t="s">
        <v>130</v>
      </c>
      <c r="AS2035" s="0" t="s">
        <v>130</v>
      </c>
      <c r="AT2035" s="0" t="s">
        <v>130</v>
      </c>
      <c r="AU2035" s="0" t="s">
        <v>130</v>
      </c>
      <c r="AV2035" s="0" t="s">
        <v>130</v>
      </c>
      <c r="AW2035" s="0" t="s">
        <v>130</v>
      </c>
      <c r="AX2035" s="0" t="s">
        <v>141</v>
      </c>
      <c r="AY2035" s="0" t="s">
        <v>130</v>
      </c>
      <c r="AZ2035" s="0" t="s">
        <v>141</v>
      </c>
      <c r="BA2035" s="0" t="s">
        <v>130</v>
      </c>
      <c r="BB2035" s="0" t="s">
        <v>130</v>
      </c>
      <c r="BC2035" s="0" t="s">
        <v>130</v>
      </c>
      <c r="BD2035" s="0" t="s">
        <v>130</v>
      </c>
      <c r="BE2035" s="0" t="s">
        <v>130</v>
      </c>
      <c r="BF2035" s="0" t="s">
        <v>130</v>
      </c>
      <c r="BG2035" s="0" t="s">
        <v>130</v>
      </c>
      <c r="BH2035" s="0" t="s">
        <v>130</v>
      </c>
      <c r="BI2035" s="0" t="s">
        <v>130</v>
      </c>
      <c r="BJ2035" s="0" t="s">
        <v>130</v>
      </c>
      <c r="BK2035" s="0" t="s">
        <v>130</v>
      </c>
      <c r="BL2035" s="0" t="s">
        <v>130</v>
      </c>
      <c r="BM2035" s="0" t="s">
        <v>130</v>
      </c>
      <c r="BN2035" s="0" t="s">
        <v>130</v>
      </c>
      <c r="BO2035" s="0" t="s">
        <v>130</v>
      </c>
      <c r="BP2035" s="0" t="s">
        <v>130</v>
      </c>
      <c r="BQ2035" s="0" t="s">
        <v>130</v>
      </c>
      <c r="BR2035" s="0" t="s">
        <v>130</v>
      </c>
      <c r="BS2035" s="0" t="s">
        <v>130</v>
      </c>
      <c r="BT2035" s="0" t="s">
        <v>130</v>
      </c>
      <c r="BU2035" s="0" t="s">
        <v>130</v>
      </c>
      <c r="BV2035" s="0" t="s">
        <v>130</v>
      </c>
      <c r="BW2035" s="0" t="s">
        <v>130</v>
      </c>
      <c r="BX2035" s="0" t="s">
        <v>130</v>
      </c>
      <c r="BY2035" s="0" t="s">
        <v>130</v>
      </c>
      <c r="BZ2035" s="0" t="s">
        <v>130</v>
      </c>
      <c r="CA2035" s="0" t="s">
        <v>130</v>
      </c>
      <c r="CB2035" s="0" t="s">
        <v>130</v>
      </c>
      <c r="CC2035" s="0" t="s">
        <v>130</v>
      </c>
      <c r="CD2035" s="0" t="s">
        <v>130</v>
      </c>
      <c r="CE2035" s="0" t="s">
        <v>130</v>
      </c>
      <c r="CF2035" s="0" t="s">
        <v>130</v>
      </c>
      <c r="CG2035" s="0" t="s">
        <v>130</v>
      </c>
      <c r="CH2035" s="0" t="s">
        <v>130</v>
      </c>
      <c r="CI2035" s="0" t="s">
        <v>130</v>
      </c>
      <c r="CJ2035" s="0" t="s">
        <v>130</v>
      </c>
      <c r="CK2035" s="0" t="s">
        <v>130</v>
      </c>
      <c r="CL2035" s="0" t="s">
        <v>130</v>
      </c>
      <c r="CM2035" s="0" t="s">
        <v>130</v>
      </c>
      <c r="CN2035" s="0" t="s">
        <v>130</v>
      </c>
      <c r="CO2035" s="0" t="s">
        <v>130</v>
      </c>
      <c r="CP2035" s="0" t="s">
        <v>130</v>
      </c>
      <c r="CQ2035" s="0" t="s">
        <v>130</v>
      </c>
      <c r="CR2035" s="0" t="s">
        <v>130</v>
      </c>
      <c r="CS2035" s="0" t="s">
        <v>130</v>
      </c>
      <c r="CT2035" s="0" t="s">
        <v>5679</v>
      </c>
    </row>
    <row r="2036">
      <c r="A2036" s="14">
        <v>173055</v>
      </c>
      <c r="B2036" s="0" t="s">
        <v>3098</v>
      </c>
      <c r="C2036" s="16">
        <f>HYPERLINK("https://eosportal.federatedhermes.com/companies/Q29tcGFueQppNzI2OTc=", "WEG SA")</f>
      </c>
      <c r="D2036" s="0" t="s">
        <v>25</v>
      </c>
      <c r="E2036" s="0" t="s">
        <v>3400</v>
      </c>
      <c r="F2036" s="16">
        <f>HYPERLINK("https://eosportal.federatedhermes.com/engagements/RW5nYWdlbWVudAppMzIxNTQ=", "Living wages")</f>
      </c>
      <c r="G2036" s="14" t="s">
        <v>5671</v>
      </c>
      <c r="H2036" s="0" t="s">
        <v>130</v>
      </c>
      <c r="I2036" s="14" t="s">
        <v>131</v>
      </c>
      <c r="J2036" s="0" t="s">
        <v>153</v>
      </c>
      <c r="K2036" s="0" t="s">
        <v>154</v>
      </c>
      <c r="L2036" s="0" t="s">
        <v>306</v>
      </c>
      <c r="M2036" s="0" t="s">
        <v>2807</v>
      </c>
      <c r="N2036" s="0" t="s">
        <v>3041</v>
      </c>
      <c r="O2036" s="0" t="s">
        <v>176</v>
      </c>
      <c r="Q2036" s="0" t="s">
        <v>130</v>
      </c>
      <c r="R2036" s="0" t="s">
        <v>138</v>
      </c>
      <c r="S2036" s="14">
        <v>0</v>
      </c>
      <c r="T2036" s="0" t="s">
        <v>2629</v>
      </c>
      <c r="U2036" s="0" t="s">
        <v>138</v>
      </c>
      <c r="V2036" s="14" t="s">
        <v>138</v>
      </c>
      <c r="W2036" s="0" t="s">
        <v>138</v>
      </c>
      <c r="X2036" s="14" t="s">
        <v>138</v>
      </c>
      <c r="Y2036" s="0" t="s">
        <v>138</v>
      </c>
      <c r="Z2036" s="14" t="s">
        <v>138</v>
      </c>
      <c r="AA2036" s="0" t="s">
        <v>138</v>
      </c>
      <c r="AB2036" s="14" t="s">
        <v>138</v>
      </c>
      <c r="AD2036" s="0" t="s">
        <v>138</v>
      </c>
      <c r="AF2036" s="0">
        <v>0</v>
      </c>
      <c r="AG2036" s="0">
        <v>0</v>
      </c>
      <c r="AH2036" s="0" t="s">
        <v>140</v>
      </c>
      <c r="AI2036" s="0" t="s">
        <v>138</v>
      </c>
      <c r="AL2036" s="14"/>
      <c r="AN2036" s="14"/>
      <c r="AQ2036" s="0" t="s">
        <v>141</v>
      </c>
      <c r="AR2036" s="0" t="s">
        <v>130</v>
      </c>
      <c r="AS2036" s="0" t="s">
        <v>130</v>
      </c>
      <c r="AT2036" s="0" t="s">
        <v>130</v>
      </c>
      <c r="AU2036" s="0" t="s">
        <v>130</v>
      </c>
      <c r="AV2036" s="0" t="s">
        <v>130</v>
      </c>
      <c r="AW2036" s="0" t="s">
        <v>130</v>
      </c>
      <c r="AX2036" s="0" t="s">
        <v>141</v>
      </c>
      <c r="AY2036" s="0" t="s">
        <v>130</v>
      </c>
      <c r="AZ2036" s="0" t="s">
        <v>141</v>
      </c>
      <c r="BA2036" s="0" t="s">
        <v>130</v>
      </c>
      <c r="BB2036" s="0" t="s">
        <v>130</v>
      </c>
      <c r="BC2036" s="0" t="s">
        <v>130</v>
      </c>
      <c r="BD2036" s="0" t="s">
        <v>130</v>
      </c>
      <c r="BE2036" s="0" t="s">
        <v>130</v>
      </c>
      <c r="BF2036" s="0" t="s">
        <v>130</v>
      </c>
      <c r="BG2036" s="0" t="s">
        <v>130</v>
      </c>
      <c r="BH2036" s="0" t="s">
        <v>130</v>
      </c>
      <c r="BI2036" s="0" t="s">
        <v>130</v>
      </c>
      <c r="BJ2036" s="0" t="s">
        <v>130</v>
      </c>
      <c r="BK2036" s="0" t="s">
        <v>130</v>
      </c>
      <c r="BL2036" s="0" t="s">
        <v>130</v>
      </c>
      <c r="BM2036" s="0" t="s">
        <v>130</v>
      </c>
      <c r="BN2036" s="0" t="s">
        <v>130</v>
      </c>
      <c r="BO2036" s="0" t="s">
        <v>130</v>
      </c>
      <c r="BP2036" s="0" t="s">
        <v>130</v>
      </c>
      <c r="BQ2036" s="0" t="s">
        <v>130</v>
      </c>
      <c r="BR2036" s="0" t="s">
        <v>130</v>
      </c>
      <c r="BS2036" s="0" t="s">
        <v>130</v>
      </c>
      <c r="BT2036" s="0" t="s">
        <v>130</v>
      </c>
      <c r="BU2036" s="0" t="s">
        <v>130</v>
      </c>
      <c r="BV2036" s="0" t="s">
        <v>130</v>
      </c>
      <c r="BW2036" s="0" t="s">
        <v>130</v>
      </c>
      <c r="BX2036" s="0" t="s">
        <v>130</v>
      </c>
      <c r="BY2036" s="0" t="s">
        <v>130</v>
      </c>
      <c r="BZ2036" s="0" t="s">
        <v>130</v>
      </c>
      <c r="CA2036" s="0" t="s">
        <v>130</v>
      </c>
      <c r="CB2036" s="0" t="s">
        <v>130</v>
      </c>
      <c r="CC2036" s="0" t="s">
        <v>130</v>
      </c>
      <c r="CD2036" s="0" t="s">
        <v>130</v>
      </c>
      <c r="CE2036" s="0" t="s">
        <v>130</v>
      </c>
      <c r="CF2036" s="0" t="s">
        <v>130</v>
      </c>
      <c r="CG2036" s="0" t="s">
        <v>130</v>
      </c>
      <c r="CH2036" s="0" t="s">
        <v>130</v>
      </c>
      <c r="CI2036" s="0" t="s">
        <v>130</v>
      </c>
      <c r="CJ2036" s="0" t="s">
        <v>130</v>
      </c>
      <c r="CK2036" s="0" t="s">
        <v>130</v>
      </c>
      <c r="CL2036" s="0" t="s">
        <v>130</v>
      </c>
      <c r="CM2036" s="0" t="s">
        <v>130</v>
      </c>
      <c r="CN2036" s="0" t="s">
        <v>130</v>
      </c>
      <c r="CO2036" s="0" t="s">
        <v>130</v>
      </c>
      <c r="CP2036" s="0" t="s">
        <v>130</v>
      </c>
      <c r="CQ2036" s="0" t="s">
        <v>130</v>
      </c>
      <c r="CR2036" s="0" t="s">
        <v>130</v>
      </c>
      <c r="CS2036" s="0" t="s">
        <v>130</v>
      </c>
      <c r="CT2036" s="0" t="s">
        <v>5680</v>
      </c>
    </row>
    <row r="2037">
      <c r="A2037" s="14">
        <v>116563</v>
      </c>
      <c r="B2037" s="0" t="s">
        <v>2780</v>
      </c>
      <c r="C2037" s="16">
        <f>HYPERLINK("https://eosportal.federatedhermes.com/companies/Q29tcGFueQppNzU2NjU=", "Techtronic Industries Co Ltd")</f>
      </c>
      <c r="D2037" s="0" t="s">
        <v>25</v>
      </c>
      <c r="E2037" s="0" t="s">
        <v>3400</v>
      </c>
      <c r="F2037" s="16">
        <f>HYPERLINK("https://eosportal.federatedhermes.com/engagements/RW5nYWdlbWVudAppMzIxNTY=", "Living wages")</f>
      </c>
      <c r="G2037" s="14" t="s">
        <v>5671</v>
      </c>
      <c r="H2037" s="0" t="s">
        <v>130</v>
      </c>
      <c r="I2037" s="14" t="s">
        <v>131</v>
      </c>
      <c r="J2037" s="0" t="s">
        <v>153</v>
      </c>
      <c r="K2037" s="0" t="s">
        <v>154</v>
      </c>
      <c r="L2037" s="0" t="s">
        <v>306</v>
      </c>
      <c r="M2037" s="0" t="s">
        <v>802</v>
      </c>
      <c r="N2037" s="0" t="s">
        <v>803</v>
      </c>
      <c r="O2037" s="0" t="s">
        <v>176</v>
      </c>
      <c r="Q2037" s="0" t="s">
        <v>130</v>
      </c>
      <c r="R2037" s="0" t="s">
        <v>138</v>
      </c>
      <c r="S2037" s="14">
        <v>0</v>
      </c>
      <c r="T2037" s="0" t="s">
        <v>2629</v>
      </c>
      <c r="U2037" s="0" t="s">
        <v>138</v>
      </c>
      <c r="V2037" s="14" t="s">
        <v>138</v>
      </c>
      <c r="W2037" s="0" t="s">
        <v>138</v>
      </c>
      <c r="X2037" s="14" t="s">
        <v>138</v>
      </c>
      <c r="Y2037" s="0" t="s">
        <v>138</v>
      </c>
      <c r="Z2037" s="14" t="s">
        <v>138</v>
      </c>
      <c r="AA2037" s="0" t="s">
        <v>138</v>
      </c>
      <c r="AB2037" s="14" t="s">
        <v>138</v>
      </c>
      <c r="AD2037" s="0" t="s">
        <v>138</v>
      </c>
      <c r="AF2037" s="0">
        <v>0</v>
      </c>
      <c r="AG2037" s="0">
        <v>0</v>
      </c>
      <c r="AH2037" s="0" t="s">
        <v>140</v>
      </c>
      <c r="AI2037" s="0" t="s">
        <v>138</v>
      </c>
      <c r="AL2037" s="14"/>
      <c r="AN2037" s="14"/>
      <c r="AQ2037" s="0" t="s">
        <v>141</v>
      </c>
      <c r="AR2037" s="0" t="s">
        <v>130</v>
      </c>
      <c r="AS2037" s="0" t="s">
        <v>130</v>
      </c>
      <c r="AT2037" s="0" t="s">
        <v>130</v>
      </c>
      <c r="AU2037" s="0" t="s">
        <v>130</v>
      </c>
      <c r="AV2037" s="0" t="s">
        <v>130</v>
      </c>
      <c r="AW2037" s="0" t="s">
        <v>130</v>
      </c>
      <c r="AX2037" s="0" t="s">
        <v>141</v>
      </c>
      <c r="AY2037" s="0" t="s">
        <v>130</v>
      </c>
      <c r="AZ2037" s="0" t="s">
        <v>141</v>
      </c>
      <c r="BA2037" s="0" t="s">
        <v>130</v>
      </c>
      <c r="BB2037" s="0" t="s">
        <v>130</v>
      </c>
      <c r="BC2037" s="0" t="s">
        <v>130</v>
      </c>
      <c r="BD2037" s="0" t="s">
        <v>130</v>
      </c>
      <c r="BE2037" s="0" t="s">
        <v>130</v>
      </c>
      <c r="BF2037" s="0" t="s">
        <v>130</v>
      </c>
      <c r="BG2037" s="0" t="s">
        <v>130</v>
      </c>
      <c r="BH2037" s="0" t="s">
        <v>130</v>
      </c>
      <c r="BI2037" s="0" t="s">
        <v>130</v>
      </c>
      <c r="BJ2037" s="0" t="s">
        <v>130</v>
      </c>
      <c r="BK2037" s="0" t="s">
        <v>130</v>
      </c>
      <c r="BL2037" s="0" t="s">
        <v>130</v>
      </c>
      <c r="BM2037" s="0" t="s">
        <v>130</v>
      </c>
      <c r="BN2037" s="0" t="s">
        <v>130</v>
      </c>
      <c r="BO2037" s="0" t="s">
        <v>130</v>
      </c>
      <c r="BP2037" s="0" t="s">
        <v>130</v>
      </c>
      <c r="BQ2037" s="0" t="s">
        <v>130</v>
      </c>
      <c r="BR2037" s="0" t="s">
        <v>130</v>
      </c>
      <c r="BS2037" s="0" t="s">
        <v>130</v>
      </c>
      <c r="BT2037" s="0" t="s">
        <v>130</v>
      </c>
      <c r="BU2037" s="0" t="s">
        <v>130</v>
      </c>
      <c r="BV2037" s="0" t="s">
        <v>130</v>
      </c>
      <c r="BW2037" s="0" t="s">
        <v>130</v>
      </c>
      <c r="BX2037" s="0" t="s">
        <v>130</v>
      </c>
      <c r="BY2037" s="0" t="s">
        <v>130</v>
      </c>
      <c r="BZ2037" s="0" t="s">
        <v>130</v>
      </c>
      <c r="CA2037" s="0" t="s">
        <v>130</v>
      </c>
      <c r="CB2037" s="0" t="s">
        <v>130</v>
      </c>
      <c r="CC2037" s="0" t="s">
        <v>130</v>
      </c>
      <c r="CD2037" s="0" t="s">
        <v>130</v>
      </c>
      <c r="CE2037" s="0" t="s">
        <v>130</v>
      </c>
      <c r="CF2037" s="0" t="s">
        <v>130</v>
      </c>
      <c r="CG2037" s="0" t="s">
        <v>130</v>
      </c>
      <c r="CH2037" s="0" t="s">
        <v>130</v>
      </c>
      <c r="CI2037" s="0" t="s">
        <v>130</v>
      </c>
      <c r="CJ2037" s="0" t="s">
        <v>130</v>
      </c>
      <c r="CK2037" s="0" t="s">
        <v>130</v>
      </c>
      <c r="CL2037" s="0" t="s">
        <v>130</v>
      </c>
      <c r="CM2037" s="0" t="s">
        <v>130</v>
      </c>
      <c r="CN2037" s="0" t="s">
        <v>130</v>
      </c>
      <c r="CO2037" s="0" t="s">
        <v>130</v>
      </c>
      <c r="CP2037" s="0" t="s">
        <v>130</v>
      </c>
      <c r="CQ2037" s="0" t="s">
        <v>130</v>
      </c>
      <c r="CR2037" s="0" t="s">
        <v>130</v>
      </c>
      <c r="CS2037" s="0" t="s">
        <v>130</v>
      </c>
      <c r="CT2037" s="0" t="s">
        <v>5681</v>
      </c>
    </row>
    <row r="2038">
      <c r="A2038" s="14">
        <v>101639</v>
      </c>
      <c r="B2038" s="0" t="s">
        <v>1867</v>
      </c>
      <c r="C2038" s="16">
        <f>HYPERLINK("https://eosportal.federatedhermes.com/companies/Q29tcGFueQppNzU2NzE=", "West Pharmaceutical Services Inc")</f>
      </c>
      <c r="D2038" s="0" t="s">
        <v>25</v>
      </c>
      <c r="E2038" s="0" t="s">
        <v>3400</v>
      </c>
      <c r="F2038" s="16">
        <f>HYPERLINK("https://eosportal.federatedhermes.com/engagements/RW5nYWdlbWVudAppMzIxNTg=", "Living wages")</f>
      </c>
      <c r="G2038" s="14" t="s">
        <v>5671</v>
      </c>
      <c r="H2038" s="0" t="s">
        <v>130</v>
      </c>
      <c r="I2038" s="14" t="s">
        <v>131</v>
      </c>
      <c r="J2038" s="0" t="s">
        <v>153</v>
      </c>
      <c r="K2038" s="0" t="s">
        <v>154</v>
      </c>
      <c r="L2038" s="0" t="s">
        <v>306</v>
      </c>
      <c r="M2038" s="0" t="s">
        <v>135</v>
      </c>
      <c r="N2038" s="0" t="s">
        <v>136</v>
      </c>
      <c r="O2038" s="0" t="s">
        <v>274</v>
      </c>
      <c r="Q2038" s="0" t="s">
        <v>130</v>
      </c>
      <c r="R2038" s="0" t="s">
        <v>138</v>
      </c>
      <c r="S2038" s="14">
        <v>0</v>
      </c>
      <c r="T2038" s="0" t="s">
        <v>2629</v>
      </c>
      <c r="U2038" s="0" t="s">
        <v>138</v>
      </c>
      <c r="V2038" s="14" t="s">
        <v>138</v>
      </c>
      <c r="W2038" s="0" t="s">
        <v>138</v>
      </c>
      <c r="X2038" s="14" t="s">
        <v>138</v>
      </c>
      <c r="Y2038" s="0" t="s">
        <v>138</v>
      </c>
      <c r="Z2038" s="14" t="s">
        <v>138</v>
      </c>
      <c r="AA2038" s="0" t="s">
        <v>138</v>
      </c>
      <c r="AB2038" s="14" t="s">
        <v>138</v>
      </c>
      <c r="AD2038" s="0" t="s">
        <v>138</v>
      </c>
      <c r="AF2038" s="0">
        <v>0</v>
      </c>
      <c r="AG2038" s="0">
        <v>0</v>
      </c>
      <c r="AH2038" s="0" t="s">
        <v>140</v>
      </c>
      <c r="AI2038" s="0" t="s">
        <v>138</v>
      </c>
      <c r="AL2038" s="14"/>
      <c r="AN2038" s="14"/>
      <c r="AQ2038" s="0" t="s">
        <v>141</v>
      </c>
      <c r="AR2038" s="0" t="s">
        <v>130</v>
      </c>
      <c r="AS2038" s="0" t="s">
        <v>130</v>
      </c>
      <c r="AT2038" s="0" t="s">
        <v>130</v>
      </c>
      <c r="AU2038" s="0" t="s">
        <v>130</v>
      </c>
      <c r="AV2038" s="0" t="s">
        <v>130</v>
      </c>
      <c r="AW2038" s="0" t="s">
        <v>130</v>
      </c>
      <c r="AX2038" s="0" t="s">
        <v>141</v>
      </c>
      <c r="AY2038" s="0" t="s">
        <v>130</v>
      </c>
      <c r="AZ2038" s="0" t="s">
        <v>141</v>
      </c>
      <c r="BA2038" s="0" t="s">
        <v>130</v>
      </c>
      <c r="BB2038" s="0" t="s">
        <v>130</v>
      </c>
      <c r="BC2038" s="0" t="s">
        <v>130</v>
      </c>
      <c r="BD2038" s="0" t="s">
        <v>130</v>
      </c>
      <c r="BE2038" s="0" t="s">
        <v>130</v>
      </c>
      <c r="BF2038" s="0" t="s">
        <v>130</v>
      </c>
      <c r="BG2038" s="0" t="s">
        <v>130</v>
      </c>
      <c r="BH2038" s="0" t="s">
        <v>130</v>
      </c>
      <c r="BI2038" s="0" t="s">
        <v>130</v>
      </c>
      <c r="BJ2038" s="0" t="s">
        <v>130</v>
      </c>
      <c r="BK2038" s="0" t="s">
        <v>130</v>
      </c>
      <c r="BL2038" s="0" t="s">
        <v>130</v>
      </c>
      <c r="BM2038" s="0" t="s">
        <v>130</v>
      </c>
      <c r="BN2038" s="0" t="s">
        <v>130</v>
      </c>
      <c r="BO2038" s="0" t="s">
        <v>130</v>
      </c>
      <c r="BP2038" s="0" t="s">
        <v>130</v>
      </c>
      <c r="BQ2038" s="0" t="s">
        <v>130</v>
      </c>
      <c r="BR2038" s="0" t="s">
        <v>130</v>
      </c>
      <c r="BS2038" s="0" t="s">
        <v>130</v>
      </c>
      <c r="BT2038" s="0" t="s">
        <v>130</v>
      </c>
      <c r="BU2038" s="0" t="s">
        <v>130</v>
      </c>
      <c r="BV2038" s="0" t="s">
        <v>130</v>
      </c>
      <c r="BW2038" s="0" t="s">
        <v>130</v>
      </c>
      <c r="BX2038" s="0" t="s">
        <v>130</v>
      </c>
      <c r="BY2038" s="0" t="s">
        <v>130</v>
      </c>
      <c r="BZ2038" s="0" t="s">
        <v>130</v>
      </c>
      <c r="CA2038" s="0" t="s">
        <v>130</v>
      </c>
      <c r="CB2038" s="0" t="s">
        <v>130</v>
      </c>
      <c r="CC2038" s="0" t="s">
        <v>130</v>
      </c>
      <c r="CD2038" s="0" t="s">
        <v>130</v>
      </c>
      <c r="CE2038" s="0" t="s">
        <v>130</v>
      </c>
      <c r="CF2038" s="0" t="s">
        <v>130</v>
      </c>
      <c r="CG2038" s="0" t="s">
        <v>130</v>
      </c>
      <c r="CH2038" s="0" t="s">
        <v>130</v>
      </c>
      <c r="CI2038" s="0" t="s">
        <v>130</v>
      </c>
      <c r="CJ2038" s="0" t="s">
        <v>130</v>
      </c>
      <c r="CK2038" s="0" t="s">
        <v>130</v>
      </c>
      <c r="CL2038" s="0" t="s">
        <v>130</v>
      </c>
      <c r="CM2038" s="0" t="s">
        <v>130</v>
      </c>
      <c r="CN2038" s="0" t="s">
        <v>130</v>
      </c>
      <c r="CO2038" s="0" t="s">
        <v>130</v>
      </c>
      <c r="CP2038" s="0" t="s">
        <v>130</v>
      </c>
      <c r="CQ2038" s="0" t="s">
        <v>130</v>
      </c>
      <c r="CR2038" s="0" t="s">
        <v>130</v>
      </c>
      <c r="CS2038" s="0" t="s">
        <v>130</v>
      </c>
      <c r="CT2038" s="0" t="s">
        <v>5682</v>
      </c>
    </row>
    <row r="2039">
      <c r="A2039" s="14">
        <v>101466</v>
      </c>
      <c r="B2039" s="0" t="s">
        <v>1628</v>
      </c>
      <c r="C2039" s="16">
        <f>HYPERLINK("https://eosportal.federatedhermes.com/companies/Q29tcGFueQppNzU3MDQ=", "Thermo Fisher Scientific Inc")</f>
      </c>
      <c r="D2039" s="0" t="s">
        <v>25</v>
      </c>
      <c r="E2039" s="0" t="s">
        <v>3400</v>
      </c>
      <c r="F2039" s="16">
        <f>HYPERLINK("https://eosportal.federatedhermes.com/engagements/RW5nYWdlbWVudAppMzIxNjA=", "Living wages")</f>
      </c>
      <c r="G2039" s="14" t="s">
        <v>5671</v>
      </c>
      <c r="H2039" s="0" t="s">
        <v>141</v>
      </c>
      <c r="I2039" s="14" t="s">
        <v>636</v>
      </c>
      <c r="J2039" s="0" t="s">
        <v>153</v>
      </c>
      <c r="K2039" s="0" t="s">
        <v>154</v>
      </c>
      <c r="L2039" s="0" t="s">
        <v>306</v>
      </c>
      <c r="M2039" s="0" t="s">
        <v>135</v>
      </c>
      <c r="N2039" s="0" t="s">
        <v>136</v>
      </c>
      <c r="O2039" s="0" t="s">
        <v>274</v>
      </c>
      <c r="Q2039" s="0" t="s">
        <v>130</v>
      </c>
      <c r="R2039" s="0" t="s">
        <v>138</v>
      </c>
      <c r="S2039" s="14">
        <v>0</v>
      </c>
      <c r="T2039" s="0" t="s">
        <v>2629</v>
      </c>
      <c r="U2039" s="0" t="s">
        <v>138</v>
      </c>
      <c r="V2039" s="14" t="s">
        <v>138</v>
      </c>
      <c r="W2039" s="0" t="s">
        <v>138</v>
      </c>
      <c r="X2039" s="14" t="s">
        <v>138</v>
      </c>
      <c r="Y2039" s="0" t="s">
        <v>138</v>
      </c>
      <c r="Z2039" s="14" t="s">
        <v>138</v>
      </c>
      <c r="AA2039" s="0" t="s">
        <v>138</v>
      </c>
      <c r="AB2039" s="14" t="s">
        <v>138</v>
      </c>
      <c r="AD2039" s="0" t="s">
        <v>138</v>
      </c>
      <c r="AF2039" s="0">
        <v>0</v>
      </c>
      <c r="AG2039" s="0">
        <v>0</v>
      </c>
      <c r="AH2039" s="0" t="s">
        <v>140</v>
      </c>
      <c r="AI2039" s="0" t="s">
        <v>138</v>
      </c>
      <c r="AL2039" s="14"/>
      <c r="AN2039" s="14"/>
      <c r="AQ2039" s="0" t="s">
        <v>141</v>
      </c>
      <c r="AR2039" s="0" t="s">
        <v>130</v>
      </c>
      <c r="AS2039" s="0" t="s">
        <v>130</v>
      </c>
      <c r="AT2039" s="0" t="s">
        <v>130</v>
      </c>
      <c r="AU2039" s="0" t="s">
        <v>130</v>
      </c>
      <c r="AV2039" s="0" t="s">
        <v>130</v>
      </c>
      <c r="AW2039" s="0" t="s">
        <v>130</v>
      </c>
      <c r="AX2039" s="0" t="s">
        <v>141</v>
      </c>
      <c r="AY2039" s="0" t="s">
        <v>130</v>
      </c>
      <c r="AZ2039" s="0" t="s">
        <v>141</v>
      </c>
      <c r="BA2039" s="0" t="s">
        <v>130</v>
      </c>
      <c r="BB2039" s="0" t="s">
        <v>130</v>
      </c>
      <c r="BC2039" s="0" t="s">
        <v>130</v>
      </c>
      <c r="BD2039" s="0" t="s">
        <v>130</v>
      </c>
      <c r="BE2039" s="0" t="s">
        <v>130</v>
      </c>
      <c r="BF2039" s="0" t="s">
        <v>130</v>
      </c>
      <c r="BG2039" s="0" t="s">
        <v>130</v>
      </c>
      <c r="BH2039" s="0" t="s">
        <v>130</v>
      </c>
      <c r="BI2039" s="0" t="s">
        <v>130</v>
      </c>
      <c r="BJ2039" s="0" t="s">
        <v>130</v>
      </c>
      <c r="BK2039" s="0" t="s">
        <v>130</v>
      </c>
      <c r="BL2039" s="0" t="s">
        <v>130</v>
      </c>
      <c r="BM2039" s="0" t="s">
        <v>130</v>
      </c>
      <c r="BN2039" s="0" t="s">
        <v>130</v>
      </c>
      <c r="BO2039" s="0" t="s">
        <v>130</v>
      </c>
      <c r="BP2039" s="0" t="s">
        <v>130</v>
      </c>
      <c r="BQ2039" s="0" t="s">
        <v>130</v>
      </c>
      <c r="BR2039" s="0" t="s">
        <v>130</v>
      </c>
      <c r="BS2039" s="0" t="s">
        <v>130</v>
      </c>
      <c r="BT2039" s="0" t="s">
        <v>130</v>
      </c>
      <c r="BU2039" s="0" t="s">
        <v>130</v>
      </c>
      <c r="BV2039" s="0" t="s">
        <v>130</v>
      </c>
      <c r="BW2039" s="0" t="s">
        <v>130</v>
      </c>
      <c r="BX2039" s="0" t="s">
        <v>130</v>
      </c>
      <c r="BY2039" s="0" t="s">
        <v>130</v>
      </c>
      <c r="BZ2039" s="0" t="s">
        <v>130</v>
      </c>
      <c r="CA2039" s="0" t="s">
        <v>130</v>
      </c>
      <c r="CB2039" s="0" t="s">
        <v>130</v>
      </c>
      <c r="CC2039" s="0" t="s">
        <v>130</v>
      </c>
      <c r="CD2039" s="0" t="s">
        <v>130</v>
      </c>
      <c r="CE2039" s="0" t="s">
        <v>130</v>
      </c>
      <c r="CF2039" s="0" t="s">
        <v>130</v>
      </c>
      <c r="CG2039" s="0" t="s">
        <v>130</v>
      </c>
      <c r="CH2039" s="0" t="s">
        <v>130</v>
      </c>
      <c r="CI2039" s="0" t="s">
        <v>130</v>
      </c>
      <c r="CJ2039" s="0" t="s">
        <v>130</v>
      </c>
      <c r="CK2039" s="0" t="s">
        <v>130</v>
      </c>
      <c r="CL2039" s="0" t="s">
        <v>130</v>
      </c>
      <c r="CM2039" s="0" t="s">
        <v>130</v>
      </c>
      <c r="CN2039" s="0" t="s">
        <v>130</v>
      </c>
      <c r="CO2039" s="0" t="s">
        <v>130</v>
      </c>
      <c r="CP2039" s="0" t="s">
        <v>130</v>
      </c>
      <c r="CQ2039" s="0" t="s">
        <v>130</v>
      </c>
      <c r="CR2039" s="0" t="s">
        <v>130</v>
      </c>
      <c r="CS2039" s="0" t="s">
        <v>130</v>
      </c>
      <c r="CT2039" s="0" t="s">
        <v>5683</v>
      </c>
    </row>
    <row r="2040">
      <c r="A2040" s="14">
        <v>304149</v>
      </c>
      <c r="B2040" s="0" t="s">
        <v>3541</v>
      </c>
      <c r="C2040" s="16">
        <f>HYPERLINK("https://eosportal.federatedhermes.com/companies/Q29tcGFueQppNzc5MjM=", "ICICI Bank Ltd")</f>
      </c>
      <c r="D2040" s="0" t="s">
        <v>25</v>
      </c>
      <c r="E2040" s="0" t="s">
        <v>3400</v>
      </c>
      <c r="F2040" s="16">
        <f>HYPERLINK("https://eosportal.federatedhermes.com/engagements/RW5nYWdlbWVudAppMzIxNjM=", "Living wages")</f>
      </c>
      <c r="G2040" s="14" t="s">
        <v>5684</v>
      </c>
      <c r="H2040" s="0" t="s">
        <v>141</v>
      </c>
      <c r="I2040" s="14" t="s">
        <v>131</v>
      </c>
      <c r="J2040" s="0" t="s">
        <v>153</v>
      </c>
      <c r="K2040" s="0" t="s">
        <v>154</v>
      </c>
      <c r="L2040" s="0" t="s">
        <v>306</v>
      </c>
      <c r="M2040" s="0" t="s">
        <v>2807</v>
      </c>
      <c r="N2040" s="0" t="s">
        <v>2969</v>
      </c>
      <c r="O2040" s="0" t="s">
        <v>238</v>
      </c>
      <c r="Q2040" s="0" t="s">
        <v>130</v>
      </c>
      <c r="R2040" s="0" t="s">
        <v>138</v>
      </c>
      <c r="S2040" s="14">
        <v>0</v>
      </c>
      <c r="T2040" s="0" t="s">
        <v>2629</v>
      </c>
      <c r="U2040" s="0" t="s">
        <v>138</v>
      </c>
      <c r="V2040" s="14" t="s">
        <v>138</v>
      </c>
      <c r="W2040" s="0" t="s">
        <v>138</v>
      </c>
      <c r="X2040" s="14" t="s">
        <v>138</v>
      </c>
      <c r="Y2040" s="0" t="s">
        <v>138</v>
      </c>
      <c r="Z2040" s="14" t="s">
        <v>138</v>
      </c>
      <c r="AA2040" s="0" t="s">
        <v>138</v>
      </c>
      <c r="AB2040" s="14" t="s">
        <v>138</v>
      </c>
      <c r="AD2040" s="0" t="s">
        <v>138</v>
      </c>
      <c r="AF2040" s="0">
        <v>0</v>
      </c>
      <c r="AG2040" s="0">
        <v>0</v>
      </c>
      <c r="AH2040" s="0" t="s">
        <v>140</v>
      </c>
      <c r="AI2040" s="0" t="s">
        <v>138</v>
      </c>
      <c r="AL2040" s="14"/>
      <c r="AN2040" s="14"/>
      <c r="AQ2040" s="0" t="s">
        <v>141</v>
      </c>
      <c r="AR2040" s="0" t="s">
        <v>130</v>
      </c>
      <c r="AS2040" s="0" t="s">
        <v>130</v>
      </c>
      <c r="AT2040" s="0" t="s">
        <v>130</v>
      </c>
      <c r="AU2040" s="0" t="s">
        <v>130</v>
      </c>
      <c r="AV2040" s="0" t="s">
        <v>130</v>
      </c>
      <c r="AW2040" s="0" t="s">
        <v>130</v>
      </c>
      <c r="AX2040" s="0" t="s">
        <v>141</v>
      </c>
      <c r="AY2040" s="0" t="s">
        <v>130</v>
      </c>
      <c r="AZ2040" s="0" t="s">
        <v>141</v>
      </c>
      <c r="BA2040" s="0" t="s">
        <v>130</v>
      </c>
      <c r="BB2040" s="0" t="s">
        <v>130</v>
      </c>
      <c r="BC2040" s="0" t="s">
        <v>130</v>
      </c>
      <c r="BD2040" s="0" t="s">
        <v>130</v>
      </c>
      <c r="BE2040" s="0" t="s">
        <v>130</v>
      </c>
      <c r="BF2040" s="0" t="s">
        <v>130</v>
      </c>
      <c r="BG2040" s="0" t="s">
        <v>130</v>
      </c>
      <c r="BH2040" s="0" t="s">
        <v>130</v>
      </c>
      <c r="BI2040" s="0" t="s">
        <v>130</v>
      </c>
      <c r="BJ2040" s="0" t="s">
        <v>130</v>
      </c>
      <c r="BK2040" s="0" t="s">
        <v>130</v>
      </c>
      <c r="BL2040" s="0" t="s">
        <v>130</v>
      </c>
      <c r="BM2040" s="0" t="s">
        <v>130</v>
      </c>
      <c r="BN2040" s="0" t="s">
        <v>130</v>
      </c>
      <c r="BO2040" s="0" t="s">
        <v>130</v>
      </c>
      <c r="BP2040" s="0" t="s">
        <v>130</v>
      </c>
      <c r="BQ2040" s="0" t="s">
        <v>130</v>
      </c>
      <c r="BR2040" s="0" t="s">
        <v>130</v>
      </c>
      <c r="BS2040" s="0" t="s">
        <v>130</v>
      </c>
      <c r="BT2040" s="0" t="s">
        <v>130</v>
      </c>
      <c r="BU2040" s="0" t="s">
        <v>130</v>
      </c>
      <c r="BV2040" s="0" t="s">
        <v>130</v>
      </c>
      <c r="BW2040" s="0" t="s">
        <v>130</v>
      </c>
      <c r="BX2040" s="0" t="s">
        <v>130</v>
      </c>
      <c r="BY2040" s="0" t="s">
        <v>130</v>
      </c>
      <c r="BZ2040" s="0" t="s">
        <v>130</v>
      </c>
      <c r="CA2040" s="0" t="s">
        <v>130</v>
      </c>
      <c r="CB2040" s="0" t="s">
        <v>130</v>
      </c>
      <c r="CC2040" s="0" t="s">
        <v>130</v>
      </c>
      <c r="CD2040" s="0" t="s">
        <v>130</v>
      </c>
      <c r="CE2040" s="0" t="s">
        <v>130</v>
      </c>
      <c r="CF2040" s="0" t="s">
        <v>130</v>
      </c>
      <c r="CG2040" s="0" t="s">
        <v>130</v>
      </c>
      <c r="CH2040" s="0" t="s">
        <v>130</v>
      </c>
      <c r="CI2040" s="0" t="s">
        <v>130</v>
      </c>
      <c r="CJ2040" s="0" t="s">
        <v>130</v>
      </c>
      <c r="CK2040" s="0" t="s">
        <v>130</v>
      </c>
      <c r="CL2040" s="0" t="s">
        <v>130</v>
      </c>
      <c r="CM2040" s="0" t="s">
        <v>130</v>
      </c>
      <c r="CN2040" s="0" t="s">
        <v>130</v>
      </c>
      <c r="CO2040" s="0" t="s">
        <v>130</v>
      </c>
      <c r="CP2040" s="0" t="s">
        <v>130</v>
      </c>
      <c r="CQ2040" s="0" t="s">
        <v>130</v>
      </c>
      <c r="CR2040" s="0" t="s">
        <v>130</v>
      </c>
      <c r="CS2040" s="0" t="s">
        <v>130</v>
      </c>
      <c r="CT2040" s="0" t="s">
        <v>5685</v>
      </c>
    </row>
    <row r="2041">
      <c r="A2041" s="14">
        <v>101177</v>
      </c>
      <c r="B2041" s="0" t="s">
        <v>5248</v>
      </c>
      <c r="C2041" s="16">
        <f>HYPERLINK("https://eosportal.federatedhermes.com/companies/Q29tcGFueQppODUwMDc=", "PulteGroup Inc")</f>
      </c>
      <c r="D2041" s="0" t="s">
        <v>25</v>
      </c>
      <c r="E2041" s="0" t="s">
        <v>3400</v>
      </c>
      <c r="F2041" s="16">
        <f>HYPERLINK("https://eosportal.federatedhermes.com/engagements/RW5nYWdlbWVudAppMzIxNjk=", "Living wages")</f>
      </c>
      <c r="G2041" s="14" t="s">
        <v>5671</v>
      </c>
      <c r="H2041" s="0" t="s">
        <v>130</v>
      </c>
      <c r="I2041" s="14" t="s">
        <v>131</v>
      </c>
      <c r="J2041" s="0" t="s">
        <v>153</v>
      </c>
      <c r="K2041" s="0" t="s">
        <v>154</v>
      </c>
      <c r="L2041" s="0" t="s">
        <v>306</v>
      </c>
      <c r="M2041" s="0" t="s">
        <v>135</v>
      </c>
      <c r="N2041" s="0" t="s">
        <v>136</v>
      </c>
      <c r="O2041" s="0" t="s">
        <v>332</v>
      </c>
      <c r="Q2041" s="0" t="s">
        <v>130</v>
      </c>
      <c r="R2041" s="0" t="s">
        <v>138</v>
      </c>
      <c r="S2041" s="14">
        <v>0</v>
      </c>
      <c r="T2041" s="0" t="s">
        <v>2629</v>
      </c>
      <c r="U2041" s="0" t="s">
        <v>138</v>
      </c>
      <c r="V2041" s="14" t="s">
        <v>138</v>
      </c>
      <c r="W2041" s="0" t="s">
        <v>138</v>
      </c>
      <c r="X2041" s="14" t="s">
        <v>138</v>
      </c>
      <c r="Y2041" s="0" t="s">
        <v>138</v>
      </c>
      <c r="Z2041" s="14" t="s">
        <v>138</v>
      </c>
      <c r="AA2041" s="0" t="s">
        <v>138</v>
      </c>
      <c r="AB2041" s="14" t="s">
        <v>138</v>
      </c>
      <c r="AD2041" s="0" t="s">
        <v>138</v>
      </c>
      <c r="AF2041" s="0">
        <v>0</v>
      </c>
      <c r="AG2041" s="0">
        <v>0</v>
      </c>
      <c r="AH2041" s="0" t="s">
        <v>140</v>
      </c>
      <c r="AI2041" s="0" t="s">
        <v>138</v>
      </c>
      <c r="AL2041" s="14"/>
      <c r="AN2041" s="14"/>
      <c r="AQ2041" s="0" t="s">
        <v>141</v>
      </c>
      <c r="AR2041" s="0" t="s">
        <v>130</v>
      </c>
      <c r="AS2041" s="0" t="s">
        <v>130</v>
      </c>
      <c r="AT2041" s="0" t="s">
        <v>130</v>
      </c>
      <c r="AU2041" s="0" t="s">
        <v>130</v>
      </c>
      <c r="AV2041" s="0" t="s">
        <v>130</v>
      </c>
      <c r="AW2041" s="0" t="s">
        <v>130</v>
      </c>
      <c r="AX2041" s="0" t="s">
        <v>141</v>
      </c>
      <c r="AY2041" s="0" t="s">
        <v>130</v>
      </c>
      <c r="AZ2041" s="0" t="s">
        <v>141</v>
      </c>
      <c r="BA2041" s="0" t="s">
        <v>130</v>
      </c>
      <c r="BB2041" s="0" t="s">
        <v>130</v>
      </c>
      <c r="BC2041" s="0" t="s">
        <v>130</v>
      </c>
      <c r="BD2041" s="0" t="s">
        <v>130</v>
      </c>
      <c r="BE2041" s="0" t="s">
        <v>130</v>
      </c>
      <c r="BF2041" s="0" t="s">
        <v>130</v>
      </c>
      <c r="BG2041" s="0" t="s">
        <v>130</v>
      </c>
      <c r="BH2041" s="0" t="s">
        <v>130</v>
      </c>
      <c r="BI2041" s="0" t="s">
        <v>130</v>
      </c>
      <c r="BJ2041" s="0" t="s">
        <v>130</v>
      </c>
      <c r="BK2041" s="0" t="s">
        <v>130</v>
      </c>
      <c r="BL2041" s="0" t="s">
        <v>130</v>
      </c>
      <c r="BM2041" s="0" t="s">
        <v>130</v>
      </c>
      <c r="BN2041" s="0" t="s">
        <v>130</v>
      </c>
      <c r="BO2041" s="0" t="s">
        <v>130</v>
      </c>
      <c r="BP2041" s="0" t="s">
        <v>130</v>
      </c>
      <c r="BQ2041" s="0" t="s">
        <v>130</v>
      </c>
      <c r="BR2041" s="0" t="s">
        <v>130</v>
      </c>
      <c r="BS2041" s="0" t="s">
        <v>130</v>
      </c>
      <c r="BT2041" s="0" t="s">
        <v>130</v>
      </c>
      <c r="BU2041" s="0" t="s">
        <v>130</v>
      </c>
      <c r="BV2041" s="0" t="s">
        <v>130</v>
      </c>
      <c r="BW2041" s="0" t="s">
        <v>130</v>
      </c>
      <c r="BX2041" s="0" t="s">
        <v>130</v>
      </c>
      <c r="BY2041" s="0" t="s">
        <v>130</v>
      </c>
      <c r="BZ2041" s="0" t="s">
        <v>130</v>
      </c>
      <c r="CA2041" s="0" t="s">
        <v>130</v>
      </c>
      <c r="CB2041" s="0" t="s">
        <v>130</v>
      </c>
      <c r="CC2041" s="0" t="s">
        <v>130</v>
      </c>
      <c r="CD2041" s="0" t="s">
        <v>130</v>
      </c>
      <c r="CE2041" s="0" t="s">
        <v>130</v>
      </c>
      <c r="CF2041" s="0" t="s">
        <v>130</v>
      </c>
      <c r="CG2041" s="0" t="s">
        <v>130</v>
      </c>
      <c r="CH2041" s="0" t="s">
        <v>130</v>
      </c>
      <c r="CI2041" s="0" t="s">
        <v>130</v>
      </c>
      <c r="CJ2041" s="0" t="s">
        <v>130</v>
      </c>
      <c r="CK2041" s="0" t="s">
        <v>130</v>
      </c>
      <c r="CL2041" s="0" t="s">
        <v>130</v>
      </c>
      <c r="CM2041" s="0" t="s">
        <v>130</v>
      </c>
      <c r="CN2041" s="0" t="s">
        <v>130</v>
      </c>
      <c r="CO2041" s="0" t="s">
        <v>130</v>
      </c>
      <c r="CP2041" s="0" t="s">
        <v>130</v>
      </c>
      <c r="CQ2041" s="0" t="s">
        <v>130</v>
      </c>
      <c r="CR2041" s="0" t="s">
        <v>130</v>
      </c>
      <c r="CS2041" s="0" t="s">
        <v>130</v>
      </c>
      <c r="CT2041" s="0" t="s">
        <v>5686</v>
      </c>
    </row>
    <row r="2042">
      <c r="A2042" s="14">
        <v>100787</v>
      </c>
      <c r="B2042" s="0" t="s">
        <v>1050</v>
      </c>
      <c r="C2042" s="16">
        <f>HYPERLINK("https://eosportal.federatedhermes.com/companies/Q29tcGFueQppODU5MzI=", "Trane Technologies plc")</f>
      </c>
      <c r="D2042" s="0" t="s">
        <v>25</v>
      </c>
      <c r="E2042" s="0" t="s">
        <v>3400</v>
      </c>
      <c r="F2042" s="16">
        <f>HYPERLINK("https://eosportal.federatedhermes.com/engagements/RW5nYWdlbWVudAppMzIxNzM=", "Living wages")</f>
      </c>
      <c r="G2042" s="14" t="s">
        <v>5671</v>
      </c>
      <c r="H2042" s="0" t="s">
        <v>141</v>
      </c>
      <c r="I2042" s="14" t="s">
        <v>131</v>
      </c>
      <c r="J2042" s="0" t="s">
        <v>153</v>
      </c>
      <c r="K2042" s="0" t="s">
        <v>154</v>
      </c>
      <c r="L2042" s="0" t="s">
        <v>306</v>
      </c>
      <c r="M2042" s="0" t="s">
        <v>378</v>
      </c>
      <c r="N2042" s="0" t="s">
        <v>409</v>
      </c>
      <c r="O2042" s="0" t="s">
        <v>176</v>
      </c>
      <c r="Q2042" s="0" t="s">
        <v>130</v>
      </c>
      <c r="R2042" s="0" t="s">
        <v>138</v>
      </c>
      <c r="S2042" s="14">
        <v>0</v>
      </c>
      <c r="T2042" s="0" t="s">
        <v>2629</v>
      </c>
      <c r="U2042" s="0" t="s">
        <v>138</v>
      </c>
      <c r="V2042" s="14" t="s">
        <v>138</v>
      </c>
      <c r="W2042" s="0" t="s">
        <v>138</v>
      </c>
      <c r="X2042" s="14" t="s">
        <v>138</v>
      </c>
      <c r="Y2042" s="0" t="s">
        <v>138</v>
      </c>
      <c r="Z2042" s="14" t="s">
        <v>138</v>
      </c>
      <c r="AA2042" s="0" t="s">
        <v>138</v>
      </c>
      <c r="AB2042" s="14" t="s">
        <v>138</v>
      </c>
      <c r="AD2042" s="0" t="s">
        <v>138</v>
      </c>
      <c r="AF2042" s="0">
        <v>0</v>
      </c>
      <c r="AG2042" s="0">
        <v>0</v>
      </c>
      <c r="AH2042" s="0" t="s">
        <v>140</v>
      </c>
      <c r="AI2042" s="0" t="s">
        <v>138</v>
      </c>
      <c r="AL2042" s="14"/>
      <c r="AN2042" s="14"/>
      <c r="AQ2042" s="0" t="s">
        <v>141</v>
      </c>
      <c r="AR2042" s="0" t="s">
        <v>130</v>
      </c>
      <c r="AS2042" s="0" t="s">
        <v>130</v>
      </c>
      <c r="AT2042" s="0" t="s">
        <v>130</v>
      </c>
      <c r="AU2042" s="0" t="s">
        <v>130</v>
      </c>
      <c r="AV2042" s="0" t="s">
        <v>130</v>
      </c>
      <c r="AW2042" s="0" t="s">
        <v>130</v>
      </c>
      <c r="AX2042" s="0" t="s">
        <v>141</v>
      </c>
      <c r="AY2042" s="0" t="s">
        <v>130</v>
      </c>
      <c r="AZ2042" s="0" t="s">
        <v>141</v>
      </c>
      <c r="BA2042" s="0" t="s">
        <v>130</v>
      </c>
      <c r="BB2042" s="0" t="s">
        <v>130</v>
      </c>
      <c r="BC2042" s="0" t="s">
        <v>130</v>
      </c>
      <c r="BD2042" s="0" t="s">
        <v>130</v>
      </c>
      <c r="BE2042" s="0" t="s">
        <v>130</v>
      </c>
      <c r="BF2042" s="0" t="s">
        <v>130</v>
      </c>
      <c r="BG2042" s="0" t="s">
        <v>130</v>
      </c>
      <c r="BH2042" s="0" t="s">
        <v>130</v>
      </c>
      <c r="BI2042" s="0" t="s">
        <v>130</v>
      </c>
      <c r="BJ2042" s="0" t="s">
        <v>130</v>
      </c>
      <c r="BK2042" s="0" t="s">
        <v>130</v>
      </c>
      <c r="BL2042" s="0" t="s">
        <v>130</v>
      </c>
      <c r="BM2042" s="0" t="s">
        <v>130</v>
      </c>
      <c r="BN2042" s="0" t="s">
        <v>130</v>
      </c>
      <c r="BO2042" s="0" t="s">
        <v>130</v>
      </c>
      <c r="BP2042" s="0" t="s">
        <v>130</v>
      </c>
      <c r="BQ2042" s="0" t="s">
        <v>130</v>
      </c>
      <c r="BR2042" s="0" t="s">
        <v>130</v>
      </c>
      <c r="BS2042" s="0" t="s">
        <v>130</v>
      </c>
      <c r="BT2042" s="0" t="s">
        <v>130</v>
      </c>
      <c r="BU2042" s="0" t="s">
        <v>130</v>
      </c>
      <c r="BV2042" s="0" t="s">
        <v>130</v>
      </c>
      <c r="BW2042" s="0" t="s">
        <v>130</v>
      </c>
      <c r="BX2042" s="0" t="s">
        <v>130</v>
      </c>
      <c r="BY2042" s="0" t="s">
        <v>130</v>
      </c>
      <c r="BZ2042" s="0" t="s">
        <v>130</v>
      </c>
      <c r="CA2042" s="0" t="s">
        <v>130</v>
      </c>
      <c r="CB2042" s="0" t="s">
        <v>130</v>
      </c>
      <c r="CC2042" s="0" t="s">
        <v>130</v>
      </c>
      <c r="CD2042" s="0" t="s">
        <v>130</v>
      </c>
      <c r="CE2042" s="0" t="s">
        <v>130</v>
      </c>
      <c r="CF2042" s="0" t="s">
        <v>130</v>
      </c>
      <c r="CG2042" s="0" t="s">
        <v>130</v>
      </c>
      <c r="CH2042" s="0" t="s">
        <v>130</v>
      </c>
      <c r="CI2042" s="0" t="s">
        <v>130</v>
      </c>
      <c r="CJ2042" s="0" t="s">
        <v>130</v>
      </c>
      <c r="CK2042" s="0" t="s">
        <v>130</v>
      </c>
      <c r="CL2042" s="0" t="s">
        <v>130</v>
      </c>
      <c r="CM2042" s="0" t="s">
        <v>130</v>
      </c>
      <c r="CN2042" s="0" t="s">
        <v>130</v>
      </c>
      <c r="CO2042" s="0" t="s">
        <v>130</v>
      </c>
      <c r="CP2042" s="0" t="s">
        <v>130</v>
      </c>
      <c r="CQ2042" s="0" t="s">
        <v>130</v>
      </c>
      <c r="CR2042" s="0" t="s">
        <v>130</v>
      </c>
      <c r="CS2042" s="0" t="s">
        <v>130</v>
      </c>
      <c r="CT2042" s="0" t="s">
        <v>5687</v>
      </c>
    </row>
    <row r="2043">
      <c r="A2043" s="14">
        <v>101499</v>
      </c>
      <c r="B2043" s="0" t="s">
        <v>1676</v>
      </c>
      <c r="C2043" s="16">
        <f>HYPERLINK("https://eosportal.federatedhermes.com/companies/Q29tcGFueQppNTg5Nzk=", "TC Energy Corp")</f>
      </c>
      <c r="D2043" s="0" t="s">
        <v>23</v>
      </c>
      <c r="E2043" s="0" t="s">
        <v>5688</v>
      </c>
      <c r="F2043" s="16">
        <f>HYPERLINK("https://eosportal.federatedhermes.com/engagements/RW5nYWdlbWVudAppMzIxNzY=", "Disclosure on position around FPIC")</f>
      </c>
      <c r="G2043" s="14" t="s">
        <v>5689</v>
      </c>
      <c r="H2043" s="0" t="s">
        <v>130</v>
      </c>
      <c r="I2043" s="14" t="s">
        <v>131</v>
      </c>
      <c r="J2043" s="0" t="s">
        <v>153</v>
      </c>
      <c r="K2043" s="0" t="s">
        <v>243</v>
      </c>
      <c r="L2043" s="0" t="s">
        <v>571</v>
      </c>
      <c r="M2043" s="0" t="s">
        <v>135</v>
      </c>
      <c r="N2043" s="0" t="s">
        <v>1678</v>
      </c>
      <c r="O2043" s="0" t="s">
        <v>542</v>
      </c>
      <c r="Q2043" s="0" t="s">
        <v>141</v>
      </c>
      <c r="R2043" s="0" t="s">
        <v>130</v>
      </c>
      <c r="S2043" s="14">
        <v>1</v>
      </c>
      <c r="T2043" s="0" t="s">
        <v>2629</v>
      </c>
      <c r="U2043" s="0" t="s">
        <v>221</v>
      </c>
      <c r="V2043" s="14" t="s">
        <v>2629</v>
      </c>
      <c r="W2043" s="0" t="s">
        <v>221</v>
      </c>
      <c r="X2043" s="14" t="s">
        <v>2629</v>
      </c>
      <c r="Y2043" s="0" t="s">
        <v>223</v>
      </c>
      <c r="Z2043" s="14" t="s">
        <v>138</v>
      </c>
      <c r="AA2043" s="0" t="s">
        <v>224</v>
      </c>
      <c r="AB2043" s="14" t="s">
        <v>138</v>
      </c>
      <c r="AD2043" s="0" t="s">
        <v>17</v>
      </c>
      <c r="AF2043" s="0">
        <v>0</v>
      </c>
      <c r="AG2043" s="0">
        <v>0</v>
      </c>
      <c r="AH2043" s="0" t="s">
        <v>140</v>
      </c>
      <c r="AI2043" s="0" t="s">
        <v>479</v>
      </c>
      <c r="AK2043" s="0" t="s">
        <v>1196</v>
      </c>
      <c r="AL2043" s="14"/>
      <c r="AN2043" s="14"/>
      <c r="AQ2043" s="0" t="s">
        <v>130</v>
      </c>
      <c r="AR2043" s="0" t="s">
        <v>130</v>
      </c>
      <c r="AS2043" s="0" t="s">
        <v>130</v>
      </c>
      <c r="AT2043" s="0" t="s">
        <v>130</v>
      </c>
      <c r="AU2043" s="0" t="s">
        <v>130</v>
      </c>
      <c r="AV2043" s="0" t="s">
        <v>130</v>
      </c>
      <c r="AW2043" s="0" t="s">
        <v>130</v>
      </c>
      <c r="AX2043" s="0" t="s">
        <v>130</v>
      </c>
      <c r="AY2043" s="0" t="s">
        <v>130</v>
      </c>
      <c r="AZ2043" s="0" t="s">
        <v>141</v>
      </c>
      <c r="BA2043" s="0" t="s">
        <v>141</v>
      </c>
      <c r="BB2043" s="0" t="s">
        <v>130</v>
      </c>
      <c r="BC2043" s="0" t="s">
        <v>130</v>
      </c>
      <c r="BD2043" s="0" t="s">
        <v>130</v>
      </c>
      <c r="BE2043" s="0" t="s">
        <v>130</v>
      </c>
      <c r="BF2043" s="0" t="s">
        <v>141</v>
      </c>
      <c r="BG2043" s="0" t="s">
        <v>130</v>
      </c>
      <c r="BH2043" s="0" t="s">
        <v>130</v>
      </c>
      <c r="BI2043" s="0" t="s">
        <v>130</v>
      </c>
      <c r="BJ2043" s="0" t="s">
        <v>130</v>
      </c>
      <c r="BK2043" s="0" t="s">
        <v>130</v>
      </c>
      <c r="BL2043" s="0" t="s">
        <v>130</v>
      </c>
      <c r="BM2043" s="0" t="s">
        <v>130</v>
      </c>
      <c r="BN2043" s="0" t="s">
        <v>130</v>
      </c>
      <c r="BO2043" s="0" t="s">
        <v>130</v>
      </c>
      <c r="BP2043" s="0" t="s">
        <v>130</v>
      </c>
      <c r="BQ2043" s="0" t="s">
        <v>130</v>
      </c>
      <c r="BR2043" s="0" t="s">
        <v>130</v>
      </c>
      <c r="BS2043" s="0" t="s">
        <v>130</v>
      </c>
      <c r="BT2043" s="0" t="s">
        <v>130</v>
      </c>
      <c r="BU2043" s="0" t="s">
        <v>130</v>
      </c>
      <c r="BV2043" s="0" t="s">
        <v>130</v>
      </c>
      <c r="BW2043" s="0" t="s">
        <v>130</v>
      </c>
      <c r="BX2043" s="0" t="s">
        <v>130</v>
      </c>
      <c r="BY2043" s="0" t="s">
        <v>130</v>
      </c>
      <c r="BZ2043" s="0" t="s">
        <v>130</v>
      </c>
      <c r="CA2043" s="0" t="s">
        <v>130</v>
      </c>
      <c r="CB2043" s="0" t="s">
        <v>130</v>
      </c>
      <c r="CC2043" s="0" t="s">
        <v>130</v>
      </c>
      <c r="CD2043" s="0" t="s">
        <v>130</v>
      </c>
      <c r="CE2043" s="0" t="s">
        <v>130</v>
      </c>
      <c r="CF2043" s="0" t="s">
        <v>130</v>
      </c>
      <c r="CG2043" s="0" t="s">
        <v>130</v>
      </c>
      <c r="CH2043" s="0" t="s">
        <v>130</v>
      </c>
      <c r="CI2043" s="0" t="s">
        <v>130</v>
      </c>
      <c r="CJ2043" s="0" t="s">
        <v>130</v>
      </c>
      <c r="CK2043" s="0" t="s">
        <v>130</v>
      </c>
      <c r="CL2043" s="0" t="s">
        <v>130</v>
      </c>
      <c r="CM2043" s="0" t="s">
        <v>130</v>
      </c>
      <c r="CN2043" s="0" t="s">
        <v>130</v>
      </c>
      <c r="CO2043" s="0" t="s">
        <v>130</v>
      </c>
      <c r="CP2043" s="0" t="s">
        <v>130</v>
      </c>
      <c r="CQ2043" s="0" t="s">
        <v>130</v>
      </c>
      <c r="CR2043" s="0" t="s">
        <v>130</v>
      </c>
      <c r="CS2043" s="0" t="s">
        <v>130</v>
      </c>
      <c r="CT2043" s="0" t="s">
        <v>5690</v>
      </c>
    </row>
    <row r="2044">
      <c r="A2044" s="14">
        <v>100978</v>
      </c>
      <c r="B2044" s="0" t="s">
        <v>1111</v>
      </c>
      <c r="C2044" s="16">
        <f>HYPERLINK("https://eosportal.federatedhermes.com/companies/Q29tcGFueQppNDM5NDY=", "Merck &amp; Co Inc")</f>
      </c>
      <c r="D2044" s="0" t="s">
        <v>25</v>
      </c>
      <c r="E2044" s="0" t="s">
        <v>2604</v>
      </c>
      <c r="F2044" s="16">
        <f>HYPERLINK("https://eosportal.federatedhermes.com/engagements/RW5nYWdlbWVudAppMzIxNzc=", "AMR")</f>
      </c>
      <c r="G2044" s="14" t="s">
        <v>5691</v>
      </c>
      <c r="H2044" s="0" t="s">
        <v>141</v>
      </c>
      <c r="I2044" s="14" t="s">
        <v>131</v>
      </c>
      <c r="J2044" s="0" t="s">
        <v>197</v>
      </c>
      <c r="K2044" s="0" t="s">
        <v>337</v>
      </c>
      <c r="L2044" s="0" t="s">
        <v>1222</v>
      </c>
      <c r="M2044" s="0" t="s">
        <v>135</v>
      </c>
      <c r="N2044" s="0" t="s">
        <v>136</v>
      </c>
      <c r="O2044" s="0" t="s">
        <v>274</v>
      </c>
      <c r="Q2044" s="0" t="s">
        <v>130</v>
      </c>
      <c r="R2044" s="0" t="s">
        <v>138</v>
      </c>
      <c r="S2044" s="14">
        <v>0</v>
      </c>
      <c r="T2044" s="0" t="s">
        <v>2629</v>
      </c>
      <c r="U2044" s="0" t="s">
        <v>138</v>
      </c>
      <c r="V2044" s="14" t="s">
        <v>138</v>
      </c>
      <c r="W2044" s="0" t="s">
        <v>138</v>
      </c>
      <c r="X2044" s="14" t="s">
        <v>138</v>
      </c>
      <c r="Y2044" s="0" t="s">
        <v>138</v>
      </c>
      <c r="Z2044" s="14" t="s">
        <v>138</v>
      </c>
      <c r="AA2044" s="0" t="s">
        <v>138</v>
      </c>
      <c r="AB2044" s="14" t="s">
        <v>138</v>
      </c>
      <c r="AD2044" s="0" t="s">
        <v>138</v>
      </c>
      <c r="AF2044" s="0">
        <v>0</v>
      </c>
      <c r="AG2044" s="0">
        <v>0</v>
      </c>
      <c r="AH2044" s="0" t="s">
        <v>140</v>
      </c>
      <c r="AI2044" s="0" t="s">
        <v>138</v>
      </c>
      <c r="AL2044" s="14"/>
      <c r="AN2044" s="14"/>
      <c r="AQ2044" s="0" t="s">
        <v>130</v>
      </c>
      <c r="AR2044" s="0" t="s">
        <v>130</v>
      </c>
      <c r="AS2044" s="0" t="s">
        <v>141</v>
      </c>
      <c r="AT2044" s="0" t="s">
        <v>130</v>
      </c>
      <c r="AU2044" s="0" t="s">
        <v>130</v>
      </c>
      <c r="AV2044" s="0" t="s">
        <v>130</v>
      </c>
      <c r="AW2044" s="0" t="s">
        <v>130</v>
      </c>
      <c r="AX2044" s="0" t="s">
        <v>130</v>
      </c>
      <c r="AY2044" s="0" t="s">
        <v>130</v>
      </c>
      <c r="AZ2044" s="0" t="s">
        <v>130</v>
      </c>
      <c r="BA2044" s="0" t="s">
        <v>130</v>
      </c>
      <c r="BB2044" s="0" t="s">
        <v>141</v>
      </c>
      <c r="BC2044" s="0" t="s">
        <v>130</v>
      </c>
      <c r="BD2044" s="0" t="s">
        <v>130</v>
      </c>
      <c r="BE2044" s="0" t="s">
        <v>130</v>
      </c>
      <c r="BF2044" s="0" t="s">
        <v>130</v>
      </c>
      <c r="BG2044" s="0" t="s">
        <v>130</v>
      </c>
      <c r="BH2044" s="0" t="s">
        <v>130</v>
      </c>
      <c r="BI2044" s="0" t="s">
        <v>130</v>
      </c>
      <c r="BJ2044" s="0" t="s">
        <v>130</v>
      </c>
      <c r="BK2044" s="0" t="s">
        <v>130</v>
      </c>
      <c r="BL2044" s="0" t="s">
        <v>130</v>
      </c>
      <c r="BM2044" s="0" t="s">
        <v>130</v>
      </c>
      <c r="BN2044" s="0" t="s">
        <v>130</v>
      </c>
      <c r="BO2044" s="0" t="s">
        <v>130</v>
      </c>
      <c r="BP2044" s="0" t="s">
        <v>130</v>
      </c>
      <c r="BQ2044" s="0" t="s">
        <v>130</v>
      </c>
      <c r="BR2044" s="0" t="s">
        <v>130</v>
      </c>
      <c r="BS2044" s="0" t="s">
        <v>130</v>
      </c>
      <c r="BT2044" s="0" t="s">
        <v>130</v>
      </c>
      <c r="BU2044" s="0" t="s">
        <v>130</v>
      </c>
      <c r="BV2044" s="0" t="s">
        <v>130</v>
      </c>
      <c r="BW2044" s="0" t="s">
        <v>130</v>
      </c>
      <c r="BX2044" s="0" t="s">
        <v>130</v>
      </c>
      <c r="BY2044" s="0" t="s">
        <v>130</v>
      </c>
      <c r="BZ2044" s="0" t="s">
        <v>130</v>
      </c>
      <c r="CA2044" s="0" t="s">
        <v>130</v>
      </c>
      <c r="CB2044" s="0" t="s">
        <v>130</v>
      </c>
      <c r="CC2044" s="0" t="s">
        <v>130</v>
      </c>
      <c r="CD2044" s="0" t="s">
        <v>130</v>
      </c>
      <c r="CE2044" s="0" t="s">
        <v>130</v>
      </c>
      <c r="CF2044" s="0" t="s">
        <v>130</v>
      </c>
      <c r="CG2044" s="0" t="s">
        <v>130</v>
      </c>
      <c r="CH2044" s="0" t="s">
        <v>130</v>
      </c>
      <c r="CI2044" s="0" t="s">
        <v>130</v>
      </c>
      <c r="CJ2044" s="0" t="s">
        <v>130</v>
      </c>
      <c r="CK2044" s="0" t="s">
        <v>130</v>
      </c>
      <c r="CL2044" s="0" t="s">
        <v>130</v>
      </c>
      <c r="CM2044" s="0" t="s">
        <v>130</v>
      </c>
      <c r="CN2044" s="0" t="s">
        <v>130</v>
      </c>
      <c r="CO2044" s="0" t="s">
        <v>130</v>
      </c>
      <c r="CP2044" s="0" t="s">
        <v>130</v>
      </c>
      <c r="CQ2044" s="0" t="s">
        <v>130</v>
      </c>
      <c r="CR2044" s="0" t="s">
        <v>130</v>
      </c>
      <c r="CS2044" s="0" t="s">
        <v>130</v>
      </c>
      <c r="CT2044" s="0" t="s">
        <v>5692</v>
      </c>
    </row>
    <row r="2045">
      <c r="A2045" s="14">
        <v>328683</v>
      </c>
      <c r="B2045" s="0" t="s">
        <v>3664</v>
      </c>
      <c r="C2045" s="16">
        <f>HYPERLINK("https://eosportal.federatedhermes.com/companies/Q29tcGFueQppNTg5MjI=", "Mercedes-Benz Group AG")</f>
      </c>
      <c r="D2045" s="0" t="s">
        <v>25</v>
      </c>
      <c r="E2045" s="0" t="s">
        <v>912</v>
      </c>
      <c r="F2045" s="16">
        <f>HYPERLINK("https://eosportal.federatedhermes.com/engagements/RW5nYWdlbWVudAppMzIxODE=", "Executive remuneration")</f>
      </c>
      <c r="G2045" s="14" t="s">
        <v>5693</v>
      </c>
      <c r="H2045" s="0" t="s">
        <v>141</v>
      </c>
      <c r="I2045" s="14" t="s">
        <v>1645</v>
      </c>
      <c r="J2045" s="0" t="s">
        <v>145</v>
      </c>
      <c r="K2045" s="0" t="s">
        <v>146</v>
      </c>
      <c r="L2045" s="0" t="s">
        <v>147</v>
      </c>
      <c r="M2045" s="0" t="s">
        <v>378</v>
      </c>
      <c r="N2045" s="0" t="s">
        <v>2485</v>
      </c>
      <c r="O2045" s="0" t="s">
        <v>425</v>
      </c>
      <c r="Q2045" s="0" t="s">
        <v>141</v>
      </c>
      <c r="R2045" s="0" t="s">
        <v>138</v>
      </c>
      <c r="S2045" s="14">
        <v>1</v>
      </c>
      <c r="T2045" s="0" t="s">
        <v>2629</v>
      </c>
      <c r="U2045" s="0" t="s">
        <v>138</v>
      </c>
      <c r="V2045" s="14" t="s">
        <v>138</v>
      </c>
      <c r="W2045" s="0" t="s">
        <v>138</v>
      </c>
      <c r="X2045" s="14" t="s">
        <v>138</v>
      </c>
      <c r="Y2045" s="0" t="s">
        <v>138</v>
      </c>
      <c r="Z2045" s="14" t="s">
        <v>138</v>
      </c>
      <c r="AA2045" s="0" t="s">
        <v>138</v>
      </c>
      <c r="AB2045" s="14" t="s">
        <v>138</v>
      </c>
      <c r="AD2045" s="0" t="s">
        <v>138</v>
      </c>
      <c r="AF2045" s="0">
        <v>0</v>
      </c>
      <c r="AG2045" s="0">
        <v>0</v>
      </c>
      <c r="AH2045" s="0" t="s">
        <v>140</v>
      </c>
      <c r="AI2045" s="0" t="s">
        <v>138</v>
      </c>
      <c r="AK2045" s="0" t="s">
        <v>2523</v>
      </c>
      <c r="AL2045" s="14"/>
      <c r="AN2045" s="14"/>
      <c r="AQ2045" s="0" t="s">
        <v>130</v>
      </c>
      <c r="AR2045" s="0" t="s">
        <v>130</v>
      </c>
      <c r="AS2045" s="0" t="s">
        <v>130</v>
      </c>
      <c r="AT2045" s="0" t="s">
        <v>130</v>
      </c>
      <c r="AU2045" s="0" t="s">
        <v>130</v>
      </c>
      <c r="AV2045" s="0" t="s">
        <v>130</v>
      </c>
      <c r="AW2045" s="0" t="s">
        <v>130</v>
      </c>
      <c r="AX2045" s="0" t="s">
        <v>130</v>
      </c>
      <c r="AY2045" s="0" t="s">
        <v>130</v>
      </c>
      <c r="AZ2045" s="0" t="s">
        <v>130</v>
      </c>
      <c r="BA2045" s="0" t="s">
        <v>130</v>
      </c>
      <c r="BB2045" s="0" t="s">
        <v>130</v>
      </c>
      <c r="BC2045" s="0" t="s">
        <v>130</v>
      </c>
      <c r="BD2045" s="0" t="s">
        <v>130</v>
      </c>
      <c r="BE2045" s="0" t="s">
        <v>130</v>
      </c>
      <c r="BF2045" s="0" t="s">
        <v>130</v>
      </c>
      <c r="BG2045" s="0" t="s">
        <v>130</v>
      </c>
      <c r="BH2045" s="0" t="s">
        <v>130</v>
      </c>
      <c r="BI2045" s="0" t="s">
        <v>130</v>
      </c>
      <c r="BJ2045" s="0" t="s">
        <v>130</v>
      </c>
      <c r="BK2045" s="0" t="s">
        <v>130</v>
      </c>
      <c r="BL2045" s="0" t="s">
        <v>130</v>
      </c>
      <c r="BM2045" s="0" t="s">
        <v>130</v>
      </c>
      <c r="BN2045" s="0" t="s">
        <v>130</v>
      </c>
      <c r="BO2045" s="0" t="s">
        <v>130</v>
      </c>
      <c r="BP2045" s="0" t="s">
        <v>130</v>
      </c>
      <c r="BQ2045" s="0" t="s">
        <v>130</v>
      </c>
      <c r="BR2045" s="0" t="s">
        <v>130</v>
      </c>
      <c r="BS2045" s="0" t="s">
        <v>130</v>
      </c>
      <c r="BT2045" s="0" t="s">
        <v>130</v>
      </c>
      <c r="BU2045" s="0" t="s">
        <v>130</v>
      </c>
      <c r="BV2045" s="0" t="s">
        <v>130</v>
      </c>
      <c r="BW2045" s="0" t="s">
        <v>130</v>
      </c>
      <c r="BX2045" s="0" t="s">
        <v>130</v>
      </c>
      <c r="BY2045" s="0" t="s">
        <v>130</v>
      </c>
      <c r="BZ2045" s="0" t="s">
        <v>130</v>
      </c>
      <c r="CA2045" s="0" t="s">
        <v>130</v>
      </c>
      <c r="CB2045" s="0" t="s">
        <v>130</v>
      </c>
      <c r="CC2045" s="0" t="s">
        <v>130</v>
      </c>
      <c r="CD2045" s="0" t="s">
        <v>130</v>
      </c>
      <c r="CE2045" s="0" t="s">
        <v>130</v>
      </c>
      <c r="CF2045" s="0" t="s">
        <v>130</v>
      </c>
      <c r="CG2045" s="0" t="s">
        <v>130</v>
      </c>
      <c r="CH2045" s="0" t="s">
        <v>130</v>
      </c>
      <c r="CI2045" s="0" t="s">
        <v>130</v>
      </c>
      <c r="CJ2045" s="0" t="s">
        <v>130</v>
      </c>
      <c r="CK2045" s="0" t="s">
        <v>130</v>
      </c>
      <c r="CL2045" s="0" t="s">
        <v>130</v>
      </c>
      <c r="CM2045" s="0" t="s">
        <v>130</v>
      </c>
      <c r="CN2045" s="0" t="s">
        <v>130</v>
      </c>
      <c r="CO2045" s="0" t="s">
        <v>130</v>
      </c>
      <c r="CP2045" s="0" t="s">
        <v>130</v>
      </c>
      <c r="CQ2045" s="0" t="s">
        <v>130</v>
      </c>
      <c r="CR2045" s="0" t="s">
        <v>130</v>
      </c>
      <c r="CS2045" s="0" t="s">
        <v>130</v>
      </c>
      <c r="CT2045" s="0" t="s">
        <v>5694</v>
      </c>
    </row>
    <row r="2046">
      <c r="A2046" s="14">
        <v>7044851</v>
      </c>
      <c r="B2046" s="0" t="s">
        <v>3763</v>
      </c>
      <c r="C2046" s="16">
        <f>HYPERLINK("https://eosportal.federatedhermes.com/companies/Q29tcGFueQppODQ2NDc=", "Compass Group PLC")</f>
      </c>
      <c r="D2046" s="0" t="s">
        <v>25</v>
      </c>
      <c r="E2046" s="0" t="s">
        <v>907</v>
      </c>
      <c r="F2046" s="16">
        <f>HYPERLINK("https://eosportal.federatedhermes.com/engagements/RW5nYWdlbWVudAppMzIxODc=", "Climate change")</f>
      </c>
      <c r="G2046" s="14" t="s">
        <v>5695</v>
      </c>
      <c r="H2046" s="0" t="s">
        <v>141</v>
      </c>
      <c r="I2046" s="14" t="s">
        <v>191</v>
      </c>
      <c r="J2046" s="0" t="s">
        <v>197</v>
      </c>
      <c r="K2046" s="0" t="s">
        <v>198</v>
      </c>
      <c r="L2046" s="0" t="s">
        <v>216</v>
      </c>
      <c r="M2046" s="0" t="s">
        <v>272</v>
      </c>
      <c r="N2046" s="0" t="s">
        <v>273</v>
      </c>
      <c r="O2046" s="0" t="s">
        <v>643</v>
      </c>
      <c r="Q2046" s="0" t="s">
        <v>130</v>
      </c>
      <c r="R2046" s="0" t="s">
        <v>138</v>
      </c>
      <c r="S2046" s="14">
        <v>0</v>
      </c>
      <c r="T2046" s="0" t="s">
        <v>2629</v>
      </c>
      <c r="U2046" s="0" t="s">
        <v>138</v>
      </c>
      <c r="V2046" s="14" t="s">
        <v>138</v>
      </c>
      <c r="W2046" s="0" t="s">
        <v>138</v>
      </c>
      <c r="X2046" s="14" t="s">
        <v>138</v>
      </c>
      <c r="Y2046" s="0" t="s">
        <v>138</v>
      </c>
      <c r="Z2046" s="14" t="s">
        <v>138</v>
      </c>
      <c r="AA2046" s="0" t="s">
        <v>138</v>
      </c>
      <c r="AB2046" s="14" t="s">
        <v>138</v>
      </c>
      <c r="AD2046" s="0" t="s">
        <v>138</v>
      </c>
      <c r="AF2046" s="0">
        <v>0</v>
      </c>
      <c r="AG2046" s="0">
        <v>0</v>
      </c>
      <c r="AH2046" s="0" t="s">
        <v>140</v>
      </c>
      <c r="AI2046" s="0" t="s">
        <v>138</v>
      </c>
      <c r="AL2046" s="14"/>
      <c r="AN2046" s="14"/>
      <c r="AQ2046" s="0" t="s">
        <v>130</v>
      </c>
      <c r="AR2046" s="0" t="s">
        <v>130</v>
      </c>
      <c r="AS2046" s="0" t="s">
        <v>130</v>
      </c>
      <c r="AT2046" s="0" t="s">
        <v>130</v>
      </c>
      <c r="AU2046" s="0" t="s">
        <v>130</v>
      </c>
      <c r="AV2046" s="0" t="s">
        <v>130</v>
      </c>
      <c r="AW2046" s="0" t="s">
        <v>141</v>
      </c>
      <c r="AX2046" s="0" t="s">
        <v>130</v>
      </c>
      <c r="AY2046" s="0" t="s">
        <v>130</v>
      </c>
      <c r="AZ2046" s="0" t="s">
        <v>130</v>
      </c>
      <c r="BA2046" s="0" t="s">
        <v>130</v>
      </c>
      <c r="BB2046" s="0" t="s">
        <v>130</v>
      </c>
      <c r="BC2046" s="0" t="s">
        <v>141</v>
      </c>
      <c r="BD2046" s="0" t="s">
        <v>130</v>
      </c>
      <c r="BE2046" s="0" t="s">
        <v>130</v>
      </c>
      <c r="BF2046" s="0" t="s">
        <v>130</v>
      </c>
      <c r="BG2046" s="0" t="s">
        <v>130</v>
      </c>
      <c r="BH2046" s="0" t="s">
        <v>141</v>
      </c>
      <c r="BI2046" s="0" t="s">
        <v>141</v>
      </c>
      <c r="BJ2046" s="0" t="s">
        <v>141</v>
      </c>
      <c r="BK2046" s="0" t="s">
        <v>130</v>
      </c>
      <c r="BL2046" s="0" t="s">
        <v>130</v>
      </c>
      <c r="BM2046" s="0" t="s">
        <v>130</v>
      </c>
      <c r="BN2046" s="0" t="s">
        <v>130</v>
      </c>
      <c r="BO2046" s="0" t="s">
        <v>130</v>
      </c>
      <c r="BP2046" s="0" t="s">
        <v>130</v>
      </c>
      <c r="BQ2046" s="0" t="s">
        <v>130</v>
      </c>
      <c r="BR2046" s="0" t="s">
        <v>130</v>
      </c>
      <c r="BS2046" s="0" t="s">
        <v>130</v>
      </c>
      <c r="BT2046" s="0" t="s">
        <v>130</v>
      </c>
      <c r="BU2046" s="0" t="s">
        <v>130</v>
      </c>
      <c r="BV2046" s="0" t="s">
        <v>141</v>
      </c>
      <c r="BW2046" s="0" t="s">
        <v>141</v>
      </c>
      <c r="BX2046" s="0" t="s">
        <v>130</v>
      </c>
      <c r="BY2046" s="0" t="s">
        <v>130</v>
      </c>
      <c r="BZ2046" s="0" t="s">
        <v>130</v>
      </c>
      <c r="CA2046" s="0" t="s">
        <v>130</v>
      </c>
      <c r="CB2046" s="0" t="s">
        <v>130</v>
      </c>
      <c r="CC2046" s="0" t="s">
        <v>130</v>
      </c>
      <c r="CD2046" s="0" t="s">
        <v>130</v>
      </c>
      <c r="CE2046" s="0" t="s">
        <v>130</v>
      </c>
      <c r="CF2046" s="0" t="s">
        <v>130</v>
      </c>
      <c r="CG2046" s="0" t="s">
        <v>130</v>
      </c>
      <c r="CH2046" s="0" t="s">
        <v>130</v>
      </c>
      <c r="CI2046" s="0" t="s">
        <v>130</v>
      </c>
      <c r="CJ2046" s="0" t="s">
        <v>130</v>
      </c>
      <c r="CK2046" s="0" t="s">
        <v>130</v>
      </c>
      <c r="CL2046" s="0" t="s">
        <v>130</v>
      </c>
      <c r="CM2046" s="0" t="s">
        <v>130</v>
      </c>
      <c r="CN2046" s="0" t="s">
        <v>130</v>
      </c>
      <c r="CO2046" s="0" t="s">
        <v>130</v>
      </c>
      <c r="CP2046" s="0" t="s">
        <v>130</v>
      </c>
      <c r="CQ2046" s="0" t="s">
        <v>130</v>
      </c>
      <c r="CR2046" s="0" t="s">
        <v>130</v>
      </c>
      <c r="CS2046" s="0" t="s">
        <v>130</v>
      </c>
      <c r="CT2046" s="0" t="s">
        <v>5696</v>
      </c>
    </row>
    <row r="2047">
      <c r="A2047" s="14">
        <v>115679</v>
      </c>
      <c r="B2047" s="0" t="s">
        <v>2603</v>
      </c>
      <c r="C2047" s="16">
        <f>HYPERLINK("https://eosportal.federatedhermes.com/companies/Q29tcGFueQppNTg5NzU=", "Bayer AG")</f>
      </c>
      <c r="D2047" s="0" t="s">
        <v>23</v>
      </c>
      <c r="E2047" s="0" t="s">
        <v>1394</v>
      </c>
      <c r="F2047" s="16">
        <f>HYPERLINK("https://eosportal.federatedhermes.com/engagements/RW5nYWdlbWVudAppMzIxOTA=", "Biodiversity impact and dependence assessment")</f>
      </c>
      <c r="G2047" s="14" t="s">
        <v>5697</v>
      </c>
      <c r="H2047" s="0" t="s">
        <v>141</v>
      </c>
      <c r="I2047" s="14" t="s">
        <v>1645</v>
      </c>
      <c r="J2047" s="0" t="s">
        <v>197</v>
      </c>
      <c r="K2047" s="0" t="s">
        <v>337</v>
      </c>
      <c r="L2047" s="0" t="s">
        <v>576</v>
      </c>
      <c r="M2047" s="0" t="s">
        <v>378</v>
      </c>
      <c r="N2047" s="0" t="s">
        <v>2485</v>
      </c>
      <c r="O2047" s="0" t="s">
        <v>274</v>
      </c>
      <c r="Q2047" s="0" t="s">
        <v>141</v>
      </c>
      <c r="R2047" s="0" t="s">
        <v>130</v>
      </c>
      <c r="S2047" s="14">
        <v>1</v>
      </c>
      <c r="T2047" s="0" t="s">
        <v>2270</v>
      </c>
      <c r="U2047" s="0" t="s">
        <v>221</v>
      </c>
      <c r="V2047" s="14" t="s">
        <v>2270</v>
      </c>
      <c r="W2047" s="0" t="s">
        <v>221</v>
      </c>
      <c r="X2047" s="14" t="s">
        <v>2629</v>
      </c>
      <c r="Y2047" s="0" t="s">
        <v>223</v>
      </c>
      <c r="Z2047" s="14" t="s">
        <v>138</v>
      </c>
      <c r="AA2047" s="0" t="s">
        <v>224</v>
      </c>
      <c r="AB2047" s="14" t="s">
        <v>138</v>
      </c>
      <c r="AD2047" s="0" t="s">
        <v>17</v>
      </c>
      <c r="AF2047" s="0">
        <v>0</v>
      </c>
      <c r="AG2047" s="0">
        <v>0</v>
      </c>
      <c r="AH2047" s="0" t="s">
        <v>140</v>
      </c>
      <c r="AI2047" s="0" t="s">
        <v>479</v>
      </c>
      <c r="AK2047" s="0" t="s">
        <v>2263</v>
      </c>
      <c r="AL2047" s="14"/>
      <c r="AN2047" s="14"/>
      <c r="AQ2047" s="0" t="s">
        <v>130</v>
      </c>
      <c r="AR2047" s="0" t="s">
        <v>141</v>
      </c>
      <c r="AS2047" s="0" t="s">
        <v>130</v>
      </c>
      <c r="AT2047" s="0" t="s">
        <v>130</v>
      </c>
      <c r="AU2047" s="0" t="s">
        <v>130</v>
      </c>
      <c r="AV2047" s="0" t="s">
        <v>141</v>
      </c>
      <c r="AW2047" s="0" t="s">
        <v>130</v>
      </c>
      <c r="AX2047" s="0" t="s">
        <v>130</v>
      </c>
      <c r="AY2047" s="0" t="s">
        <v>130</v>
      </c>
      <c r="AZ2047" s="0" t="s">
        <v>130</v>
      </c>
      <c r="BA2047" s="0" t="s">
        <v>141</v>
      </c>
      <c r="BB2047" s="0" t="s">
        <v>141</v>
      </c>
      <c r="BC2047" s="0" t="s">
        <v>130</v>
      </c>
      <c r="BD2047" s="0" t="s">
        <v>141</v>
      </c>
      <c r="BE2047" s="0" t="s">
        <v>141</v>
      </c>
      <c r="BF2047" s="0" t="s">
        <v>130</v>
      </c>
      <c r="BG2047" s="0" t="s">
        <v>130</v>
      </c>
      <c r="BH2047" s="0" t="s">
        <v>130</v>
      </c>
      <c r="BI2047" s="0" t="s">
        <v>130</v>
      </c>
      <c r="BJ2047" s="0" t="s">
        <v>130</v>
      </c>
      <c r="BK2047" s="0" t="s">
        <v>130</v>
      </c>
      <c r="BL2047" s="0" t="s">
        <v>130</v>
      </c>
      <c r="BM2047" s="0" t="s">
        <v>130</v>
      </c>
      <c r="BN2047" s="0" t="s">
        <v>130</v>
      </c>
      <c r="BO2047" s="0" t="s">
        <v>130</v>
      </c>
      <c r="BP2047" s="0" t="s">
        <v>130</v>
      </c>
      <c r="BQ2047" s="0" t="s">
        <v>130</v>
      </c>
      <c r="BR2047" s="0" t="s">
        <v>130</v>
      </c>
      <c r="BS2047" s="0" t="s">
        <v>130</v>
      </c>
      <c r="BT2047" s="0" t="s">
        <v>130</v>
      </c>
      <c r="BU2047" s="0" t="s">
        <v>130</v>
      </c>
      <c r="BV2047" s="0" t="s">
        <v>130</v>
      </c>
      <c r="BW2047" s="0" t="s">
        <v>130</v>
      </c>
      <c r="BX2047" s="0" t="s">
        <v>130</v>
      </c>
      <c r="BY2047" s="0" t="s">
        <v>130</v>
      </c>
      <c r="BZ2047" s="0" t="s">
        <v>130</v>
      </c>
      <c r="CA2047" s="0" t="s">
        <v>130</v>
      </c>
      <c r="CB2047" s="0" t="s">
        <v>130</v>
      </c>
      <c r="CC2047" s="0" t="s">
        <v>130</v>
      </c>
      <c r="CD2047" s="0" t="s">
        <v>130</v>
      </c>
      <c r="CE2047" s="0" t="s">
        <v>130</v>
      </c>
      <c r="CF2047" s="0" t="s">
        <v>130</v>
      </c>
      <c r="CG2047" s="0" t="s">
        <v>130</v>
      </c>
      <c r="CH2047" s="0" t="s">
        <v>130</v>
      </c>
      <c r="CI2047" s="0" t="s">
        <v>130</v>
      </c>
      <c r="CJ2047" s="0" t="s">
        <v>130</v>
      </c>
      <c r="CK2047" s="0" t="s">
        <v>130</v>
      </c>
      <c r="CL2047" s="0" t="s">
        <v>130</v>
      </c>
      <c r="CM2047" s="0" t="s">
        <v>130</v>
      </c>
      <c r="CN2047" s="0" t="s">
        <v>130</v>
      </c>
      <c r="CO2047" s="0" t="s">
        <v>130</v>
      </c>
      <c r="CP2047" s="0" t="s">
        <v>130</v>
      </c>
      <c r="CQ2047" s="0" t="s">
        <v>130</v>
      </c>
      <c r="CR2047" s="0" t="s">
        <v>130</v>
      </c>
      <c r="CS2047" s="0" t="s">
        <v>130</v>
      </c>
      <c r="CT2047" s="0" t="s">
        <v>5698</v>
      </c>
    </row>
    <row r="2048">
      <c r="A2048" s="14">
        <v>111124</v>
      </c>
      <c r="B2048" s="0" t="s">
        <v>316</v>
      </c>
      <c r="C2048" s="16">
        <f>HYPERLINK("https://eosportal.federatedhermes.com/companies/Q29tcGFueQppNzY3MDM=", "Ashtead Group PLC")</f>
      </c>
      <c r="D2048" s="0" t="s">
        <v>23</v>
      </c>
      <c r="E2048" s="0" t="s">
        <v>5699</v>
      </c>
      <c r="F2048" s="16">
        <f>HYPERLINK("https://eosportal.federatedhermes.com/engagements/RW5nYWdlbWVudAppMzIxOTI=", "ESG risk assessment of suppliers")</f>
      </c>
      <c r="G2048" s="14" t="s">
        <v>5700</v>
      </c>
      <c r="H2048" s="0" t="s">
        <v>130</v>
      </c>
      <c r="I2048" s="14" t="s">
        <v>319</v>
      </c>
      <c r="J2048" s="0" t="s">
        <v>132</v>
      </c>
      <c r="K2048" s="0" t="s">
        <v>260</v>
      </c>
      <c r="L2048" s="0" t="s">
        <v>261</v>
      </c>
      <c r="M2048" s="0" t="s">
        <v>272</v>
      </c>
      <c r="N2048" s="0" t="s">
        <v>273</v>
      </c>
      <c r="O2048" s="0" t="s">
        <v>176</v>
      </c>
      <c r="Q2048" s="0" t="s">
        <v>130</v>
      </c>
      <c r="R2048" s="0" t="s">
        <v>130</v>
      </c>
      <c r="S2048" s="14">
        <v>0</v>
      </c>
      <c r="T2048" s="0" t="s">
        <v>2629</v>
      </c>
      <c r="U2048" s="0" t="s">
        <v>221</v>
      </c>
      <c r="V2048" s="14" t="s">
        <v>2629</v>
      </c>
      <c r="W2048" s="0" t="s">
        <v>221</v>
      </c>
      <c r="X2048" s="14" t="s">
        <v>2629</v>
      </c>
      <c r="Y2048" s="0" t="s">
        <v>223</v>
      </c>
      <c r="Z2048" s="14" t="s">
        <v>138</v>
      </c>
      <c r="AA2048" s="0" t="s">
        <v>224</v>
      </c>
      <c r="AB2048" s="14" t="s">
        <v>138</v>
      </c>
      <c r="AD2048" s="0" t="s">
        <v>17</v>
      </c>
      <c r="AF2048" s="0">
        <v>0</v>
      </c>
      <c r="AG2048" s="0">
        <v>0</v>
      </c>
      <c r="AH2048" s="0" t="s">
        <v>140</v>
      </c>
      <c r="AI2048" s="0" t="s">
        <v>479</v>
      </c>
      <c r="AL2048" s="14"/>
      <c r="AN2048" s="14"/>
      <c r="AQ2048" s="0" t="s">
        <v>130</v>
      </c>
      <c r="AR2048" s="0" t="s">
        <v>130</v>
      </c>
      <c r="AS2048" s="0" t="s">
        <v>130</v>
      </c>
      <c r="AT2048" s="0" t="s">
        <v>130</v>
      </c>
      <c r="AU2048" s="0" t="s">
        <v>130</v>
      </c>
      <c r="AV2048" s="0" t="s">
        <v>130</v>
      </c>
      <c r="AW2048" s="0" t="s">
        <v>130</v>
      </c>
      <c r="AX2048" s="0" t="s">
        <v>130</v>
      </c>
      <c r="AY2048" s="0" t="s">
        <v>130</v>
      </c>
      <c r="AZ2048" s="0" t="s">
        <v>130</v>
      </c>
      <c r="BA2048" s="0" t="s">
        <v>130</v>
      </c>
      <c r="BB2048" s="0" t="s">
        <v>130</v>
      </c>
      <c r="BC2048" s="0" t="s">
        <v>130</v>
      </c>
      <c r="BD2048" s="0" t="s">
        <v>130</v>
      </c>
      <c r="BE2048" s="0" t="s">
        <v>130</v>
      </c>
      <c r="BF2048" s="0" t="s">
        <v>130</v>
      </c>
      <c r="BG2048" s="0" t="s">
        <v>130</v>
      </c>
      <c r="BH2048" s="0" t="s">
        <v>130</v>
      </c>
      <c r="BI2048" s="0" t="s">
        <v>130</v>
      </c>
      <c r="BJ2048" s="0" t="s">
        <v>130</v>
      </c>
      <c r="BK2048" s="0" t="s">
        <v>130</v>
      </c>
      <c r="BL2048" s="0" t="s">
        <v>130</v>
      </c>
      <c r="BM2048" s="0" t="s">
        <v>130</v>
      </c>
      <c r="BN2048" s="0" t="s">
        <v>130</v>
      </c>
      <c r="BO2048" s="0" t="s">
        <v>130</v>
      </c>
      <c r="BP2048" s="0" t="s">
        <v>130</v>
      </c>
      <c r="BQ2048" s="0" t="s">
        <v>130</v>
      </c>
      <c r="BR2048" s="0" t="s">
        <v>130</v>
      </c>
      <c r="BS2048" s="0" t="s">
        <v>130</v>
      </c>
      <c r="BT2048" s="0" t="s">
        <v>130</v>
      </c>
      <c r="BU2048" s="0" t="s">
        <v>130</v>
      </c>
      <c r="BV2048" s="0" t="s">
        <v>130</v>
      </c>
      <c r="BW2048" s="0" t="s">
        <v>130</v>
      </c>
      <c r="BX2048" s="0" t="s">
        <v>130</v>
      </c>
      <c r="BY2048" s="0" t="s">
        <v>130</v>
      </c>
      <c r="BZ2048" s="0" t="s">
        <v>130</v>
      </c>
      <c r="CA2048" s="0" t="s">
        <v>130</v>
      </c>
      <c r="CB2048" s="0" t="s">
        <v>130</v>
      </c>
      <c r="CC2048" s="0" t="s">
        <v>130</v>
      </c>
      <c r="CD2048" s="0" t="s">
        <v>130</v>
      </c>
      <c r="CE2048" s="0" t="s">
        <v>130</v>
      </c>
      <c r="CF2048" s="0" t="s">
        <v>130</v>
      </c>
      <c r="CG2048" s="0" t="s">
        <v>130</v>
      </c>
      <c r="CH2048" s="0" t="s">
        <v>130</v>
      </c>
      <c r="CI2048" s="0" t="s">
        <v>130</v>
      </c>
      <c r="CJ2048" s="0" t="s">
        <v>130</v>
      </c>
      <c r="CK2048" s="0" t="s">
        <v>130</v>
      </c>
      <c r="CL2048" s="0" t="s">
        <v>130</v>
      </c>
      <c r="CM2048" s="0" t="s">
        <v>130</v>
      </c>
      <c r="CN2048" s="0" t="s">
        <v>130</v>
      </c>
      <c r="CO2048" s="0" t="s">
        <v>130</v>
      </c>
      <c r="CP2048" s="0" t="s">
        <v>130</v>
      </c>
      <c r="CQ2048" s="0" t="s">
        <v>130</v>
      </c>
      <c r="CR2048" s="0" t="s">
        <v>130</v>
      </c>
      <c r="CS2048" s="0" t="s">
        <v>130</v>
      </c>
      <c r="CT2048" s="0" t="s">
        <v>5701</v>
      </c>
    </row>
    <row r="2049">
      <c r="A2049" s="14">
        <v>101499</v>
      </c>
      <c r="B2049" s="0" t="s">
        <v>1676</v>
      </c>
      <c r="C2049" s="16">
        <f>HYPERLINK("https://eosportal.federatedhermes.com/companies/Q29tcGFueQppNTg5Nzk=", "TC Energy Corp")</f>
      </c>
      <c r="D2049" s="0" t="s">
        <v>23</v>
      </c>
      <c r="E2049" s="0" t="s">
        <v>228</v>
      </c>
      <c r="F2049" s="16">
        <f>HYPERLINK("https://eosportal.federatedhermes.com/engagements/RW5nYWdlbWVudAppMzIxOTU=", "Climate strategy")</f>
      </c>
      <c r="G2049" s="14" t="s">
        <v>5621</v>
      </c>
      <c r="H2049" s="0" t="s">
        <v>130</v>
      </c>
      <c r="I2049" s="14" t="s">
        <v>131</v>
      </c>
      <c r="J2049" s="0" t="s">
        <v>197</v>
      </c>
      <c r="K2049" s="0" t="s">
        <v>198</v>
      </c>
      <c r="L2049" s="0" t="s">
        <v>220</v>
      </c>
      <c r="M2049" s="0" t="s">
        <v>135</v>
      </c>
      <c r="N2049" s="0" t="s">
        <v>1678</v>
      </c>
      <c r="O2049" s="0" t="s">
        <v>542</v>
      </c>
      <c r="Q2049" s="0" t="s">
        <v>141</v>
      </c>
      <c r="R2049" s="0" t="s">
        <v>130</v>
      </c>
      <c r="S2049" s="14">
        <v>1</v>
      </c>
      <c r="T2049" s="0" t="s">
        <v>2629</v>
      </c>
      <c r="U2049" s="0" t="s">
        <v>221</v>
      </c>
      <c r="V2049" s="14" t="s">
        <v>2629</v>
      </c>
      <c r="W2049" s="0" t="s">
        <v>221</v>
      </c>
      <c r="X2049" s="14" t="s">
        <v>2629</v>
      </c>
      <c r="Y2049" s="0" t="s">
        <v>221</v>
      </c>
      <c r="Z2049" s="14" t="s">
        <v>2629</v>
      </c>
      <c r="AA2049" s="0" t="s">
        <v>223</v>
      </c>
      <c r="AB2049" s="14" t="s">
        <v>138</v>
      </c>
      <c r="AD2049" s="0" t="s">
        <v>20</v>
      </c>
      <c r="AF2049" s="0">
        <v>0</v>
      </c>
      <c r="AG2049" s="0">
        <v>0</v>
      </c>
      <c r="AH2049" s="0" t="s">
        <v>140</v>
      </c>
      <c r="AI2049" s="0" t="s">
        <v>598</v>
      </c>
      <c r="AK2049" s="0" t="s">
        <v>1196</v>
      </c>
      <c r="AL2049" s="14"/>
      <c r="AN2049" s="14"/>
      <c r="AQ2049" s="0" t="s">
        <v>130</v>
      </c>
      <c r="AR2049" s="0" t="s">
        <v>130</v>
      </c>
      <c r="AS2049" s="0" t="s">
        <v>130</v>
      </c>
      <c r="AT2049" s="0" t="s">
        <v>130</v>
      </c>
      <c r="AU2049" s="0" t="s">
        <v>130</v>
      </c>
      <c r="AV2049" s="0" t="s">
        <v>130</v>
      </c>
      <c r="AW2049" s="0" t="s">
        <v>141</v>
      </c>
      <c r="AX2049" s="0" t="s">
        <v>130</v>
      </c>
      <c r="AY2049" s="0" t="s">
        <v>141</v>
      </c>
      <c r="AZ2049" s="0" t="s">
        <v>130</v>
      </c>
      <c r="BA2049" s="0" t="s">
        <v>130</v>
      </c>
      <c r="BB2049" s="0" t="s">
        <v>130</v>
      </c>
      <c r="BC2049" s="0" t="s">
        <v>141</v>
      </c>
      <c r="BD2049" s="0" t="s">
        <v>130</v>
      </c>
      <c r="BE2049" s="0" t="s">
        <v>130</v>
      </c>
      <c r="BF2049" s="0" t="s">
        <v>130</v>
      </c>
      <c r="BG2049" s="0" t="s">
        <v>130</v>
      </c>
      <c r="BH2049" s="0" t="s">
        <v>141</v>
      </c>
      <c r="BI2049" s="0" t="s">
        <v>141</v>
      </c>
      <c r="BJ2049" s="0" t="s">
        <v>141</v>
      </c>
      <c r="BK2049" s="0" t="s">
        <v>130</v>
      </c>
      <c r="BL2049" s="0" t="s">
        <v>130</v>
      </c>
      <c r="BM2049" s="0" t="s">
        <v>130</v>
      </c>
      <c r="BN2049" s="0" t="s">
        <v>130</v>
      </c>
      <c r="BO2049" s="0" t="s">
        <v>130</v>
      </c>
      <c r="BP2049" s="0" t="s">
        <v>130</v>
      </c>
      <c r="BQ2049" s="0" t="s">
        <v>130</v>
      </c>
      <c r="BR2049" s="0" t="s">
        <v>130</v>
      </c>
      <c r="BS2049" s="0" t="s">
        <v>130</v>
      </c>
      <c r="BT2049" s="0" t="s">
        <v>130</v>
      </c>
      <c r="BU2049" s="0" t="s">
        <v>130</v>
      </c>
      <c r="BV2049" s="0" t="s">
        <v>141</v>
      </c>
      <c r="BW2049" s="0" t="s">
        <v>141</v>
      </c>
      <c r="BX2049" s="0" t="s">
        <v>130</v>
      </c>
      <c r="BY2049" s="0" t="s">
        <v>130</v>
      </c>
      <c r="BZ2049" s="0" t="s">
        <v>130</v>
      </c>
      <c r="CA2049" s="0" t="s">
        <v>130</v>
      </c>
      <c r="CB2049" s="0" t="s">
        <v>130</v>
      </c>
      <c r="CC2049" s="0" t="s">
        <v>130</v>
      </c>
      <c r="CD2049" s="0" t="s">
        <v>130</v>
      </c>
      <c r="CE2049" s="0" t="s">
        <v>130</v>
      </c>
      <c r="CF2049" s="0" t="s">
        <v>130</v>
      </c>
      <c r="CG2049" s="0" t="s">
        <v>130</v>
      </c>
      <c r="CH2049" s="0" t="s">
        <v>130</v>
      </c>
      <c r="CI2049" s="0" t="s">
        <v>130</v>
      </c>
      <c r="CJ2049" s="0" t="s">
        <v>130</v>
      </c>
      <c r="CK2049" s="0" t="s">
        <v>130</v>
      </c>
      <c r="CL2049" s="0" t="s">
        <v>130</v>
      </c>
      <c r="CM2049" s="0" t="s">
        <v>130</v>
      </c>
      <c r="CN2049" s="0" t="s">
        <v>130</v>
      </c>
      <c r="CO2049" s="0" t="s">
        <v>130</v>
      </c>
      <c r="CP2049" s="0" t="s">
        <v>130</v>
      </c>
      <c r="CQ2049" s="0" t="s">
        <v>130</v>
      </c>
      <c r="CR2049" s="0" t="s">
        <v>130</v>
      </c>
      <c r="CS2049" s="0" t="s">
        <v>130</v>
      </c>
      <c r="CT2049" s="0" t="s">
        <v>5702</v>
      </c>
    </row>
    <row r="2050">
      <c r="A2050" s="14">
        <v>216204</v>
      </c>
      <c r="B2050" s="0" t="s">
        <v>3364</v>
      </c>
      <c r="C2050" s="16">
        <f>HYPERLINK("https://eosportal.federatedhermes.com/companies/Q29tcGFueQppNjQzODI=", "Centrica PLC")</f>
      </c>
      <c r="D2050" s="0" t="s">
        <v>25</v>
      </c>
      <c r="E2050" s="0" t="s">
        <v>5703</v>
      </c>
      <c r="F2050" s="16">
        <f>HYPERLINK("https://eosportal.federatedhermes.com/engagements/RW5nYWdlbWVudAppMzIyMDA=", "Customer practices and contractor use")</f>
      </c>
      <c r="G2050" s="14" t="s">
        <v>5704</v>
      </c>
      <c r="H2050" s="0" t="s">
        <v>141</v>
      </c>
      <c r="I2050" s="14" t="s">
        <v>191</v>
      </c>
      <c r="J2050" s="0" t="s">
        <v>153</v>
      </c>
      <c r="K2050" s="0" t="s">
        <v>185</v>
      </c>
      <c r="L2050" s="0" t="s">
        <v>186</v>
      </c>
      <c r="M2050" s="0" t="s">
        <v>272</v>
      </c>
      <c r="N2050" s="0" t="s">
        <v>273</v>
      </c>
      <c r="O2050" s="0" t="s">
        <v>192</v>
      </c>
      <c r="Q2050" s="0" t="s">
        <v>130</v>
      </c>
      <c r="R2050" s="0" t="s">
        <v>138</v>
      </c>
      <c r="S2050" s="14">
        <v>0</v>
      </c>
      <c r="T2050" s="0" t="s">
        <v>2629</v>
      </c>
      <c r="U2050" s="0" t="s">
        <v>138</v>
      </c>
      <c r="V2050" s="14" t="s">
        <v>138</v>
      </c>
      <c r="W2050" s="0" t="s">
        <v>138</v>
      </c>
      <c r="X2050" s="14" t="s">
        <v>138</v>
      </c>
      <c r="Y2050" s="0" t="s">
        <v>138</v>
      </c>
      <c r="Z2050" s="14" t="s">
        <v>138</v>
      </c>
      <c r="AA2050" s="0" t="s">
        <v>138</v>
      </c>
      <c r="AB2050" s="14" t="s">
        <v>138</v>
      </c>
      <c r="AD2050" s="0" t="s">
        <v>138</v>
      </c>
      <c r="AF2050" s="0">
        <v>0</v>
      </c>
      <c r="AG2050" s="0">
        <v>0</v>
      </c>
      <c r="AH2050" s="0" t="s">
        <v>140</v>
      </c>
      <c r="AI2050" s="0" t="s">
        <v>138</v>
      </c>
      <c r="AL2050" s="14"/>
      <c r="AN2050" s="14"/>
      <c r="AQ2050" s="0" t="s">
        <v>130</v>
      </c>
      <c r="AR2050" s="0" t="s">
        <v>130</v>
      </c>
      <c r="AS2050" s="0" t="s">
        <v>130</v>
      </c>
      <c r="AT2050" s="0" t="s">
        <v>130</v>
      </c>
      <c r="AU2050" s="0" t="s">
        <v>130</v>
      </c>
      <c r="AV2050" s="0" t="s">
        <v>130</v>
      </c>
      <c r="AW2050" s="0" t="s">
        <v>130</v>
      </c>
      <c r="AX2050" s="0" t="s">
        <v>130</v>
      </c>
      <c r="AY2050" s="0" t="s">
        <v>130</v>
      </c>
      <c r="AZ2050" s="0" t="s">
        <v>130</v>
      </c>
      <c r="BA2050" s="0" t="s">
        <v>130</v>
      </c>
      <c r="BB2050" s="0" t="s">
        <v>130</v>
      </c>
      <c r="BC2050" s="0" t="s">
        <v>130</v>
      </c>
      <c r="BD2050" s="0" t="s">
        <v>130</v>
      </c>
      <c r="BE2050" s="0" t="s">
        <v>130</v>
      </c>
      <c r="BF2050" s="0" t="s">
        <v>130</v>
      </c>
      <c r="BG2050" s="0" t="s">
        <v>130</v>
      </c>
      <c r="BH2050" s="0" t="s">
        <v>130</v>
      </c>
      <c r="BI2050" s="0" t="s">
        <v>130</v>
      </c>
      <c r="BJ2050" s="0" t="s">
        <v>130</v>
      </c>
      <c r="BK2050" s="0" t="s">
        <v>130</v>
      </c>
      <c r="BL2050" s="0" t="s">
        <v>130</v>
      </c>
      <c r="BM2050" s="0" t="s">
        <v>130</v>
      </c>
      <c r="BN2050" s="0" t="s">
        <v>130</v>
      </c>
      <c r="BO2050" s="0" t="s">
        <v>130</v>
      </c>
      <c r="BP2050" s="0" t="s">
        <v>130</v>
      </c>
      <c r="BQ2050" s="0" t="s">
        <v>130</v>
      </c>
      <c r="BR2050" s="0" t="s">
        <v>130</v>
      </c>
      <c r="BS2050" s="0" t="s">
        <v>130</v>
      </c>
      <c r="BT2050" s="0" t="s">
        <v>130</v>
      </c>
      <c r="BU2050" s="0" t="s">
        <v>130</v>
      </c>
      <c r="BV2050" s="0" t="s">
        <v>130</v>
      </c>
      <c r="BW2050" s="0" t="s">
        <v>130</v>
      </c>
      <c r="BX2050" s="0" t="s">
        <v>130</v>
      </c>
      <c r="BY2050" s="0" t="s">
        <v>130</v>
      </c>
      <c r="BZ2050" s="0" t="s">
        <v>130</v>
      </c>
      <c r="CA2050" s="0" t="s">
        <v>130</v>
      </c>
      <c r="CB2050" s="0" t="s">
        <v>130</v>
      </c>
      <c r="CC2050" s="0" t="s">
        <v>130</v>
      </c>
      <c r="CD2050" s="0" t="s">
        <v>130</v>
      </c>
      <c r="CE2050" s="0" t="s">
        <v>130</v>
      </c>
      <c r="CF2050" s="0" t="s">
        <v>130</v>
      </c>
      <c r="CG2050" s="0" t="s">
        <v>130</v>
      </c>
      <c r="CH2050" s="0" t="s">
        <v>130</v>
      </c>
      <c r="CI2050" s="0" t="s">
        <v>130</v>
      </c>
      <c r="CJ2050" s="0" t="s">
        <v>130</v>
      </c>
      <c r="CK2050" s="0" t="s">
        <v>130</v>
      </c>
      <c r="CL2050" s="0" t="s">
        <v>130</v>
      </c>
      <c r="CM2050" s="0" t="s">
        <v>130</v>
      </c>
      <c r="CN2050" s="0" t="s">
        <v>130</v>
      </c>
      <c r="CO2050" s="0" t="s">
        <v>130</v>
      </c>
      <c r="CP2050" s="0" t="s">
        <v>130</v>
      </c>
      <c r="CQ2050" s="0" t="s">
        <v>130</v>
      </c>
      <c r="CR2050" s="0" t="s">
        <v>130</v>
      </c>
      <c r="CS2050" s="0" t="s">
        <v>130</v>
      </c>
      <c r="CT2050" s="0" t="s">
        <v>5705</v>
      </c>
    </row>
    <row r="2051">
      <c r="A2051" s="14">
        <v>115259</v>
      </c>
      <c r="B2051" s="0" t="s">
        <v>2384</v>
      </c>
      <c r="C2051" s="16">
        <f>HYPERLINK("https://eosportal.federatedhermes.com/companies/Q29tcGFueQppNjc3NTU=", "Danone SA")</f>
      </c>
      <c r="D2051" s="0" t="s">
        <v>25</v>
      </c>
      <c r="E2051" s="0" t="s">
        <v>5706</v>
      </c>
      <c r="F2051" s="16">
        <f>HYPERLINK("https://eosportal.federatedhermes.com/engagements/RW5nYWdlbWVudAppMzIyMDE=", "Responsible Marketing")</f>
      </c>
      <c r="G2051" s="14" t="s">
        <v>5707</v>
      </c>
      <c r="H2051" s="0" t="s">
        <v>141</v>
      </c>
      <c r="I2051" s="14" t="s">
        <v>191</v>
      </c>
      <c r="J2051" s="0" t="s">
        <v>153</v>
      </c>
      <c r="K2051" s="0" t="s">
        <v>185</v>
      </c>
      <c r="L2051" s="0" t="s">
        <v>626</v>
      </c>
      <c r="M2051" s="0" t="s">
        <v>378</v>
      </c>
      <c r="N2051" s="0" t="s">
        <v>1646</v>
      </c>
      <c r="O2051" s="0" t="s">
        <v>332</v>
      </c>
      <c r="Q2051" s="0" t="s">
        <v>130</v>
      </c>
      <c r="R2051" s="0" t="s">
        <v>138</v>
      </c>
      <c r="S2051" s="14">
        <v>0</v>
      </c>
      <c r="T2051" s="0" t="s">
        <v>2629</v>
      </c>
      <c r="U2051" s="0" t="s">
        <v>138</v>
      </c>
      <c r="V2051" s="14" t="s">
        <v>138</v>
      </c>
      <c r="W2051" s="0" t="s">
        <v>138</v>
      </c>
      <c r="X2051" s="14" t="s">
        <v>138</v>
      </c>
      <c r="Y2051" s="0" t="s">
        <v>138</v>
      </c>
      <c r="Z2051" s="14" t="s">
        <v>138</v>
      </c>
      <c r="AA2051" s="0" t="s">
        <v>138</v>
      </c>
      <c r="AB2051" s="14" t="s">
        <v>138</v>
      </c>
      <c r="AD2051" s="0" t="s">
        <v>138</v>
      </c>
      <c r="AF2051" s="0">
        <v>0</v>
      </c>
      <c r="AG2051" s="0">
        <v>0</v>
      </c>
      <c r="AH2051" s="0" t="s">
        <v>140</v>
      </c>
      <c r="AI2051" s="0" t="s">
        <v>138</v>
      </c>
      <c r="AL2051" s="14"/>
      <c r="AN2051" s="14"/>
      <c r="AQ2051" s="0" t="s">
        <v>130</v>
      </c>
      <c r="AR2051" s="0" t="s">
        <v>130</v>
      </c>
      <c r="AS2051" s="0" t="s">
        <v>130</v>
      </c>
      <c r="AT2051" s="0" t="s">
        <v>130</v>
      </c>
      <c r="AU2051" s="0" t="s">
        <v>130</v>
      </c>
      <c r="AV2051" s="0" t="s">
        <v>130</v>
      </c>
      <c r="AW2051" s="0" t="s">
        <v>130</v>
      </c>
      <c r="AX2051" s="0" t="s">
        <v>130</v>
      </c>
      <c r="AY2051" s="0" t="s">
        <v>130</v>
      </c>
      <c r="AZ2051" s="0" t="s">
        <v>130</v>
      </c>
      <c r="BA2051" s="0" t="s">
        <v>130</v>
      </c>
      <c r="BB2051" s="0" t="s">
        <v>130</v>
      </c>
      <c r="BC2051" s="0" t="s">
        <v>130</v>
      </c>
      <c r="BD2051" s="0" t="s">
        <v>130</v>
      </c>
      <c r="BE2051" s="0" t="s">
        <v>130</v>
      </c>
      <c r="BF2051" s="0" t="s">
        <v>130</v>
      </c>
      <c r="BG2051" s="0" t="s">
        <v>130</v>
      </c>
      <c r="BH2051" s="0" t="s">
        <v>130</v>
      </c>
      <c r="BI2051" s="0" t="s">
        <v>130</v>
      </c>
      <c r="BJ2051" s="0" t="s">
        <v>130</v>
      </c>
      <c r="BK2051" s="0" t="s">
        <v>130</v>
      </c>
      <c r="BL2051" s="0" t="s">
        <v>130</v>
      </c>
      <c r="BM2051" s="0" t="s">
        <v>130</v>
      </c>
      <c r="BN2051" s="0" t="s">
        <v>130</v>
      </c>
      <c r="BO2051" s="0" t="s">
        <v>130</v>
      </c>
      <c r="BP2051" s="0" t="s">
        <v>130</v>
      </c>
      <c r="BQ2051" s="0" t="s">
        <v>130</v>
      </c>
      <c r="BR2051" s="0" t="s">
        <v>130</v>
      </c>
      <c r="BS2051" s="0" t="s">
        <v>130</v>
      </c>
      <c r="BT2051" s="0" t="s">
        <v>130</v>
      </c>
      <c r="BU2051" s="0" t="s">
        <v>130</v>
      </c>
      <c r="BV2051" s="0" t="s">
        <v>130</v>
      </c>
      <c r="BW2051" s="0" t="s">
        <v>130</v>
      </c>
      <c r="BX2051" s="0" t="s">
        <v>130</v>
      </c>
      <c r="BY2051" s="0" t="s">
        <v>130</v>
      </c>
      <c r="BZ2051" s="0" t="s">
        <v>130</v>
      </c>
      <c r="CA2051" s="0" t="s">
        <v>130</v>
      </c>
      <c r="CB2051" s="0" t="s">
        <v>130</v>
      </c>
      <c r="CC2051" s="0" t="s">
        <v>130</v>
      </c>
      <c r="CD2051" s="0" t="s">
        <v>130</v>
      </c>
      <c r="CE2051" s="0" t="s">
        <v>130</v>
      </c>
      <c r="CF2051" s="0" t="s">
        <v>130</v>
      </c>
      <c r="CG2051" s="0" t="s">
        <v>130</v>
      </c>
      <c r="CH2051" s="0" t="s">
        <v>130</v>
      </c>
      <c r="CI2051" s="0" t="s">
        <v>130</v>
      </c>
      <c r="CJ2051" s="0" t="s">
        <v>130</v>
      </c>
      <c r="CK2051" s="0" t="s">
        <v>130</v>
      </c>
      <c r="CL2051" s="0" t="s">
        <v>130</v>
      </c>
      <c r="CM2051" s="0" t="s">
        <v>130</v>
      </c>
      <c r="CN2051" s="0" t="s">
        <v>130</v>
      </c>
      <c r="CO2051" s="0" t="s">
        <v>130</v>
      </c>
      <c r="CP2051" s="0" t="s">
        <v>130</v>
      </c>
      <c r="CQ2051" s="0" t="s">
        <v>130</v>
      </c>
      <c r="CR2051" s="0" t="s">
        <v>130</v>
      </c>
      <c r="CS2051" s="0" t="s">
        <v>130</v>
      </c>
      <c r="CT2051" s="0" t="s">
        <v>5708</v>
      </c>
    </row>
    <row r="2052">
      <c r="A2052" s="14">
        <v>1475463</v>
      </c>
      <c r="B2052" s="0" t="s">
        <v>3694</v>
      </c>
      <c r="C2052" s="16">
        <f>HYPERLINK("https://eosportal.federatedhermes.com/companies/Q29tcGFueQppODU4OTA=", "Experian PLC")</f>
      </c>
      <c r="D2052" s="0" t="s">
        <v>25</v>
      </c>
      <c r="E2052" s="0" t="s">
        <v>403</v>
      </c>
      <c r="F2052" s="16">
        <f>HYPERLINK("https://eosportal.federatedhermes.com/engagements/RW5nYWdlbWVudAppMzIyMDI=", "Financial inclusion")</f>
      </c>
      <c r="G2052" s="14" t="s">
        <v>5709</v>
      </c>
      <c r="H2052" s="0" t="s">
        <v>130</v>
      </c>
      <c r="I2052" s="14" t="s">
        <v>319</v>
      </c>
      <c r="J2052" s="0" t="s">
        <v>153</v>
      </c>
      <c r="K2052" s="0" t="s">
        <v>243</v>
      </c>
      <c r="L2052" s="0" t="s">
        <v>292</v>
      </c>
      <c r="M2052" s="0" t="s">
        <v>378</v>
      </c>
      <c r="N2052" s="0" t="s">
        <v>409</v>
      </c>
      <c r="O2052" s="0" t="s">
        <v>176</v>
      </c>
      <c r="Q2052" s="0" t="s">
        <v>130</v>
      </c>
      <c r="R2052" s="0" t="s">
        <v>138</v>
      </c>
      <c r="S2052" s="14">
        <v>0</v>
      </c>
      <c r="T2052" s="0" t="s">
        <v>2629</v>
      </c>
      <c r="U2052" s="0" t="s">
        <v>138</v>
      </c>
      <c r="V2052" s="14" t="s">
        <v>138</v>
      </c>
      <c r="W2052" s="0" t="s">
        <v>138</v>
      </c>
      <c r="X2052" s="14" t="s">
        <v>138</v>
      </c>
      <c r="Y2052" s="0" t="s">
        <v>138</v>
      </c>
      <c r="Z2052" s="14" t="s">
        <v>138</v>
      </c>
      <c r="AA2052" s="0" t="s">
        <v>138</v>
      </c>
      <c r="AB2052" s="14" t="s">
        <v>138</v>
      </c>
      <c r="AD2052" s="0" t="s">
        <v>138</v>
      </c>
      <c r="AF2052" s="0">
        <v>0</v>
      </c>
      <c r="AG2052" s="0">
        <v>0</v>
      </c>
      <c r="AH2052" s="0" t="s">
        <v>140</v>
      </c>
      <c r="AI2052" s="0" t="s">
        <v>138</v>
      </c>
      <c r="AL2052" s="14"/>
      <c r="AN2052" s="14"/>
      <c r="AQ2052" s="0" t="s">
        <v>141</v>
      </c>
      <c r="AR2052" s="0" t="s">
        <v>130</v>
      </c>
      <c r="AS2052" s="0" t="s">
        <v>130</v>
      </c>
      <c r="AT2052" s="0" t="s">
        <v>130</v>
      </c>
      <c r="AU2052" s="0" t="s">
        <v>141</v>
      </c>
      <c r="AV2052" s="0" t="s">
        <v>130</v>
      </c>
      <c r="AW2052" s="0" t="s">
        <v>130</v>
      </c>
      <c r="AX2052" s="0" t="s">
        <v>141</v>
      </c>
      <c r="AY2052" s="0" t="s">
        <v>130</v>
      </c>
      <c r="AZ2052" s="0" t="s">
        <v>130</v>
      </c>
      <c r="BA2052" s="0" t="s">
        <v>130</v>
      </c>
      <c r="BB2052" s="0" t="s">
        <v>130</v>
      </c>
      <c r="BC2052" s="0" t="s">
        <v>130</v>
      </c>
      <c r="BD2052" s="0" t="s">
        <v>130</v>
      </c>
      <c r="BE2052" s="0" t="s">
        <v>130</v>
      </c>
      <c r="BF2052" s="0" t="s">
        <v>130</v>
      </c>
      <c r="BG2052" s="0" t="s">
        <v>130</v>
      </c>
      <c r="BH2052" s="0" t="s">
        <v>130</v>
      </c>
      <c r="BI2052" s="0" t="s">
        <v>130</v>
      </c>
      <c r="BJ2052" s="0" t="s">
        <v>130</v>
      </c>
      <c r="BK2052" s="0" t="s">
        <v>130</v>
      </c>
      <c r="BL2052" s="0" t="s">
        <v>130</v>
      </c>
      <c r="BM2052" s="0" t="s">
        <v>130</v>
      </c>
      <c r="BN2052" s="0" t="s">
        <v>130</v>
      </c>
      <c r="BO2052" s="0" t="s">
        <v>130</v>
      </c>
      <c r="BP2052" s="0" t="s">
        <v>130</v>
      </c>
      <c r="BQ2052" s="0" t="s">
        <v>130</v>
      </c>
      <c r="BR2052" s="0" t="s">
        <v>130</v>
      </c>
      <c r="BS2052" s="0" t="s">
        <v>130</v>
      </c>
      <c r="BT2052" s="0" t="s">
        <v>130</v>
      </c>
      <c r="BU2052" s="0" t="s">
        <v>130</v>
      </c>
      <c r="BV2052" s="0" t="s">
        <v>130</v>
      </c>
      <c r="BW2052" s="0" t="s">
        <v>130</v>
      </c>
      <c r="BX2052" s="0" t="s">
        <v>130</v>
      </c>
      <c r="BY2052" s="0" t="s">
        <v>130</v>
      </c>
      <c r="BZ2052" s="0" t="s">
        <v>130</v>
      </c>
      <c r="CA2052" s="0" t="s">
        <v>130</v>
      </c>
      <c r="CB2052" s="0" t="s">
        <v>130</v>
      </c>
      <c r="CC2052" s="0" t="s">
        <v>130</v>
      </c>
      <c r="CD2052" s="0" t="s">
        <v>130</v>
      </c>
      <c r="CE2052" s="0" t="s">
        <v>130</v>
      </c>
      <c r="CF2052" s="0" t="s">
        <v>130</v>
      </c>
      <c r="CG2052" s="0" t="s">
        <v>130</v>
      </c>
      <c r="CH2052" s="0" t="s">
        <v>130</v>
      </c>
      <c r="CI2052" s="0" t="s">
        <v>130</v>
      </c>
      <c r="CJ2052" s="0" t="s">
        <v>130</v>
      </c>
      <c r="CK2052" s="0" t="s">
        <v>130</v>
      </c>
      <c r="CL2052" s="0" t="s">
        <v>130</v>
      </c>
      <c r="CM2052" s="0" t="s">
        <v>130</v>
      </c>
      <c r="CN2052" s="0" t="s">
        <v>130</v>
      </c>
      <c r="CO2052" s="0" t="s">
        <v>130</v>
      </c>
      <c r="CP2052" s="0" t="s">
        <v>130</v>
      </c>
      <c r="CQ2052" s="0" t="s">
        <v>130</v>
      </c>
      <c r="CR2052" s="0" t="s">
        <v>130</v>
      </c>
      <c r="CS2052" s="0" t="s">
        <v>130</v>
      </c>
      <c r="CT2052" s="0" t="s">
        <v>5710</v>
      </c>
    </row>
    <row r="2053">
      <c r="A2053" s="14">
        <v>216204</v>
      </c>
      <c r="B2053" s="0" t="s">
        <v>3364</v>
      </c>
      <c r="C2053" s="16">
        <f>HYPERLINK("https://eosportal.federatedhermes.com/companies/Q29tcGFueQppNjQzODI=", "Centrica PLC")</f>
      </c>
      <c r="D2053" s="0" t="s">
        <v>25</v>
      </c>
      <c r="E2053" s="0" t="s">
        <v>5711</v>
      </c>
      <c r="F2053" s="16">
        <f>HYPERLINK("https://eosportal.federatedhermes.com/engagements/RW5nYWdlbWVudAppMzIyMTQ=", "Low-quality offset purchases")</f>
      </c>
      <c r="G2053" s="14" t="s">
        <v>5712</v>
      </c>
      <c r="H2053" s="0" t="s">
        <v>141</v>
      </c>
      <c r="I2053" s="14" t="s">
        <v>191</v>
      </c>
      <c r="J2053" s="0" t="s">
        <v>197</v>
      </c>
      <c r="K2053" s="0" t="s">
        <v>198</v>
      </c>
      <c r="L2053" s="0" t="s">
        <v>199</v>
      </c>
      <c r="M2053" s="0" t="s">
        <v>272</v>
      </c>
      <c r="N2053" s="0" t="s">
        <v>273</v>
      </c>
      <c r="O2053" s="0" t="s">
        <v>192</v>
      </c>
      <c r="Q2053" s="0" t="s">
        <v>130</v>
      </c>
      <c r="R2053" s="0" t="s">
        <v>138</v>
      </c>
      <c r="S2053" s="14">
        <v>0</v>
      </c>
      <c r="T2053" s="0" t="s">
        <v>2270</v>
      </c>
      <c r="U2053" s="0" t="s">
        <v>138</v>
      </c>
      <c r="V2053" s="14" t="s">
        <v>138</v>
      </c>
      <c r="W2053" s="0" t="s">
        <v>138</v>
      </c>
      <c r="X2053" s="14" t="s">
        <v>138</v>
      </c>
      <c r="Y2053" s="0" t="s">
        <v>138</v>
      </c>
      <c r="Z2053" s="14" t="s">
        <v>138</v>
      </c>
      <c r="AA2053" s="0" t="s">
        <v>138</v>
      </c>
      <c r="AB2053" s="14" t="s">
        <v>138</v>
      </c>
      <c r="AD2053" s="0" t="s">
        <v>138</v>
      </c>
      <c r="AF2053" s="0">
        <v>0</v>
      </c>
      <c r="AG2053" s="0">
        <v>0</v>
      </c>
      <c r="AH2053" s="0" t="s">
        <v>140</v>
      </c>
      <c r="AI2053" s="0" t="s">
        <v>138</v>
      </c>
      <c r="AL2053" s="14"/>
      <c r="AN2053" s="14"/>
      <c r="AQ2053" s="0" t="s">
        <v>130</v>
      </c>
      <c r="AR2053" s="0" t="s">
        <v>130</v>
      </c>
      <c r="AS2053" s="0" t="s">
        <v>130</v>
      </c>
      <c r="AT2053" s="0" t="s">
        <v>130</v>
      </c>
      <c r="AU2053" s="0" t="s">
        <v>130</v>
      </c>
      <c r="AV2053" s="0" t="s">
        <v>130</v>
      </c>
      <c r="AW2053" s="0" t="s">
        <v>130</v>
      </c>
      <c r="AX2053" s="0" t="s">
        <v>130</v>
      </c>
      <c r="AY2053" s="0" t="s">
        <v>130</v>
      </c>
      <c r="AZ2053" s="0" t="s">
        <v>130</v>
      </c>
      <c r="BA2053" s="0" t="s">
        <v>130</v>
      </c>
      <c r="BB2053" s="0" t="s">
        <v>141</v>
      </c>
      <c r="BC2053" s="0" t="s">
        <v>130</v>
      </c>
      <c r="BD2053" s="0" t="s">
        <v>130</v>
      </c>
      <c r="BE2053" s="0" t="s">
        <v>130</v>
      </c>
      <c r="BF2053" s="0" t="s">
        <v>130</v>
      </c>
      <c r="BG2053" s="0" t="s">
        <v>130</v>
      </c>
      <c r="BH2053" s="0" t="s">
        <v>130</v>
      </c>
      <c r="BI2053" s="0" t="s">
        <v>130</v>
      </c>
      <c r="BJ2053" s="0" t="s">
        <v>130</v>
      </c>
      <c r="BK2053" s="0" t="s">
        <v>130</v>
      </c>
      <c r="BL2053" s="0" t="s">
        <v>130</v>
      </c>
      <c r="BM2053" s="0" t="s">
        <v>130</v>
      </c>
      <c r="BN2053" s="0" t="s">
        <v>130</v>
      </c>
      <c r="BO2053" s="0" t="s">
        <v>130</v>
      </c>
      <c r="BP2053" s="0" t="s">
        <v>130</v>
      </c>
      <c r="BQ2053" s="0" t="s">
        <v>130</v>
      </c>
      <c r="BR2053" s="0" t="s">
        <v>130</v>
      </c>
      <c r="BS2053" s="0" t="s">
        <v>130</v>
      </c>
      <c r="BT2053" s="0" t="s">
        <v>130</v>
      </c>
      <c r="BU2053" s="0" t="s">
        <v>130</v>
      </c>
      <c r="BV2053" s="0" t="s">
        <v>130</v>
      </c>
      <c r="BW2053" s="0" t="s">
        <v>130</v>
      </c>
      <c r="BX2053" s="0" t="s">
        <v>130</v>
      </c>
      <c r="BY2053" s="0" t="s">
        <v>130</v>
      </c>
      <c r="BZ2053" s="0" t="s">
        <v>130</v>
      </c>
      <c r="CA2053" s="0" t="s">
        <v>130</v>
      </c>
      <c r="CB2053" s="0" t="s">
        <v>130</v>
      </c>
      <c r="CC2053" s="0" t="s">
        <v>130</v>
      </c>
      <c r="CD2053" s="0" t="s">
        <v>130</v>
      </c>
      <c r="CE2053" s="0" t="s">
        <v>130</v>
      </c>
      <c r="CF2053" s="0" t="s">
        <v>130</v>
      </c>
      <c r="CG2053" s="0" t="s">
        <v>130</v>
      </c>
      <c r="CH2053" s="0" t="s">
        <v>130</v>
      </c>
      <c r="CI2053" s="0" t="s">
        <v>130</v>
      </c>
      <c r="CJ2053" s="0" t="s">
        <v>130</v>
      </c>
      <c r="CK2053" s="0" t="s">
        <v>130</v>
      </c>
      <c r="CL2053" s="0" t="s">
        <v>130</v>
      </c>
      <c r="CM2053" s="0" t="s">
        <v>130</v>
      </c>
      <c r="CN2053" s="0" t="s">
        <v>130</v>
      </c>
      <c r="CO2053" s="0" t="s">
        <v>130</v>
      </c>
      <c r="CP2053" s="0" t="s">
        <v>130</v>
      </c>
      <c r="CQ2053" s="0" t="s">
        <v>130</v>
      </c>
      <c r="CR2053" s="0" t="s">
        <v>130</v>
      </c>
      <c r="CS2053" s="0" t="s">
        <v>130</v>
      </c>
      <c r="CT2053" s="0" t="s">
        <v>5713</v>
      </c>
    </row>
    <row r="2054">
      <c r="A2054" s="14">
        <v>60854400</v>
      </c>
      <c r="B2054" s="0" t="s">
        <v>4761</v>
      </c>
      <c r="C2054" s="16">
        <f>HYPERLINK("https://eosportal.federatedhermes.com/companies/Q29tcGFueQppODU0NTA=", "Walt Disney Co/The")</f>
      </c>
      <c r="D2054" s="0" t="s">
        <v>25</v>
      </c>
      <c r="E2054" s="0" t="s">
        <v>5714</v>
      </c>
      <c r="F2054" s="16">
        <f>HYPERLINK("https://eosportal.federatedhermes.com/engagements/RW5nYWdlbWVudAppMzIyMTY=", "Evidence of appropriate board skillsets to oversee management and succession")</f>
      </c>
      <c r="G2054" s="14" t="s">
        <v>5715</v>
      </c>
      <c r="H2054" s="0" t="s">
        <v>141</v>
      </c>
      <c r="I2054" s="14" t="s">
        <v>636</v>
      </c>
      <c r="J2054" s="0" t="s">
        <v>145</v>
      </c>
      <c r="K2054" s="0" t="s">
        <v>164</v>
      </c>
      <c r="L2054" s="0" t="s">
        <v>277</v>
      </c>
      <c r="M2054" s="0" t="s">
        <v>135</v>
      </c>
      <c r="N2054" s="0" t="s">
        <v>136</v>
      </c>
      <c r="O2054" s="0" t="s">
        <v>137</v>
      </c>
      <c r="Q2054" s="0" t="s">
        <v>141</v>
      </c>
      <c r="R2054" s="0" t="s">
        <v>138</v>
      </c>
      <c r="S2054" s="14">
        <v>1</v>
      </c>
      <c r="T2054" s="0" t="s">
        <v>2629</v>
      </c>
      <c r="U2054" s="0" t="s">
        <v>138</v>
      </c>
      <c r="V2054" s="14" t="s">
        <v>138</v>
      </c>
      <c r="W2054" s="0" t="s">
        <v>138</v>
      </c>
      <c r="X2054" s="14" t="s">
        <v>138</v>
      </c>
      <c r="Y2054" s="0" t="s">
        <v>138</v>
      </c>
      <c r="Z2054" s="14" t="s">
        <v>138</v>
      </c>
      <c r="AA2054" s="0" t="s">
        <v>138</v>
      </c>
      <c r="AB2054" s="14" t="s">
        <v>138</v>
      </c>
      <c r="AD2054" s="0" t="s">
        <v>138</v>
      </c>
      <c r="AF2054" s="0">
        <v>0</v>
      </c>
      <c r="AG2054" s="0">
        <v>0</v>
      </c>
      <c r="AH2054" s="0" t="s">
        <v>140</v>
      </c>
      <c r="AI2054" s="0" t="s">
        <v>138</v>
      </c>
      <c r="AK2054" s="0" t="s">
        <v>233</v>
      </c>
      <c r="AL2054" s="14"/>
      <c r="AN2054" s="14"/>
      <c r="AQ2054" s="0" t="s">
        <v>130</v>
      </c>
      <c r="AR2054" s="0" t="s">
        <v>130</v>
      </c>
      <c r="AS2054" s="0" t="s">
        <v>130</v>
      </c>
      <c r="AT2054" s="0" t="s">
        <v>130</v>
      </c>
      <c r="AU2054" s="0" t="s">
        <v>130</v>
      </c>
      <c r="AV2054" s="0" t="s">
        <v>130</v>
      </c>
      <c r="AW2054" s="0" t="s">
        <v>130</v>
      </c>
      <c r="AX2054" s="0" t="s">
        <v>130</v>
      </c>
      <c r="AY2054" s="0" t="s">
        <v>130</v>
      </c>
      <c r="AZ2054" s="0" t="s">
        <v>130</v>
      </c>
      <c r="BA2054" s="0" t="s">
        <v>130</v>
      </c>
      <c r="BB2054" s="0" t="s">
        <v>130</v>
      </c>
      <c r="BC2054" s="0" t="s">
        <v>130</v>
      </c>
      <c r="BD2054" s="0" t="s">
        <v>130</v>
      </c>
      <c r="BE2054" s="0" t="s">
        <v>130</v>
      </c>
      <c r="BF2054" s="0" t="s">
        <v>130</v>
      </c>
      <c r="BG2054" s="0" t="s">
        <v>130</v>
      </c>
      <c r="BH2054" s="0" t="s">
        <v>130</v>
      </c>
      <c r="BI2054" s="0" t="s">
        <v>130</v>
      </c>
      <c r="BJ2054" s="0" t="s">
        <v>130</v>
      </c>
      <c r="BK2054" s="0" t="s">
        <v>130</v>
      </c>
      <c r="BL2054" s="0" t="s">
        <v>130</v>
      </c>
      <c r="BM2054" s="0" t="s">
        <v>130</v>
      </c>
      <c r="BN2054" s="0" t="s">
        <v>130</v>
      </c>
      <c r="BO2054" s="0" t="s">
        <v>130</v>
      </c>
      <c r="BP2054" s="0" t="s">
        <v>130</v>
      </c>
      <c r="BQ2054" s="0" t="s">
        <v>130</v>
      </c>
      <c r="BR2054" s="0" t="s">
        <v>130</v>
      </c>
      <c r="BS2054" s="0" t="s">
        <v>130</v>
      </c>
      <c r="BT2054" s="0" t="s">
        <v>130</v>
      </c>
      <c r="BU2054" s="0" t="s">
        <v>130</v>
      </c>
      <c r="BV2054" s="0" t="s">
        <v>130</v>
      </c>
      <c r="BW2054" s="0" t="s">
        <v>130</v>
      </c>
      <c r="BX2054" s="0" t="s">
        <v>130</v>
      </c>
      <c r="BY2054" s="0" t="s">
        <v>130</v>
      </c>
      <c r="BZ2054" s="0" t="s">
        <v>130</v>
      </c>
      <c r="CA2054" s="0" t="s">
        <v>130</v>
      </c>
      <c r="CB2054" s="0" t="s">
        <v>130</v>
      </c>
      <c r="CC2054" s="0" t="s">
        <v>130</v>
      </c>
      <c r="CD2054" s="0" t="s">
        <v>130</v>
      </c>
      <c r="CE2054" s="0" t="s">
        <v>130</v>
      </c>
      <c r="CF2054" s="0" t="s">
        <v>130</v>
      </c>
      <c r="CG2054" s="0" t="s">
        <v>130</v>
      </c>
      <c r="CH2054" s="0" t="s">
        <v>130</v>
      </c>
      <c r="CI2054" s="0" t="s">
        <v>130</v>
      </c>
      <c r="CJ2054" s="0" t="s">
        <v>130</v>
      </c>
      <c r="CK2054" s="0" t="s">
        <v>130</v>
      </c>
      <c r="CL2054" s="0" t="s">
        <v>130</v>
      </c>
      <c r="CM2054" s="0" t="s">
        <v>130</v>
      </c>
      <c r="CN2054" s="0" t="s">
        <v>130</v>
      </c>
      <c r="CO2054" s="0" t="s">
        <v>130</v>
      </c>
      <c r="CP2054" s="0" t="s">
        <v>130</v>
      </c>
      <c r="CQ2054" s="0" t="s">
        <v>130</v>
      </c>
      <c r="CR2054" s="0" t="s">
        <v>130</v>
      </c>
      <c r="CS2054" s="0" t="s">
        <v>130</v>
      </c>
      <c r="CT2054" s="0" t="s">
        <v>5716</v>
      </c>
    </row>
    <row r="2055">
      <c r="A2055" s="14">
        <v>100438</v>
      </c>
      <c r="B2055" s="0" t="s">
        <v>573</v>
      </c>
      <c r="C2055" s="16">
        <f>HYPERLINK("https://eosportal.federatedhermes.com/companies/Q29tcGFueQppNjQzODk=", "Deere &amp; Co")</f>
      </c>
      <c r="D2055" s="0" t="s">
        <v>23</v>
      </c>
      <c r="E2055" s="0" t="s">
        <v>441</v>
      </c>
      <c r="F2055" s="16">
        <f>HYPERLINK("https://eosportal.federatedhermes.com/engagements/RW5nYWdlbWVudAppMzIyMTc=", "Auditor tenure")</f>
      </c>
      <c r="G2055" s="14" t="s">
        <v>5717</v>
      </c>
      <c r="H2055" s="0" t="s">
        <v>141</v>
      </c>
      <c r="I2055" s="14" t="s">
        <v>191</v>
      </c>
      <c r="J2055" s="0" t="s">
        <v>132</v>
      </c>
      <c r="K2055" s="0" t="s">
        <v>170</v>
      </c>
      <c r="L2055" s="0" t="s">
        <v>310</v>
      </c>
      <c r="M2055" s="0" t="s">
        <v>135</v>
      </c>
      <c r="N2055" s="0" t="s">
        <v>136</v>
      </c>
      <c r="O2055" s="0" t="s">
        <v>176</v>
      </c>
      <c r="Q2055" s="0" t="s">
        <v>141</v>
      </c>
      <c r="R2055" s="0" t="s">
        <v>130</v>
      </c>
      <c r="S2055" s="14">
        <v>2</v>
      </c>
      <c r="T2055" s="0" t="s">
        <v>583</v>
      </c>
      <c r="U2055" s="0" t="s">
        <v>221</v>
      </c>
      <c r="V2055" s="14" t="s">
        <v>583</v>
      </c>
      <c r="W2055" s="0" t="s">
        <v>221</v>
      </c>
      <c r="X2055" s="14" t="s">
        <v>2629</v>
      </c>
      <c r="Y2055" s="0" t="s">
        <v>223</v>
      </c>
      <c r="Z2055" s="14" t="s">
        <v>138</v>
      </c>
      <c r="AA2055" s="0" t="s">
        <v>224</v>
      </c>
      <c r="AB2055" s="14" t="s">
        <v>138</v>
      </c>
      <c r="AD2055" s="0" t="s">
        <v>17</v>
      </c>
      <c r="AF2055" s="0">
        <v>0</v>
      </c>
      <c r="AG2055" s="0">
        <v>0</v>
      </c>
      <c r="AH2055" s="0" t="s">
        <v>140</v>
      </c>
      <c r="AI2055" s="0" t="s">
        <v>232</v>
      </c>
      <c r="AK2055" s="0" t="s">
        <v>584</v>
      </c>
      <c r="AL2055" s="14"/>
      <c r="AN2055" s="14"/>
      <c r="AQ2055" s="0" t="s">
        <v>130</v>
      </c>
      <c r="AR2055" s="0" t="s">
        <v>130</v>
      </c>
      <c r="AS2055" s="0" t="s">
        <v>130</v>
      </c>
      <c r="AT2055" s="0" t="s">
        <v>130</v>
      </c>
      <c r="AU2055" s="0" t="s">
        <v>130</v>
      </c>
      <c r="AV2055" s="0" t="s">
        <v>130</v>
      </c>
      <c r="AW2055" s="0" t="s">
        <v>130</v>
      </c>
      <c r="AX2055" s="0" t="s">
        <v>130</v>
      </c>
      <c r="AY2055" s="0" t="s">
        <v>130</v>
      </c>
      <c r="AZ2055" s="0" t="s">
        <v>130</v>
      </c>
      <c r="BA2055" s="0" t="s">
        <v>130</v>
      </c>
      <c r="BB2055" s="0" t="s">
        <v>130</v>
      </c>
      <c r="BC2055" s="0" t="s">
        <v>130</v>
      </c>
      <c r="BD2055" s="0" t="s">
        <v>130</v>
      </c>
      <c r="BE2055" s="0" t="s">
        <v>130</v>
      </c>
      <c r="BF2055" s="0" t="s">
        <v>130</v>
      </c>
      <c r="BG2055" s="0" t="s">
        <v>130</v>
      </c>
      <c r="BH2055" s="0" t="s">
        <v>130</v>
      </c>
      <c r="BI2055" s="0" t="s">
        <v>130</v>
      </c>
      <c r="BJ2055" s="0" t="s">
        <v>130</v>
      </c>
      <c r="BK2055" s="0" t="s">
        <v>130</v>
      </c>
      <c r="BL2055" s="0" t="s">
        <v>130</v>
      </c>
      <c r="BM2055" s="0" t="s">
        <v>130</v>
      </c>
      <c r="BN2055" s="0" t="s">
        <v>130</v>
      </c>
      <c r="BO2055" s="0" t="s">
        <v>130</v>
      </c>
      <c r="BP2055" s="0" t="s">
        <v>130</v>
      </c>
      <c r="BQ2055" s="0" t="s">
        <v>130</v>
      </c>
      <c r="BR2055" s="0" t="s">
        <v>130</v>
      </c>
      <c r="BS2055" s="0" t="s">
        <v>130</v>
      </c>
      <c r="BT2055" s="0" t="s">
        <v>130</v>
      </c>
      <c r="BU2055" s="0" t="s">
        <v>130</v>
      </c>
      <c r="BV2055" s="0" t="s">
        <v>130</v>
      </c>
      <c r="BW2055" s="0" t="s">
        <v>130</v>
      </c>
      <c r="BX2055" s="0" t="s">
        <v>130</v>
      </c>
      <c r="BY2055" s="0" t="s">
        <v>130</v>
      </c>
      <c r="BZ2055" s="0" t="s">
        <v>130</v>
      </c>
      <c r="CA2055" s="0" t="s">
        <v>130</v>
      </c>
      <c r="CB2055" s="0" t="s">
        <v>130</v>
      </c>
      <c r="CC2055" s="0" t="s">
        <v>130</v>
      </c>
      <c r="CD2055" s="0" t="s">
        <v>130</v>
      </c>
      <c r="CE2055" s="0" t="s">
        <v>130</v>
      </c>
      <c r="CF2055" s="0" t="s">
        <v>130</v>
      </c>
      <c r="CG2055" s="0" t="s">
        <v>130</v>
      </c>
      <c r="CH2055" s="0" t="s">
        <v>130</v>
      </c>
      <c r="CI2055" s="0" t="s">
        <v>130</v>
      </c>
      <c r="CJ2055" s="0" t="s">
        <v>130</v>
      </c>
      <c r="CK2055" s="0" t="s">
        <v>130</v>
      </c>
      <c r="CL2055" s="0" t="s">
        <v>130</v>
      </c>
      <c r="CM2055" s="0" t="s">
        <v>130</v>
      </c>
      <c r="CN2055" s="0" t="s">
        <v>130</v>
      </c>
      <c r="CO2055" s="0" t="s">
        <v>130</v>
      </c>
      <c r="CP2055" s="0" t="s">
        <v>130</v>
      </c>
      <c r="CQ2055" s="0" t="s">
        <v>130</v>
      </c>
      <c r="CR2055" s="0" t="s">
        <v>130</v>
      </c>
      <c r="CS2055" s="0" t="s">
        <v>130</v>
      </c>
      <c r="CT2055" s="0" t="s">
        <v>5718</v>
      </c>
    </row>
    <row r="2056">
      <c r="A2056" s="14">
        <v>101034</v>
      </c>
      <c r="B2056" s="0" t="s">
        <v>1164</v>
      </c>
      <c r="C2056" s="16">
        <f>HYPERLINK("https://eosportal.federatedhermes.com/companies/Q29tcGFueQppNTg5NTM=", "National Australia Bank Ltd")</f>
      </c>
      <c r="D2056" s="0" t="s">
        <v>25</v>
      </c>
      <c r="E2056" s="0" t="s">
        <v>5184</v>
      </c>
      <c r="F2056" s="16">
        <f>HYPERLINK("https://eosportal.federatedhermes.com/engagements/RW5nYWdlbWVudAppMzIyMTg=", "Cost of living crisis")</f>
      </c>
      <c r="G2056" s="14" t="s">
        <v>5719</v>
      </c>
      <c r="H2056" s="0" t="s">
        <v>141</v>
      </c>
      <c r="I2056" s="14" t="s">
        <v>131</v>
      </c>
      <c r="J2056" s="0" t="s">
        <v>153</v>
      </c>
      <c r="K2056" s="0" t="s">
        <v>243</v>
      </c>
      <c r="L2056" s="0" t="s">
        <v>292</v>
      </c>
      <c r="M2056" s="0" t="s">
        <v>371</v>
      </c>
      <c r="N2056" s="0" t="s">
        <v>372</v>
      </c>
      <c r="O2056" s="0" t="s">
        <v>238</v>
      </c>
      <c r="Q2056" s="0" t="s">
        <v>130</v>
      </c>
      <c r="R2056" s="0" t="s">
        <v>138</v>
      </c>
      <c r="S2056" s="14">
        <v>0</v>
      </c>
      <c r="T2056" s="0" t="s">
        <v>2629</v>
      </c>
      <c r="U2056" s="0" t="s">
        <v>138</v>
      </c>
      <c r="V2056" s="14" t="s">
        <v>138</v>
      </c>
      <c r="W2056" s="0" t="s">
        <v>138</v>
      </c>
      <c r="X2056" s="14" t="s">
        <v>138</v>
      </c>
      <c r="Y2056" s="0" t="s">
        <v>138</v>
      </c>
      <c r="Z2056" s="14" t="s">
        <v>138</v>
      </c>
      <c r="AA2056" s="0" t="s">
        <v>138</v>
      </c>
      <c r="AB2056" s="14" t="s">
        <v>138</v>
      </c>
      <c r="AD2056" s="0" t="s">
        <v>138</v>
      </c>
      <c r="AF2056" s="0">
        <v>0</v>
      </c>
      <c r="AG2056" s="0">
        <v>0</v>
      </c>
      <c r="AH2056" s="0" t="s">
        <v>140</v>
      </c>
      <c r="AI2056" s="0" t="s">
        <v>138</v>
      </c>
      <c r="AL2056" s="14"/>
      <c r="AN2056" s="14"/>
      <c r="AQ2056" s="0" t="s">
        <v>141</v>
      </c>
      <c r="AR2056" s="0" t="s">
        <v>141</v>
      </c>
      <c r="AS2056" s="0" t="s">
        <v>130</v>
      </c>
      <c r="AT2056" s="0" t="s">
        <v>130</v>
      </c>
      <c r="AU2056" s="0" t="s">
        <v>130</v>
      </c>
      <c r="AV2056" s="0" t="s">
        <v>130</v>
      </c>
      <c r="AW2056" s="0" t="s">
        <v>141</v>
      </c>
      <c r="AX2056" s="0" t="s">
        <v>130</v>
      </c>
      <c r="AY2056" s="0" t="s">
        <v>130</v>
      </c>
      <c r="AZ2056" s="0" t="s">
        <v>130</v>
      </c>
      <c r="BA2056" s="0" t="s">
        <v>130</v>
      </c>
      <c r="BB2056" s="0" t="s">
        <v>130</v>
      </c>
      <c r="BC2056" s="0" t="s">
        <v>130</v>
      </c>
      <c r="BD2056" s="0" t="s">
        <v>130</v>
      </c>
      <c r="BE2056" s="0" t="s">
        <v>130</v>
      </c>
      <c r="BF2056" s="0" t="s">
        <v>130</v>
      </c>
      <c r="BG2056" s="0" t="s">
        <v>130</v>
      </c>
      <c r="BH2056" s="0" t="s">
        <v>130</v>
      </c>
      <c r="BI2056" s="0" t="s">
        <v>130</v>
      </c>
      <c r="BJ2056" s="0" t="s">
        <v>130</v>
      </c>
      <c r="BK2056" s="0" t="s">
        <v>130</v>
      </c>
      <c r="BL2056" s="0" t="s">
        <v>130</v>
      </c>
      <c r="BM2056" s="0" t="s">
        <v>130</v>
      </c>
      <c r="BN2056" s="0" t="s">
        <v>130</v>
      </c>
      <c r="BO2056" s="0" t="s">
        <v>130</v>
      </c>
      <c r="BP2056" s="0" t="s">
        <v>130</v>
      </c>
      <c r="BQ2056" s="0" t="s">
        <v>130</v>
      </c>
      <c r="BR2056" s="0" t="s">
        <v>130</v>
      </c>
      <c r="BS2056" s="0" t="s">
        <v>130</v>
      </c>
      <c r="BT2056" s="0" t="s">
        <v>130</v>
      </c>
      <c r="BU2056" s="0" t="s">
        <v>130</v>
      </c>
      <c r="BV2056" s="0" t="s">
        <v>130</v>
      </c>
      <c r="BW2056" s="0" t="s">
        <v>130</v>
      </c>
      <c r="BX2056" s="0" t="s">
        <v>130</v>
      </c>
      <c r="BY2056" s="0" t="s">
        <v>130</v>
      </c>
      <c r="BZ2056" s="0" t="s">
        <v>130</v>
      </c>
      <c r="CA2056" s="0" t="s">
        <v>130</v>
      </c>
      <c r="CB2056" s="0" t="s">
        <v>130</v>
      </c>
      <c r="CC2056" s="0" t="s">
        <v>130</v>
      </c>
      <c r="CD2056" s="0" t="s">
        <v>130</v>
      </c>
      <c r="CE2056" s="0" t="s">
        <v>130</v>
      </c>
      <c r="CF2056" s="0" t="s">
        <v>130</v>
      </c>
      <c r="CG2056" s="0" t="s">
        <v>130</v>
      </c>
      <c r="CH2056" s="0" t="s">
        <v>130</v>
      </c>
      <c r="CI2056" s="0" t="s">
        <v>130</v>
      </c>
      <c r="CJ2056" s="0" t="s">
        <v>130</v>
      </c>
      <c r="CK2056" s="0" t="s">
        <v>130</v>
      </c>
      <c r="CL2056" s="0" t="s">
        <v>130</v>
      </c>
      <c r="CM2056" s="0" t="s">
        <v>130</v>
      </c>
      <c r="CN2056" s="0" t="s">
        <v>130</v>
      </c>
      <c r="CO2056" s="0" t="s">
        <v>130</v>
      </c>
      <c r="CP2056" s="0" t="s">
        <v>130</v>
      </c>
      <c r="CQ2056" s="0" t="s">
        <v>130</v>
      </c>
      <c r="CR2056" s="0" t="s">
        <v>130</v>
      </c>
      <c r="CS2056" s="0" t="s">
        <v>130</v>
      </c>
      <c r="CT2056" s="0" t="s">
        <v>5720</v>
      </c>
    </row>
    <row r="2057">
      <c r="A2057" s="14">
        <v>101650</v>
      </c>
      <c r="B2057" s="0" t="s">
        <v>1765</v>
      </c>
      <c r="C2057" s="16">
        <f>HYPERLINK("https://eosportal.federatedhermes.com/companies/Q29tcGFueQppNzU3MDM=", "Westpac Banking Corp")</f>
      </c>
      <c r="D2057" s="0" t="s">
        <v>25</v>
      </c>
      <c r="E2057" s="0" t="s">
        <v>5184</v>
      </c>
      <c r="F2057" s="16">
        <f>HYPERLINK("https://eosportal.federatedhermes.com/engagements/RW5nYWdlbWVudAppMzIyMjc=", "Cost of living crisis")</f>
      </c>
      <c r="G2057" s="14" t="s">
        <v>5721</v>
      </c>
      <c r="H2057" s="0" t="s">
        <v>141</v>
      </c>
      <c r="I2057" s="14" t="s">
        <v>191</v>
      </c>
      <c r="J2057" s="0" t="s">
        <v>153</v>
      </c>
      <c r="K2057" s="0" t="s">
        <v>154</v>
      </c>
      <c r="L2057" s="0" t="s">
        <v>306</v>
      </c>
      <c r="M2057" s="0" t="s">
        <v>371</v>
      </c>
      <c r="N2057" s="0" t="s">
        <v>372</v>
      </c>
      <c r="O2057" s="0" t="s">
        <v>238</v>
      </c>
      <c r="Q2057" s="0" t="s">
        <v>130</v>
      </c>
      <c r="R2057" s="0" t="s">
        <v>138</v>
      </c>
      <c r="S2057" s="14">
        <v>0</v>
      </c>
      <c r="T2057" s="0" t="s">
        <v>2629</v>
      </c>
      <c r="U2057" s="0" t="s">
        <v>138</v>
      </c>
      <c r="V2057" s="14" t="s">
        <v>138</v>
      </c>
      <c r="W2057" s="0" t="s">
        <v>138</v>
      </c>
      <c r="X2057" s="14" t="s">
        <v>138</v>
      </c>
      <c r="Y2057" s="0" t="s">
        <v>138</v>
      </c>
      <c r="Z2057" s="14" t="s">
        <v>138</v>
      </c>
      <c r="AA2057" s="0" t="s">
        <v>138</v>
      </c>
      <c r="AB2057" s="14" t="s">
        <v>138</v>
      </c>
      <c r="AD2057" s="0" t="s">
        <v>138</v>
      </c>
      <c r="AF2057" s="0">
        <v>0</v>
      </c>
      <c r="AG2057" s="0">
        <v>0</v>
      </c>
      <c r="AH2057" s="0" t="s">
        <v>140</v>
      </c>
      <c r="AI2057" s="0" t="s">
        <v>138</v>
      </c>
      <c r="AL2057" s="14"/>
      <c r="AN2057" s="14"/>
      <c r="AQ2057" s="0" t="s">
        <v>141</v>
      </c>
      <c r="AR2057" s="0" t="s">
        <v>130</v>
      </c>
      <c r="AS2057" s="0" t="s">
        <v>130</v>
      </c>
      <c r="AT2057" s="0" t="s">
        <v>130</v>
      </c>
      <c r="AU2057" s="0" t="s">
        <v>130</v>
      </c>
      <c r="AV2057" s="0" t="s">
        <v>130</v>
      </c>
      <c r="AW2057" s="0" t="s">
        <v>130</v>
      </c>
      <c r="AX2057" s="0" t="s">
        <v>141</v>
      </c>
      <c r="AY2057" s="0" t="s">
        <v>130</v>
      </c>
      <c r="AZ2057" s="0" t="s">
        <v>141</v>
      </c>
      <c r="BA2057" s="0" t="s">
        <v>130</v>
      </c>
      <c r="BB2057" s="0" t="s">
        <v>130</v>
      </c>
      <c r="BC2057" s="0" t="s">
        <v>130</v>
      </c>
      <c r="BD2057" s="0" t="s">
        <v>130</v>
      </c>
      <c r="BE2057" s="0" t="s">
        <v>130</v>
      </c>
      <c r="BF2057" s="0" t="s">
        <v>130</v>
      </c>
      <c r="BG2057" s="0" t="s">
        <v>130</v>
      </c>
      <c r="BH2057" s="0" t="s">
        <v>130</v>
      </c>
      <c r="BI2057" s="0" t="s">
        <v>130</v>
      </c>
      <c r="BJ2057" s="0" t="s">
        <v>130</v>
      </c>
      <c r="BK2057" s="0" t="s">
        <v>130</v>
      </c>
      <c r="BL2057" s="0" t="s">
        <v>130</v>
      </c>
      <c r="BM2057" s="0" t="s">
        <v>130</v>
      </c>
      <c r="BN2057" s="0" t="s">
        <v>130</v>
      </c>
      <c r="BO2057" s="0" t="s">
        <v>130</v>
      </c>
      <c r="BP2057" s="0" t="s">
        <v>130</v>
      </c>
      <c r="BQ2057" s="0" t="s">
        <v>130</v>
      </c>
      <c r="BR2057" s="0" t="s">
        <v>130</v>
      </c>
      <c r="BS2057" s="0" t="s">
        <v>130</v>
      </c>
      <c r="BT2057" s="0" t="s">
        <v>130</v>
      </c>
      <c r="BU2057" s="0" t="s">
        <v>130</v>
      </c>
      <c r="BV2057" s="0" t="s">
        <v>130</v>
      </c>
      <c r="BW2057" s="0" t="s">
        <v>130</v>
      </c>
      <c r="BX2057" s="0" t="s">
        <v>130</v>
      </c>
      <c r="BY2057" s="0" t="s">
        <v>130</v>
      </c>
      <c r="BZ2057" s="0" t="s">
        <v>130</v>
      </c>
      <c r="CA2057" s="0" t="s">
        <v>130</v>
      </c>
      <c r="CB2057" s="0" t="s">
        <v>130</v>
      </c>
      <c r="CC2057" s="0" t="s">
        <v>130</v>
      </c>
      <c r="CD2057" s="0" t="s">
        <v>130</v>
      </c>
      <c r="CE2057" s="0" t="s">
        <v>130</v>
      </c>
      <c r="CF2057" s="0" t="s">
        <v>130</v>
      </c>
      <c r="CG2057" s="0" t="s">
        <v>130</v>
      </c>
      <c r="CH2057" s="0" t="s">
        <v>130</v>
      </c>
      <c r="CI2057" s="0" t="s">
        <v>130</v>
      </c>
      <c r="CJ2057" s="0" t="s">
        <v>130</v>
      </c>
      <c r="CK2057" s="0" t="s">
        <v>130</v>
      </c>
      <c r="CL2057" s="0" t="s">
        <v>130</v>
      </c>
      <c r="CM2057" s="0" t="s">
        <v>130</v>
      </c>
      <c r="CN2057" s="0" t="s">
        <v>130</v>
      </c>
      <c r="CO2057" s="0" t="s">
        <v>130</v>
      </c>
      <c r="CP2057" s="0" t="s">
        <v>130</v>
      </c>
      <c r="CQ2057" s="0" t="s">
        <v>130</v>
      </c>
      <c r="CR2057" s="0" t="s">
        <v>130</v>
      </c>
      <c r="CS2057" s="0" t="s">
        <v>130</v>
      </c>
      <c r="CT2057" s="0" t="s">
        <v>5722</v>
      </c>
    </row>
    <row r="2058">
      <c r="A2058" s="14">
        <v>186941</v>
      </c>
      <c r="B2058" s="0" t="s">
        <v>3270</v>
      </c>
      <c r="C2058" s="16">
        <f>HYPERLINK("https://eosportal.federatedhermes.com/companies/Q29tcGFueQppNzc5MzA=", "China Construction Bank Corp")</f>
      </c>
      <c r="D2058" s="0" t="s">
        <v>25</v>
      </c>
      <c r="E2058" s="0" t="s">
        <v>386</v>
      </c>
      <c r="F2058" s="16">
        <f>HYPERLINK("https://eosportal.federatedhermes.com/engagements/RW5nYWdlbWVudAppMzIyMzQ=", "Board independence")</f>
      </c>
      <c r="G2058" s="14" t="s">
        <v>5723</v>
      </c>
      <c r="H2058" s="0" t="s">
        <v>141</v>
      </c>
      <c r="I2058" s="14" t="s">
        <v>131</v>
      </c>
      <c r="J2058" s="0" t="s">
        <v>145</v>
      </c>
      <c r="K2058" s="0" t="s">
        <v>164</v>
      </c>
      <c r="L2058" s="0" t="s">
        <v>165</v>
      </c>
      <c r="M2058" s="0" t="s">
        <v>2807</v>
      </c>
      <c r="N2058" s="0" t="s">
        <v>3272</v>
      </c>
      <c r="O2058" s="0" t="s">
        <v>238</v>
      </c>
      <c r="Q2058" s="0" t="s">
        <v>130</v>
      </c>
      <c r="R2058" s="0" t="s">
        <v>138</v>
      </c>
      <c r="S2058" s="14">
        <v>0</v>
      </c>
      <c r="T2058" s="0" t="s">
        <v>2629</v>
      </c>
      <c r="U2058" s="0" t="s">
        <v>138</v>
      </c>
      <c r="V2058" s="14" t="s">
        <v>138</v>
      </c>
      <c r="W2058" s="0" t="s">
        <v>138</v>
      </c>
      <c r="X2058" s="14" t="s">
        <v>138</v>
      </c>
      <c r="Y2058" s="0" t="s">
        <v>138</v>
      </c>
      <c r="Z2058" s="14" t="s">
        <v>138</v>
      </c>
      <c r="AA2058" s="0" t="s">
        <v>138</v>
      </c>
      <c r="AB2058" s="14" t="s">
        <v>138</v>
      </c>
      <c r="AD2058" s="0" t="s">
        <v>138</v>
      </c>
      <c r="AF2058" s="0">
        <v>0</v>
      </c>
      <c r="AG2058" s="0">
        <v>0</v>
      </c>
      <c r="AH2058" s="0" t="s">
        <v>140</v>
      </c>
      <c r="AI2058" s="0" t="s">
        <v>138</v>
      </c>
      <c r="AL2058" s="14"/>
      <c r="AN2058" s="14"/>
      <c r="AQ2058" s="0" t="s">
        <v>130</v>
      </c>
      <c r="AR2058" s="0" t="s">
        <v>130</v>
      </c>
      <c r="AS2058" s="0" t="s">
        <v>130</v>
      </c>
      <c r="AT2058" s="0" t="s">
        <v>130</v>
      </c>
      <c r="AU2058" s="0" t="s">
        <v>130</v>
      </c>
      <c r="AV2058" s="0" t="s">
        <v>130</v>
      </c>
      <c r="AW2058" s="0" t="s">
        <v>130</v>
      </c>
      <c r="AX2058" s="0" t="s">
        <v>130</v>
      </c>
      <c r="AY2058" s="0" t="s">
        <v>130</v>
      </c>
      <c r="AZ2058" s="0" t="s">
        <v>130</v>
      </c>
      <c r="BA2058" s="0" t="s">
        <v>130</v>
      </c>
      <c r="BB2058" s="0" t="s">
        <v>130</v>
      </c>
      <c r="BC2058" s="0" t="s">
        <v>130</v>
      </c>
      <c r="BD2058" s="0" t="s">
        <v>130</v>
      </c>
      <c r="BE2058" s="0" t="s">
        <v>130</v>
      </c>
      <c r="BF2058" s="0" t="s">
        <v>130</v>
      </c>
      <c r="BG2058" s="0" t="s">
        <v>130</v>
      </c>
      <c r="BH2058" s="0" t="s">
        <v>130</v>
      </c>
      <c r="BI2058" s="0" t="s">
        <v>130</v>
      </c>
      <c r="BJ2058" s="0" t="s">
        <v>130</v>
      </c>
      <c r="BK2058" s="0" t="s">
        <v>130</v>
      </c>
      <c r="BL2058" s="0" t="s">
        <v>130</v>
      </c>
      <c r="BM2058" s="0" t="s">
        <v>130</v>
      </c>
      <c r="BN2058" s="0" t="s">
        <v>130</v>
      </c>
      <c r="BO2058" s="0" t="s">
        <v>130</v>
      </c>
      <c r="BP2058" s="0" t="s">
        <v>130</v>
      </c>
      <c r="BQ2058" s="0" t="s">
        <v>130</v>
      </c>
      <c r="BR2058" s="0" t="s">
        <v>130</v>
      </c>
      <c r="BS2058" s="0" t="s">
        <v>130</v>
      </c>
      <c r="BT2058" s="0" t="s">
        <v>130</v>
      </c>
      <c r="BU2058" s="0" t="s">
        <v>130</v>
      </c>
      <c r="BV2058" s="0" t="s">
        <v>130</v>
      </c>
      <c r="BW2058" s="0" t="s">
        <v>130</v>
      </c>
      <c r="BX2058" s="0" t="s">
        <v>130</v>
      </c>
      <c r="BY2058" s="0" t="s">
        <v>130</v>
      </c>
      <c r="BZ2058" s="0" t="s">
        <v>130</v>
      </c>
      <c r="CA2058" s="0" t="s">
        <v>130</v>
      </c>
      <c r="CB2058" s="0" t="s">
        <v>130</v>
      </c>
      <c r="CC2058" s="0" t="s">
        <v>130</v>
      </c>
      <c r="CD2058" s="0" t="s">
        <v>130</v>
      </c>
      <c r="CE2058" s="0" t="s">
        <v>130</v>
      </c>
      <c r="CF2058" s="0" t="s">
        <v>130</v>
      </c>
      <c r="CG2058" s="0" t="s">
        <v>130</v>
      </c>
      <c r="CH2058" s="0" t="s">
        <v>130</v>
      </c>
      <c r="CI2058" s="0" t="s">
        <v>130</v>
      </c>
      <c r="CJ2058" s="0" t="s">
        <v>130</v>
      </c>
      <c r="CK2058" s="0" t="s">
        <v>130</v>
      </c>
      <c r="CL2058" s="0" t="s">
        <v>130</v>
      </c>
      <c r="CM2058" s="0" t="s">
        <v>130</v>
      </c>
      <c r="CN2058" s="0" t="s">
        <v>130</v>
      </c>
      <c r="CO2058" s="0" t="s">
        <v>130</v>
      </c>
      <c r="CP2058" s="0" t="s">
        <v>130</v>
      </c>
      <c r="CQ2058" s="0" t="s">
        <v>130</v>
      </c>
      <c r="CR2058" s="0" t="s">
        <v>130</v>
      </c>
      <c r="CS2058" s="0" t="s">
        <v>130</v>
      </c>
      <c r="CT2058" s="0" t="s">
        <v>5724</v>
      </c>
    </row>
    <row r="2059">
      <c r="A2059" s="14">
        <v>11204665</v>
      </c>
      <c r="B2059" s="0" t="s">
        <v>3998</v>
      </c>
      <c r="C2059" s="16">
        <f>HYPERLINK("https://eosportal.federatedhermes.com/companies/Q29tcGFueQppNjQ2NDE=", "Brambles Ltd")</f>
      </c>
      <c r="D2059" s="0" t="s">
        <v>23</v>
      </c>
      <c r="E2059" s="0" t="s">
        <v>1394</v>
      </c>
      <c r="F2059" s="16">
        <f>HYPERLINK("https://eosportal.federatedhermes.com/engagements/RW5nYWdlbWVudAppMzIyMzc=", "Biodiversity impact and dependence assessment")</f>
      </c>
      <c r="G2059" s="14" t="s">
        <v>5725</v>
      </c>
      <c r="H2059" s="0" t="s">
        <v>130</v>
      </c>
      <c r="I2059" s="14" t="s">
        <v>319</v>
      </c>
      <c r="J2059" s="0" t="s">
        <v>197</v>
      </c>
      <c r="K2059" s="0" t="s">
        <v>337</v>
      </c>
      <c r="L2059" s="0" t="s">
        <v>576</v>
      </c>
      <c r="M2059" s="0" t="s">
        <v>371</v>
      </c>
      <c r="N2059" s="0" t="s">
        <v>372</v>
      </c>
      <c r="O2059" s="0" t="s">
        <v>176</v>
      </c>
      <c r="Q2059" s="0" t="s">
        <v>141</v>
      </c>
      <c r="R2059" s="0" t="s">
        <v>130</v>
      </c>
      <c r="S2059" s="14">
        <v>1</v>
      </c>
      <c r="T2059" s="0" t="s">
        <v>231</v>
      </c>
      <c r="U2059" s="0" t="s">
        <v>221</v>
      </c>
      <c r="V2059" s="14" t="s">
        <v>231</v>
      </c>
      <c r="W2059" s="0" t="s">
        <v>221</v>
      </c>
      <c r="X2059" s="14" t="s">
        <v>231</v>
      </c>
      <c r="Y2059" s="0" t="s">
        <v>221</v>
      </c>
      <c r="Z2059" s="14" t="s">
        <v>446</v>
      </c>
      <c r="AA2059" s="0" t="s">
        <v>223</v>
      </c>
      <c r="AB2059" s="14" t="s">
        <v>138</v>
      </c>
      <c r="AD2059" s="0" t="s">
        <v>20</v>
      </c>
      <c r="AF2059" s="0">
        <v>0</v>
      </c>
      <c r="AG2059" s="0">
        <v>0</v>
      </c>
      <c r="AH2059" s="0" t="s">
        <v>140</v>
      </c>
      <c r="AI2059" s="0" t="s">
        <v>479</v>
      </c>
      <c r="AK2059" s="0" t="s">
        <v>3626</v>
      </c>
      <c r="AL2059" s="14"/>
      <c r="AN2059" s="14"/>
      <c r="AQ2059" s="0" t="s">
        <v>130</v>
      </c>
      <c r="AR2059" s="0" t="s">
        <v>141</v>
      </c>
      <c r="AS2059" s="0" t="s">
        <v>130</v>
      </c>
      <c r="AT2059" s="0" t="s">
        <v>130</v>
      </c>
      <c r="AU2059" s="0" t="s">
        <v>130</v>
      </c>
      <c r="AV2059" s="0" t="s">
        <v>141</v>
      </c>
      <c r="AW2059" s="0" t="s">
        <v>130</v>
      </c>
      <c r="AX2059" s="0" t="s">
        <v>130</v>
      </c>
      <c r="AY2059" s="0" t="s">
        <v>130</v>
      </c>
      <c r="AZ2059" s="0" t="s">
        <v>130</v>
      </c>
      <c r="BA2059" s="0" t="s">
        <v>141</v>
      </c>
      <c r="BB2059" s="0" t="s">
        <v>141</v>
      </c>
      <c r="BC2059" s="0" t="s">
        <v>130</v>
      </c>
      <c r="BD2059" s="0" t="s">
        <v>141</v>
      </c>
      <c r="BE2059" s="0" t="s">
        <v>141</v>
      </c>
      <c r="BF2059" s="0" t="s">
        <v>130</v>
      </c>
      <c r="BG2059" s="0" t="s">
        <v>130</v>
      </c>
      <c r="BH2059" s="0" t="s">
        <v>130</v>
      </c>
      <c r="BI2059" s="0" t="s">
        <v>130</v>
      </c>
      <c r="BJ2059" s="0" t="s">
        <v>130</v>
      </c>
      <c r="BK2059" s="0" t="s">
        <v>130</v>
      </c>
      <c r="BL2059" s="0" t="s">
        <v>130</v>
      </c>
      <c r="BM2059" s="0" t="s">
        <v>130</v>
      </c>
      <c r="BN2059" s="0" t="s">
        <v>130</v>
      </c>
      <c r="BO2059" s="0" t="s">
        <v>130</v>
      </c>
      <c r="BP2059" s="0" t="s">
        <v>130</v>
      </c>
      <c r="BQ2059" s="0" t="s">
        <v>130</v>
      </c>
      <c r="BR2059" s="0" t="s">
        <v>130</v>
      </c>
      <c r="BS2059" s="0" t="s">
        <v>130</v>
      </c>
      <c r="BT2059" s="0" t="s">
        <v>130</v>
      </c>
      <c r="BU2059" s="0" t="s">
        <v>130</v>
      </c>
      <c r="BV2059" s="0" t="s">
        <v>130</v>
      </c>
      <c r="BW2059" s="0" t="s">
        <v>130</v>
      </c>
      <c r="BX2059" s="0" t="s">
        <v>130</v>
      </c>
      <c r="BY2059" s="0" t="s">
        <v>130</v>
      </c>
      <c r="BZ2059" s="0" t="s">
        <v>130</v>
      </c>
      <c r="CA2059" s="0" t="s">
        <v>130</v>
      </c>
      <c r="CB2059" s="0" t="s">
        <v>130</v>
      </c>
      <c r="CC2059" s="0" t="s">
        <v>130</v>
      </c>
      <c r="CD2059" s="0" t="s">
        <v>130</v>
      </c>
      <c r="CE2059" s="0" t="s">
        <v>130</v>
      </c>
      <c r="CF2059" s="0" t="s">
        <v>130</v>
      </c>
      <c r="CG2059" s="0" t="s">
        <v>130</v>
      </c>
      <c r="CH2059" s="0" t="s">
        <v>130</v>
      </c>
      <c r="CI2059" s="0" t="s">
        <v>130</v>
      </c>
      <c r="CJ2059" s="0" t="s">
        <v>130</v>
      </c>
      <c r="CK2059" s="0" t="s">
        <v>130</v>
      </c>
      <c r="CL2059" s="0" t="s">
        <v>130</v>
      </c>
      <c r="CM2059" s="0" t="s">
        <v>130</v>
      </c>
      <c r="CN2059" s="0" t="s">
        <v>130</v>
      </c>
      <c r="CO2059" s="0" t="s">
        <v>130</v>
      </c>
      <c r="CP2059" s="0" t="s">
        <v>130</v>
      </c>
      <c r="CQ2059" s="0" t="s">
        <v>130</v>
      </c>
      <c r="CR2059" s="0" t="s">
        <v>130</v>
      </c>
      <c r="CS2059" s="0" t="s">
        <v>130</v>
      </c>
      <c r="CT2059" s="0" t="s">
        <v>5726</v>
      </c>
    </row>
    <row r="2060">
      <c r="A2060" s="14">
        <v>115245</v>
      </c>
      <c r="B2060" s="0" t="s">
        <v>2366</v>
      </c>
      <c r="C2060" s="16">
        <f>HYPERLINK("https://eosportal.federatedhermes.com/companies/Q29tcGFueQppODU4ODA=", "BNP Paribas SA")</f>
      </c>
      <c r="D2060" s="0" t="s">
        <v>25</v>
      </c>
      <c r="E2060" s="0" t="s">
        <v>5727</v>
      </c>
      <c r="F2060" s="16">
        <f>HYPERLINK("https://eosportal.federatedhermes.com/engagements/RW5nYWdlbWVudAppMzIyNDI=", "Links to deforestation")</f>
      </c>
      <c r="G2060" s="14" t="s">
        <v>5728</v>
      </c>
      <c r="H2060" s="0" t="s">
        <v>141</v>
      </c>
      <c r="I2060" s="14" t="s">
        <v>131</v>
      </c>
      <c r="J2060" s="0" t="s">
        <v>197</v>
      </c>
      <c r="K2060" s="0" t="s">
        <v>337</v>
      </c>
      <c r="L2060" s="0" t="s">
        <v>576</v>
      </c>
      <c r="M2060" s="0" t="s">
        <v>378</v>
      </c>
      <c r="N2060" s="0" t="s">
        <v>1646</v>
      </c>
      <c r="O2060" s="0" t="s">
        <v>238</v>
      </c>
      <c r="Q2060" s="0" t="s">
        <v>130</v>
      </c>
      <c r="R2060" s="0" t="s">
        <v>138</v>
      </c>
      <c r="S2060" s="14">
        <v>0</v>
      </c>
      <c r="T2060" s="0" t="s">
        <v>2629</v>
      </c>
      <c r="U2060" s="0" t="s">
        <v>138</v>
      </c>
      <c r="V2060" s="14" t="s">
        <v>138</v>
      </c>
      <c r="W2060" s="0" t="s">
        <v>138</v>
      </c>
      <c r="X2060" s="14" t="s">
        <v>138</v>
      </c>
      <c r="Y2060" s="0" t="s">
        <v>138</v>
      </c>
      <c r="Z2060" s="14" t="s">
        <v>138</v>
      </c>
      <c r="AA2060" s="0" t="s">
        <v>138</v>
      </c>
      <c r="AB2060" s="14" t="s">
        <v>138</v>
      </c>
      <c r="AD2060" s="0" t="s">
        <v>138</v>
      </c>
      <c r="AF2060" s="0">
        <v>0</v>
      </c>
      <c r="AG2060" s="0">
        <v>0</v>
      </c>
      <c r="AH2060" s="0" t="s">
        <v>140</v>
      </c>
      <c r="AI2060" s="0" t="s">
        <v>138</v>
      </c>
      <c r="AL2060" s="14"/>
      <c r="AN2060" s="14"/>
      <c r="AQ2060" s="0" t="s">
        <v>130</v>
      </c>
      <c r="AR2060" s="0" t="s">
        <v>141</v>
      </c>
      <c r="AS2060" s="0" t="s">
        <v>130</v>
      </c>
      <c r="AT2060" s="0" t="s">
        <v>130</v>
      </c>
      <c r="AU2060" s="0" t="s">
        <v>130</v>
      </c>
      <c r="AV2060" s="0" t="s">
        <v>130</v>
      </c>
      <c r="AW2060" s="0" t="s">
        <v>130</v>
      </c>
      <c r="AX2060" s="0" t="s">
        <v>130</v>
      </c>
      <c r="AY2060" s="0" t="s">
        <v>130</v>
      </c>
      <c r="AZ2060" s="0" t="s">
        <v>130</v>
      </c>
      <c r="BA2060" s="0" t="s">
        <v>130</v>
      </c>
      <c r="BB2060" s="0" t="s">
        <v>141</v>
      </c>
      <c r="BC2060" s="0" t="s">
        <v>130</v>
      </c>
      <c r="BD2060" s="0" t="s">
        <v>130</v>
      </c>
      <c r="BE2060" s="0" t="s">
        <v>141</v>
      </c>
      <c r="BF2060" s="0" t="s">
        <v>130</v>
      </c>
      <c r="BG2060" s="0" t="s">
        <v>130</v>
      </c>
      <c r="BH2060" s="0" t="s">
        <v>130</v>
      </c>
      <c r="BI2060" s="0" t="s">
        <v>130</v>
      </c>
      <c r="BJ2060" s="0" t="s">
        <v>130</v>
      </c>
      <c r="BK2060" s="0" t="s">
        <v>130</v>
      </c>
      <c r="BL2060" s="0" t="s">
        <v>130</v>
      </c>
      <c r="BM2060" s="0" t="s">
        <v>130</v>
      </c>
      <c r="BN2060" s="0" t="s">
        <v>130</v>
      </c>
      <c r="BO2060" s="0" t="s">
        <v>130</v>
      </c>
      <c r="BP2060" s="0" t="s">
        <v>130</v>
      </c>
      <c r="BQ2060" s="0" t="s">
        <v>130</v>
      </c>
      <c r="BR2060" s="0" t="s">
        <v>130</v>
      </c>
      <c r="BS2060" s="0" t="s">
        <v>130</v>
      </c>
      <c r="BT2060" s="0" t="s">
        <v>130</v>
      </c>
      <c r="BU2060" s="0" t="s">
        <v>130</v>
      </c>
      <c r="BV2060" s="0" t="s">
        <v>130</v>
      </c>
      <c r="BW2060" s="0" t="s">
        <v>130</v>
      </c>
      <c r="BX2060" s="0" t="s">
        <v>130</v>
      </c>
      <c r="BY2060" s="0" t="s">
        <v>130</v>
      </c>
      <c r="BZ2060" s="0" t="s">
        <v>130</v>
      </c>
      <c r="CA2060" s="0" t="s">
        <v>130</v>
      </c>
      <c r="CB2060" s="0" t="s">
        <v>130</v>
      </c>
      <c r="CC2060" s="0" t="s">
        <v>130</v>
      </c>
      <c r="CD2060" s="0" t="s">
        <v>130</v>
      </c>
      <c r="CE2060" s="0" t="s">
        <v>130</v>
      </c>
      <c r="CF2060" s="0" t="s">
        <v>130</v>
      </c>
      <c r="CG2060" s="0" t="s">
        <v>130</v>
      </c>
      <c r="CH2060" s="0" t="s">
        <v>130</v>
      </c>
      <c r="CI2060" s="0" t="s">
        <v>130</v>
      </c>
      <c r="CJ2060" s="0" t="s">
        <v>130</v>
      </c>
      <c r="CK2060" s="0" t="s">
        <v>130</v>
      </c>
      <c r="CL2060" s="0" t="s">
        <v>130</v>
      </c>
      <c r="CM2060" s="0" t="s">
        <v>130</v>
      </c>
      <c r="CN2060" s="0" t="s">
        <v>130</v>
      </c>
      <c r="CO2060" s="0" t="s">
        <v>130</v>
      </c>
      <c r="CP2060" s="0" t="s">
        <v>130</v>
      </c>
      <c r="CQ2060" s="0" t="s">
        <v>130</v>
      </c>
      <c r="CR2060" s="0" t="s">
        <v>130</v>
      </c>
      <c r="CS2060" s="0" t="s">
        <v>130</v>
      </c>
      <c r="CT2060" s="0" t="s">
        <v>5729</v>
      </c>
    </row>
    <row r="2061">
      <c r="A2061" s="14">
        <v>41633927</v>
      </c>
      <c r="B2061" s="0" t="s">
        <v>4569</v>
      </c>
      <c r="C2061" s="16">
        <f>HYPERLINK("https://eosportal.federatedhermes.com/companies/Q29tcGFueQppNTIxODI=", "Stellantis NV")</f>
      </c>
      <c r="D2061" s="0" t="s">
        <v>25</v>
      </c>
      <c r="E2061" s="0" t="s">
        <v>1034</v>
      </c>
      <c r="F2061" s="16">
        <f>HYPERLINK("https://eosportal.federatedhermes.com/engagements/RW5nYWdlbWVudAppMzIyNDM=", "Board composition")</f>
      </c>
      <c r="G2061" s="14" t="s">
        <v>5730</v>
      </c>
      <c r="H2061" s="0" t="s">
        <v>141</v>
      </c>
      <c r="I2061" s="14" t="s">
        <v>1645</v>
      </c>
      <c r="J2061" s="0" t="s">
        <v>145</v>
      </c>
      <c r="K2061" s="0" t="s">
        <v>164</v>
      </c>
      <c r="L2061" s="0" t="s">
        <v>165</v>
      </c>
      <c r="M2061" s="0" t="s">
        <v>378</v>
      </c>
      <c r="N2061" s="0" t="s">
        <v>2554</v>
      </c>
      <c r="O2061" s="0" t="s">
        <v>425</v>
      </c>
      <c r="Q2061" s="0" t="s">
        <v>130</v>
      </c>
      <c r="R2061" s="0" t="s">
        <v>138</v>
      </c>
      <c r="S2061" s="14">
        <v>0</v>
      </c>
      <c r="T2061" s="0" t="s">
        <v>2629</v>
      </c>
      <c r="U2061" s="0" t="s">
        <v>138</v>
      </c>
      <c r="V2061" s="14" t="s">
        <v>138</v>
      </c>
      <c r="W2061" s="0" t="s">
        <v>138</v>
      </c>
      <c r="X2061" s="14" t="s">
        <v>138</v>
      </c>
      <c r="Y2061" s="0" t="s">
        <v>138</v>
      </c>
      <c r="Z2061" s="14" t="s">
        <v>138</v>
      </c>
      <c r="AA2061" s="0" t="s">
        <v>138</v>
      </c>
      <c r="AB2061" s="14" t="s">
        <v>138</v>
      </c>
      <c r="AD2061" s="0" t="s">
        <v>138</v>
      </c>
      <c r="AF2061" s="0">
        <v>0</v>
      </c>
      <c r="AG2061" s="0">
        <v>0</v>
      </c>
      <c r="AH2061" s="0" t="s">
        <v>140</v>
      </c>
      <c r="AI2061" s="0" t="s">
        <v>138</v>
      </c>
      <c r="AL2061" s="14"/>
      <c r="AN2061" s="14"/>
      <c r="AQ2061" s="0" t="s">
        <v>130</v>
      </c>
      <c r="AR2061" s="0" t="s">
        <v>130</v>
      </c>
      <c r="AS2061" s="0" t="s">
        <v>130</v>
      </c>
      <c r="AT2061" s="0" t="s">
        <v>130</v>
      </c>
      <c r="AU2061" s="0" t="s">
        <v>130</v>
      </c>
      <c r="AV2061" s="0" t="s">
        <v>130</v>
      </c>
      <c r="AW2061" s="0" t="s">
        <v>130</v>
      </c>
      <c r="AX2061" s="0" t="s">
        <v>130</v>
      </c>
      <c r="AY2061" s="0" t="s">
        <v>130</v>
      </c>
      <c r="AZ2061" s="0" t="s">
        <v>130</v>
      </c>
      <c r="BA2061" s="0" t="s">
        <v>130</v>
      </c>
      <c r="BB2061" s="0" t="s">
        <v>130</v>
      </c>
      <c r="BC2061" s="0" t="s">
        <v>130</v>
      </c>
      <c r="BD2061" s="0" t="s">
        <v>130</v>
      </c>
      <c r="BE2061" s="0" t="s">
        <v>130</v>
      </c>
      <c r="BF2061" s="0" t="s">
        <v>130</v>
      </c>
      <c r="BG2061" s="0" t="s">
        <v>130</v>
      </c>
      <c r="BH2061" s="0" t="s">
        <v>130</v>
      </c>
      <c r="BI2061" s="0" t="s">
        <v>130</v>
      </c>
      <c r="BJ2061" s="0" t="s">
        <v>130</v>
      </c>
      <c r="BK2061" s="0" t="s">
        <v>130</v>
      </c>
      <c r="BL2061" s="0" t="s">
        <v>130</v>
      </c>
      <c r="BM2061" s="0" t="s">
        <v>130</v>
      </c>
      <c r="BN2061" s="0" t="s">
        <v>130</v>
      </c>
      <c r="BO2061" s="0" t="s">
        <v>130</v>
      </c>
      <c r="BP2061" s="0" t="s">
        <v>130</v>
      </c>
      <c r="BQ2061" s="0" t="s">
        <v>130</v>
      </c>
      <c r="BR2061" s="0" t="s">
        <v>130</v>
      </c>
      <c r="BS2061" s="0" t="s">
        <v>130</v>
      </c>
      <c r="BT2061" s="0" t="s">
        <v>130</v>
      </c>
      <c r="BU2061" s="0" t="s">
        <v>130</v>
      </c>
      <c r="BV2061" s="0" t="s">
        <v>130</v>
      </c>
      <c r="BW2061" s="0" t="s">
        <v>130</v>
      </c>
      <c r="BX2061" s="0" t="s">
        <v>130</v>
      </c>
      <c r="BY2061" s="0" t="s">
        <v>130</v>
      </c>
      <c r="BZ2061" s="0" t="s">
        <v>130</v>
      </c>
      <c r="CA2061" s="0" t="s">
        <v>130</v>
      </c>
      <c r="CB2061" s="0" t="s">
        <v>130</v>
      </c>
      <c r="CC2061" s="0" t="s">
        <v>130</v>
      </c>
      <c r="CD2061" s="0" t="s">
        <v>130</v>
      </c>
      <c r="CE2061" s="0" t="s">
        <v>130</v>
      </c>
      <c r="CF2061" s="0" t="s">
        <v>130</v>
      </c>
      <c r="CG2061" s="0" t="s">
        <v>130</v>
      </c>
      <c r="CH2061" s="0" t="s">
        <v>130</v>
      </c>
      <c r="CI2061" s="0" t="s">
        <v>130</v>
      </c>
      <c r="CJ2061" s="0" t="s">
        <v>130</v>
      </c>
      <c r="CK2061" s="0" t="s">
        <v>130</v>
      </c>
      <c r="CL2061" s="0" t="s">
        <v>130</v>
      </c>
      <c r="CM2061" s="0" t="s">
        <v>130</v>
      </c>
      <c r="CN2061" s="0" t="s">
        <v>130</v>
      </c>
      <c r="CO2061" s="0" t="s">
        <v>130</v>
      </c>
      <c r="CP2061" s="0" t="s">
        <v>130</v>
      </c>
      <c r="CQ2061" s="0" t="s">
        <v>130</v>
      </c>
      <c r="CR2061" s="0" t="s">
        <v>130</v>
      </c>
      <c r="CS2061" s="0" t="s">
        <v>130</v>
      </c>
      <c r="CT2061" s="0" t="s">
        <v>5731</v>
      </c>
    </row>
    <row r="2062">
      <c r="A2062" s="14">
        <v>115785</v>
      </c>
      <c r="B2062" s="0" t="s">
        <v>2695</v>
      </c>
      <c r="C2062" s="16">
        <f>HYPERLINK("https://eosportal.federatedhermes.com/companies/Q29tcGFueQppODU0NDE=", "Roche Holding AG")</f>
      </c>
      <c r="D2062" s="0" t="s">
        <v>25</v>
      </c>
      <c r="E2062" s="0" t="s">
        <v>5221</v>
      </c>
      <c r="F2062" s="16">
        <f>HYPERLINK("https://eosportal.federatedhermes.com/engagements/RW5nYWdlbWVudAppMzIyNTM=", "Independence of committees")</f>
      </c>
      <c r="G2062" s="14" t="s">
        <v>5732</v>
      </c>
      <c r="H2062" s="0" t="s">
        <v>141</v>
      </c>
      <c r="I2062" s="14" t="s">
        <v>191</v>
      </c>
      <c r="J2062" s="0" t="s">
        <v>145</v>
      </c>
      <c r="K2062" s="0" t="s">
        <v>164</v>
      </c>
      <c r="L2062" s="0" t="s">
        <v>165</v>
      </c>
      <c r="M2062" s="0" t="s">
        <v>378</v>
      </c>
      <c r="N2062" s="0" t="s">
        <v>1059</v>
      </c>
      <c r="O2062" s="0" t="s">
        <v>274</v>
      </c>
      <c r="Q2062" s="0" t="s">
        <v>130</v>
      </c>
      <c r="R2062" s="0" t="s">
        <v>138</v>
      </c>
      <c r="S2062" s="14">
        <v>0</v>
      </c>
      <c r="T2062" s="0" t="s">
        <v>2629</v>
      </c>
      <c r="U2062" s="0" t="s">
        <v>138</v>
      </c>
      <c r="V2062" s="14" t="s">
        <v>138</v>
      </c>
      <c r="W2062" s="0" t="s">
        <v>138</v>
      </c>
      <c r="X2062" s="14" t="s">
        <v>138</v>
      </c>
      <c r="Y2062" s="0" t="s">
        <v>138</v>
      </c>
      <c r="Z2062" s="14" t="s">
        <v>138</v>
      </c>
      <c r="AA2062" s="0" t="s">
        <v>138</v>
      </c>
      <c r="AB2062" s="14" t="s">
        <v>138</v>
      </c>
      <c r="AD2062" s="0" t="s">
        <v>138</v>
      </c>
      <c r="AF2062" s="0">
        <v>0</v>
      </c>
      <c r="AG2062" s="0">
        <v>0</v>
      </c>
      <c r="AH2062" s="0" t="s">
        <v>140</v>
      </c>
      <c r="AI2062" s="0" t="s">
        <v>138</v>
      </c>
      <c r="AL2062" s="14"/>
      <c r="AN2062" s="14"/>
      <c r="AQ2062" s="0" t="s">
        <v>130</v>
      </c>
      <c r="AR2062" s="0" t="s">
        <v>130</v>
      </c>
      <c r="AS2062" s="0" t="s">
        <v>130</v>
      </c>
      <c r="AT2062" s="0" t="s">
        <v>130</v>
      </c>
      <c r="AU2062" s="0" t="s">
        <v>130</v>
      </c>
      <c r="AV2062" s="0" t="s">
        <v>130</v>
      </c>
      <c r="AW2062" s="0" t="s">
        <v>130</v>
      </c>
      <c r="AX2062" s="0" t="s">
        <v>130</v>
      </c>
      <c r="AY2062" s="0" t="s">
        <v>130</v>
      </c>
      <c r="AZ2062" s="0" t="s">
        <v>130</v>
      </c>
      <c r="BA2062" s="0" t="s">
        <v>130</v>
      </c>
      <c r="BB2062" s="0" t="s">
        <v>130</v>
      </c>
      <c r="BC2062" s="0" t="s">
        <v>130</v>
      </c>
      <c r="BD2062" s="0" t="s">
        <v>130</v>
      </c>
      <c r="BE2062" s="0" t="s">
        <v>130</v>
      </c>
      <c r="BF2062" s="0" t="s">
        <v>130</v>
      </c>
      <c r="BG2062" s="0" t="s">
        <v>130</v>
      </c>
      <c r="BH2062" s="0" t="s">
        <v>130</v>
      </c>
      <c r="BI2062" s="0" t="s">
        <v>130</v>
      </c>
      <c r="BJ2062" s="0" t="s">
        <v>130</v>
      </c>
      <c r="BK2062" s="0" t="s">
        <v>130</v>
      </c>
      <c r="BL2062" s="0" t="s">
        <v>130</v>
      </c>
      <c r="BM2062" s="0" t="s">
        <v>130</v>
      </c>
      <c r="BN2062" s="0" t="s">
        <v>130</v>
      </c>
      <c r="BO2062" s="0" t="s">
        <v>130</v>
      </c>
      <c r="BP2062" s="0" t="s">
        <v>130</v>
      </c>
      <c r="BQ2062" s="0" t="s">
        <v>130</v>
      </c>
      <c r="BR2062" s="0" t="s">
        <v>130</v>
      </c>
      <c r="BS2062" s="0" t="s">
        <v>130</v>
      </c>
      <c r="BT2062" s="0" t="s">
        <v>130</v>
      </c>
      <c r="BU2062" s="0" t="s">
        <v>130</v>
      </c>
      <c r="BV2062" s="0" t="s">
        <v>130</v>
      </c>
      <c r="BW2062" s="0" t="s">
        <v>130</v>
      </c>
      <c r="BX2062" s="0" t="s">
        <v>130</v>
      </c>
      <c r="BY2062" s="0" t="s">
        <v>130</v>
      </c>
      <c r="BZ2062" s="0" t="s">
        <v>130</v>
      </c>
      <c r="CA2062" s="0" t="s">
        <v>130</v>
      </c>
      <c r="CB2062" s="0" t="s">
        <v>130</v>
      </c>
      <c r="CC2062" s="0" t="s">
        <v>130</v>
      </c>
      <c r="CD2062" s="0" t="s">
        <v>130</v>
      </c>
      <c r="CE2062" s="0" t="s">
        <v>130</v>
      </c>
      <c r="CF2062" s="0" t="s">
        <v>130</v>
      </c>
      <c r="CG2062" s="0" t="s">
        <v>130</v>
      </c>
      <c r="CH2062" s="0" t="s">
        <v>130</v>
      </c>
      <c r="CI2062" s="0" t="s">
        <v>130</v>
      </c>
      <c r="CJ2062" s="0" t="s">
        <v>130</v>
      </c>
      <c r="CK2062" s="0" t="s">
        <v>130</v>
      </c>
      <c r="CL2062" s="0" t="s">
        <v>130</v>
      </c>
      <c r="CM2062" s="0" t="s">
        <v>130</v>
      </c>
      <c r="CN2062" s="0" t="s">
        <v>130</v>
      </c>
      <c r="CO2062" s="0" t="s">
        <v>130</v>
      </c>
      <c r="CP2062" s="0" t="s">
        <v>130</v>
      </c>
      <c r="CQ2062" s="0" t="s">
        <v>130</v>
      </c>
      <c r="CR2062" s="0" t="s">
        <v>130</v>
      </c>
      <c r="CS2062" s="0" t="s">
        <v>130</v>
      </c>
      <c r="CT2062" s="0" t="s">
        <v>5733</v>
      </c>
    </row>
    <row r="2063">
      <c r="A2063" s="14">
        <v>117621</v>
      </c>
      <c r="B2063" s="0" t="s">
        <v>2862</v>
      </c>
      <c r="C2063" s="16">
        <f>HYPERLINK("https://eosportal.federatedhermes.com/companies/Q29tcGFueQppNjc3Mzc=", "Hyundai Motor Co")</f>
      </c>
      <c r="D2063" s="0" t="s">
        <v>25</v>
      </c>
      <c r="E2063" s="0" t="s">
        <v>5734</v>
      </c>
      <c r="F2063" s="16">
        <f>HYPERLINK("https://eosportal.federatedhermes.com/engagements/RW5nYWdlbWVudAppMzIyNTQ=", "Cross-shareholding between Hyundai Motors and Korea Telecom")</f>
      </c>
      <c r="G2063" s="14" t="s">
        <v>5735</v>
      </c>
      <c r="H2063" s="0" t="s">
        <v>141</v>
      </c>
      <c r="I2063" s="14" t="s">
        <v>191</v>
      </c>
      <c r="J2063" s="0" t="s">
        <v>145</v>
      </c>
      <c r="K2063" s="0" t="s">
        <v>400</v>
      </c>
      <c r="L2063" s="0" t="s">
        <v>507</v>
      </c>
      <c r="M2063" s="0" t="s">
        <v>802</v>
      </c>
      <c r="N2063" s="0" t="s">
        <v>2800</v>
      </c>
      <c r="O2063" s="0" t="s">
        <v>425</v>
      </c>
      <c r="Q2063" s="0" t="s">
        <v>130</v>
      </c>
      <c r="R2063" s="0" t="s">
        <v>138</v>
      </c>
      <c r="S2063" s="14">
        <v>0</v>
      </c>
      <c r="T2063" s="0" t="s">
        <v>2629</v>
      </c>
      <c r="U2063" s="0" t="s">
        <v>138</v>
      </c>
      <c r="V2063" s="14" t="s">
        <v>138</v>
      </c>
      <c r="W2063" s="0" t="s">
        <v>138</v>
      </c>
      <c r="X2063" s="14" t="s">
        <v>138</v>
      </c>
      <c r="Y2063" s="0" t="s">
        <v>138</v>
      </c>
      <c r="Z2063" s="14" t="s">
        <v>138</v>
      </c>
      <c r="AA2063" s="0" t="s">
        <v>138</v>
      </c>
      <c r="AB2063" s="14" t="s">
        <v>138</v>
      </c>
      <c r="AD2063" s="0" t="s">
        <v>138</v>
      </c>
      <c r="AF2063" s="0">
        <v>0</v>
      </c>
      <c r="AG2063" s="0">
        <v>0</v>
      </c>
      <c r="AH2063" s="0" t="s">
        <v>140</v>
      </c>
      <c r="AI2063" s="0" t="s">
        <v>138</v>
      </c>
      <c r="AL2063" s="14"/>
      <c r="AN2063" s="14"/>
      <c r="AQ2063" s="0" t="s">
        <v>130</v>
      </c>
      <c r="AR2063" s="0" t="s">
        <v>130</v>
      </c>
      <c r="AS2063" s="0" t="s">
        <v>130</v>
      </c>
      <c r="AT2063" s="0" t="s">
        <v>130</v>
      </c>
      <c r="AU2063" s="0" t="s">
        <v>130</v>
      </c>
      <c r="AV2063" s="0" t="s">
        <v>130</v>
      </c>
      <c r="AW2063" s="0" t="s">
        <v>130</v>
      </c>
      <c r="AX2063" s="0" t="s">
        <v>130</v>
      </c>
      <c r="AY2063" s="0" t="s">
        <v>130</v>
      </c>
      <c r="AZ2063" s="0" t="s">
        <v>130</v>
      </c>
      <c r="BA2063" s="0" t="s">
        <v>130</v>
      </c>
      <c r="BB2063" s="0" t="s">
        <v>130</v>
      </c>
      <c r="BC2063" s="0" t="s">
        <v>130</v>
      </c>
      <c r="BD2063" s="0" t="s">
        <v>130</v>
      </c>
      <c r="BE2063" s="0" t="s">
        <v>130</v>
      </c>
      <c r="BF2063" s="0" t="s">
        <v>130</v>
      </c>
      <c r="BG2063" s="0" t="s">
        <v>130</v>
      </c>
      <c r="BH2063" s="0" t="s">
        <v>130</v>
      </c>
      <c r="BI2063" s="0" t="s">
        <v>130</v>
      </c>
      <c r="BJ2063" s="0" t="s">
        <v>130</v>
      </c>
      <c r="BK2063" s="0" t="s">
        <v>130</v>
      </c>
      <c r="BL2063" s="0" t="s">
        <v>130</v>
      </c>
      <c r="BM2063" s="0" t="s">
        <v>130</v>
      </c>
      <c r="BN2063" s="0" t="s">
        <v>130</v>
      </c>
      <c r="BO2063" s="0" t="s">
        <v>130</v>
      </c>
      <c r="BP2063" s="0" t="s">
        <v>130</v>
      </c>
      <c r="BQ2063" s="0" t="s">
        <v>130</v>
      </c>
      <c r="BR2063" s="0" t="s">
        <v>130</v>
      </c>
      <c r="BS2063" s="0" t="s">
        <v>130</v>
      </c>
      <c r="BT2063" s="0" t="s">
        <v>130</v>
      </c>
      <c r="BU2063" s="0" t="s">
        <v>130</v>
      </c>
      <c r="BV2063" s="0" t="s">
        <v>130</v>
      </c>
      <c r="BW2063" s="0" t="s">
        <v>130</v>
      </c>
      <c r="BX2063" s="0" t="s">
        <v>130</v>
      </c>
      <c r="BY2063" s="0" t="s">
        <v>130</v>
      </c>
      <c r="BZ2063" s="0" t="s">
        <v>130</v>
      </c>
      <c r="CA2063" s="0" t="s">
        <v>130</v>
      </c>
      <c r="CB2063" s="0" t="s">
        <v>130</v>
      </c>
      <c r="CC2063" s="0" t="s">
        <v>130</v>
      </c>
      <c r="CD2063" s="0" t="s">
        <v>130</v>
      </c>
      <c r="CE2063" s="0" t="s">
        <v>130</v>
      </c>
      <c r="CF2063" s="0" t="s">
        <v>130</v>
      </c>
      <c r="CG2063" s="0" t="s">
        <v>130</v>
      </c>
      <c r="CH2063" s="0" t="s">
        <v>130</v>
      </c>
      <c r="CI2063" s="0" t="s">
        <v>130</v>
      </c>
      <c r="CJ2063" s="0" t="s">
        <v>130</v>
      </c>
      <c r="CK2063" s="0" t="s">
        <v>130</v>
      </c>
      <c r="CL2063" s="0" t="s">
        <v>130</v>
      </c>
      <c r="CM2063" s="0" t="s">
        <v>130</v>
      </c>
      <c r="CN2063" s="0" t="s">
        <v>130</v>
      </c>
      <c r="CO2063" s="0" t="s">
        <v>130</v>
      </c>
      <c r="CP2063" s="0" t="s">
        <v>130</v>
      </c>
      <c r="CQ2063" s="0" t="s">
        <v>130</v>
      </c>
      <c r="CR2063" s="0" t="s">
        <v>130</v>
      </c>
      <c r="CS2063" s="0" t="s">
        <v>130</v>
      </c>
      <c r="CT2063" s="0" t="s">
        <v>5736</v>
      </c>
    </row>
    <row r="2064">
      <c r="A2064" s="14">
        <v>117621</v>
      </c>
      <c r="B2064" s="0" t="s">
        <v>2862</v>
      </c>
      <c r="C2064" s="16">
        <f>HYPERLINK("https://eosportal.federatedhermes.com/companies/Q29tcGFueQppNjc3Mzc=", "Hyundai Motor Co")</f>
      </c>
      <c r="D2064" s="0" t="s">
        <v>25</v>
      </c>
      <c r="E2064" s="0" t="s">
        <v>5737</v>
      </c>
      <c r="F2064" s="16">
        <f>HYPERLINK("https://eosportal.federatedhermes.com/engagements/RW5nYWdlbWVudAppMzIyNTU=", "Climate-aligned accounting")</f>
      </c>
      <c r="G2064" s="14" t="s">
        <v>5738</v>
      </c>
      <c r="H2064" s="0" t="s">
        <v>141</v>
      </c>
      <c r="I2064" s="14" t="s">
        <v>191</v>
      </c>
      <c r="J2064" s="0" t="s">
        <v>197</v>
      </c>
      <c r="K2064" s="0" t="s">
        <v>198</v>
      </c>
      <c r="L2064" s="0" t="s">
        <v>199</v>
      </c>
      <c r="M2064" s="0" t="s">
        <v>802</v>
      </c>
      <c r="N2064" s="0" t="s">
        <v>2800</v>
      </c>
      <c r="O2064" s="0" t="s">
        <v>425</v>
      </c>
      <c r="Q2064" s="0" t="s">
        <v>130</v>
      </c>
      <c r="R2064" s="0" t="s">
        <v>138</v>
      </c>
      <c r="S2064" s="14">
        <v>0</v>
      </c>
      <c r="T2064" s="0" t="s">
        <v>2629</v>
      </c>
      <c r="U2064" s="0" t="s">
        <v>138</v>
      </c>
      <c r="V2064" s="14" t="s">
        <v>138</v>
      </c>
      <c r="W2064" s="0" t="s">
        <v>138</v>
      </c>
      <c r="X2064" s="14" t="s">
        <v>138</v>
      </c>
      <c r="Y2064" s="0" t="s">
        <v>138</v>
      </c>
      <c r="Z2064" s="14" t="s">
        <v>138</v>
      </c>
      <c r="AA2064" s="0" t="s">
        <v>138</v>
      </c>
      <c r="AB2064" s="14" t="s">
        <v>138</v>
      </c>
      <c r="AD2064" s="0" t="s">
        <v>138</v>
      </c>
      <c r="AF2064" s="0">
        <v>0</v>
      </c>
      <c r="AG2064" s="0">
        <v>0</v>
      </c>
      <c r="AH2064" s="0" t="s">
        <v>140</v>
      </c>
      <c r="AI2064" s="0" t="s">
        <v>138</v>
      </c>
      <c r="AL2064" s="14"/>
      <c r="AN2064" s="14"/>
      <c r="AQ2064" s="0" t="s">
        <v>130</v>
      </c>
      <c r="AR2064" s="0" t="s">
        <v>130</v>
      </c>
      <c r="AS2064" s="0" t="s">
        <v>130</v>
      </c>
      <c r="AT2064" s="0" t="s">
        <v>130</v>
      </c>
      <c r="AU2064" s="0" t="s">
        <v>130</v>
      </c>
      <c r="AV2064" s="0" t="s">
        <v>130</v>
      </c>
      <c r="AW2064" s="0" t="s">
        <v>130</v>
      </c>
      <c r="AX2064" s="0" t="s">
        <v>130</v>
      </c>
      <c r="AY2064" s="0" t="s">
        <v>130</v>
      </c>
      <c r="AZ2064" s="0" t="s">
        <v>130</v>
      </c>
      <c r="BA2064" s="0" t="s">
        <v>130</v>
      </c>
      <c r="BB2064" s="0" t="s">
        <v>141</v>
      </c>
      <c r="BC2064" s="0" t="s">
        <v>130</v>
      </c>
      <c r="BD2064" s="0" t="s">
        <v>130</v>
      </c>
      <c r="BE2064" s="0" t="s">
        <v>130</v>
      </c>
      <c r="BF2064" s="0" t="s">
        <v>130</v>
      </c>
      <c r="BG2064" s="0" t="s">
        <v>130</v>
      </c>
      <c r="BH2064" s="0" t="s">
        <v>130</v>
      </c>
      <c r="BI2064" s="0" t="s">
        <v>130</v>
      </c>
      <c r="BJ2064" s="0" t="s">
        <v>130</v>
      </c>
      <c r="BK2064" s="0" t="s">
        <v>130</v>
      </c>
      <c r="BL2064" s="0" t="s">
        <v>130</v>
      </c>
      <c r="BM2064" s="0" t="s">
        <v>130</v>
      </c>
      <c r="BN2064" s="0" t="s">
        <v>130</v>
      </c>
      <c r="BO2064" s="0" t="s">
        <v>130</v>
      </c>
      <c r="BP2064" s="0" t="s">
        <v>130</v>
      </c>
      <c r="BQ2064" s="0" t="s">
        <v>130</v>
      </c>
      <c r="BR2064" s="0" t="s">
        <v>130</v>
      </c>
      <c r="BS2064" s="0" t="s">
        <v>130</v>
      </c>
      <c r="BT2064" s="0" t="s">
        <v>130</v>
      </c>
      <c r="BU2064" s="0" t="s">
        <v>130</v>
      </c>
      <c r="BV2064" s="0" t="s">
        <v>130</v>
      </c>
      <c r="BW2064" s="0" t="s">
        <v>130</v>
      </c>
      <c r="BX2064" s="0" t="s">
        <v>130</v>
      </c>
      <c r="BY2064" s="0" t="s">
        <v>130</v>
      </c>
      <c r="BZ2064" s="0" t="s">
        <v>130</v>
      </c>
      <c r="CA2064" s="0" t="s">
        <v>130</v>
      </c>
      <c r="CB2064" s="0" t="s">
        <v>130</v>
      </c>
      <c r="CC2064" s="0" t="s">
        <v>130</v>
      </c>
      <c r="CD2064" s="0" t="s">
        <v>130</v>
      </c>
      <c r="CE2064" s="0" t="s">
        <v>130</v>
      </c>
      <c r="CF2064" s="0" t="s">
        <v>130</v>
      </c>
      <c r="CG2064" s="0" t="s">
        <v>130</v>
      </c>
      <c r="CH2064" s="0" t="s">
        <v>130</v>
      </c>
      <c r="CI2064" s="0" t="s">
        <v>130</v>
      </c>
      <c r="CJ2064" s="0" t="s">
        <v>130</v>
      </c>
      <c r="CK2064" s="0" t="s">
        <v>130</v>
      </c>
      <c r="CL2064" s="0" t="s">
        <v>130</v>
      </c>
      <c r="CM2064" s="0" t="s">
        <v>130</v>
      </c>
      <c r="CN2064" s="0" t="s">
        <v>130</v>
      </c>
      <c r="CO2064" s="0" t="s">
        <v>130</v>
      </c>
      <c r="CP2064" s="0" t="s">
        <v>130</v>
      </c>
      <c r="CQ2064" s="0" t="s">
        <v>130</v>
      </c>
      <c r="CR2064" s="0" t="s">
        <v>130</v>
      </c>
      <c r="CS2064" s="0" t="s">
        <v>130</v>
      </c>
      <c r="CT2064" s="0" t="s">
        <v>5739</v>
      </c>
    </row>
    <row r="2065">
      <c r="A2065" s="14">
        <v>101534</v>
      </c>
      <c r="B2065" s="0" t="s">
        <v>1699</v>
      </c>
      <c r="C2065" s="16">
        <f>HYPERLINK("https://eosportal.federatedhermes.com/companies/Q29tcGFueQppNjM1OTI=", "Unilever PLC")</f>
      </c>
      <c r="D2065" s="0" t="s">
        <v>25</v>
      </c>
      <c r="E2065" s="0" t="s">
        <v>5740</v>
      </c>
      <c r="F2065" s="16">
        <f>HYPERLINK("https://eosportal.federatedhermes.com/engagements/RW5nYWdlbWVudAppMzIyNzY=", "Progress towards the company's deforestation-free supply chain goal")</f>
      </c>
      <c r="G2065" s="14" t="s">
        <v>5741</v>
      </c>
      <c r="H2065" s="0" t="s">
        <v>141</v>
      </c>
      <c r="I2065" s="14" t="s">
        <v>636</v>
      </c>
      <c r="J2065" s="0" t="s">
        <v>197</v>
      </c>
      <c r="K2065" s="0" t="s">
        <v>337</v>
      </c>
      <c r="L2065" s="0" t="s">
        <v>576</v>
      </c>
      <c r="M2065" s="0" t="s">
        <v>272</v>
      </c>
      <c r="N2065" s="0" t="s">
        <v>273</v>
      </c>
      <c r="O2065" s="0" t="s">
        <v>332</v>
      </c>
      <c r="Q2065" s="0" t="s">
        <v>130</v>
      </c>
      <c r="R2065" s="0" t="s">
        <v>138</v>
      </c>
      <c r="S2065" s="14">
        <v>0</v>
      </c>
      <c r="T2065" s="0" t="s">
        <v>2629</v>
      </c>
      <c r="U2065" s="0" t="s">
        <v>138</v>
      </c>
      <c r="V2065" s="14" t="s">
        <v>138</v>
      </c>
      <c r="W2065" s="0" t="s">
        <v>138</v>
      </c>
      <c r="X2065" s="14" t="s">
        <v>138</v>
      </c>
      <c r="Y2065" s="0" t="s">
        <v>138</v>
      </c>
      <c r="Z2065" s="14" t="s">
        <v>138</v>
      </c>
      <c r="AA2065" s="0" t="s">
        <v>138</v>
      </c>
      <c r="AB2065" s="14" t="s">
        <v>138</v>
      </c>
      <c r="AD2065" s="0" t="s">
        <v>138</v>
      </c>
      <c r="AF2065" s="0">
        <v>0</v>
      </c>
      <c r="AG2065" s="0">
        <v>0</v>
      </c>
      <c r="AH2065" s="0" t="s">
        <v>140</v>
      </c>
      <c r="AI2065" s="0" t="s">
        <v>138</v>
      </c>
      <c r="AL2065" s="14"/>
      <c r="AN2065" s="14"/>
      <c r="AQ2065" s="0" t="s">
        <v>130</v>
      </c>
      <c r="AR2065" s="0" t="s">
        <v>141</v>
      </c>
      <c r="AS2065" s="0" t="s">
        <v>130</v>
      </c>
      <c r="AT2065" s="0" t="s">
        <v>130</v>
      </c>
      <c r="AU2065" s="0" t="s">
        <v>130</v>
      </c>
      <c r="AV2065" s="0" t="s">
        <v>130</v>
      </c>
      <c r="AW2065" s="0" t="s">
        <v>130</v>
      </c>
      <c r="AX2065" s="0" t="s">
        <v>130</v>
      </c>
      <c r="AY2065" s="0" t="s">
        <v>130</v>
      </c>
      <c r="AZ2065" s="0" t="s">
        <v>130</v>
      </c>
      <c r="BA2065" s="0" t="s">
        <v>130</v>
      </c>
      <c r="BB2065" s="0" t="s">
        <v>141</v>
      </c>
      <c r="BC2065" s="0" t="s">
        <v>130</v>
      </c>
      <c r="BD2065" s="0" t="s">
        <v>130</v>
      </c>
      <c r="BE2065" s="0" t="s">
        <v>141</v>
      </c>
      <c r="BF2065" s="0" t="s">
        <v>130</v>
      </c>
      <c r="BG2065" s="0" t="s">
        <v>130</v>
      </c>
      <c r="BH2065" s="0" t="s">
        <v>130</v>
      </c>
      <c r="BI2065" s="0" t="s">
        <v>130</v>
      </c>
      <c r="BJ2065" s="0" t="s">
        <v>130</v>
      </c>
      <c r="BK2065" s="0" t="s">
        <v>130</v>
      </c>
      <c r="BL2065" s="0" t="s">
        <v>130</v>
      </c>
      <c r="BM2065" s="0" t="s">
        <v>130</v>
      </c>
      <c r="BN2065" s="0" t="s">
        <v>130</v>
      </c>
      <c r="BO2065" s="0" t="s">
        <v>130</v>
      </c>
      <c r="BP2065" s="0" t="s">
        <v>130</v>
      </c>
      <c r="BQ2065" s="0" t="s">
        <v>130</v>
      </c>
      <c r="BR2065" s="0" t="s">
        <v>130</v>
      </c>
      <c r="BS2065" s="0" t="s">
        <v>130</v>
      </c>
      <c r="BT2065" s="0" t="s">
        <v>130</v>
      </c>
      <c r="BU2065" s="0" t="s">
        <v>130</v>
      </c>
      <c r="BV2065" s="0" t="s">
        <v>130</v>
      </c>
      <c r="BW2065" s="0" t="s">
        <v>130</v>
      </c>
      <c r="BX2065" s="0" t="s">
        <v>130</v>
      </c>
      <c r="BY2065" s="0" t="s">
        <v>130</v>
      </c>
      <c r="BZ2065" s="0" t="s">
        <v>130</v>
      </c>
      <c r="CA2065" s="0" t="s">
        <v>130</v>
      </c>
      <c r="CB2065" s="0" t="s">
        <v>130</v>
      </c>
      <c r="CC2065" s="0" t="s">
        <v>130</v>
      </c>
      <c r="CD2065" s="0" t="s">
        <v>130</v>
      </c>
      <c r="CE2065" s="0" t="s">
        <v>130</v>
      </c>
      <c r="CF2065" s="0" t="s">
        <v>130</v>
      </c>
      <c r="CG2065" s="0" t="s">
        <v>130</v>
      </c>
      <c r="CH2065" s="0" t="s">
        <v>130</v>
      </c>
      <c r="CI2065" s="0" t="s">
        <v>130</v>
      </c>
      <c r="CJ2065" s="0" t="s">
        <v>130</v>
      </c>
      <c r="CK2065" s="0" t="s">
        <v>130</v>
      </c>
      <c r="CL2065" s="0" t="s">
        <v>130</v>
      </c>
      <c r="CM2065" s="0" t="s">
        <v>130</v>
      </c>
      <c r="CN2065" s="0" t="s">
        <v>130</v>
      </c>
      <c r="CO2065" s="0" t="s">
        <v>130</v>
      </c>
      <c r="CP2065" s="0" t="s">
        <v>130</v>
      </c>
      <c r="CQ2065" s="0" t="s">
        <v>130</v>
      </c>
      <c r="CR2065" s="0" t="s">
        <v>130</v>
      </c>
      <c r="CS2065" s="0" t="s">
        <v>130</v>
      </c>
      <c r="CT2065" s="0" t="s">
        <v>5742</v>
      </c>
    </row>
    <row r="2066">
      <c r="A2066" s="14">
        <v>8641755</v>
      </c>
      <c r="B2066" s="0" t="s">
        <v>3917</v>
      </c>
      <c r="C2066" s="16">
        <f>HYPERLINK("https://eosportal.federatedhermes.com/companies/Q29tcGFueQppODI2NzY=", "Yara International ASA")</f>
      </c>
      <c r="D2066" s="0" t="s">
        <v>25</v>
      </c>
      <c r="E2066" s="0" t="s">
        <v>5743</v>
      </c>
      <c r="F2066" s="16">
        <f>HYPERLINK("https://eosportal.federatedhermes.com/engagements/RW5nYWdlbWVudAppMzIyNzk=", "The company is yet to set science-based targets for scopes 1, 2 and 3 greenhouse")</f>
      </c>
      <c r="G2066" s="14" t="s">
        <v>5744</v>
      </c>
      <c r="H2066" s="0" t="s">
        <v>141</v>
      </c>
      <c r="I2066" s="14" t="s">
        <v>636</v>
      </c>
      <c r="J2066" s="0" t="s">
        <v>197</v>
      </c>
      <c r="K2066" s="0" t="s">
        <v>198</v>
      </c>
      <c r="L2066" s="0" t="s">
        <v>216</v>
      </c>
      <c r="M2066" s="0" t="s">
        <v>378</v>
      </c>
      <c r="N2066" s="0" t="s">
        <v>3211</v>
      </c>
      <c r="O2066" s="0" t="s">
        <v>706</v>
      </c>
      <c r="Q2066" s="0" t="s">
        <v>141</v>
      </c>
      <c r="R2066" s="0" t="s">
        <v>138</v>
      </c>
      <c r="S2066" s="14">
        <v>2</v>
      </c>
      <c r="T2066" s="0" t="s">
        <v>2629</v>
      </c>
      <c r="U2066" s="0" t="s">
        <v>138</v>
      </c>
      <c r="V2066" s="14" t="s">
        <v>138</v>
      </c>
      <c r="W2066" s="0" t="s">
        <v>138</v>
      </c>
      <c r="X2066" s="14" t="s">
        <v>138</v>
      </c>
      <c r="Y2066" s="0" t="s">
        <v>138</v>
      </c>
      <c r="Z2066" s="14" t="s">
        <v>138</v>
      </c>
      <c r="AA2066" s="0" t="s">
        <v>138</v>
      </c>
      <c r="AB2066" s="14" t="s">
        <v>138</v>
      </c>
      <c r="AD2066" s="0" t="s">
        <v>138</v>
      </c>
      <c r="AF2066" s="0">
        <v>0</v>
      </c>
      <c r="AG2066" s="0">
        <v>0</v>
      </c>
      <c r="AH2066" s="0" t="s">
        <v>140</v>
      </c>
      <c r="AI2066" s="0" t="s">
        <v>138</v>
      </c>
      <c r="AK2066" s="0" t="s">
        <v>413</v>
      </c>
      <c r="AL2066" s="14"/>
      <c r="AN2066" s="14"/>
      <c r="AQ2066" s="0" t="s">
        <v>130</v>
      </c>
      <c r="AR2066" s="0" t="s">
        <v>130</v>
      </c>
      <c r="AS2066" s="0" t="s">
        <v>130</v>
      </c>
      <c r="AT2066" s="0" t="s">
        <v>130</v>
      </c>
      <c r="AU2066" s="0" t="s">
        <v>130</v>
      </c>
      <c r="AV2066" s="0" t="s">
        <v>130</v>
      </c>
      <c r="AW2066" s="0" t="s">
        <v>141</v>
      </c>
      <c r="AX2066" s="0" t="s">
        <v>130</v>
      </c>
      <c r="AY2066" s="0" t="s">
        <v>130</v>
      </c>
      <c r="AZ2066" s="0" t="s">
        <v>130</v>
      </c>
      <c r="BA2066" s="0" t="s">
        <v>130</v>
      </c>
      <c r="BB2066" s="0" t="s">
        <v>130</v>
      </c>
      <c r="BC2066" s="0" t="s">
        <v>141</v>
      </c>
      <c r="BD2066" s="0" t="s">
        <v>130</v>
      </c>
      <c r="BE2066" s="0" t="s">
        <v>130</v>
      </c>
      <c r="BF2066" s="0" t="s">
        <v>130</v>
      </c>
      <c r="BG2066" s="0" t="s">
        <v>130</v>
      </c>
      <c r="BH2066" s="0" t="s">
        <v>141</v>
      </c>
      <c r="BI2066" s="0" t="s">
        <v>141</v>
      </c>
      <c r="BJ2066" s="0" t="s">
        <v>141</v>
      </c>
      <c r="BK2066" s="0" t="s">
        <v>130</v>
      </c>
      <c r="BL2066" s="0" t="s">
        <v>130</v>
      </c>
      <c r="BM2066" s="0" t="s">
        <v>130</v>
      </c>
      <c r="BN2066" s="0" t="s">
        <v>130</v>
      </c>
      <c r="BO2066" s="0" t="s">
        <v>130</v>
      </c>
      <c r="BP2066" s="0" t="s">
        <v>130</v>
      </c>
      <c r="BQ2066" s="0" t="s">
        <v>130</v>
      </c>
      <c r="BR2066" s="0" t="s">
        <v>130</v>
      </c>
      <c r="BS2066" s="0" t="s">
        <v>130</v>
      </c>
      <c r="BT2066" s="0" t="s">
        <v>130</v>
      </c>
      <c r="BU2066" s="0" t="s">
        <v>130</v>
      </c>
      <c r="BV2066" s="0" t="s">
        <v>141</v>
      </c>
      <c r="BW2066" s="0" t="s">
        <v>141</v>
      </c>
      <c r="BX2066" s="0" t="s">
        <v>130</v>
      </c>
      <c r="BY2066" s="0" t="s">
        <v>130</v>
      </c>
      <c r="BZ2066" s="0" t="s">
        <v>130</v>
      </c>
      <c r="CA2066" s="0" t="s">
        <v>130</v>
      </c>
      <c r="CB2066" s="0" t="s">
        <v>130</v>
      </c>
      <c r="CC2066" s="0" t="s">
        <v>130</v>
      </c>
      <c r="CD2066" s="0" t="s">
        <v>130</v>
      </c>
      <c r="CE2066" s="0" t="s">
        <v>130</v>
      </c>
      <c r="CF2066" s="0" t="s">
        <v>130</v>
      </c>
      <c r="CG2066" s="0" t="s">
        <v>130</v>
      </c>
      <c r="CH2066" s="0" t="s">
        <v>130</v>
      </c>
      <c r="CI2066" s="0" t="s">
        <v>130</v>
      </c>
      <c r="CJ2066" s="0" t="s">
        <v>130</v>
      </c>
      <c r="CK2066" s="0" t="s">
        <v>130</v>
      </c>
      <c r="CL2066" s="0" t="s">
        <v>130</v>
      </c>
      <c r="CM2066" s="0" t="s">
        <v>130</v>
      </c>
      <c r="CN2066" s="0" t="s">
        <v>130</v>
      </c>
      <c r="CO2066" s="0" t="s">
        <v>130</v>
      </c>
      <c r="CP2066" s="0" t="s">
        <v>130</v>
      </c>
      <c r="CQ2066" s="0" t="s">
        <v>130</v>
      </c>
      <c r="CR2066" s="0" t="s">
        <v>130</v>
      </c>
      <c r="CS2066" s="0" t="s">
        <v>130</v>
      </c>
      <c r="CT2066" s="0" t="s">
        <v>5745</v>
      </c>
    </row>
    <row r="2067">
      <c r="A2067" s="14">
        <v>117976</v>
      </c>
      <c r="B2067" s="0" t="s">
        <v>4944</v>
      </c>
      <c r="C2067" s="16">
        <f>HYPERLINK("https://eosportal.federatedhermes.com/companies/Q29tcGFueQppNTg5MTU=", "Sika AG")</f>
      </c>
      <c r="D2067" s="0" t="s">
        <v>25</v>
      </c>
      <c r="E2067" s="0" t="s">
        <v>5737</v>
      </c>
      <c r="F2067" s="16">
        <f>HYPERLINK("https://eosportal.federatedhermes.com/engagements/RW5nYWdlbWVudAppMzIyODI=", "Climate-aligned accounting")</f>
      </c>
      <c r="G2067" s="14" t="s">
        <v>5746</v>
      </c>
      <c r="H2067" s="0" t="s">
        <v>141</v>
      </c>
      <c r="I2067" s="14" t="s">
        <v>191</v>
      </c>
      <c r="J2067" s="0" t="s">
        <v>197</v>
      </c>
      <c r="K2067" s="0" t="s">
        <v>198</v>
      </c>
      <c r="L2067" s="0" t="s">
        <v>199</v>
      </c>
      <c r="M2067" s="0" t="s">
        <v>378</v>
      </c>
      <c r="N2067" s="0" t="s">
        <v>1059</v>
      </c>
      <c r="O2067" s="0" t="s">
        <v>706</v>
      </c>
      <c r="Q2067" s="0" t="s">
        <v>130</v>
      </c>
      <c r="R2067" s="0" t="s">
        <v>138</v>
      </c>
      <c r="S2067" s="14">
        <v>0</v>
      </c>
      <c r="T2067" s="0" t="s">
        <v>2629</v>
      </c>
      <c r="U2067" s="0" t="s">
        <v>138</v>
      </c>
      <c r="V2067" s="14" t="s">
        <v>138</v>
      </c>
      <c r="W2067" s="0" t="s">
        <v>138</v>
      </c>
      <c r="X2067" s="14" t="s">
        <v>138</v>
      </c>
      <c r="Y2067" s="0" t="s">
        <v>138</v>
      </c>
      <c r="Z2067" s="14" t="s">
        <v>138</v>
      </c>
      <c r="AA2067" s="0" t="s">
        <v>138</v>
      </c>
      <c r="AB2067" s="14" t="s">
        <v>138</v>
      </c>
      <c r="AD2067" s="0" t="s">
        <v>138</v>
      </c>
      <c r="AF2067" s="0">
        <v>0</v>
      </c>
      <c r="AG2067" s="0">
        <v>0</v>
      </c>
      <c r="AH2067" s="0" t="s">
        <v>140</v>
      </c>
      <c r="AI2067" s="0" t="s">
        <v>138</v>
      </c>
      <c r="AL2067" s="14"/>
      <c r="AN2067" s="14"/>
      <c r="AQ2067" s="0" t="s">
        <v>130</v>
      </c>
      <c r="AR2067" s="0" t="s">
        <v>130</v>
      </c>
      <c r="AS2067" s="0" t="s">
        <v>130</v>
      </c>
      <c r="AT2067" s="0" t="s">
        <v>130</v>
      </c>
      <c r="AU2067" s="0" t="s">
        <v>130</v>
      </c>
      <c r="AV2067" s="0" t="s">
        <v>130</v>
      </c>
      <c r="AW2067" s="0" t="s">
        <v>130</v>
      </c>
      <c r="AX2067" s="0" t="s">
        <v>130</v>
      </c>
      <c r="AY2067" s="0" t="s">
        <v>130</v>
      </c>
      <c r="AZ2067" s="0" t="s">
        <v>130</v>
      </c>
      <c r="BA2067" s="0" t="s">
        <v>130</v>
      </c>
      <c r="BB2067" s="0" t="s">
        <v>141</v>
      </c>
      <c r="BC2067" s="0" t="s">
        <v>130</v>
      </c>
      <c r="BD2067" s="0" t="s">
        <v>130</v>
      </c>
      <c r="BE2067" s="0" t="s">
        <v>130</v>
      </c>
      <c r="BF2067" s="0" t="s">
        <v>130</v>
      </c>
      <c r="BG2067" s="0" t="s">
        <v>130</v>
      </c>
      <c r="BH2067" s="0" t="s">
        <v>130</v>
      </c>
      <c r="BI2067" s="0" t="s">
        <v>130</v>
      </c>
      <c r="BJ2067" s="0" t="s">
        <v>130</v>
      </c>
      <c r="BK2067" s="0" t="s">
        <v>130</v>
      </c>
      <c r="BL2067" s="0" t="s">
        <v>130</v>
      </c>
      <c r="BM2067" s="0" t="s">
        <v>130</v>
      </c>
      <c r="BN2067" s="0" t="s">
        <v>130</v>
      </c>
      <c r="BO2067" s="0" t="s">
        <v>130</v>
      </c>
      <c r="BP2067" s="0" t="s">
        <v>130</v>
      </c>
      <c r="BQ2067" s="0" t="s">
        <v>130</v>
      </c>
      <c r="BR2067" s="0" t="s">
        <v>130</v>
      </c>
      <c r="BS2067" s="0" t="s">
        <v>130</v>
      </c>
      <c r="BT2067" s="0" t="s">
        <v>130</v>
      </c>
      <c r="BU2067" s="0" t="s">
        <v>130</v>
      </c>
      <c r="BV2067" s="0" t="s">
        <v>130</v>
      </c>
      <c r="BW2067" s="0" t="s">
        <v>130</v>
      </c>
      <c r="BX2067" s="0" t="s">
        <v>130</v>
      </c>
      <c r="BY2067" s="0" t="s">
        <v>130</v>
      </c>
      <c r="BZ2067" s="0" t="s">
        <v>130</v>
      </c>
      <c r="CA2067" s="0" t="s">
        <v>130</v>
      </c>
      <c r="CB2067" s="0" t="s">
        <v>130</v>
      </c>
      <c r="CC2067" s="0" t="s">
        <v>130</v>
      </c>
      <c r="CD2067" s="0" t="s">
        <v>130</v>
      </c>
      <c r="CE2067" s="0" t="s">
        <v>130</v>
      </c>
      <c r="CF2067" s="0" t="s">
        <v>130</v>
      </c>
      <c r="CG2067" s="0" t="s">
        <v>130</v>
      </c>
      <c r="CH2067" s="0" t="s">
        <v>130</v>
      </c>
      <c r="CI2067" s="0" t="s">
        <v>130</v>
      </c>
      <c r="CJ2067" s="0" t="s">
        <v>130</v>
      </c>
      <c r="CK2067" s="0" t="s">
        <v>130</v>
      </c>
      <c r="CL2067" s="0" t="s">
        <v>130</v>
      </c>
      <c r="CM2067" s="0" t="s">
        <v>130</v>
      </c>
      <c r="CN2067" s="0" t="s">
        <v>130</v>
      </c>
      <c r="CO2067" s="0" t="s">
        <v>130</v>
      </c>
      <c r="CP2067" s="0" t="s">
        <v>130</v>
      </c>
      <c r="CQ2067" s="0" t="s">
        <v>130</v>
      </c>
      <c r="CR2067" s="0" t="s">
        <v>130</v>
      </c>
      <c r="CS2067" s="0" t="s">
        <v>130</v>
      </c>
      <c r="CT2067" s="0" t="s">
        <v>5747</v>
      </c>
    </row>
    <row r="2068">
      <c r="A2068" s="14">
        <v>115114</v>
      </c>
      <c r="B2068" s="0" t="s">
        <v>2319</v>
      </c>
      <c r="C2068" s="16">
        <f>HYPERLINK("https://eosportal.federatedhermes.com/companies/Q29tcGFueQppNTU3NDE=", "Toyota Motor Corp")</f>
      </c>
      <c r="D2068" s="0" t="s">
        <v>25</v>
      </c>
      <c r="E2068" s="0" t="s">
        <v>5748</v>
      </c>
      <c r="F2068" s="16">
        <f>HYPERLINK("https://eosportal.federatedhermes.com/engagements/RW5nYWdlbWVudAppMzIyODQ=", "Human rights risks in the supply chain in Xinjiang")</f>
      </c>
      <c r="G2068" s="14" t="s">
        <v>5749</v>
      </c>
      <c r="H2068" s="0" t="s">
        <v>141</v>
      </c>
      <c r="I2068" s="14" t="s">
        <v>1645</v>
      </c>
      <c r="J2068" s="0" t="s">
        <v>153</v>
      </c>
      <c r="K2068" s="0" t="s">
        <v>243</v>
      </c>
      <c r="L2068" s="0" t="s">
        <v>456</v>
      </c>
      <c r="M2068" s="0" t="s">
        <v>802</v>
      </c>
      <c r="N2068" s="0" t="s">
        <v>952</v>
      </c>
      <c r="O2068" s="0" t="s">
        <v>425</v>
      </c>
      <c r="Q2068" s="0" t="s">
        <v>130</v>
      </c>
      <c r="R2068" s="0" t="s">
        <v>138</v>
      </c>
      <c r="S2068" s="14">
        <v>0</v>
      </c>
      <c r="T2068" s="0" t="s">
        <v>2629</v>
      </c>
      <c r="U2068" s="0" t="s">
        <v>138</v>
      </c>
      <c r="V2068" s="14" t="s">
        <v>138</v>
      </c>
      <c r="W2068" s="0" t="s">
        <v>138</v>
      </c>
      <c r="X2068" s="14" t="s">
        <v>138</v>
      </c>
      <c r="Y2068" s="0" t="s">
        <v>138</v>
      </c>
      <c r="Z2068" s="14" t="s">
        <v>138</v>
      </c>
      <c r="AA2068" s="0" t="s">
        <v>138</v>
      </c>
      <c r="AB2068" s="14" t="s">
        <v>138</v>
      </c>
      <c r="AD2068" s="0" t="s">
        <v>138</v>
      </c>
      <c r="AF2068" s="0">
        <v>0</v>
      </c>
      <c r="AG2068" s="0">
        <v>0</v>
      </c>
      <c r="AH2068" s="0" t="s">
        <v>140</v>
      </c>
      <c r="AI2068" s="0" t="s">
        <v>138</v>
      </c>
      <c r="AL2068" s="14"/>
      <c r="AN2068" s="14"/>
      <c r="AQ2068" s="0" t="s">
        <v>130</v>
      </c>
      <c r="AR2068" s="0" t="s">
        <v>130</v>
      </c>
      <c r="AS2068" s="0" t="s">
        <v>130</v>
      </c>
      <c r="AT2068" s="0" t="s">
        <v>130</v>
      </c>
      <c r="AU2068" s="0" t="s">
        <v>130</v>
      </c>
      <c r="AV2068" s="0" t="s">
        <v>130</v>
      </c>
      <c r="AW2068" s="0" t="s">
        <v>130</v>
      </c>
      <c r="AX2068" s="0" t="s">
        <v>141</v>
      </c>
      <c r="AY2068" s="0" t="s">
        <v>130</v>
      </c>
      <c r="AZ2068" s="0" t="s">
        <v>130</v>
      </c>
      <c r="BA2068" s="0" t="s">
        <v>130</v>
      </c>
      <c r="BB2068" s="0" t="s">
        <v>130</v>
      </c>
      <c r="BC2068" s="0" t="s">
        <v>130</v>
      </c>
      <c r="BD2068" s="0" t="s">
        <v>130</v>
      </c>
      <c r="BE2068" s="0" t="s">
        <v>130</v>
      </c>
      <c r="BF2068" s="0" t="s">
        <v>141</v>
      </c>
      <c r="BG2068" s="0" t="s">
        <v>130</v>
      </c>
      <c r="BH2068" s="0" t="s">
        <v>130</v>
      </c>
      <c r="BI2068" s="0" t="s">
        <v>130</v>
      </c>
      <c r="BJ2068" s="0" t="s">
        <v>130</v>
      </c>
      <c r="BK2068" s="0" t="s">
        <v>130</v>
      </c>
      <c r="BL2068" s="0" t="s">
        <v>130</v>
      </c>
      <c r="BM2068" s="0" t="s">
        <v>130</v>
      </c>
      <c r="BN2068" s="0" t="s">
        <v>130</v>
      </c>
      <c r="BO2068" s="0" t="s">
        <v>130</v>
      </c>
      <c r="BP2068" s="0" t="s">
        <v>130</v>
      </c>
      <c r="BQ2068" s="0" t="s">
        <v>130</v>
      </c>
      <c r="BR2068" s="0" t="s">
        <v>130</v>
      </c>
      <c r="BS2068" s="0" t="s">
        <v>130</v>
      </c>
      <c r="BT2068" s="0" t="s">
        <v>130</v>
      </c>
      <c r="BU2068" s="0" t="s">
        <v>130</v>
      </c>
      <c r="BV2068" s="0" t="s">
        <v>130</v>
      </c>
      <c r="BW2068" s="0" t="s">
        <v>130</v>
      </c>
      <c r="BX2068" s="0" t="s">
        <v>130</v>
      </c>
      <c r="BY2068" s="0" t="s">
        <v>130</v>
      </c>
      <c r="BZ2068" s="0" t="s">
        <v>130</v>
      </c>
      <c r="CA2068" s="0" t="s">
        <v>130</v>
      </c>
      <c r="CB2068" s="0" t="s">
        <v>130</v>
      </c>
      <c r="CC2068" s="0" t="s">
        <v>130</v>
      </c>
      <c r="CD2068" s="0" t="s">
        <v>130</v>
      </c>
      <c r="CE2068" s="0" t="s">
        <v>130</v>
      </c>
      <c r="CF2068" s="0" t="s">
        <v>130</v>
      </c>
      <c r="CG2068" s="0" t="s">
        <v>130</v>
      </c>
      <c r="CH2068" s="0" t="s">
        <v>130</v>
      </c>
      <c r="CI2068" s="0" t="s">
        <v>130</v>
      </c>
      <c r="CJ2068" s="0" t="s">
        <v>130</v>
      </c>
      <c r="CK2068" s="0" t="s">
        <v>130</v>
      </c>
      <c r="CL2068" s="0" t="s">
        <v>130</v>
      </c>
      <c r="CM2068" s="0" t="s">
        <v>130</v>
      </c>
      <c r="CN2068" s="0" t="s">
        <v>130</v>
      </c>
      <c r="CO2068" s="0" t="s">
        <v>130</v>
      </c>
      <c r="CP2068" s="0" t="s">
        <v>130</v>
      </c>
      <c r="CQ2068" s="0" t="s">
        <v>130</v>
      </c>
      <c r="CR2068" s="0" t="s">
        <v>130</v>
      </c>
      <c r="CS2068" s="0" t="s">
        <v>130</v>
      </c>
      <c r="CT2068" s="0" t="s">
        <v>5750</v>
      </c>
    </row>
    <row r="2069">
      <c r="A2069" s="14">
        <v>825197</v>
      </c>
      <c r="B2069" s="0" t="s">
        <v>3349</v>
      </c>
      <c r="C2069" s="16">
        <f>HYPERLINK("https://eosportal.federatedhermes.com/companies/Q29tcGFueQppNTU3NDQ=", "ABB Ltd")</f>
      </c>
      <c r="D2069" s="0" t="s">
        <v>25</v>
      </c>
      <c r="E2069" s="0" t="s">
        <v>5751</v>
      </c>
      <c r="F2069" s="16">
        <f>HYPERLINK("https://eosportal.federatedhermes.com/engagements/RW5nYWdlbWVudAppMzIyODk=", "Over-commitment")</f>
      </c>
      <c r="G2069" s="14" t="s">
        <v>5752</v>
      </c>
      <c r="H2069" s="0" t="s">
        <v>141</v>
      </c>
      <c r="I2069" s="14" t="s">
        <v>191</v>
      </c>
      <c r="J2069" s="0" t="s">
        <v>145</v>
      </c>
      <c r="K2069" s="0" t="s">
        <v>164</v>
      </c>
      <c r="L2069" s="0" t="s">
        <v>165</v>
      </c>
      <c r="M2069" s="0" t="s">
        <v>378</v>
      </c>
      <c r="N2069" s="0" t="s">
        <v>1059</v>
      </c>
      <c r="O2069" s="0" t="s">
        <v>176</v>
      </c>
      <c r="Q2069" s="0" t="s">
        <v>130</v>
      </c>
      <c r="R2069" s="0" t="s">
        <v>138</v>
      </c>
      <c r="S2069" s="14">
        <v>0</v>
      </c>
      <c r="T2069" s="0" t="s">
        <v>2629</v>
      </c>
      <c r="U2069" s="0" t="s">
        <v>138</v>
      </c>
      <c r="V2069" s="14" t="s">
        <v>138</v>
      </c>
      <c r="W2069" s="0" t="s">
        <v>138</v>
      </c>
      <c r="X2069" s="14" t="s">
        <v>138</v>
      </c>
      <c r="Y2069" s="0" t="s">
        <v>138</v>
      </c>
      <c r="Z2069" s="14" t="s">
        <v>138</v>
      </c>
      <c r="AA2069" s="0" t="s">
        <v>138</v>
      </c>
      <c r="AB2069" s="14" t="s">
        <v>138</v>
      </c>
      <c r="AD2069" s="0" t="s">
        <v>138</v>
      </c>
      <c r="AF2069" s="0">
        <v>0</v>
      </c>
      <c r="AG2069" s="0">
        <v>0</v>
      </c>
      <c r="AH2069" s="0" t="s">
        <v>140</v>
      </c>
      <c r="AI2069" s="0" t="s">
        <v>138</v>
      </c>
      <c r="AL2069" s="14"/>
      <c r="AN2069" s="14"/>
      <c r="AQ2069" s="0" t="s">
        <v>130</v>
      </c>
      <c r="AR2069" s="0" t="s">
        <v>130</v>
      </c>
      <c r="AS2069" s="0" t="s">
        <v>130</v>
      </c>
      <c r="AT2069" s="0" t="s">
        <v>130</v>
      </c>
      <c r="AU2069" s="0" t="s">
        <v>130</v>
      </c>
      <c r="AV2069" s="0" t="s">
        <v>130</v>
      </c>
      <c r="AW2069" s="0" t="s">
        <v>130</v>
      </c>
      <c r="AX2069" s="0" t="s">
        <v>130</v>
      </c>
      <c r="AY2069" s="0" t="s">
        <v>130</v>
      </c>
      <c r="AZ2069" s="0" t="s">
        <v>130</v>
      </c>
      <c r="BA2069" s="0" t="s">
        <v>130</v>
      </c>
      <c r="BB2069" s="0" t="s">
        <v>130</v>
      </c>
      <c r="BC2069" s="0" t="s">
        <v>130</v>
      </c>
      <c r="BD2069" s="0" t="s">
        <v>130</v>
      </c>
      <c r="BE2069" s="0" t="s">
        <v>130</v>
      </c>
      <c r="BF2069" s="0" t="s">
        <v>130</v>
      </c>
      <c r="BG2069" s="0" t="s">
        <v>130</v>
      </c>
      <c r="BH2069" s="0" t="s">
        <v>130</v>
      </c>
      <c r="BI2069" s="0" t="s">
        <v>130</v>
      </c>
      <c r="BJ2069" s="0" t="s">
        <v>130</v>
      </c>
      <c r="BK2069" s="0" t="s">
        <v>130</v>
      </c>
      <c r="BL2069" s="0" t="s">
        <v>130</v>
      </c>
      <c r="BM2069" s="0" t="s">
        <v>130</v>
      </c>
      <c r="BN2069" s="0" t="s">
        <v>130</v>
      </c>
      <c r="BO2069" s="0" t="s">
        <v>130</v>
      </c>
      <c r="BP2069" s="0" t="s">
        <v>130</v>
      </c>
      <c r="BQ2069" s="0" t="s">
        <v>130</v>
      </c>
      <c r="BR2069" s="0" t="s">
        <v>130</v>
      </c>
      <c r="BS2069" s="0" t="s">
        <v>130</v>
      </c>
      <c r="BT2069" s="0" t="s">
        <v>130</v>
      </c>
      <c r="BU2069" s="0" t="s">
        <v>130</v>
      </c>
      <c r="BV2069" s="0" t="s">
        <v>130</v>
      </c>
      <c r="BW2069" s="0" t="s">
        <v>130</v>
      </c>
      <c r="BX2069" s="0" t="s">
        <v>130</v>
      </c>
      <c r="BY2069" s="0" t="s">
        <v>130</v>
      </c>
      <c r="BZ2069" s="0" t="s">
        <v>130</v>
      </c>
      <c r="CA2069" s="0" t="s">
        <v>130</v>
      </c>
      <c r="CB2069" s="0" t="s">
        <v>130</v>
      </c>
      <c r="CC2069" s="0" t="s">
        <v>130</v>
      </c>
      <c r="CD2069" s="0" t="s">
        <v>130</v>
      </c>
      <c r="CE2069" s="0" t="s">
        <v>130</v>
      </c>
      <c r="CF2069" s="0" t="s">
        <v>130</v>
      </c>
      <c r="CG2069" s="0" t="s">
        <v>130</v>
      </c>
      <c r="CH2069" s="0" t="s">
        <v>130</v>
      </c>
      <c r="CI2069" s="0" t="s">
        <v>130</v>
      </c>
      <c r="CJ2069" s="0" t="s">
        <v>130</v>
      </c>
      <c r="CK2069" s="0" t="s">
        <v>130</v>
      </c>
      <c r="CL2069" s="0" t="s">
        <v>130</v>
      </c>
      <c r="CM2069" s="0" t="s">
        <v>130</v>
      </c>
      <c r="CN2069" s="0" t="s">
        <v>130</v>
      </c>
      <c r="CO2069" s="0" t="s">
        <v>130</v>
      </c>
      <c r="CP2069" s="0" t="s">
        <v>130</v>
      </c>
      <c r="CQ2069" s="0" t="s">
        <v>130</v>
      </c>
      <c r="CR2069" s="0" t="s">
        <v>130</v>
      </c>
      <c r="CS2069" s="0" t="s">
        <v>130</v>
      </c>
      <c r="CT2069" s="0" t="s">
        <v>5753</v>
      </c>
    </row>
    <row r="2070">
      <c r="A2070" s="14">
        <v>58121995</v>
      </c>
      <c r="B2070" s="0" t="s">
        <v>4629</v>
      </c>
      <c r="C2070" s="16">
        <f>HYPERLINK("https://eosportal.federatedhermes.com/companies/Q29tcGFueQppNzM3OTU=", "Nutrien Ltd")</f>
      </c>
      <c r="D2070" s="0" t="s">
        <v>25</v>
      </c>
      <c r="E2070" s="0" t="s">
        <v>721</v>
      </c>
      <c r="F2070" s="16">
        <f>HYPERLINK("https://eosportal.federatedhermes.com/engagements/RW5nYWdlbWVudAppMzIyOTk=", "Water stewardship")</f>
      </c>
      <c r="G2070" s="14" t="s">
        <v>5754</v>
      </c>
      <c r="H2070" s="0" t="s">
        <v>141</v>
      </c>
      <c r="I2070" s="14" t="s">
        <v>131</v>
      </c>
      <c r="J2070" s="0" t="s">
        <v>197</v>
      </c>
      <c r="K2070" s="0" t="s">
        <v>337</v>
      </c>
      <c r="L2070" s="0" t="s">
        <v>338</v>
      </c>
      <c r="M2070" s="0" t="s">
        <v>135</v>
      </c>
      <c r="N2070" s="0" t="s">
        <v>1678</v>
      </c>
      <c r="O2070" s="0" t="s">
        <v>706</v>
      </c>
      <c r="Q2070" s="0" t="s">
        <v>130</v>
      </c>
      <c r="R2070" s="0" t="s">
        <v>138</v>
      </c>
      <c r="S2070" s="14">
        <v>0</v>
      </c>
      <c r="T2070" s="0" t="s">
        <v>2629</v>
      </c>
      <c r="U2070" s="0" t="s">
        <v>138</v>
      </c>
      <c r="V2070" s="14" t="s">
        <v>138</v>
      </c>
      <c r="W2070" s="0" t="s">
        <v>138</v>
      </c>
      <c r="X2070" s="14" t="s">
        <v>138</v>
      </c>
      <c r="Y2070" s="0" t="s">
        <v>138</v>
      </c>
      <c r="Z2070" s="14" t="s">
        <v>138</v>
      </c>
      <c r="AA2070" s="0" t="s">
        <v>138</v>
      </c>
      <c r="AB2070" s="14" t="s">
        <v>138</v>
      </c>
      <c r="AD2070" s="0" t="s">
        <v>138</v>
      </c>
      <c r="AF2070" s="0">
        <v>0</v>
      </c>
      <c r="AG2070" s="0">
        <v>0</v>
      </c>
      <c r="AH2070" s="0" t="s">
        <v>140</v>
      </c>
      <c r="AI2070" s="0" t="s">
        <v>138</v>
      </c>
      <c r="AL2070" s="14"/>
      <c r="AN2070" s="14"/>
      <c r="AQ2070" s="0" t="s">
        <v>130</v>
      </c>
      <c r="AR2070" s="0" t="s">
        <v>130</v>
      </c>
      <c r="AS2070" s="0" t="s">
        <v>130</v>
      </c>
      <c r="AT2070" s="0" t="s">
        <v>130</v>
      </c>
      <c r="AU2070" s="0" t="s">
        <v>130</v>
      </c>
      <c r="AV2070" s="0" t="s">
        <v>141</v>
      </c>
      <c r="AW2070" s="0" t="s">
        <v>130</v>
      </c>
      <c r="AX2070" s="0" t="s">
        <v>130</v>
      </c>
      <c r="AY2070" s="0" t="s">
        <v>130</v>
      </c>
      <c r="AZ2070" s="0" t="s">
        <v>130</v>
      </c>
      <c r="BA2070" s="0" t="s">
        <v>130</v>
      </c>
      <c r="BB2070" s="0" t="s">
        <v>130</v>
      </c>
      <c r="BC2070" s="0" t="s">
        <v>130</v>
      </c>
      <c r="BD2070" s="0" t="s">
        <v>130</v>
      </c>
      <c r="BE2070" s="0" t="s">
        <v>130</v>
      </c>
      <c r="BF2070" s="0" t="s">
        <v>130</v>
      </c>
      <c r="BG2070" s="0" t="s">
        <v>130</v>
      </c>
      <c r="BH2070" s="0" t="s">
        <v>130</v>
      </c>
      <c r="BI2070" s="0" t="s">
        <v>130</v>
      </c>
      <c r="BJ2070" s="0" t="s">
        <v>130</v>
      </c>
      <c r="BK2070" s="0" t="s">
        <v>130</v>
      </c>
      <c r="BL2070" s="0" t="s">
        <v>130</v>
      </c>
      <c r="BM2070" s="0" t="s">
        <v>130</v>
      </c>
      <c r="BN2070" s="0" t="s">
        <v>130</v>
      </c>
      <c r="BO2070" s="0" t="s">
        <v>130</v>
      </c>
      <c r="BP2070" s="0" t="s">
        <v>130</v>
      </c>
      <c r="BQ2070" s="0" t="s">
        <v>130</v>
      </c>
      <c r="BR2070" s="0" t="s">
        <v>130</v>
      </c>
      <c r="BS2070" s="0" t="s">
        <v>130</v>
      </c>
      <c r="BT2070" s="0" t="s">
        <v>130</v>
      </c>
      <c r="BU2070" s="0" t="s">
        <v>130</v>
      </c>
      <c r="BV2070" s="0" t="s">
        <v>130</v>
      </c>
      <c r="BW2070" s="0" t="s">
        <v>130</v>
      </c>
      <c r="BX2070" s="0" t="s">
        <v>141</v>
      </c>
      <c r="BY2070" s="0" t="s">
        <v>130</v>
      </c>
      <c r="BZ2070" s="0" t="s">
        <v>130</v>
      </c>
      <c r="CA2070" s="0" t="s">
        <v>130</v>
      </c>
      <c r="CB2070" s="0" t="s">
        <v>130</v>
      </c>
      <c r="CC2070" s="0" t="s">
        <v>130</v>
      </c>
      <c r="CD2070" s="0" t="s">
        <v>130</v>
      </c>
      <c r="CE2070" s="0" t="s">
        <v>130</v>
      </c>
      <c r="CF2070" s="0" t="s">
        <v>130</v>
      </c>
      <c r="CG2070" s="0" t="s">
        <v>130</v>
      </c>
      <c r="CH2070" s="0" t="s">
        <v>130</v>
      </c>
      <c r="CI2070" s="0" t="s">
        <v>130</v>
      </c>
      <c r="CJ2070" s="0" t="s">
        <v>130</v>
      </c>
      <c r="CK2070" s="0" t="s">
        <v>130</v>
      </c>
      <c r="CL2070" s="0" t="s">
        <v>130</v>
      </c>
      <c r="CM2070" s="0" t="s">
        <v>130</v>
      </c>
      <c r="CN2070" s="0" t="s">
        <v>130</v>
      </c>
      <c r="CO2070" s="0" t="s">
        <v>130</v>
      </c>
      <c r="CP2070" s="0" t="s">
        <v>130</v>
      </c>
      <c r="CQ2070" s="0" t="s">
        <v>130</v>
      </c>
      <c r="CR2070" s="0" t="s">
        <v>130</v>
      </c>
      <c r="CS2070" s="0" t="s">
        <v>130</v>
      </c>
      <c r="CT2070" s="0" t="s">
        <v>5755</v>
      </c>
    </row>
    <row r="2071">
      <c r="A2071" s="14">
        <v>112122</v>
      </c>
      <c r="B2071" s="0" t="s">
        <v>799</v>
      </c>
      <c r="C2071" s="16">
        <f>HYPERLINK("https://eosportal.federatedhermes.com/companies/Q29tcGFueQppNjMxMDk=", "Prudential PLC")</f>
      </c>
      <c r="D2071" s="0" t="s">
        <v>25</v>
      </c>
      <c r="E2071" s="0" t="s">
        <v>5756</v>
      </c>
      <c r="F2071" s="16">
        <f>HYPERLINK("https://eosportal.federatedhermes.com/engagements/RW5nYWdlbWVudAppMzIzMDA=", "Access to insurance")</f>
      </c>
      <c r="G2071" s="14" t="s">
        <v>5757</v>
      </c>
      <c r="H2071" s="0" t="s">
        <v>130</v>
      </c>
      <c r="I2071" s="14" t="s">
        <v>319</v>
      </c>
      <c r="J2071" s="0" t="s">
        <v>153</v>
      </c>
      <c r="K2071" s="0" t="s">
        <v>243</v>
      </c>
      <c r="L2071" s="0" t="s">
        <v>292</v>
      </c>
      <c r="M2071" s="0" t="s">
        <v>802</v>
      </c>
      <c r="N2071" s="0" t="s">
        <v>803</v>
      </c>
      <c r="O2071" s="0" t="s">
        <v>238</v>
      </c>
      <c r="Q2071" s="0" t="s">
        <v>130</v>
      </c>
      <c r="R2071" s="0" t="s">
        <v>138</v>
      </c>
      <c r="S2071" s="14">
        <v>0</v>
      </c>
      <c r="T2071" s="0" t="s">
        <v>2629</v>
      </c>
      <c r="U2071" s="0" t="s">
        <v>138</v>
      </c>
      <c r="V2071" s="14" t="s">
        <v>138</v>
      </c>
      <c r="W2071" s="0" t="s">
        <v>138</v>
      </c>
      <c r="X2071" s="14" t="s">
        <v>138</v>
      </c>
      <c r="Y2071" s="0" t="s">
        <v>138</v>
      </c>
      <c r="Z2071" s="14" t="s">
        <v>138</v>
      </c>
      <c r="AA2071" s="0" t="s">
        <v>138</v>
      </c>
      <c r="AB2071" s="14" t="s">
        <v>138</v>
      </c>
      <c r="AD2071" s="0" t="s">
        <v>138</v>
      </c>
      <c r="AF2071" s="0">
        <v>0</v>
      </c>
      <c r="AG2071" s="0">
        <v>0</v>
      </c>
      <c r="AH2071" s="0" t="s">
        <v>140</v>
      </c>
      <c r="AI2071" s="0" t="s">
        <v>138</v>
      </c>
      <c r="AL2071" s="14"/>
      <c r="AN2071" s="14"/>
      <c r="AQ2071" s="0" t="s">
        <v>141</v>
      </c>
      <c r="AR2071" s="0" t="s">
        <v>130</v>
      </c>
      <c r="AS2071" s="0" t="s">
        <v>130</v>
      </c>
      <c r="AT2071" s="0" t="s">
        <v>130</v>
      </c>
      <c r="AU2071" s="0" t="s">
        <v>141</v>
      </c>
      <c r="AV2071" s="0" t="s">
        <v>130</v>
      </c>
      <c r="AW2071" s="0" t="s">
        <v>130</v>
      </c>
      <c r="AX2071" s="0" t="s">
        <v>141</v>
      </c>
      <c r="AY2071" s="0" t="s">
        <v>130</v>
      </c>
      <c r="AZ2071" s="0" t="s">
        <v>130</v>
      </c>
      <c r="BA2071" s="0" t="s">
        <v>130</v>
      </c>
      <c r="BB2071" s="0" t="s">
        <v>130</v>
      </c>
      <c r="BC2071" s="0" t="s">
        <v>130</v>
      </c>
      <c r="BD2071" s="0" t="s">
        <v>130</v>
      </c>
      <c r="BE2071" s="0" t="s">
        <v>130</v>
      </c>
      <c r="BF2071" s="0" t="s">
        <v>130</v>
      </c>
      <c r="BG2071" s="0" t="s">
        <v>130</v>
      </c>
      <c r="BH2071" s="0" t="s">
        <v>130</v>
      </c>
      <c r="BI2071" s="0" t="s">
        <v>130</v>
      </c>
      <c r="BJ2071" s="0" t="s">
        <v>130</v>
      </c>
      <c r="BK2071" s="0" t="s">
        <v>130</v>
      </c>
      <c r="BL2071" s="0" t="s">
        <v>130</v>
      </c>
      <c r="BM2071" s="0" t="s">
        <v>130</v>
      </c>
      <c r="BN2071" s="0" t="s">
        <v>130</v>
      </c>
      <c r="BO2071" s="0" t="s">
        <v>130</v>
      </c>
      <c r="BP2071" s="0" t="s">
        <v>130</v>
      </c>
      <c r="BQ2071" s="0" t="s">
        <v>130</v>
      </c>
      <c r="BR2071" s="0" t="s">
        <v>130</v>
      </c>
      <c r="BS2071" s="0" t="s">
        <v>130</v>
      </c>
      <c r="BT2071" s="0" t="s">
        <v>130</v>
      </c>
      <c r="BU2071" s="0" t="s">
        <v>130</v>
      </c>
      <c r="BV2071" s="0" t="s">
        <v>130</v>
      </c>
      <c r="BW2071" s="0" t="s">
        <v>130</v>
      </c>
      <c r="BX2071" s="0" t="s">
        <v>130</v>
      </c>
      <c r="BY2071" s="0" t="s">
        <v>130</v>
      </c>
      <c r="BZ2071" s="0" t="s">
        <v>130</v>
      </c>
      <c r="CA2071" s="0" t="s">
        <v>130</v>
      </c>
      <c r="CB2071" s="0" t="s">
        <v>130</v>
      </c>
      <c r="CC2071" s="0" t="s">
        <v>130</v>
      </c>
      <c r="CD2071" s="0" t="s">
        <v>130</v>
      </c>
      <c r="CE2071" s="0" t="s">
        <v>130</v>
      </c>
      <c r="CF2071" s="0" t="s">
        <v>130</v>
      </c>
      <c r="CG2071" s="0" t="s">
        <v>130</v>
      </c>
      <c r="CH2071" s="0" t="s">
        <v>130</v>
      </c>
      <c r="CI2071" s="0" t="s">
        <v>130</v>
      </c>
      <c r="CJ2071" s="0" t="s">
        <v>130</v>
      </c>
      <c r="CK2071" s="0" t="s">
        <v>130</v>
      </c>
      <c r="CL2071" s="0" t="s">
        <v>130</v>
      </c>
      <c r="CM2071" s="0" t="s">
        <v>130</v>
      </c>
      <c r="CN2071" s="0" t="s">
        <v>130</v>
      </c>
      <c r="CO2071" s="0" t="s">
        <v>130</v>
      </c>
      <c r="CP2071" s="0" t="s">
        <v>130</v>
      </c>
      <c r="CQ2071" s="0" t="s">
        <v>130</v>
      </c>
      <c r="CR2071" s="0" t="s">
        <v>130</v>
      </c>
      <c r="CS2071" s="0" t="s">
        <v>130</v>
      </c>
      <c r="CT2071" s="0" t="s">
        <v>5758</v>
      </c>
    </row>
    <row r="2072">
      <c r="A2072" s="14">
        <v>115259</v>
      </c>
      <c r="B2072" s="0" t="s">
        <v>2384</v>
      </c>
      <c r="C2072" s="16">
        <f>HYPERLINK("https://eosportal.federatedhermes.com/companies/Q29tcGFueQppNjc3NTU=", "Danone SA")</f>
      </c>
      <c r="D2072" s="0" t="s">
        <v>25</v>
      </c>
      <c r="E2072" s="0" t="s">
        <v>5759</v>
      </c>
      <c r="F2072" s="16">
        <f>HYPERLINK("https://eosportal.federatedhermes.com/engagements/RW5nYWdlbWVudAppMzIzMDE=", "Climate Aligned Accounting")</f>
      </c>
      <c r="G2072" s="14" t="s">
        <v>5760</v>
      </c>
      <c r="H2072" s="0" t="s">
        <v>141</v>
      </c>
      <c r="I2072" s="14" t="s">
        <v>191</v>
      </c>
      <c r="J2072" s="0" t="s">
        <v>197</v>
      </c>
      <c r="K2072" s="0" t="s">
        <v>198</v>
      </c>
      <c r="L2072" s="0" t="s">
        <v>199</v>
      </c>
      <c r="M2072" s="0" t="s">
        <v>378</v>
      </c>
      <c r="N2072" s="0" t="s">
        <v>1646</v>
      </c>
      <c r="O2072" s="0" t="s">
        <v>332</v>
      </c>
      <c r="Q2072" s="0" t="s">
        <v>130</v>
      </c>
      <c r="R2072" s="0" t="s">
        <v>138</v>
      </c>
      <c r="S2072" s="14">
        <v>0</v>
      </c>
      <c r="T2072" s="0" t="s">
        <v>2629</v>
      </c>
      <c r="U2072" s="0" t="s">
        <v>138</v>
      </c>
      <c r="V2072" s="14" t="s">
        <v>138</v>
      </c>
      <c r="W2072" s="0" t="s">
        <v>138</v>
      </c>
      <c r="X2072" s="14" t="s">
        <v>138</v>
      </c>
      <c r="Y2072" s="0" t="s">
        <v>138</v>
      </c>
      <c r="Z2072" s="14" t="s">
        <v>138</v>
      </c>
      <c r="AA2072" s="0" t="s">
        <v>138</v>
      </c>
      <c r="AB2072" s="14" t="s">
        <v>138</v>
      </c>
      <c r="AD2072" s="0" t="s">
        <v>138</v>
      </c>
      <c r="AF2072" s="0">
        <v>0</v>
      </c>
      <c r="AG2072" s="0">
        <v>0</v>
      </c>
      <c r="AH2072" s="0" t="s">
        <v>140</v>
      </c>
      <c r="AI2072" s="0" t="s">
        <v>138</v>
      </c>
      <c r="AL2072" s="14"/>
      <c r="AN2072" s="14"/>
      <c r="AQ2072" s="0" t="s">
        <v>130</v>
      </c>
      <c r="AR2072" s="0" t="s">
        <v>130</v>
      </c>
      <c r="AS2072" s="0" t="s">
        <v>130</v>
      </c>
      <c r="AT2072" s="0" t="s">
        <v>130</v>
      </c>
      <c r="AU2072" s="0" t="s">
        <v>130</v>
      </c>
      <c r="AV2072" s="0" t="s">
        <v>130</v>
      </c>
      <c r="AW2072" s="0" t="s">
        <v>130</v>
      </c>
      <c r="AX2072" s="0" t="s">
        <v>130</v>
      </c>
      <c r="AY2072" s="0" t="s">
        <v>130</v>
      </c>
      <c r="AZ2072" s="0" t="s">
        <v>130</v>
      </c>
      <c r="BA2072" s="0" t="s">
        <v>130</v>
      </c>
      <c r="BB2072" s="0" t="s">
        <v>141</v>
      </c>
      <c r="BC2072" s="0" t="s">
        <v>130</v>
      </c>
      <c r="BD2072" s="0" t="s">
        <v>130</v>
      </c>
      <c r="BE2072" s="0" t="s">
        <v>130</v>
      </c>
      <c r="BF2072" s="0" t="s">
        <v>130</v>
      </c>
      <c r="BG2072" s="0" t="s">
        <v>130</v>
      </c>
      <c r="BH2072" s="0" t="s">
        <v>130</v>
      </c>
      <c r="BI2072" s="0" t="s">
        <v>130</v>
      </c>
      <c r="BJ2072" s="0" t="s">
        <v>130</v>
      </c>
      <c r="BK2072" s="0" t="s">
        <v>130</v>
      </c>
      <c r="BL2072" s="0" t="s">
        <v>130</v>
      </c>
      <c r="BM2072" s="0" t="s">
        <v>130</v>
      </c>
      <c r="BN2072" s="0" t="s">
        <v>130</v>
      </c>
      <c r="BO2072" s="0" t="s">
        <v>130</v>
      </c>
      <c r="BP2072" s="0" t="s">
        <v>130</v>
      </c>
      <c r="BQ2072" s="0" t="s">
        <v>130</v>
      </c>
      <c r="BR2072" s="0" t="s">
        <v>130</v>
      </c>
      <c r="BS2072" s="0" t="s">
        <v>130</v>
      </c>
      <c r="BT2072" s="0" t="s">
        <v>130</v>
      </c>
      <c r="BU2072" s="0" t="s">
        <v>130</v>
      </c>
      <c r="BV2072" s="0" t="s">
        <v>130</v>
      </c>
      <c r="BW2072" s="0" t="s">
        <v>130</v>
      </c>
      <c r="BX2072" s="0" t="s">
        <v>130</v>
      </c>
      <c r="BY2072" s="0" t="s">
        <v>130</v>
      </c>
      <c r="BZ2072" s="0" t="s">
        <v>130</v>
      </c>
      <c r="CA2072" s="0" t="s">
        <v>130</v>
      </c>
      <c r="CB2072" s="0" t="s">
        <v>130</v>
      </c>
      <c r="CC2072" s="0" t="s">
        <v>130</v>
      </c>
      <c r="CD2072" s="0" t="s">
        <v>130</v>
      </c>
      <c r="CE2072" s="0" t="s">
        <v>130</v>
      </c>
      <c r="CF2072" s="0" t="s">
        <v>130</v>
      </c>
      <c r="CG2072" s="0" t="s">
        <v>130</v>
      </c>
      <c r="CH2072" s="0" t="s">
        <v>130</v>
      </c>
      <c r="CI2072" s="0" t="s">
        <v>130</v>
      </c>
      <c r="CJ2072" s="0" t="s">
        <v>130</v>
      </c>
      <c r="CK2072" s="0" t="s">
        <v>130</v>
      </c>
      <c r="CL2072" s="0" t="s">
        <v>130</v>
      </c>
      <c r="CM2072" s="0" t="s">
        <v>130</v>
      </c>
      <c r="CN2072" s="0" t="s">
        <v>130</v>
      </c>
      <c r="CO2072" s="0" t="s">
        <v>130</v>
      </c>
      <c r="CP2072" s="0" t="s">
        <v>130</v>
      </c>
      <c r="CQ2072" s="0" t="s">
        <v>130</v>
      </c>
      <c r="CR2072" s="0" t="s">
        <v>130</v>
      </c>
      <c r="CS2072" s="0" t="s">
        <v>130</v>
      </c>
      <c r="CT2072" s="0" t="s">
        <v>5761</v>
      </c>
    </row>
    <row r="2073">
      <c r="A2073" s="14">
        <v>115259</v>
      </c>
      <c r="B2073" s="0" t="s">
        <v>2384</v>
      </c>
      <c r="C2073" s="16">
        <f>HYPERLINK("https://eosportal.federatedhermes.com/companies/Q29tcGFueQppNjc3NTU=", "Danone SA")</f>
      </c>
      <c r="D2073" s="0" t="s">
        <v>25</v>
      </c>
      <c r="E2073" s="0" t="s">
        <v>5762</v>
      </c>
      <c r="F2073" s="16">
        <f>HYPERLINK("https://eosportal.federatedhermes.com/engagements/RW5nYWdlbWVudAppMzIzMDI=", "Climate aligned lobbying")</f>
      </c>
      <c r="G2073" s="14" t="s">
        <v>5763</v>
      </c>
      <c r="H2073" s="0" t="s">
        <v>141</v>
      </c>
      <c r="I2073" s="14" t="s">
        <v>191</v>
      </c>
      <c r="J2073" s="0" t="s">
        <v>197</v>
      </c>
      <c r="K2073" s="0" t="s">
        <v>198</v>
      </c>
      <c r="L2073" s="0" t="s">
        <v>199</v>
      </c>
      <c r="M2073" s="0" t="s">
        <v>378</v>
      </c>
      <c r="N2073" s="0" t="s">
        <v>1646</v>
      </c>
      <c r="O2073" s="0" t="s">
        <v>332</v>
      </c>
      <c r="Q2073" s="0" t="s">
        <v>130</v>
      </c>
      <c r="R2073" s="0" t="s">
        <v>138</v>
      </c>
      <c r="S2073" s="14">
        <v>0</v>
      </c>
      <c r="T2073" s="0" t="s">
        <v>2629</v>
      </c>
      <c r="U2073" s="0" t="s">
        <v>138</v>
      </c>
      <c r="V2073" s="14" t="s">
        <v>138</v>
      </c>
      <c r="W2073" s="0" t="s">
        <v>138</v>
      </c>
      <c r="X2073" s="14" t="s">
        <v>138</v>
      </c>
      <c r="Y2073" s="0" t="s">
        <v>138</v>
      </c>
      <c r="Z2073" s="14" t="s">
        <v>138</v>
      </c>
      <c r="AA2073" s="0" t="s">
        <v>138</v>
      </c>
      <c r="AB2073" s="14" t="s">
        <v>138</v>
      </c>
      <c r="AD2073" s="0" t="s">
        <v>138</v>
      </c>
      <c r="AF2073" s="0">
        <v>0</v>
      </c>
      <c r="AG2073" s="0">
        <v>0</v>
      </c>
      <c r="AH2073" s="0" t="s">
        <v>140</v>
      </c>
      <c r="AI2073" s="0" t="s">
        <v>138</v>
      </c>
      <c r="AL2073" s="14"/>
      <c r="AN2073" s="14"/>
      <c r="AQ2073" s="0" t="s">
        <v>130</v>
      </c>
      <c r="AR2073" s="0" t="s">
        <v>130</v>
      </c>
      <c r="AS2073" s="0" t="s">
        <v>130</v>
      </c>
      <c r="AT2073" s="0" t="s">
        <v>130</v>
      </c>
      <c r="AU2073" s="0" t="s">
        <v>130</v>
      </c>
      <c r="AV2073" s="0" t="s">
        <v>130</v>
      </c>
      <c r="AW2073" s="0" t="s">
        <v>130</v>
      </c>
      <c r="AX2073" s="0" t="s">
        <v>130</v>
      </c>
      <c r="AY2073" s="0" t="s">
        <v>130</v>
      </c>
      <c r="AZ2073" s="0" t="s">
        <v>130</v>
      </c>
      <c r="BA2073" s="0" t="s">
        <v>130</v>
      </c>
      <c r="BB2073" s="0" t="s">
        <v>141</v>
      </c>
      <c r="BC2073" s="0" t="s">
        <v>141</v>
      </c>
      <c r="BD2073" s="0" t="s">
        <v>130</v>
      </c>
      <c r="BE2073" s="0" t="s">
        <v>130</v>
      </c>
      <c r="BF2073" s="0" t="s">
        <v>130</v>
      </c>
      <c r="BG2073" s="0" t="s">
        <v>130</v>
      </c>
      <c r="BH2073" s="0" t="s">
        <v>130</v>
      </c>
      <c r="BI2073" s="0" t="s">
        <v>130</v>
      </c>
      <c r="BJ2073" s="0" t="s">
        <v>130</v>
      </c>
      <c r="BK2073" s="0" t="s">
        <v>130</v>
      </c>
      <c r="BL2073" s="0" t="s">
        <v>130</v>
      </c>
      <c r="BM2073" s="0" t="s">
        <v>130</v>
      </c>
      <c r="BN2073" s="0" t="s">
        <v>130</v>
      </c>
      <c r="BO2073" s="0" t="s">
        <v>130</v>
      </c>
      <c r="BP2073" s="0" t="s">
        <v>130</v>
      </c>
      <c r="BQ2073" s="0" t="s">
        <v>130</v>
      </c>
      <c r="BR2073" s="0" t="s">
        <v>130</v>
      </c>
      <c r="BS2073" s="0" t="s">
        <v>130</v>
      </c>
      <c r="BT2073" s="0" t="s">
        <v>130</v>
      </c>
      <c r="BU2073" s="0" t="s">
        <v>130</v>
      </c>
      <c r="BV2073" s="0" t="s">
        <v>130</v>
      </c>
      <c r="BW2073" s="0" t="s">
        <v>130</v>
      </c>
      <c r="BX2073" s="0" t="s">
        <v>130</v>
      </c>
      <c r="BY2073" s="0" t="s">
        <v>130</v>
      </c>
      <c r="BZ2073" s="0" t="s">
        <v>130</v>
      </c>
      <c r="CA2073" s="0" t="s">
        <v>130</v>
      </c>
      <c r="CB2073" s="0" t="s">
        <v>130</v>
      </c>
      <c r="CC2073" s="0" t="s">
        <v>130</v>
      </c>
      <c r="CD2073" s="0" t="s">
        <v>130</v>
      </c>
      <c r="CE2073" s="0" t="s">
        <v>130</v>
      </c>
      <c r="CF2073" s="0" t="s">
        <v>130</v>
      </c>
      <c r="CG2073" s="0" t="s">
        <v>130</v>
      </c>
      <c r="CH2073" s="0" t="s">
        <v>130</v>
      </c>
      <c r="CI2073" s="0" t="s">
        <v>130</v>
      </c>
      <c r="CJ2073" s="0" t="s">
        <v>130</v>
      </c>
      <c r="CK2073" s="0" t="s">
        <v>130</v>
      </c>
      <c r="CL2073" s="0" t="s">
        <v>130</v>
      </c>
      <c r="CM2073" s="0" t="s">
        <v>130</v>
      </c>
      <c r="CN2073" s="0" t="s">
        <v>130</v>
      </c>
      <c r="CO2073" s="0" t="s">
        <v>130</v>
      </c>
      <c r="CP2073" s="0" t="s">
        <v>130</v>
      </c>
      <c r="CQ2073" s="0" t="s">
        <v>130</v>
      </c>
      <c r="CR2073" s="0" t="s">
        <v>130</v>
      </c>
      <c r="CS2073" s="0" t="s">
        <v>130</v>
      </c>
      <c r="CT2073" s="0" t="s">
        <v>5764</v>
      </c>
    </row>
    <row r="2074">
      <c r="A2074" s="14">
        <v>219621</v>
      </c>
      <c r="B2074" s="0" t="s">
        <v>5765</v>
      </c>
      <c r="C2074" s="16">
        <f>HYPERLINK("https://eosportal.federatedhermes.com/companies/Q29tcGFueQppNzczMDI=", "Banco de Chile")</f>
      </c>
      <c r="D2074" s="0" t="s">
        <v>25</v>
      </c>
      <c r="E2074" s="0" t="s">
        <v>1686</v>
      </c>
      <c r="F2074" s="16">
        <f>HYPERLINK("https://eosportal.federatedhermes.com/engagements/RW5nYWdlbWVudAppMzIzMDk=", "Board Gender Diversity")</f>
      </c>
      <c r="G2074" s="14" t="s">
        <v>5766</v>
      </c>
      <c r="H2074" s="0" t="s">
        <v>130</v>
      </c>
      <c r="I2074" s="14" t="s">
        <v>131</v>
      </c>
      <c r="J2074" s="0" t="s">
        <v>145</v>
      </c>
      <c r="K2074" s="0" t="s">
        <v>164</v>
      </c>
      <c r="L2074" s="0" t="s">
        <v>165</v>
      </c>
      <c r="M2074" s="0" t="s">
        <v>2807</v>
      </c>
      <c r="N2074" s="0" t="s">
        <v>5767</v>
      </c>
      <c r="O2074" s="0" t="s">
        <v>238</v>
      </c>
      <c r="Q2074" s="0" t="s">
        <v>141</v>
      </c>
      <c r="R2074" s="0" t="s">
        <v>138</v>
      </c>
      <c r="S2074" s="14">
        <v>1</v>
      </c>
      <c r="T2074" s="0" t="s">
        <v>2629</v>
      </c>
      <c r="U2074" s="0" t="s">
        <v>138</v>
      </c>
      <c r="V2074" s="14" t="s">
        <v>138</v>
      </c>
      <c r="W2074" s="0" t="s">
        <v>138</v>
      </c>
      <c r="X2074" s="14" t="s">
        <v>138</v>
      </c>
      <c r="Y2074" s="0" t="s">
        <v>138</v>
      </c>
      <c r="Z2074" s="14" t="s">
        <v>138</v>
      </c>
      <c r="AA2074" s="0" t="s">
        <v>138</v>
      </c>
      <c r="AB2074" s="14" t="s">
        <v>138</v>
      </c>
      <c r="AD2074" s="0" t="s">
        <v>138</v>
      </c>
      <c r="AF2074" s="0">
        <v>0</v>
      </c>
      <c r="AG2074" s="0">
        <v>0</v>
      </c>
      <c r="AH2074" s="0" t="s">
        <v>140</v>
      </c>
      <c r="AI2074" s="0" t="s">
        <v>138</v>
      </c>
      <c r="AK2074" s="0" t="s">
        <v>1220</v>
      </c>
      <c r="AL2074" s="14"/>
      <c r="AN2074" s="14"/>
      <c r="AQ2074" s="0" t="s">
        <v>130</v>
      </c>
      <c r="AR2074" s="0" t="s">
        <v>130</v>
      </c>
      <c r="AS2074" s="0" t="s">
        <v>130</v>
      </c>
      <c r="AT2074" s="0" t="s">
        <v>130</v>
      </c>
      <c r="AU2074" s="0" t="s">
        <v>141</v>
      </c>
      <c r="AV2074" s="0" t="s">
        <v>130</v>
      </c>
      <c r="AW2074" s="0" t="s">
        <v>130</v>
      </c>
      <c r="AX2074" s="0" t="s">
        <v>130</v>
      </c>
      <c r="AY2074" s="0" t="s">
        <v>130</v>
      </c>
      <c r="AZ2074" s="0" t="s">
        <v>130</v>
      </c>
      <c r="BA2074" s="0" t="s">
        <v>130</v>
      </c>
      <c r="BB2074" s="0" t="s">
        <v>130</v>
      </c>
      <c r="BC2074" s="0" t="s">
        <v>130</v>
      </c>
      <c r="BD2074" s="0" t="s">
        <v>130</v>
      </c>
      <c r="BE2074" s="0" t="s">
        <v>130</v>
      </c>
      <c r="BF2074" s="0" t="s">
        <v>130</v>
      </c>
      <c r="BG2074" s="0" t="s">
        <v>130</v>
      </c>
      <c r="BH2074" s="0" t="s">
        <v>130</v>
      </c>
      <c r="BI2074" s="0" t="s">
        <v>130</v>
      </c>
      <c r="BJ2074" s="0" t="s">
        <v>130</v>
      </c>
      <c r="BK2074" s="0" t="s">
        <v>130</v>
      </c>
      <c r="BL2074" s="0" t="s">
        <v>130</v>
      </c>
      <c r="BM2074" s="0" t="s">
        <v>130</v>
      </c>
      <c r="BN2074" s="0" t="s">
        <v>130</v>
      </c>
      <c r="BO2074" s="0" t="s">
        <v>130</v>
      </c>
      <c r="BP2074" s="0" t="s">
        <v>130</v>
      </c>
      <c r="BQ2074" s="0" t="s">
        <v>130</v>
      </c>
      <c r="BR2074" s="0" t="s">
        <v>130</v>
      </c>
      <c r="BS2074" s="0" t="s">
        <v>130</v>
      </c>
      <c r="BT2074" s="0" t="s">
        <v>130</v>
      </c>
      <c r="BU2074" s="0" t="s">
        <v>130</v>
      </c>
      <c r="BV2074" s="0" t="s">
        <v>130</v>
      </c>
      <c r="BW2074" s="0" t="s">
        <v>130</v>
      </c>
      <c r="BX2074" s="0" t="s">
        <v>130</v>
      </c>
      <c r="BY2074" s="0" t="s">
        <v>130</v>
      </c>
      <c r="BZ2074" s="0" t="s">
        <v>130</v>
      </c>
      <c r="CA2074" s="0" t="s">
        <v>130</v>
      </c>
      <c r="CB2074" s="0" t="s">
        <v>130</v>
      </c>
      <c r="CC2074" s="0" t="s">
        <v>130</v>
      </c>
      <c r="CD2074" s="0" t="s">
        <v>130</v>
      </c>
      <c r="CE2074" s="0" t="s">
        <v>130</v>
      </c>
      <c r="CF2074" s="0" t="s">
        <v>130</v>
      </c>
      <c r="CG2074" s="0" t="s">
        <v>130</v>
      </c>
      <c r="CH2074" s="0" t="s">
        <v>130</v>
      </c>
      <c r="CI2074" s="0" t="s">
        <v>130</v>
      </c>
      <c r="CJ2074" s="0" t="s">
        <v>130</v>
      </c>
      <c r="CK2074" s="0" t="s">
        <v>130</v>
      </c>
      <c r="CL2074" s="0" t="s">
        <v>130</v>
      </c>
      <c r="CM2074" s="0" t="s">
        <v>130</v>
      </c>
      <c r="CN2074" s="0" t="s">
        <v>130</v>
      </c>
      <c r="CO2074" s="0" t="s">
        <v>130</v>
      </c>
      <c r="CP2074" s="0" t="s">
        <v>130</v>
      </c>
      <c r="CQ2074" s="0" t="s">
        <v>130</v>
      </c>
      <c r="CR2074" s="0" t="s">
        <v>130</v>
      </c>
      <c r="CS2074" s="0" t="s">
        <v>130</v>
      </c>
      <c r="CT2074" s="0" t="s">
        <v>5768</v>
      </c>
    </row>
    <row r="2075">
      <c r="A2075" s="14">
        <v>219621</v>
      </c>
      <c r="B2075" s="0" t="s">
        <v>5765</v>
      </c>
      <c r="C2075" s="16">
        <f>HYPERLINK("https://eosportal.federatedhermes.com/companies/Q29tcGFueQppNzczMDI=", "Banco de Chile")</f>
      </c>
      <c r="D2075" s="0" t="s">
        <v>25</v>
      </c>
      <c r="E2075" s="0" t="s">
        <v>5769</v>
      </c>
      <c r="F2075" s="16">
        <f>HYPERLINK("https://eosportal.federatedhermes.com/engagements/RW5nYWdlbWVudAppMzIzMTA=", "Board Independence")</f>
      </c>
      <c r="G2075" s="14" t="s">
        <v>5770</v>
      </c>
      <c r="H2075" s="0" t="s">
        <v>130</v>
      </c>
      <c r="I2075" s="14" t="s">
        <v>131</v>
      </c>
      <c r="J2075" s="0" t="s">
        <v>145</v>
      </c>
      <c r="K2075" s="0" t="s">
        <v>164</v>
      </c>
      <c r="L2075" s="0" t="s">
        <v>165</v>
      </c>
      <c r="M2075" s="0" t="s">
        <v>2807</v>
      </c>
      <c r="N2075" s="0" t="s">
        <v>5767</v>
      </c>
      <c r="O2075" s="0" t="s">
        <v>238</v>
      </c>
      <c r="Q2075" s="0" t="s">
        <v>141</v>
      </c>
      <c r="R2075" s="0" t="s">
        <v>138</v>
      </c>
      <c r="S2075" s="14">
        <v>1</v>
      </c>
      <c r="T2075" s="0" t="s">
        <v>2629</v>
      </c>
      <c r="U2075" s="0" t="s">
        <v>138</v>
      </c>
      <c r="V2075" s="14" t="s">
        <v>138</v>
      </c>
      <c r="W2075" s="0" t="s">
        <v>138</v>
      </c>
      <c r="X2075" s="14" t="s">
        <v>138</v>
      </c>
      <c r="Y2075" s="0" t="s">
        <v>138</v>
      </c>
      <c r="Z2075" s="14" t="s">
        <v>138</v>
      </c>
      <c r="AA2075" s="0" t="s">
        <v>138</v>
      </c>
      <c r="AB2075" s="14" t="s">
        <v>138</v>
      </c>
      <c r="AD2075" s="0" t="s">
        <v>138</v>
      </c>
      <c r="AF2075" s="0">
        <v>0</v>
      </c>
      <c r="AG2075" s="0">
        <v>0</v>
      </c>
      <c r="AH2075" s="0" t="s">
        <v>140</v>
      </c>
      <c r="AI2075" s="0" t="s">
        <v>138</v>
      </c>
      <c r="AK2075" s="0" t="s">
        <v>1220</v>
      </c>
      <c r="AL2075" s="14"/>
      <c r="AN2075" s="14"/>
      <c r="AQ2075" s="0" t="s">
        <v>130</v>
      </c>
      <c r="AR2075" s="0" t="s">
        <v>130</v>
      </c>
      <c r="AS2075" s="0" t="s">
        <v>130</v>
      </c>
      <c r="AT2075" s="0" t="s">
        <v>130</v>
      </c>
      <c r="AU2075" s="0" t="s">
        <v>130</v>
      </c>
      <c r="AV2075" s="0" t="s">
        <v>130</v>
      </c>
      <c r="AW2075" s="0" t="s">
        <v>130</v>
      </c>
      <c r="AX2075" s="0" t="s">
        <v>130</v>
      </c>
      <c r="AY2075" s="0" t="s">
        <v>130</v>
      </c>
      <c r="AZ2075" s="0" t="s">
        <v>130</v>
      </c>
      <c r="BA2075" s="0" t="s">
        <v>130</v>
      </c>
      <c r="BB2075" s="0" t="s">
        <v>130</v>
      </c>
      <c r="BC2075" s="0" t="s">
        <v>130</v>
      </c>
      <c r="BD2075" s="0" t="s">
        <v>130</v>
      </c>
      <c r="BE2075" s="0" t="s">
        <v>130</v>
      </c>
      <c r="BF2075" s="0" t="s">
        <v>130</v>
      </c>
      <c r="BG2075" s="0" t="s">
        <v>130</v>
      </c>
      <c r="BH2075" s="0" t="s">
        <v>130</v>
      </c>
      <c r="BI2075" s="0" t="s">
        <v>130</v>
      </c>
      <c r="BJ2075" s="0" t="s">
        <v>130</v>
      </c>
      <c r="BK2075" s="0" t="s">
        <v>130</v>
      </c>
      <c r="BL2075" s="0" t="s">
        <v>130</v>
      </c>
      <c r="BM2075" s="0" t="s">
        <v>130</v>
      </c>
      <c r="BN2075" s="0" t="s">
        <v>130</v>
      </c>
      <c r="BO2075" s="0" t="s">
        <v>130</v>
      </c>
      <c r="BP2075" s="0" t="s">
        <v>130</v>
      </c>
      <c r="BQ2075" s="0" t="s">
        <v>130</v>
      </c>
      <c r="BR2075" s="0" t="s">
        <v>130</v>
      </c>
      <c r="BS2075" s="0" t="s">
        <v>130</v>
      </c>
      <c r="BT2075" s="0" t="s">
        <v>130</v>
      </c>
      <c r="BU2075" s="0" t="s">
        <v>130</v>
      </c>
      <c r="BV2075" s="0" t="s">
        <v>130</v>
      </c>
      <c r="BW2075" s="0" t="s">
        <v>130</v>
      </c>
      <c r="BX2075" s="0" t="s">
        <v>130</v>
      </c>
      <c r="BY2075" s="0" t="s">
        <v>130</v>
      </c>
      <c r="BZ2075" s="0" t="s">
        <v>130</v>
      </c>
      <c r="CA2075" s="0" t="s">
        <v>130</v>
      </c>
      <c r="CB2075" s="0" t="s">
        <v>130</v>
      </c>
      <c r="CC2075" s="0" t="s">
        <v>130</v>
      </c>
      <c r="CD2075" s="0" t="s">
        <v>130</v>
      </c>
      <c r="CE2075" s="0" t="s">
        <v>130</v>
      </c>
      <c r="CF2075" s="0" t="s">
        <v>130</v>
      </c>
      <c r="CG2075" s="0" t="s">
        <v>130</v>
      </c>
      <c r="CH2075" s="0" t="s">
        <v>130</v>
      </c>
      <c r="CI2075" s="0" t="s">
        <v>130</v>
      </c>
      <c r="CJ2075" s="0" t="s">
        <v>130</v>
      </c>
      <c r="CK2075" s="0" t="s">
        <v>130</v>
      </c>
      <c r="CL2075" s="0" t="s">
        <v>130</v>
      </c>
      <c r="CM2075" s="0" t="s">
        <v>130</v>
      </c>
      <c r="CN2075" s="0" t="s">
        <v>130</v>
      </c>
      <c r="CO2075" s="0" t="s">
        <v>130</v>
      </c>
      <c r="CP2075" s="0" t="s">
        <v>130</v>
      </c>
      <c r="CQ2075" s="0" t="s">
        <v>130</v>
      </c>
      <c r="CR2075" s="0" t="s">
        <v>130</v>
      </c>
      <c r="CS2075" s="0" t="s">
        <v>130</v>
      </c>
      <c r="CT2075" s="0" t="s">
        <v>5771</v>
      </c>
    </row>
    <row r="2076">
      <c r="A2076" s="14">
        <v>219621</v>
      </c>
      <c r="B2076" s="0" t="s">
        <v>5765</v>
      </c>
      <c r="C2076" s="16">
        <f>HYPERLINK("https://eosportal.federatedhermes.com/companies/Q29tcGFueQppNzczMDI=", "Banco de Chile")</f>
      </c>
      <c r="D2076" s="0" t="s">
        <v>25</v>
      </c>
      <c r="E2076" s="0" t="s">
        <v>5772</v>
      </c>
      <c r="F2076" s="16">
        <f>HYPERLINK("https://eosportal.federatedhermes.com/engagements/RW5nYWdlbWVudAppMzIzMTE=", "Financial Inclusion")</f>
      </c>
      <c r="G2076" s="14" t="s">
        <v>5773</v>
      </c>
      <c r="H2076" s="0" t="s">
        <v>130</v>
      </c>
      <c r="I2076" s="14" t="s">
        <v>131</v>
      </c>
      <c r="J2076" s="0" t="s">
        <v>153</v>
      </c>
      <c r="K2076" s="0" t="s">
        <v>243</v>
      </c>
      <c r="L2076" s="0" t="s">
        <v>292</v>
      </c>
      <c r="M2076" s="0" t="s">
        <v>2807</v>
      </c>
      <c r="N2076" s="0" t="s">
        <v>5767</v>
      </c>
      <c r="O2076" s="0" t="s">
        <v>238</v>
      </c>
      <c r="Q2076" s="0" t="s">
        <v>130</v>
      </c>
      <c r="R2076" s="0" t="s">
        <v>138</v>
      </c>
      <c r="S2076" s="14">
        <v>0</v>
      </c>
      <c r="T2076" s="0" t="s">
        <v>2629</v>
      </c>
      <c r="U2076" s="0" t="s">
        <v>138</v>
      </c>
      <c r="V2076" s="14" t="s">
        <v>138</v>
      </c>
      <c r="W2076" s="0" t="s">
        <v>138</v>
      </c>
      <c r="X2076" s="14" t="s">
        <v>138</v>
      </c>
      <c r="Y2076" s="0" t="s">
        <v>138</v>
      </c>
      <c r="Z2076" s="14" t="s">
        <v>138</v>
      </c>
      <c r="AA2076" s="0" t="s">
        <v>138</v>
      </c>
      <c r="AB2076" s="14" t="s">
        <v>138</v>
      </c>
      <c r="AD2076" s="0" t="s">
        <v>138</v>
      </c>
      <c r="AF2076" s="0">
        <v>0</v>
      </c>
      <c r="AG2076" s="0">
        <v>0</v>
      </c>
      <c r="AH2076" s="0" t="s">
        <v>140</v>
      </c>
      <c r="AI2076" s="0" t="s">
        <v>138</v>
      </c>
      <c r="AL2076" s="14"/>
      <c r="AN2076" s="14"/>
      <c r="AQ2076" s="0" t="s">
        <v>141</v>
      </c>
      <c r="AR2076" s="0" t="s">
        <v>130</v>
      </c>
      <c r="AS2076" s="0" t="s">
        <v>130</v>
      </c>
      <c r="AT2076" s="0" t="s">
        <v>130</v>
      </c>
      <c r="AU2076" s="0" t="s">
        <v>141</v>
      </c>
      <c r="AV2076" s="0" t="s">
        <v>130</v>
      </c>
      <c r="AW2076" s="0" t="s">
        <v>130</v>
      </c>
      <c r="AX2076" s="0" t="s">
        <v>141</v>
      </c>
      <c r="AY2076" s="0" t="s">
        <v>130</v>
      </c>
      <c r="AZ2076" s="0" t="s">
        <v>130</v>
      </c>
      <c r="BA2076" s="0" t="s">
        <v>130</v>
      </c>
      <c r="BB2076" s="0" t="s">
        <v>130</v>
      </c>
      <c r="BC2076" s="0" t="s">
        <v>130</v>
      </c>
      <c r="BD2076" s="0" t="s">
        <v>130</v>
      </c>
      <c r="BE2076" s="0" t="s">
        <v>130</v>
      </c>
      <c r="BF2076" s="0" t="s">
        <v>130</v>
      </c>
      <c r="BG2076" s="0" t="s">
        <v>130</v>
      </c>
      <c r="BH2076" s="0" t="s">
        <v>130</v>
      </c>
      <c r="BI2076" s="0" t="s">
        <v>130</v>
      </c>
      <c r="BJ2076" s="0" t="s">
        <v>130</v>
      </c>
      <c r="BK2076" s="0" t="s">
        <v>130</v>
      </c>
      <c r="BL2076" s="0" t="s">
        <v>130</v>
      </c>
      <c r="BM2076" s="0" t="s">
        <v>130</v>
      </c>
      <c r="BN2076" s="0" t="s">
        <v>130</v>
      </c>
      <c r="BO2076" s="0" t="s">
        <v>130</v>
      </c>
      <c r="BP2076" s="0" t="s">
        <v>130</v>
      </c>
      <c r="BQ2076" s="0" t="s">
        <v>130</v>
      </c>
      <c r="BR2076" s="0" t="s">
        <v>130</v>
      </c>
      <c r="BS2076" s="0" t="s">
        <v>130</v>
      </c>
      <c r="BT2076" s="0" t="s">
        <v>130</v>
      </c>
      <c r="BU2076" s="0" t="s">
        <v>130</v>
      </c>
      <c r="BV2076" s="0" t="s">
        <v>130</v>
      </c>
      <c r="BW2076" s="0" t="s">
        <v>130</v>
      </c>
      <c r="BX2076" s="0" t="s">
        <v>130</v>
      </c>
      <c r="BY2076" s="0" t="s">
        <v>130</v>
      </c>
      <c r="BZ2076" s="0" t="s">
        <v>130</v>
      </c>
      <c r="CA2076" s="0" t="s">
        <v>130</v>
      </c>
      <c r="CB2076" s="0" t="s">
        <v>130</v>
      </c>
      <c r="CC2076" s="0" t="s">
        <v>130</v>
      </c>
      <c r="CD2076" s="0" t="s">
        <v>130</v>
      </c>
      <c r="CE2076" s="0" t="s">
        <v>130</v>
      </c>
      <c r="CF2076" s="0" t="s">
        <v>130</v>
      </c>
      <c r="CG2076" s="0" t="s">
        <v>130</v>
      </c>
      <c r="CH2076" s="0" t="s">
        <v>130</v>
      </c>
      <c r="CI2076" s="0" t="s">
        <v>130</v>
      </c>
      <c r="CJ2076" s="0" t="s">
        <v>130</v>
      </c>
      <c r="CK2076" s="0" t="s">
        <v>130</v>
      </c>
      <c r="CL2076" s="0" t="s">
        <v>130</v>
      </c>
      <c r="CM2076" s="0" t="s">
        <v>130</v>
      </c>
      <c r="CN2076" s="0" t="s">
        <v>130</v>
      </c>
      <c r="CO2076" s="0" t="s">
        <v>130</v>
      </c>
      <c r="CP2076" s="0" t="s">
        <v>130</v>
      </c>
      <c r="CQ2076" s="0" t="s">
        <v>130</v>
      </c>
      <c r="CR2076" s="0" t="s">
        <v>130</v>
      </c>
      <c r="CS2076" s="0" t="s">
        <v>130</v>
      </c>
      <c r="CT2076" s="0" t="s">
        <v>5774</v>
      </c>
    </row>
    <row r="2077">
      <c r="A2077" s="14">
        <v>115694</v>
      </c>
      <c r="B2077" s="0" t="s">
        <v>2507</v>
      </c>
      <c r="C2077" s="16">
        <f>HYPERLINK("https://eosportal.federatedhermes.com/companies/Q29tcGFueQppNTQ5NDQ=", "BASF SE")</f>
      </c>
      <c r="D2077" s="0" t="s">
        <v>25</v>
      </c>
      <c r="E2077" s="0" t="s">
        <v>5775</v>
      </c>
      <c r="F2077" s="16">
        <f>HYPERLINK("https://eosportal.federatedhermes.com/engagements/RW5nYWdlbWVudAppMzIzMTY=", "Climate advocacy alignment")</f>
      </c>
      <c r="G2077" s="14" t="s">
        <v>5776</v>
      </c>
      <c r="H2077" s="0" t="s">
        <v>141</v>
      </c>
      <c r="I2077" s="14" t="s">
        <v>1645</v>
      </c>
      <c r="J2077" s="0" t="s">
        <v>197</v>
      </c>
      <c r="K2077" s="0" t="s">
        <v>198</v>
      </c>
      <c r="L2077" s="0" t="s">
        <v>199</v>
      </c>
      <c r="M2077" s="0" t="s">
        <v>378</v>
      </c>
      <c r="N2077" s="0" t="s">
        <v>2485</v>
      </c>
      <c r="O2077" s="0" t="s">
        <v>706</v>
      </c>
      <c r="Q2077" s="0" t="s">
        <v>141</v>
      </c>
      <c r="R2077" s="0" t="s">
        <v>138</v>
      </c>
      <c r="S2077" s="14">
        <v>1</v>
      </c>
      <c r="T2077" s="0" t="s">
        <v>2629</v>
      </c>
      <c r="U2077" s="0" t="s">
        <v>138</v>
      </c>
      <c r="V2077" s="14" t="s">
        <v>138</v>
      </c>
      <c r="W2077" s="0" t="s">
        <v>138</v>
      </c>
      <c r="X2077" s="14" t="s">
        <v>138</v>
      </c>
      <c r="Y2077" s="0" t="s">
        <v>138</v>
      </c>
      <c r="Z2077" s="14" t="s">
        <v>138</v>
      </c>
      <c r="AA2077" s="0" t="s">
        <v>138</v>
      </c>
      <c r="AB2077" s="14" t="s">
        <v>138</v>
      </c>
      <c r="AD2077" s="0" t="s">
        <v>138</v>
      </c>
      <c r="AF2077" s="0">
        <v>0</v>
      </c>
      <c r="AG2077" s="0">
        <v>0</v>
      </c>
      <c r="AH2077" s="0" t="s">
        <v>140</v>
      </c>
      <c r="AI2077" s="0" t="s">
        <v>138</v>
      </c>
      <c r="AK2077" s="0" t="s">
        <v>2529</v>
      </c>
      <c r="AL2077" s="14"/>
      <c r="AN2077" s="14"/>
      <c r="AQ2077" s="0" t="s">
        <v>130</v>
      </c>
      <c r="AR2077" s="0" t="s">
        <v>130</v>
      </c>
      <c r="AS2077" s="0" t="s">
        <v>130</v>
      </c>
      <c r="AT2077" s="0" t="s">
        <v>130</v>
      </c>
      <c r="AU2077" s="0" t="s">
        <v>130</v>
      </c>
      <c r="AV2077" s="0" t="s">
        <v>130</v>
      </c>
      <c r="AW2077" s="0" t="s">
        <v>130</v>
      </c>
      <c r="AX2077" s="0" t="s">
        <v>130</v>
      </c>
      <c r="AY2077" s="0" t="s">
        <v>130</v>
      </c>
      <c r="AZ2077" s="0" t="s">
        <v>130</v>
      </c>
      <c r="BA2077" s="0" t="s">
        <v>130</v>
      </c>
      <c r="BB2077" s="0" t="s">
        <v>141</v>
      </c>
      <c r="BC2077" s="0" t="s">
        <v>141</v>
      </c>
      <c r="BD2077" s="0" t="s">
        <v>130</v>
      </c>
      <c r="BE2077" s="0" t="s">
        <v>130</v>
      </c>
      <c r="BF2077" s="0" t="s">
        <v>130</v>
      </c>
      <c r="BG2077" s="0" t="s">
        <v>130</v>
      </c>
      <c r="BH2077" s="0" t="s">
        <v>130</v>
      </c>
      <c r="BI2077" s="0" t="s">
        <v>130</v>
      </c>
      <c r="BJ2077" s="0" t="s">
        <v>130</v>
      </c>
      <c r="BK2077" s="0" t="s">
        <v>130</v>
      </c>
      <c r="BL2077" s="0" t="s">
        <v>130</v>
      </c>
      <c r="BM2077" s="0" t="s">
        <v>130</v>
      </c>
      <c r="BN2077" s="0" t="s">
        <v>130</v>
      </c>
      <c r="BO2077" s="0" t="s">
        <v>130</v>
      </c>
      <c r="BP2077" s="0" t="s">
        <v>130</v>
      </c>
      <c r="BQ2077" s="0" t="s">
        <v>130</v>
      </c>
      <c r="BR2077" s="0" t="s">
        <v>130</v>
      </c>
      <c r="BS2077" s="0" t="s">
        <v>130</v>
      </c>
      <c r="BT2077" s="0" t="s">
        <v>130</v>
      </c>
      <c r="BU2077" s="0" t="s">
        <v>130</v>
      </c>
      <c r="BV2077" s="0" t="s">
        <v>130</v>
      </c>
      <c r="BW2077" s="0" t="s">
        <v>130</v>
      </c>
      <c r="BX2077" s="0" t="s">
        <v>130</v>
      </c>
      <c r="BY2077" s="0" t="s">
        <v>130</v>
      </c>
      <c r="BZ2077" s="0" t="s">
        <v>130</v>
      </c>
      <c r="CA2077" s="0" t="s">
        <v>130</v>
      </c>
      <c r="CB2077" s="0" t="s">
        <v>130</v>
      </c>
      <c r="CC2077" s="0" t="s">
        <v>130</v>
      </c>
      <c r="CD2077" s="0" t="s">
        <v>130</v>
      </c>
      <c r="CE2077" s="0" t="s">
        <v>130</v>
      </c>
      <c r="CF2077" s="0" t="s">
        <v>130</v>
      </c>
      <c r="CG2077" s="0" t="s">
        <v>130</v>
      </c>
      <c r="CH2077" s="0" t="s">
        <v>130</v>
      </c>
      <c r="CI2077" s="0" t="s">
        <v>130</v>
      </c>
      <c r="CJ2077" s="0" t="s">
        <v>130</v>
      </c>
      <c r="CK2077" s="0" t="s">
        <v>130</v>
      </c>
      <c r="CL2077" s="0" t="s">
        <v>130</v>
      </c>
      <c r="CM2077" s="0" t="s">
        <v>130</v>
      </c>
      <c r="CN2077" s="0" t="s">
        <v>130</v>
      </c>
      <c r="CO2077" s="0" t="s">
        <v>130</v>
      </c>
      <c r="CP2077" s="0" t="s">
        <v>130</v>
      </c>
      <c r="CQ2077" s="0" t="s">
        <v>130</v>
      </c>
      <c r="CR2077" s="0" t="s">
        <v>130</v>
      </c>
      <c r="CS2077" s="0" t="s">
        <v>130</v>
      </c>
      <c r="CT2077" s="0" t="s">
        <v>5777</v>
      </c>
    </row>
    <row r="2078">
      <c r="A2078" s="14">
        <v>115682</v>
      </c>
      <c r="B2078" s="0" t="s">
        <v>2620</v>
      </c>
      <c r="C2078" s="16">
        <f>HYPERLINK("https://eosportal.federatedhermes.com/companies/Q29tcGFueQppNTMxNDc=", "Bayerische Motoren Werke AG (BMW)")</f>
      </c>
      <c r="D2078" s="0" t="s">
        <v>25</v>
      </c>
      <c r="E2078" s="0" t="s">
        <v>5778</v>
      </c>
      <c r="F2078" s="16">
        <f>HYPERLINK("https://eosportal.federatedhermes.com/engagements/RW5nYWdlbWVudAppMzIzMjY=", "Risk of forced labour in the supply chain")</f>
      </c>
      <c r="G2078" s="14" t="s">
        <v>5779</v>
      </c>
      <c r="H2078" s="0" t="s">
        <v>141</v>
      </c>
      <c r="I2078" s="14" t="s">
        <v>1645</v>
      </c>
      <c r="J2078" s="0" t="s">
        <v>153</v>
      </c>
      <c r="K2078" s="0" t="s">
        <v>243</v>
      </c>
      <c r="L2078" s="0" t="s">
        <v>456</v>
      </c>
      <c r="M2078" s="0" t="s">
        <v>378</v>
      </c>
      <c r="N2078" s="0" t="s">
        <v>2485</v>
      </c>
      <c r="O2078" s="0" t="s">
        <v>425</v>
      </c>
      <c r="Q2078" s="0" t="s">
        <v>130</v>
      </c>
      <c r="R2078" s="0" t="s">
        <v>138</v>
      </c>
      <c r="S2078" s="14">
        <v>0</v>
      </c>
      <c r="T2078" s="0" t="s">
        <v>2629</v>
      </c>
      <c r="U2078" s="0" t="s">
        <v>138</v>
      </c>
      <c r="V2078" s="14" t="s">
        <v>138</v>
      </c>
      <c r="W2078" s="0" t="s">
        <v>138</v>
      </c>
      <c r="X2078" s="14" t="s">
        <v>138</v>
      </c>
      <c r="Y2078" s="0" t="s">
        <v>138</v>
      </c>
      <c r="Z2078" s="14" t="s">
        <v>138</v>
      </c>
      <c r="AA2078" s="0" t="s">
        <v>138</v>
      </c>
      <c r="AB2078" s="14" t="s">
        <v>138</v>
      </c>
      <c r="AD2078" s="0" t="s">
        <v>138</v>
      </c>
      <c r="AF2078" s="0">
        <v>0</v>
      </c>
      <c r="AG2078" s="0">
        <v>0</v>
      </c>
      <c r="AH2078" s="0" t="s">
        <v>140</v>
      </c>
      <c r="AI2078" s="0" t="s">
        <v>138</v>
      </c>
      <c r="AL2078" s="14"/>
      <c r="AN2078" s="14"/>
      <c r="AQ2078" s="0" t="s">
        <v>130</v>
      </c>
      <c r="AR2078" s="0" t="s">
        <v>130</v>
      </c>
      <c r="AS2078" s="0" t="s">
        <v>130</v>
      </c>
      <c r="AT2078" s="0" t="s">
        <v>130</v>
      </c>
      <c r="AU2078" s="0" t="s">
        <v>130</v>
      </c>
      <c r="AV2078" s="0" t="s">
        <v>130</v>
      </c>
      <c r="AW2078" s="0" t="s">
        <v>130</v>
      </c>
      <c r="AX2078" s="0" t="s">
        <v>141</v>
      </c>
      <c r="AY2078" s="0" t="s">
        <v>130</v>
      </c>
      <c r="AZ2078" s="0" t="s">
        <v>130</v>
      </c>
      <c r="BA2078" s="0" t="s">
        <v>130</v>
      </c>
      <c r="BB2078" s="0" t="s">
        <v>130</v>
      </c>
      <c r="BC2078" s="0" t="s">
        <v>130</v>
      </c>
      <c r="BD2078" s="0" t="s">
        <v>130</v>
      </c>
      <c r="BE2078" s="0" t="s">
        <v>130</v>
      </c>
      <c r="BF2078" s="0" t="s">
        <v>141</v>
      </c>
      <c r="BG2078" s="0" t="s">
        <v>130</v>
      </c>
      <c r="BH2078" s="0" t="s">
        <v>130</v>
      </c>
      <c r="BI2078" s="0" t="s">
        <v>130</v>
      </c>
      <c r="BJ2078" s="0" t="s">
        <v>130</v>
      </c>
      <c r="BK2078" s="0" t="s">
        <v>130</v>
      </c>
      <c r="BL2078" s="0" t="s">
        <v>130</v>
      </c>
      <c r="BM2078" s="0" t="s">
        <v>130</v>
      </c>
      <c r="BN2078" s="0" t="s">
        <v>130</v>
      </c>
      <c r="BO2078" s="0" t="s">
        <v>130</v>
      </c>
      <c r="BP2078" s="0" t="s">
        <v>130</v>
      </c>
      <c r="BQ2078" s="0" t="s">
        <v>130</v>
      </c>
      <c r="BR2078" s="0" t="s">
        <v>130</v>
      </c>
      <c r="BS2078" s="0" t="s">
        <v>130</v>
      </c>
      <c r="BT2078" s="0" t="s">
        <v>130</v>
      </c>
      <c r="BU2078" s="0" t="s">
        <v>130</v>
      </c>
      <c r="BV2078" s="0" t="s">
        <v>130</v>
      </c>
      <c r="BW2078" s="0" t="s">
        <v>130</v>
      </c>
      <c r="BX2078" s="0" t="s">
        <v>130</v>
      </c>
      <c r="BY2078" s="0" t="s">
        <v>130</v>
      </c>
      <c r="BZ2078" s="0" t="s">
        <v>130</v>
      </c>
      <c r="CA2078" s="0" t="s">
        <v>130</v>
      </c>
      <c r="CB2078" s="0" t="s">
        <v>130</v>
      </c>
      <c r="CC2078" s="0" t="s">
        <v>130</v>
      </c>
      <c r="CD2078" s="0" t="s">
        <v>130</v>
      </c>
      <c r="CE2078" s="0" t="s">
        <v>130</v>
      </c>
      <c r="CF2078" s="0" t="s">
        <v>130</v>
      </c>
      <c r="CG2078" s="0" t="s">
        <v>130</v>
      </c>
      <c r="CH2078" s="0" t="s">
        <v>130</v>
      </c>
      <c r="CI2078" s="0" t="s">
        <v>130</v>
      </c>
      <c r="CJ2078" s="0" t="s">
        <v>130</v>
      </c>
      <c r="CK2078" s="0" t="s">
        <v>130</v>
      </c>
      <c r="CL2078" s="0" t="s">
        <v>130</v>
      </c>
      <c r="CM2078" s="0" t="s">
        <v>130</v>
      </c>
      <c r="CN2078" s="0" t="s">
        <v>130</v>
      </c>
      <c r="CO2078" s="0" t="s">
        <v>130</v>
      </c>
      <c r="CP2078" s="0" t="s">
        <v>130</v>
      </c>
      <c r="CQ2078" s="0" t="s">
        <v>130</v>
      </c>
      <c r="CR2078" s="0" t="s">
        <v>130</v>
      </c>
      <c r="CS2078" s="0" t="s">
        <v>130</v>
      </c>
      <c r="CT2078" s="0" t="s">
        <v>5780</v>
      </c>
    </row>
    <row r="2079">
      <c r="A2079" s="14">
        <v>219621</v>
      </c>
      <c r="B2079" s="0" t="s">
        <v>5765</v>
      </c>
      <c r="C2079" s="16">
        <f>HYPERLINK("https://eosportal.federatedhermes.com/companies/Q29tcGFueQppNzczMDI=", "Banco de Chile")</f>
      </c>
      <c r="D2079" s="0" t="s">
        <v>23</v>
      </c>
      <c r="E2079" s="0" t="s">
        <v>5781</v>
      </c>
      <c r="F2079" s="16">
        <f>HYPERLINK("https://eosportal.federatedhermes.com/engagements/RW5nYWdlbWVudAppMzIzMjk=", "Greenhouse gas emissions resulting from financing activities")</f>
      </c>
      <c r="G2079" s="14" t="s">
        <v>5782</v>
      </c>
      <c r="H2079" s="0" t="s">
        <v>130</v>
      </c>
      <c r="I2079" s="14" t="s">
        <v>131</v>
      </c>
      <c r="J2079" s="0" t="s">
        <v>197</v>
      </c>
      <c r="K2079" s="0" t="s">
        <v>198</v>
      </c>
      <c r="L2079" s="0" t="s">
        <v>199</v>
      </c>
      <c r="M2079" s="0" t="s">
        <v>2807</v>
      </c>
      <c r="N2079" s="0" t="s">
        <v>5767</v>
      </c>
      <c r="O2079" s="0" t="s">
        <v>238</v>
      </c>
      <c r="Q2079" s="0" t="s">
        <v>141</v>
      </c>
      <c r="R2079" s="0" t="s">
        <v>130</v>
      </c>
      <c r="S2079" s="14">
        <v>1</v>
      </c>
      <c r="T2079" s="0" t="s">
        <v>2629</v>
      </c>
      <c r="U2079" s="0" t="s">
        <v>221</v>
      </c>
      <c r="V2079" s="14" t="s">
        <v>2629</v>
      </c>
      <c r="W2079" s="0" t="s">
        <v>221</v>
      </c>
      <c r="X2079" s="14" t="s">
        <v>2629</v>
      </c>
      <c r="Y2079" s="0" t="s">
        <v>223</v>
      </c>
      <c r="Z2079" s="14" t="s">
        <v>138</v>
      </c>
      <c r="AA2079" s="0" t="s">
        <v>224</v>
      </c>
      <c r="AB2079" s="14" t="s">
        <v>138</v>
      </c>
      <c r="AD2079" s="0" t="s">
        <v>17</v>
      </c>
      <c r="AF2079" s="0">
        <v>0</v>
      </c>
      <c r="AG2079" s="0">
        <v>0</v>
      </c>
      <c r="AH2079" s="0" t="s">
        <v>140</v>
      </c>
      <c r="AI2079" s="0" t="s">
        <v>479</v>
      </c>
      <c r="AK2079" s="0" t="s">
        <v>1220</v>
      </c>
      <c r="AL2079" s="14"/>
      <c r="AN2079" s="14"/>
      <c r="AQ2079" s="0" t="s">
        <v>130</v>
      </c>
      <c r="AR2079" s="0" t="s">
        <v>130</v>
      </c>
      <c r="AS2079" s="0" t="s">
        <v>130</v>
      </c>
      <c r="AT2079" s="0" t="s">
        <v>130</v>
      </c>
      <c r="AU2079" s="0" t="s">
        <v>130</v>
      </c>
      <c r="AV2079" s="0" t="s">
        <v>130</v>
      </c>
      <c r="AW2079" s="0" t="s">
        <v>130</v>
      </c>
      <c r="AX2079" s="0" t="s">
        <v>130</v>
      </c>
      <c r="AY2079" s="0" t="s">
        <v>130</v>
      </c>
      <c r="AZ2079" s="0" t="s">
        <v>130</v>
      </c>
      <c r="BA2079" s="0" t="s">
        <v>130</v>
      </c>
      <c r="BB2079" s="0" t="s">
        <v>141</v>
      </c>
      <c r="BC2079" s="0" t="s">
        <v>130</v>
      </c>
      <c r="BD2079" s="0" t="s">
        <v>130</v>
      </c>
      <c r="BE2079" s="0" t="s">
        <v>130</v>
      </c>
      <c r="BF2079" s="0" t="s">
        <v>130</v>
      </c>
      <c r="BG2079" s="0" t="s">
        <v>130</v>
      </c>
      <c r="BH2079" s="0" t="s">
        <v>130</v>
      </c>
      <c r="BI2079" s="0" t="s">
        <v>130</v>
      </c>
      <c r="BJ2079" s="0" t="s">
        <v>130</v>
      </c>
      <c r="BK2079" s="0" t="s">
        <v>130</v>
      </c>
      <c r="BL2079" s="0" t="s">
        <v>130</v>
      </c>
      <c r="BM2079" s="0" t="s">
        <v>130</v>
      </c>
      <c r="BN2079" s="0" t="s">
        <v>130</v>
      </c>
      <c r="BO2079" s="0" t="s">
        <v>130</v>
      </c>
      <c r="BP2079" s="0" t="s">
        <v>130</v>
      </c>
      <c r="BQ2079" s="0" t="s">
        <v>130</v>
      </c>
      <c r="BR2079" s="0" t="s">
        <v>130</v>
      </c>
      <c r="BS2079" s="0" t="s">
        <v>130</v>
      </c>
      <c r="BT2079" s="0" t="s">
        <v>130</v>
      </c>
      <c r="BU2079" s="0" t="s">
        <v>130</v>
      </c>
      <c r="BV2079" s="0" t="s">
        <v>130</v>
      </c>
      <c r="BW2079" s="0" t="s">
        <v>130</v>
      </c>
      <c r="BX2079" s="0" t="s">
        <v>130</v>
      </c>
      <c r="BY2079" s="0" t="s">
        <v>130</v>
      </c>
      <c r="BZ2079" s="0" t="s">
        <v>130</v>
      </c>
      <c r="CA2079" s="0" t="s">
        <v>130</v>
      </c>
      <c r="CB2079" s="0" t="s">
        <v>130</v>
      </c>
      <c r="CC2079" s="0" t="s">
        <v>130</v>
      </c>
      <c r="CD2079" s="0" t="s">
        <v>130</v>
      </c>
      <c r="CE2079" s="0" t="s">
        <v>130</v>
      </c>
      <c r="CF2079" s="0" t="s">
        <v>130</v>
      </c>
      <c r="CG2079" s="0" t="s">
        <v>130</v>
      </c>
      <c r="CH2079" s="0" t="s">
        <v>130</v>
      </c>
      <c r="CI2079" s="0" t="s">
        <v>130</v>
      </c>
      <c r="CJ2079" s="0" t="s">
        <v>130</v>
      </c>
      <c r="CK2079" s="0" t="s">
        <v>130</v>
      </c>
      <c r="CL2079" s="0" t="s">
        <v>130</v>
      </c>
      <c r="CM2079" s="0" t="s">
        <v>130</v>
      </c>
      <c r="CN2079" s="0" t="s">
        <v>130</v>
      </c>
      <c r="CO2079" s="0" t="s">
        <v>130</v>
      </c>
      <c r="CP2079" s="0" t="s">
        <v>130</v>
      </c>
      <c r="CQ2079" s="0" t="s">
        <v>130</v>
      </c>
      <c r="CR2079" s="0" t="s">
        <v>130</v>
      </c>
      <c r="CS2079" s="0" t="s">
        <v>130</v>
      </c>
      <c r="CT2079" s="0" t="s">
        <v>5783</v>
      </c>
    </row>
    <row r="2080">
      <c r="A2080" s="14">
        <v>69423747</v>
      </c>
      <c r="B2080" s="0" t="s">
        <v>4795</v>
      </c>
      <c r="C2080" s="16">
        <f>HYPERLINK("https://eosportal.federatedhermes.com/companies/Q29tcGFueQppNTM0MjQ=", "Cisco Systems Inc")</f>
      </c>
      <c r="D2080" s="0" t="s">
        <v>25</v>
      </c>
      <c r="E2080" s="0" t="s">
        <v>5784</v>
      </c>
      <c r="F2080" s="16">
        <f>HYPERLINK("https://eosportal.federatedhermes.com/engagements/RW5nYWdlbWVudAppMzIzMzE=", "Provision of IT equipment and services used in the West Bank")</f>
      </c>
      <c r="G2080" s="14" t="s">
        <v>5785</v>
      </c>
      <c r="H2080" s="0" t="s">
        <v>141</v>
      </c>
      <c r="I2080" s="14" t="s">
        <v>636</v>
      </c>
      <c r="J2080" s="0" t="s">
        <v>153</v>
      </c>
      <c r="K2080" s="0" t="s">
        <v>243</v>
      </c>
      <c r="L2080" s="0" t="s">
        <v>456</v>
      </c>
      <c r="M2080" s="0" t="s">
        <v>135</v>
      </c>
      <c r="N2080" s="0" t="s">
        <v>136</v>
      </c>
      <c r="O2080" s="0" t="s">
        <v>1125</v>
      </c>
      <c r="Q2080" s="0" t="s">
        <v>141</v>
      </c>
      <c r="R2080" s="0" t="s">
        <v>138</v>
      </c>
      <c r="S2080" s="14">
        <v>1</v>
      </c>
      <c r="T2080" s="0" t="s">
        <v>2629</v>
      </c>
      <c r="U2080" s="0" t="s">
        <v>138</v>
      </c>
      <c r="V2080" s="14" t="s">
        <v>138</v>
      </c>
      <c r="W2080" s="0" t="s">
        <v>138</v>
      </c>
      <c r="X2080" s="14" t="s">
        <v>138</v>
      </c>
      <c r="Y2080" s="0" t="s">
        <v>138</v>
      </c>
      <c r="Z2080" s="14" t="s">
        <v>138</v>
      </c>
      <c r="AA2080" s="0" t="s">
        <v>138</v>
      </c>
      <c r="AB2080" s="14" t="s">
        <v>138</v>
      </c>
      <c r="AD2080" s="0" t="s">
        <v>138</v>
      </c>
      <c r="AF2080" s="0">
        <v>0</v>
      </c>
      <c r="AG2080" s="0">
        <v>0</v>
      </c>
      <c r="AH2080" s="0" t="s">
        <v>140</v>
      </c>
      <c r="AI2080" s="0" t="s">
        <v>138</v>
      </c>
      <c r="AK2080" s="0" t="s">
        <v>1853</v>
      </c>
      <c r="AL2080" s="14"/>
      <c r="AN2080" s="14"/>
      <c r="AQ2080" s="0" t="s">
        <v>130</v>
      </c>
      <c r="AR2080" s="0" t="s">
        <v>130</v>
      </c>
      <c r="AS2080" s="0" t="s">
        <v>130</v>
      </c>
      <c r="AT2080" s="0" t="s">
        <v>130</v>
      </c>
      <c r="AU2080" s="0" t="s">
        <v>130</v>
      </c>
      <c r="AV2080" s="0" t="s">
        <v>130</v>
      </c>
      <c r="AW2080" s="0" t="s">
        <v>130</v>
      </c>
      <c r="AX2080" s="0" t="s">
        <v>141</v>
      </c>
      <c r="AY2080" s="0" t="s">
        <v>130</v>
      </c>
      <c r="AZ2080" s="0" t="s">
        <v>130</v>
      </c>
      <c r="BA2080" s="0" t="s">
        <v>130</v>
      </c>
      <c r="BB2080" s="0" t="s">
        <v>130</v>
      </c>
      <c r="BC2080" s="0" t="s">
        <v>130</v>
      </c>
      <c r="BD2080" s="0" t="s">
        <v>130</v>
      </c>
      <c r="BE2080" s="0" t="s">
        <v>130</v>
      </c>
      <c r="BF2080" s="0" t="s">
        <v>141</v>
      </c>
      <c r="BG2080" s="0" t="s">
        <v>130</v>
      </c>
      <c r="BH2080" s="0" t="s">
        <v>130</v>
      </c>
      <c r="BI2080" s="0" t="s">
        <v>130</v>
      </c>
      <c r="BJ2080" s="0" t="s">
        <v>130</v>
      </c>
      <c r="BK2080" s="0" t="s">
        <v>130</v>
      </c>
      <c r="BL2080" s="0" t="s">
        <v>130</v>
      </c>
      <c r="BM2080" s="0" t="s">
        <v>130</v>
      </c>
      <c r="BN2080" s="0" t="s">
        <v>130</v>
      </c>
      <c r="BO2080" s="0" t="s">
        <v>130</v>
      </c>
      <c r="BP2080" s="0" t="s">
        <v>130</v>
      </c>
      <c r="BQ2080" s="0" t="s">
        <v>130</v>
      </c>
      <c r="BR2080" s="0" t="s">
        <v>130</v>
      </c>
      <c r="BS2080" s="0" t="s">
        <v>130</v>
      </c>
      <c r="BT2080" s="0" t="s">
        <v>130</v>
      </c>
      <c r="BU2080" s="0" t="s">
        <v>130</v>
      </c>
      <c r="BV2080" s="0" t="s">
        <v>130</v>
      </c>
      <c r="BW2080" s="0" t="s">
        <v>130</v>
      </c>
      <c r="BX2080" s="0" t="s">
        <v>130</v>
      </c>
      <c r="BY2080" s="0" t="s">
        <v>130</v>
      </c>
      <c r="BZ2080" s="0" t="s">
        <v>130</v>
      </c>
      <c r="CA2080" s="0" t="s">
        <v>130</v>
      </c>
      <c r="CB2080" s="0" t="s">
        <v>130</v>
      </c>
      <c r="CC2080" s="0" t="s">
        <v>130</v>
      </c>
      <c r="CD2080" s="0" t="s">
        <v>130</v>
      </c>
      <c r="CE2080" s="0" t="s">
        <v>130</v>
      </c>
      <c r="CF2080" s="0" t="s">
        <v>130</v>
      </c>
      <c r="CG2080" s="0" t="s">
        <v>130</v>
      </c>
      <c r="CH2080" s="0" t="s">
        <v>130</v>
      </c>
      <c r="CI2080" s="0" t="s">
        <v>130</v>
      </c>
      <c r="CJ2080" s="0" t="s">
        <v>130</v>
      </c>
      <c r="CK2080" s="0" t="s">
        <v>130</v>
      </c>
      <c r="CL2080" s="0" t="s">
        <v>130</v>
      </c>
      <c r="CM2080" s="0" t="s">
        <v>130</v>
      </c>
      <c r="CN2080" s="0" t="s">
        <v>130</v>
      </c>
      <c r="CO2080" s="0" t="s">
        <v>130</v>
      </c>
      <c r="CP2080" s="0" t="s">
        <v>130</v>
      </c>
      <c r="CQ2080" s="0" t="s">
        <v>130</v>
      </c>
      <c r="CR2080" s="0" t="s">
        <v>130</v>
      </c>
      <c r="CS2080" s="0" t="s">
        <v>130</v>
      </c>
      <c r="CT2080" s="0" t="s">
        <v>5786</v>
      </c>
    </row>
    <row r="2081">
      <c r="A2081" s="14">
        <v>101372</v>
      </c>
      <c r="B2081" s="0" t="s">
        <v>1566</v>
      </c>
      <c r="C2081" s="16">
        <f>HYPERLINK("https://eosportal.federatedhermes.com/companies/Q29tcGFueQppNjI0NjU=", "Truist Financial Corp")</f>
      </c>
      <c r="D2081" s="0" t="s">
        <v>23</v>
      </c>
      <c r="E2081" s="0" t="s">
        <v>228</v>
      </c>
      <c r="F2081" s="16">
        <f>HYPERLINK("https://eosportal.federatedhermes.com/engagements/RW5nYWdlbWVudAppMzIzMzQ=", "Climate strategy")</f>
      </c>
      <c r="G2081" s="14" t="s">
        <v>5787</v>
      </c>
      <c r="H2081" s="0" t="s">
        <v>130</v>
      </c>
      <c r="I2081" s="14" t="s">
        <v>131</v>
      </c>
      <c r="J2081" s="0" t="s">
        <v>197</v>
      </c>
      <c r="K2081" s="0" t="s">
        <v>198</v>
      </c>
      <c r="L2081" s="0" t="s">
        <v>220</v>
      </c>
      <c r="M2081" s="0" t="s">
        <v>135</v>
      </c>
      <c r="N2081" s="0" t="s">
        <v>136</v>
      </c>
      <c r="O2081" s="0" t="s">
        <v>238</v>
      </c>
      <c r="Q2081" s="0" t="s">
        <v>141</v>
      </c>
      <c r="R2081" s="0" t="s">
        <v>130</v>
      </c>
      <c r="S2081" s="14">
        <v>1</v>
      </c>
      <c r="T2081" s="0" t="s">
        <v>231</v>
      </c>
      <c r="U2081" s="0" t="s">
        <v>221</v>
      </c>
      <c r="V2081" s="14" t="s">
        <v>231</v>
      </c>
      <c r="W2081" s="0" t="s">
        <v>221</v>
      </c>
      <c r="X2081" s="14" t="s">
        <v>2629</v>
      </c>
      <c r="Y2081" s="0" t="s">
        <v>223</v>
      </c>
      <c r="Z2081" s="14" t="s">
        <v>138</v>
      </c>
      <c r="AA2081" s="0" t="s">
        <v>224</v>
      </c>
      <c r="AB2081" s="14" t="s">
        <v>138</v>
      </c>
      <c r="AD2081" s="0" t="s">
        <v>17</v>
      </c>
      <c r="AF2081" s="0">
        <v>0</v>
      </c>
      <c r="AG2081" s="0">
        <v>0</v>
      </c>
      <c r="AH2081" s="0" t="s">
        <v>140</v>
      </c>
      <c r="AI2081" s="0" t="s">
        <v>232</v>
      </c>
      <c r="AK2081" s="0" t="s">
        <v>226</v>
      </c>
      <c r="AL2081" s="14"/>
      <c r="AN2081" s="14"/>
      <c r="AQ2081" s="0" t="s">
        <v>130</v>
      </c>
      <c r="AR2081" s="0" t="s">
        <v>130</v>
      </c>
      <c r="AS2081" s="0" t="s">
        <v>130</v>
      </c>
      <c r="AT2081" s="0" t="s">
        <v>130</v>
      </c>
      <c r="AU2081" s="0" t="s">
        <v>130</v>
      </c>
      <c r="AV2081" s="0" t="s">
        <v>130</v>
      </c>
      <c r="AW2081" s="0" t="s">
        <v>141</v>
      </c>
      <c r="AX2081" s="0" t="s">
        <v>130</v>
      </c>
      <c r="AY2081" s="0" t="s">
        <v>141</v>
      </c>
      <c r="AZ2081" s="0" t="s">
        <v>130</v>
      </c>
      <c r="BA2081" s="0" t="s">
        <v>130</v>
      </c>
      <c r="BB2081" s="0" t="s">
        <v>130</v>
      </c>
      <c r="BC2081" s="0" t="s">
        <v>141</v>
      </c>
      <c r="BD2081" s="0" t="s">
        <v>130</v>
      </c>
      <c r="BE2081" s="0" t="s">
        <v>130</v>
      </c>
      <c r="BF2081" s="0" t="s">
        <v>130</v>
      </c>
      <c r="BG2081" s="0" t="s">
        <v>130</v>
      </c>
      <c r="BH2081" s="0" t="s">
        <v>141</v>
      </c>
      <c r="BI2081" s="0" t="s">
        <v>141</v>
      </c>
      <c r="BJ2081" s="0" t="s">
        <v>141</v>
      </c>
      <c r="BK2081" s="0" t="s">
        <v>130</v>
      </c>
      <c r="BL2081" s="0" t="s">
        <v>130</v>
      </c>
      <c r="BM2081" s="0" t="s">
        <v>130</v>
      </c>
      <c r="BN2081" s="0" t="s">
        <v>130</v>
      </c>
      <c r="BO2081" s="0" t="s">
        <v>130</v>
      </c>
      <c r="BP2081" s="0" t="s">
        <v>130</v>
      </c>
      <c r="BQ2081" s="0" t="s">
        <v>130</v>
      </c>
      <c r="BR2081" s="0" t="s">
        <v>130</v>
      </c>
      <c r="BS2081" s="0" t="s">
        <v>130</v>
      </c>
      <c r="BT2081" s="0" t="s">
        <v>130</v>
      </c>
      <c r="BU2081" s="0" t="s">
        <v>130</v>
      </c>
      <c r="BV2081" s="0" t="s">
        <v>141</v>
      </c>
      <c r="BW2081" s="0" t="s">
        <v>141</v>
      </c>
      <c r="BX2081" s="0" t="s">
        <v>130</v>
      </c>
      <c r="BY2081" s="0" t="s">
        <v>130</v>
      </c>
      <c r="BZ2081" s="0" t="s">
        <v>130</v>
      </c>
      <c r="CA2081" s="0" t="s">
        <v>130</v>
      </c>
      <c r="CB2081" s="0" t="s">
        <v>130</v>
      </c>
      <c r="CC2081" s="0" t="s">
        <v>130</v>
      </c>
      <c r="CD2081" s="0" t="s">
        <v>130</v>
      </c>
      <c r="CE2081" s="0" t="s">
        <v>130</v>
      </c>
      <c r="CF2081" s="0" t="s">
        <v>130</v>
      </c>
      <c r="CG2081" s="0" t="s">
        <v>130</v>
      </c>
      <c r="CH2081" s="0" t="s">
        <v>130</v>
      </c>
      <c r="CI2081" s="0" t="s">
        <v>130</v>
      </c>
      <c r="CJ2081" s="0" t="s">
        <v>130</v>
      </c>
      <c r="CK2081" s="0" t="s">
        <v>130</v>
      </c>
      <c r="CL2081" s="0" t="s">
        <v>130</v>
      </c>
      <c r="CM2081" s="0" t="s">
        <v>130</v>
      </c>
      <c r="CN2081" s="0" t="s">
        <v>130</v>
      </c>
      <c r="CO2081" s="0" t="s">
        <v>130</v>
      </c>
      <c r="CP2081" s="0" t="s">
        <v>130</v>
      </c>
      <c r="CQ2081" s="0" t="s">
        <v>130</v>
      </c>
      <c r="CR2081" s="0" t="s">
        <v>130</v>
      </c>
      <c r="CS2081" s="0" t="s">
        <v>130</v>
      </c>
      <c r="CT2081" s="0" t="s">
        <v>5788</v>
      </c>
    </row>
    <row r="2082">
      <c r="A2082" s="14">
        <v>169367</v>
      </c>
      <c r="B2082" s="0" t="s">
        <v>3021</v>
      </c>
      <c r="C2082" s="16">
        <f>HYPERLINK("https://eosportal.federatedhermes.com/companies/Q29tcGFueQppNjE5MDI=", "HDFC Bank Ltd")</f>
      </c>
      <c r="D2082" s="0" t="s">
        <v>25</v>
      </c>
      <c r="E2082" s="0" t="s">
        <v>5789</v>
      </c>
      <c r="F2082" s="16">
        <f>HYPERLINK("https://eosportal.federatedhermes.com/engagements/RW5nYWdlbWVudAppMzIzNDA=", "Deforestation risks")</f>
      </c>
      <c r="G2082" s="14" t="s">
        <v>5790</v>
      </c>
      <c r="H2082" s="0" t="s">
        <v>141</v>
      </c>
      <c r="I2082" s="14" t="s">
        <v>131</v>
      </c>
      <c r="J2082" s="0" t="s">
        <v>197</v>
      </c>
      <c r="K2082" s="0" t="s">
        <v>337</v>
      </c>
      <c r="L2082" s="0" t="s">
        <v>576</v>
      </c>
      <c r="M2082" s="0" t="s">
        <v>2807</v>
      </c>
      <c r="N2082" s="0" t="s">
        <v>2969</v>
      </c>
      <c r="O2082" s="0" t="s">
        <v>238</v>
      </c>
      <c r="Q2082" s="0" t="s">
        <v>130</v>
      </c>
      <c r="R2082" s="0" t="s">
        <v>138</v>
      </c>
      <c r="S2082" s="14">
        <v>0</v>
      </c>
      <c r="T2082" s="0" t="s">
        <v>2629</v>
      </c>
      <c r="U2082" s="0" t="s">
        <v>138</v>
      </c>
      <c r="V2082" s="14" t="s">
        <v>138</v>
      </c>
      <c r="W2082" s="0" t="s">
        <v>138</v>
      </c>
      <c r="X2082" s="14" t="s">
        <v>138</v>
      </c>
      <c r="Y2082" s="0" t="s">
        <v>138</v>
      </c>
      <c r="Z2082" s="14" t="s">
        <v>138</v>
      </c>
      <c r="AA2082" s="0" t="s">
        <v>138</v>
      </c>
      <c r="AB2082" s="14" t="s">
        <v>138</v>
      </c>
      <c r="AD2082" s="0" t="s">
        <v>138</v>
      </c>
      <c r="AF2082" s="0">
        <v>0</v>
      </c>
      <c r="AG2082" s="0">
        <v>0</v>
      </c>
      <c r="AH2082" s="0" t="s">
        <v>140</v>
      </c>
      <c r="AI2082" s="0" t="s">
        <v>138</v>
      </c>
      <c r="AL2082" s="14"/>
      <c r="AN2082" s="14"/>
      <c r="AQ2082" s="0" t="s">
        <v>130</v>
      </c>
      <c r="AR2082" s="0" t="s">
        <v>141</v>
      </c>
      <c r="AS2082" s="0" t="s">
        <v>130</v>
      </c>
      <c r="AT2082" s="0" t="s">
        <v>130</v>
      </c>
      <c r="AU2082" s="0" t="s">
        <v>130</v>
      </c>
      <c r="AV2082" s="0" t="s">
        <v>130</v>
      </c>
      <c r="AW2082" s="0" t="s">
        <v>130</v>
      </c>
      <c r="AX2082" s="0" t="s">
        <v>130</v>
      </c>
      <c r="AY2082" s="0" t="s">
        <v>130</v>
      </c>
      <c r="AZ2082" s="0" t="s">
        <v>130</v>
      </c>
      <c r="BA2082" s="0" t="s">
        <v>130</v>
      </c>
      <c r="BB2082" s="0" t="s">
        <v>141</v>
      </c>
      <c r="BC2082" s="0" t="s">
        <v>130</v>
      </c>
      <c r="BD2082" s="0" t="s">
        <v>130</v>
      </c>
      <c r="BE2082" s="0" t="s">
        <v>141</v>
      </c>
      <c r="BF2082" s="0" t="s">
        <v>130</v>
      </c>
      <c r="BG2082" s="0" t="s">
        <v>130</v>
      </c>
      <c r="BH2082" s="0" t="s">
        <v>130</v>
      </c>
      <c r="BI2082" s="0" t="s">
        <v>130</v>
      </c>
      <c r="BJ2082" s="0" t="s">
        <v>130</v>
      </c>
      <c r="BK2082" s="0" t="s">
        <v>130</v>
      </c>
      <c r="BL2082" s="0" t="s">
        <v>130</v>
      </c>
      <c r="BM2082" s="0" t="s">
        <v>130</v>
      </c>
      <c r="BN2082" s="0" t="s">
        <v>130</v>
      </c>
      <c r="BO2082" s="0" t="s">
        <v>130</v>
      </c>
      <c r="BP2082" s="0" t="s">
        <v>130</v>
      </c>
      <c r="BQ2082" s="0" t="s">
        <v>130</v>
      </c>
      <c r="BR2082" s="0" t="s">
        <v>130</v>
      </c>
      <c r="BS2082" s="0" t="s">
        <v>130</v>
      </c>
      <c r="BT2082" s="0" t="s">
        <v>130</v>
      </c>
      <c r="BU2082" s="0" t="s">
        <v>130</v>
      </c>
      <c r="BV2082" s="0" t="s">
        <v>130</v>
      </c>
      <c r="BW2082" s="0" t="s">
        <v>130</v>
      </c>
      <c r="BX2082" s="0" t="s">
        <v>130</v>
      </c>
      <c r="BY2082" s="0" t="s">
        <v>130</v>
      </c>
      <c r="BZ2082" s="0" t="s">
        <v>130</v>
      </c>
      <c r="CA2082" s="0" t="s">
        <v>130</v>
      </c>
      <c r="CB2082" s="0" t="s">
        <v>130</v>
      </c>
      <c r="CC2082" s="0" t="s">
        <v>130</v>
      </c>
      <c r="CD2082" s="0" t="s">
        <v>130</v>
      </c>
      <c r="CE2082" s="0" t="s">
        <v>130</v>
      </c>
      <c r="CF2082" s="0" t="s">
        <v>130</v>
      </c>
      <c r="CG2082" s="0" t="s">
        <v>130</v>
      </c>
      <c r="CH2082" s="0" t="s">
        <v>130</v>
      </c>
      <c r="CI2082" s="0" t="s">
        <v>130</v>
      </c>
      <c r="CJ2082" s="0" t="s">
        <v>130</v>
      </c>
      <c r="CK2082" s="0" t="s">
        <v>130</v>
      </c>
      <c r="CL2082" s="0" t="s">
        <v>130</v>
      </c>
      <c r="CM2082" s="0" t="s">
        <v>130</v>
      </c>
      <c r="CN2082" s="0" t="s">
        <v>130</v>
      </c>
      <c r="CO2082" s="0" t="s">
        <v>130</v>
      </c>
      <c r="CP2082" s="0" t="s">
        <v>130</v>
      </c>
      <c r="CQ2082" s="0" t="s">
        <v>130</v>
      </c>
      <c r="CR2082" s="0" t="s">
        <v>130</v>
      </c>
      <c r="CS2082" s="0" t="s">
        <v>130</v>
      </c>
      <c r="CT2082" s="0" t="s">
        <v>5791</v>
      </c>
    </row>
    <row r="2083">
      <c r="A2083" s="14">
        <v>41234897</v>
      </c>
      <c r="B2083" s="0" t="s">
        <v>4547</v>
      </c>
      <c r="C2083" s="16">
        <f>HYPERLINK("https://eosportal.federatedhermes.com/companies/Q29tcGFueQppNzkwOTY=", "UBS Group AG")</f>
      </c>
      <c r="D2083" s="0" t="s">
        <v>25</v>
      </c>
      <c r="E2083" s="0" t="s">
        <v>5792</v>
      </c>
      <c r="F2083" s="16">
        <f>HYPERLINK("https://eosportal.federatedhermes.com/engagements/RW5nYWdlbWVudAppMzIzNDE=", "UBS takeover of Credit Suisse")</f>
      </c>
      <c r="G2083" s="14" t="s">
        <v>5793</v>
      </c>
      <c r="H2083" s="0" t="s">
        <v>141</v>
      </c>
      <c r="I2083" s="14" t="s">
        <v>131</v>
      </c>
      <c r="J2083" s="0" t="s">
        <v>132</v>
      </c>
      <c r="K2083" s="0" t="s">
        <v>133</v>
      </c>
      <c r="L2083" s="0" t="s">
        <v>160</v>
      </c>
      <c r="M2083" s="0" t="s">
        <v>378</v>
      </c>
      <c r="N2083" s="0" t="s">
        <v>1059</v>
      </c>
      <c r="O2083" s="0" t="s">
        <v>238</v>
      </c>
      <c r="Q2083" s="0" t="s">
        <v>141</v>
      </c>
      <c r="R2083" s="0" t="s">
        <v>138</v>
      </c>
      <c r="S2083" s="14">
        <v>1</v>
      </c>
      <c r="T2083" s="0" t="s">
        <v>2629</v>
      </c>
      <c r="U2083" s="0" t="s">
        <v>138</v>
      </c>
      <c r="V2083" s="14" t="s">
        <v>138</v>
      </c>
      <c r="W2083" s="0" t="s">
        <v>138</v>
      </c>
      <c r="X2083" s="14" t="s">
        <v>138</v>
      </c>
      <c r="Y2083" s="0" t="s">
        <v>138</v>
      </c>
      <c r="Z2083" s="14" t="s">
        <v>138</v>
      </c>
      <c r="AA2083" s="0" t="s">
        <v>138</v>
      </c>
      <c r="AB2083" s="14" t="s">
        <v>138</v>
      </c>
      <c r="AD2083" s="0" t="s">
        <v>138</v>
      </c>
      <c r="AF2083" s="0">
        <v>0</v>
      </c>
      <c r="AG2083" s="0">
        <v>0</v>
      </c>
      <c r="AH2083" s="0" t="s">
        <v>140</v>
      </c>
      <c r="AI2083" s="0" t="s">
        <v>138</v>
      </c>
      <c r="AK2083" s="0" t="s">
        <v>1834</v>
      </c>
      <c r="AL2083" s="14"/>
      <c r="AN2083" s="14"/>
      <c r="AQ2083" s="0" t="s">
        <v>130</v>
      </c>
      <c r="AR2083" s="0" t="s">
        <v>130</v>
      </c>
      <c r="AS2083" s="0" t="s">
        <v>130</v>
      </c>
      <c r="AT2083" s="0" t="s">
        <v>130</v>
      </c>
      <c r="AU2083" s="0" t="s">
        <v>130</v>
      </c>
      <c r="AV2083" s="0" t="s">
        <v>130</v>
      </c>
      <c r="AW2083" s="0" t="s">
        <v>130</v>
      </c>
      <c r="AX2083" s="0" t="s">
        <v>130</v>
      </c>
      <c r="AY2083" s="0" t="s">
        <v>130</v>
      </c>
      <c r="AZ2083" s="0" t="s">
        <v>130</v>
      </c>
      <c r="BA2083" s="0" t="s">
        <v>130</v>
      </c>
      <c r="BB2083" s="0" t="s">
        <v>130</v>
      </c>
      <c r="BC2083" s="0" t="s">
        <v>130</v>
      </c>
      <c r="BD2083" s="0" t="s">
        <v>130</v>
      </c>
      <c r="BE2083" s="0" t="s">
        <v>130</v>
      </c>
      <c r="BF2083" s="0" t="s">
        <v>130</v>
      </c>
      <c r="BG2083" s="0" t="s">
        <v>130</v>
      </c>
      <c r="BH2083" s="0" t="s">
        <v>130</v>
      </c>
      <c r="BI2083" s="0" t="s">
        <v>130</v>
      </c>
      <c r="BJ2083" s="0" t="s">
        <v>130</v>
      </c>
      <c r="BK2083" s="0" t="s">
        <v>130</v>
      </c>
      <c r="BL2083" s="0" t="s">
        <v>130</v>
      </c>
      <c r="BM2083" s="0" t="s">
        <v>130</v>
      </c>
      <c r="BN2083" s="0" t="s">
        <v>130</v>
      </c>
      <c r="BO2083" s="0" t="s">
        <v>130</v>
      </c>
      <c r="BP2083" s="0" t="s">
        <v>130</v>
      </c>
      <c r="BQ2083" s="0" t="s">
        <v>130</v>
      </c>
      <c r="BR2083" s="0" t="s">
        <v>130</v>
      </c>
      <c r="BS2083" s="0" t="s">
        <v>130</v>
      </c>
      <c r="BT2083" s="0" t="s">
        <v>130</v>
      </c>
      <c r="BU2083" s="0" t="s">
        <v>130</v>
      </c>
      <c r="BV2083" s="0" t="s">
        <v>130</v>
      </c>
      <c r="BW2083" s="0" t="s">
        <v>130</v>
      </c>
      <c r="BX2083" s="0" t="s">
        <v>130</v>
      </c>
      <c r="BY2083" s="0" t="s">
        <v>130</v>
      </c>
      <c r="BZ2083" s="0" t="s">
        <v>130</v>
      </c>
      <c r="CA2083" s="0" t="s">
        <v>130</v>
      </c>
      <c r="CB2083" s="0" t="s">
        <v>130</v>
      </c>
      <c r="CC2083" s="0" t="s">
        <v>130</v>
      </c>
      <c r="CD2083" s="0" t="s">
        <v>130</v>
      </c>
      <c r="CE2083" s="0" t="s">
        <v>130</v>
      </c>
      <c r="CF2083" s="0" t="s">
        <v>130</v>
      </c>
      <c r="CG2083" s="0" t="s">
        <v>130</v>
      </c>
      <c r="CH2083" s="0" t="s">
        <v>130</v>
      </c>
      <c r="CI2083" s="0" t="s">
        <v>130</v>
      </c>
      <c r="CJ2083" s="0" t="s">
        <v>130</v>
      </c>
      <c r="CK2083" s="0" t="s">
        <v>130</v>
      </c>
      <c r="CL2083" s="0" t="s">
        <v>130</v>
      </c>
      <c r="CM2083" s="0" t="s">
        <v>130</v>
      </c>
      <c r="CN2083" s="0" t="s">
        <v>130</v>
      </c>
      <c r="CO2083" s="0" t="s">
        <v>130</v>
      </c>
      <c r="CP2083" s="0" t="s">
        <v>130</v>
      </c>
      <c r="CQ2083" s="0" t="s">
        <v>130</v>
      </c>
      <c r="CR2083" s="0" t="s">
        <v>130</v>
      </c>
      <c r="CS2083" s="0" t="s">
        <v>130</v>
      </c>
      <c r="CT2083" s="0" t="s">
        <v>5794</v>
      </c>
    </row>
    <row r="2084">
      <c r="A2084" s="14">
        <v>69423747</v>
      </c>
      <c r="B2084" s="0" t="s">
        <v>4795</v>
      </c>
      <c r="C2084" s="16">
        <f>HYPERLINK("https://eosportal.federatedhermes.com/companies/Q29tcGFueQppNTM0MjQ=", "Cisco Systems Inc")</f>
      </c>
      <c r="D2084" s="0" t="s">
        <v>25</v>
      </c>
      <c r="E2084" s="0" t="s">
        <v>5795</v>
      </c>
      <c r="F2084" s="16">
        <f>HYPERLINK("https://eosportal.federatedhermes.com/engagements/RW5nYWdlbWVudAppMzIzNDg=", "Tax transparency in line with GRI")</f>
      </c>
      <c r="G2084" s="14" t="s">
        <v>5796</v>
      </c>
      <c r="H2084" s="0" t="s">
        <v>141</v>
      </c>
      <c r="I2084" s="14" t="s">
        <v>636</v>
      </c>
      <c r="J2084" s="0" t="s">
        <v>153</v>
      </c>
      <c r="K2084" s="0" t="s">
        <v>185</v>
      </c>
      <c r="L2084" s="0" t="s">
        <v>548</v>
      </c>
      <c r="M2084" s="0" t="s">
        <v>135</v>
      </c>
      <c r="N2084" s="0" t="s">
        <v>136</v>
      </c>
      <c r="O2084" s="0" t="s">
        <v>1125</v>
      </c>
      <c r="Q2084" s="0" t="s">
        <v>130</v>
      </c>
      <c r="R2084" s="0" t="s">
        <v>138</v>
      </c>
      <c r="S2084" s="14">
        <v>0</v>
      </c>
      <c r="T2084" s="0" t="s">
        <v>2270</v>
      </c>
      <c r="U2084" s="0" t="s">
        <v>138</v>
      </c>
      <c r="V2084" s="14" t="s">
        <v>138</v>
      </c>
      <c r="W2084" s="0" t="s">
        <v>138</v>
      </c>
      <c r="X2084" s="14" t="s">
        <v>138</v>
      </c>
      <c r="Y2084" s="0" t="s">
        <v>138</v>
      </c>
      <c r="Z2084" s="14" t="s">
        <v>138</v>
      </c>
      <c r="AA2084" s="0" t="s">
        <v>138</v>
      </c>
      <c r="AB2084" s="14" t="s">
        <v>138</v>
      </c>
      <c r="AD2084" s="0" t="s">
        <v>138</v>
      </c>
      <c r="AF2084" s="0">
        <v>0</v>
      </c>
      <c r="AG2084" s="0">
        <v>0</v>
      </c>
      <c r="AH2084" s="0" t="s">
        <v>140</v>
      </c>
      <c r="AI2084" s="0" t="s">
        <v>138</v>
      </c>
      <c r="AL2084" s="14"/>
      <c r="AN2084" s="14"/>
      <c r="AQ2084" s="0" t="s">
        <v>130</v>
      </c>
      <c r="AR2084" s="0" t="s">
        <v>130</v>
      </c>
      <c r="AS2084" s="0" t="s">
        <v>130</v>
      </c>
      <c r="AT2084" s="0" t="s">
        <v>130</v>
      </c>
      <c r="AU2084" s="0" t="s">
        <v>130</v>
      </c>
      <c r="AV2084" s="0" t="s">
        <v>130</v>
      </c>
      <c r="AW2084" s="0" t="s">
        <v>130</v>
      </c>
      <c r="AX2084" s="0" t="s">
        <v>130</v>
      </c>
      <c r="AY2084" s="0" t="s">
        <v>130</v>
      </c>
      <c r="AZ2084" s="0" t="s">
        <v>130</v>
      </c>
      <c r="BA2084" s="0" t="s">
        <v>130</v>
      </c>
      <c r="BB2084" s="0" t="s">
        <v>130</v>
      </c>
      <c r="BC2084" s="0" t="s">
        <v>130</v>
      </c>
      <c r="BD2084" s="0" t="s">
        <v>130</v>
      </c>
      <c r="BE2084" s="0" t="s">
        <v>130</v>
      </c>
      <c r="BF2084" s="0" t="s">
        <v>130</v>
      </c>
      <c r="BG2084" s="0" t="s">
        <v>141</v>
      </c>
      <c r="BH2084" s="0" t="s">
        <v>130</v>
      </c>
      <c r="BI2084" s="0" t="s">
        <v>130</v>
      </c>
      <c r="BJ2084" s="0" t="s">
        <v>130</v>
      </c>
      <c r="BK2084" s="0" t="s">
        <v>130</v>
      </c>
      <c r="BL2084" s="0" t="s">
        <v>130</v>
      </c>
      <c r="BM2084" s="0" t="s">
        <v>130</v>
      </c>
      <c r="BN2084" s="0" t="s">
        <v>130</v>
      </c>
      <c r="BO2084" s="0" t="s">
        <v>130</v>
      </c>
      <c r="BP2084" s="0" t="s">
        <v>130</v>
      </c>
      <c r="BQ2084" s="0" t="s">
        <v>130</v>
      </c>
      <c r="BR2084" s="0" t="s">
        <v>130</v>
      </c>
      <c r="BS2084" s="0" t="s">
        <v>130</v>
      </c>
      <c r="BT2084" s="0" t="s">
        <v>130</v>
      </c>
      <c r="BU2084" s="0" t="s">
        <v>130</v>
      </c>
      <c r="BV2084" s="0" t="s">
        <v>130</v>
      </c>
      <c r="BW2084" s="0" t="s">
        <v>130</v>
      </c>
      <c r="BX2084" s="0" t="s">
        <v>130</v>
      </c>
      <c r="BY2084" s="0" t="s">
        <v>130</v>
      </c>
      <c r="BZ2084" s="0" t="s">
        <v>130</v>
      </c>
      <c r="CA2084" s="0" t="s">
        <v>130</v>
      </c>
      <c r="CB2084" s="0" t="s">
        <v>130</v>
      </c>
      <c r="CC2084" s="0" t="s">
        <v>130</v>
      </c>
      <c r="CD2084" s="0" t="s">
        <v>130</v>
      </c>
      <c r="CE2084" s="0" t="s">
        <v>130</v>
      </c>
      <c r="CF2084" s="0" t="s">
        <v>130</v>
      </c>
      <c r="CG2084" s="0" t="s">
        <v>130</v>
      </c>
      <c r="CH2084" s="0" t="s">
        <v>130</v>
      </c>
      <c r="CI2084" s="0" t="s">
        <v>130</v>
      </c>
      <c r="CJ2084" s="0" t="s">
        <v>130</v>
      </c>
      <c r="CK2084" s="0" t="s">
        <v>130</v>
      </c>
      <c r="CL2084" s="0" t="s">
        <v>130</v>
      </c>
      <c r="CM2084" s="0" t="s">
        <v>130</v>
      </c>
      <c r="CN2084" s="0" t="s">
        <v>130</v>
      </c>
      <c r="CO2084" s="0" t="s">
        <v>130</v>
      </c>
      <c r="CP2084" s="0" t="s">
        <v>130</v>
      </c>
      <c r="CQ2084" s="0" t="s">
        <v>130</v>
      </c>
      <c r="CR2084" s="0" t="s">
        <v>130</v>
      </c>
      <c r="CS2084" s="0" t="s">
        <v>130</v>
      </c>
      <c r="CT2084" s="0" t="s">
        <v>5797</v>
      </c>
    </row>
    <row r="2085">
      <c r="A2085" s="14">
        <v>23600574</v>
      </c>
      <c r="B2085" s="0" t="s">
        <v>4170</v>
      </c>
      <c r="C2085" s="16">
        <f>HYPERLINK("https://eosportal.federatedhermes.com/companies/Q29tcGFueQppNjY5NDg=", "Veeva Systems Inc")</f>
      </c>
      <c r="D2085" s="0" t="s">
        <v>25</v>
      </c>
      <c r="E2085" s="0" t="s">
        <v>5798</v>
      </c>
      <c r="F2085" s="16">
        <f>HYPERLINK("https://eosportal.federatedhermes.com/engagements/RW5nYWdlbWVudAppMzIzNTA=", "Omnibus stock plan")</f>
      </c>
      <c r="G2085" s="14" t="s">
        <v>5799</v>
      </c>
      <c r="H2085" s="0" t="s">
        <v>130</v>
      </c>
      <c r="I2085" s="14" t="s">
        <v>131</v>
      </c>
      <c r="J2085" s="0" t="s">
        <v>145</v>
      </c>
      <c r="K2085" s="0" t="s">
        <v>146</v>
      </c>
      <c r="L2085" s="0" t="s">
        <v>147</v>
      </c>
      <c r="M2085" s="0" t="s">
        <v>135</v>
      </c>
      <c r="N2085" s="0" t="s">
        <v>136</v>
      </c>
      <c r="O2085" s="0" t="s">
        <v>274</v>
      </c>
      <c r="Q2085" s="0" t="s">
        <v>130</v>
      </c>
      <c r="R2085" s="0" t="s">
        <v>138</v>
      </c>
      <c r="S2085" s="14">
        <v>0</v>
      </c>
      <c r="T2085" s="0" t="s">
        <v>2629</v>
      </c>
      <c r="U2085" s="0" t="s">
        <v>138</v>
      </c>
      <c r="V2085" s="14" t="s">
        <v>138</v>
      </c>
      <c r="W2085" s="0" t="s">
        <v>138</v>
      </c>
      <c r="X2085" s="14" t="s">
        <v>138</v>
      </c>
      <c r="Y2085" s="0" t="s">
        <v>138</v>
      </c>
      <c r="Z2085" s="14" t="s">
        <v>138</v>
      </c>
      <c r="AA2085" s="0" t="s">
        <v>138</v>
      </c>
      <c r="AB2085" s="14" t="s">
        <v>138</v>
      </c>
      <c r="AD2085" s="0" t="s">
        <v>138</v>
      </c>
      <c r="AF2085" s="0">
        <v>0</v>
      </c>
      <c r="AG2085" s="0">
        <v>0</v>
      </c>
      <c r="AH2085" s="0" t="s">
        <v>140</v>
      </c>
      <c r="AI2085" s="0" t="s">
        <v>138</v>
      </c>
      <c r="AL2085" s="14"/>
      <c r="AN2085" s="14"/>
      <c r="AQ2085" s="0" t="s">
        <v>130</v>
      </c>
      <c r="AR2085" s="0" t="s">
        <v>130</v>
      </c>
      <c r="AS2085" s="0" t="s">
        <v>130</v>
      </c>
      <c r="AT2085" s="0" t="s">
        <v>130</v>
      </c>
      <c r="AU2085" s="0" t="s">
        <v>130</v>
      </c>
      <c r="AV2085" s="0" t="s">
        <v>130</v>
      </c>
      <c r="AW2085" s="0" t="s">
        <v>130</v>
      </c>
      <c r="AX2085" s="0" t="s">
        <v>130</v>
      </c>
      <c r="AY2085" s="0" t="s">
        <v>130</v>
      </c>
      <c r="AZ2085" s="0" t="s">
        <v>130</v>
      </c>
      <c r="BA2085" s="0" t="s">
        <v>130</v>
      </c>
      <c r="BB2085" s="0" t="s">
        <v>130</v>
      </c>
      <c r="BC2085" s="0" t="s">
        <v>130</v>
      </c>
      <c r="BD2085" s="0" t="s">
        <v>130</v>
      </c>
      <c r="BE2085" s="0" t="s">
        <v>130</v>
      </c>
      <c r="BF2085" s="0" t="s">
        <v>130</v>
      </c>
      <c r="BG2085" s="0" t="s">
        <v>130</v>
      </c>
      <c r="BH2085" s="0" t="s">
        <v>130</v>
      </c>
      <c r="BI2085" s="0" t="s">
        <v>130</v>
      </c>
      <c r="BJ2085" s="0" t="s">
        <v>130</v>
      </c>
      <c r="BK2085" s="0" t="s">
        <v>130</v>
      </c>
      <c r="BL2085" s="0" t="s">
        <v>130</v>
      </c>
      <c r="BM2085" s="0" t="s">
        <v>130</v>
      </c>
      <c r="BN2085" s="0" t="s">
        <v>130</v>
      </c>
      <c r="BO2085" s="0" t="s">
        <v>130</v>
      </c>
      <c r="BP2085" s="0" t="s">
        <v>130</v>
      </c>
      <c r="BQ2085" s="0" t="s">
        <v>130</v>
      </c>
      <c r="BR2085" s="0" t="s">
        <v>130</v>
      </c>
      <c r="BS2085" s="0" t="s">
        <v>130</v>
      </c>
      <c r="BT2085" s="0" t="s">
        <v>130</v>
      </c>
      <c r="BU2085" s="0" t="s">
        <v>130</v>
      </c>
      <c r="BV2085" s="0" t="s">
        <v>130</v>
      </c>
      <c r="BW2085" s="0" t="s">
        <v>130</v>
      </c>
      <c r="BX2085" s="0" t="s">
        <v>130</v>
      </c>
      <c r="BY2085" s="0" t="s">
        <v>130</v>
      </c>
      <c r="BZ2085" s="0" t="s">
        <v>130</v>
      </c>
      <c r="CA2085" s="0" t="s">
        <v>130</v>
      </c>
      <c r="CB2085" s="0" t="s">
        <v>130</v>
      </c>
      <c r="CC2085" s="0" t="s">
        <v>130</v>
      </c>
      <c r="CD2085" s="0" t="s">
        <v>130</v>
      </c>
      <c r="CE2085" s="0" t="s">
        <v>130</v>
      </c>
      <c r="CF2085" s="0" t="s">
        <v>130</v>
      </c>
      <c r="CG2085" s="0" t="s">
        <v>130</v>
      </c>
      <c r="CH2085" s="0" t="s">
        <v>130</v>
      </c>
      <c r="CI2085" s="0" t="s">
        <v>130</v>
      </c>
      <c r="CJ2085" s="0" t="s">
        <v>130</v>
      </c>
      <c r="CK2085" s="0" t="s">
        <v>130</v>
      </c>
      <c r="CL2085" s="0" t="s">
        <v>130</v>
      </c>
      <c r="CM2085" s="0" t="s">
        <v>130</v>
      </c>
      <c r="CN2085" s="0" t="s">
        <v>130</v>
      </c>
      <c r="CO2085" s="0" t="s">
        <v>130</v>
      </c>
      <c r="CP2085" s="0" t="s">
        <v>130</v>
      </c>
      <c r="CQ2085" s="0" t="s">
        <v>130</v>
      </c>
      <c r="CR2085" s="0" t="s">
        <v>130</v>
      </c>
      <c r="CS2085" s="0" t="s">
        <v>130</v>
      </c>
      <c r="CT2085" s="0" t="s">
        <v>5800</v>
      </c>
    </row>
    <row r="2086">
      <c r="A2086" s="14">
        <v>101073</v>
      </c>
      <c r="B2086" s="0" t="s">
        <v>1186</v>
      </c>
      <c r="C2086" s="16">
        <f>HYPERLINK("https://eosportal.federatedhermes.com/companies/Q29tcGFueQppNjQzNjY=", "NIKE Inc")</f>
      </c>
      <c r="D2086" s="0" t="s">
        <v>23</v>
      </c>
      <c r="E2086" s="0" t="s">
        <v>5801</v>
      </c>
      <c r="F2086" s="16">
        <f>HYPERLINK("https://eosportal.federatedhermes.com/engagements/RW5nYWdlbWVudAppMzIzNTk=", "Polyester recycling")</f>
      </c>
      <c r="G2086" s="14" t="s">
        <v>5802</v>
      </c>
      <c r="H2086" s="0" t="s">
        <v>141</v>
      </c>
      <c r="I2086" s="14" t="s">
        <v>191</v>
      </c>
      <c r="J2086" s="0" t="s">
        <v>197</v>
      </c>
      <c r="K2086" s="0" t="s">
        <v>348</v>
      </c>
      <c r="L2086" s="0" t="s">
        <v>349</v>
      </c>
      <c r="M2086" s="0" t="s">
        <v>135</v>
      </c>
      <c r="N2086" s="0" t="s">
        <v>136</v>
      </c>
      <c r="O2086" s="0" t="s">
        <v>332</v>
      </c>
      <c r="Q2086" s="0" t="s">
        <v>141</v>
      </c>
      <c r="R2086" s="0" t="s">
        <v>130</v>
      </c>
      <c r="S2086" s="14">
        <v>2</v>
      </c>
      <c r="T2086" s="0" t="s">
        <v>2270</v>
      </c>
      <c r="U2086" s="0" t="s">
        <v>221</v>
      </c>
      <c r="V2086" s="14" t="s">
        <v>2270</v>
      </c>
      <c r="W2086" s="0" t="s">
        <v>221</v>
      </c>
      <c r="X2086" s="14" t="s">
        <v>2270</v>
      </c>
      <c r="Y2086" s="0" t="s">
        <v>223</v>
      </c>
      <c r="Z2086" s="14" t="s">
        <v>138</v>
      </c>
      <c r="AA2086" s="0" t="s">
        <v>224</v>
      </c>
      <c r="AB2086" s="14" t="s">
        <v>138</v>
      </c>
      <c r="AD2086" s="0" t="s">
        <v>17</v>
      </c>
      <c r="AF2086" s="0">
        <v>0</v>
      </c>
      <c r="AG2086" s="0">
        <v>0</v>
      </c>
      <c r="AH2086" s="0" t="s">
        <v>140</v>
      </c>
      <c r="AI2086" s="0" t="s">
        <v>479</v>
      </c>
      <c r="AK2086" s="0" t="s">
        <v>1196</v>
      </c>
      <c r="AL2086" s="14"/>
      <c r="AN2086" s="14"/>
      <c r="AQ2086" s="0" t="s">
        <v>130</v>
      </c>
      <c r="AR2086" s="0" t="s">
        <v>130</v>
      </c>
      <c r="AS2086" s="0" t="s">
        <v>130</v>
      </c>
      <c r="AT2086" s="0" t="s">
        <v>130</v>
      </c>
      <c r="AU2086" s="0" t="s">
        <v>130</v>
      </c>
      <c r="AV2086" s="0" t="s">
        <v>130</v>
      </c>
      <c r="AW2086" s="0" t="s">
        <v>130</v>
      </c>
      <c r="AX2086" s="0" t="s">
        <v>130</v>
      </c>
      <c r="AY2086" s="0" t="s">
        <v>130</v>
      </c>
      <c r="AZ2086" s="0" t="s">
        <v>130</v>
      </c>
      <c r="BA2086" s="0" t="s">
        <v>141</v>
      </c>
      <c r="BB2086" s="0" t="s">
        <v>141</v>
      </c>
      <c r="BC2086" s="0" t="s">
        <v>130</v>
      </c>
      <c r="BD2086" s="0" t="s">
        <v>130</v>
      </c>
      <c r="BE2086" s="0" t="s">
        <v>130</v>
      </c>
      <c r="BF2086" s="0" t="s">
        <v>130</v>
      </c>
      <c r="BG2086" s="0" t="s">
        <v>130</v>
      </c>
      <c r="BH2086" s="0" t="s">
        <v>130</v>
      </c>
      <c r="BI2086" s="0" t="s">
        <v>130</v>
      </c>
      <c r="BJ2086" s="0" t="s">
        <v>130</v>
      </c>
      <c r="BK2086" s="0" t="s">
        <v>130</v>
      </c>
      <c r="BL2086" s="0" t="s">
        <v>130</v>
      </c>
      <c r="BM2086" s="0" t="s">
        <v>130</v>
      </c>
      <c r="BN2086" s="0" t="s">
        <v>130</v>
      </c>
      <c r="BO2086" s="0" t="s">
        <v>130</v>
      </c>
      <c r="BP2086" s="0" t="s">
        <v>130</v>
      </c>
      <c r="BQ2086" s="0" t="s">
        <v>130</v>
      </c>
      <c r="BR2086" s="0" t="s">
        <v>130</v>
      </c>
      <c r="BS2086" s="0" t="s">
        <v>130</v>
      </c>
      <c r="BT2086" s="0" t="s">
        <v>130</v>
      </c>
      <c r="BU2086" s="0" t="s">
        <v>130</v>
      </c>
      <c r="BV2086" s="0" t="s">
        <v>130</v>
      </c>
      <c r="BW2086" s="0" t="s">
        <v>130</v>
      </c>
      <c r="BX2086" s="0" t="s">
        <v>130</v>
      </c>
      <c r="BY2086" s="0" t="s">
        <v>130</v>
      </c>
      <c r="BZ2086" s="0" t="s">
        <v>130</v>
      </c>
      <c r="CA2086" s="0" t="s">
        <v>130</v>
      </c>
      <c r="CB2086" s="0" t="s">
        <v>130</v>
      </c>
      <c r="CC2086" s="0" t="s">
        <v>130</v>
      </c>
      <c r="CD2086" s="0" t="s">
        <v>141</v>
      </c>
      <c r="CE2086" s="0" t="s">
        <v>130</v>
      </c>
      <c r="CF2086" s="0" t="s">
        <v>130</v>
      </c>
      <c r="CG2086" s="0" t="s">
        <v>130</v>
      </c>
      <c r="CH2086" s="0" t="s">
        <v>130</v>
      </c>
      <c r="CI2086" s="0" t="s">
        <v>130</v>
      </c>
      <c r="CJ2086" s="0" t="s">
        <v>130</v>
      </c>
      <c r="CK2086" s="0" t="s">
        <v>130</v>
      </c>
      <c r="CL2086" s="0" t="s">
        <v>130</v>
      </c>
      <c r="CM2086" s="0" t="s">
        <v>130</v>
      </c>
      <c r="CN2086" s="0" t="s">
        <v>130</v>
      </c>
      <c r="CO2086" s="0" t="s">
        <v>130</v>
      </c>
      <c r="CP2086" s="0" t="s">
        <v>130</v>
      </c>
      <c r="CQ2086" s="0" t="s">
        <v>130</v>
      </c>
      <c r="CR2086" s="0" t="s">
        <v>130</v>
      </c>
      <c r="CS2086" s="0" t="s">
        <v>130</v>
      </c>
      <c r="CT2086" s="0" t="s">
        <v>5803</v>
      </c>
    </row>
    <row r="2087">
      <c r="A2087" s="14">
        <v>21445200</v>
      </c>
      <c r="B2087" s="0" t="s">
        <v>4467</v>
      </c>
      <c r="C2087" s="16">
        <f>HYPERLINK("https://eosportal.federatedhermes.com/companies/Q29tcGFueQppNzM3NjM=", "HCA Healthcare Inc")</f>
      </c>
      <c r="D2087" s="0" t="s">
        <v>23</v>
      </c>
      <c r="E2087" s="0" t="s">
        <v>5804</v>
      </c>
      <c r="F2087" s="16">
        <f>HYPERLINK("https://eosportal.federatedhermes.com/engagements/RW5nYWdlbWVudAppMzIzNjA=", "Paying living wages to employees")</f>
      </c>
      <c r="G2087" s="14" t="s">
        <v>5805</v>
      </c>
      <c r="H2087" s="0" t="s">
        <v>141</v>
      </c>
      <c r="I2087" s="14" t="s">
        <v>131</v>
      </c>
      <c r="J2087" s="0" t="s">
        <v>153</v>
      </c>
      <c r="K2087" s="0" t="s">
        <v>154</v>
      </c>
      <c r="L2087" s="0" t="s">
        <v>306</v>
      </c>
      <c r="M2087" s="0" t="s">
        <v>135</v>
      </c>
      <c r="N2087" s="0" t="s">
        <v>136</v>
      </c>
      <c r="O2087" s="0" t="s">
        <v>274</v>
      </c>
      <c r="Q2087" s="0" t="s">
        <v>130</v>
      </c>
      <c r="R2087" s="0" t="s">
        <v>130</v>
      </c>
      <c r="S2087" s="14">
        <v>0</v>
      </c>
      <c r="T2087" s="0" t="s">
        <v>2270</v>
      </c>
      <c r="U2087" s="0" t="s">
        <v>221</v>
      </c>
      <c r="V2087" s="14" t="s">
        <v>2270</v>
      </c>
      <c r="W2087" s="0" t="s">
        <v>223</v>
      </c>
      <c r="X2087" s="14" t="s">
        <v>138</v>
      </c>
      <c r="Y2087" s="0" t="s">
        <v>224</v>
      </c>
      <c r="Z2087" s="14" t="s">
        <v>138</v>
      </c>
      <c r="AA2087" s="0" t="s">
        <v>224</v>
      </c>
      <c r="AB2087" s="14" t="s">
        <v>138</v>
      </c>
      <c r="AD2087" s="0" t="s">
        <v>14</v>
      </c>
      <c r="AF2087" s="0">
        <v>0</v>
      </c>
      <c r="AG2087" s="0">
        <v>0</v>
      </c>
      <c r="AH2087" s="0" t="s">
        <v>140</v>
      </c>
      <c r="AI2087" s="0" t="s">
        <v>225</v>
      </c>
      <c r="AL2087" s="14"/>
      <c r="AN2087" s="14"/>
      <c r="AQ2087" s="0" t="s">
        <v>141</v>
      </c>
      <c r="AR2087" s="0" t="s">
        <v>130</v>
      </c>
      <c r="AS2087" s="0" t="s">
        <v>130</v>
      </c>
      <c r="AT2087" s="0" t="s">
        <v>130</v>
      </c>
      <c r="AU2087" s="0" t="s">
        <v>130</v>
      </c>
      <c r="AV2087" s="0" t="s">
        <v>130</v>
      </c>
      <c r="AW2087" s="0" t="s">
        <v>130</v>
      </c>
      <c r="AX2087" s="0" t="s">
        <v>141</v>
      </c>
      <c r="AY2087" s="0" t="s">
        <v>130</v>
      </c>
      <c r="AZ2087" s="0" t="s">
        <v>141</v>
      </c>
      <c r="BA2087" s="0" t="s">
        <v>130</v>
      </c>
      <c r="BB2087" s="0" t="s">
        <v>130</v>
      </c>
      <c r="BC2087" s="0" t="s">
        <v>130</v>
      </c>
      <c r="BD2087" s="0" t="s">
        <v>130</v>
      </c>
      <c r="BE2087" s="0" t="s">
        <v>130</v>
      </c>
      <c r="BF2087" s="0" t="s">
        <v>130</v>
      </c>
      <c r="BG2087" s="0" t="s">
        <v>130</v>
      </c>
      <c r="BH2087" s="0" t="s">
        <v>130</v>
      </c>
      <c r="BI2087" s="0" t="s">
        <v>130</v>
      </c>
      <c r="BJ2087" s="0" t="s">
        <v>130</v>
      </c>
      <c r="BK2087" s="0" t="s">
        <v>130</v>
      </c>
      <c r="BL2087" s="0" t="s">
        <v>130</v>
      </c>
      <c r="BM2087" s="0" t="s">
        <v>130</v>
      </c>
      <c r="BN2087" s="0" t="s">
        <v>130</v>
      </c>
      <c r="BO2087" s="0" t="s">
        <v>130</v>
      </c>
      <c r="BP2087" s="0" t="s">
        <v>130</v>
      </c>
      <c r="BQ2087" s="0" t="s">
        <v>130</v>
      </c>
      <c r="BR2087" s="0" t="s">
        <v>130</v>
      </c>
      <c r="BS2087" s="0" t="s">
        <v>130</v>
      </c>
      <c r="BT2087" s="0" t="s">
        <v>130</v>
      </c>
      <c r="BU2087" s="0" t="s">
        <v>130</v>
      </c>
      <c r="BV2087" s="0" t="s">
        <v>130</v>
      </c>
      <c r="BW2087" s="0" t="s">
        <v>130</v>
      </c>
      <c r="BX2087" s="0" t="s">
        <v>130</v>
      </c>
      <c r="BY2087" s="0" t="s">
        <v>130</v>
      </c>
      <c r="BZ2087" s="0" t="s">
        <v>130</v>
      </c>
      <c r="CA2087" s="0" t="s">
        <v>130</v>
      </c>
      <c r="CB2087" s="0" t="s">
        <v>130</v>
      </c>
      <c r="CC2087" s="0" t="s">
        <v>130</v>
      </c>
      <c r="CD2087" s="0" t="s">
        <v>130</v>
      </c>
      <c r="CE2087" s="0" t="s">
        <v>130</v>
      </c>
      <c r="CF2087" s="0" t="s">
        <v>130</v>
      </c>
      <c r="CG2087" s="0" t="s">
        <v>130</v>
      </c>
      <c r="CH2087" s="0" t="s">
        <v>130</v>
      </c>
      <c r="CI2087" s="0" t="s">
        <v>130</v>
      </c>
      <c r="CJ2087" s="0" t="s">
        <v>130</v>
      </c>
      <c r="CK2087" s="0" t="s">
        <v>130</v>
      </c>
      <c r="CL2087" s="0" t="s">
        <v>130</v>
      </c>
      <c r="CM2087" s="0" t="s">
        <v>130</v>
      </c>
      <c r="CN2087" s="0" t="s">
        <v>130</v>
      </c>
      <c r="CO2087" s="0" t="s">
        <v>130</v>
      </c>
      <c r="CP2087" s="0" t="s">
        <v>130</v>
      </c>
      <c r="CQ2087" s="0" t="s">
        <v>130</v>
      </c>
      <c r="CR2087" s="0" t="s">
        <v>130</v>
      </c>
      <c r="CS2087" s="0" t="s">
        <v>130</v>
      </c>
      <c r="CT2087" s="0" t="s">
        <v>5806</v>
      </c>
    </row>
    <row r="2088">
      <c r="A2088" s="14">
        <v>115268</v>
      </c>
      <c r="B2088" s="0" t="s">
        <v>2415</v>
      </c>
      <c r="C2088" s="16">
        <f>HYPERLINK("https://eosportal.federatedhermes.com/companies/Q29tcGFueQppODU4NzM=", "Carrefour SA")</f>
      </c>
      <c r="D2088" s="0" t="s">
        <v>23</v>
      </c>
      <c r="E2088" s="0" t="s">
        <v>5245</v>
      </c>
      <c r="F2088" s="16">
        <f>HYPERLINK("https://eosportal.federatedhermes.com/engagements/RW5nYWdlbWVudAppMzIzNjI=", "Regenerative Agriculture")</f>
      </c>
      <c r="G2088" s="14" t="s">
        <v>5807</v>
      </c>
      <c r="H2088" s="0" t="s">
        <v>141</v>
      </c>
      <c r="I2088" s="14" t="s">
        <v>131</v>
      </c>
      <c r="J2088" s="0" t="s">
        <v>197</v>
      </c>
      <c r="K2088" s="0" t="s">
        <v>337</v>
      </c>
      <c r="L2088" s="0" t="s">
        <v>576</v>
      </c>
      <c r="M2088" s="0" t="s">
        <v>378</v>
      </c>
      <c r="N2088" s="0" t="s">
        <v>1646</v>
      </c>
      <c r="O2088" s="0" t="s">
        <v>643</v>
      </c>
      <c r="Q2088" s="0" t="s">
        <v>141</v>
      </c>
      <c r="R2088" s="0" t="s">
        <v>130</v>
      </c>
      <c r="S2088" s="14">
        <v>1</v>
      </c>
      <c r="T2088" s="0" t="s">
        <v>597</v>
      </c>
      <c r="U2088" s="0" t="s">
        <v>221</v>
      </c>
      <c r="V2088" s="14" t="s">
        <v>597</v>
      </c>
      <c r="W2088" s="0" t="s">
        <v>221</v>
      </c>
      <c r="X2088" s="14" t="s">
        <v>2629</v>
      </c>
      <c r="Y2088" s="0" t="s">
        <v>223</v>
      </c>
      <c r="Z2088" s="14" t="s">
        <v>138</v>
      </c>
      <c r="AA2088" s="0" t="s">
        <v>224</v>
      </c>
      <c r="AB2088" s="14" t="s">
        <v>138</v>
      </c>
      <c r="AD2088" s="0" t="s">
        <v>17</v>
      </c>
      <c r="AF2088" s="0">
        <v>0</v>
      </c>
      <c r="AG2088" s="0">
        <v>0</v>
      </c>
      <c r="AH2088" s="0" t="s">
        <v>140</v>
      </c>
      <c r="AI2088" s="0" t="s">
        <v>479</v>
      </c>
      <c r="AK2088" s="0" t="s">
        <v>1439</v>
      </c>
      <c r="AL2088" s="14"/>
      <c r="AN2088" s="14"/>
      <c r="AQ2088" s="0" t="s">
        <v>130</v>
      </c>
      <c r="AR2088" s="0" t="s">
        <v>141</v>
      </c>
      <c r="AS2088" s="0" t="s">
        <v>130</v>
      </c>
      <c r="AT2088" s="0" t="s">
        <v>130</v>
      </c>
      <c r="AU2088" s="0" t="s">
        <v>130</v>
      </c>
      <c r="AV2088" s="0" t="s">
        <v>130</v>
      </c>
      <c r="AW2088" s="0" t="s">
        <v>130</v>
      </c>
      <c r="AX2088" s="0" t="s">
        <v>130</v>
      </c>
      <c r="AY2088" s="0" t="s">
        <v>130</v>
      </c>
      <c r="AZ2088" s="0" t="s">
        <v>130</v>
      </c>
      <c r="BA2088" s="0" t="s">
        <v>130</v>
      </c>
      <c r="BB2088" s="0" t="s">
        <v>141</v>
      </c>
      <c r="BC2088" s="0" t="s">
        <v>130</v>
      </c>
      <c r="BD2088" s="0" t="s">
        <v>130</v>
      </c>
      <c r="BE2088" s="0" t="s">
        <v>141</v>
      </c>
      <c r="BF2088" s="0" t="s">
        <v>130</v>
      </c>
      <c r="BG2088" s="0" t="s">
        <v>130</v>
      </c>
      <c r="BH2088" s="0" t="s">
        <v>130</v>
      </c>
      <c r="BI2088" s="0" t="s">
        <v>130</v>
      </c>
      <c r="BJ2088" s="0" t="s">
        <v>130</v>
      </c>
      <c r="BK2088" s="0" t="s">
        <v>130</v>
      </c>
      <c r="BL2088" s="0" t="s">
        <v>130</v>
      </c>
      <c r="BM2088" s="0" t="s">
        <v>130</v>
      </c>
      <c r="BN2088" s="0" t="s">
        <v>130</v>
      </c>
      <c r="BO2088" s="0" t="s">
        <v>130</v>
      </c>
      <c r="BP2088" s="0" t="s">
        <v>130</v>
      </c>
      <c r="BQ2088" s="0" t="s">
        <v>130</v>
      </c>
      <c r="BR2088" s="0" t="s">
        <v>130</v>
      </c>
      <c r="BS2088" s="0" t="s">
        <v>130</v>
      </c>
      <c r="BT2088" s="0" t="s">
        <v>130</v>
      </c>
      <c r="BU2088" s="0" t="s">
        <v>130</v>
      </c>
      <c r="BV2088" s="0" t="s">
        <v>130</v>
      </c>
      <c r="BW2088" s="0" t="s">
        <v>130</v>
      </c>
      <c r="BX2088" s="0" t="s">
        <v>130</v>
      </c>
      <c r="BY2088" s="0" t="s">
        <v>130</v>
      </c>
      <c r="BZ2088" s="0" t="s">
        <v>130</v>
      </c>
      <c r="CA2088" s="0" t="s">
        <v>130</v>
      </c>
      <c r="CB2088" s="0" t="s">
        <v>130</v>
      </c>
      <c r="CC2088" s="0" t="s">
        <v>130</v>
      </c>
      <c r="CD2088" s="0" t="s">
        <v>130</v>
      </c>
      <c r="CE2088" s="0" t="s">
        <v>130</v>
      </c>
      <c r="CF2088" s="0" t="s">
        <v>130</v>
      </c>
      <c r="CG2088" s="0" t="s">
        <v>130</v>
      </c>
      <c r="CH2088" s="0" t="s">
        <v>130</v>
      </c>
      <c r="CI2088" s="0" t="s">
        <v>130</v>
      </c>
      <c r="CJ2088" s="0" t="s">
        <v>130</v>
      </c>
      <c r="CK2088" s="0" t="s">
        <v>130</v>
      </c>
      <c r="CL2088" s="0" t="s">
        <v>130</v>
      </c>
      <c r="CM2088" s="0" t="s">
        <v>130</v>
      </c>
      <c r="CN2088" s="0" t="s">
        <v>130</v>
      </c>
      <c r="CO2088" s="0" t="s">
        <v>130</v>
      </c>
      <c r="CP2088" s="0" t="s">
        <v>130</v>
      </c>
      <c r="CQ2088" s="0" t="s">
        <v>130</v>
      </c>
      <c r="CR2088" s="0" t="s">
        <v>130</v>
      </c>
      <c r="CS2088" s="0" t="s">
        <v>130</v>
      </c>
      <c r="CT2088" s="0" t="s">
        <v>5808</v>
      </c>
    </row>
    <row r="2089">
      <c r="A2089" s="14">
        <v>16857643</v>
      </c>
      <c r="B2089" s="0" t="s">
        <v>4271</v>
      </c>
      <c r="C2089" s="16">
        <f>HYPERLINK("https://eosportal.federatedhermes.com/companies/Q29tcGFueQppNzgyNzY=", "Alibaba Group Holding Ltd")</f>
      </c>
      <c r="D2089" s="0" t="s">
        <v>23</v>
      </c>
      <c r="E2089" s="0" t="s">
        <v>5809</v>
      </c>
      <c r="F2089" s="16">
        <f>HYPERLINK("https://eosportal.federatedhermes.com/engagements/RW5nYWdlbWVudAppMzIzNjc=", "Setting action plan and targets for Scope 3+ emissions reduction")</f>
      </c>
      <c r="G2089" s="14" t="s">
        <v>5810</v>
      </c>
      <c r="H2089" s="0" t="s">
        <v>141</v>
      </c>
      <c r="I2089" s="14" t="s">
        <v>1645</v>
      </c>
      <c r="J2089" s="0" t="s">
        <v>197</v>
      </c>
      <c r="K2089" s="0" t="s">
        <v>198</v>
      </c>
      <c r="L2089" s="0" t="s">
        <v>216</v>
      </c>
      <c r="M2089" s="0" t="s">
        <v>802</v>
      </c>
      <c r="N2089" s="0" t="s">
        <v>803</v>
      </c>
      <c r="O2089" s="0" t="s">
        <v>643</v>
      </c>
      <c r="Q2089" s="0" t="s">
        <v>141</v>
      </c>
      <c r="R2089" s="0" t="s">
        <v>130</v>
      </c>
      <c r="S2089" s="14">
        <v>1</v>
      </c>
      <c r="T2089" s="0" t="s">
        <v>2270</v>
      </c>
      <c r="U2089" s="0" t="s">
        <v>221</v>
      </c>
      <c r="V2089" s="14" t="s">
        <v>2270</v>
      </c>
      <c r="W2089" s="0" t="s">
        <v>221</v>
      </c>
      <c r="X2089" s="14" t="s">
        <v>2270</v>
      </c>
      <c r="Y2089" s="0" t="s">
        <v>223</v>
      </c>
      <c r="Z2089" s="14" t="s">
        <v>138</v>
      </c>
      <c r="AA2089" s="0" t="s">
        <v>224</v>
      </c>
      <c r="AB2089" s="14" t="s">
        <v>138</v>
      </c>
      <c r="AD2089" s="0" t="s">
        <v>17</v>
      </c>
      <c r="AF2089" s="0">
        <v>0</v>
      </c>
      <c r="AG2089" s="0">
        <v>0</v>
      </c>
      <c r="AH2089" s="0" t="s">
        <v>140</v>
      </c>
      <c r="AI2089" s="0" t="s">
        <v>479</v>
      </c>
      <c r="AK2089" s="0" t="s">
        <v>675</v>
      </c>
      <c r="AL2089" s="14"/>
      <c r="AN2089" s="14"/>
      <c r="AQ2089" s="0" t="s">
        <v>130</v>
      </c>
      <c r="AR2089" s="0" t="s">
        <v>130</v>
      </c>
      <c r="AS2089" s="0" t="s">
        <v>130</v>
      </c>
      <c r="AT2089" s="0" t="s">
        <v>130</v>
      </c>
      <c r="AU2089" s="0" t="s">
        <v>130</v>
      </c>
      <c r="AV2089" s="0" t="s">
        <v>130</v>
      </c>
      <c r="AW2089" s="0" t="s">
        <v>141</v>
      </c>
      <c r="AX2089" s="0" t="s">
        <v>130</v>
      </c>
      <c r="AY2089" s="0" t="s">
        <v>130</v>
      </c>
      <c r="AZ2089" s="0" t="s">
        <v>130</v>
      </c>
      <c r="BA2089" s="0" t="s">
        <v>130</v>
      </c>
      <c r="BB2089" s="0" t="s">
        <v>130</v>
      </c>
      <c r="BC2089" s="0" t="s">
        <v>141</v>
      </c>
      <c r="BD2089" s="0" t="s">
        <v>130</v>
      </c>
      <c r="BE2089" s="0" t="s">
        <v>130</v>
      </c>
      <c r="BF2089" s="0" t="s">
        <v>130</v>
      </c>
      <c r="BG2089" s="0" t="s">
        <v>130</v>
      </c>
      <c r="BH2089" s="0" t="s">
        <v>141</v>
      </c>
      <c r="BI2089" s="0" t="s">
        <v>141</v>
      </c>
      <c r="BJ2089" s="0" t="s">
        <v>141</v>
      </c>
      <c r="BK2089" s="0" t="s">
        <v>130</v>
      </c>
      <c r="BL2089" s="0" t="s">
        <v>141</v>
      </c>
      <c r="BM2089" s="0" t="s">
        <v>130</v>
      </c>
      <c r="BN2089" s="0" t="s">
        <v>130</v>
      </c>
      <c r="BO2089" s="0" t="s">
        <v>130</v>
      </c>
      <c r="BP2089" s="0" t="s">
        <v>130</v>
      </c>
      <c r="BQ2089" s="0" t="s">
        <v>130</v>
      </c>
      <c r="BR2089" s="0" t="s">
        <v>130</v>
      </c>
      <c r="BS2089" s="0" t="s">
        <v>130</v>
      </c>
      <c r="BT2089" s="0" t="s">
        <v>130</v>
      </c>
      <c r="BU2089" s="0" t="s">
        <v>130</v>
      </c>
      <c r="BV2089" s="0" t="s">
        <v>141</v>
      </c>
      <c r="BW2089" s="0" t="s">
        <v>141</v>
      </c>
      <c r="BX2089" s="0" t="s">
        <v>130</v>
      </c>
      <c r="BY2089" s="0" t="s">
        <v>130</v>
      </c>
      <c r="BZ2089" s="0" t="s">
        <v>130</v>
      </c>
      <c r="CA2089" s="0" t="s">
        <v>130</v>
      </c>
      <c r="CB2089" s="0" t="s">
        <v>130</v>
      </c>
      <c r="CC2089" s="0" t="s">
        <v>130</v>
      </c>
      <c r="CD2089" s="0" t="s">
        <v>130</v>
      </c>
      <c r="CE2089" s="0" t="s">
        <v>130</v>
      </c>
      <c r="CF2089" s="0" t="s">
        <v>130</v>
      </c>
      <c r="CG2089" s="0" t="s">
        <v>130</v>
      </c>
      <c r="CH2089" s="0" t="s">
        <v>130</v>
      </c>
      <c r="CI2089" s="0" t="s">
        <v>130</v>
      </c>
      <c r="CJ2089" s="0" t="s">
        <v>130</v>
      </c>
      <c r="CK2089" s="0" t="s">
        <v>130</v>
      </c>
      <c r="CL2089" s="0" t="s">
        <v>130</v>
      </c>
      <c r="CM2089" s="0" t="s">
        <v>130</v>
      </c>
      <c r="CN2089" s="0" t="s">
        <v>130</v>
      </c>
      <c r="CO2089" s="0" t="s">
        <v>130</v>
      </c>
      <c r="CP2089" s="0" t="s">
        <v>130</v>
      </c>
      <c r="CQ2089" s="0" t="s">
        <v>130</v>
      </c>
      <c r="CR2089" s="0" t="s">
        <v>130</v>
      </c>
      <c r="CS2089" s="0" t="s">
        <v>130</v>
      </c>
      <c r="CT2089" s="0" t="s">
        <v>5811</v>
      </c>
    </row>
    <row r="2090">
      <c r="A2090" s="14">
        <v>115694</v>
      </c>
      <c r="B2090" s="0" t="s">
        <v>2507</v>
      </c>
      <c r="C2090" s="16">
        <f>HYPERLINK("https://eosportal.federatedhermes.com/companies/Q29tcGFueQppNTQ5NDQ=", "BASF SE")</f>
      </c>
      <c r="D2090" s="0" t="s">
        <v>23</v>
      </c>
      <c r="E2090" s="0" t="s">
        <v>5812</v>
      </c>
      <c r="F2090" s="16">
        <f>HYPERLINK("https://eosportal.federatedhermes.com/engagements/RW5nYWdlbWVudAppMzI0MDI=", "Climate-aligned accounts")</f>
      </c>
      <c r="G2090" s="14" t="s">
        <v>5813</v>
      </c>
      <c r="H2090" s="0" t="s">
        <v>141</v>
      </c>
      <c r="I2090" s="14" t="s">
        <v>1645</v>
      </c>
      <c r="J2090" s="0" t="s">
        <v>197</v>
      </c>
      <c r="K2090" s="0" t="s">
        <v>198</v>
      </c>
      <c r="L2090" s="0" t="s">
        <v>199</v>
      </c>
      <c r="M2090" s="0" t="s">
        <v>378</v>
      </c>
      <c r="N2090" s="0" t="s">
        <v>2485</v>
      </c>
      <c r="O2090" s="0" t="s">
        <v>706</v>
      </c>
      <c r="Q2090" s="0" t="s">
        <v>141</v>
      </c>
      <c r="R2090" s="0" t="s">
        <v>130</v>
      </c>
      <c r="S2090" s="14">
        <v>1</v>
      </c>
      <c r="T2090" s="0" t="s">
        <v>2629</v>
      </c>
      <c r="U2090" s="0" t="s">
        <v>221</v>
      </c>
      <c r="V2090" s="14" t="s">
        <v>2629</v>
      </c>
      <c r="W2090" s="0" t="s">
        <v>221</v>
      </c>
      <c r="X2090" s="14" t="s">
        <v>3562</v>
      </c>
      <c r="Y2090" s="0" t="s">
        <v>223</v>
      </c>
      <c r="Z2090" s="14" t="s">
        <v>138</v>
      </c>
      <c r="AA2090" s="0" t="s">
        <v>224</v>
      </c>
      <c r="AB2090" s="14" t="s">
        <v>138</v>
      </c>
      <c r="AD2090" s="0" t="s">
        <v>17</v>
      </c>
      <c r="AF2090" s="0">
        <v>0</v>
      </c>
      <c r="AG2090" s="0">
        <v>0</v>
      </c>
      <c r="AH2090" s="0" t="s">
        <v>140</v>
      </c>
      <c r="AI2090" s="0" t="s">
        <v>479</v>
      </c>
      <c r="AK2090" s="0" t="s">
        <v>2529</v>
      </c>
      <c r="AL2090" s="14"/>
      <c r="AN2090" s="14"/>
      <c r="AQ2090" s="0" t="s">
        <v>130</v>
      </c>
      <c r="AR2090" s="0" t="s">
        <v>130</v>
      </c>
      <c r="AS2090" s="0" t="s">
        <v>130</v>
      </c>
      <c r="AT2090" s="0" t="s">
        <v>130</v>
      </c>
      <c r="AU2090" s="0" t="s">
        <v>130</v>
      </c>
      <c r="AV2090" s="0" t="s">
        <v>130</v>
      </c>
      <c r="AW2090" s="0" t="s">
        <v>130</v>
      </c>
      <c r="AX2090" s="0" t="s">
        <v>130</v>
      </c>
      <c r="AY2090" s="0" t="s">
        <v>130</v>
      </c>
      <c r="AZ2090" s="0" t="s">
        <v>130</v>
      </c>
      <c r="BA2090" s="0" t="s">
        <v>130</v>
      </c>
      <c r="BB2090" s="0" t="s">
        <v>141</v>
      </c>
      <c r="BC2090" s="0" t="s">
        <v>130</v>
      </c>
      <c r="BD2090" s="0" t="s">
        <v>130</v>
      </c>
      <c r="BE2090" s="0" t="s">
        <v>130</v>
      </c>
      <c r="BF2090" s="0" t="s">
        <v>130</v>
      </c>
      <c r="BG2090" s="0" t="s">
        <v>130</v>
      </c>
      <c r="BH2090" s="0" t="s">
        <v>130</v>
      </c>
      <c r="BI2090" s="0" t="s">
        <v>130</v>
      </c>
      <c r="BJ2090" s="0" t="s">
        <v>130</v>
      </c>
      <c r="BK2090" s="0" t="s">
        <v>130</v>
      </c>
      <c r="BL2090" s="0" t="s">
        <v>130</v>
      </c>
      <c r="BM2090" s="0" t="s">
        <v>130</v>
      </c>
      <c r="BN2090" s="0" t="s">
        <v>130</v>
      </c>
      <c r="BO2090" s="0" t="s">
        <v>130</v>
      </c>
      <c r="BP2090" s="0" t="s">
        <v>130</v>
      </c>
      <c r="BQ2090" s="0" t="s">
        <v>130</v>
      </c>
      <c r="BR2090" s="0" t="s">
        <v>130</v>
      </c>
      <c r="BS2090" s="0" t="s">
        <v>130</v>
      </c>
      <c r="BT2090" s="0" t="s">
        <v>130</v>
      </c>
      <c r="BU2090" s="0" t="s">
        <v>130</v>
      </c>
      <c r="BV2090" s="0" t="s">
        <v>130</v>
      </c>
      <c r="BW2090" s="0" t="s">
        <v>130</v>
      </c>
      <c r="BX2090" s="0" t="s">
        <v>130</v>
      </c>
      <c r="BY2090" s="0" t="s">
        <v>130</v>
      </c>
      <c r="BZ2090" s="0" t="s">
        <v>130</v>
      </c>
      <c r="CA2090" s="0" t="s">
        <v>130</v>
      </c>
      <c r="CB2090" s="0" t="s">
        <v>130</v>
      </c>
      <c r="CC2090" s="0" t="s">
        <v>130</v>
      </c>
      <c r="CD2090" s="0" t="s">
        <v>130</v>
      </c>
      <c r="CE2090" s="0" t="s">
        <v>130</v>
      </c>
      <c r="CF2090" s="0" t="s">
        <v>130</v>
      </c>
      <c r="CG2090" s="0" t="s">
        <v>130</v>
      </c>
      <c r="CH2090" s="0" t="s">
        <v>130</v>
      </c>
      <c r="CI2090" s="0" t="s">
        <v>130</v>
      </c>
      <c r="CJ2090" s="0" t="s">
        <v>130</v>
      </c>
      <c r="CK2090" s="0" t="s">
        <v>130</v>
      </c>
      <c r="CL2090" s="0" t="s">
        <v>130</v>
      </c>
      <c r="CM2090" s="0" t="s">
        <v>130</v>
      </c>
      <c r="CN2090" s="0" t="s">
        <v>130</v>
      </c>
      <c r="CO2090" s="0" t="s">
        <v>130</v>
      </c>
      <c r="CP2090" s="0" t="s">
        <v>130</v>
      </c>
      <c r="CQ2090" s="0" t="s">
        <v>130</v>
      </c>
      <c r="CR2090" s="0" t="s">
        <v>130</v>
      </c>
      <c r="CS2090" s="0" t="s">
        <v>130</v>
      </c>
      <c r="CT2090" s="0" t="s">
        <v>5814</v>
      </c>
    </row>
    <row r="2091">
      <c r="A2091" s="14">
        <v>101450</v>
      </c>
      <c r="B2091" s="0" t="s">
        <v>1601</v>
      </c>
      <c r="C2091" s="16">
        <f>HYPERLINK("https://eosportal.federatedhermes.com/companies/Q29tcGFueQppNjUwODQ=", "Telefonica SA")</f>
      </c>
      <c r="D2091" s="0" t="s">
        <v>23</v>
      </c>
      <c r="E2091" s="0" t="s">
        <v>5815</v>
      </c>
      <c r="F2091" s="16">
        <f>HYPERLINK("https://eosportal.federatedhermes.com/engagements/RW5nYWdlbWVudAppMzI0MDU=", "Publish remuneration peer group information")</f>
      </c>
      <c r="G2091" s="14" t="s">
        <v>5816</v>
      </c>
      <c r="H2091" s="0" t="s">
        <v>141</v>
      </c>
      <c r="I2091" s="14" t="s">
        <v>131</v>
      </c>
      <c r="J2091" s="0" t="s">
        <v>145</v>
      </c>
      <c r="K2091" s="0" t="s">
        <v>146</v>
      </c>
      <c r="L2091" s="0" t="s">
        <v>500</v>
      </c>
      <c r="M2091" s="0" t="s">
        <v>378</v>
      </c>
      <c r="N2091" s="0" t="s">
        <v>379</v>
      </c>
      <c r="O2091" s="0" t="s">
        <v>137</v>
      </c>
      <c r="Q2091" s="0" t="s">
        <v>130</v>
      </c>
      <c r="R2091" s="0" t="s">
        <v>130</v>
      </c>
      <c r="S2091" s="14">
        <v>0</v>
      </c>
      <c r="T2091" s="0" t="s">
        <v>2629</v>
      </c>
      <c r="U2091" s="0" t="s">
        <v>221</v>
      </c>
      <c r="V2091" s="14" t="s">
        <v>2629</v>
      </c>
      <c r="W2091" s="0" t="s">
        <v>221</v>
      </c>
      <c r="X2091" s="14" t="s">
        <v>2629</v>
      </c>
      <c r="Y2091" s="0" t="s">
        <v>221</v>
      </c>
      <c r="Z2091" s="14" t="s">
        <v>2428</v>
      </c>
      <c r="AA2091" s="0" t="s">
        <v>223</v>
      </c>
      <c r="AB2091" s="14" t="s">
        <v>138</v>
      </c>
      <c r="AD2091" s="0" t="s">
        <v>20</v>
      </c>
      <c r="AF2091" s="0">
        <v>0</v>
      </c>
      <c r="AG2091" s="0">
        <v>0</v>
      </c>
      <c r="AH2091" s="0" t="s">
        <v>140</v>
      </c>
      <c r="AI2091" s="0" t="s">
        <v>598</v>
      </c>
      <c r="AL2091" s="14"/>
      <c r="AN2091" s="14"/>
      <c r="AQ2091" s="0" t="s">
        <v>130</v>
      </c>
      <c r="AR2091" s="0" t="s">
        <v>130</v>
      </c>
      <c r="AS2091" s="0" t="s">
        <v>130</v>
      </c>
      <c r="AT2091" s="0" t="s">
        <v>130</v>
      </c>
      <c r="AU2091" s="0" t="s">
        <v>130</v>
      </c>
      <c r="AV2091" s="0" t="s">
        <v>130</v>
      </c>
      <c r="AW2091" s="0" t="s">
        <v>130</v>
      </c>
      <c r="AX2091" s="0" t="s">
        <v>130</v>
      </c>
      <c r="AY2091" s="0" t="s">
        <v>130</v>
      </c>
      <c r="AZ2091" s="0" t="s">
        <v>130</v>
      </c>
      <c r="BA2091" s="0" t="s">
        <v>130</v>
      </c>
      <c r="BB2091" s="0" t="s">
        <v>130</v>
      </c>
      <c r="BC2091" s="0" t="s">
        <v>130</v>
      </c>
      <c r="BD2091" s="0" t="s">
        <v>130</v>
      </c>
      <c r="BE2091" s="0" t="s">
        <v>130</v>
      </c>
      <c r="BF2091" s="0" t="s">
        <v>130</v>
      </c>
      <c r="BG2091" s="0" t="s">
        <v>130</v>
      </c>
      <c r="BH2091" s="0" t="s">
        <v>130</v>
      </c>
      <c r="BI2091" s="0" t="s">
        <v>130</v>
      </c>
      <c r="BJ2091" s="0" t="s">
        <v>130</v>
      </c>
      <c r="BK2091" s="0" t="s">
        <v>130</v>
      </c>
      <c r="BL2091" s="0" t="s">
        <v>130</v>
      </c>
      <c r="BM2091" s="0" t="s">
        <v>130</v>
      </c>
      <c r="BN2091" s="0" t="s">
        <v>130</v>
      </c>
      <c r="BO2091" s="0" t="s">
        <v>130</v>
      </c>
      <c r="BP2091" s="0" t="s">
        <v>130</v>
      </c>
      <c r="BQ2091" s="0" t="s">
        <v>130</v>
      </c>
      <c r="BR2091" s="0" t="s">
        <v>130</v>
      </c>
      <c r="BS2091" s="0" t="s">
        <v>130</v>
      </c>
      <c r="BT2091" s="0" t="s">
        <v>130</v>
      </c>
      <c r="BU2091" s="0" t="s">
        <v>130</v>
      </c>
      <c r="BV2091" s="0" t="s">
        <v>130</v>
      </c>
      <c r="BW2091" s="0" t="s">
        <v>130</v>
      </c>
      <c r="BX2091" s="0" t="s">
        <v>130</v>
      </c>
      <c r="BY2091" s="0" t="s">
        <v>130</v>
      </c>
      <c r="BZ2091" s="0" t="s">
        <v>130</v>
      </c>
      <c r="CA2091" s="0" t="s">
        <v>130</v>
      </c>
      <c r="CB2091" s="0" t="s">
        <v>130</v>
      </c>
      <c r="CC2091" s="0" t="s">
        <v>130</v>
      </c>
      <c r="CD2091" s="0" t="s">
        <v>130</v>
      </c>
      <c r="CE2091" s="0" t="s">
        <v>130</v>
      </c>
      <c r="CF2091" s="0" t="s">
        <v>130</v>
      </c>
      <c r="CG2091" s="0" t="s">
        <v>130</v>
      </c>
      <c r="CH2091" s="0" t="s">
        <v>130</v>
      </c>
      <c r="CI2091" s="0" t="s">
        <v>130</v>
      </c>
      <c r="CJ2091" s="0" t="s">
        <v>130</v>
      </c>
      <c r="CK2091" s="0" t="s">
        <v>130</v>
      </c>
      <c r="CL2091" s="0" t="s">
        <v>130</v>
      </c>
      <c r="CM2091" s="0" t="s">
        <v>130</v>
      </c>
      <c r="CN2091" s="0" t="s">
        <v>130</v>
      </c>
      <c r="CO2091" s="0" t="s">
        <v>130</v>
      </c>
      <c r="CP2091" s="0" t="s">
        <v>130</v>
      </c>
      <c r="CQ2091" s="0" t="s">
        <v>130</v>
      </c>
      <c r="CR2091" s="0" t="s">
        <v>130</v>
      </c>
      <c r="CS2091" s="0" t="s">
        <v>130</v>
      </c>
      <c r="CT2091" s="0" t="s">
        <v>5817</v>
      </c>
    </row>
    <row r="2092">
      <c r="A2092" s="14">
        <v>116420</v>
      </c>
      <c r="B2092" s="0" t="s">
        <v>2745</v>
      </c>
      <c r="C2092" s="16">
        <f>HYPERLINK("https://eosportal.federatedhermes.com/companies/Q29tcGFueQppNzcwNDg=", "Geely Automobile Holdings Ltd")</f>
      </c>
      <c r="D2092" s="0" t="s">
        <v>23</v>
      </c>
      <c r="E2092" s="0" t="s">
        <v>5818</v>
      </c>
      <c r="F2092" s="16">
        <f>HYPERLINK("https://eosportal.federatedhermes.com/engagements/RW5nYWdlbWVudAppMzI0MDY=", "Demonstrate that the company's supply chain audits are effective")</f>
      </c>
      <c r="G2092" s="14" t="s">
        <v>5819</v>
      </c>
      <c r="H2092" s="0" t="s">
        <v>141</v>
      </c>
      <c r="I2092" s="14" t="s">
        <v>191</v>
      </c>
      <c r="J2092" s="0" t="s">
        <v>153</v>
      </c>
      <c r="K2092" s="0" t="s">
        <v>243</v>
      </c>
      <c r="L2092" s="0" t="s">
        <v>244</v>
      </c>
      <c r="M2092" s="0" t="s">
        <v>802</v>
      </c>
      <c r="N2092" s="0" t="s">
        <v>803</v>
      </c>
      <c r="O2092" s="0" t="s">
        <v>425</v>
      </c>
      <c r="Q2092" s="0" t="s">
        <v>141</v>
      </c>
      <c r="R2092" s="0" t="s">
        <v>130</v>
      </c>
      <c r="S2092" s="14">
        <v>1</v>
      </c>
      <c r="T2092" s="0" t="s">
        <v>2629</v>
      </c>
      <c r="U2092" s="0" t="s">
        <v>221</v>
      </c>
      <c r="V2092" s="14" t="s">
        <v>2629</v>
      </c>
      <c r="W2092" s="0" t="s">
        <v>221</v>
      </c>
      <c r="X2092" s="14" t="s">
        <v>2629</v>
      </c>
      <c r="Y2092" s="0" t="s">
        <v>223</v>
      </c>
      <c r="Z2092" s="14" t="s">
        <v>138</v>
      </c>
      <c r="AA2092" s="0" t="s">
        <v>224</v>
      </c>
      <c r="AB2092" s="14" t="s">
        <v>138</v>
      </c>
      <c r="AD2092" s="0" t="s">
        <v>17</v>
      </c>
      <c r="AF2092" s="0">
        <v>0</v>
      </c>
      <c r="AG2092" s="0">
        <v>0</v>
      </c>
      <c r="AH2092" s="0" t="s">
        <v>140</v>
      </c>
      <c r="AI2092" s="0" t="s">
        <v>479</v>
      </c>
      <c r="AK2092" s="0" t="s">
        <v>3042</v>
      </c>
      <c r="AL2092" s="14"/>
      <c r="AN2092" s="14"/>
      <c r="AQ2092" s="0" t="s">
        <v>130</v>
      </c>
      <c r="AR2092" s="0" t="s">
        <v>130</v>
      </c>
      <c r="AS2092" s="0" t="s">
        <v>130</v>
      </c>
      <c r="AT2092" s="0" t="s">
        <v>130</v>
      </c>
      <c r="AU2092" s="0" t="s">
        <v>130</v>
      </c>
      <c r="AV2092" s="0" t="s">
        <v>130</v>
      </c>
      <c r="AW2092" s="0" t="s">
        <v>130</v>
      </c>
      <c r="AX2092" s="0" t="s">
        <v>141</v>
      </c>
      <c r="AY2092" s="0" t="s">
        <v>130</v>
      </c>
      <c r="AZ2092" s="0" t="s">
        <v>130</v>
      </c>
      <c r="BA2092" s="0" t="s">
        <v>130</v>
      </c>
      <c r="BB2092" s="0" t="s">
        <v>130</v>
      </c>
      <c r="BC2092" s="0" t="s">
        <v>130</v>
      </c>
      <c r="BD2092" s="0" t="s">
        <v>130</v>
      </c>
      <c r="BE2092" s="0" t="s">
        <v>130</v>
      </c>
      <c r="BF2092" s="0" t="s">
        <v>130</v>
      </c>
      <c r="BG2092" s="0" t="s">
        <v>130</v>
      </c>
      <c r="BH2092" s="0" t="s">
        <v>130</v>
      </c>
      <c r="BI2092" s="0" t="s">
        <v>130</v>
      </c>
      <c r="BJ2092" s="0" t="s">
        <v>130</v>
      </c>
      <c r="BK2092" s="0" t="s">
        <v>130</v>
      </c>
      <c r="BL2092" s="0" t="s">
        <v>130</v>
      </c>
      <c r="BM2092" s="0" t="s">
        <v>130</v>
      </c>
      <c r="BN2092" s="0" t="s">
        <v>130</v>
      </c>
      <c r="BO2092" s="0" t="s">
        <v>130</v>
      </c>
      <c r="BP2092" s="0" t="s">
        <v>130</v>
      </c>
      <c r="BQ2092" s="0" t="s">
        <v>130</v>
      </c>
      <c r="BR2092" s="0" t="s">
        <v>130</v>
      </c>
      <c r="BS2092" s="0" t="s">
        <v>130</v>
      </c>
      <c r="BT2092" s="0" t="s">
        <v>130</v>
      </c>
      <c r="BU2092" s="0" t="s">
        <v>130</v>
      </c>
      <c r="BV2092" s="0" t="s">
        <v>130</v>
      </c>
      <c r="BW2092" s="0" t="s">
        <v>130</v>
      </c>
      <c r="BX2092" s="0" t="s">
        <v>130</v>
      </c>
      <c r="BY2092" s="0" t="s">
        <v>130</v>
      </c>
      <c r="BZ2092" s="0" t="s">
        <v>130</v>
      </c>
      <c r="CA2092" s="0" t="s">
        <v>130</v>
      </c>
      <c r="CB2092" s="0" t="s">
        <v>130</v>
      </c>
      <c r="CC2092" s="0" t="s">
        <v>130</v>
      </c>
      <c r="CD2092" s="0" t="s">
        <v>130</v>
      </c>
      <c r="CE2092" s="0" t="s">
        <v>130</v>
      </c>
      <c r="CF2092" s="0" t="s">
        <v>130</v>
      </c>
      <c r="CG2092" s="0" t="s">
        <v>130</v>
      </c>
      <c r="CH2092" s="0" t="s">
        <v>130</v>
      </c>
      <c r="CI2092" s="0" t="s">
        <v>130</v>
      </c>
      <c r="CJ2092" s="0" t="s">
        <v>130</v>
      </c>
      <c r="CK2092" s="0" t="s">
        <v>130</v>
      </c>
      <c r="CL2092" s="0" t="s">
        <v>130</v>
      </c>
      <c r="CM2092" s="0" t="s">
        <v>130</v>
      </c>
      <c r="CN2092" s="0" t="s">
        <v>130</v>
      </c>
      <c r="CO2092" s="0" t="s">
        <v>130</v>
      </c>
      <c r="CP2092" s="0" t="s">
        <v>130</v>
      </c>
      <c r="CQ2092" s="0" t="s">
        <v>130</v>
      </c>
      <c r="CR2092" s="0" t="s">
        <v>130</v>
      </c>
      <c r="CS2092" s="0" t="s">
        <v>130</v>
      </c>
      <c r="CT2092" s="0" t="s">
        <v>5820</v>
      </c>
    </row>
    <row r="2093">
      <c r="A2093" s="14">
        <v>117400</v>
      </c>
      <c r="B2093" s="0" t="s">
        <v>2831</v>
      </c>
      <c r="C2093" s="16">
        <f>HYPERLINK("https://eosportal.federatedhermes.com/companies/Q29tcGFueQppNzE3MDY=", "Alpha Services and Holdings SA")</f>
      </c>
      <c r="D2093" s="0" t="s">
        <v>25</v>
      </c>
      <c r="E2093" s="0" t="s">
        <v>5821</v>
      </c>
      <c r="F2093" s="16">
        <f>HYPERLINK("https://eosportal.federatedhermes.com/engagements/RW5nYWdlbWVudAppMzI0MDc=", "Board skills &amp; succession planning")</f>
      </c>
      <c r="G2093" s="14" t="s">
        <v>5822</v>
      </c>
      <c r="H2093" s="0" t="s">
        <v>130</v>
      </c>
      <c r="I2093" s="14" t="s">
        <v>131</v>
      </c>
      <c r="J2093" s="0" t="s">
        <v>145</v>
      </c>
      <c r="K2093" s="0" t="s">
        <v>164</v>
      </c>
      <c r="L2093" s="0" t="s">
        <v>970</v>
      </c>
      <c r="M2093" s="0" t="s">
        <v>378</v>
      </c>
      <c r="N2093" s="0" t="s">
        <v>2834</v>
      </c>
      <c r="O2093" s="0" t="s">
        <v>238</v>
      </c>
      <c r="Q2093" s="0" t="s">
        <v>141</v>
      </c>
      <c r="R2093" s="0" t="s">
        <v>138</v>
      </c>
      <c r="S2093" s="14">
        <v>1</v>
      </c>
      <c r="T2093" s="0" t="s">
        <v>2629</v>
      </c>
      <c r="U2093" s="0" t="s">
        <v>138</v>
      </c>
      <c r="V2093" s="14" t="s">
        <v>138</v>
      </c>
      <c r="W2093" s="0" t="s">
        <v>138</v>
      </c>
      <c r="X2093" s="14" t="s">
        <v>138</v>
      </c>
      <c r="Y2093" s="0" t="s">
        <v>138</v>
      </c>
      <c r="Z2093" s="14" t="s">
        <v>138</v>
      </c>
      <c r="AA2093" s="0" t="s">
        <v>138</v>
      </c>
      <c r="AB2093" s="14" t="s">
        <v>138</v>
      </c>
      <c r="AD2093" s="0" t="s">
        <v>138</v>
      </c>
      <c r="AF2093" s="0">
        <v>0</v>
      </c>
      <c r="AG2093" s="0">
        <v>0</v>
      </c>
      <c r="AH2093" s="0" t="s">
        <v>140</v>
      </c>
      <c r="AI2093" s="0" t="s">
        <v>138</v>
      </c>
      <c r="AK2093" s="0" t="s">
        <v>1668</v>
      </c>
      <c r="AL2093" s="14"/>
      <c r="AN2093" s="14"/>
      <c r="AQ2093" s="0" t="s">
        <v>130</v>
      </c>
      <c r="AR2093" s="0" t="s">
        <v>130</v>
      </c>
      <c r="AS2093" s="0" t="s">
        <v>130</v>
      </c>
      <c r="AT2093" s="0" t="s">
        <v>130</v>
      </c>
      <c r="AU2093" s="0" t="s">
        <v>130</v>
      </c>
      <c r="AV2093" s="0" t="s">
        <v>130</v>
      </c>
      <c r="AW2093" s="0" t="s">
        <v>130</v>
      </c>
      <c r="AX2093" s="0" t="s">
        <v>130</v>
      </c>
      <c r="AY2093" s="0" t="s">
        <v>130</v>
      </c>
      <c r="AZ2093" s="0" t="s">
        <v>130</v>
      </c>
      <c r="BA2093" s="0" t="s">
        <v>130</v>
      </c>
      <c r="BB2093" s="0" t="s">
        <v>130</v>
      </c>
      <c r="BC2093" s="0" t="s">
        <v>130</v>
      </c>
      <c r="BD2093" s="0" t="s">
        <v>130</v>
      </c>
      <c r="BE2093" s="0" t="s">
        <v>130</v>
      </c>
      <c r="BF2093" s="0" t="s">
        <v>130</v>
      </c>
      <c r="BG2093" s="0" t="s">
        <v>130</v>
      </c>
      <c r="BH2093" s="0" t="s">
        <v>130</v>
      </c>
      <c r="BI2093" s="0" t="s">
        <v>130</v>
      </c>
      <c r="BJ2093" s="0" t="s">
        <v>130</v>
      </c>
      <c r="BK2093" s="0" t="s">
        <v>130</v>
      </c>
      <c r="BL2093" s="0" t="s">
        <v>130</v>
      </c>
      <c r="BM2093" s="0" t="s">
        <v>130</v>
      </c>
      <c r="BN2093" s="0" t="s">
        <v>130</v>
      </c>
      <c r="BO2093" s="0" t="s">
        <v>130</v>
      </c>
      <c r="BP2093" s="0" t="s">
        <v>130</v>
      </c>
      <c r="BQ2093" s="0" t="s">
        <v>130</v>
      </c>
      <c r="BR2093" s="0" t="s">
        <v>130</v>
      </c>
      <c r="BS2093" s="0" t="s">
        <v>130</v>
      </c>
      <c r="BT2093" s="0" t="s">
        <v>130</v>
      </c>
      <c r="BU2093" s="0" t="s">
        <v>130</v>
      </c>
      <c r="BV2093" s="0" t="s">
        <v>130</v>
      </c>
      <c r="BW2093" s="0" t="s">
        <v>130</v>
      </c>
      <c r="BX2093" s="0" t="s">
        <v>130</v>
      </c>
      <c r="BY2093" s="0" t="s">
        <v>130</v>
      </c>
      <c r="BZ2093" s="0" t="s">
        <v>130</v>
      </c>
      <c r="CA2093" s="0" t="s">
        <v>130</v>
      </c>
      <c r="CB2093" s="0" t="s">
        <v>130</v>
      </c>
      <c r="CC2093" s="0" t="s">
        <v>130</v>
      </c>
      <c r="CD2093" s="0" t="s">
        <v>130</v>
      </c>
      <c r="CE2093" s="0" t="s">
        <v>130</v>
      </c>
      <c r="CF2093" s="0" t="s">
        <v>130</v>
      </c>
      <c r="CG2093" s="0" t="s">
        <v>130</v>
      </c>
      <c r="CH2093" s="0" t="s">
        <v>130</v>
      </c>
      <c r="CI2093" s="0" t="s">
        <v>130</v>
      </c>
      <c r="CJ2093" s="0" t="s">
        <v>130</v>
      </c>
      <c r="CK2093" s="0" t="s">
        <v>130</v>
      </c>
      <c r="CL2093" s="0" t="s">
        <v>130</v>
      </c>
      <c r="CM2093" s="0" t="s">
        <v>130</v>
      </c>
      <c r="CN2093" s="0" t="s">
        <v>130</v>
      </c>
      <c r="CO2093" s="0" t="s">
        <v>130</v>
      </c>
      <c r="CP2093" s="0" t="s">
        <v>130</v>
      </c>
      <c r="CQ2093" s="0" t="s">
        <v>130</v>
      </c>
      <c r="CR2093" s="0" t="s">
        <v>130</v>
      </c>
      <c r="CS2093" s="0" t="s">
        <v>130</v>
      </c>
      <c r="CT2093" s="0" t="s">
        <v>5823</v>
      </c>
    </row>
    <row r="2094">
      <c r="A2094" s="14">
        <v>101650</v>
      </c>
      <c r="B2094" s="0" t="s">
        <v>1765</v>
      </c>
      <c r="C2094" s="16">
        <f>HYPERLINK("https://eosportal.federatedhermes.com/companies/Q29tcGFueQppNzU3MDM=", "Westpac Banking Corp")</f>
      </c>
      <c r="D2094" s="0" t="s">
        <v>23</v>
      </c>
      <c r="E2094" s="0" t="s">
        <v>5551</v>
      </c>
      <c r="F2094" s="16">
        <f>HYPERLINK("https://eosportal.federatedhermes.com/engagements/RW5nYWdlbWVudAppMzI0MTA=", "TNFD")</f>
      </c>
      <c r="G2094" s="14" t="s">
        <v>5824</v>
      </c>
      <c r="H2094" s="0" t="s">
        <v>141</v>
      </c>
      <c r="I2094" s="14" t="s">
        <v>191</v>
      </c>
      <c r="J2094" s="0" t="s">
        <v>197</v>
      </c>
      <c r="K2094" s="0" t="s">
        <v>337</v>
      </c>
      <c r="L2094" s="0" t="s">
        <v>576</v>
      </c>
      <c r="M2094" s="0" t="s">
        <v>371</v>
      </c>
      <c r="N2094" s="0" t="s">
        <v>372</v>
      </c>
      <c r="O2094" s="0" t="s">
        <v>238</v>
      </c>
      <c r="Q2094" s="0" t="s">
        <v>141</v>
      </c>
      <c r="R2094" s="0" t="s">
        <v>130</v>
      </c>
      <c r="S2094" s="14">
        <v>1</v>
      </c>
      <c r="T2094" s="0" t="s">
        <v>2270</v>
      </c>
      <c r="U2094" s="0" t="s">
        <v>221</v>
      </c>
      <c r="V2094" s="14" t="s">
        <v>2270</v>
      </c>
      <c r="W2094" s="0" t="s">
        <v>221</v>
      </c>
      <c r="X2094" s="14" t="s">
        <v>2270</v>
      </c>
      <c r="Y2094" s="0" t="s">
        <v>221</v>
      </c>
      <c r="Z2094" s="14" t="s">
        <v>2629</v>
      </c>
      <c r="AA2094" s="0" t="s">
        <v>223</v>
      </c>
      <c r="AB2094" s="14" t="s">
        <v>138</v>
      </c>
      <c r="AD2094" s="0" t="s">
        <v>20</v>
      </c>
      <c r="AF2094" s="0">
        <v>0</v>
      </c>
      <c r="AG2094" s="0">
        <v>0</v>
      </c>
      <c r="AH2094" s="0" t="s">
        <v>140</v>
      </c>
      <c r="AI2094" s="0" t="s">
        <v>479</v>
      </c>
      <c r="AK2094" s="0" t="s">
        <v>1151</v>
      </c>
      <c r="AL2094" s="14"/>
      <c r="AN2094" s="14"/>
      <c r="AQ2094" s="0" t="s">
        <v>130</v>
      </c>
      <c r="AR2094" s="0" t="s">
        <v>141</v>
      </c>
      <c r="AS2094" s="0" t="s">
        <v>130</v>
      </c>
      <c r="AT2094" s="0" t="s">
        <v>130</v>
      </c>
      <c r="AU2094" s="0" t="s">
        <v>130</v>
      </c>
      <c r="AV2094" s="0" t="s">
        <v>141</v>
      </c>
      <c r="AW2094" s="0" t="s">
        <v>130</v>
      </c>
      <c r="AX2094" s="0" t="s">
        <v>130</v>
      </c>
      <c r="AY2094" s="0" t="s">
        <v>130</v>
      </c>
      <c r="AZ2094" s="0" t="s">
        <v>130</v>
      </c>
      <c r="BA2094" s="0" t="s">
        <v>141</v>
      </c>
      <c r="BB2094" s="0" t="s">
        <v>141</v>
      </c>
      <c r="BC2094" s="0" t="s">
        <v>130</v>
      </c>
      <c r="BD2094" s="0" t="s">
        <v>141</v>
      </c>
      <c r="BE2094" s="0" t="s">
        <v>141</v>
      </c>
      <c r="BF2094" s="0" t="s">
        <v>130</v>
      </c>
      <c r="BG2094" s="0" t="s">
        <v>130</v>
      </c>
      <c r="BH2094" s="0" t="s">
        <v>130</v>
      </c>
      <c r="BI2094" s="0" t="s">
        <v>130</v>
      </c>
      <c r="BJ2094" s="0" t="s">
        <v>130</v>
      </c>
      <c r="BK2094" s="0" t="s">
        <v>130</v>
      </c>
      <c r="BL2094" s="0" t="s">
        <v>130</v>
      </c>
      <c r="BM2094" s="0" t="s">
        <v>130</v>
      </c>
      <c r="BN2094" s="0" t="s">
        <v>130</v>
      </c>
      <c r="BO2094" s="0" t="s">
        <v>130</v>
      </c>
      <c r="BP2094" s="0" t="s">
        <v>130</v>
      </c>
      <c r="BQ2094" s="0" t="s">
        <v>130</v>
      </c>
      <c r="BR2094" s="0" t="s">
        <v>130</v>
      </c>
      <c r="BS2094" s="0" t="s">
        <v>130</v>
      </c>
      <c r="BT2094" s="0" t="s">
        <v>130</v>
      </c>
      <c r="BU2094" s="0" t="s">
        <v>130</v>
      </c>
      <c r="BV2094" s="0" t="s">
        <v>130</v>
      </c>
      <c r="BW2094" s="0" t="s">
        <v>130</v>
      </c>
      <c r="BX2094" s="0" t="s">
        <v>130</v>
      </c>
      <c r="BY2094" s="0" t="s">
        <v>130</v>
      </c>
      <c r="BZ2094" s="0" t="s">
        <v>130</v>
      </c>
      <c r="CA2094" s="0" t="s">
        <v>130</v>
      </c>
      <c r="CB2094" s="0" t="s">
        <v>130</v>
      </c>
      <c r="CC2094" s="0" t="s">
        <v>130</v>
      </c>
      <c r="CD2094" s="0" t="s">
        <v>130</v>
      </c>
      <c r="CE2094" s="0" t="s">
        <v>130</v>
      </c>
      <c r="CF2094" s="0" t="s">
        <v>130</v>
      </c>
      <c r="CG2094" s="0" t="s">
        <v>130</v>
      </c>
      <c r="CH2094" s="0" t="s">
        <v>130</v>
      </c>
      <c r="CI2094" s="0" t="s">
        <v>130</v>
      </c>
      <c r="CJ2094" s="0" t="s">
        <v>130</v>
      </c>
      <c r="CK2094" s="0" t="s">
        <v>130</v>
      </c>
      <c r="CL2094" s="0" t="s">
        <v>130</v>
      </c>
      <c r="CM2094" s="0" t="s">
        <v>130</v>
      </c>
      <c r="CN2094" s="0" t="s">
        <v>130</v>
      </c>
      <c r="CO2094" s="0" t="s">
        <v>130</v>
      </c>
      <c r="CP2094" s="0" t="s">
        <v>130</v>
      </c>
      <c r="CQ2094" s="0" t="s">
        <v>130</v>
      </c>
      <c r="CR2094" s="0" t="s">
        <v>130</v>
      </c>
      <c r="CS2094" s="0" t="s">
        <v>130</v>
      </c>
      <c r="CT2094" s="0" t="s">
        <v>5825</v>
      </c>
    </row>
    <row r="2095">
      <c r="A2095" s="14">
        <v>110411</v>
      </c>
      <c r="B2095" s="0" t="s">
        <v>2250</v>
      </c>
      <c r="C2095" s="16">
        <f>HYPERLINK("https://eosportal.federatedhermes.com/companies/Q29tcGFueQppNzc5MjQ=", "Royal Bank of Canada")</f>
      </c>
      <c r="D2095" s="0" t="s">
        <v>25</v>
      </c>
      <c r="E2095" s="0" t="s">
        <v>5477</v>
      </c>
      <c r="F2095" s="16">
        <f>HYPERLINK("https://eosportal.federatedhermes.com/engagements/RW5nYWdlbWVudAppMzI0MTQ=", "Methane/OGMP 2.0")</f>
      </c>
      <c r="G2095" s="14" t="s">
        <v>5478</v>
      </c>
      <c r="H2095" s="0" t="s">
        <v>141</v>
      </c>
      <c r="I2095" s="14" t="s">
        <v>191</v>
      </c>
      <c r="J2095" s="0" t="s">
        <v>197</v>
      </c>
      <c r="K2095" s="0" t="s">
        <v>198</v>
      </c>
      <c r="L2095" s="0" t="s">
        <v>216</v>
      </c>
      <c r="M2095" s="0" t="s">
        <v>135</v>
      </c>
      <c r="N2095" s="0" t="s">
        <v>1678</v>
      </c>
      <c r="O2095" s="0" t="s">
        <v>238</v>
      </c>
      <c r="Q2095" s="0" t="s">
        <v>130</v>
      </c>
      <c r="R2095" s="0" t="s">
        <v>138</v>
      </c>
      <c r="S2095" s="14">
        <v>0</v>
      </c>
      <c r="T2095" s="0" t="s">
        <v>2629</v>
      </c>
      <c r="U2095" s="0" t="s">
        <v>138</v>
      </c>
      <c r="V2095" s="14" t="s">
        <v>138</v>
      </c>
      <c r="W2095" s="0" t="s">
        <v>138</v>
      </c>
      <c r="X2095" s="14" t="s">
        <v>138</v>
      </c>
      <c r="Y2095" s="0" t="s">
        <v>138</v>
      </c>
      <c r="Z2095" s="14" t="s">
        <v>138</v>
      </c>
      <c r="AA2095" s="0" t="s">
        <v>138</v>
      </c>
      <c r="AB2095" s="14" t="s">
        <v>138</v>
      </c>
      <c r="AD2095" s="0" t="s">
        <v>138</v>
      </c>
      <c r="AF2095" s="0">
        <v>0</v>
      </c>
      <c r="AG2095" s="0">
        <v>0</v>
      </c>
      <c r="AH2095" s="0" t="s">
        <v>140</v>
      </c>
      <c r="AI2095" s="0" t="s">
        <v>138</v>
      </c>
      <c r="AL2095" s="14"/>
      <c r="AN2095" s="14"/>
      <c r="AQ2095" s="0" t="s">
        <v>130</v>
      </c>
      <c r="AR2095" s="0" t="s">
        <v>130</v>
      </c>
      <c r="AS2095" s="0" t="s">
        <v>130</v>
      </c>
      <c r="AT2095" s="0" t="s">
        <v>130</v>
      </c>
      <c r="AU2095" s="0" t="s">
        <v>130</v>
      </c>
      <c r="AV2095" s="0" t="s">
        <v>130</v>
      </c>
      <c r="AW2095" s="0" t="s">
        <v>141</v>
      </c>
      <c r="AX2095" s="0" t="s">
        <v>130</v>
      </c>
      <c r="AY2095" s="0" t="s">
        <v>130</v>
      </c>
      <c r="AZ2095" s="0" t="s">
        <v>130</v>
      </c>
      <c r="BA2095" s="0" t="s">
        <v>130</v>
      </c>
      <c r="BB2095" s="0" t="s">
        <v>130</v>
      </c>
      <c r="BC2095" s="0" t="s">
        <v>141</v>
      </c>
      <c r="BD2095" s="0" t="s">
        <v>130</v>
      </c>
      <c r="BE2095" s="0" t="s">
        <v>130</v>
      </c>
      <c r="BF2095" s="0" t="s">
        <v>130</v>
      </c>
      <c r="BG2095" s="0" t="s">
        <v>130</v>
      </c>
      <c r="BH2095" s="0" t="s">
        <v>141</v>
      </c>
      <c r="BI2095" s="0" t="s">
        <v>141</v>
      </c>
      <c r="BJ2095" s="0" t="s">
        <v>141</v>
      </c>
      <c r="BK2095" s="0" t="s">
        <v>130</v>
      </c>
      <c r="BL2095" s="0" t="s">
        <v>130</v>
      </c>
      <c r="BM2095" s="0" t="s">
        <v>130</v>
      </c>
      <c r="BN2095" s="0" t="s">
        <v>130</v>
      </c>
      <c r="BO2095" s="0" t="s">
        <v>130</v>
      </c>
      <c r="BP2095" s="0" t="s">
        <v>130</v>
      </c>
      <c r="BQ2095" s="0" t="s">
        <v>130</v>
      </c>
      <c r="BR2095" s="0" t="s">
        <v>130</v>
      </c>
      <c r="BS2095" s="0" t="s">
        <v>130</v>
      </c>
      <c r="BT2095" s="0" t="s">
        <v>130</v>
      </c>
      <c r="BU2095" s="0" t="s">
        <v>130</v>
      </c>
      <c r="BV2095" s="0" t="s">
        <v>141</v>
      </c>
      <c r="BW2095" s="0" t="s">
        <v>141</v>
      </c>
      <c r="BX2095" s="0" t="s">
        <v>130</v>
      </c>
      <c r="BY2095" s="0" t="s">
        <v>130</v>
      </c>
      <c r="BZ2095" s="0" t="s">
        <v>130</v>
      </c>
      <c r="CA2095" s="0" t="s">
        <v>130</v>
      </c>
      <c r="CB2095" s="0" t="s">
        <v>130</v>
      </c>
      <c r="CC2095" s="0" t="s">
        <v>130</v>
      </c>
      <c r="CD2095" s="0" t="s">
        <v>130</v>
      </c>
      <c r="CE2095" s="0" t="s">
        <v>130</v>
      </c>
      <c r="CF2095" s="0" t="s">
        <v>130</v>
      </c>
      <c r="CG2095" s="0" t="s">
        <v>130</v>
      </c>
      <c r="CH2095" s="0" t="s">
        <v>130</v>
      </c>
      <c r="CI2095" s="0" t="s">
        <v>130</v>
      </c>
      <c r="CJ2095" s="0" t="s">
        <v>130</v>
      </c>
      <c r="CK2095" s="0" t="s">
        <v>130</v>
      </c>
      <c r="CL2095" s="0" t="s">
        <v>130</v>
      </c>
      <c r="CM2095" s="0" t="s">
        <v>130</v>
      </c>
      <c r="CN2095" s="0" t="s">
        <v>130</v>
      </c>
      <c r="CO2095" s="0" t="s">
        <v>130</v>
      </c>
      <c r="CP2095" s="0" t="s">
        <v>130</v>
      </c>
      <c r="CQ2095" s="0" t="s">
        <v>130</v>
      </c>
      <c r="CR2095" s="0" t="s">
        <v>130</v>
      </c>
      <c r="CS2095" s="0" t="s">
        <v>130</v>
      </c>
      <c r="CT2095" s="0" t="s">
        <v>5826</v>
      </c>
    </row>
    <row r="2096">
      <c r="A2096" s="14">
        <v>108620</v>
      </c>
      <c r="B2096" s="0" t="s">
        <v>2194</v>
      </c>
      <c r="C2096" s="16">
        <f>HYPERLINK("https://eosportal.federatedhermes.com/companies/Q29tcGFueQppNzU3MjE=", "Canadian Imperial Bank of Commerce")</f>
      </c>
      <c r="D2096" s="0" t="s">
        <v>25</v>
      </c>
      <c r="E2096" s="0" t="s">
        <v>3400</v>
      </c>
      <c r="F2096" s="16">
        <f>HYPERLINK("https://eosportal.federatedhermes.com/engagements/RW5nYWdlbWVudAppMzI0MTk=", "Living wages")</f>
      </c>
      <c r="G2096" s="14" t="s">
        <v>5827</v>
      </c>
      <c r="H2096" s="0" t="s">
        <v>141</v>
      </c>
      <c r="I2096" s="14" t="s">
        <v>191</v>
      </c>
      <c r="J2096" s="0" t="s">
        <v>153</v>
      </c>
      <c r="K2096" s="0" t="s">
        <v>154</v>
      </c>
      <c r="L2096" s="0" t="s">
        <v>306</v>
      </c>
      <c r="M2096" s="0" t="s">
        <v>135</v>
      </c>
      <c r="N2096" s="0" t="s">
        <v>1678</v>
      </c>
      <c r="O2096" s="0" t="s">
        <v>238</v>
      </c>
      <c r="Q2096" s="0" t="s">
        <v>141</v>
      </c>
      <c r="R2096" s="0" t="s">
        <v>138</v>
      </c>
      <c r="S2096" s="14">
        <v>1</v>
      </c>
      <c r="T2096" s="0" t="s">
        <v>2629</v>
      </c>
      <c r="U2096" s="0" t="s">
        <v>138</v>
      </c>
      <c r="V2096" s="14" t="s">
        <v>138</v>
      </c>
      <c r="W2096" s="0" t="s">
        <v>138</v>
      </c>
      <c r="X2096" s="14" t="s">
        <v>138</v>
      </c>
      <c r="Y2096" s="0" t="s">
        <v>138</v>
      </c>
      <c r="Z2096" s="14" t="s">
        <v>138</v>
      </c>
      <c r="AA2096" s="0" t="s">
        <v>138</v>
      </c>
      <c r="AB2096" s="14" t="s">
        <v>138</v>
      </c>
      <c r="AD2096" s="0" t="s">
        <v>138</v>
      </c>
      <c r="AF2096" s="0">
        <v>0</v>
      </c>
      <c r="AG2096" s="0">
        <v>0</v>
      </c>
      <c r="AH2096" s="0" t="s">
        <v>140</v>
      </c>
      <c r="AI2096" s="0" t="s">
        <v>138</v>
      </c>
      <c r="AK2096" s="0" t="s">
        <v>1950</v>
      </c>
      <c r="AL2096" s="14"/>
      <c r="AN2096" s="14"/>
      <c r="AQ2096" s="0" t="s">
        <v>141</v>
      </c>
      <c r="AR2096" s="0" t="s">
        <v>130</v>
      </c>
      <c r="AS2096" s="0" t="s">
        <v>130</v>
      </c>
      <c r="AT2096" s="0" t="s">
        <v>130</v>
      </c>
      <c r="AU2096" s="0" t="s">
        <v>130</v>
      </c>
      <c r="AV2096" s="0" t="s">
        <v>130</v>
      </c>
      <c r="AW2096" s="0" t="s">
        <v>130</v>
      </c>
      <c r="AX2096" s="0" t="s">
        <v>141</v>
      </c>
      <c r="AY2096" s="0" t="s">
        <v>130</v>
      </c>
      <c r="AZ2096" s="0" t="s">
        <v>141</v>
      </c>
      <c r="BA2096" s="0" t="s">
        <v>130</v>
      </c>
      <c r="BB2096" s="0" t="s">
        <v>130</v>
      </c>
      <c r="BC2096" s="0" t="s">
        <v>130</v>
      </c>
      <c r="BD2096" s="0" t="s">
        <v>130</v>
      </c>
      <c r="BE2096" s="0" t="s">
        <v>130</v>
      </c>
      <c r="BF2096" s="0" t="s">
        <v>130</v>
      </c>
      <c r="BG2096" s="0" t="s">
        <v>130</v>
      </c>
      <c r="BH2096" s="0" t="s">
        <v>130</v>
      </c>
      <c r="BI2096" s="0" t="s">
        <v>130</v>
      </c>
      <c r="BJ2096" s="0" t="s">
        <v>130</v>
      </c>
      <c r="BK2096" s="0" t="s">
        <v>130</v>
      </c>
      <c r="BL2096" s="0" t="s">
        <v>130</v>
      </c>
      <c r="BM2096" s="0" t="s">
        <v>130</v>
      </c>
      <c r="BN2096" s="0" t="s">
        <v>130</v>
      </c>
      <c r="BO2096" s="0" t="s">
        <v>130</v>
      </c>
      <c r="BP2096" s="0" t="s">
        <v>130</v>
      </c>
      <c r="BQ2096" s="0" t="s">
        <v>130</v>
      </c>
      <c r="BR2096" s="0" t="s">
        <v>130</v>
      </c>
      <c r="BS2096" s="0" t="s">
        <v>130</v>
      </c>
      <c r="BT2096" s="0" t="s">
        <v>130</v>
      </c>
      <c r="BU2096" s="0" t="s">
        <v>130</v>
      </c>
      <c r="BV2096" s="0" t="s">
        <v>130</v>
      </c>
      <c r="BW2096" s="0" t="s">
        <v>130</v>
      </c>
      <c r="BX2096" s="0" t="s">
        <v>130</v>
      </c>
      <c r="BY2096" s="0" t="s">
        <v>130</v>
      </c>
      <c r="BZ2096" s="0" t="s">
        <v>130</v>
      </c>
      <c r="CA2096" s="0" t="s">
        <v>130</v>
      </c>
      <c r="CB2096" s="0" t="s">
        <v>130</v>
      </c>
      <c r="CC2096" s="0" t="s">
        <v>130</v>
      </c>
      <c r="CD2096" s="0" t="s">
        <v>130</v>
      </c>
      <c r="CE2096" s="0" t="s">
        <v>130</v>
      </c>
      <c r="CF2096" s="0" t="s">
        <v>130</v>
      </c>
      <c r="CG2096" s="0" t="s">
        <v>130</v>
      </c>
      <c r="CH2096" s="0" t="s">
        <v>130</v>
      </c>
      <c r="CI2096" s="0" t="s">
        <v>130</v>
      </c>
      <c r="CJ2096" s="0" t="s">
        <v>130</v>
      </c>
      <c r="CK2096" s="0" t="s">
        <v>130</v>
      </c>
      <c r="CL2096" s="0" t="s">
        <v>130</v>
      </c>
      <c r="CM2096" s="0" t="s">
        <v>130</v>
      </c>
      <c r="CN2096" s="0" t="s">
        <v>130</v>
      </c>
      <c r="CO2096" s="0" t="s">
        <v>130</v>
      </c>
      <c r="CP2096" s="0" t="s">
        <v>130</v>
      </c>
      <c r="CQ2096" s="0" t="s">
        <v>130</v>
      </c>
      <c r="CR2096" s="0" t="s">
        <v>130</v>
      </c>
      <c r="CS2096" s="0" t="s">
        <v>130</v>
      </c>
      <c r="CT2096" s="0" t="s">
        <v>5828</v>
      </c>
    </row>
    <row r="2097">
      <c r="A2097" s="14">
        <v>111129</v>
      </c>
      <c r="B2097" s="0" t="s">
        <v>329</v>
      </c>
      <c r="C2097" s="16">
        <f>HYPERLINK("https://eosportal.federatedhermes.com/companies/Q29tcGFueQppNzU3MjA=", "Associated British Foods PLC")</f>
      </c>
      <c r="D2097" s="0" t="s">
        <v>23</v>
      </c>
      <c r="E2097" s="0" t="s">
        <v>5829</v>
      </c>
      <c r="F2097" s="16">
        <f>HYPERLINK("https://eosportal.federatedhermes.com/engagements/RW5nYWdlbWVudAppMzI0MjM=", "ABF-wide climate targets")</f>
      </c>
      <c r="G2097" s="14" t="s">
        <v>5830</v>
      </c>
      <c r="H2097" s="0" t="s">
        <v>141</v>
      </c>
      <c r="I2097" s="14" t="s">
        <v>191</v>
      </c>
      <c r="J2097" s="0" t="s">
        <v>197</v>
      </c>
      <c r="K2097" s="0" t="s">
        <v>198</v>
      </c>
      <c r="L2097" s="0" t="s">
        <v>216</v>
      </c>
      <c r="M2097" s="0" t="s">
        <v>272</v>
      </c>
      <c r="N2097" s="0" t="s">
        <v>273</v>
      </c>
      <c r="O2097" s="0" t="s">
        <v>332</v>
      </c>
      <c r="Q2097" s="0" t="s">
        <v>141</v>
      </c>
      <c r="R2097" s="0" t="s">
        <v>130</v>
      </c>
      <c r="S2097" s="14">
        <v>1</v>
      </c>
      <c r="T2097" s="0" t="s">
        <v>2629</v>
      </c>
      <c r="U2097" s="0" t="s">
        <v>221</v>
      </c>
      <c r="V2097" s="14" t="s">
        <v>2629</v>
      </c>
      <c r="W2097" s="0" t="s">
        <v>221</v>
      </c>
      <c r="X2097" s="14" t="s">
        <v>446</v>
      </c>
      <c r="Y2097" s="0" t="s">
        <v>221</v>
      </c>
      <c r="Z2097" s="14" t="s">
        <v>2842</v>
      </c>
      <c r="AA2097" s="0" t="s">
        <v>223</v>
      </c>
      <c r="AB2097" s="14" t="s">
        <v>138</v>
      </c>
      <c r="AD2097" s="0" t="s">
        <v>20</v>
      </c>
      <c r="AF2097" s="0">
        <v>0</v>
      </c>
      <c r="AG2097" s="0">
        <v>0</v>
      </c>
      <c r="AH2097" s="0" t="s">
        <v>140</v>
      </c>
      <c r="AI2097" s="0" t="s">
        <v>598</v>
      </c>
      <c r="AK2097" s="0" t="s">
        <v>339</v>
      </c>
      <c r="AL2097" s="14"/>
      <c r="AN2097" s="14"/>
      <c r="AQ2097" s="0" t="s">
        <v>130</v>
      </c>
      <c r="AR2097" s="0" t="s">
        <v>130</v>
      </c>
      <c r="AS2097" s="0" t="s">
        <v>130</v>
      </c>
      <c r="AT2097" s="0" t="s">
        <v>130</v>
      </c>
      <c r="AU2097" s="0" t="s">
        <v>130</v>
      </c>
      <c r="AV2097" s="0" t="s">
        <v>130</v>
      </c>
      <c r="AW2097" s="0" t="s">
        <v>141</v>
      </c>
      <c r="AX2097" s="0" t="s">
        <v>130</v>
      </c>
      <c r="AY2097" s="0" t="s">
        <v>130</v>
      </c>
      <c r="AZ2097" s="0" t="s">
        <v>130</v>
      </c>
      <c r="BA2097" s="0" t="s">
        <v>130</v>
      </c>
      <c r="BB2097" s="0" t="s">
        <v>130</v>
      </c>
      <c r="BC2097" s="0" t="s">
        <v>141</v>
      </c>
      <c r="BD2097" s="0" t="s">
        <v>130</v>
      </c>
      <c r="BE2097" s="0" t="s">
        <v>130</v>
      </c>
      <c r="BF2097" s="0" t="s">
        <v>130</v>
      </c>
      <c r="BG2097" s="0" t="s">
        <v>130</v>
      </c>
      <c r="BH2097" s="0" t="s">
        <v>141</v>
      </c>
      <c r="BI2097" s="0" t="s">
        <v>141</v>
      </c>
      <c r="BJ2097" s="0" t="s">
        <v>141</v>
      </c>
      <c r="BK2097" s="0" t="s">
        <v>130</v>
      </c>
      <c r="BL2097" s="0" t="s">
        <v>130</v>
      </c>
      <c r="BM2097" s="0" t="s">
        <v>130</v>
      </c>
      <c r="BN2097" s="0" t="s">
        <v>130</v>
      </c>
      <c r="BO2097" s="0" t="s">
        <v>130</v>
      </c>
      <c r="BP2097" s="0" t="s">
        <v>130</v>
      </c>
      <c r="BQ2097" s="0" t="s">
        <v>130</v>
      </c>
      <c r="BR2097" s="0" t="s">
        <v>130</v>
      </c>
      <c r="BS2097" s="0" t="s">
        <v>130</v>
      </c>
      <c r="BT2097" s="0" t="s">
        <v>130</v>
      </c>
      <c r="BU2097" s="0" t="s">
        <v>130</v>
      </c>
      <c r="BV2097" s="0" t="s">
        <v>141</v>
      </c>
      <c r="BW2097" s="0" t="s">
        <v>141</v>
      </c>
      <c r="BX2097" s="0" t="s">
        <v>130</v>
      </c>
      <c r="BY2097" s="0" t="s">
        <v>130</v>
      </c>
      <c r="BZ2097" s="0" t="s">
        <v>130</v>
      </c>
      <c r="CA2097" s="0" t="s">
        <v>130</v>
      </c>
      <c r="CB2097" s="0" t="s">
        <v>130</v>
      </c>
      <c r="CC2097" s="0" t="s">
        <v>130</v>
      </c>
      <c r="CD2097" s="0" t="s">
        <v>130</v>
      </c>
      <c r="CE2097" s="0" t="s">
        <v>130</v>
      </c>
      <c r="CF2097" s="0" t="s">
        <v>130</v>
      </c>
      <c r="CG2097" s="0" t="s">
        <v>130</v>
      </c>
      <c r="CH2097" s="0" t="s">
        <v>130</v>
      </c>
      <c r="CI2097" s="0" t="s">
        <v>130</v>
      </c>
      <c r="CJ2097" s="0" t="s">
        <v>130</v>
      </c>
      <c r="CK2097" s="0" t="s">
        <v>130</v>
      </c>
      <c r="CL2097" s="0" t="s">
        <v>130</v>
      </c>
      <c r="CM2097" s="0" t="s">
        <v>130</v>
      </c>
      <c r="CN2097" s="0" t="s">
        <v>130</v>
      </c>
      <c r="CO2097" s="0" t="s">
        <v>130</v>
      </c>
      <c r="CP2097" s="0" t="s">
        <v>130</v>
      </c>
      <c r="CQ2097" s="0" t="s">
        <v>130</v>
      </c>
      <c r="CR2097" s="0" t="s">
        <v>130</v>
      </c>
      <c r="CS2097" s="0" t="s">
        <v>130</v>
      </c>
      <c r="CT2097" s="0" t="s">
        <v>5831</v>
      </c>
    </row>
    <row r="2098">
      <c r="A2098" s="14">
        <v>115823</v>
      </c>
      <c r="B2098" s="0" t="s">
        <v>2678</v>
      </c>
      <c r="C2098" s="16">
        <f>HYPERLINK("https://eosportal.federatedhermes.com/companies/Q29tcGFueQppNjMwMDM=", "ING Groep NV")</f>
      </c>
      <c r="D2098" s="0" t="s">
        <v>25</v>
      </c>
      <c r="E2098" s="0" t="s">
        <v>5010</v>
      </c>
      <c r="F2098" s="16">
        <f>HYPERLINK("https://eosportal.federatedhermes.com/engagements/RW5nYWdlbWVudAppMzI0MzA=", "Russia-Ukraine Conflict")</f>
      </c>
      <c r="G2098" s="14" t="s">
        <v>5065</v>
      </c>
      <c r="H2098" s="0" t="s">
        <v>130</v>
      </c>
      <c r="I2098" s="14" t="s">
        <v>131</v>
      </c>
      <c r="J2098" s="0" t="s">
        <v>153</v>
      </c>
      <c r="K2098" s="0" t="s">
        <v>243</v>
      </c>
      <c r="L2098" s="0" t="s">
        <v>456</v>
      </c>
      <c r="M2098" s="0" t="s">
        <v>378</v>
      </c>
      <c r="N2098" s="0" t="s">
        <v>2554</v>
      </c>
      <c r="O2098" s="0" t="s">
        <v>238</v>
      </c>
      <c r="Q2098" s="0" t="s">
        <v>130</v>
      </c>
      <c r="R2098" s="0" t="s">
        <v>138</v>
      </c>
      <c r="S2098" s="14">
        <v>0</v>
      </c>
      <c r="T2098" s="0" t="s">
        <v>478</v>
      </c>
      <c r="U2098" s="0" t="s">
        <v>138</v>
      </c>
      <c r="V2098" s="14" t="s">
        <v>138</v>
      </c>
      <c r="W2098" s="0" t="s">
        <v>138</v>
      </c>
      <c r="X2098" s="14" t="s">
        <v>138</v>
      </c>
      <c r="Y2098" s="0" t="s">
        <v>138</v>
      </c>
      <c r="Z2098" s="14" t="s">
        <v>138</v>
      </c>
      <c r="AA2098" s="0" t="s">
        <v>138</v>
      </c>
      <c r="AB2098" s="14" t="s">
        <v>138</v>
      </c>
      <c r="AD2098" s="0" t="s">
        <v>138</v>
      </c>
      <c r="AF2098" s="0">
        <v>0</v>
      </c>
      <c r="AG2098" s="0">
        <v>0</v>
      </c>
      <c r="AH2098" s="0" t="s">
        <v>140</v>
      </c>
      <c r="AI2098" s="0" t="s">
        <v>138</v>
      </c>
      <c r="AL2098" s="14"/>
      <c r="AN2098" s="14"/>
      <c r="AQ2098" s="0" t="s">
        <v>130</v>
      </c>
      <c r="AR2098" s="0" t="s">
        <v>130</v>
      </c>
      <c r="AS2098" s="0" t="s">
        <v>130</v>
      </c>
      <c r="AT2098" s="0" t="s">
        <v>130</v>
      </c>
      <c r="AU2098" s="0" t="s">
        <v>130</v>
      </c>
      <c r="AV2098" s="0" t="s">
        <v>130</v>
      </c>
      <c r="AW2098" s="0" t="s">
        <v>130</v>
      </c>
      <c r="AX2098" s="0" t="s">
        <v>141</v>
      </c>
      <c r="AY2098" s="0" t="s">
        <v>130</v>
      </c>
      <c r="AZ2098" s="0" t="s">
        <v>130</v>
      </c>
      <c r="BA2098" s="0" t="s">
        <v>130</v>
      </c>
      <c r="BB2098" s="0" t="s">
        <v>130</v>
      </c>
      <c r="BC2098" s="0" t="s">
        <v>130</v>
      </c>
      <c r="BD2098" s="0" t="s">
        <v>130</v>
      </c>
      <c r="BE2098" s="0" t="s">
        <v>130</v>
      </c>
      <c r="BF2098" s="0" t="s">
        <v>141</v>
      </c>
      <c r="BG2098" s="0" t="s">
        <v>130</v>
      </c>
      <c r="BH2098" s="0" t="s">
        <v>130</v>
      </c>
      <c r="BI2098" s="0" t="s">
        <v>130</v>
      </c>
      <c r="BJ2098" s="0" t="s">
        <v>130</v>
      </c>
      <c r="BK2098" s="0" t="s">
        <v>130</v>
      </c>
      <c r="BL2098" s="0" t="s">
        <v>130</v>
      </c>
      <c r="BM2098" s="0" t="s">
        <v>130</v>
      </c>
      <c r="BN2098" s="0" t="s">
        <v>130</v>
      </c>
      <c r="BO2098" s="0" t="s">
        <v>130</v>
      </c>
      <c r="BP2098" s="0" t="s">
        <v>130</v>
      </c>
      <c r="BQ2098" s="0" t="s">
        <v>130</v>
      </c>
      <c r="BR2098" s="0" t="s">
        <v>130</v>
      </c>
      <c r="BS2098" s="0" t="s">
        <v>130</v>
      </c>
      <c r="BT2098" s="0" t="s">
        <v>130</v>
      </c>
      <c r="BU2098" s="0" t="s">
        <v>130</v>
      </c>
      <c r="BV2098" s="0" t="s">
        <v>130</v>
      </c>
      <c r="BW2098" s="0" t="s">
        <v>130</v>
      </c>
      <c r="BX2098" s="0" t="s">
        <v>130</v>
      </c>
      <c r="BY2098" s="0" t="s">
        <v>130</v>
      </c>
      <c r="BZ2098" s="0" t="s">
        <v>130</v>
      </c>
      <c r="CA2098" s="0" t="s">
        <v>130</v>
      </c>
      <c r="CB2098" s="0" t="s">
        <v>130</v>
      </c>
      <c r="CC2098" s="0" t="s">
        <v>130</v>
      </c>
      <c r="CD2098" s="0" t="s">
        <v>130</v>
      </c>
      <c r="CE2098" s="0" t="s">
        <v>130</v>
      </c>
      <c r="CF2098" s="0" t="s">
        <v>130</v>
      </c>
      <c r="CG2098" s="0" t="s">
        <v>130</v>
      </c>
      <c r="CH2098" s="0" t="s">
        <v>130</v>
      </c>
      <c r="CI2098" s="0" t="s">
        <v>130</v>
      </c>
      <c r="CJ2098" s="0" t="s">
        <v>130</v>
      </c>
      <c r="CK2098" s="0" t="s">
        <v>130</v>
      </c>
      <c r="CL2098" s="0" t="s">
        <v>130</v>
      </c>
      <c r="CM2098" s="0" t="s">
        <v>130</v>
      </c>
      <c r="CN2098" s="0" t="s">
        <v>130</v>
      </c>
      <c r="CO2098" s="0" t="s">
        <v>130</v>
      </c>
      <c r="CP2098" s="0" t="s">
        <v>130</v>
      </c>
      <c r="CQ2098" s="0" t="s">
        <v>130</v>
      </c>
      <c r="CR2098" s="0" t="s">
        <v>130</v>
      </c>
      <c r="CS2098" s="0" t="s">
        <v>130</v>
      </c>
      <c r="CT2098" s="0" t="s">
        <v>5832</v>
      </c>
    </row>
    <row r="2099">
      <c r="A2099" s="14">
        <v>115823</v>
      </c>
      <c r="B2099" s="0" t="s">
        <v>2678</v>
      </c>
      <c r="C2099" s="16">
        <f>HYPERLINK("https://eosportal.federatedhermes.com/companies/Q29tcGFueQppNjMwMDM=", "ING Groep NV")</f>
      </c>
      <c r="D2099" s="0" t="s">
        <v>25</v>
      </c>
      <c r="E2099" s="0" t="s">
        <v>5833</v>
      </c>
      <c r="F2099" s="16">
        <f>HYPERLINK("https://eosportal.federatedhermes.com/engagements/RW5nYWdlbWVudAppMzI0MzE=", "Biodiversity Policy &amp; Risk Management")</f>
      </c>
      <c r="G2099" s="14" t="s">
        <v>5834</v>
      </c>
      <c r="H2099" s="0" t="s">
        <v>130</v>
      </c>
      <c r="I2099" s="14" t="s">
        <v>131</v>
      </c>
      <c r="J2099" s="0" t="s">
        <v>197</v>
      </c>
      <c r="K2099" s="0" t="s">
        <v>337</v>
      </c>
      <c r="L2099" s="0" t="s">
        <v>576</v>
      </c>
      <c r="M2099" s="0" t="s">
        <v>378</v>
      </c>
      <c r="N2099" s="0" t="s">
        <v>2554</v>
      </c>
      <c r="O2099" s="0" t="s">
        <v>238</v>
      </c>
      <c r="Q2099" s="0" t="s">
        <v>130</v>
      </c>
      <c r="R2099" s="0" t="s">
        <v>138</v>
      </c>
      <c r="S2099" s="14">
        <v>0</v>
      </c>
      <c r="T2099" s="0" t="s">
        <v>478</v>
      </c>
      <c r="U2099" s="0" t="s">
        <v>138</v>
      </c>
      <c r="V2099" s="14" t="s">
        <v>138</v>
      </c>
      <c r="W2099" s="0" t="s">
        <v>138</v>
      </c>
      <c r="X2099" s="14" t="s">
        <v>138</v>
      </c>
      <c r="Y2099" s="0" t="s">
        <v>138</v>
      </c>
      <c r="Z2099" s="14" t="s">
        <v>138</v>
      </c>
      <c r="AA2099" s="0" t="s">
        <v>138</v>
      </c>
      <c r="AB2099" s="14" t="s">
        <v>138</v>
      </c>
      <c r="AD2099" s="0" t="s">
        <v>138</v>
      </c>
      <c r="AF2099" s="0">
        <v>0</v>
      </c>
      <c r="AG2099" s="0">
        <v>0</v>
      </c>
      <c r="AH2099" s="0" t="s">
        <v>140</v>
      </c>
      <c r="AI2099" s="0" t="s">
        <v>138</v>
      </c>
      <c r="AL2099" s="14"/>
      <c r="AN2099" s="14"/>
      <c r="AQ2099" s="0" t="s">
        <v>130</v>
      </c>
      <c r="AR2099" s="0" t="s">
        <v>141</v>
      </c>
      <c r="AS2099" s="0" t="s">
        <v>130</v>
      </c>
      <c r="AT2099" s="0" t="s">
        <v>130</v>
      </c>
      <c r="AU2099" s="0" t="s">
        <v>130</v>
      </c>
      <c r="AV2099" s="0" t="s">
        <v>141</v>
      </c>
      <c r="AW2099" s="0" t="s">
        <v>130</v>
      </c>
      <c r="AX2099" s="0" t="s">
        <v>130</v>
      </c>
      <c r="AY2099" s="0" t="s">
        <v>130</v>
      </c>
      <c r="AZ2099" s="0" t="s">
        <v>130</v>
      </c>
      <c r="BA2099" s="0" t="s">
        <v>141</v>
      </c>
      <c r="BB2099" s="0" t="s">
        <v>141</v>
      </c>
      <c r="BC2099" s="0" t="s">
        <v>130</v>
      </c>
      <c r="BD2099" s="0" t="s">
        <v>141</v>
      </c>
      <c r="BE2099" s="0" t="s">
        <v>141</v>
      </c>
      <c r="BF2099" s="0" t="s">
        <v>130</v>
      </c>
      <c r="BG2099" s="0" t="s">
        <v>130</v>
      </c>
      <c r="BH2099" s="0" t="s">
        <v>130</v>
      </c>
      <c r="BI2099" s="0" t="s">
        <v>130</v>
      </c>
      <c r="BJ2099" s="0" t="s">
        <v>130</v>
      </c>
      <c r="BK2099" s="0" t="s">
        <v>130</v>
      </c>
      <c r="BL2099" s="0" t="s">
        <v>130</v>
      </c>
      <c r="BM2099" s="0" t="s">
        <v>130</v>
      </c>
      <c r="BN2099" s="0" t="s">
        <v>130</v>
      </c>
      <c r="BO2099" s="0" t="s">
        <v>130</v>
      </c>
      <c r="BP2099" s="0" t="s">
        <v>130</v>
      </c>
      <c r="BQ2099" s="0" t="s">
        <v>130</v>
      </c>
      <c r="BR2099" s="0" t="s">
        <v>130</v>
      </c>
      <c r="BS2099" s="0" t="s">
        <v>130</v>
      </c>
      <c r="BT2099" s="0" t="s">
        <v>130</v>
      </c>
      <c r="BU2099" s="0" t="s">
        <v>130</v>
      </c>
      <c r="BV2099" s="0" t="s">
        <v>130</v>
      </c>
      <c r="BW2099" s="0" t="s">
        <v>130</v>
      </c>
      <c r="BX2099" s="0" t="s">
        <v>130</v>
      </c>
      <c r="BY2099" s="0" t="s">
        <v>130</v>
      </c>
      <c r="BZ2099" s="0" t="s">
        <v>130</v>
      </c>
      <c r="CA2099" s="0" t="s">
        <v>130</v>
      </c>
      <c r="CB2099" s="0" t="s">
        <v>130</v>
      </c>
      <c r="CC2099" s="0" t="s">
        <v>130</v>
      </c>
      <c r="CD2099" s="0" t="s">
        <v>130</v>
      </c>
      <c r="CE2099" s="0" t="s">
        <v>130</v>
      </c>
      <c r="CF2099" s="0" t="s">
        <v>130</v>
      </c>
      <c r="CG2099" s="0" t="s">
        <v>130</v>
      </c>
      <c r="CH2099" s="0" t="s">
        <v>130</v>
      </c>
      <c r="CI2099" s="0" t="s">
        <v>130</v>
      </c>
      <c r="CJ2099" s="0" t="s">
        <v>130</v>
      </c>
      <c r="CK2099" s="0" t="s">
        <v>130</v>
      </c>
      <c r="CL2099" s="0" t="s">
        <v>130</v>
      </c>
      <c r="CM2099" s="0" t="s">
        <v>130</v>
      </c>
      <c r="CN2099" s="0" t="s">
        <v>130</v>
      </c>
      <c r="CO2099" s="0" t="s">
        <v>130</v>
      </c>
      <c r="CP2099" s="0" t="s">
        <v>130</v>
      </c>
      <c r="CQ2099" s="0" t="s">
        <v>130</v>
      </c>
      <c r="CR2099" s="0" t="s">
        <v>130</v>
      </c>
      <c r="CS2099" s="0" t="s">
        <v>130</v>
      </c>
      <c r="CT2099" s="0" t="s">
        <v>5835</v>
      </c>
    </row>
    <row r="2100">
      <c r="A2100" s="14">
        <v>225547</v>
      </c>
      <c r="B2100" s="0" t="s">
        <v>3434</v>
      </c>
      <c r="C2100" s="16">
        <f>HYPERLINK("https://eosportal.federatedhermes.com/companies/Q29tcGFueQppNzQwNTc=", "ArcelorMittal SA")</f>
      </c>
      <c r="D2100" s="0" t="s">
        <v>23</v>
      </c>
      <c r="E2100" s="0" t="s">
        <v>5836</v>
      </c>
      <c r="F2100" s="16">
        <f>HYPERLINK("https://eosportal.federatedhermes.com/engagements/RW5nYWdlbWVudAppMzI0MzY=", "1.5°C-aligned climate targets")</f>
      </c>
      <c r="G2100" s="14" t="s">
        <v>5837</v>
      </c>
      <c r="H2100" s="0" t="s">
        <v>141</v>
      </c>
      <c r="I2100" s="14" t="s">
        <v>191</v>
      </c>
      <c r="J2100" s="0" t="s">
        <v>197</v>
      </c>
      <c r="K2100" s="0" t="s">
        <v>198</v>
      </c>
      <c r="L2100" s="0" t="s">
        <v>216</v>
      </c>
      <c r="M2100" s="0" t="s">
        <v>378</v>
      </c>
      <c r="N2100" s="0" t="s">
        <v>3435</v>
      </c>
      <c r="O2100" s="0" t="s">
        <v>373</v>
      </c>
      <c r="Q2100" s="0" t="s">
        <v>141</v>
      </c>
      <c r="R2100" s="0" t="s">
        <v>130</v>
      </c>
      <c r="S2100" s="14">
        <v>1</v>
      </c>
      <c r="T2100" s="0" t="s">
        <v>2270</v>
      </c>
      <c r="U2100" s="0" t="s">
        <v>221</v>
      </c>
      <c r="V2100" s="14" t="s">
        <v>2270</v>
      </c>
      <c r="W2100" s="0" t="s">
        <v>221</v>
      </c>
      <c r="X2100" s="14" t="s">
        <v>222</v>
      </c>
      <c r="Y2100" s="0" t="s">
        <v>223</v>
      </c>
      <c r="Z2100" s="14" t="s">
        <v>138</v>
      </c>
      <c r="AA2100" s="0" t="s">
        <v>224</v>
      </c>
      <c r="AB2100" s="14" t="s">
        <v>138</v>
      </c>
      <c r="AD2100" s="0" t="s">
        <v>17</v>
      </c>
      <c r="AF2100" s="0">
        <v>0</v>
      </c>
      <c r="AG2100" s="0">
        <v>0</v>
      </c>
      <c r="AH2100" s="0" t="s">
        <v>140</v>
      </c>
      <c r="AI2100" s="0" t="s">
        <v>479</v>
      </c>
      <c r="AK2100" s="0" t="s">
        <v>1470</v>
      </c>
      <c r="AL2100" s="14"/>
      <c r="AN2100" s="14"/>
      <c r="AQ2100" s="0" t="s">
        <v>130</v>
      </c>
      <c r="AR2100" s="0" t="s">
        <v>130</v>
      </c>
      <c r="AS2100" s="0" t="s">
        <v>130</v>
      </c>
      <c r="AT2100" s="0" t="s">
        <v>130</v>
      </c>
      <c r="AU2100" s="0" t="s">
        <v>130</v>
      </c>
      <c r="AV2100" s="0" t="s">
        <v>130</v>
      </c>
      <c r="AW2100" s="0" t="s">
        <v>141</v>
      </c>
      <c r="AX2100" s="0" t="s">
        <v>130</v>
      </c>
      <c r="AY2100" s="0" t="s">
        <v>130</v>
      </c>
      <c r="AZ2100" s="0" t="s">
        <v>130</v>
      </c>
      <c r="BA2100" s="0" t="s">
        <v>130</v>
      </c>
      <c r="BB2100" s="0" t="s">
        <v>130</v>
      </c>
      <c r="BC2100" s="0" t="s">
        <v>141</v>
      </c>
      <c r="BD2100" s="0" t="s">
        <v>130</v>
      </c>
      <c r="BE2100" s="0" t="s">
        <v>130</v>
      </c>
      <c r="BF2100" s="0" t="s">
        <v>130</v>
      </c>
      <c r="BG2100" s="0" t="s">
        <v>130</v>
      </c>
      <c r="BH2100" s="0" t="s">
        <v>141</v>
      </c>
      <c r="BI2100" s="0" t="s">
        <v>141</v>
      </c>
      <c r="BJ2100" s="0" t="s">
        <v>141</v>
      </c>
      <c r="BK2100" s="0" t="s">
        <v>130</v>
      </c>
      <c r="BL2100" s="0" t="s">
        <v>130</v>
      </c>
      <c r="BM2100" s="0" t="s">
        <v>130</v>
      </c>
      <c r="BN2100" s="0" t="s">
        <v>130</v>
      </c>
      <c r="BO2100" s="0" t="s">
        <v>130</v>
      </c>
      <c r="BP2100" s="0" t="s">
        <v>130</v>
      </c>
      <c r="BQ2100" s="0" t="s">
        <v>130</v>
      </c>
      <c r="BR2100" s="0" t="s">
        <v>130</v>
      </c>
      <c r="BS2100" s="0" t="s">
        <v>130</v>
      </c>
      <c r="BT2100" s="0" t="s">
        <v>130</v>
      </c>
      <c r="BU2100" s="0" t="s">
        <v>130</v>
      </c>
      <c r="BV2100" s="0" t="s">
        <v>141</v>
      </c>
      <c r="BW2100" s="0" t="s">
        <v>141</v>
      </c>
      <c r="BX2100" s="0" t="s">
        <v>130</v>
      </c>
      <c r="BY2100" s="0" t="s">
        <v>130</v>
      </c>
      <c r="BZ2100" s="0" t="s">
        <v>130</v>
      </c>
      <c r="CA2100" s="0" t="s">
        <v>130</v>
      </c>
      <c r="CB2100" s="0" t="s">
        <v>130</v>
      </c>
      <c r="CC2100" s="0" t="s">
        <v>130</v>
      </c>
      <c r="CD2100" s="0" t="s">
        <v>130</v>
      </c>
      <c r="CE2100" s="0" t="s">
        <v>130</v>
      </c>
      <c r="CF2100" s="0" t="s">
        <v>130</v>
      </c>
      <c r="CG2100" s="0" t="s">
        <v>130</v>
      </c>
      <c r="CH2100" s="0" t="s">
        <v>130</v>
      </c>
      <c r="CI2100" s="0" t="s">
        <v>130</v>
      </c>
      <c r="CJ2100" s="0" t="s">
        <v>130</v>
      </c>
      <c r="CK2100" s="0" t="s">
        <v>130</v>
      </c>
      <c r="CL2100" s="0" t="s">
        <v>130</v>
      </c>
      <c r="CM2100" s="0" t="s">
        <v>130</v>
      </c>
      <c r="CN2100" s="0" t="s">
        <v>130</v>
      </c>
      <c r="CO2100" s="0" t="s">
        <v>130</v>
      </c>
      <c r="CP2100" s="0" t="s">
        <v>130</v>
      </c>
      <c r="CQ2100" s="0" t="s">
        <v>130</v>
      </c>
      <c r="CR2100" s="0" t="s">
        <v>130</v>
      </c>
      <c r="CS2100" s="0" t="s">
        <v>130</v>
      </c>
      <c r="CT2100" s="0" t="s">
        <v>5838</v>
      </c>
    </row>
    <row r="2101">
      <c r="A2101" s="14">
        <v>101372</v>
      </c>
      <c r="B2101" s="0" t="s">
        <v>1566</v>
      </c>
      <c r="C2101" s="16">
        <f>HYPERLINK("https://eosportal.federatedhermes.com/companies/Q29tcGFueQppNjI0NjU=", "Truist Financial Corp")</f>
      </c>
      <c r="D2101" s="0" t="s">
        <v>23</v>
      </c>
      <c r="E2101" s="0" t="s">
        <v>433</v>
      </c>
      <c r="F2101" s="16">
        <f>HYPERLINK("https://eosportal.federatedhermes.com/engagements/RW5nYWdlbWVudAppMzI0NDI=", "Human rights policy")</f>
      </c>
      <c r="G2101" s="14" t="s">
        <v>5839</v>
      </c>
      <c r="H2101" s="0" t="s">
        <v>130</v>
      </c>
      <c r="I2101" s="14" t="s">
        <v>131</v>
      </c>
      <c r="J2101" s="0" t="s">
        <v>153</v>
      </c>
      <c r="K2101" s="0" t="s">
        <v>243</v>
      </c>
      <c r="L2101" s="0" t="s">
        <v>244</v>
      </c>
      <c r="M2101" s="0" t="s">
        <v>135</v>
      </c>
      <c r="N2101" s="0" t="s">
        <v>136</v>
      </c>
      <c r="O2101" s="0" t="s">
        <v>238</v>
      </c>
      <c r="Q2101" s="0" t="s">
        <v>141</v>
      </c>
      <c r="R2101" s="0" t="s">
        <v>130</v>
      </c>
      <c r="S2101" s="14">
        <v>1</v>
      </c>
      <c r="T2101" s="0" t="s">
        <v>2629</v>
      </c>
      <c r="U2101" s="0" t="s">
        <v>221</v>
      </c>
      <c r="V2101" s="14" t="s">
        <v>2629</v>
      </c>
      <c r="W2101" s="0" t="s">
        <v>221</v>
      </c>
      <c r="X2101" s="14" t="s">
        <v>446</v>
      </c>
      <c r="Y2101" s="0" t="s">
        <v>223</v>
      </c>
      <c r="Z2101" s="14" t="s">
        <v>138</v>
      </c>
      <c r="AA2101" s="0" t="s">
        <v>224</v>
      </c>
      <c r="AB2101" s="14" t="s">
        <v>138</v>
      </c>
      <c r="AD2101" s="0" t="s">
        <v>17</v>
      </c>
      <c r="AF2101" s="0">
        <v>0</v>
      </c>
      <c r="AG2101" s="0">
        <v>0</v>
      </c>
      <c r="AH2101" s="0" t="s">
        <v>140</v>
      </c>
      <c r="AI2101" s="0" t="s">
        <v>479</v>
      </c>
      <c r="AK2101" s="0" t="s">
        <v>1289</v>
      </c>
      <c r="AL2101" s="14"/>
      <c r="AN2101" s="14"/>
      <c r="AQ2101" s="0" t="s">
        <v>130</v>
      </c>
      <c r="AR2101" s="0" t="s">
        <v>130</v>
      </c>
      <c r="AS2101" s="0" t="s">
        <v>130</v>
      </c>
      <c r="AT2101" s="0" t="s">
        <v>130</v>
      </c>
      <c r="AU2101" s="0" t="s">
        <v>130</v>
      </c>
      <c r="AV2101" s="0" t="s">
        <v>130</v>
      </c>
      <c r="AW2101" s="0" t="s">
        <v>130</v>
      </c>
      <c r="AX2101" s="0" t="s">
        <v>141</v>
      </c>
      <c r="AY2101" s="0" t="s">
        <v>130</v>
      </c>
      <c r="AZ2101" s="0" t="s">
        <v>130</v>
      </c>
      <c r="BA2101" s="0" t="s">
        <v>130</v>
      </c>
      <c r="BB2101" s="0" t="s">
        <v>130</v>
      </c>
      <c r="BC2101" s="0" t="s">
        <v>130</v>
      </c>
      <c r="BD2101" s="0" t="s">
        <v>130</v>
      </c>
      <c r="BE2101" s="0" t="s">
        <v>130</v>
      </c>
      <c r="BF2101" s="0" t="s">
        <v>130</v>
      </c>
      <c r="BG2101" s="0" t="s">
        <v>130</v>
      </c>
      <c r="BH2101" s="0" t="s">
        <v>130</v>
      </c>
      <c r="BI2101" s="0" t="s">
        <v>130</v>
      </c>
      <c r="BJ2101" s="0" t="s">
        <v>130</v>
      </c>
      <c r="BK2101" s="0" t="s">
        <v>130</v>
      </c>
      <c r="BL2101" s="0" t="s">
        <v>130</v>
      </c>
      <c r="BM2101" s="0" t="s">
        <v>130</v>
      </c>
      <c r="BN2101" s="0" t="s">
        <v>130</v>
      </c>
      <c r="BO2101" s="0" t="s">
        <v>130</v>
      </c>
      <c r="BP2101" s="0" t="s">
        <v>130</v>
      </c>
      <c r="BQ2101" s="0" t="s">
        <v>130</v>
      </c>
      <c r="BR2101" s="0" t="s">
        <v>130</v>
      </c>
      <c r="BS2101" s="0" t="s">
        <v>130</v>
      </c>
      <c r="BT2101" s="0" t="s">
        <v>130</v>
      </c>
      <c r="BU2101" s="0" t="s">
        <v>130</v>
      </c>
      <c r="BV2101" s="0" t="s">
        <v>130</v>
      </c>
      <c r="BW2101" s="0" t="s">
        <v>130</v>
      </c>
      <c r="BX2101" s="0" t="s">
        <v>130</v>
      </c>
      <c r="BY2101" s="0" t="s">
        <v>130</v>
      </c>
      <c r="BZ2101" s="0" t="s">
        <v>130</v>
      </c>
      <c r="CA2101" s="0" t="s">
        <v>130</v>
      </c>
      <c r="CB2101" s="0" t="s">
        <v>130</v>
      </c>
      <c r="CC2101" s="0" t="s">
        <v>130</v>
      </c>
      <c r="CD2101" s="0" t="s">
        <v>130</v>
      </c>
      <c r="CE2101" s="0" t="s">
        <v>130</v>
      </c>
      <c r="CF2101" s="0" t="s">
        <v>130</v>
      </c>
      <c r="CG2101" s="0" t="s">
        <v>130</v>
      </c>
      <c r="CH2101" s="0" t="s">
        <v>130</v>
      </c>
      <c r="CI2101" s="0" t="s">
        <v>130</v>
      </c>
      <c r="CJ2101" s="0" t="s">
        <v>130</v>
      </c>
      <c r="CK2101" s="0" t="s">
        <v>130</v>
      </c>
      <c r="CL2101" s="0" t="s">
        <v>130</v>
      </c>
      <c r="CM2101" s="0" t="s">
        <v>130</v>
      </c>
      <c r="CN2101" s="0" t="s">
        <v>130</v>
      </c>
      <c r="CO2101" s="0" t="s">
        <v>130</v>
      </c>
      <c r="CP2101" s="0" t="s">
        <v>130</v>
      </c>
      <c r="CQ2101" s="0" t="s">
        <v>130</v>
      </c>
      <c r="CR2101" s="0" t="s">
        <v>130</v>
      </c>
      <c r="CS2101" s="0" t="s">
        <v>130</v>
      </c>
      <c r="CT2101" s="0" t="s">
        <v>5840</v>
      </c>
    </row>
    <row r="2102">
      <c r="A2102" s="14">
        <v>100481</v>
      </c>
      <c r="B2102" s="0" t="s">
        <v>673</v>
      </c>
      <c r="C2102" s="16">
        <f>HYPERLINK("https://eosportal.federatedhermes.com/companies/Q29tcGFueQppNjQzNjU=", "Duke Energy Corp")</f>
      </c>
      <c r="D2102" s="0" t="s">
        <v>25</v>
      </c>
      <c r="E2102" s="0" t="s">
        <v>5841</v>
      </c>
      <c r="F2102" s="16">
        <f>HYPERLINK("https://eosportal.federatedhermes.com/engagements/RW5nYWdlbWVudAppMzI0NDg=", "Consider climate change in the audit")</f>
      </c>
      <c r="G2102" s="14" t="s">
        <v>5842</v>
      </c>
      <c r="H2102" s="0" t="s">
        <v>141</v>
      </c>
      <c r="I2102" s="14" t="s">
        <v>191</v>
      </c>
      <c r="J2102" s="0" t="s">
        <v>197</v>
      </c>
      <c r="K2102" s="0" t="s">
        <v>198</v>
      </c>
      <c r="L2102" s="0" t="s">
        <v>199</v>
      </c>
      <c r="M2102" s="0" t="s">
        <v>135</v>
      </c>
      <c r="N2102" s="0" t="s">
        <v>136</v>
      </c>
      <c r="O2102" s="0" t="s">
        <v>192</v>
      </c>
      <c r="Q2102" s="0" t="s">
        <v>130</v>
      </c>
      <c r="R2102" s="0" t="s">
        <v>138</v>
      </c>
      <c r="S2102" s="14">
        <v>0</v>
      </c>
      <c r="T2102" s="0" t="s">
        <v>478</v>
      </c>
      <c r="U2102" s="0" t="s">
        <v>138</v>
      </c>
      <c r="V2102" s="14" t="s">
        <v>138</v>
      </c>
      <c r="W2102" s="0" t="s">
        <v>138</v>
      </c>
      <c r="X2102" s="14" t="s">
        <v>138</v>
      </c>
      <c r="Y2102" s="0" t="s">
        <v>138</v>
      </c>
      <c r="Z2102" s="14" t="s">
        <v>138</v>
      </c>
      <c r="AA2102" s="0" t="s">
        <v>138</v>
      </c>
      <c r="AB2102" s="14" t="s">
        <v>138</v>
      </c>
      <c r="AD2102" s="0" t="s">
        <v>138</v>
      </c>
      <c r="AF2102" s="0">
        <v>0</v>
      </c>
      <c r="AG2102" s="0">
        <v>0</v>
      </c>
      <c r="AH2102" s="0" t="s">
        <v>140</v>
      </c>
      <c r="AI2102" s="0" t="s">
        <v>138</v>
      </c>
      <c r="AL2102" s="14"/>
      <c r="AN2102" s="14"/>
      <c r="AQ2102" s="0" t="s">
        <v>130</v>
      </c>
      <c r="AR2102" s="0" t="s">
        <v>130</v>
      </c>
      <c r="AS2102" s="0" t="s">
        <v>130</v>
      </c>
      <c r="AT2102" s="0" t="s">
        <v>130</v>
      </c>
      <c r="AU2102" s="0" t="s">
        <v>130</v>
      </c>
      <c r="AV2102" s="0" t="s">
        <v>130</v>
      </c>
      <c r="AW2102" s="0" t="s">
        <v>130</v>
      </c>
      <c r="AX2102" s="0" t="s">
        <v>130</v>
      </c>
      <c r="AY2102" s="0" t="s">
        <v>130</v>
      </c>
      <c r="AZ2102" s="0" t="s">
        <v>130</v>
      </c>
      <c r="BA2102" s="0" t="s">
        <v>130</v>
      </c>
      <c r="BB2102" s="0" t="s">
        <v>141</v>
      </c>
      <c r="BC2102" s="0" t="s">
        <v>141</v>
      </c>
      <c r="BD2102" s="0" t="s">
        <v>130</v>
      </c>
      <c r="BE2102" s="0" t="s">
        <v>130</v>
      </c>
      <c r="BF2102" s="0" t="s">
        <v>130</v>
      </c>
      <c r="BG2102" s="0" t="s">
        <v>130</v>
      </c>
      <c r="BH2102" s="0" t="s">
        <v>130</v>
      </c>
      <c r="BI2102" s="0" t="s">
        <v>130</v>
      </c>
      <c r="BJ2102" s="0" t="s">
        <v>130</v>
      </c>
      <c r="BK2102" s="0" t="s">
        <v>130</v>
      </c>
      <c r="BL2102" s="0" t="s">
        <v>130</v>
      </c>
      <c r="BM2102" s="0" t="s">
        <v>130</v>
      </c>
      <c r="BN2102" s="0" t="s">
        <v>130</v>
      </c>
      <c r="BO2102" s="0" t="s">
        <v>130</v>
      </c>
      <c r="BP2102" s="0" t="s">
        <v>130</v>
      </c>
      <c r="BQ2102" s="0" t="s">
        <v>130</v>
      </c>
      <c r="BR2102" s="0" t="s">
        <v>130</v>
      </c>
      <c r="BS2102" s="0" t="s">
        <v>130</v>
      </c>
      <c r="BT2102" s="0" t="s">
        <v>130</v>
      </c>
      <c r="BU2102" s="0" t="s">
        <v>130</v>
      </c>
      <c r="BV2102" s="0" t="s">
        <v>130</v>
      </c>
      <c r="BW2102" s="0" t="s">
        <v>130</v>
      </c>
      <c r="BX2102" s="0" t="s">
        <v>130</v>
      </c>
      <c r="BY2102" s="0" t="s">
        <v>130</v>
      </c>
      <c r="BZ2102" s="0" t="s">
        <v>130</v>
      </c>
      <c r="CA2102" s="0" t="s">
        <v>130</v>
      </c>
      <c r="CB2102" s="0" t="s">
        <v>130</v>
      </c>
      <c r="CC2102" s="0" t="s">
        <v>130</v>
      </c>
      <c r="CD2102" s="0" t="s">
        <v>130</v>
      </c>
      <c r="CE2102" s="0" t="s">
        <v>130</v>
      </c>
      <c r="CF2102" s="0" t="s">
        <v>130</v>
      </c>
      <c r="CG2102" s="0" t="s">
        <v>130</v>
      </c>
      <c r="CH2102" s="0" t="s">
        <v>130</v>
      </c>
      <c r="CI2102" s="0" t="s">
        <v>130</v>
      </c>
      <c r="CJ2102" s="0" t="s">
        <v>130</v>
      </c>
      <c r="CK2102" s="0" t="s">
        <v>130</v>
      </c>
      <c r="CL2102" s="0" t="s">
        <v>130</v>
      </c>
      <c r="CM2102" s="0" t="s">
        <v>130</v>
      </c>
      <c r="CN2102" s="0" t="s">
        <v>130</v>
      </c>
      <c r="CO2102" s="0" t="s">
        <v>130</v>
      </c>
      <c r="CP2102" s="0" t="s">
        <v>130</v>
      </c>
      <c r="CQ2102" s="0" t="s">
        <v>130</v>
      </c>
      <c r="CR2102" s="0" t="s">
        <v>130</v>
      </c>
      <c r="CS2102" s="0" t="s">
        <v>130</v>
      </c>
      <c r="CT2102" s="0" t="s">
        <v>5843</v>
      </c>
    </row>
    <row r="2103">
      <c r="A2103" s="14">
        <v>136114</v>
      </c>
      <c r="B2103" s="0" t="s">
        <v>3038</v>
      </c>
      <c r="C2103" s="16">
        <f>HYPERLINK("https://eosportal.federatedhermes.com/companies/Q29tcGFueQppNzM3Nzc=", "Petroleo Brasileiro SA - Petrobras")</f>
      </c>
      <c r="D2103" s="0" t="s">
        <v>25</v>
      </c>
      <c r="E2103" s="0" t="s">
        <v>5844</v>
      </c>
      <c r="F2103" s="16">
        <f>HYPERLINK("https://eosportal.federatedhermes.com/engagements/RW5nYWdlbWVudAppMzI0NTI=", "Portfolio diversification towards renewable energy")</f>
      </c>
      <c r="G2103" s="14" t="s">
        <v>5845</v>
      </c>
      <c r="H2103" s="0" t="s">
        <v>141</v>
      </c>
      <c r="I2103" s="14" t="s">
        <v>191</v>
      </c>
      <c r="J2103" s="0" t="s">
        <v>197</v>
      </c>
      <c r="K2103" s="0" t="s">
        <v>198</v>
      </c>
      <c r="L2103" s="0" t="s">
        <v>216</v>
      </c>
      <c r="M2103" s="0" t="s">
        <v>2807</v>
      </c>
      <c r="N2103" s="0" t="s">
        <v>3041</v>
      </c>
      <c r="O2103" s="0" t="s">
        <v>542</v>
      </c>
      <c r="Q2103" s="0" t="s">
        <v>141</v>
      </c>
      <c r="R2103" s="0" t="s">
        <v>138</v>
      </c>
      <c r="S2103" s="14">
        <v>1</v>
      </c>
      <c r="T2103" s="0" t="s">
        <v>478</v>
      </c>
      <c r="U2103" s="0" t="s">
        <v>138</v>
      </c>
      <c r="V2103" s="14" t="s">
        <v>138</v>
      </c>
      <c r="W2103" s="0" t="s">
        <v>138</v>
      </c>
      <c r="X2103" s="14" t="s">
        <v>138</v>
      </c>
      <c r="Y2103" s="0" t="s">
        <v>138</v>
      </c>
      <c r="Z2103" s="14" t="s">
        <v>138</v>
      </c>
      <c r="AA2103" s="0" t="s">
        <v>138</v>
      </c>
      <c r="AB2103" s="14" t="s">
        <v>138</v>
      </c>
      <c r="AD2103" s="0" t="s">
        <v>138</v>
      </c>
      <c r="AF2103" s="0">
        <v>0</v>
      </c>
      <c r="AG2103" s="0">
        <v>0</v>
      </c>
      <c r="AH2103" s="0" t="s">
        <v>140</v>
      </c>
      <c r="AI2103" s="0" t="s">
        <v>138</v>
      </c>
      <c r="AK2103" s="0" t="s">
        <v>3042</v>
      </c>
      <c r="AL2103" s="14"/>
      <c r="AN2103" s="14"/>
      <c r="AQ2103" s="0" t="s">
        <v>130</v>
      </c>
      <c r="AR2103" s="0" t="s">
        <v>130</v>
      </c>
      <c r="AS2103" s="0" t="s">
        <v>130</v>
      </c>
      <c r="AT2103" s="0" t="s">
        <v>130</v>
      </c>
      <c r="AU2103" s="0" t="s">
        <v>130</v>
      </c>
      <c r="AV2103" s="0" t="s">
        <v>130</v>
      </c>
      <c r="AW2103" s="0" t="s">
        <v>141</v>
      </c>
      <c r="AX2103" s="0" t="s">
        <v>130</v>
      </c>
      <c r="AY2103" s="0" t="s">
        <v>141</v>
      </c>
      <c r="AZ2103" s="0" t="s">
        <v>130</v>
      </c>
      <c r="BA2103" s="0" t="s">
        <v>130</v>
      </c>
      <c r="BB2103" s="0" t="s">
        <v>130</v>
      </c>
      <c r="BC2103" s="0" t="s">
        <v>141</v>
      </c>
      <c r="BD2103" s="0" t="s">
        <v>130</v>
      </c>
      <c r="BE2103" s="0" t="s">
        <v>130</v>
      </c>
      <c r="BF2103" s="0" t="s">
        <v>130</v>
      </c>
      <c r="BG2103" s="0" t="s">
        <v>130</v>
      </c>
      <c r="BH2103" s="0" t="s">
        <v>141</v>
      </c>
      <c r="BI2103" s="0" t="s">
        <v>141</v>
      </c>
      <c r="BJ2103" s="0" t="s">
        <v>141</v>
      </c>
      <c r="BK2103" s="0" t="s">
        <v>130</v>
      </c>
      <c r="BL2103" s="0" t="s">
        <v>130</v>
      </c>
      <c r="BM2103" s="0" t="s">
        <v>130</v>
      </c>
      <c r="BN2103" s="0" t="s">
        <v>130</v>
      </c>
      <c r="BO2103" s="0" t="s">
        <v>130</v>
      </c>
      <c r="BP2103" s="0" t="s">
        <v>130</v>
      </c>
      <c r="BQ2103" s="0" t="s">
        <v>130</v>
      </c>
      <c r="BR2103" s="0" t="s">
        <v>130</v>
      </c>
      <c r="BS2103" s="0" t="s">
        <v>130</v>
      </c>
      <c r="BT2103" s="0" t="s">
        <v>130</v>
      </c>
      <c r="BU2103" s="0" t="s">
        <v>130</v>
      </c>
      <c r="BV2103" s="0" t="s">
        <v>141</v>
      </c>
      <c r="BW2103" s="0" t="s">
        <v>141</v>
      </c>
      <c r="BX2103" s="0" t="s">
        <v>130</v>
      </c>
      <c r="BY2103" s="0" t="s">
        <v>130</v>
      </c>
      <c r="BZ2103" s="0" t="s">
        <v>130</v>
      </c>
      <c r="CA2103" s="0" t="s">
        <v>130</v>
      </c>
      <c r="CB2103" s="0" t="s">
        <v>130</v>
      </c>
      <c r="CC2103" s="0" t="s">
        <v>130</v>
      </c>
      <c r="CD2103" s="0" t="s">
        <v>130</v>
      </c>
      <c r="CE2103" s="0" t="s">
        <v>130</v>
      </c>
      <c r="CF2103" s="0" t="s">
        <v>130</v>
      </c>
      <c r="CG2103" s="0" t="s">
        <v>130</v>
      </c>
      <c r="CH2103" s="0" t="s">
        <v>130</v>
      </c>
      <c r="CI2103" s="0" t="s">
        <v>130</v>
      </c>
      <c r="CJ2103" s="0" t="s">
        <v>130</v>
      </c>
      <c r="CK2103" s="0" t="s">
        <v>130</v>
      </c>
      <c r="CL2103" s="0" t="s">
        <v>130</v>
      </c>
      <c r="CM2103" s="0" t="s">
        <v>130</v>
      </c>
      <c r="CN2103" s="0" t="s">
        <v>130</v>
      </c>
      <c r="CO2103" s="0" t="s">
        <v>130</v>
      </c>
      <c r="CP2103" s="0" t="s">
        <v>130</v>
      </c>
      <c r="CQ2103" s="0" t="s">
        <v>130</v>
      </c>
      <c r="CR2103" s="0" t="s">
        <v>130</v>
      </c>
      <c r="CS2103" s="0" t="s">
        <v>130</v>
      </c>
      <c r="CT2103" s="0" t="s">
        <v>5846</v>
      </c>
    </row>
    <row r="2104">
      <c r="A2104" s="14">
        <v>100602</v>
      </c>
      <c r="B2104" s="0" t="s">
        <v>827</v>
      </c>
      <c r="C2104" s="16">
        <f>HYPERLINK("https://eosportal.federatedhermes.com/companies/Q29tcGFueQppNTQxNzY=", "Ford Motor Co")</f>
      </c>
      <c r="D2104" s="0" t="s">
        <v>25</v>
      </c>
      <c r="E2104" s="0" t="s">
        <v>5847</v>
      </c>
      <c r="F2104" s="16">
        <f>HYPERLINK("https://eosportal.federatedhermes.com/engagements/RW5nYWdlbWVudAppMzI0NjA=", "Social Due Diligence, Compliance &amp; Human Rights Risks in Supply Chains")</f>
      </c>
      <c r="G2104" s="14" t="s">
        <v>5848</v>
      </c>
      <c r="H2104" s="0" t="s">
        <v>141</v>
      </c>
      <c r="I2104" s="14" t="s">
        <v>191</v>
      </c>
      <c r="J2104" s="0" t="s">
        <v>153</v>
      </c>
      <c r="K2104" s="0" t="s">
        <v>243</v>
      </c>
      <c r="L2104" s="0" t="s">
        <v>244</v>
      </c>
      <c r="M2104" s="0" t="s">
        <v>135</v>
      </c>
      <c r="N2104" s="0" t="s">
        <v>136</v>
      </c>
      <c r="O2104" s="0" t="s">
        <v>425</v>
      </c>
      <c r="Q2104" s="0" t="s">
        <v>130</v>
      </c>
      <c r="R2104" s="0" t="s">
        <v>138</v>
      </c>
      <c r="S2104" s="14">
        <v>0</v>
      </c>
      <c r="T2104" s="0" t="s">
        <v>478</v>
      </c>
      <c r="U2104" s="0" t="s">
        <v>138</v>
      </c>
      <c r="V2104" s="14" t="s">
        <v>138</v>
      </c>
      <c r="W2104" s="0" t="s">
        <v>138</v>
      </c>
      <c r="X2104" s="14" t="s">
        <v>138</v>
      </c>
      <c r="Y2104" s="0" t="s">
        <v>138</v>
      </c>
      <c r="Z2104" s="14" t="s">
        <v>138</v>
      </c>
      <c r="AA2104" s="0" t="s">
        <v>138</v>
      </c>
      <c r="AB2104" s="14" t="s">
        <v>138</v>
      </c>
      <c r="AD2104" s="0" t="s">
        <v>138</v>
      </c>
      <c r="AF2104" s="0">
        <v>0</v>
      </c>
      <c r="AG2104" s="0">
        <v>0</v>
      </c>
      <c r="AH2104" s="0" t="s">
        <v>140</v>
      </c>
      <c r="AI2104" s="0" t="s">
        <v>138</v>
      </c>
      <c r="AL2104" s="14"/>
      <c r="AN2104" s="14"/>
      <c r="AQ2104" s="0" t="s">
        <v>130</v>
      </c>
      <c r="AR2104" s="0" t="s">
        <v>130</v>
      </c>
      <c r="AS2104" s="0" t="s">
        <v>130</v>
      </c>
      <c r="AT2104" s="0" t="s">
        <v>130</v>
      </c>
      <c r="AU2104" s="0" t="s">
        <v>130</v>
      </c>
      <c r="AV2104" s="0" t="s">
        <v>130</v>
      </c>
      <c r="AW2104" s="0" t="s">
        <v>130</v>
      </c>
      <c r="AX2104" s="0" t="s">
        <v>141</v>
      </c>
      <c r="AY2104" s="0" t="s">
        <v>130</v>
      </c>
      <c r="AZ2104" s="0" t="s">
        <v>130</v>
      </c>
      <c r="BA2104" s="0" t="s">
        <v>130</v>
      </c>
      <c r="BB2104" s="0" t="s">
        <v>130</v>
      </c>
      <c r="BC2104" s="0" t="s">
        <v>130</v>
      </c>
      <c r="BD2104" s="0" t="s">
        <v>130</v>
      </c>
      <c r="BE2104" s="0" t="s">
        <v>130</v>
      </c>
      <c r="BF2104" s="0" t="s">
        <v>130</v>
      </c>
      <c r="BG2104" s="0" t="s">
        <v>130</v>
      </c>
      <c r="BH2104" s="0" t="s">
        <v>130</v>
      </c>
      <c r="BI2104" s="0" t="s">
        <v>130</v>
      </c>
      <c r="BJ2104" s="0" t="s">
        <v>130</v>
      </c>
      <c r="BK2104" s="0" t="s">
        <v>130</v>
      </c>
      <c r="BL2104" s="0" t="s">
        <v>130</v>
      </c>
      <c r="BM2104" s="0" t="s">
        <v>130</v>
      </c>
      <c r="BN2104" s="0" t="s">
        <v>130</v>
      </c>
      <c r="BO2104" s="0" t="s">
        <v>130</v>
      </c>
      <c r="BP2104" s="0" t="s">
        <v>130</v>
      </c>
      <c r="BQ2104" s="0" t="s">
        <v>130</v>
      </c>
      <c r="BR2104" s="0" t="s">
        <v>130</v>
      </c>
      <c r="BS2104" s="0" t="s">
        <v>130</v>
      </c>
      <c r="BT2104" s="0" t="s">
        <v>130</v>
      </c>
      <c r="BU2104" s="0" t="s">
        <v>130</v>
      </c>
      <c r="BV2104" s="0" t="s">
        <v>130</v>
      </c>
      <c r="BW2104" s="0" t="s">
        <v>130</v>
      </c>
      <c r="BX2104" s="0" t="s">
        <v>130</v>
      </c>
      <c r="BY2104" s="0" t="s">
        <v>130</v>
      </c>
      <c r="BZ2104" s="0" t="s">
        <v>130</v>
      </c>
      <c r="CA2104" s="0" t="s">
        <v>130</v>
      </c>
      <c r="CB2104" s="0" t="s">
        <v>130</v>
      </c>
      <c r="CC2104" s="0" t="s">
        <v>130</v>
      </c>
      <c r="CD2104" s="0" t="s">
        <v>130</v>
      </c>
      <c r="CE2104" s="0" t="s">
        <v>130</v>
      </c>
      <c r="CF2104" s="0" t="s">
        <v>130</v>
      </c>
      <c r="CG2104" s="0" t="s">
        <v>130</v>
      </c>
      <c r="CH2104" s="0" t="s">
        <v>130</v>
      </c>
      <c r="CI2104" s="0" t="s">
        <v>130</v>
      </c>
      <c r="CJ2104" s="0" t="s">
        <v>130</v>
      </c>
      <c r="CK2104" s="0" t="s">
        <v>130</v>
      </c>
      <c r="CL2104" s="0" t="s">
        <v>130</v>
      </c>
      <c r="CM2104" s="0" t="s">
        <v>130</v>
      </c>
      <c r="CN2104" s="0" t="s">
        <v>130</v>
      </c>
      <c r="CO2104" s="0" t="s">
        <v>130</v>
      </c>
      <c r="CP2104" s="0" t="s">
        <v>130</v>
      </c>
      <c r="CQ2104" s="0" t="s">
        <v>130</v>
      </c>
      <c r="CR2104" s="0" t="s">
        <v>130</v>
      </c>
      <c r="CS2104" s="0" t="s">
        <v>130</v>
      </c>
      <c r="CT2104" s="0" t="s">
        <v>5849</v>
      </c>
    </row>
    <row r="2105">
      <c r="A2105" s="14">
        <v>180001</v>
      </c>
      <c r="B2105" s="0" t="s">
        <v>3137</v>
      </c>
      <c r="C2105" s="16">
        <f>HYPERLINK("https://eosportal.federatedhermes.com/companies/Q29tcGFueQppNzcwNDM=", "adidas AG")</f>
      </c>
      <c r="D2105" s="0" t="s">
        <v>25</v>
      </c>
      <c r="E2105" s="0" t="s">
        <v>5850</v>
      </c>
      <c r="F2105" s="16">
        <f>HYPERLINK("https://eosportal.federatedhermes.com/engagements/RW5nYWdlbWVudAppMzI0NjE=", "Gender balance of management")</f>
      </c>
      <c r="G2105" s="14" t="s">
        <v>5851</v>
      </c>
      <c r="H2105" s="0" t="s">
        <v>141</v>
      </c>
      <c r="I2105" s="14" t="s">
        <v>191</v>
      </c>
      <c r="J2105" s="0" t="s">
        <v>153</v>
      </c>
      <c r="K2105" s="0" t="s">
        <v>154</v>
      </c>
      <c r="L2105" s="0" t="s">
        <v>268</v>
      </c>
      <c r="M2105" s="0" t="s">
        <v>378</v>
      </c>
      <c r="N2105" s="0" t="s">
        <v>2485</v>
      </c>
      <c r="O2105" s="0" t="s">
        <v>332</v>
      </c>
      <c r="Q2105" s="0" t="s">
        <v>130</v>
      </c>
      <c r="R2105" s="0" t="s">
        <v>138</v>
      </c>
      <c r="S2105" s="14">
        <v>0</v>
      </c>
      <c r="T2105" s="0" t="s">
        <v>478</v>
      </c>
      <c r="U2105" s="0" t="s">
        <v>138</v>
      </c>
      <c r="V2105" s="14" t="s">
        <v>138</v>
      </c>
      <c r="W2105" s="0" t="s">
        <v>138</v>
      </c>
      <c r="X2105" s="14" t="s">
        <v>138</v>
      </c>
      <c r="Y2105" s="0" t="s">
        <v>138</v>
      </c>
      <c r="Z2105" s="14" t="s">
        <v>138</v>
      </c>
      <c r="AA2105" s="0" t="s">
        <v>138</v>
      </c>
      <c r="AB2105" s="14" t="s">
        <v>138</v>
      </c>
      <c r="AD2105" s="0" t="s">
        <v>138</v>
      </c>
      <c r="AF2105" s="0">
        <v>0</v>
      </c>
      <c r="AG2105" s="0">
        <v>0</v>
      </c>
      <c r="AH2105" s="0" t="s">
        <v>140</v>
      </c>
      <c r="AI2105" s="0" t="s">
        <v>138</v>
      </c>
      <c r="AL2105" s="14"/>
      <c r="AN2105" s="14"/>
      <c r="AQ2105" s="0" t="s">
        <v>130</v>
      </c>
      <c r="AR2105" s="0" t="s">
        <v>130</v>
      </c>
      <c r="AS2105" s="0" t="s">
        <v>130</v>
      </c>
      <c r="AT2105" s="0" t="s">
        <v>130</v>
      </c>
      <c r="AU2105" s="0" t="s">
        <v>141</v>
      </c>
      <c r="AV2105" s="0" t="s">
        <v>130</v>
      </c>
      <c r="AW2105" s="0" t="s">
        <v>130</v>
      </c>
      <c r="AX2105" s="0" t="s">
        <v>130</v>
      </c>
      <c r="AY2105" s="0" t="s">
        <v>130</v>
      </c>
      <c r="AZ2105" s="0" t="s">
        <v>130</v>
      </c>
      <c r="BA2105" s="0" t="s">
        <v>130</v>
      </c>
      <c r="BB2105" s="0" t="s">
        <v>130</v>
      </c>
      <c r="BC2105" s="0" t="s">
        <v>130</v>
      </c>
      <c r="BD2105" s="0" t="s">
        <v>130</v>
      </c>
      <c r="BE2105" s="0" t="s">
        <v>130</v>
      </c>
      <c r="BF2105" s="0" t="s">
        <v>130</v>
      </c>
      <c r="BG2105" s="0" t="s">
        <v>130</v>
      </c>
      <c r="BH2105" s="0" t="s">
        <v>130</v>
      </c>
      <c r="BI2105" s="0" t="s">
        <v>130</v>
      </c>
      <c r="BJ2105" s="0" t="s">
        <v>130</v>
      </c>
      <c r="BK2105" s="0" t="s">
        <v>130</v>
      </c>
      <c r="BL2105" s="0" t="s">
        <v>130</v>
      </c>
      <c r="BM2105" s="0" t="s">
        <v>130</v>
      </c>
      <c r="BN2105" s="0" t="s">
        <v>130</v>
      </c>
      <c r="BO2105" s="0" t="s">
        <v>130</v>
      </c>
      <c r="BP2105" s="0" t="s">
        <v>130</v>
      </c>
      <c r="BQ2105" s="0" t="s">
        <v>130</v>
      </c>
      <c r="BR2105" s="0" t="s">
        <v>130</v>
      </c>
      <c r="BS2105" s="0" t="s">
        <v>130</v>
      </c>
      <c r="BT2105" s="0" t="s">
        <v>130</v>
      </c>
      <c r="BU2105" s="0" t="s">
        <v>130</v>
      </c>
      <c r="BV2105" s="0" t="s">
        <v>130</v>
      </c>
      <c r="BW2105" s="0" t="s">
        <v>130</v>
      </c>
      <c r="BX2105" s="0" t="s">
        <v>130</v>
      </c>
      <c r="BY2105" s="0" t="s">
        <v>130</v>
      </c>
      <c r="BZ2105" s="0" t="s">
        <v>130</v>
      </c>
      <c r="CA2105" s="0" t="s">
        <v>130</v>
      </c>
      <c r="CB2105" s="0" t="s">
        <v>130</v>
      </c>
      <c r="CC2105" s="0" t="s">
        <v>130</v>
      </c>
      <c r="CD2105" s="0" t="s">
        <v>130</v>
      </c>
      <c r="CE2105" s="0" t="s">
        <v>130</v>
      </c>
      <c r="CF2105" s="0" t="s">
        <v>130</v>
      </c>
      <c r="CG2105" s="0" t="s">
        <v>130</v>
      </c>
      <c r="CH2105" s="0" t="s">
        <v>130</v>
      </c>
      <c r="CI2105" s="0" t="s">
        <v>130</v>
      </c>
      <c r="CJ2105" s="0" t="s">
        <v>130</v>
      </c>
      <c r="CK2105" s="0" t="s">
        <v>141</v>
      </c>
      <c r="CL2105" s="0" t="s">
        <v>130</v>
      </c>
      <c r="CM2105" s="0" t="s">
        <v>130</v>
      </c>
      <c r="CN2105" s="0" t="s">
        <v>130</v>
      </c>
      <c r="CO2105" s="0" t="s">
        <v>130</v>
      </c>
      <c r="CP2105" s="0" t="s">
        <v>130</v>
      </c>
      <c r="CQ2105" s="0" t="s">
        <v>130</v>
      </c>
      <c r="CR2105" s="0" t="s">
        <v>130</v>
      </c>
      <c r="CS2105" s="0" t="s">
        <v>130</v>
      </c>
      <c r="CT2105" s="0" t="s">
        <v>5852</v>
      </c>
    </row>
    <row r="2106">
      <c r="A2106" s="14">
        <v>114991</v>
      </c>
      <c r="B2106" s="0" t="s">
        <v>2172</v>
      </c>
      <c r="C2106" s="16">
        <f>HYPERLINK("https://eosportal.federatedhermes.com/companies/Q29tcGFueQppNTg5NDc=", "Tokyo Electric Power Co Holdings Inc")</f>
      </c>
      <c r="D2106" s="0" t="s">
        <v>23</v>
      </c>
      <c r="E2106" s="0" t="s">
        <v>5853</v>
      </c>
      <c r="F2106" s="16">
        <f>HYPERLINK("https://eosportal.federatedhermes.com/engagements/RW5nYWdlbWVudAppMzI0Njk=", "Controversy linked to UNGC Principle 1: Human Rights")</f>
      </c>
      <c r="G2106" s="14" t="s">
        <v>5854</v>
      </c>
      <c r="H2106" s="0" t="s">
        <v>141</v>
      </c>
      <c r="I2106" s="14" t="s">
        <v>636</v>
      </c>
      <c r="J2106" s="0" t="s">
        <v>153</v>
      </c>
      <c r="K2106" s="0" t="s">
        <v>243</v>
      </c>
      <c r="L2106" s="0" t="s">
        <v>571</v>
      </c>
      <c r="M2106" s="0" t="s">
        <v>802</v>
      </c>
      <c r="N2106" s="0" t="s">
        <v>952</v>
      </c>
      <c r="O2106" s="0" t="s">
        <v>192</v>
      </c>
      <c r="Q2106" s="0" t="s">
        <v>141</v>
      </c>
      <c r="R2106" s="0" t="s">
        <v>130</v>
      </c>
      <c r="S2106" s="14">
        <v>1</v>
      </c>
      <c r="T2106" s="0" t="s">
        <v>293</v>
      </c>
      <c r="U2106" s="0" t="s">
        <v>221</v>
      </c>
      <c r="V2106" s="14" t="s">
        <v>293</v>
      </c>
      <c r="W2106" s="0" t="s">
        <v>221</v>
      </c>
      <c r="X2106" s="14" t="s">
        <v>278</v>
      </c>
      <c r="Y2106" s="0" t="s">
        <v>223</v>
      </c>
      <c r="Z2106" s="14" t="s">
        <v>138</v>
      </c>
      <c r="AA2106" s="0" t="s">
        <v>224</v>
      </c>
      <c r="AB2106" s="14" t="s">
        <v>138</v>
      </c>
      <c r="AD2106" s="0" t="s">
        <v>17</v>
      </c>
      <c r="AF2106" s="0">
        <v>0</v>
      </c>
      <c r="AG2106" s="0">
        <v>0</v>
      </c>
      <c r="AH2106" s="0" t="s">
        <v>140</v>
      </c>
      <c r="AI2106" s="0" t="s">
        <v>598</v>
      </c>
      <c r="AK2106" s="0" t="s">
        <v>339</v>
      </c>
      <c r="AL2106" s="14"/>
      <c r="AN2106" s="14"/>
      <c r="AQ2106" s="0" t="s">
        <v>130</v>
      </c>
      <c r="AR2106" s="0" t="s">
        <v>130</v>
      </c>
      <c r="AS2106" s="0" t="s">
        <v>130</v>
      </c>
      <c r="AT2106" s="0" t="s">
        <v>130</v>
      </c>
      <c r="AU2106" s="0" t="s">
        <v>130</v>
      </c>
      <c r="AV2106" s="0" t="s">
        <v>141</v>
      </c>
      <c r="AW2106" s="0" t="s">
        <v>130</v>
      </c>
      <c r="AX2106" s="0" t="s">
        <v>130</v>
      </c>
      <c r="AY2106" s="0" t="s">
        <v>130</v>
      </c>
      <c r="AZ2106" s="0" t="s">
        <v>130</v>
      </c>
      <c r="BA2106" s="0" t="s">
        <v>130</v>
      </c>
      <c r="BB2106" s="0" t="s">
        <v>130</v>
      </c>
      <c r="BC2106" s="0" t="s">
        <v>130</v>
      </c>
      <c r="BD2106" s="0" t="s">
        <v>130</v>
      </c>
      <c r="BE2106" s="0" t="s">
        <v>130</v>
      </c>
      <c r="BF2106" s="0" t="s">
        <v>141</v>
      </c>
      <c r="BG2106" s="0" t="s">
        <v>130</v>
      </c>
      <c r="BH2106" s="0" t="s">
        <v>130</v>
      </c>
      <c r="BI2106" s="0" t="s">
        <v>130</v>
      </c>
      <c r="BJ2106" s="0" t="s">
        <v>130</v>
      </c>
      <c r="BK2106" s="0" t="s">
        <v>130</v>
      </c>
      <c r="BL2106" s="0" t="s">
        <v>130</v>
      </c>
      <c r="BM2106" s="0" t="s">
        <v>130</v>
      </c>
      <c r="BN2106" s="0" t="s">
        <v>130</v>
      </c>
      <c r="BO2106" s="0" t="s">
        <v>130</v>
      </c>
      <c r="BP2106" s="0" t="s">
        <v>141</v>
      </c>
      <c r="BQ2106" s="0" t="s">
        <v>130</v>
      </c>
      <c r="BR2106" s="0" t="s">
        <v>130</v>
      </c>
      <c r="BS2106" s="0" t="s">
        <v>130</v>
      </c>
      <c r="BT2106" s="0" t="s">
        <v>130</v>
      </c>
      <c r="BU2106" s="0" t="s">
        <v>130</v>
      </c>
      <c r="BV2106" s="0" t="s">
        <v>130</v>
      </c>
      <c r="BW2106" s="0" t="s">
        <v>130</v>
      </c>
      <c r="BX2106" s="0" t="s">
        <v>130</v>
      </c>
      <c r="BY2106" s="0" t="s">
        <v>130</v>
      </c>
      <c r="BZ2106" s="0" t="s">
        <v>130</v>
      </c>
      <c r="CA2106" s="0" t="s">
        <v>130</v>
      </c>
      <c r="CB2106" s="0" t="s">
        <v>130</v>
      </c>
      <c r="CC2106" s="0" t="s">
        <v>130</v>
      </c>
      <c r="CD2106" s="0" t="s">
        <v>130</v>
      </c>
      <c r="CE2106" s="0" t="s">
        <v>130</v>
      </c>
      <c r="CF2106" s="0" t="s">
        <v>130</v>
      </c>
      <c r="CG2106" s="0" t="s">
        <v>130</v>
      </c>
      <c r="CH2106" s="0" t="s">
        <v>130</v>
      </c>
      <c r="CI2106" s="0" t="s">
        <v>130</v>
      </c>
      <c r="CJ2106" s="0" t="s">
        <v>130</v>
      </c>
      <c r="CK2106" s="0" t="s">
        <v>130</v>
      </c>
      <c r="CL2106" s="0" t="s">
        <v>130</v>
      </c>
      <c r="CM2106" s="0" t="s">
        <v>130</v>
      </c>
      <c r="CN2106" s="0" t="s">
        <v>130</v>
      </c>
      <c r="CO2106" s="0" t="s">
        <v>130</v>
      </c>
      <c r="CP2106" s="0" t="s">
        <v>130</v>
      </c>
      <c r="CQ2106" s="0" t="s">
        <v>130</v>
      </c>
      <c r="CR2106" s="0" t="s">
        <v>130</v>
      </c>
      <c r="CS2106" s="0" t="s">
        <v>130</v>
      </c>
      <c r="CT2106" s="0" t="s">
        <v>5855</v>
      </c>
    </row>
    <row r="2107">
      <c r="A2107" s="14">
        <v>9010165</v>
      </c>
      <c r="B2107" s="0" t="s">
        <v>3957</v>
      </c>
      <c r="C2107" s="16">
        <f>HYPERLINK("https://eosportal.federatedhermes.com/companies/Q29tcGFueQppNTg5NDg=", "Baidu Inc")</f>
      </c>
      <c r="D2107" s="0" t="s">
        <v>23</v>
      </c>
      <c r="E2107" s="0" t="s">
        <v>5856</v>
      </c>
      <c r="F2107" s="16">
        <f>HYPERLINK("https://eosportal.federatedhermes.com/engagements/RW5nYWdlbWVudAppMzI0NzA=", "Controversy linked to UNGC Principle 2: Complicit in human rights abuses")</f>
      </c>
      <c r="G2107" s="14" t="s">
        <v>5857</v>
      </c>
      <c r="H2107" s="0" t="s">
        <v>141</v>
      </c>
      <c r="I2107" s="14" t="s">
        <v>131</v>
      </c>
      <c r="J2107" s="0" t="s">
        <v>153</v>
      </c>
      <c r="K2107" s="0" t="s">
        <v>243</v>
      </c>
      <c r="L2107" s="0" t="s">
        <v>537</v>
      </c>
      <c r="M2107" s="0" t="s">
        <v>2807</v>
      </c>
      <c r="N2107" s="0" t="s">
        <v>3272</v>
      </c>
      <c r="O2107" s="0" t="s">
        <v>137</v>
      </c>
      <c r="Q2107" s="0" t="s">
        <v>141</v>
      </c>
      <c r="R2107" s="0" t="s">
        <v>130</v>
      </c>
      <c r="S2107" s="14">
        <v>1</v>
      </c>
      <c r="T2107" s="0" t="s">
        <v>2629</v>
      </c>
      <c r="U2107" s="0" t="s">
        <v>221</v>
      </c>
      <c r="V2107" s="14" t="s">
        <v>2629</v>
      </c>
      <c r="W2107" s="0" t="s">
        <v>223</v>
      </c>
      <c r="X2107" s="14" t="s">
        <v>138</v>
      </c>
      <c r="Y2107" s="0" t="s">
        <v>224</v>
      </c>
      <c r="Z2107" s="14" t="s">
        <v>138</v>
      </c>
      <c r="AA2107" s="0" t="s">
        <v>224</v>
      </c>
      <c r="AB2107" s="14" t="s">
        <v>138</v>
      </c>
      <c r="AD2107" s="0" t="s">
        <v>14</v>
      </c>
      <c r="AF2107" s="0">
        <v>0</v>
      </c>
      <c r="AG2107" s="0">
        <v>0</v>
      </c>
      <c r="AH2107" s="0" t="s">
        <v>140</v>
      </c>
      <c r="AI2107" s="0" t="s">
        <v>232</v>
      </c>
      <c r="AK2107" s="0" t="s">
        <v>584</v>
      </c>
      <c r="AL2107" s="14"/>
      <c r="AN2107" s="14"/>
      <c r="AQ2107" s="0" t="s">
        <v>130</v>
      </c>
      <c r="AR2107" s="0" t="s">
        <v>130</v>
      </c>
      <c r="AS2107" s="0" t="s">
        <v>130</v>
      </c>
      <c r="AT2107" s="0" t="s">
        <v>130</v>
      </c>
      <c r="AU2107" s="0" t="s">
        <v>130</v>
      </c>
      <c r="AV2107" s="0" t="s">
        <v>130</v>
      </c>
      <c r="AW2107" s="0" t="s">
        <v>130</v>
      </c>
      <c r="AX2107" s="0" t="s">
        <v>130</v>
      </c>
      <c r="AY2107" s="0" t="s">
        <v>130</v>
      </c>
      <c r="AZ2107" s="0" t="s">
        <v>130</v>
      </c>
      <c r="BA2107" s="0" t="s">
        <v>130</v>
      </c>
      <c r="BB2107" s="0" t="s">
        <v>130</v>
      </c>
      <c r="BC2107" s="0" t="s">
        <v>130</v>
      </c>
      <c r="BD2107" s="0" t="s">
        <v>130</v>
      </c>
      <c r="BE2107" s="0" t="s">
        <v>130</v>
      </c>
      <c r="BF2107" s="0" t="s">
        <v>141</v>
      </c>
      <c r="BG2107" s="0" t="s">
        <v>130</v>
      </c>
      <c r="BH2107" s="0" t="s">
        <v>130</v>
      </c>
      <c r="BI2107" s="0" t="s">
        <v>130</v>
      </c>
      <c r="BJ2107" s="0" t="s">
        <v>130</v>
      </c>
      <c r="BK2107" s="0" t="s">
        <v>130</v>
      </c>
      <c r="BL2107" s="0" t="s">
        <v>130</v>
      </c>
      <c r="BM2107" s="0" t="s">
        <v>130</v>
      </c>
      <c r="BN2107" s="0" t="s">
        <v>130</v>
      </c>
      <c r="BO2107" s="0" t="s">
        <v>130</v>
      </c>
      <c r="BP2107" s="0" t="s">
        <v>141</v>
      </c>
      <c r="BQ2107" s="0" t="s">
        <v>130</v>
      </c>
      <c r="BR2107" s="0" t="s">
        <v>130</v>
      </c>
      <c r="BS2107" s="0" t="s">
        <v>130</v>
      </c>
      <c r="BT2107" s="0" t="s">
        <v>130</v>
      </c>
      <c r="BU2107" s="0" t="s">
        <v>130</v>
      </c>
      <c r="BV2107" s="0" t="s">
        <v>130</v>
      </c>
      <c r="BW2107" s="0" t="s">
        <v>130</v>
      </c>
      <c r="BX2107" s="0" t="s">
        <v>130</v>
      </c>
      <c r="BY2107" s="0" t="s">
        <v>130</v>
      </c>
      <c r="BZ2107" s="0" t="s">
        <v>130</v>
      </c>
      <c r="CA2107" s="0" t="s">
        <v>130</v>
      </c>
      <c r="CB2107" s="0" t="s">
        <v>130</v>
      </c>
      <c r="CC2107" s="0" t="s">
        <v>130</v>
      </c>
      <c r="CD2107" s="0" t="s">
        <v>130</v>
      </c>
      <c r="CE2107" s="0" t="s">
        <v>130</v>
      </c>
      <c r="CF2107" s="0" t="s">
        <v>130</v>
      </c>
      <c r="CG2107" s="0" t="s">
        <v>130</v>
      </c>
      <c r="CH2107" s="0" t="s">
        <v>130</v>
      </c>
      <c r="CI2107" s="0" t="s">
        <v>130</v>
      </c>
      <c r="CJ2107" s="0" t="s">
        <v>130</v>
      </c>
      <c r="CK2107" s="0" t="s">
        <v>130</v>
      </c>
      <c r="CL2107" s="0" t="s">
        <v>130</v>
      </c>
      <c r="CM2107" s="0" t="s">
        <v>130</v>
      </c>
      <c r="CN2107" s="0" t="s">
        <v>130</v>
      </c>
      <c r="CO2107" s="0" t="s">
        <v>130</v>
      </c>
      <c r="CP2107" s="0" t="s">
        <v>130</v>
      </c>
      <c r="CQ2107" s="0" t="s">
        <v>130</v>
      </c>
      <c r="CR2107" s="0" t="s">
        <v>130</v>
      </c>
      <c r="CS2107" s="0" t="s">
        <v>130</v>
      </c>
      <c r="CT2107" s="0" t="s">
        <v>5858</v>
      </c>
    </row>
    <row r="2108">
      <c r="A2108" s="14">
        <v>16632863</v>
      </c>
      <c r="B2108" s="0" t="s">
        <v>4220</v>
      </c>
      <c r="C2108" s="16">
        <f>HYPERLINK("https://eosportal.federatedhermes.com/companies/Q29tcGFueQppNDQ5NjA=", "General Motors Co")</f>
      </c>
      <c r="D2108" s="0" t="s">
        <v>25</v>
      </c>
      <c r="E2108" s="0" t="s">
        <v>5859</v>
      </c>
      <c r="F2108" s="16">
        <f>HYPERLINK("https://eosportal.federatedhermes.com/engagements/RW5nYWdlbWVudAppMzI0NzY=", "Controversy linked to General OECD Issue - Quality and Safety")</f>
      </c>
      <c r="G2108" s="14" t="s">
        <v>5860</v>
      </c>
      <c r="H2108" s="0" t="s">
        <v>141</v>
      </c>
      <c r="I2108" s="14" t="s">
        <v>191</v>
      </c>
      <c r="J2108" s="0" t="s">
        <v>153</v>
      </c>
      <c r="K2108" s="0" t="s">
        <v>185</v>
      </c>
      <c r="L2108" s="0" t="s">
        <v>626</v>
      </c>
      <c r="M2108" s="0" t="s">
        <v>135</v>
      </c>
      <c r="N2108" s="0" t="s">
        <v>136</v>
      </c>
      <c r="O2108" s="0" t="s">
        <v>425</v>
      </c>
      <c r="Q2108" s="0" t="s">
        <v>141</v>
      </c>
      <c r="R2108" s="0" t="s">
        <v>138</v>
      </c>
      <c r="S2108" s="14">
        <v>1</v>
      </c>
      <c r="T2108" s="0" t="s">
        <v>314</v>
      </c>
      <c r="U2108" s="0" t="s">
        <v>138</v>
      </c>
      <c r="V2108" s="14" t="s">
        <v>138</v>
      </c>
      <c r="W2108" s="0" t="s">
        <v>138</v>
      </c>
      <c r="X2108" s="14" t="s">
        <v>138</v>
      </c>
      <c r="Y2108" s="0" t="s">
        <v>138</v>
      </c>
      <c r="Z2108" s="14" t="s">
        <v>138</v>
      </c>
      <c r="AA2108" s="0" t="s">
        <v>138</v>
      </c>
      <c r="AB2108" s="14" t="s">
        <v>138</v>
      </c>
      <c r="AD2108" s="0" t="s">
        <v>138</v>
      </c>
      <c r="AF2108" s="0">
        <v>0</v>
      </c>
      <c r="AG2108" s="0">
        <v>0</v>
      </c>
      <c r="AH2108" s="0" t="s">
        <v>140</v>
      </c>
      <c r="AI2108" s="0" t="s">
        <v>138</v>
      </c>
      <c r="AK2108" s="0" t="s">
        <v>3145</v>
      </c>
      <c r="AL2108" s="14"/>
      <c r="AN2108" s="14"/>
      <c r="AQ2108" s="0" t="s">
        <v>130</v>
      </c>
      <c r="AR2108" s="0" t="s">
        <v>130</v>
      </c>
      <c r="AS2108" s="0" t="s">
        <v>130</v>
      </c>
      <c r="AT2108" s="0" t="s">
        <v>130</v>
      </c>
      <c r="AU2108" s="0" t="s">
        <v>130</v>
      </c>
      <c r="AV2108" s="0" t="s">
        <v>130</v>
      </c>
      <c r="AW2108" s="0" t="s">
        <v>130</v>
      </c>
      <c r="AX2108" s="0" t="s">
        <v>130</v>
      </c>
      <c r="AY2108" s="0" t="s">
        <v>130</v>
      </c>
      <c r="AZ2108" s="0" t="s">
        <v>130</v>
      </c>
      <c r="BA2108" s="0" t="s">
        <v>130</v>
      </c>
      <c r="BB2108" s="0" t="s">
        <v>130</v>
      </c>
      <c r="BC2108" s="0" t="s">
        <v>130</v>
      </c>
      <c r="BD2108" s="0" t="s">
        <v>130</v>
      </c>
      <c r="BE2108" s="0" t="s">
        <v>130</v>
      </c>
      <c r="BF2108" s="0" t="s">
        <v>130</v>
      </c>
      <c r="BG2108" s="0" t="s">
        <v>130</v>
      </c>
      <c r="BH2108" s="0" t="s">
        <v>130</v>
      </c>
      <c r="BI2108" s="0" t="s">
        <v>130</v>
      </c>
      <c r="BJ2108" s="0" t="s">
        <v>130</v>
      </c>
      <c r="BK2108" s="0" t="s">
        <v>130</v>
      </c>
      <c r="BL2108" s="0" t="s">
        <v>130</v>
      </c>
      <c r="BM2108" s="0" t="s">
        <v>130</v>
      </c>
      <c r="BN2108" s="0" t="s">
        <v>130</v>
      </c>
      <c r="BO2108" s="0" t="s">
        <v>130</v>
      </c>
      <c r="BP2108" s="0" t="s">
        <v>141</v>
      </c>
      <c r="BQ2108" s="0" t="s">
        <v>130</v>
      </c>
      <c r="BR2108" s="0" t="s">
        <v>130</v>
      </c>
      <c r="BS2108" s="0" t="s">
        <v>130</v>
      </c>
      <c r="BT2108" s="0" t="s">
        <v>130</v>
      </c>
      <c r="BU2108" s="0" t="s">
        <v>130</v>
      </c>
      <c r="BV2108" s="0" t="s">
        <v>130</v>
      </c>
      <c r="BW2108" s="0" t="s">
        <v>130</v>
      </c>
      <c r="BX2108" s="0" t="s">
        <v>130</v>
      </c>
      <c r="BY2108" s="0" t="s">
        <v>130</v>
      </c>
      <c r="BZ2108" s="0" t="s">
        <v>130</v>
      </c>
      <c r="CA2108" s="0" t="s">
        <v>130</v>
      </c>
      <c r="CB2108" s="0" t="s">
        <v>130</v>
      </c>
      <c r="CC2108" s="0" t="s">
        <v>130</v>
      </c>
      <c r="CD2108" s="0" t="s">
        <v>130</v>
      </c>
      <c r="CE2108" s="0" t="s">
        <v>130</v>
      </c>
      <c r="CF2108" s="0" t="s">
        <v>130</v>
      </c>
      <c r="CG2108" s="0" t="s">
        <v>130</v>
      </c>
      <c r="CH2108" s="0" t="s">
        <v>130</v>
      </c>
      <c r="CI2108" s="0" t="s">
        <v>130</v>
      </c>
      <c r="CJ2108" s="0" t="s">
        <v>130</v>
      </c>
      <c r="CK2108" s="0" t="s">
        <v>130</v>
      </c>
      <c r="CL2108" s="0" t="s">
        <v>130</v>
      </c>
      <c r="CM2108" s="0" t="s">
        <v>130</v>
      </c>
      <c r="CN2108" s="0" t="s">
        <v>130</v>
      </c>
      <c r="CO2108" s="0" t="s">
        <v>130</v>
      </c>
      <c r="CP2108" s="0" t="s">
        <v>130</v>
      </c>
      <c r="CQ2108" s="0" t="s">
        <v>130</v>
      </c>
      <c r="CR2108" s="0" t="s">
        <v>130</v>
      </c>
      <c r="CS2108" s="0" t="s">
        <v>130</v>
      </c>
      <c r="CT2108" s="0" t="s">
        <v>5861</v>
      </c>
    </row>
    <row r="2109">
      <c r="A2109" s="14">
        <v>115114</v>
      </c>
      <c r="B2109" s="0" t="s">
        <v>2319</v>
      </c>
      <c r="C2109" s="16">
        <f>HYPERLINK("https://eosportal.federatedhermes.com/companies/Q29tcGFueQppNTU3NDE=", "Toyota Motor Corp")</f>
      </c>
      <c r="D2109" s="0" t="s">
        <v>25</v>
      </c>
      <c r="E2109" s="0" t="s">
        <v>5862</v>
      </c>
      <c r="F2109" s="16">
        <f>HYPERLINK("https://eosportal.federatedhermes.com/engagements/RW5nYWdlbWVudAppMzI0ODA=", "Climate Change Lobbying Practices and Disclosure")</f>
      </c>
      <c r="G2109" s="14" t="s">
        <v>5863</v>
      </c>
      <c r="H2109" s="0" t="s">
        <v>141</v>
      </c>
      <c r="I2109" s="14" t="s">
        <v>1645</v>
      </c>
      <c r="J2109" s="0" t="s">
        <v>197</v>
      </c>
      <c r="K2109" s="0" t="s">
        <v>198</v>
      </c>
      <c r="L2109" s="0" t="s">
        <v>199</v>
      </c>
      <c r="M2109" s="0" t="s">
        <v>802</v>
      </c>
      <c r="N2109" s="0" t="s">
        <v>952</v>
      </c>
      <c r="O2109" s="0" t="s">
        <v>425</v>
      </c>
      <c r="Q2109" s="0" t="s">
        <v>141</v>
      </c>
      <c r="R2109" s="0" t="s">
        <v>138</v>
      </c>
      <c r="S2109" s="14">
        <v>1</v>
      </c>
      <c r="T2109" s="0" t="s">
        <v>478</v>
      </c>
      <c r="U2109" s="0" t="s">
        <v>138</v>
      </c>
      <c r="V2109" s="14" t="s">
        <v>138</v>
      </c>
      <c r="W2109" s="0" t="s">
        <v>138</v>
      </c>
      <c r="X2109" s="14" t="s">
        <v>138</v>
      </c>
      <c r="Y2109" s="0" t="s">
        <v>138</v>
      </c>
      <c r="Z2109" s="14" t="s">
        <v>138</v>
      </c>
      <c r="AA2109" s="0" t="s">
        <v>138</v>
      </c>
      <c r="AB2109" s="14" t="s">
        <v>138</v>
      </c>
      <c r="AD2109" s="0" t="s">
        <v>138</v>
      </c>
      <c r="AF2109" s="0">
        <v>0</v>
      </c>
      <c r="AG2109" s="0">
        <v>0</v>
      </c>
      <c r="AH2109" s="0" t="s">
        <v>140</v>
      </c>
      <c r="AI2109" s="0" t="s">
        <v>138</v>
      </c>
      <c r="AK2109" s="0" t="s">
        <v>2330</v>
      </c>
      <c r="AL2109" s="14"/>
      <c r="AN2109" s="14"/>
      <c r="AQ2109" s="0" t="s">
        <v>130</v>
      </c>
      <c r="AR2109" s="0" t="s">
        <v>130</v>
      </c>
      <c r="AS2109" s="0" t="s">
        <v>130</v>
      </c>
      <c r="AT2109" s="0" t="s">
        <v>130</v>
      </c>
      <c r="AU2109" s="0" t="s">
        <v>130</v>
      </c>
      <c r="AV2109" s="0" t="s">
        <v>130</v>
      </c>
      <c r="AW2109" s="0" t="s">
        <v>130</v>
      </c>
      <c r="AX2109" s="0" t="s">
        <v>130</v>
      </c>
      <c r="AY2109" s="0" t="s">
        <v>130</v>
      </c>
      <c r="AZ2109" s="0" t="s">
        <v>130</v>
      </c>
      <c r="BA2109" s="0" t="s">
        <v>130</v>
      </c>
      <c r="BB2109" s="0" t="s">
        <v>141</v>
      </c>
      <c r="BC2109" s="0" t="s">
        <v>141</v>
      </c>
      <c r="BD2109" s="0" t="s">
        <v>130</v>
      </c>
      <c r="BE2109" s="0" t="s">
        <v>130</v>
      </c>
      <c r="BF2109" s="0" t="s">
        <v>130</v>
      </c>
      <c r="BG2109" s="0" t="s">
        <v>130</v>
      </c>
      <c r="BH2109" s="0" t="s">
        <v>130</v>
      </c>
      <c r="BI2109" s="0" t="s">
        <v>130</v>
      </c>
      <c r="BJ2109" s="0" t="s">
        <v>130</v>
      </c>
      <c r="BK2109" s="0" t="s">
        <v>130</v>
      </c>
      <c r="BL2109" s="0" t="s">
        <v>130</v>
      </c>
      <c r="BM2109" s="0" t="s">
        <v>130</v>
      </c>
      <c r="BN2109" s="0" t="s">
        <v>130</v>
      </c>
      <c r="BO2109" s="0" t="s">
        <v>130</v>
      </c>
      <c r="BP2109" s="0" t="s">
        <v>130</v>
      </c>
      <c r="BQ2109" s="0" t="s">
        <v>130</v>
      </c>
      <c r="BR2109" s="0" t="s">
        <v>130</v>
      </c>
      <c r="BS2109" s="0" t="s">
        <v>130</v>
      </c>
      <c r="BT2109" s="0" t="s">
        <v>130</v>
      </c>
      <c r="BU2109" s="0" t="s">
        <v>130</v>
      </c>
      <c r="BV2109" s="0" t="s">
        <v>130</v>
      </c>
      <c r="BW2109" s="0" t="s">
        <v>130</v>
      </c>
      <c r="BX2109" s="0" t="s">
        <v>130</v>
      </c>
      <c r="BY2109" s="0" t="s">
        <v>130</v>
      </c>
      <c r="BZ2109" s="0" t="s">
        <v>130</v>
      </c>
      <c r="CA2109" s="0" t="s">
        <v>130</v>
      </c>
      <c r="CB2109" s="0" t="s">
        <v>130</v>
      </c>
      <c r="CC2109" s="0" t="s">
        <v>130</v>
      </c>
      <c r="CD2109" s="0" t="s">
        <v>130</v>
      </c>
      <c r="CE2109" s="0" t="s">
        <v>130</v>
      </c>
      <c r="CF2109" s="0" t="s">
        <v>130</v>
      </c>
      <c r="CG2109" s="0" t="s">
        <v>130</v>
      </c>
      <c r="CH2109" s="0" t="s">
        <v>130</v>
      </c>
      <c r="CI2109" s="0" t="s">
        <v>130</v>
      </c>
      <c r="CJ2109" s="0" t="s">
        <v>130</v>
      </c>
      <c r="CK2109" s="0" t="s">
        <v>130</v>
      </c>
      <c r="CL2109" s="0" t="s">
        <v>130</v>
      </c>
      <c r="CM2109" s="0" t="s">
        <v>130</v>
      </c>
      <c r="CN2109" s="0" t="s">
        <v>130</v>
      </c>
      <c r="CO2109" s="0" t="s">
        <v>130</v>
      </c>
      <c r="CP2109" s="0" t="s">
        <v>130</v>
      </c>
      <c r="CQ2109" s="0" t="s">
        <v>130</v>
      </c>
      <c r="CR2109" s="0" t="s">
        <v>130</v>
      </c>
      <c r="CS2109" s="0" t="s">
        <v>130</v>
      </c>
      <c r="CT2109" s="0" t="s">
        <v>5864</v>
      </c>
    </row>
    <row r="2110">
      <c r="A2110" s="14">
        <v>115114</v>
      </c>
      <c r="B2110" s="0" t="s">
        <v>2319</v>
      </c>
      <c r="C2110" s="16">
        <f>HYPERLINK("https://eosportal.federatedhermes.com/companies/Q29tcGFueQppNTU3NDE=", "Toyota Motor Corp")</f>
      </c>
      <c r="D2110" s="0" t="s">
        <v>25</v>
      </c>
      <c r="E2110" s="0" t="s">
        <v>5865</v>
      </c>
      <c r="F2110" s="16">
        <f>HYPERLINK("https://eosportal.federatedhermes.com/engagements/RW5nYWdlbWVudAppMzI0ODE=", "Controversy linked to UNGC Principle 10: Corruption and bribery")</f>
      </c>
      <c r="G2110" s="14" t="s">
        <v>5866</v>
      </c>
      <c r="H2110" s="0" t="s">
        <v>141</v>
      </c>
      <c r="I2110" s="14" t="s">
        <v>1645</v>
      </c>
      <c r="J2110" s="0" t="s">
        <v>153</v>
      </c>
      <c r="K2110" s="0" t="s">
        <v>185</v>
      </c>
      <c r="L2110" s="0" t="s">
        <v>871</v>
      </c>
      <c r="M2110" s="0" t="s">
        <v>802</v>
      </c>
      <c r="N2110" s="0" t="s">
        <v>952</v>
      </c>
      <c r="O2110" s="0" t="s">
        <v>425</v>
      </c>
      <c r="Q2110" s="0" t="s">
        <v>130</v>
      </c>
      <c r="R2110" s="0" t="s">
        <v>138</v>
      </c>
      <c r="S2110" s="14">
        <v>0</v>
      </c>
      <c r="T2110" s="0" t="s">
        <v>2629</v>
      </c>
      <c r="U2110" s="0" t="s">
        <v>138</v>
      </c>
      <c r="V2110" s="14" t="s">
        <v>138</v>
      </c>
      <c r="W2110" s="0" t="s">
        <v>138</v>
      </c>
      <c r="X2110" s="14" t="s">
        <v>138</v>
      </c>
      <c r="Y2110" s="0" t="s">
        <v>138</v>
      </c>
      <c r="Z2110" s="14" t="s">
        <v>138</v>
      </c>
      <c r="AA2110" s="0" t="s">
        <v>138</v>
      </c>
      <c r="AB2110" s="14" t="s">
        <v>138</v>
      </c>
      <c r="AD2110" s="0" t="s">
        <v>138</v>
      </c>
      <c r="AF2110" s="0">
        <v>0</v>
      </c>
      <c r="AG2110" s="0">
        <v>0</v>
      </c>
      <c r="AH2110" s="0" t="s">
        <v>140</v>
      </c>
      <c r="AI2110" s="0" t="s">
        <v>138</v>
      </c>
      <c r="AL2110" s="14"/>
      <c r="AN2110" s="14"/>
      <c r="AQ2110" s="0" t="s">
        <v>130</v>
      </c>
      <c r="AR2110" s="0" t="s">
        <v>130</v>
      </c>
      <c r="AS2110" s="0" t="s">
        <v>130</v>
      </c>
      <c r="AT2110" s="0" t="s">
        <v>130</v>
      </c>
      <c r="AU2110" s="0" t="s">
        <v>130</v>
      </c>
      <c r="AV2110" s="0" t="s">
        <v>130</v>
      </c>
      <c r="AW2110" s="0" t="s">
        <v>130</v>
      </c>
      <c r="AX2110" s="0" t="s">
        <v>130</v>
      </c>
      <c r="AY2110" s="0" t="s">
        <v>130</v>
      </c>
      <c r="AZ2110" s="0" t="s">
        <v>130</v>
      </c>
      <c r="BA2110" s="0" t="s">
        <v>130</v>
      </c>
      <c r="BB2110" s="0" t="s">
        <v>130</v>
      </c>
      <c r="BC2110" s="0" t="s">
        <v>130</v>
      </c>
      <c r="BD2110" s="0" t="s">
        <v>130</v>
      </c>
      <c r="BE2110" s="0" t="s">
        <v>130</v>
      </c>
      <c r="BF2110" s="0" t="s">
        <v>141</v>
      </c>
      <c r="BG2110" s="0" t="s">
        <v>130</v>
      </c>
      <c r="BH2110" s="0" t="s">
        <v>130</v>
      </c>
      <c r="BI2110" s="0" t="s">
        <v>130</v>
      </c>
      <c r="BJ2110" s="0" t="s">
        <v>130</v>
      </c>
      <c r="BK2110" s="0" t="s">
        <v>130</v>
      </c>
      <c r="BL2110" s="0" t="s">
        <v>130</v>
      </c>
      <c r="BM2110" s="0" t="s">
        <v>130</v>
      </c>
      <c r="BN2110" s="0" t="s">
        <v>130</v>
      </c>
      <c r="BO2110" s="0" t="s">
        <v>130</v>
      </c>
      <c r="BP2110" s="0" t="s">
        <v>141</v>
      </c>
      <c r="BQ2110" s="0" t="s">
        <v>130</v>
      </c>
      <c r="BR2110" s="0" t="s">
        <v>130</v>
      </c>
      <c r="BS2110" s="0" t="s">
        <v>130</v>
      </c>
      <c r="BT2110" s="0" t="s">
        <v>130</v>
      </c>
      <c r="BU2110" s="0" t="s">
        <v>130</v>
      </c>
      <c r="BV2110" s="0" t="s">
        <v>130</v>
      </c>
      <c r="BW2110" s="0" t="s">
        <v>130</v>
      </c>
      <c r="BX2110" s="0" t="s">
        <v>130</v>
      </c>
      <c r="BY2110" s="0" t="s">
        <v>130</v>
      </c>
      <c r="BZ2110" s="0" t="s">
        <v>130</v>
      </c>
      <c r="CA2110" s="0" t="s">
        <v>130</v>
      </c>
      <c r="CB2110" s="0" t="s">
        <v>130</v>
      </c>
      <c r="CC2110" s="0" t="s">
        <v>130</v>
      </c>
      <c r="CD2110" s="0" t="s">
        <v>130</v>
      </c>
      <c r="CE2110" s="0" t="s">
        <v>130</v>
      </c>
      <c r="CF2110" s="0" t="s">
        <v>130</v>
      </c>
      <c r="CG2110" s="0" t="s">
        <v>130</v>
      </c>
      <c r="CH2110" s="0" t="s">
        <v>130</v>
      </c>
      <c r="CI2110" s="0" t="s">
        <v>130</v>
      </c>
      <c r="CJ2110" s="0" t="s">
        <v>130</v>
      </c>
      <c r="CK2110" s="0" t="s">
        <v>130</v>
      </c>
      <c r="CL2110" s="0" t="s">
        <v>130</v>
      </c>
      <c r="CM2110" s="0" t="s">
        <v>130</v>
      </c>
      <c r="CN2110" s="0" t="s">
        <v>130</v>
      </c>
      <c r="CO2110" s="0" t="s">
        <v>130</v>
      </c>
      <c r="CP2110" s="0" t="s">
        <v>130</v>
      </c>
      <c r="CQ2110" s="0" t="s">
        <v>141</v>
      </c>
      <c r="CR2110" s="0" t="s">
        <v>141</v>
      </c>
      <c r="CS2110" s="0" t="s">
        <v>141</v>
      </c>
      <c r="CT2110" s="0" t="s">
        <v>5867</v>
      </c>
    </row>
    <row r="2111">
      <c r="A2111" s="14">
        <v>28569160</v>
      </c>
      <c r="B2111" s="0" t="s">
        <v>4370</v>
      </c>
      <c r="C2111" s="16">
        <f>HYPERLINK("https://eosportal.federatedhermes.com/companies/Q29tcGFueQppNTg5NDE=", "Uber Technologies Inc")</f>
      </c>
      <c r="D2111" s="0" t="s">
        <v>25</v>
      </c>
      <c r="E2111" s="0" t="s">
        <v>5868</v>
      </c>
      <c r="F2111" s="16">
        <f>HYPERLINK("https://eosportal.federatedhermes.com/engagements/RW5nYWdlbWVudAppMzI0ODM=", "Controversy linked to UNGC Principle 1: Human rights")</f>
      </c>
      <c r="G2111" s="14" t="s">
        <v>5869</v>
      </c>
      <c r="H2111" s="0" t="s">
        <v>141</v>
      </c>
      <c r="I2111" s="14" t="s">
        <v>131</v>
      </c>
      <c r="J2111" s="0" t="s">
        <v>153</v>
      </c>
      <c r="K2111" s="0" t="s">
        <v>243</v>
      </c>
      <c r="L2111" s="0" t="s">
        <v>537</v>
      </c>
      <c r="M2111" s="0" t="s">
        <v>135</v>
      </c>
      <c r="N2111" s="0" t="s">
        <v>136</v>
      </c>
      <c r="O2111" s="0" t="s">
        <v>425</v>
      </c>
      <c r="Q2111" s="0" t="s">
        <v>141</v>
      </c>
      <c r="R2111" s="0" t="s">
        <v>138</v>
      </c>
      <c r="S2111" s="14">
        <v>1</v>
      </c>
      <c r="T2111" s="0" t="s">
        <v>2629</v>
      </c>
      <c r="U2111" s="0" t="s">
        <v>138</v>
      </c>
      <c r="V2111" s="14" t="s">
        <v>138</v>
      </c>
      <c r="W2111" s="0" t="s">
        <v>138</v>
      </c>
      <c r="X2111" s="14" t="s">
        <v>138</v>
      </c>
      <c r="Y2111" s="0" t="s">
        <v>138</v>
      </c>
      <c r="Z2111" s="14" t="s">
        <v>138</v>
      </c>
      <c r="AA2111" s="0" t="s">
        <v>138</v>
      </c>
      <c r="AB2111" s="14" t="s">
        <v>138</v>
      </c>
      <c r="AD2111" s="0" t="s">
        <v>138</v>
      </c>
      <c r="AF2111" s="0">
        <v>0</v>
      </c>
      <c r="AG2111" s="0">
        <v>0</v>
      </c>
      <c r="AH2111" s="0" t="s">
        <v>140</v>
      </c>
      <c r="AI2111" s="0" t="s">
        <v>138</v>
      </c>
      <c r="AK2111" s="0" t="s">
        <v>2376</v>
      </c>
      <c r="AL2111" s="14"/>
      <c r="AN2111" s="14"/>
      <c r="AQ2111" s="0" t="s">
        <v>130</v>
      </c>
      <c r="AR2111" s="0" t="s">
        <v>130</v>
      </c>
      <c r="AS2111" s="0" t="s">
        <v>130</v>
      </c>
      <c r="AT2111" s="0" t="s">
        <v>130</v>
      </c>
      <c r="AU2111" s="0" t="s">
        <v>130</v>
      </c>
      <c r="AV2111" s="0" t="s">
        <v>130</v>
      </c>
      <c r="AW2111" s="0" t="s">
        <v>130</v>
      </c>
      <c r="AX2111" s="0" t="s">
        <v>130</v>
      </c>
      <c r="AY2111" s="0" t="s">
        <v>130</v>
      </c>
      <c r="AZ2111" s="0" t="s">
        <v>130</v>
      </c>
      <c r="BA2111" s="0" t="s">
        <v>130</v>
      </c>
      <c r="BB2111" s="0" t="s">
        <v>141</v>
      </c>
      <c r="BC2111" s="0" t="s">
        <v>130</v>
      </c>
      <c r="BD2111" s="0" t="s">
        <v>130</v>
      </c>
      <c r="BE2111" s="0" t="s">
        <v>130</v>
      </c>
      <c r="BF2111" s="0" t="s">
        <v>141</v>
      </c>
      <c r="BG2111" s="0" t="s">
        <v>130</v>
      </c>
      <c r="BH2111" s="0" t="s">
        <v>130</v>
      </c>
      <c r="BI2111" s="0" t="s">
        <v>130</v>
      </c>
      <c r="BJ2111" s="0" t="s">
        <v>130</v>
      </c>
      <c r="BK2111" s="0" t="s">
        <v>130</v>
      </c>
      <c r="BL2111" s="0" t="s">
        <v>130</v>
      </c>
      <c r="BM2111" s="0" t="s">
        <v>130</v>
      </c>
      <c r="BN2111" s="0" t="s">
        <v>130</v>
      </c>
      <c r="BO2111" s="0" t="s">
        <v>130</v>
      </c>
      <c r="BP2111" s="0" t="s">
        <v>141</v>
      </c>
      <c r="BQ2111" s="0" t="s">
        <v>130</v>
      </c>
      <c r="BR2111" s="0" t="s">
        <v>130</v>
      </c>
      <c r="BS2111" s="0" t="s">
        <v>130</v>
      </c>
      <c r="BT2111" s="0" t="s">
        <v>130</v>
      </c>
      <c r="BU2111" s="0" t="s">
        <v>130</v>
      </c>
      <c r="BV2111" s="0" t="s">
        <v>130</v>
      </c>
      <c r="BW2111" s="0" t="s">
        <v>130</v>
      </c>
      <c r="BX2111" s="0" t="s">
        <v>130</v>
      </c>
      <c r="BY2111" s="0" t="s">
        <v>130</v>
      </c>
      <c r="BZ2111" s="0" t="s">
        <v>130</v>
      </c>
      <c r="CA2111" s="0" t="s">
        <v>130</v>
      </c>
      <c r="CB2111" s="0" t="s">
        <v>130</v>
      </c>
      <c r="CC2111" s="0" t="s">
        <v>130</v>
      </c>
      <c r="CD2111" s="0" t="s">
        <v>130</v>
      </c>
      <c r="CE2111" s="0" t="s">
        <v>130</v>
      </c>
      <c r="CF2111" s="0" t="s">
        <v>130</v>
      </c>
      <c r="CG2111" s="0" t="s">
        <v>130</v>
      </c>
      <c r="CH2111" s="0" t="s">
        <v>130</v>
      </c>
      <c r="CI2111" s="0" t="s">
        <v>130</v>
      </c>
      <c r="CJ2111" s="0" t="s">
        <v>130</v>
      </c>
      <c r="CK2111" s="0" t="s">
        <v>130</v>
      </c>
      <c r="CL2111" s="0" t="s">
        <v>130</v>
      </c>
      <c r="CM2111" s="0" t="s">
        <v>130</v>
      </c>
      <c r="CN2111" s="0" t="s">
        <v>130</v>
      </c>
      <c r="CO2111" s="0" t="s">
        <v>130</v>
      </c>
      <c r="CP2111" s="0" t="s">
        <v>130</v>
      </c>
      <c r="CQ2111" s="0" t="s">
        <v>130</v>
      </c>
      <c r="CR2111" s="0" t="s">
        <v>130</v>
      </c>
      <c r="CS2111" s="0" t="s">
        <v>130</v>
      </c>
      <c r="CT2111" s="0" t="s">
        <v>5870</v>
      </c>
    </row>
    <row r="2112">
      <c r="A2112" s="14">
        <v>115679</v>
      </c>
      <c r="B2112" s="0" t="s">
        <v>2603</v>
      </c>
      <c r="C2112" s="16">
        <f>HYPERLINK("https://eosportal.federatedhermes.com/companies/Q29tcGFueQppNTg5NzU=", "Bayer AG")</f>
      </c>
      <c r="D2112" s="0" t="s">
        <v>25</v>
      </c>
      <c r="E2112" s="0" t="s">
        <v>5853</v>
      </c>
      <c r="F2112" s="16">
        <f>HYPERLINK("https://eosportal.federatedhermes.com/engagements/RW5nYWdlbWVudAppMzI0ODQ=", "Controversy linked to UNGC Principle 1: Human Rights")</f>
      </c>
      <c r="G2112" s="14" t="s">
        <v>5871</v>
      </c>
      <c r="H2112" s="0" t="s">
        <v>141</v>
      </c>
      <c r="I2112" s="14" t="s">
        <v>1645</v>
      </c>
      <c r="J2112" s="0" t="s">
        <v>197</v>
      </c>
      <c r="K2112" s="0" t="s">
        <v>348</v>
      </c>
      <c r="L2112" s="0" t="s">
        <v>650</v>
      </c>
      <c r="M2112" s="0" t="s">
        <v>378</v>
      </c>
      <c r="N2112" s="0" t="s">
        <v>2485</v>
      </c>
      <c r="O2112" s="0" t="s">
        <v>274</v>
      </c>
      <c r="Q2112" s="0" t="s">
        <v>130</v>
      </c>
      <c r="R2112" s="0" t="s">
        <v>138</v>
      </c>
      <c r="S2112" s="14">
        <v>0</v>
      </c>
      <c r="T2112" s="0" t="s">
        <v>394</v>
      </c>
      <c r="U2112" s="0" t="s">
        <v>138</v>
      </c>
      <c r="V2112" s="14" t="s">
        <v>138</v>
      </c>
      <c r="W2112" s="0" t="s">
        <v>138</v>
      </c>
      <c r="X2112" s="14" t="s">
        <v>138</v>
      </c>
      <c r="Y2112" s="0" t="s">
        <v>138</v>
      </c>
      <c r="Z2112" s="14" t="s">
        <v>138</v>
      </c>
      <c r="AA2112" s="0" t="s">
        <v>138</v>
      </c>
      <c r="AB2112" s="14" t="s">
        <v>138</v>
      </c>
      <c r="AD2112" s="0" t="s">
        <v>138</v>
      </c>
      <c r="AF2112" s="0">
        <v>0</v>
      </c>
      <c r="AG2112" s="0">
        <v>0</v>
      </c>
      <c r="AH2112" s="0" t="s">
        <v>140</v>
      </c>
      <c r="AI2112" s="0" t="s">
        <v>138</v>
      </c>
      <c r="AL2112" s="14"/>
      <c r="AN2112" s="14"/>
      <c r="AQ2112" s="0" t="s">
        <v>130</v>
      </c>
      <c r="AR2112" s="0" t="s">
        <v>130</v>
      </c>
      <c r="AS2112" s="0" t="s">
        <v>141</v>
      </c>
      <c r="AT2112" s="0" t="s">
        <v>130</v>
      </c>
      <c r="AU2112" s="0" t="s">
        <v>130</v>
      </c>
      <c r="AV2112" s="0" t="s">
        <v>130</v>
      </c>
      <c r="AW2112" s="0" t="s">
        <v>130</v>
      </c>
      <c r="AX2112" s="0" t="s">
        <v>130</v>
      </c>
      <c r="AY2112" s="0" t="s">
        <v>130</v>
      </c>
      <c r="AZ2112" s="0" t="s">
        <v>130</v>
      </c>
      <c r="BA2112" s="0" t="s">
        <v>130</v>
      </c>
      <c r="BB2112" s="0" t="s">
        <v>141</v>
      </c>
      <c r="BC2112" s="0" t="s">
        <v>130</v>
      </c>
      <c r="BD2112" s="0" t="s">
        <v>130</v>
      </c>
      <c r="BE2112" s="0" t="s">
        <v>130</v>
      </c>
      <c r="BF2112" s="0" t="s">
        <v>130</v>
      </c>
      <c r="BG2112" s="0" t="s">
        <v>130</v>
      </c>
      <c r="BH2112" s="0" t="s">
        <v>130</v>
      </c>
      <c r="BI2112" s="0" t="s">
        <v>130</v>
      </c>
      <c r="BJ2112" s="0" t="s">
        <v>130</v>
      </c>
      <c r="BK2112" s="0" t="s">
        <v>130</v>
      </c>
      <c r="BL2112" s="0" t="s">
        <v>130</v>
      </c>
      <c r="BM2112" s="0" t="s">
        <v>130</v>
      </c>
      <c r="BN2112" s="0" t="s">
        <v>130</v>
      </c>
      <c r="BO2112" s="0" t="s">
        <v>130</v>
      </c>
      <c r="BP2112" s="0" t="s">
        <v>141</v>
      </c>
      <c r="BQ2112" s="0" t="s">
        <v>130</v>
      </c>
      <c r="BR2112" s="0" t="s">
        <v>130</v>
      </c>
      <c r="BS2112" s="0" t="s">
        <v>130</v>
      </c>
      <c r="BT2112" s="0" t="s">
        <v>130</v>
      </c>
      <c r="BU2112" s="0" t="s">
        <v>130</v>
      </c>
      <c r="BV2112" s="0" t="s">
        <v>130</v>
      </c>
      <c r="BW2112" s="0" t="s">
        <v>130</v>
      </c>
      <c r="BX2112" s="0" t="s">
        <v>130</v>
      </c>
      <c r="BY2112" s="0" t="s">
        <v>130</v>
      </c>
      <c r="BZ2112" s="0" t="s">
        <v>130</v>
      </c>
      <c r="CA2112" s="0" t="s">
        <v>130</v>
      </c>
      <c r="CB2112" s="0" t="s">
        <v>130</v>
      </c>
      <c r="CC2112" s="0" t="s">
        <v>130</v>
      </c>
      <c r="CD2112" s="0" t="s">
        <v>130</v>
      </c>
      <c r="CE2112" s="0" t="s">
        <v>130</v>
      </c>
      <c r="CF2112" s="0" t="s">
        <v>130</v>
      </c>
      <c r="CG2112" s="0" t="s">
        <v>130</v>
      </c>
      <c r="CH2112" s="0" t="s">
        <v>130</v>
      </c>
      <c r="CI2112" s="0" t="s">
        <v>130</v>
      </c>
      <c r="CJ2112" s="0" t="s">
        <v>130</v>
      </c>
      <c r="CK2112" s="0" t="s">
        <v>130</v>
      </c>
      <c r="CL2112" s="0" t="s">
        <v>130</v>
      </c>
      <c r="CM2112" s="0" t="s">
        <v>130</v>
      </c>
      <c r="CN2112" s="0" t="s">
        <v>130</v>
      </c>
      <c r="CO2112" s="0" t="s">
        <v>130</v>
      </c>
      <c r="CP2112" s="0" t="s">
        <v>130</v>
      </c>
      <c r="CQ2112" s="0" t="s">
        <v>130</v>
      </c>
      <c r="CR2112" s="0" t="s">
        <v>130</v>
      </c>
      <c r="CS2112" s="0" t="s">
        <v>130</v>
      </c>
      <c r="CT2112" s="0" t="s">
        <v>5872</v>
      </c>
    </row>
    <row r="2113">
      <c r="A2113" s="14">
        <v>100232</v>
      </c>
      <c r="B2113" s="0" t="s">
        <v>368</v>
      </c>
      <c r="C2113" s="16">
        <f>HYPERLINK("https://eosportal.federatedhermes.com/companies/Q29tcGFueQppNjQzODg=", "BHP Group Ltd")</f>
      </c>
      <c r="D2113" s="0" t="s">
        <v>25</v>
      </c>
      <c r="E2113" s="0" t="s">
        <v>5873</v>
      </c>
      <c r="F2113" s="16">
        <f>HYPERLINK("https://eosportal.federatedhermes.com/engagements/RW5nYWdlbWVudAppMzI0ODY=", "Controversy linked to UNGC Principle 7: Approach to environmental challenges")</f>
      </c>
      <c r="G2113" s="14" t="s">
        <v>5874</v>
      </c>
      <c r="H2113" s="0" t="s">
        <v>141</v>
      </c>
      <c r="I2113" s="14" t="s">
        <v>191</v>
      </c>
      <c r="J2113" s="0" t="s">
        <v>197</v>
      </c>
      <c r="K2113" s="0" t="s">
        <v>348</v>
      </c>
      <c r="L2113" s="0" t="s">
        <v>650</v>
      </c>
      <c r="M2113" s="0" t="s">
        <v>371</v>
      </c>
      <c r="N2113" s="0" t="s">
        <v>372</v>
      </c>
      <c r="O2113" s="0" t="s">
        <v>373</v>
      </c>
      <c r="Q2113" s="0" t="s">
        <v>130</v>
      </c>
      <c r="R2113" s="0" t="s">
        <v>138</v>
      </c>
      <c r="S2113" s="14">
        <v>0</v>
      </c>
      <c r="T2113" s="0" t="s">
        <v>2629</v>
      </c>
      <c r="U2113" s="0" t="s">
        <v>138</v>
      </c>
      <c r="V2113" s="14" t="s">
        <v>138</v>
      </c>
      <c r="W2113" s="0" t="s">
        <v>138</v>
      </c>
      <c r="X2113" s="14" t="s">
        <v>138</v>
      </c>
      <c r="Y2113" s="0" t="s">
        <v>138</v>
      </c>
      <c r="Z2113" s="14" t="s">
        <v>138</v>
      </c>
      <c r="AA2113" s="0" t="s">
        <v>138</v>
      </c>
      <c r="AB2113" s="14" t="s">
        <v>138</v>
      </c>
      <c r="AD2113" s="0" t="s">
        <v>138</v>
      </c>
      <c r="AF2113" s="0">
        <v>0</v>
      </c>
      <c r="AG2113" s="0">
        <v>0</v>
      </c>
      <c r="AH2113" s="0" t="s">
        <v>140</v>
      </c>
      <c r="AI2113" s="0" t="s">
        <v>138</v>
      </c>
      <c r="AL2113" s="14"/>
      <c r="AN2113" s="14"/>
      <c r="AQ2113" s="0" t="s">
        <v>130</v>
      </c>
      <c r="AR2113" s="0" t="s">
        <v>130</v>
      </c>
      <c r="AS2113" s="0" t="s">
        <v>141</v>
      </c>
      <c r="AT2113" s="0" t="s">
        <v>130</v>
      </c>
      <c r="AU2113" s="0" t="s">
        <v>130</v>
      </c>
      <c r="AV2113" s="0" t="s">
        <v>141</v>
      </c>
      <c r="AW2113" s="0" t="s">
        <v>130</v>
      </c>
      <c r="AX2113" s="0" t="s">
        <v>130</v>
      </c>
      <c r="AY2113" s="0" t="s">
        <v>130</v>
      </c>
      <c r="AZ2113" s="0" t="s">
        <v>130</v>
      </c>
      <c r="BA2113" s="0" t="s">
        <v>130</v>
      </c>
      <c r="BB2113" s="0" t="s">
        <v>130</v>
      </c>
      <c r="BC2113" s="0" t="s">
        <v>130</v>
      </c>
      <c r="BD2113" s="0" t="s">
        <v>141</v>
      </c>
      <c r="BE2113" s="0" t="s">
        <v>130</v>
      </c>
      <c r="BF2113" s="0" t="s">
        <v>130</v>
      </c>
      <c r="BG2113" s="0" t="s">
        <v>130</v>
      </c>
      <c r="BH2113" s="0" t="s">
        <v>130</v>
      </c>
      <c r="BI2113" s="0" t="s">
        <v>130</v>
      </c>
      <c r="BJ2113" s="0" t="s">
        <v>130</v>
      </c>
      <c r="BK2113" s="0" t="s">
        <v>130</v>
      </c>
      <c r="BL2113" s="0" t="s">
        <v>130</v>
      </c>
      <c r="BM2113" s="0" t="s">
        <v>130</v>
      </c>
      <c r="BN2113" s="0" t="s">
        <v>130</v>
      </c>
      <c r="BO2113" s="0" t="s">
        <v>130</v>
      </c>
      <c r="BP2113" s="0" t="s">
        <v>141</v>
      </c>
      <c r="BQ2113" s="0" t="s">
        <v>130</v>
      </c>
      <c r="BR2113" s="0" t="s">
        <v>130</v>
      </c>
      <c r="BS2113" s="0" t="s">
        <v>130</v>
      </c>
      <c r="BT2113" s="0" t="s">
        <v>130</v>
      </c>
      <c r="BU2113" s="0" t="s">
        <v>130</v>
      </c>
      <c r="BV2113" s="0" t="s">
        <v>130</v>
      </c>
      <c r="BW2113" s="0" t="s">
        <v>130</v>
      </c>
      <c r="BX2113" s="0" t="s">
        <v>130</v>
      </c>
      <c r="BY2113" s="0" t="s">
        <v>130</v>
      </c>
      <c r="BZ2113" s="0" t="s">
        <v>130</v>
      </c>
      <c r="CA2113" s="0" t="s">
        <v>130</v>
      </c>
      <c r="CB2113" s="0" t="s">
        <v>130</v>
      </c>
      <c r="CC2113" s="0" t="s">
        <v>130</v>
      </c>
      <c r="CD2113" s="0" t="s">
        <v>130</v>
      </c>
      <c r="CE2113" s="0" t="s">
        <v>130</v>
      </c>
      <c r="CF2113" s="0" t="s">
        <v>130</v>
      </c>
      <c r="CG2113" s="0" t="s">
        <v>130</v>
      </c>
      <c r="CH2113" s="0" t="s">
        <v>130</v>
      </c>
      <c r="CI2113" s="0" t="s">
        <v>130</v>
      </c>
      <c r="CJ2113" s="0" t="s">
        <v>130</v>
      </c>
      <c r="CK2113" s="0" t="s">
        <v>130</v>
      </c>
      <c r="CL2113" s="0" t="s">
        <v>130</v>
      </c>
      <c r="CM2113" s="0" t="s">
        <v>130</v>
      </c>
      <c r="CN2113" s="0" t="s">
        <v>130</v>
      </c>
      <c r="CO2113" s="0" t="s">
        <v>130</v>
      </c>
      <c r="CP2113" s="0" t="s">
        <v>130</v>
      </c>
      <c r="CQ2113" s="0" t="s">
        <v>130</v>
      </c>
      <c r="CR2113" s="0" t="s">
        <v>130</v>
      </c>
      <c r="CS2113" s="0" t="s">
        <v>130</v>
      </c>
      <c r="CT2113" s="0" t="s">
        <v>5875</v>
      </c>
    </row>
    <row r="2114">
      <c r="A2114" s="14">
        <v>216952</v>
      </c>
      <c r="B2114" s="0" t="s">
        <v>3384</v>
      </c>
      <c r="C2114" s="16">
        <f>HYPERLINK("https://eosportal.federatedhermes.com/companies/Q29tcGFueQppNjc3MjM=", "Amazon.com Inc")</f>
      </c>
      <c r="D2114" s="0" t="s">
        <v>25</v>
      </c>
      <c r="E2114" s="0" t="s">
        <v>4988</v>
      </c>
      <c r="F2114" s="16">
        <f>HYPERLINK("https://eosportal.federatedhermes.com/engagements/RW5nYWdlbWVudAppMzI0ODc=", "Controversy linked to UNGC Principle 1: Human rights")</f>
      </c>
      <c r="G2114" s="14" t="s">
        <v>5876</v>
      </c>
      <c r="H2114" s="0" t="s">
        <v>141</v>
      </c>
      <c r="I2114" s="14" t="s">
        <v>191</v>
      </c>
      <c r="J2114" s="0" t="s">
        <v>153</v>
      </c>
      <c r="K2114" s="0" t="s">
        <v>154</v>
      </c>
      <c r="L2114" s="0" t="s">
        <v>155</v>
      </c>
      <c r="M2114" s="0" t="s">
        <v>135</v>
      </c>
      <c r="N2114" s="0" t="s">
        <v>136</v>
      </c>
      <c r="O2114" s="0" t="s">
        <v>643</v>
      </c>
      <c r="Q2114" s="0" t="s">
        <v>130</v>
      </c>
      <c r="R2114" s="0" t="s">
        <v>138</v>
      </c>
      <c r="S2114" s="14">
        <v>0</v>
      </c>
      <c r="T2114" s="0" t="s">
        <v>148</v>
      </c>
      <c r="U2114" s="0" t="s">
        <v>138</v>
      </c>
      <c r="V2114" s="14" t="s">
        <v>138</v>
      </c>
      <c r="W2114" s="0" t="s">
        <v>138</v>
      </c>
      <c r="X2114" s="14" t="s">
        <v>138</v>
      </c>
      <c r="Y2114" s="0" t="s">
        <v>138</v>
      </c>
      <c r="Z2114" s="14" t="s">
        <v>138</v>
      </c>
      <c r="AA2114" s="0" t="s">
        <v>138</v>
      </c>
      <c r="AB2114" s="14" t="s">
        <v>138</v>
      </c>
      <c r="AD2114" s="0" t="s">
        <v>138</v>
      </c>
      <c r="AF2114" s="0">
        <v>0</v>
      </c>
      <c r="AG2114" s="0">
        <v>0</v>
      </c>
      <c r="AH2114" s="0" t="s">
        <v>140</v>
      </c>
      <c r="AI2114" s="0" t="s">
        <v>138</v>
      </c>
      <c r="AL2114" s="14"/>
      <c r="AN2114" s="14"/>
      <c r="AQ2114" s="0" t="s">
        <v>130</v>
      </c>
      <c r="AR2114" s="0" t="s">
        <v>130</v>
      </c>
      <c r="AS2114" s="0" t="s">
        <v>130</v>
      </c>
      <c r="AT2114" s="0" t="s">
        <v>130</v>
      </c>
      <c r="AU2114" s="0" t="s">
        <v>130</v>
      </c>
      <c r="AV2114" s="0" t="s">
        <v>130</v>
      </c>
      <c r="AW2114" s="0" t="s">
        <v>130</v>
      </c>
      <c r="AX2114" s="0" t="s">
        <v>141</v>
      </c>
      <c r="AY2114" s="0" t="s">
        <v>130</v>
      </c>
      <c r="AZ2114" s="0" t="s">
        <v>130</v>
      </c>
      <c r="BA2114" s="0" t="s">
        <v>130</v>
      </c>
      <c r="BB2114" s="0" t="s">
        <v>130</v>
      </c>
      <c r="BC2114" s="0" t="s">
        <v>130</v>
      </c>
      <c r="BD2114" s="0" t="s">
        <v>130</v>
      </c>
      <c r="BE2114" s="0" t="s">
        <v>130</v>
      </c>
      <c r="BF2114" s="0" t="s">
        <v>130</v>
      </c>
      <c r="BG2114" s="0" t="s">
        <v>130</v>
      </c>
      <c r="BH2114" s="0" t="s">
        <v>130</v>
      </c>
      <c r="BI2114" s="0" t="s">
        <v>130</v>
      </c>
      <c r="BJ2114" s="0" t="s">
        <v>130</v>
      </c>
      <c r="BK2114" s="0" t="s">
        <v>130</v>
      </c>
      <c r="BL2114" s="0" t="s">
        <v>130</v>
      </c>
      <c r="BM2114" s="0" t="s">
        <v>130</v>
      </c>
      <c r="BN2114" s="0" t="s">
        <v>130</v>
      </c>
      <c r="BO2114" s="0" t="s">
        <v>130</v>
      </c>
      <c r="BP2114" s="0" t="s">
        <v>141</v>
      </c>
      <c r="BQ2114" s="0" t="s">
        <v>130</v>
      </c>
      <c r="BR2114" s="0" t="s">
        <v>130</v>
      </c>
      <c r="BS2114" s="0" t="s">
        <v>130</v>
      </c>
      <c r="BT2114" s="0" t="s">
        <v>130</v>
      </c>
      <c r="BU2114" s="0" t="s">
        <v>130</v>
      </c>
      <c r="BV2114" s="0" t="s">
        <v>130</v>
      </c>
      <c r="BW2114" s="0" t="s">
        <v>130</v>
      </c>
      <c r="BX2114" s="0" t="s">
        <v>130</v>
      </c>
      <c r="BY2114" s="0" t="s">
        <v>130</v>
      </c>
      <c r="BZ2114" s="0" t="s">
        <v>130</v>
      </c>
      <c r="CA2114" s="0" t="s">
        <v>130</v>
      </c>
      <c r="CB2114" s="0" t="s">
        <v>130</v>
      </c>
      <c r="CC2114" s="0" t="s">
        <v>130</v>
      </c>
      <c r="CD2114" s="0" t="s">
        <v>130</v>
      </c>
      <c r="CE2114" s="0" t="s">
        <v>130</v>
      </c>
      <c r="CF2114" s="0" t="s">
        <v>130</v>
      </c>
      <c r="CG2114" s="0" t="s">
        <v>130</v>
      </c>
      <c r="CH2114" s="0" t="s">
        <v>130</v>
      </c>
      <c r="CI2114" s="0" t="s">
        <v>141</v>
      </c>
      <c r="CJ2114" s="0" t="s">
        <v>130</v>
      </c>
      <c r="CK2114" s="0" t="s">
        <v>130</v>
      </c>
      <c r="CL2114" s="0" t="s">
        <v>130</v>
      </c>
      <c r="CM2114" s="0" t="s">
        <v>130</v>
      </c>
      <c r="CN2114" s="0" t="s">
        <v>130</v>
      </c>
      <c r="CO2114" s="0" t="s">
        <v>130</v>
      </c>
      <c r="CP2114" s="0" t="s">
        <v>130</v>
      </c>
      <c r="CQ2114" s="0" t="s">
        <v>130</v>
      </c>
      <c r="CR2114" s="0" t="s">
        <v>130</v>
      </c>
      <c r="CS2114" s="0" t="s">
        <v>130</v>
      </c>
      <c r="CT2114" s="0" t="s">
        <v>5877</v>
      </c>
    </row>
    <row r="2115">
      <c r="A2115" s="14">
        <v>216952</v>
      </c>
      <c r="B2115" s="0" t="s">
        <v>3384</v>
      </c>
      <c r="C2115" s="16">
        <f>HYPERLINK("https://eosportal.federatedhermes.com/companies/Q29tcGFueQppNjc3MjM=", "Amazon.com Inc")</f>
      </c>
      <c r="D2115" s="0" t="s">
        <v>25</v>
      </c>
      <c r="E2115" s="0" t="s">
        <v>5878</v>
      </c>
      <c r="F2115" s="16">
        <f>HYPERLINK("https://eosportal.federatedhermes.com/engagements/RW5nYWdlbWVudAppMzI0ODg=", "Controversy linked to UNGC Principle 3: Freedom of association")</f>
      </c>
      <c r="G2115" s="14" t="s">
        <v>5879</v>
      </c>
      <c r="H2115" s="0" t="s">
        <v>141</v>
      </c>
      <c r="I2115" s="14" t="s">
        <v>191</v>
      </c>
      <c r="J2115" s="0" t="s">
        <v>153</v>
      </c>
      <c r="K2115" s="0" t="s">
        <v>154</v>
      </c>
      <c r="L2115" s="0" t="s">
        <v>306</v>
      </c>
      <c r="M2115" s="0" t="s">
        <v>135</v>
      </c>
      <c r="N2115" s="0" t="s">
        <v>136</v>
      </c>
      <c r="O2115" s="0" t="s">
        <v>643</v>
      </c>
      <c r="Q2115" s="0" t="s">
        <v>130</v>
      </c>
      <c r="R2115" s="0" t="s">
        <v>138</v>
      </c>
      <c r="S2115" s="14">
        <v>0</v>
      </c>
      <c r="T2115" s="0" t="s">
        <v>206</v>
      </c>
      <c r="U2115" s="0" t="s">
        <v>138</v>
      </c>
      <c r="V2115" s="14" t="s">
        <v>138</v>
      </c>
      <c r="W2115" s="0" t="s">
        <v>138</v>
      </c>
      <c r="X2115" s="14" t="s">
        <v>138</v>
      </c>
      <c r="Y2115" s="0" t="s">
        <v>138</v>
      </c>
      <c r="Z2115" s="14" t="s">
        <v>138</v>
      </c>
      <c r="AA2115" s="0" t="s">
        <v>138</v>
      </c>
      <c r="AB2115" s="14" t="s">
        <v>138</v>
      </c>
      <c r="AD2115" s="0" t="s">
        <v>138</v>
      </c>
      <c r="AF2115" s="0">
        <v>0</v>
      </c>
      <c r="AG2115" s="0">
        <v>0</v>
      </c>
      <c r="AH2115" s="0" t="s">
        <v>140</v>
      </c>
      <c r="AI2115" s="0" t="s">
        <v>138</v>
      </c>
      <c r="AL2115" s="14"/>
      <c r="AN2115" s="14"/>
      <c r="AQ2115" s="0" t="s">
        <v>130</v>
      </c>
      <c r="AR2115" s="0" t="s">
        <v>130</v>
      </c>
      <c r="AS2115" s="0" t="s">
        <v>130</v>
      </c>
      <c r="AT2115" s="0" t="s">
        <v>130</v>
      </c>
      <c r="AU2115" s="0" t="s">
        <v>130</v>
      </c>
      <c r="AV2115" s="0" t="s">
        <v>130</v>
      </c>
      <c r="AW2115" s="0" t="s">
        <v>130</v>
      </c>
      <c r="AX2115" s="0" t="s">
        <v>141</v>
      </c>
      <c r="AY2115" s="0" t="s">
        <v>130</v>
      </c>
      <c r="AZ2115" s="0" t="s">
        <v>141</v>
      </c>
      <c r="BA2115" s="0" t="s">
        <v>130</v>
      </c>
      <c r="BB2115" s="0" t="s">
        <v>130</v>
      </c>
      <c r="BC2115" s="0" t="s">
        <v>130</v>
      </c>
      <c r="BD2115" s="0" t="s">
        <v>130</v>
      </c>
      <c r="BE2115" s="0" t="s">
        <v>130</v>
      </c>
      <c r="BF2115" s="0" t="s">
        <v>130</v>
      </c>
      <c r="BG2115" s="0" t="s">
        <v>130</v>
      </c>
      <c r="BH2115" s="0" t="s">
        <v>130</v>
      </c>
      <c r="BI2115" s="0" t="s">
        <v>130</v>
      </c>
      <c r="BJ2115" s="0" t="s">
        <v>130</v>
      </c>
      <c r="BK2115" s="0" t="s">
        <v>130</v>
      </c>
      <c r="BL2115" s="0" t="s">
        <v>130</v>
      </c>
      <c r="BM2115" s="0" t="s">
        <v>130</v>
      </c>
      <c r="BN2115" s="0" t="s">
        <v>130</v>
      </c>
      <c r="BO2115" s="0" t="s">
        <v>130</v>
      </c>
      <c r="BP2115" s="0" t="s">
        <v>141</v>
      </c>
      <c r="BQ2115" s="0" t="s">
        <v>130</v>
      </c>
      <c r="BR2115" s="0" t="s">
        <v>130</v>
      </c>
      <c r="BS2115" s="0" t="s">
        <v>130</v>
      </c>
      <c r="BT2115" s="0" t="s">
        <v>130</v>
      </c>
      <c r="BU2115" s="0" t="s">
        <v>130</v>
      </c>
      <c r="BV2115" s="0" t="s">
        <v>130</v>
      </c>
      <c r="BW2115" s="0" t="s">
        <v>130</v>
      </c>
      <c r="BX2115" s="0" t="s">
        <v>130</v>
      </c>
      <c r="BY2115" s="0" t="s">
        <v>130</v>
      </c>
      <c r="BZ2115" s="0" t="s">
        <v>130</v>
      </c>
      <c r="CA2115" s="0" t="s">
        <v>130</v>
      </c>
      <c r="CB2115" s="0" t="s">
        <v>130</v>
      </c>
      <c r="CC2115" s="0" t="s">
        <v>130</v>
      </c>
      <c r="CD2115" s="0" t="s">
        <v>130</v>
      </c>
      <c r="CE2115" s="0" t="s">
        <v>130</v>
      </c>
      <c r="CF2115" s="0" t="s">
        <v>130</v>
      </c>
      <c r="CG2115" s="0" t="s">
        <v>130</v>
      </c>
      <c r="CH2115" s="0" t="s">
        <v>130</v>
      </c>
      <c r="CI2115" s="0" t="s">
        <v>130</v>
      </c>
      <c r="CJ2115" s="0" t="s">
        <v>130</v>
      </c>
      <c r="CK2115" s="0" t="s">
        <v>130</v>
      </c>
      <c r="CL2115" s="0" t="s">
        <v>130</v>
      </c>
      <c r="CM2115" s="0" t="s">
        <v>130</v>
      </c>
      <c r="CN2115" s="0" t="s">
        <v>130</v>
      </c>
      <c r="CO2115" s="0" t="s">
        <v>130</v>
      </c>
      <c r="CP2115" s="0" t="s">
        <v>130</v>
      </c>
      <c r="CQ2115" s="0" t="s">
        <v>130</v>
      </c>
      <c r="CR2115" s="0" t="s">
        <v>130</v>
      </c>
      <c r="CS2115" s="0" t="s">
        <v>130</v>
      </c>
      <c r="CT2115" s="0" t="s">
        <v>5880</v>
      </c>
    </row>
    <row r="2116">
      <c r="A2116" s="14">
        <v>100747</v>
      </c>
      <c r="B2116" s="0" t="s">
        <v>949</v>
      </c>
      <c r="C2116" s="16">
        <f>HYPERLINK("https://eosportal.federatedhermes.com/companies/Q29tcGFueQppNzM3ODY=", "Honda Motor Co Ltd")</f>
      </c>
      <c r="D2116" s="0" t="s">
        <v>25</v>
      </c>
      <c r="E2116" s="0" t="s">
        <v>5859</v>
      </c>
      <c r="F2116" s="16">
        <f>HYPERLINK("https://eosportal.federatedhermes.com/engagements/RW5nYWdlbWVudAppMzI0ODk=", "Controversy linked to General OECD Issue - Quality and Safety")</f>
      </c>
      <c r="G2116" s="14" t="s">
        <v>5881</v>
      </c>
      <c r="H2116" s="0" t="s">
        <v>141</v>
      </c>
      <c r="I2116" s="14" t="s">
        <v>636</v>
      </c>
      <c r="J2116" s="0" t="s">
        <v>153</v>
      </c>
      <c r="K2116" s="0" t="s">
        <v>185</v>
      </c>
      <c r="L2116" s="0" t="s">
        <v>626</v>
      </c>
      <c r="M2116" s="0" t="s">
        <v>802</v>
      </c>
      <c r="N2116" s="0" t="s">
        <v>952</v>
      </c>
      <c r="O2116" s="0" t="s">
        <v>425</v>
      </c>
      <c r="Q2116" s="0" t="s">
        <v>130</v>
      </c>
      <c r="R2116" s="0" t="s">
        <v>138</v>
      </c>
      <c r="S2116" s="14">
        <v>0</v>
      </c>
      <c r="T2116" s="0" t="s">
        <v>384</v>
      </c>
      <c r="U2116" s="0" t="s">
        <v>138</v>
      </c>
      <c r="V2116" s="14" t="s">
        <v>138</v>
      </c>
      <c r="W2116" s="0" t="s">
        <v>138</v>
      </c>
      <c r="X2116" s="14" t="s">
        <v>138</v>
      </c>
      <c r="Y2116" s="0" t="s">
        <v>138</v>
      </c>
      <c r="Z2116" s="14" t="s">
        <v>138</v>
      </c>
      <c r="AA2116" s="0" t="s">
        <v>138</v>
      </c>
      <c r="AB2116" s="14" t="s">
        <v>138</v>
      </c>
      <c r="AD2116" s="0" t="s">
        <v>138</v>
      </c>
      <c r="AF2116" s="0">
        <v>0</v>
      </c>
      <c r="AG2116" s="0">
        <v>0</v>
      </c>
      <c r="AH2116" s="0" t="s">
        <v>140</v>
      </c>
      <c r="AI2116" s="0" t="s">
        <v>138</v>
      </c>
      <c r="AL2116" s="14"/>
      <c r="AN2116" s="14"/>
      <c r="AQ2116" s="0" t="s">
        <v>130</v>
      </c>
      <c r="AR2116" s="0" t="s">
        <v>130</v>
      </c>
      <c r="AS2116" s="0" t="s">
        <v>130</v>
      </c>
      <c r="AT2116" s="0" t="s">
        <v>130</v>
      </c>
      <c r="AU2116" s="0" t="s">
        <v>130</v>
      </c>
      <c r="AV2116" s="0" t="s">
        <v>130</v>
      </c>
      <c r="AW2116" s="0" t="s">
        <v>130</v>
      </c>
      <c r="AX2116" s="0" t="s">
        <v>130</v>
      </c>
      <c r="AY2116" s="0" t="s">
        <v>130</v>
      </c>
      <c r="AZ2116" s="0" t="s">
        <v>130</v>
      </c>
      <c r="BA2116" s="0" t="s">
        <v>130</v>
      </c>
      <c r="BB2116" s="0" t="s">
        <v>141</v>
      </c>
      <c r="BC2116" s="0" t="s">
        <v>130</v>
      </c>
      <c r="BD2116" s="0" t="s">
        <v>130</v>
      </c>
      <c r="BE2116" s="0" t="s">
        <v>130</v>
      </c>
      <c r="BF2116" s="0" t="s">
        <v>130</v>
      </c>
      <c r="BG2116" s="0" t="s">
        <v>130</v>
      </c>
      <c r="BH2116" s="0" t="s">
        <v>130</v>
      </c>
      <c r="BI2116" s="0" t="s">
        <v>130</v>
      </c>
      <c r="BJ2116" s="0" t="s">
        <v>130</v>
      </c>
      <c r="BK2116" s="0" t="s">
        <v>130</v>
      </c>
      <c r="BL2116" s="0" t="s">
        <v>130</v>
      </c>
      <c r="BM2116" s="0" t="s">
        <v>130</v>
      </c>
      <c r="BN2116" s="0" t="s">
        <v>130</v>
      </c>
      <c r="BO2116" s="0" t="s">
        <v>130</v>
      </c>
      <c r="BP2116" s="0" t="s">
        <v>141</v>
      </c>
      <c r="BQ2116" s="0" t="s">
        <v>130</v>
      </c>
      <c r="BR2116" s="0" t="s">
        <v>130</v>
      </c>
      <c r="BS2116" s="0" t="s">
        <v>130</v>
      </c>
      <c r="BT2116" s="0" t="s">
        <v>130</v>
      </c>
      <c r="BU2116" s="0" t="s">
        <v>130</v>
      </c>
      <c r="BV2116" s="0" t="s">
        <v>130</v>
      </c>
      <c r="BW2116" s="0" t="s">
        <v>130</v>
      </c>
      <c r="BX2116" s="0" t="s">
        <v>130</v>
      </c>
      <c r="BY2116" s="0" t="s">
        <v>130</v>
      </c>
      <c r="BZ2116" s="0" t="s">
        <v>130</v>
      </c>
      <c r="CA2116" s="0" t="s">
        <v>130</v>
      </c>
      <c r="CB2116" s="0" t="s">
        <v>130</v>
      </c>
      <c r="CC2116" s="0" t="s">
        <v>130</v>
      </c>
      <c r="CD2116" s="0" t="s">
        <v>130</v>
      </c>
      <c r="CE2116" s="0" t="s">
        <v>130</v>
      </c>
      <c r="CF2116" s="0" t="s">
        <v>130</v>
      </c>
      <c r="CG2116" s="0" t="s">
        <v>130</v>
      </c>
      <c r="CH2116" s="0" t="s">
        <v>130</v>
      </c>
      <c r="CI2116" s="0" t="s">
        <v>130</v>
      </c>
      <c r="CJ2116" s="0" t="s">
        <v>130</v>
      </c>
      <c r="CK2116" s="0" t="s">
        <v>130</v>
      </c>
      <c r="CL2116" s="0" t="s">
        <v>130</v>
      </c>
      <c r="CM2116" s="0" t="s">
        <v>130</v>
      </c>
      <c r="CN2116" s="0" t="s">
        <v>130</v>
      </c>
      <c r="CO2116" s="0" t="s">
        <v>130</v>
      </c>
      <c r="CP2116" s="0" t="s">
        <v>130</v>
      </c>
      <c r="CQ2116" s="0" t="s">
        <v>130</v>
      </c>
      <c r="CR2116" s="0" t="s">
        <v>130</v>
      </c>
      <c r="CS2116" s="0" t="s">
        <v>130</v>
      </c>
      <c r="CT2116" s="0" t="s">
        <v>5882</v>
      </c>
    </row>
    <row r="2117">
      <c r="A2117" s="14">
        <v>101779</v>
      </c>
      <c r="B2117" s="0" t="s">
        <v>2006</v>
      </c>
      <c r="C2117" s="16">
        <f>HYPERLINK("https://eosportal.federatedhermes.com/companies/Q29tcGFueQppODE1NDU=", "Tyson Foods Inc")</f>
      </c>
      <c r="D2117" s="0" t="s">
        <v>25</v>
      </c>
      <c r="E2117" s="0" t="s">
        <v>5883</v>
      </c>
      <c r="F2117" s="16">
        <f>HYPERLINK("https://eosportal.federatedhermes.com/engagements/RW5nYWdlbWVudAppMzI0OTE=", "Controversy linked to General OECD Issue - Anti Competitive Practices")</f>
      </c>
      <c r="G2117" s="14" t="s">
        <v>5884</v>
      </c>
      <c r="H2117" s="0" t="s">
        <v>141</v>
      </c>
      <c r="I2117" s="14" t="s">
        <v>131</v>
      </c>
      <c r="J2117" s="0" t="s">
        <v>153</v>
      </c>
      <c r="K2117" s="0" t="s">
        <v>185</v>
      </c>
      <c r="L2117" s="0" t="s">
        <v>186</v>
      </c>
      <c r="M2117" s="0" t="s">
        <v>135</v>
      </c>
      <c r="N2117" s="0" t="s">
        <v>136</v>
      </c>
      <c r="O2117" s="0" t="s">
        <v>332</v>
      </c>
      <c r="Q2117" s="0" t="s">
        <v>141</v>
      </c>
      <c r="R2117" s="0" t="s">
        <v>138</v>
      </c>
      <c r="S2117" s="14">
        <v>1</v>
      </c>
      <c r="T2117" s="0" t="s">
        <v>2629</v>
      </c>
      <c r="U2117" s="0" t="s">
        <v>138</v>
      </c>
      <c r="V2117" s="14" t="s">
        <v>138</v>
      </c>
      <c r="W2117" s="0" t="s">
        <v>138</v>
      </c>
      <c r="X2117" s="14" t="s">
        <v>138</v>
      </c>
      <c r="Y2117" s="0" t="s">
        <v>138</v>
      </c>
      <c r="Z2117" s="14" t="s">
        <v>138</v>
      </c>
      <c r="AA2117" s="0" t="s">
        <v>138</v>
      </c>
      <c r="AB2117" s="14" t="s">
        <v>138</v>
      </c>
      <c r="AD2117" s="0" t="s">
        <v>138</v>
      </c>
      <c r="AF2117" s="0">
        <v>0</v>
      </c>
      <c r="AG2117" s="0">
        <v>0</v>
      </c>
      <c r="AH2117" s="0" t="s">
        <v>140</v>
      </c>
      <c r="AI2117" s="0" t="s">
        <v>138</v>
      </c>
      <c r="AK2117" s="0" t="s">
        <v>749</v>
      </c>
      <c r="AL2117" s="14"/>
      <c r="AN2117" s="14"/>
      <c r="AQ2117" s="0" t="s">
        <v>130</v>
      </c>
      <c r="AR2117" s="0" t="s">
        <v>130</v>
      </c>
      <c r="AS2117" s="0" t="s">
        <v>130</v>
      </c>
      <c r="AT2117" s="0" t="s">
        <v>130</v>
      </c>
      <c r="AU2117" s="0" t="s">
        <v>130</v>
      </c>
      <c r="AV2117" s="0" t="s">
        <v>130</v>
      </c>
      <c r="AW2117" s="0" t="s">
        <v>130</v>
      </c>
      <c r="AX2117" s="0" t="s">
        <v>130</v>
      </c>
      <c r="AY2117" s="0" t="s">
        <v>130</v>
      </c>
      <c r="AZ2117" s="0" t="s">
        <v>130</v>
      </c>
      <c r="BA2117" s="0" t="s">
        <v>130</v>
      </c>
      <c r="BB2117" s="0" t="s">
        <v>130</v>
      </c>
      <c r="BC2117" s="0" t="s">
        <v>130</v>
      </c>
      <c r="BD2117" s="0" t="s">
        <v>130</v>
      </c>
      <c r="BE2117" s="0" t="s">
        <v>130</v>
      </c>
      <c r="BF2117" s="0" t="s">
        <v>130</v>
      </c>
      <c r="BG2117" s="0" t="s">
        <v>130</v>
      </c>
      <c r="BH2117" s="0" t="s">
        <v>130</v>
      </c>
      <c r="BI2117" s="0" t="s">
        <v>130</v>
      </c>
      <c r="BJ2117" s="0" t="s">
        <v>130</v>
      </c>
      <c r="BK2117" s="0" t="s">
        <v>130</v>
      </c>
      <c r="BL2117" s="0" t="s">
        <v>130</v>
      </c>
      <c r="BM2117" s="0" t="s">
        <v>130</v>
      </c>
      <c r="BN2117" s="0" t="s">
        <v>130</v>
      </c>
      <c r="BO2117" s="0" t="s">
        <v>130</v>
      </c>
      <c r="BP2117" s="0" t="s">
        <v>141</v>
      </c>
      <c r="BQ2117" s="0" t="s">
        <v>130</v>
      </c>
      <c r="BR2117" s="0" t="s">
        <v>130</v>
      </c>
      <c r="BS2117" s="0" t="s">
        <v>130</v>
      </c>
      <c r="BT2117" s="0" t="s">
        <v>130</v>
      </c>
      <c r="BU2117" s="0" t="s">
        <v>130</v>
      </c>
      <c r="BV2117" s="0" t="s">
        <v>130</v>
      </c>
      <c r="BW2117" s="0" t="s">
        <v>130</v>
      </c>
      <c r="BX2117" s="0" t="s">
        <v>130</v>
      </c>
      <c r="BY2117" s="0" t="s">
        <v>130</v>
      </c>
      <c r="BZ2117" s="0" t="s">
        <v>130</v>
      </c>
      <c r="CA2117" s="0" t="s">
        <v>130</v>
      </c>
      <c r="CB2117" s="0" t="s">
        <v>130</v>
      </c>
      <c r="CC2117" s="0" t="s">
        <v>130</v>
      </c>
      <c r="CD2117" s="0" t="s">
        <v>130</v>
      </c>
      <c r="CE2117" s="0" t="s">
        <v>130</v>
      </c>
      <c r="CF2117" s="0" t="s">
        <v>130</v>
      </c>
      <c r="CG2117" s="0" t="s">
        <v>130</v>
      </c>
      <c r="CH2117" s="0" t="s">
        <v>130</v>
      </c>
      <c r="CI2117" s="0" t="s">
        <v>130</v>
      </c>
      <c r="CJ2117" s="0" t="s">
        <v>130</v>
      </c>
      <c r="CK2117" s="0" t="s">
        <v>130</v>
      </c>
      <c r="CL2117" s="0" t="s">
        <v>130</v>
      </c>
      <c r="CM2117" s="0" t="s">
        <v>130</v>
      </c>
      <c r="CN2117" s="0" t="s">
        <v>130</v>
      </c>
      <c r="CO2117" s="0" t="s">
        <v>130</v>
      </c>
      <c r="CP2117" s="0" t="s">
        <v>130</v>
      </c>
      <c r="CQ2117" s="0" t="s">
        <v>130</v>
      </c>
      <c r="CR2117" s="0" t="s">
        <v>130</v>
      </c>
      <c r="CS2117" s="0" t="s">
        <v>130</v>
      </c>
      <c r="CT2117" s="0" t="s">
        <v>5885</v>
      </c>
    </row>
    <row r="2118">
      <c r="A2118" s="14">
        <v>101616</v>
      </c>
      <c r="B2118" s="0" t="s">
        <v>1818</v>
      </c>
      <c r="C2118" s="16">
        <f>HYPERLINK("https://eosportal.federatedhermes.com/companies/Q29tcGFueQppNjgxNjU=", "Walmart Inc")</f>
      </c>
      <c r="D2118" s="0" t="s">
        <v>23</v>
      </c>
      <c r="E2118" s="0" t="s">
        <v>5886</v>
      </c>
      <c r="F2118" s="16">
        <f>HYPERLINK("https://eosportal.federatedhermes.com/engagements/RW5nYWdlbWVudAppMzI0OTQ=", "Deforestation Commitment")</f>
      </c>
      <c r="G2118" s="14" t="s">
        <v>5887</v>
      </c>
      <c r="H2118" s="0" t="s">
        <v>141</v>
      </c>
      <c r="I2118" s="14" t="s">
        <v>191</v>
      </c>
      <c r="J2118" s="0" t="s">
        <v>197</v>
      </c>
      <c r="K2118" s="0" t="s">
        <v>337</v>
      </c>
      <c r="L2118" s="0" t="s">
        <v>576</v>
      </c>
      <c r="M2118" s="0" t="s">
        <v>135</v>
      </c>
      <c r="N2118" s="0" t="s">
        <v>136</v>
      </c>
      <c r="O2118" s="0" t="s">
        <v>643</v>
      </c>
      <c r="Q2118" s="0" t="s">
        <v>141</v>
      </c>
      <c r="R2118" s="0" t="s">
        <v>130</v>
      </c>
      <c r="S2118" s="14">
        <v>1</v>
      </c>
      <c r="T2118" s="0" t="s">
        <v>2629</v>
      </c>
      <c r="U2118" s="0" t="s">
        <v>221</v>
      </c>
      <c r="V2118" s="14" t="s">
        <v>2629</v>
      </c>
      <c r="W2118" s="0" t="s">
        <v>221</v>
      </c>
      <c r="X2118" s="14" t="s">
        <v>3562</v>
      </c>
      <c r="Y2118" s="0" t="s">
        <v>223</v>
      </c>
      <c r="Z2118" s="14" t="s">
        <v>138</v>
      </c>
      <c r="AA2118" s="0" t="s">
        <v>224</v>
      </c>
      <c r="AB2118" s="14" t="s">
        <v>138</v>
      </c>
      <c r="AD2118" s="0" t="s">
        <v>17</v>
      </c>
      <c r="AF2118" s="0">
        <v>0</v>
      </c>
      <c r="AG2118" s="0">
        <v>0</v>
      </c>
      <c r="AH2118" s="0" t="s">
        <v>140</v>
      </c>
      <c r="AI2118" s="0" t="s">
        <v>479</v>
      </c>
      <c r="AK2118" s="0" t="s">
        <v>413</v>
      </c>
      <c r="AL2118" s="14"/>
      <c r="AN2118" s="14"/>
      <c r="AQ2118" s="0" t="s">
        <v>130</v>
      </c>
      <c r="AR2118" s="0" t="s">
        <v>141</v>
      </c>
      <c r="AS2118" s="0" t="s">
        <v>130</v>
      </c>
      <c r="AT2118" s="0" t="s">
        <v>130</v>
      </c>
      <c r="AU2118" s="0" t="s">
        <v>130</v>
      </c>
      <c r="AV2118" s="0" t="s">
        <v>130</v>
      </c>
      <c r="AW2118" s="0" t="s">
        <v>130</v>
      </c>
      <c r="AX2118" s="0" t="s">
        <v>130</v>
      </c>
      <c r="AY2118" s="0" t="s">
        <v>130</v>
      </c>
      <c r="AZ2118" s="0" t="s">
        <v>130</v>
      </c>
      <c r="BA2118" s="0" t="s">
        <v>130</v>
      </c>
      <c r="BB2118" s="0" t="s">
        <v>141</v>
      </c>
      <c r="BC2118" s="0" t="s">
        <v>130</v>
      </c>
      <c r="BD2118" s="0" t="s">
        <v>130</v>
      </c>
      <c r="BE2118" s="0" t="s">
        <v>141</v>
      </c>
      <c r="BF2118" s="0" t="s">
        <v>130</v>
      </c>
      <c r="BG2118" s="0" t="s">
        <v>130</v>
      </c>
      <c r="BH2118" s="0" t="s">
        <v>130</v>
      </c>
      <c r="BI2118" s="0" t="s">
        <v>130</v>
      </c>
      <c r="BJ2118" s="0" t="s">
        <v>130</v>
      </c>
      <c r="BK2118" s="0" t="s">
        <v>130</v>
      </c>
      <c r="BL2118" s="0" t="s">
        <v>130</v>
      </c>
      <c r="BM2118" s="0" t="s">
        <v>130</v>
      </c>
      <c r="BN2118" s="0" t="s">
        <v>130</v>
      </c>
      <c r="BO2118" s="0" t="s">
        <v>130</v>
      </c>
      <c r="BP2118" s="0" t="s">
        <v>130</v>
      </c>
      <c r="BQ2118" s="0" t="s">
        <v>130</v>
      </c>
      <c r="BR2118" s="0" t="s">
        <v>130</v>
      </c>
      <c r="BS2118" s="0" t="s">
        <v>130</v>
      </c>
      <c r="BT2118" s="0" t="s">
        <v>130</v>
      </c>
      <c r="BU2118" s="0" t="s">
        <v>130</v>
      </c>
      <c r="BV2118" s="0" t="s">
        <v>130</v>
      </c>
      <c r="BW2118" s="0" t="s">
        <v>130</v>
      </c>
      <c r="BX2118" s="0" t="s">
        <v>130</v>
      </c>
      <c r="BY2118" s="0" t="s">
        <v>130</v>
      </c>
      <c r="BZ2118" s="0" t="s">
        <v>130</v>
      </c>
      <c r="CA2118" s="0" t="s">
        <v>130</v>
      </c>
      <c r="CB2118" s="0" t="s">
        <v>130</v>
      </c>
      <c r="CC2118" s="0" t="s">
        <v>130</v>
      </c>
      <c r="CD2118" s="0" t="s">
        <v>130</v>
      </c>
      <c r="CE2118" s="0" t="s">
        <v>130</v>
      </c>
      <c r="CF2118" s="0" t="s">
        <v>130</v>
      </c>
      <c r="CG2118" s="0" t="s">
        <v>130</v>
      </c>
      <c r="CH2118" s="0" t="s">
        <v>130</v>
      </c>
      <c r="CI2118" s="0" t="s">
        <v>130</v>
      </c>
      <c r="CJ2118" s="0" t="s">
        <v>130</v>
      </c>
      <c r="CK2118" s="0" t="s">
        <v>130</v>
      </c>
      <c r="CL2118" s="0" t="s">
        <v>130</v>
      </c>
      <c r="CM2118" s="0" t="s">
        <v>130</v>
      </c>
      <c r="CN2118" s="0" t="s">
        <v>130</v>
      </c>
      <c r="CO2118" s="0" t="s">
        <v>130</v>
      </c>
      <c r="CP2118" s="0" t="s">
        <v>130</v>
      </c>
      <c r="CQ2118" s="0" t="s">
        <v>130</v>
      </c>
      <c r="CR2118" s="0" t="s">
        <v>130</v>
      </c>
      <c r="CS2118" s="0" t="s">
        <v>130</v>
      </c>
      <c r="CT2118" s="0" t="s">
        <v>5888</v>
      </c>
    </row>
    <row r="2119">
      <c r="A2119" s="14">
        <v>216952</v>
      </c>
      <c r="B2119" s="0" t="s">
        <v>3384</v>
      </c>
      <c r="C2119" s="16">
        <f>HYPERLINK("https://eosportal.federatedhermes.com/companies/Q29tcGFueQppNjc3MjM=", "Amazon.com Inc")</f>
      </c>
      <c r="D2119" s="0" t="s">
        <v>23</v>
      </c>
      <c r="E2119" s="0" t="s">
        <v>5889</v>
      </c>
      <c r="F2119" s="16">
        <f>HYPERLINK("https://eosportal.federatedhermes.com/engagements/RW5nYWdlbWVudAppMzI0OTk=", "Privacy and freedom of expression")</f>
      </c>
      <c r="G2119" s="14" t="s">
        <v>5890</v>
      </c>
      <c r="H2119" s="0" t="s">
        <v>141</v>
      </c>
      <c r="I2119" s="14" t="s">
        <v>191</v>
      </c>
      <c r="J2119" s="0" t="s">
        <v>153</v>
      </c>
      <c r="K2119" s="0" t="s">
        <v>243</v>
      </c>
      <c r="L2119" s="0" t="s">
        <v>537</v>
      </c>
      <c r="M2119" s="0" t="s">
        <v>135</v>
      </c>
      <c r="N2119" s="0" t="s">
        <v>136</v>
      </c>
      <c r="O2119" s="0" t="s">
        <v>643</v>
      </c>
      <c r="Q2119" s="0" t="s">
        <v>130</v>
      </c>
      <c r="R2119" s="0" t="s">
        <v>130</v>
      </c>
      <c r="S2119" s="14">
        <v>0</v>
      </c>
      <c r="T2119" s="0" t="s">
        <v>231</v>
      </c>
      <c r="U2119" s="0" t="s">
        <v>221</v>
      </c>
      <c r="V2119" s="14" t="s">
        <v>231</v>
      </c>
      <c r="W2119" s="0" t="s">
        <v>221</v>
      </c>
      <c r="X2119" s="14" t="s">
        <v>597</v>
      </c>
      <c r="Y2119" s="0" t="s">
        <v>223</v>
      </c>
      <c r="Z2119" s="14" t="s">
        <v>138</v>
      </c>
      <c r="AA2119" s="0" t="s">
        <v>224</v>
      </c>
      <c r="AB2119" s="14" t="s">
        <v>138</v>
      </c>
      <c r="AD2119" s="0" t="s">
        <v>17</v>
      </c>
      <c r="AF2119" s="0">
        <v>0</v>
      </c>
      <c r="AG2119" s="0">
        <v>0</v>
      </c>
      <c r="AH2119" s="0" t="s">
        <v>140</v>
      </c>
      <c r="AI2119" s="0" t="s">
        <v>232</v>
      </c>
      <c r="AL2119" s="14"/>
      <c r="AN2119" s="14"/>
      <c r="AQ2119" s="0" t="s">
        <v>130</v>
      </c>
      <c r="AR2119" s="0" t="s">
        <v>130</v>
      </c>
      <c r="AS2119" s="0" t="s">
        <v>130</v>
      </c>
      <c r="AT2119" s="0" t="s">
        <v>130</v>
      </c>
      <c r="AU2119" s="0" t="s">
        <v>130</v>
      </c>
      <c r="AV2119" s="0" t="s">
        <v>130</v>
      </c>
      <c r="AW2119" s="0" t="s">
        <v>130</v>
      </c>
      <c r="AX2119" s="0" t="s">
        <v>130</v>
      </c>
      <c r="AY2119" s="0" t="s">
        <v>130</v>
      </c>
      <c r="AZ2119" s="0" t="s">
        <v>130</v>
      </c>
      <c r="BA2119" s="0" t="s">
        <v>130</v>
      </c>
      <c r="BB2119" s="0" t="s">
        <v>141</v>
      </c>
      <c r="BC2119" s="0" t="s">
        <v>130</v>
      </c>
      <c r="BD2119" s="0" t="s">
        <v>130</v>
      </c>
      <c r="BE2119" s="0" t="s">
        <v>130</v>
      </c>
      <c r="BF2119" s="0" t="s">
        <v>141</v>
      </c>
      <c r="BG2119" s="0" t="s">
        <v>130</v>
      </c>
      <c r="BH2119" s="0" t="s">
        <v>130</v>
      </c>
      <c r="BI2119" s="0" t="s">
        <v>130</v>
      </c>
      <c r="BJ2119" s="0" t="s">
        <v>130</v>
      </c>
      <c r="BK2119" s="0" t="s">
        <v>130</v>
      </c>
      <c r="BL2119" s="0" t="s">
        <v>130</v>
      </c>
      <c r="BM2119" s="0" t="s">
        <v>130</v>
      </c>
      <c r="BN2119" s="0" t="s">
        <v>130</v>
      </c>
      <c r="BO2119" s="0" t="s">
        <v>130</v>
      </c>
      <c r="BP2119" s="0" t="s">
        <v>130</v>
      </c>
      <c r="BQ2119" s="0" t="s">
        <v>130</v>
      </c>
      <c r="BR2119" s="0" t="s">
        <v>130</v>
      </c>
      <c r="BS2119" s="0" t="s">
        <v>130</v>
      </c>
      <c r="BT2119" s="0" t="s">
        <v>130</v>
      </c>
      <c r="BU2119" s="0" t="s">
        <v>130</v>
      </c>
      <c r="BV2119" s="0" t="s">
        <v>130</v>
      </c>
      <c r="BW2119" s="0" t="s">
        <v>130</v>
      </c>
      <c r="BX2119" s="0" t="s">
        <v>130</v>
      </c>
      <c r="BY2119" s="0" t="s">
        <v>130</v>
      </c>
      <c r="BZ2119" s="0" t="s">
        <v>130</v>
      </c>
      <c r="CA2119" s="0" t="s">
        <v>130</v>
      </c>
      <c r="CB2119" s="0" t="s">
        <v>130</v>
      </c>
      <c r="CC2119" s="0" t="s">
        <v>130</v>
      </c>
      <c r="CD2119" s="0" t="s">
        <v>130</v>
      </c>
      <c r="CE2119" s="0" t="s">
        <v>130</v>
      </c>
      <c r="CF2119" s="0" t="s">
        <v>130</v>
      </c>
      <c r="CG2119" s="0" t="s">
        <v>130</v>
      </c>
      <c r="CH2119" s="0" t="s">
        <v>130</v>
      </c>
      <c r="CI2119" s="0" t="s">
        <v>130</v>
      </c>
      <c r="CJ2119" s="0" t="s">
        <v>130</v>
      </c>
      <c r="CK2119" s="0" t="s">
        <v>130</v>
      </c>
      <c r="CL2119" s="0" t="s">
        <v>130</v>
      </c>
      <c r="CM2119" s="0" t="s">
        <v>130</v>
      </c>
      <c r="CN2119" s="0" t="s">
        <v>130</v>
      </c>
      <c r="CO2119" s="0" t="s">
        <v>130</v>
      </c>
      <c r="CP2119" s="0" t="s">
        <v>130</v>
      </c>
      <c r="CQ2119" s="0" t="s">
        <v>130</v>
      </c>
      <c r="CR2119" s="0" t="s">
        <v>130</v>
      </c>
      <c r="CS2119" s="0" t="s">
        <v>130</v>
      </c>
      <c r="CT2119" s="0" t="s">
        <v>5891</v>
      </c>
    </row>
    <row r="2120">
      <c r="A2120" s="14">
        <v>225906</v>
      </c>
      <c r="B2120" s="0" t="s">
        <v>3499</v>
      </c>
      <c r="C2120" s="16">
        <f>HYPERLINK("https://eosportal.federatedhermes.com/companies/Q29tcGFueQppNTg5ODU=", "Valero Energy Corp")</f>
      </c>
      <c r="D2120" s="0" t="s">
        <v>25</v>
      </c>
      <c r="E2120" s="0" t="s">
        <v>2125</v>
      </c>
      <c r="F2120" s="16">
        <f>HYPERLINK("https://eosportal.federatedhermes.com/engagements/RW5nYWdlbWVudAppMzI1MDA=", "Racial Equity Audit")</f>
      </c>
      <c r="G2120" s="14" t="s">
        <v>5892</v>
      </c>
      <c r="H2120" s="0" t="s">
        <v>141</v>
      </c>
      <c r="I2120" s="14" t="s">
        <v>191</v>
      </c>
      <c r="J2120" s="0" t="s">
        <v>153</v>
      </c>
      <c r="K2120" s="0" t="s">
        <v>154</v>
      </c>
      <c r="L2120" s="0" t="s">
        <v>268</v>
      </c>
      <c r="M2120" s="0" t="s">
        <v>135</v>
      </c>
      <c r="N2120" s="0" t="s">
        <v>136</v>
      </c>
      <c r="O2120" s="0" t="s">
        <v>542</v>
      </c>
      <c r="Q2120" s="0" t="s">
        <v>130</v>
      </c>
      <c r="R2120" s="0" t="s">
        <v>138</v>
      </c>
      <c r="S2120" s="14">
        <v>0</v>
      </c>
      <c r="T2120" s="0" t="s">
        <v>478</v>
      </c>
      <c r="U2120" s="0" t="s">
        <v>138</v>
      </c>
      <c r="V2120" s="14" t="s">
        <v>138</v>
      </c>
      <c r="W2120" s="0" t="s">
        <v>138</v>
      </c>
      <c r="X2120" s="14" t="s">
        <v>138</v>
      </c>
      <c r="Y2120" s="0" t="s">
        <v>138</v>
      </c>
      <c r="Z2120" s="14" t="s">
        <v>138</v>
      </c>
      <c r="AA2120" s="0" t="s">
        <v>138</v>
      </c>
      <c r="AB2120" s="14" t="s">
        <v>138</v>
      </c>
      <c r="AD2120" s="0" t="s">
        <v>138</v>
      </c>
      <c r="AF2120" s="0">
        <v>0</v>
      </c>
      <c r="AG2120" s="0">
        <v>0</v>
      </c>
      <c r="AH2120" s="0" t="s">
        <v>140</v>
      </c>
      <c r="AI2120" s="0" t="s">
        <v>138</v>
      </c>
      <c r="AL2120" s="14"/>
      <c r="AN2120" s="14"/>
      <c r="AQ2120" s="0" t="s">
        <v>130</v>
      </c>
      <c r="AR2120" s="0" t="s">
        <v>130</v>
      </c>
      <c r="AS2120" s="0" t="s">
        <v>130</v>
      </c>
      <c r="AT2120" s="0" t="s">
        <v>130</v>
      </c>
      <c r="AU2120" s="0" t="s">
        <v>130</v>
      </c>
      <c r="AV2120" s="0" t="s">
        <v>130</v>
      </c>
      <c r="AW2120" s="0" t="s">
        <v>130</v>
      </c>
      <c r="AX2120" s="0" t="s">
        <v>130</v>
      </c>
      <c r="AY2120" s="0" t="s">
        <v>130</v>
      </c>
      <c r="AZ2120" s="0" t="s">
        <v>130</v>
      </c>
      <c r="BA2120" s="0" t="s">
        <v>130</v>
      </c>
      <c r="BB2120" s="0" t="s">
        <v>130</v>
      </c>
      <c r="BC2120" s="0" t="s">
        <v>130</v>
      </c>
      <c r="BD2120" s="0" t="s">
        <v>130</v>
      </c>
      <c r="BE2120" s="0" t="s">
        <v>130</v>
      </c>
      <c r="BF2120" s="0" t="s">
        <v>130</v>
      </c>
      <c r="BG2120" s="0" t="s">
        <v>130</v>
      </c>
      <c r="BH2120" s="0" t="s">
        <v>130</v>
      </c>
      <c r="BI2120" s="0" t="s">
        <v>130</v>
      </c>
      <c r="BJ2120" s="0" t="s">
        <v>130</v>
      </c>
      <c r="BK2120" s="0" t="s">
        <v>130</v>
      </c>
      <c r="BL2120" s="0" t="s">
        <v>130</v>
      </c>
      <c r="BM2120" s="0" t="s">
        <v>130</v>
      </c>
      <c r="BN2120" s="0" t="s">
        <v>130</v>
      </c>
      <c r="BO2120" s="0" t="s">
        <v>130</v>
      </c>
      <c r="BP2120" s="0" t="s">
        <v>130</v>
      </c>
      <c r="BQ2120" s="0" t="s">
        <v>130</v>
      </c>
      <c r="BR2120" s="0" t="s">
        <v>130</v>
      </c>
      <c r="BS2120" s="0" t="s">
        <v>130</v>
      </c>
      <c r="BT2120" s="0" t="s">
        <v>130</v>
      </c>
      <c r="BU2120" s="0" t="s">
        <v>130</v>
      </c>
      <c r="BV2120" s="0" t="s">
        <v>130</v>
      </c>
      <c r="BW2120" s="0" t="s">
        <v>130</v>
      </c>
      <c r="BX2120" s="0" t="s">
        <v>130</v>
      </c>
      <c r="BY2120" s="0" t="s">
        <v>130</v>
      </c>
      <c r="BZ2120" s="0" t="s">
        <v>130</v>
      </c>
      <c r="CA2120" s="0" t="s">
        <v>130</v>
      </c>
      <c r="CB2120" s="0" t="s">
        <v>130</v>
      </c>
      <c r="CC2120" s="0" t="s">
        <v>130</v>
      </c>
      <c r="CD2120" s="0" t="s">
        <v>130</v>
      </c>
      <c r="CE2120" s="0" t="s">
        <v>130</v>
      </c>
      <c r="CF2120" s="0" t="s">
        <v>130</v>
      </c>
      <c r="CG2120" s="0" t="s">
        <v>130</v>
      </c>
      <c r="CH2120" s="0" t="s">
        <v>130</v>
      </c>
      <c r="CI2120" s="0" t="s">
        <v>130</v>
      </c>
      <c r="CJ2120" s="0" t="s">
        <v>130</v>
      </c>
      <c r="CK2120" s="0" t="s">
        <v>141</v>
      </c>
      <c r="CL2120" s="0" t="s">
        <v>130</v>
      </c>
      <c r="CM2120" s="0" t="s">
        <v>130</v>
      </c>
      <c r="CN2120" s="0" t="s">
        <v>130</v>
      </c>
      <c r="CO2120" s="0" t="s">
        <v>130</v>
      </c>
      <c r="CP2120" s="0" t="s">
        <v>130</v>
      </c>
      <c r="CQ2120" s="0" t="s">
        <v>130</v>
      </c>
      <c r="CR2120" s="0" t="s">
        <v>130</v>
      </c>
      <c r="CS2120" s="0" t="s">
        <v>130</v>
      </c>
      <c r="CT2120" s="0" t="s">
        <v>5893</v>
      </c>
    </row>
    <row r="2121">
      <c r="A2121" s="14">
        <v>115114</v>
      </c>
      <c r="B2121" s="0" t="s">
        <v>2319</v>
      </c>
      <c r="C2121" s="16">
        <f>HYPERLINK("https://eosportal.federatedhermes.com/companies/Q29tcGFueQppNTU3NDE=", "Toyota Motor Corp")</f>
      </c>
      <c r="D2121" s="0" t="s">
        <v>25</v>
      </c>
      <c r="E2121" s="0" t="s">
        <v>5894</v>
      </c>
      <c r="F2121" s="16">
        <f>HYPERLINK("https://eosportal.federatedhermes.com/engagements/RW5nYWdlbWVudAppMzI1MDQ=", "Reduction of strategic shareholdings")</f>
      </c>
      <c r="G2121" s="14" t="s">
        <v>5895</v>
      </c>
      <c r="H2121" s="0" t="s">
        <v>141</v>
      </c>
      <c r="I2121" s="14" t="s">
        <v>1645</v>
      </c>
      <c r="J2121" s="0" t="s">
        <v>132</v>
      </c>
      <c r="K2121" s="0" t="s">
        <v>133</v>
      </c>
      <c r="L2121" s="0" t="s">
        <v>753</v>
      </c>
      <c r="M2121" s="0" t="s">
        <v>802</v>
      </c>
      <c r="N2121" s="0" t="s">
        <v>952</v>
      </c>
      <c r="O2121" s="0" t="s">
        <v>425</v>
      </c>
      <c r="Q2121" s="0" t="s">
        <v>130</v>
      </c>
      <c r="R2121" s="0" t="s">
        <v>138</v>
      </c>
      <c r="S2121" s="14">
        <v>0</v>
      </c>
      <c r="T2121" s="0" t="s">
        <v>478</v>
      </c>
      <c r="U2121" s="0" t="s">
        <v>138</v>
      </c>
      <c r="V2121" s="14" t="s">
        <v>138</v>
      </c>
      <c r="W2121" s="0" t="s">
        <v>138</v>
      </c>
      <c r="X2121" s="14" t="s">
        <v>138</v>
      </c>
      <c r="Y2121" s="0" t="s">
        <v>138</v>
      </c>
      <c r="Z2121" s="14" t="s">
        <v>138</v>
      </c>
      <c r="AA2121" s="0" t="s">
        <v>138</v>
      </c>
      <c r="AB2121" s="14" t="s">
        <v>138</v>
      </c>
      <c r="AD2121" s="0" t="s">
        <v>138</v>
      </c>
      <c r="AF2121" s="0">
        <v>0</v>
      </c>
      <c r="AG2121" s="0">
        <v>0</v>
      </c>
      <c r="AH2121" s="0" t="s">
        <v>140</v>
      </c>
      <c r="AI2121" s="0" t="s">
        <v>138</v>
      </c>
      <c r="AL2121" s="14"/>
      <c r="AN2121" s="14"/>
      <c r="AQ2121" s="0" t="s">
        <v>130</v>
      </c>
      <c r="AR2121" s="0" t="s">
        <v>130</v>
      </c>
      <c r="AS2121" s="0" t="s">
        <v>130</v>
      </c>
      <c r="AT2121" s="0" t="s">
        <v>130</v>
      </c>
      <c r="AU2121" s="0" t="s">
        <v>130</v>
      </c>
      <c r="AV2121" s="0" t="s">
        <v>130</v>
      </c>
      <c r="AW2121" s="0" t="s">
        <v>130</v>
      </c>
      <c r="AX2121" s="0" t="s">
        <v>130</v>
      </c>
      <c r="AY2121" s="0" t="s">
        <v>130</v>
      </c>
      <c r="AZ2121" s="0" t="s">
        <v>130</v>
      </c>
      <c r="BA2121" s="0" t="s">
        <v>130</v>
      </c>
      <c r="BB2121" s="0" t="s">
        <v>130</v>
      </c>
      <c r="BC2121" s="0" t="s">
        <v>130</v>
      </c>
      <c r="BD2121" s="0" t="s">
        <v>130</v>
      </c>
      <c r="BE2121" s="0" t="s">
        <v>130</v>
      </c>
      <c r="BF2121" s="0" t="s">
        <v>130</v>
      </c>
      <c r="BG2121" s="0" t="s">
        <v>130</v>
      </c>
      <c r="BH2121" s="0" t="s">
        <v>130</v>
      </c>
      <c r="BI2121" s="0" t="s">
        <v>130</v>
      </c>
      <c r="BJ2121" s="0" t="s">
        <v>130</v>
      </c>
      <c r="BK2121" s="0" t="s">
        <v>130</v>
      </c>
      <c r="BL2121" s="0" t="s">
        <v>130</v>
      </c>
      <c r="BM2121" s="0" t="s">
        <v>130</v>
      </c>
      <c r="BN2121" s="0" t="s">
        <v>130</v>
      </c>
      <c r="BO2121" s="0" t="s">
        <v>130</v>
      </c>
      <c r="BP2121" s="0" t="s">
        <v>130</v>
      </c>
      <c r="BQ2121" s="0" t="s">
        <v>130</v>
      </c>
      <c r="BR2121" s="0" t="s">
        <v>130</v>
      </c>
      <c r="BS2121" s="0" t="s">
        <v>130</v>
      </c>
      <c r="BT2121" s="0" t="s">
        <v>130</v>
      </c>
      <c r="BU2121" s="0" t="s">
        <v>130</v>
      </c>
      <c r="BV2121" s="0" t="s">
        <v>130</v>
      </c>
      <c r="BW2121" s="0" t="s">
        <v>130</v>
      </c>
      <c r="BX2121" s="0" t="s">
        <v>130</v>
      </c>
      <c r="BY2121" s="0" t="s">
        <v>130</v>
      </c>
      <c r="BZ2121" s="0" t="s">
        <v>130</v>
      </c>
      <c r="CA2121" s="0" t="s">
        <v>130</v>
      </c>
      <c r="CB2121" s="0" t="s">
        <v>130</v>
      </c>
      <c r="CC2121" s="0" t="s">
        <v>130</v>
      </c>
      <c r="CD2121" s="0" t="s">
        <v>130</v>
      </c>
      <c r="CE2121" s="0" t="s">
        <v>130</v>
      </c>
      <c r="CF2121" s="0" t="s">
        <v>130</v>
      </c>
      <c r="CG2121" s="0" t="s">
        <v>130</v>
      </c>
      <c r="CH2121" s="0" t="s">
        <v>130</v>
      </c>
      <c r="CI2121" s="0" t="s">
        <v>130</v>
      </c>
      <c r="CJ2121" s="0" t="s">
        <v>130</v>
      </c>
      <c r="CK2121" s="0" t="s">
        <v>130</v>
      </c>
      <c r="CL2121" s="0" t="s">
        <v>130</v>
      </c>
      <c r="CM2121" s="0" t="s">
        <v>130</v>
      </c>
      <c r="CN2121" s="0" t="s">
        <v>130</v>
      </c>
      <c r="CO2121" s="0" t="s">
        <v>130</v>
      </c>
      <c r="CP2121" s="0" t="s">
        <v>130</v>
      </c>
      <c r="CQ2121" s="0" t="s">
        <v>130</v>
      </c>
      <c r="CR2121" s="0" t="s">
        <v>130</v>
      </c>
      <c r="CS2121" s="0" t="s">
        <v>130</v>
      </c>
      <c r="CT2121" s="0" t="s">
        <v>5896</v>
      </c>
    </row>
    <row r="2122">
      <c r="A2122" s="14">
        <v>110631</v>
      </c>
      <c r="B2122" s="0" t="s">
        <v>2283</v>
      </c>
      <c r="C2122" s="16">
        <f>HYPERLINK("https://eosportal.federatedhermes.com/companies/Q29tcGFueQppODExMjM=", "Suncor Energy Inc")</f>
      </c>
      <c r="D2122" s="0" t="s">
        <v>23</v>
      </c>
      <c r="E2122" s="0" t="s">
        <v>5274</v>
      </c>
      <c r="F2122" s="16">
        <f>HYPERLINK("https://eosportal.federatedhermes.com/engagements/RW5nYWdlbWVudAppMzI1MDg=", "Energy Efficiency Strategy")</f>
      </c>
      <c r="G2122" s="14" t="s">
        <v>5275</v>
      </c>
      <c r="H2122" s="0" t="s">
        <v>141</v>
      </c>
      <c r="I2122" s="14" t="s">
        <v>636</v>
      </c>
      <c r="J2122" s="0" t="s">
        <v>197</v>
      </c>
      <c r="K2122" s="0" t="s">
        <v>198</v>
      </c>
      <c r="L2122" s="0" t="s">
        <v>220</v>
      </c>
      <c r="M2122" s="0" t="s">
        <v>135</v>
      </c>
      <c r="N2122" s="0" t="s">
        <v>1678</v>
      </c>
      <c r="O2122" s="0" t="s">
        <v>542</v>
      </c>
      <c r="Q2122" s="0" t="s">
        <v>141</v>
      </c>
      <c r="R2122" s="0" t="s">
        <v>130</v>
      </c>
      <c r="S2122" s="14">
        <v>1</v>
      </c>
      <c r="T2122" s="0" t="s">
        <v>478</v>
      </c>
      <c r="U2122" s="0" t="s">
        <v>221</v>
      </c>
      <c r="V2122" s="14" t="s">
        <v>478</v>
      </c>
      <c r="W2122" s="0" t="s">
        <v>223</v>
      </c>
      <c r="X2122" s="14" t="s">
        <v>138</v>
      </c>
      <c r="Y2122" s="0" t="s">
        <v>224</v>
      </c>
      <c r="Z2122" s="14" t="s">
        <v>138</v>
      </c>
      <c r="AA2122" s="0" t="s">
        <v>224</v>
      </c>
      <c r="AB2122" s="14" t="s">
        <v>138</v>
      </c>
      <c r="AD2122" s="0" t="s">
        <v>14</v>
      </c>
      <c r="AF2122" s="0">
        <v>0</v>
      </c>
      <c r="AG2122" s="0">
        <v>0</v>
      </c>
      <c r="AH2122" s="0" t="s">
        <v>140</v>
      </c>
      <c r="AI2122" s="0" t="s">
        <v>225</v>
      </c>
      <c r="AK2122" s="0" t="s">
        <v>2290</v>
      </c>
      <c r="AL2122" s="14"/>
      <c r="AN2122" s="14"/>
      <c r="AQ2122" s="0" t="s">
        <v>130</v>
      </c>
      <c r="AR2122" s="0" t="s">
        <v>130</v>
      </c>
      <c r="AS2122" s="0" t="s">
        <v>130</v>
      </c>
      <c r="AT2122" s="0" t="s">
        <v>130</v>
      </c>
      <c r="AU2122" s="0" t="s">
        <v>130</v>
      </c>
      <c r="AV2122" s="0" t="s">
        <v>130</v>
      </c>
      <c r="AW2122" s="0" t="s">
        <v>141</v>
      </c>
      <c r="AX2122" s="0" t="s">
        <v>130</v>
      </c>
      <c r="AY2122" s="0" t="s">
        <v>141</v>
      </c>
      <c r="AZ2122" s="0" t="s">
        <v>130</v>
      </c>
      <c r="BA2122" s="0" t="s">
        <v>130</v>
      </c>
      <c r="BB2122" s="0" t="s">
        <v>130</v>
      </c>
      <c r="BC2122" s="0" t="s">
        <v>141</v>
      </c>
      <c r="BD2122" s="0" t="s">
        <v>130</v>
      </c>
      <c r="BE2122" s="0" t="s">
        <v>130</v>
      </c>
      <c r="BF2122" s="0" t="s">
        <v>130</v>
      </c>
      <c r="BG2122" s="0" t="s">
        <v>130</v>
      </c>
      <c r="BH2122" s="0" t="s">
        <v>141</v>
      </c>
      <c r="BI2122" s="0" t="s">
        <v>141</v>
      </c>
      <c r="BJ2122" s="0" t="s">
        <v>141</v>
      </c>
      <c r="BK2122" s="0" t="s">
        <v>130</v>
      </c>
      <c r="BL2122" s="0" t="s">
        <v>130</v>
      </c>
      <c r="BM2122" s="0" t="s">
        <v>130</v>
      </c>
      <c r="BN2122" s="0" t="s">
        <v>130</v>
      </c>
      <c r="BO2122" s="0" t="s">
        <v>130</v>
      </c>
      <c r="BP2122" s="0" t="s">
        <v>130</v>
      </c>
      <c r="BQ2122" s="0" t="s">
        <v>130</v>
      </c>
      <c r="BR2122" s="0" t="s">
        <v>130</v>
      </c>
      <c r="BS2122" s="0" t="s">
        <v>130</v>
      </c>
      <c r="BT2122" s="0" t="s">
        <v>130</v>
      </c>
      <c r="BU2122" s="0" t="s">
        <v>130</v>
      </c>
      <c r="BV2122" s="0" t="s">
        <v>141</v>
      </c>
      <c r="BW2122" s="0" t="s">
        <v>141</v>
      </c>
      <c r="BX2122" s="0" t="s">
        <v>130</v>
      </c>
      <c r="BY2122" s="0" t="s">
        <v>130</v>
      </c>
      <c r="BZ2122" s="0" t="s">
        <v>130</v>
      </c>
      <c r="CA2122" s="0" t="s">
        <v>130</v>
      </c>
      <c r="CB2122" s="0" t="s">
        <v>130</v>
      </c>
      <c r="CC2122" s="0" t="s">
        <v>130</v>
      </c>
      <c r="CD2122" s="0" t="s">
        <v>130</v>
      </c>
      <c r="CE2122" s="0" t="s">
        <v>130</v>
      </c>
      <c r="CF2122" s="0" t="s">
        <v>130</v>
      </c>
      <c r="CG2122" s="0" t="s">
        <v>130</v>
      </c>
      <c r="CH2122" s="0" t="s">
        <v>130</v>
      </c>
      <c r="CI2122" s="0" t="s">
        <v>130</v>
      </c>
      <c r="CJ2122" s="0" t="s">
        <v>130</v>
      </c>
      <c r="CK2122" s="0" t="s">
        <v>130</v>
      </c>
      <c r="CL2122" s="0" t="s">
        <v>130</v>
      </c>
      <c r="CM2122" s="0" t="s">
        <v>130</v>
      </c>
      <c r="CN2122" s="0" t="s">
        <v>130</v>
      </c>
      <c r="CO2122" s="0" t="s">
        <v>130</v>
      </c>
      <c r="CP2122" s="0" t="s">
        <v>130</v>
      </c>
      <c r="CQ2122" s="0" t="s">
        <v>130</v>
      </c>
      <c r="CR2122" s="0" t="s">
        <v>130</v>
      </c>
      <c r="CS2122" s="0" t="s">
        <v>130</v>
      </c>
      <c r="CT2122" s="0" t="s">
        <v>5897</v>
      </c>
    </row>
    <row r="2123">
      <c r="A2123" s="14">
        <v>110631</v>
      </c>
      <c r="B2123" s="0" t="s">
        <v>2283</v>
      </c>
      <c r="C2123" s="16">
        <f>HYPERLINK("https://eosportal.federatedhermes.com/companies/Q29tcGFueQppODExMjM=", "Suncor Energy Inc")</f>
      </c>
      <c r="D2123" s="0" t="s">
        <v>23</v>
      </c>
      <c r="E2123" s="0" t="s">
        <v>228</v>
      </c>
      <c r="F2123" s="16">
        <f>HYPERLINK("https://eosportal.federatedhermes.com/engagements/RW5nYWdlbWVudAppMzI1MDk=", "Climate strategy")</f>
      </c>
      <c r="G2123" s="14" t="s">
        <v>2292</v>
      </c>
      <c r="H2123" s="0" t="s">
        <v>141</v>
      </c>
      <c r="I2123" s="14" t="s">
        <v>636</v>
      </c>
      <c r="J2123" s="0" t="s">
        <v>197</v>
      </c>
      <c r="K2123" s="0" t="s">
        <v>198</v>
      </c>
      <c r="L2123" s="0" t="s">
        <v>220</v>
      </c>
      <c r="M2123" s="0" t="s">
        <v>135</v>
      </c>
      <c r="N2123" s="0" t="s">
        <v>1678</v>
      </c>
      <c r="O2123" s="0" t="s">
        <v>542</v>
      </c>
      <c r="Q2123" s="0" t="s">
        <v>141</v>
      </c>
      <c r="R2123" s="0" t="s">
        <v>130</v>
      </c>
      <c r="S2123" s="14">
        <v>1</v>
      </c>
      <c r="T2123" s="0" t="s">
        <v>478</v>
      </c>
      <c r="U2123" s="0" t="s">
        <v>221</v>
      </c>
      <c r="V2123" s="14" t="s">
        <v>478</v>
      </c>
      <c r="W2123" s="0" t="s">
        <v>221</v>
      </c>
      <c r="X2123" s="14" t="s">
        <v>446</v>
      </c>
      <c r="Y2123" s="0" t="s">
        <v>223</v>
      </c>
      <c r="Z2123" s="14" t="s">
        <v>138</v>
      </c>
      <c r="AA2123" s="0" t="s">
        <v>224</v>
      </c>
      <c r="AB2123" s="14" t="s">
        <v>138</v>
      </c>
      <c r="AD2123" s="0" t="s">
        <v>17</v>
      </c>
      <c r="AF2123" s="0">
        <v>0</v>
      </c>
      <c r="AG2123" s="0">
        <v>0</v>
      </c>
      <c r="AH2123" s="0" t="s">
        <v>140</v>
      </c>
      <c r="AI2123" s="0" t="s">
        <v>479</v>
      </c>
      <c r="AK2123" s="0" t="s">
        <v>2290</v>
      </c>
      <c r="AL2123" s="14"/>
      <c r="AN2123" s="14"/>
      <c r="AQ2123" s="0" t="s">
        <v>130</v>
      </c>
      <c r="AR2123" s="0" t="s">
        <v>130</v>
      </c>
      <c r="AS2123" s="0" t="s">
        <v>130</v>
      </c>
      <c r="AT2123" s="0" t="s">
        <v>130</v>
      </c>
      <c r="AU2123" s="0" t="s">
        <v>130</v>
      </c>
      <c r="AV2123" s="0" t="s">
        <v>130</v>
      </c>
      <c r="AW2123" s="0" t="s">
        <v>141</v>
      </c>
      <c r="AX2123" s="0" t="s">
        <v>130</v>
      </c>
      <c r="AY2123" s="0" t="s">
        <v>141</v>
      </c>
      <c r="AZ2123" s="0" t="s">
        <v>130</v>
      </c>
      <c r="BA2123" s="0" t="s">
        <v>130</v>
      </c>
      <c r="BB2123" s="0" t="s">
        <v>130</v>
      </c>
      <c r="BC2123" s="0" t="s">
        <v>141</v>
      </c>
      <c r="BD2123" s="0" t="s">
        <v>130</v>
      </c>
      <c r="BE2123" s="0" t="s">
        <v>130</v>
      </c>
      <c r="BF2123" s="0" t="s">
        <v>130</v>
      </c>
      <c r="BG2123" s="0" t="s">
        <v>130</v>
      </c>
      <c r="BH2123" s="0" t="s">
        <v>141</v>
      </c>
      <c r="BI2123" s="0" t="s">
        <v>141</v>
      </c>
      <c r="BJ2123" s="0" t="s">
        <v>141</v>
      </c>
      <c r="BK2123" s="0" t="s">
        <v>130</v>
      </c>
      <c r="BL2123" s="0" t="s">
        <v>130</v>
      </c>
      <c r="BM2123" s="0" t="s">
        <v>130</v>
      </c>
      <c r="BN2123" s="0" t="s">
        <v>130</v>
      </c>
      <c r="BO2123" s="0" t="s">
        <v>130</v>
      </c>
      <c r="BP2123" s="0" t="s">
        <v>130</v>
      </c>
      <c r="BQ2123" s="0" t="s">
        <v>130</v>
      </c>
      <c r="BR2123" s="0" t="s">
        <v>130</v>
      </c>
      <c r="BS2123" s="0" t="s">
        <v>130</v>
      </c>
      <c r="BT2123" s="0" t="s">
        <v>130</v>
      </c>
      <c r="BU2123" s="0" t="s">
        <v>130</v>
      </c>
      <c r="BV2123" s="0" t="s">
        <v>141</v>
      </c>
      <c r="BW2123" s="0" t="s">
        <v>141</v>
      </c>
      <c r="BX2123" s="0" t="s">
        <v>130</v>
      </c>
      <c r="BY2123" s="0" t="s">
        <v>130</v>
      </c>
      <c r="BZ2123" s="0" t="s">
        <v>130</v>
      </c>
      <c r="CA2123" s="0" t="s">
        <v>130</v>
      </c>
      <c r="CB2123" s="0" t="s">
        <v>130</v>
      </c>
      <c r="CC2123" s="0" t="s">
        <v>130</v>
      </c>
      <c r="CD2123" s="0" t="s">
        <v>130</v>
      </c>
      <c r="CE2123" s="0" t="s">
        <v>130</v>
      </c>
      <c r="CF2123" s="0" t="s">
        <v>130</v>
      </c>
      <c r="CG2123" s="0" t="s">
        <v>130</v>
      </c>
      <c r="CH2123" s="0" t="s">
        <v>130</v>
      </c>
      <c r="CI2123" s="0" t="s">
        <v>130</v>
      </c>
      <c r="CJ2123" s="0" t="s">
        <v>130</v>
      </c>
      <c r="CK2123" s="0" t="s">
        <v>130</v>
      </c>
      <c r="CL2123" s="0" t="s">
        <v>130</v>
      </c>
      <c r="CM2123" s="0" t="s">
        <v>130</v>
      </c>
      <c r="CN2123" s="0" t="s">
        <v>130</v>
      </c>
      <c r="CO2123" s="0" t="s">
        <v>130</v>
      </c>
      <c r="CP2123" s="0" t="s">
        <v>130</v>
      </c>
      <c r="CQ2123" s="0" t="s">
        <v>130</v>
      </c>
      <c r="CR2123" s="0" t="s">
        <v>130</v>
      </c>
      <c r="CS2123" s="0" t="s">
        <v>130</v>
      </c>
      <c r="CT2123" s="0" t="s">
        <v>5898</v>
      </c>
    </row>
    <row r="2124">
      <c r="A2124" s="14">
        <v>117976</v>
      </c>
      <c r="B2124" s="0" t="s">
        <v>4944</v>
      </c>
      <c r="C2124" s="16">
        <f>HYPERLINK("https://eosportal.federatedhermes.com/companies/Q29tcGFueQppNTg5MTU=", "Sika AG")</f>
      </c>
      <c r="D2124" s="0" t="s">
        <v>25</v>
      </c>
      <c r="E2124" s="0" t="s">
        <v>712</v>
      </c>
      <c r="F2124" s="16">
        <f>HYPERLINK("https://eosportal.federatedhermes.com/engagements/RW5nYWdlbWVudAppMzI1MTQ=", "Hazardous chemicals management")</f>
      </c>
      <c r="G2124" s="14" t="s">
        <v>5899</v>
      </c>
      <c r="H2124" s="0" t="s">
        <v>141</v>
      </c>
      <c r="I2124" s="14" t="s">
        <v>191</v>
      </c>
      <c r="J2124" s="0" t="s">
        <v>197</v>
      </c>
      <c r="K2124" s="0" t="s">
        <v>348</v>
      </c>
      <c r="L2124" s="0" t="s">
        <v>650</v>
      </c>
      <c r="M2124" s="0" t="s">
        <v>378</v>
      </c>
      <c r="N2124" s="0" t="s">
        <v>1059</v>
      </c>
      <c r="O2124" s="0" t="s">
        <v>706</v>
      </c>
      <c r="Q2124" s="0" t="s">
        <v>141</v>
      </c>
      <c r="R2124" s="0" t="s">
        <v>138</v>
      </c>
      <c r="S2124" s="14">
        <v>1</v>
      </c>
      <c r="T2124" s="0" t="s">
        <v>597</v>
      </c>
      <c r="U2124" s="0" t="s">
        <v>138</v>
      </c>
      <c r="V2124" s="14" t="s">
        <v>138</v>
      </c>
      <c r="W2124" s="0" t="s">
        <v>138</v>
      </c>
      <c r="X2124" s="14" t="s">
        <v>138</v>
      </c>
      <c r="Y2124" s="0" t="s">
        <v>138</v>
      </c>
      <c r="Z2124" s="14" t="s">
        <v>138</v>
      </c>
      <c r="AA2124" s="0" t="s">
        <v>138</v>
      </c>
      <c r="AB2124" s="14" t="s">
        <v>138</v>
      </c>
      <c r="AD2124" s="0" t="s">
        <v>138</v>
      </c>
      <c r="AF2124" s="0">
        <v>0</v>
      </c>
      <c r="AG2124" s="0">
        <v>0</v>
      </c>
      <c r="AH2124" s="0" t="s">
        <v>140</v>
      </c>
      <c r="AI2124" s="0" t="s">
        <v>138</v>
      </c>
      <c r="AK2124" s="0" t="s">
        <v>714</v>
      </c>
      <c r="AL2124" s="14"/>
      <c r="AN2124" s="14"/>
      <c r="AQ2124" s="0" t="s">
        <v>130</v>
      </c>
      <c r="AR2124" s="0" t="s">
        <v>130</v>
      </c>
      <c r="AS2124" s="0" t="s">
        <v>141</v>
      </c>
      <c r="AT2124" s="0" t="s">
        <v>130</v>
      </c>
      <c r="AU2124" s="0" t="s">
        <v>130</v>
      </c>
      <c r="AV2124" s="0" t="s">
        <v>130</v>
      </c>
      <c r="AW2124" s="0" t="s">
        <v>130</v>
      </c>
      <c r="AX2124" s="0" t="s">
        <v>130</v>
      </c>
      <c r="AY2124" s="0" t="s">
        <v>130</v>
      </c>
      <c r="AZ2124" s="0" t="s">
        <v>130</v>
      </c>
      <c r="BA2124" s="0" t="s">
        <v>130</v>
      </c>
      <c r="BB2124" s="0" t="s">
        <v>141</v>
      </c>
      <c r="BC2124" s="0" t="s">
        <v>130</v>
      </c>
      <c r="BD2124" s="0" t="s">
        <v>130</v>
      </c>
      <c r="BE2124" s="0" t="s">
        <v>130</v>
      </c>
      <c r="BF2124" s="0" t="s">
        <v>130</v>
      </c>
      <c r="BG2124" s="0" t="s">
        <v>130</v>
      </c>
      <c r="BH2124" s="0" t="s">
        <v>130</v>
      </c>
      <c r="BI2124" s="0" t="s">
        <v>130</v>
      </c>
      <c r="BJ2124" s="0" t="s">
        <v>130</v>
      </c>
      <c r="BK2124" s="0" t="s">
        <v>130</v>
      </c>
      <c r="BL2124" s="0" t="s">
        <v>130</v>
      </c>
      <c r="BM2124" s="0" t="s">
        <v>130</v>
      </c>
      <c r="BN2124" s="0" t="s">
        <v>130</v>
      </c>
      <c r="BO2124" s="0" t="s">
        <v>130</v>
      </c>
      <c r="BP2124" s="0" t="s">
        <v>130</v>
      </c>
      <c r="BQ2124" s="0" t="s">
        <v>130</v>
      </c>
      <c r="BR2124" s="0" t="s">
        <v>130</v>
      </c>
      <c r="BS2124" s="0" t="s">
        <v>130</v>
      </c>
      <c r="BT2124" s="0" t="s">
        <v>130</v>
      </c>
      <c r="BU2124" s="0" t="s">
        <v>130</v>
      </c>
      <c r="BV2124" s="0" t="s">
        <v>130</v>
      </c>
      <c r="BW2124" s="0" t="s">
        <v>130</v>
      </c>
      <c r="BX2124" s="0" t="s">
        <v>130</v>
      </c>
      <c r="BY2124" s="0" t="s">
        <v>130</v>
      </c>
      <c r="BZ2124" s="0" t="s">
        <v>130</v>
      </c>
      <c r="CA2124" s="0" t="s">
        <v>130</v>
      </c>
      <c r="CB2124" s="0" t="s">
        <v>130</v>
      </c>
      <c r="CC2124" s="0" t="s">
        <v>130</v>
      </c>
      <c r="CD2124" s="0" t="s">
        <v>130</v>
      </c>
      <c r="CE2124" s="0" t="s">
        <v>130</v>
      </c>
      <c r="CF2124" s="0" t="s">
        <v>130</v>
      </c>
      <c r="CG2124" s="0" t="s">
        <v>130</v>
      </c>
      <c r="CH2124" s="0" t="s">
        <v>130</v>
      </c>
      <c r="CI2124" s="0" t="s">
        <v>130</v>
      </c>
      <c r="CJ2124" s="0" t="s">
        <v>130</v>
      </c>
      <c r="CK2124" s="0" t="s">
        <v>130</v>
      </c>
      <c r="CL2124" s="0" t="s">
        <v>130</v>
      </c>
      <c r="CM2124" s="0" t="s">
        <v>130</v>
      </c>
      <c r="CN2124" s="0" t="s">
        <v>130</v>
      </c>
      <c r="CO2124" s="0" t="s">
        <v>130</v>
      </c>
      <c r="CP2124" s="0" t="s">
        <v>130</v>
      </c>
      <c r="CQ2124" s="0" t="s">
        <v>130</v>
      </c>
      <c r="CR2124" s="0" t="s">
        <v>130</v>
      </c>
      <c r="CS2124" s="0" t="s">
        <v>130</v>
      </c>
      <c r="CT2124" s="0" t="s">
        <v>5900</v>
      </c>
    </row>
    <row r="2125">
      <c r="A2125" s="14">
        <v>18154628</v>
      </c>
      <c r="B2125" s="0" t="s">
        <v>4393</v>
      </c>
      <c r="C2125" s="16">
        <f>HYPERLINK("https://eosportal.federatedhermes.com/companies/Q29tcGFueQppODUyMTU=", "AIA Group Ltd")</f>
      </c>
      <c r="D2125" s="0" t="s">
        <v>23</v>
      </c>
      <c r="E2125" s="0" t="s">
        <v>5901</v>
      </c>
      <c r="F2125" s="16">
        <f>HYPERLINK("https://eosportal.federatedhermes.com/engagements/RW5nYWdlbWVudAppMzI1MjI=", "Social and financial inclusion strategy")</f>
      </c>
      <c r="G2125" s="14" t="s">
        <v>5902</v>
      </c>
      <c r="H2125" s="0" t="s">
        <v>141</v>
      </c>
      <c r="I2125" s="14" t="s">
        <v>131</v>
      </c>
      <c r="J2125" s="0" t="s">
        <v>153</v>
      </c>
      <c r="K2125" s="0" t="s">
        <v>243</v>
      </c>
      <c r="L2125" s="0" t="s">
        <v>292</v>
      </c>
      <c r="M2125" s="0" t="s">
        <v>802</v>
      </c>
      <c r="N2125" s="0" t="s">
        <v>803</v>
      </c>
      <c r="O2125" s="0" t="s">
        <v>238</v>
      </c>
      <c r="Q2125" s="0" t="s">
        <v>130</v>
      </c>
      <c r="R2125" s="0" t="s">
        <v>130</v>
      </c>
      <c r="S2125" s="14">
        <v>0</v>
      </c>
      <c r="T2125" s="0" t="s">
        <v>478</v>
      </c>
      <c r="U2125" s="0" t="s">
        <v>221</v>
      </c>
      <c r="V2125" s="14" t="s">
        <v>478</v>
      </c>
      <c r="W2125" s="0" t="s">
        <v>221</v>
      </c>
      <c r="X2125" s="14" t="s">
        <v>478</v>
      </c>
      <c r="Y2125" s="0" t="s">
        <v>221</v>
      </c>
      <c r="Z2125" s="14" t="s">
        <v>4412</v>
      </c>
      <c r="AA2125" s="0" t="s">
        <v>223</v>
      </c>
      <c r="AB2125" s="14" t="s">
        <v>138</v>
      </c>
      <c r="AD2125" s="0" t="s">
        <v>20</v>
      </c>
      <c r="AF2125" s="0">
        <v>0</v>
      </c>
      <c r="AG2125" s="0">
        <v>1</v>
      </c>
      <c r="AH2125" s="0" t="s">
        <v>5903</v>
      </c>
      <c r="AI2125" s="0" t="s">
        <v>598</v>
      </c>
      <c r="AL2125" s="14"/>
      <c r="AN2125" s="14"/>
      <c r="AQ2125" s="0" t="s">
        <v>141</v>
      </c>
      <c r="AR2125" s="0" t="s">
        <v>130</v>
      </c>
      <c r="AS2125" s="0" t="s">
        <v>130</v>
      </c>
      <c r="AT2125" s="0" t="s">
        <v>130</v>
      </c>
      <c r="AU2125" s="0" t="s">
        <v>130</v>
      </c>
      <c r="AV2125" s="0" t="s">
        <v>130</v>
      </c>
      <c r="AW2125" s="0" t="s">
        <v>130</v>
      </c>
      <c r="AX2125" s="0" t="s">
        <v>141</v>
      </c>
      <c r="AY2125" s="0" t="s">
        <v>130</v>
      </c>
      <c r="AZ2125" s="0" t="s">
        <v>141</v>
      </c>
      <c r="BA2125" s="0" t="s">
        <v>130</v>
      </c>
      <c r="BB2125" s="0" t="s">
        <v>130</v>
      </c>
      <c r="BC2125" s="0" t="s">
        <v>130</v>
      </c>
      <c r="BD2125" s="0" t="s">
        <v>130</v>
      </c>
      <c r="BE2125" s="0" t="s">
        <v>130</v>
      </c>
      <c r="BF2125" s="0" t="s">
        <v>130</v>
      </c>
      <c r="BG2125" s="0" t="s">
        <v>130</v>
      </c>
      <c r="BH2125" s="0" t="s">
        <v>130</v>
      </c>
      <c r="BI2125" s="0" t="s">
        <v>130</v>
      </c>
      <c r="BJ2125" s="0" t="s">
        <v>130</v>
      </c>
      <c r="BK2125" s="0" t="s">
        <v>130</v>
      </c>
      <c r="BL2125" s="0" t="s">
        <v>130</v>
      </c>
      <c r="BM2125" s="0" t="s">
        <v>130</v>
      </c>
      <c r="BN2125" s="0" t="s">
        <v>130</v>
      </c>
      <c r="BO2125" s="0" t="s">
        <v>130</v>
      </c>
      <c r="BP2125" s="0" t="s">
        <v>130</v>
      </c>
      <c r="BQ2125" s="0" t="s">
        <v>130</v>
      </c>
      <c r="BR2125" s="0" t="s">
        <v>130</v>
      </c>
      <c r="BS2125" s="0" t="s">
        <v>130</v>
      </c>
      <c r="BT2125" s="0" t="s">
        <v>130</v>
      </c>
      <c r="BU2125" s="0" t="s">
        <v>130</v>
      </c>
      <c r="BV2125" s="0" t="s">
        <v>130</v>
      </c>
      <c r="BW2125" s="0" t="s">
        <v>130</v>
      </c>
      <c r="BX2125" s="0" t="s">
        <v>130</v>
      </c>
      <c r="BY2125" s="0" t="s">
        <v>130</v>
      </c>
      <c r="BZ2125" s="0" t="s">
        <v>130</v>
      </c>
      <c r="CA2125" s="0" t="s">
        <v>130</v>
      </c>
      <c r="CB2125" s="0" t="s">
        <v>130</v>
      </c>
      <c r="CC2125" s="0" t="s">
        <v>130</v>
      </c>
      <c r="CD2125" s="0" t="s">
        <v>130</v>
      </c>
      <c r="CE2125" s="0" t="s">
        <v>130</v>
      </c>
      <c r="CF2125" s="0" t="s">
        <v>130</v>
      </c>
      <c r="CG2125" s="0" t="s">
        <v>130</v>
      </c>
      <c r="CH2125" s="0" t="s">
        <v>130</v>
      </c>
      <c r="CI2125" s="0" t="s">
        <v>130</v>
      </c>
      <c r="CJ2125" s="0" t="s">
        <v>130</v>
      </c>
      <c r="CK2125" s="0" t="s">
        <v>130</v>
      </c>
      <c r="CL2125" s="0" t="s">
        <v>130</v>
      </c>
      <c r="CM2125" s="0" t="s">
        <v>130</v>
      </c>
      <c r="CN2125" s="0" t="s">
        <v>130</v>
      </c>
      <c r="CO2125" s="0" t="s">
        <v>130</v>
      </c>
      <c r="CP2125" s="0" t="s">
        <v>130</v>
      </c>
      <c r="CQ2125" s="0" t="s">
        <v>130</v>
      </c>
      <c r="CR2125" s="0" t="s">
        <v>130</v>
      </c>
      <c r="CS2125" s="0" t="s">
        <v>130</v>
      </c>
      <c r="CT2125" s="0" t="s">
        <v>5904</v>
      </c>
    </row>
    <row r="2126">
      <c r="A2126" s="14">
        <v>111129</v>
      </c>
      <c r="B2126" s="0" t="s">
        <v>329</v>
      </c>
      <c r="C2126" s="16">
        <f>HYPERLINK("https://eosportal.federatedhermes.com/companies/Q29tcGFueQppNzU3MjA=", "Associated British Foods PLC")</f>
      </c>
      <c r="D2126" s="0" t="s">
        <v>23</v>
      </c>
      <c r="E2126" s="0" t="s">
        <v>5905</v>
      </c>
      <c r="F2126" s="16">
        <f>HYPERLINK("https://eosportal.federatedhermes.com/engagements/RW5nYWdlbWVudAppMzI1MjU=", "Human rights in the supply chain")</f>
      </c>
      <c r="G2126" s="14" t="s">
        <v>5906</v>
      </c>
      <c r="H2126" s="0" t="s">
        <v>141</v>
      </c>
      <c r="I2126" s="14" t="s">
        <v>191</v>
      </c>
      <c r="J2126" s="0" t="s">
        <v>153</v>
      </c>
      <c r="K2126" s="0" t="s">
        <v>243</v>
      </c>
      <c r="L2126" s="0" t="s">
        <v>244</v>
      </c>
      <c r="M2126" s="0" t="s">
        <v>272</v>
      </c>
      <c r="N2126" s="0" t="s">
        <v>273</v>
      </c>
      <c r="O2126" s="0" t="s">
        <v>332</v>
      </c>
      <c r="Q2126" s="0" t="s">
        <v>141</v>
      </c>
      <c r="R2126" s="0" t="s">
        <v>130</v>
      </c>
      <c r="S2126" s="14">
        <v>2</v>
      </c>
      <c r="T2126" s="0" t="s">
        <v>2629</v>
      </c>
      <c r="U2126" s="0" t="s">
        <v>221</v>
      </c>
      <c r="V2126" s="14" t="s">
        <v>2629</v>
      </c>
      <c r="W2126" s="0" t="s">
        <v>221</v>
      </c>
      <c r="X2126" s="14" t="s">
        <v>446</v>
      </c>
      <c r="Y2126" s="0" t="s">
        <v>223</v>
      </c>
      <c r="Z2126" s="14" t="s">
        <v>138</v>
      </c>
      <c r="AA2126" s="0" t="s">
        <v>224</v>
      </c>
      <c r="AB2126" s="14" t="s">
        <v>138</v>
      </c>
      <c r="AD2126" s="0" t="s">
        <v>17</v>
      </c>
      <c r="AF2126" s="0">
        <v>0</v>
      </c>
      <c r="AG2126" s="0">
        <v>0</v>
      </c>
      <c r="AH2126" s="0" t="s">
        <v>140</v>
      </c>
      <c r="AI2126" s="0" t="s">
        <v>479</v>
      </c>
      <c r="AK2126" s="0" t="s">
        <v>339</v>
      </c>
      <c r="AL2126" s="14"/>
      <c r="AN2126" s="14"/>
      <c r="AQ2126" s="0" t="s">
        <v>130</v>
      </c>
      <c r="AR2126" s="0" t="s">
        <v>130</v>
      </c>
      <c r="AS2126" s="0" t="s">
        <v>130</v>
      </c>
      <c r="AT2126" s="0" t="s">
        <v>130</v>
      </c>
      <c r="AU2126" s="0" t="s">
        <v>130</v>
      </c>
      <c r="AV2126" s="0" t="s">
        <v>130</v>
      </c>
      <c r="AW2126" s="0" t="s">
        <v>130</v>
      </c>
      <c r="AX2126" s="0" t="s">
        <v>141</v>
      </c>
      <c r="AY2126" s="0" t="s">
        <v>130</v>
      </c>
      <c r="AZ2126" s="0" t="s">
        <v>130</v>
      </c>
      <c r="BA2126" s="0" t="s">
        <v>130</v>
      </c>
      <c r="BB2126" s="0" t="s">
        <v>130</v>
      </c>
      <c r="BC2126" s="0" t="s">
        <v>130</v>
      </c>
      <c r="BD2126" s="0" t="s">
        <v>130</v>
      </c>
      <c r="BE2126" s="0" t="s">
        <v>130</v>
      </c>
      <c r="BF2126" s="0" t="s">
        <v>130</v>
      </c>
      <c r="BG2126" s="0" t="s">
        <v>130</v>
      </c>
      <c r="BH2126" s="0" t="s">
        <v>130</v>
      </c>
      <c r="BI2126" s="0" t="s">
        <v>130</v>
      </c>
      <c r="BJ2126" s="0" t="s">
        <v>130</v>
      </c>
      <c r="BK2126" s="0" t="s">
        <v>130</v>
      </c>
      <c r="BL2126" s="0" t="s">
        <v>130</v>
      </c>
      <c r="BM2126" s="0" t="s">
        <v>130</v>
      </c>
      <c r="BN2126" s="0" t="s">
        <v>130</v>
      </c>
      <c r="BO2126" s="0" t="s">
        <v>130</v>
      </c>
      <c r="BP2126" s="0" t="s">
        <v>130</v>
      </c>
      <c r="BQ2126" s="0" t="s">
        <v>130</v>
      </c>
      <c r="BR2126" s="0" t="s">
        <v>130</v>
      </c>
      <c r="BS2126" s="0" t="s">
        <v>130</v>
      </c>
      <c r="BT2126" s="0" t="s">
        <v>130</v>
      </c>
      <c r="BU2126" s="0" t="s">
        <v>130</v>
      </c>
      <c r="BV2126" s="0" t="s">
        <v>130</v>
      </c>
      <c r="BW2126" s="0" t="s">
        <v>130</v>
      </c>
      <c r="BX2126" s="0" t="s">
        <v>130</v>
      </c>
      <c r="BY2126" s="0" t="s">
        <v>130</v>
      </c>
      <c r="BZ2126" s="0" t="s">
        <v>130</v>
      </c>
      <c r="CA2126" s="0" t="s">
        <v>130</v>
      </c>
      <c r="CB2126" s="0" t="s">
        <v>130</v>
      </c>
      <c r="CC2126" s="0" t="s">
        <v>130</v>
      </c>
      <c r="CD2126" s="0" t="s">
        <v>130</v>
      </c>
      <c r="CE2126" s="0" t="s">
        <v>130</v>
      </c>
      <c r="CF2126" s="0" t="s">
        <v>130</v>
      </c>
      <c r="CG2126" s="0" t="s">
        <v>130</v>
      </c>
      <c r="CH2126" s="0" t="s">
        <v>130</v>
      </c>
      <c r="CI2126" s="0" t="s">
        <v>130</v>
      </c>
      <c r="CJ2126" s="0" t="s">
        <v>130</v>
      </c>
      <c r="CK2126" s="0" t="s">
        <v>130</v>
      </c>
      <c r="CL2126" s="0" t="s">
        <v>130</v>
      </c>
      <c r="CM2126" s="0" t="s">
        <v>130</v>
      </c>
      <c r="CN2126" s="0" t="s">
        <v>130</v>
      </c>
      <c r="CO2126" s="0" t="s">
        <v>130</v>
      </c>
      <c r="CP2126" s="0" t="s">
        <v>130</v>
      </c>
      <c r="CQ2126" s="0" t="s">
        <v>130</v>
      </c>
      <c r="CR2126" s="0" t="s">
        <v>130</v>
      </c>
      <c r="CS2126" s="0" t="s">
        <v>130</v>
      </c>
      <c r="CT2126" s="0" t="s">
        <v>5907</v>
      </c>
    </row>
    <row r="2127">
      <c r="A2127" s="14">
        <v>199455</v>
      </c>
      <c r="B2127" s="0" t="s">
        <v>3318</v>
      </c>
      <c r="C2127" s="16">
        <f>HYPERLINK("https://eosportal.federatedhermes.com/companies/Q29tcGFueQppNzQwNTY=", "Glencore PLC")</f>
      </c>
      <c r="D2127" s="0" t="s">
        <v>25</v>
      </c>
      <c r="E2127" s="0" t="s">
        <v>5908</v>
      </c>
      <c r="F2127" s="16">
        <f>HYPERLINK("https://eosportal.federatedhermes.com/engagements/RW5nYWdlbWVudAppMzI1MjY=", "Climate Aligned Accounts")</f>
      </c>
      <c r="G2127" s="14" t="s">
        <v>5909</v>
      </c>
      <c r="H2127" s="0" t="s">
        <v>141</v>
      </c>
      <c r="I2127" s="14" t="s">
        <v>191</v>
      </c>
      <c r="J2127" s="0" t="s">
        <v>197</v>
      </c>
      <c r="K2127" s="0" t="s">
        <v>198</v>
      </c>
      <c r="L2127" s="0" t="s">
        <v>199</v>
      </c>
      <c r="M2127" s="0" t="s">
        <v>378</v>
      </c>
      <c r="N2127" s="0" t="s">
        <v>1059</v>
      </c>
      <c r="O2127" s="0" t="s">
        <v>373</v>
      </c>
      <c r="Q2127" s="0" t="s">
        <v>141</v>
      </c>
      <c r="R2127" s="0" t="s">
        <v>138</v>
      </c>
      <c r="S2127" s="14">
        <v>2</v>
      </c>
      <c r="T2127" s="0" t="s">
        <v>478</v>
      </c>
      <c r="U2127" s="0" t="s">
        <v>138</v>
      </c>
      <c r="V2127" s="14" t="s">
        <v>138</v>
      </c>
      <c r="W2127" s="0" t="s">
        <v>138</v>
      </c>
      <c r="X2127" s="14" t="s">
        <v>138</v>
      </c>
      <c r="Y2127" s="0" t="s">
        <v>138</v>
      </c>
      <c r="Z2127" s="14" t="s">
        <v>138</v>
      </c>
      <c r="AA2127" s="0" t="s">
        <v>138</v>
      </c>
      <c r="AB2127" s="14" t="s">
        <v>138</v>
      </c>
      <c r="AD2127" s="0" t="s">
        <v>138</v>
      </c>
      <c r="AF2127" s="0">
        <v>0</v>
      </c>
      <c r="AG2127" s="0">
        <v>0</v>
      </c>
      <c r="AH2127" s="0" t="s">
        <v>140</v>
      </c>
      <c r="AI2127" s="0" t="s">
        <v>138</v>
      </c>
      <c r="AK2127" s="0" t="s">
        <v>1834</v>
      </c>
      <c r="AL2127" s="14"/>
      <c r="AN2127" s="14"/>
      <c r="AQ2127" s="0" t="s">
        <v>130</v>
      </c>
      <c r="AR2127" s="0" t="s">
        <v>130</v>
      </c>
      <c r="AS2127" s="0" t="s">
        <v>130</v>
      </c>
      <c r="AT2127" s="0" t="s">
        <v>130</v>
      </c>
      <c r="AU2127" s="0" t="s">
        <v>130</v>
      </c>
      <c r="AV2127" s="0" t="s">
        <v>130</v>
      </c>
      <c r="AW2127" s="0" t="s">
        <v>130</v>
      </c>
      <c r="AX2127" s="0" t="s">
        <v>130</v>
      </c>
      <c r="AY2127" s="0" t="s">
        <v>130</v>
      </c>
      <c r="AZ2127" s="0" t="s">
        <v>130</v>
      </c>
      <c r="BA2127" s="0" t="s">
        <v>130</v>
      </c>
      <c r="BB2127" s="0" t="s">
        <v>141</v>
      </c>
      <c r="BC2127" s="0" t="s">
        <v>130</v>
      </c>
      <c r="BD2127" s="0" t="s">
        <v>130</v>
      </c>
      <c r="BE2127" s="0" t="s">
        <v>130</v>
      </c>
      <c r="BF2127" s="0" t="s">
        <v>130</v>
      </c>
      <c r="BG2127" s="0" t="s">
        <v>130</v>
      </c>
      <c r="BH2127" s="0" t="s">
        <v>130</v>
      </c>
      <c r="BI2127" s="0" t="s">
        <v>130</v>
      </c>
      <c r="BJ2127" s="0" t="s">
        <v>130</v>
      </c>
      <c r="BK2127" s="0" t="s">
        <v>130</v>
      </c>
      <c r="BL2127" s="0" t="s">
        <v>130</v>
      </c>
      <c r="BM2127" s="0" t="s">
        <v>130</v>
      </c>
      <c r="BN2127" s="0" t="s">
        <v>130</v>
      </c>
      <c r="BO2127" s="0" t="s">
        <v>130</v>
      </c>
      <c r="BP2127" s="0" t="s">
        <v>130</v>
      </c>
      <c r="BQ2127" s="0" t="s">
        <v>130</v>
      </c>
      <c r="BR2127" s="0" t="s">
        <v>130</v>
      </c>
      <c r="BS2127" s="0" t="s">
        <v>130</v>
      </c>
      <c r="BT2127" s="0" t="s">
        <v>130</v>
      </c>
      <c r="BU2127" s="0" t="s">
        <v>130</v>
      </c>
      <c r="BV2127" s="0" t="s">
        <v>130</v>
      </c>
      <c r="BW2127" s="0" t="s">
        <v>130</v>
      </c>
      <c r="BX2127" s="0" t="s">
        <v>130</v>
      </c>
      <c r="BY2127" s="0" t="s">
        <v>130</v>
      </c>
      <c r="BZ2127" s="0" t="s">
        <v>130</v>
      </c>
      <c r="CA2127" s="0" t="s">
        <v>130</v>
      </c>
      <c r="CB2127" s="0" t="s">
        <v>130</v>
      </c>
      <c r="CC2127" s="0" t="s">
        <v>130</v>
      </c>
      <c r="CD2127" s="0" t="s">
        <v>130</v>
      </c>
      <c r="CE2127" s="0" t="s">
        <v>130</v>
      </c>
      <c r="CF2127" s="0" t="s">
        <v>130</v>
      </c>
      <c r="CG2127" s="0" t="s">
        <v>130</v>
      </c>
      <c r="CH2127" s="0" t="s">
        <v>130</v>
      </c>
      <c r="CI2127" s="0" t="s">
        <v>130</v>
      </c>
      <c r="CJ2127" s="0" t="s">
        <v>130</v>
      </c>
      <c r="CK2127" s="0" t="s">
        <v>130</v>
      </c>
      <c r="CL2127" s="0" t="s">
        <v>130</v>
      </c>
      <c r="CM2127" s="0" t="s">
        <v>130</v>
      </c>
      <c r="CN2127" s="0" t="s">
        <v>130</v>
      </c>
      <c r="CO2127" s="0" t="s">
        <v>130</v>
      </c>
      <c r="CP2127" s="0" t="s">
        <v>130</v>
      </c>
      <c r="CQ2127" s="0" t="s">
        <v>130</v>
      </c>
      <c r="CR2127" s="0" t="s">
        <v>130</v>
      </c>
      <c r="CS2127" s="0" t="s">
        <v>130</v>
      </c>
      <c r="CT2127" s="0" t="s">
        <v>5910</v>
      </c>
    </row>
    <row r="2128">
      <c r="A2128" s="14">
        <v>115682</v>
      </c>
      <c r="B2128" s="0" t="s">
        <v>2620</v>
      </c>
      <c r="C2128" s="16">
        <f>HYPERLINK("https://eosportal.federatedhermes.com/companies/Q29tcGFueQppNTMxNDc=", "Bayerische Motoren Werke AG (BMW)")</f>
      </c>
      <c r="D2128" s="0" t="s">
        <v>23</v>
      </c>
      <c r="E2128" s="0" t="s">
        <v>5911</v>
      </c>
      <c r="F2128" s="16">
        <f>HYPERLINK("https://eosportal.federatedhermes.com/engagements/RW5nYWdlbWVudAppMzI1MzA=", "Gender diversity in management")</f>
      </c>
      <c r="G2128" s="14" t="s">
        <v>5912</v>
      </c>
      <c r="H2128" s="0" t="s">
        <v>141</v>
      </c>
      <c r="I2128" s="14" t="s">
        <v>1645</v>
      </c>
      <c r="J2128" s="0" t="s">
        <v>153</v>
      </c>
      <c r="K2128" s="0" t="s">
        <v>154</v>
      </c>
      <c r="L2128" s="0" t="s">
        <v>268</v>
      </c>
      <c r="M2128" s="0" t="s">
        <v>378</v>
      </c>
      <c r="N2128" s="0" t="s">
        <v>2485</v>
      </c>
      <c r="O2128" s="0" t="s">
        <v>425</v>
      </c>
      <c r="Q2128" s="0" t="s">
        <v>130</v>
      </c>
      <c r="R2128" s="0" t="s">
        <v>130</v>
      </c>
      <c r="S2128" s="14">
        <v>0</v>
      </c>
      <c r="T2128" s="0" t="s">
        <v>478</v>
      </c>
      <c r="U2128" s="0" t="s">
        <v>221</v>
      </c>
      <c r="V2128" s="14" t="s">
        <v>478</v>
      </c>
      <c r="W2128" s="0" t="s">
        <v>221</v>
      </c>
      <c r="X2128" s="14" t="s">
        <v>222</v>
      </c>
      <c r="Y2128" s="0" t="s">
        <v>223</v>
      </c>
      <c r="Z2128" s="14" t="s">
        <v>138</v>
      </c>
      <c r="AA2128" s="0" t="s">
        <v>224</v>
      </c>
      <c r="AB2128" s="14" t="s">
        <v>138</v>
      </c>
      <c r="AD2128" s="0" t="s">
        <v>17</v>
      </c>
      <c r="AF2128" s="0">
        <v>0</v>
      </c>
      <c r="AG2128" s="0">
        <v>0</v>
      </c>
      <c r="AH2128" s="0" t="s">
        <v>140</v>
      </c>
      <c r="AI2128" s="0" t="s">
        <v>479</v>
      </c>
      <c r="AL2128" s="14"/>
      <c r="AN2128" s="14"/>
      <c r="AQ2128" s="0" t="s">
        <v>130</v>
      </c>
      <c r="AR2128" s="0" t="s">
        <v>130</v>
      </c>
      <c r="AS2128" s="0" t="s">
        <v>130</v>
      </c>
      <c r="AT2128" s="0" t="s">
        <v>130</v>
      </c>
      <c r="AU2128" s="0" t="s">
        <v>141</v>
      </c>
      <c r="AV2128" s="0" t="s">
        <v>130</v>
      </c>
      <c r="AW2128" s="0" t="s">
        <v>130</v>
      </c>
      <c r="AX2128" s="0" t="s">
        <v>130</v>
      </c>
      <c r="AY2128" s="0" t="s">
        <v>130</v>
      </c>
      <c r="AZ2128" s="0" t="s">
        <v>130</v>
      </c>
      <c r="BA2128" s="0" t="s">
        <v>130</v>
      </c>
      <c r="BB2128" s="0" t="s">
        <v>130</v>
      </c>
      <c r="BC2128" s="0" t="s">
        <v>130</v>
      </c>
      <c r="BD2128" s="0" t="s">
        <v>130</v>
      </c>
      <c r="BE2128" s="0" t="s">
        <v>130</v>
      </c>
      <c r="BF2128" s="0" t="s">
        <v>130</v>
      </c>
      <c r="BG2128" s="0" t="s">
        <v>130</v>
      </c>
      <c r="BH2128" s="0" t="s">
        <v>130</v>
      </c>
      <c r="BI2128" s="0" t="s">
        <v>130</v>
      </c>
      <c r="BJ2128" s="0" t="s">
        <v>130</v>
      </c>
      <c r="BK2128" s="0" t="s">
        <v>130</v>
      </c>
      <c r="BL2128" s="0" t="s">
        <v>130</v>
      </c>
      <c r="BM2128" s="0" t="s">
        <v>130</v>
      </c>
      <c r="BN2128" s="0" t="s">
        <v>130</v>
      </c>
      <c r="BO2128" s="0" t="s">
        <v>130</v>
      </c>
      <c r="BP2128" s="0" t="s">
        <v>130</v>
      </c>
      <c r="BQ2128" s="0" t="s">
        <v>130</v>
      </c>
      <c r="BR2128" s="0" t="s">
        <v>130</v>
      </c>
      <c r="BS2128" s="0" t="s">
        <v>130</v>
      </c>
      <c r="BT2128" s="0" t="s">
        <v>130</v>
      </c>
      <c r="BU2128" s="0" t="s">
        <v>130</v>
      </c>
      <c r="BV2128" s="0" t="s">
        <v>130</v>
      </c>
      <c r="BW2128" s="0" t="s">
        <v>130</v>
      </c>
      <c r="BX2128" s="0" t="s">
        <v>130</v>
      </c>
      <c r="BY2128" s="0" t="s">
        <v>130</v>
      </c>
      <c r="BZ2128" s="0" t="s">
        <v>130</v>
      </c>
      <c r="CA2128" s="0" t="s">
        <v>130</v>
      </c>
      <c r="CB2128" s="0" t="s">
        <v>130</v>
      </c>
      <c r="CC2128" s="0" t="s">
        <v>130</v>
      </c>
      <c r="CD2128" s="0" t="s">
        <v>130</v>
      </c>
      <c r="CE2128" s="0" t="s">
        <v>130</v>
      </c>
      <c r="CF2128" s="0" t="s">
        <v>130</v>
      </c>
      <c r="CG2128" s="0" t="s">
        <v>130</v>
      </c>
      <c r="CH2128" s="0" t="s">
        <v>130</v>
      </c>
      <c r="CI2128" s="0" t="s">
        <v>130</v>
      </c>
      <c r="CJ2128" s="0" t="s">
        <v>130</v>
      </c>
      <c r="CK2128" s="0" t="s">
        <v>141</v>
      </c>
      <c r="CL2128" s="0" t="s">
        <v>130</v>
      </c>
      <c r="CM2128" s="0" t="s">
        <v>130</v>
      </c>
      <c r="CN2128" s="0" t="s">
        <v>130</v>
      </c>
      <c r="CO2128" s="0" t="s">
        <v>130</v>
      </c>
      <c r="CP2128" s="0" t="s">
        <v>130</v>
      </c>
      <c r="CQ2128" s="0" t="s">
        <v>130</v>
      </c>
      <c r="CR2128" s="0" t="s">
        <v>130</v>
      </c>
      <c r="CS2128" s="0" t="s">
        <v>130</v>
      </c>
      <c r="CT2128" s="0" t="s">
        <v>5913</v>
      </c>
    </row>
    <row r="2129">
      <c r="A2129" s="14">
        <v>15100815</v>
      </c>
      <c r="B2129" s="0" t="s">
        <v>5914</v>
      </c>
      <c r="C2129" s="16">
        <f>HYPERLINK("https://eosportal.federatedhermes.com/companies/Q29tcGFueQppODU0OTU=", "Verisk Analytics Inc")</f>
      </c>
      <c r="D2129" s="0" t="s">
        <v>23</v>
      </c>
      <c r="E2129" s="0" t="s">
        <v>228</v>
      </c>
      <c r="F2129" s="16">
        <f>HYPERLINK("https://eosportal.federatedhermes.com/engagements/RW5nYWdlbWVudAppMzI1MzE=", "Climate strategy")</f>
      </c>
      <c r="G2129" s="14" t="s">
        <v>5621</v>
      </c>
      <c r="H2129" s="0" t="s">
        <v>130</v>
      </c>
      <c r="I2129" s="14" t="s">
        <v>131</v>
      </c>
      <c r="J2129" s="0" t="s">
        <v>197</v>
      </c>
      <c r="K2129" s="0" t="s">
        <v>198</v>
      </c>
      <c r="L2129" s="0" t="s">
        <v>220</v>
      </c>
      <c r="M2129" s="0" t="s">
        <v>135</v>
      </c>
      <c r="N2129" s="0" t="s">
        <v>136</v>
      </c>
      <c r="O2129" s="0" t="s">
        <v>176</v>
      </c>
      <c r="Q2129" s="0" t="s">
        <v>130</v>
      </c>
      <c r="R2129" s="0" t="s">
        <v>141</v>
      </c>
      <c r="S2129" s="14">
        <v>0</v>
      </c>
      <c r="T2129" s="0" t="s">
        <v>478</v>
      </c>
      <c r="U2129" s="0" t="s">
        <v>221</v>
      </c>
      <c r="V2129" s="14" t="s">
        <v>478</v>
      </c>
      <c r="W2129" s="0" t="s">
        <v>221</v>
      </c>
      <c r="X2129" s="14" t="s">
        <v>2428</v>
      </c>
      <c r="Y2129" s="0" t="s">
        <v>221</v>
      </c>
      <c r="Z2129" s="14" t="s">
        <v>449</v>
      </c>
      <c r="AA2129" s="0" t="s">
        <v>221</v>
      </c>
      <c r="AB2129" s="14" t="s">
        <v>361</v>
      </c>
      <c r="AC2129" s="0" t="s">
        <v>20</v>
      </c>
      <c r="AD2129" s="0" t="s">
        <v>362</v>
      </c>
      <c r="AE2129" s="0" t="s">
        <v>363</v>
      </c>
      <c r="AF2129" s="0">
        <v>1</v>
      </c>
      <c r="AG2129" s="0">
        <v>0</v>
      </c>
      <c r="AH2129" s="0" t="s">
        <v>140</v>
      </c>
      <c r="AI2129" s="0" t="s">
        <v>221</v>
      </c>
      <c r="AJ2129" s="0" t="s">
        <v>577</v>
      </c>
      <c r="AL2129" s="14" t="s">
        <v>5915</v>
      </c>
      <c r="AM2129" s="0" t="s">
        <v>580</v>
      </c>
      <c r="AN2129" s="14"/>
      <c r="AP2129" s="0" t="s">
        <v>5916</v>
      </c>
      <c r="AQ2129" s="0" t="s">
        <v>130</v>
      </c>
      <c r="AR2129" s="0" t="s">
        <v>130</v>
      </c>
      <c r="AS2129" s="0" t="s">
        <v>130</v>
      </c>
      <c r="AT2129" s="0" t="s">
        <v>130</v>
      </c>
      <c r="AU2129" s="0" t="s">
        <v>130</v>
      </c>
      <c r="AV2129" s="0" t="s">
        <v>130</v>
      </c>
      <c r="AW2129" s="0" t="s">
        <v>141</v>
      </c>
      <c r="AX2129" s="0" t="s">
        <v>130</v>
      </c>
      <c r="AY2129" s="0" t="s">
        <v>141</v>
      </c>
      <c r="AZ2129" s="0" t="s">
        <v>130</v>
      </c>
      <c r="BA2129" s="0" t="s">
        <v>130</v>
      </c>
      <c r="BB2129" s="0" t="s">
        <v>130</v>
      </c>
      <c r="BC2129" s="0" t="s">
        <v>141</v>
      </c>
      <c r="BD2129" s="0" t="s">
        <v>130</v>
      </c>
      <c r="BE2129" s="0" t="s">
        <v>130</v>
      </c>
      <c r="BF2129" s="0" t="s">
        <v>130</v>
      </c>
      <c r="BG2129" s="0" t="s">
        <v>130</v>
      </c>
      <c r="BH2129" s="0" t="s">
        <v>141</v>
      </c>
      <c r="BI2129" s="0" t="s">
        <v>141</v>
      </c>
      <c r="BJ2129" s="0" t="s">
        <v>141</v>
      </c>
      <c r="BK2129" s="0" t="s">
        <v>130</v>
      </c>
      <c r="BL2129" s="0" t="s">
        <v>130</v>
      </c>
      <c r="BM2129" s="0" t="s">
        <v>130</v>
      </c>
      <c r="BN2129" s="0" t="s">
        <v>130</v>
      </c>
      <c r="BO2129" s="0" t="s">
        <v>130</v>
      </c>
      <c r="BP2129" s="0" t="s">
        <v>130</v>
      </c>
      <c r="BQ2129" s="0" t="s">
        <v>130</v>
      </c>
      <c r="BR2129" s="0" t="s">
        <v>130</v>
      </c>
      <c r="BS2129" s="0" t="s">
        <v>130</v>
      </c>
      <c r="BT2129" s="0" t="s">
        <v>130</v>
      </c>
      <c r="BU2129" s="0" t="s">
        <v>130</v>
      </c>
      <c r="BV2129" s="0" t="s">
        <v>141</v>
      </c>
      <c r="BW2129" s="0" t="s">
        <v>141</v>
      </c>
      <c r="BX2129" s="0" t="s">
        <v>130</v>
      </c>
      <c r="BY2129" s="0" t="s">
        <v>130</v>
      </c>
      <c r="BZ2129" s="0" t="s">
        <v>130</v>
      </c>
      <c r="CA2129" s="0" t="s">
        <v>130</v>
      </c>
      <c r="CB2129" s="0" t="s">
        <v>130</v>
      </c>
      <c r="CC2129" s="0" t="s">
        <v>130</v>
      </c>
      <c r="CD2129" s="0" t="s">
        <v>130</v>
      </c>
      <c r="CE2129" s="0" t="s">
        <v>130</v>
      </c>
      <c r="CF2129" s="0" t="s">
        <v>130</v>
      </c>
      <c r="CG2129" s="0" t="s">
        <v>130</v>
      </c>
      <c r="CH2129" s="0" t="s">
        <v>130</v>
      </c>
      <c r="CI2129" s="0" t="s">
        <v>130</v>
      </c>
      <c r="CJ2129" s="0" t="s">
        <v>130</v>
      </c>
      <c r="CK2129" s="0" t="s">
        <v>130</v>
      </c>
      <c r="CL2129" s="0" t="s">
        <v>130</v>
      </c>
      <c r="CM2129" s="0" t="s">
        <v>130</v>
      </c>
      <c r="CN2129" s="0" t="s">
        <v>130</v>
      </c>
      <c r="CO2129" s="0" t="s">
        <v>130</v>
      </c>
      <c r="CP2129" s="0" t="s">
        <v>130</v>
      </c>
      <c r="CQ2129" s="0" t="s">
        <v>130</v>
      </c>
      <c r="CR2129" s="0" t="s">
        <v>130</v>
      </c>
      <c r="CS2129" s="0" t="s">
        <v>130</v>
      </c>
      <c r="CT2129" s="0" t="s">
        <v>5917</v>
      </c>
    </row>
    <row r="2130">
      <c r="A2130" s="14">
        <v>182074</v>
      </c>
      <c r="B2130" s="0" t="s">
        <v>3209</v>
      </c>
      <c r="C2130" s="16">
        <f>HYPERLINK("https://eosportal.federatedhermes.com/companies/Q29tcGFueQppODU4NzQ=", "Equinor ASA")</f>
      </c>
      <c r="D2130" s="0" t="s">
        <v>25</v>
      </c>
      <c r="E2130" s="0" t="s">
        <v>5918</v>
      </c>
      <c r="F2130" s="16">
        <f>HYPERLINK("https://eosportal.federatedhermes.com/engagements/RW5nYWdlbWVudAppMzI1MzU=", "Climate change and financial statements and audit")</f>
      </c>
      <c r="G2130" s="14" t="s">
        <v>5919</v>
      </c>
      <c r="H2130" s="0" t="s">
        <v>141</v>
      </c>
      <c r="I2130" s="14" t="s">
        <v>191</v>
      </c>
      <c r="J2130" s="0" t="s">
        <v>197</v>
      </c>
      <c r="K2130" s="0" t="s">
        <v>198</v>
      </c>
      <c r="L2130" s="0" t="s">
        <v>199</v>
      </c>
      <c r="M2130" s="0" t="s">
        <v>378</v>
      </c>
      <c r="N2130" s="0" t="s">
        <v>3211</v>
      </c>
      <c r="O2130" s="0" t="s">
        <v>542</v>
      </c>
      <c r="Q2130" s="0" t="s">
        <v>130</v>
      </c>
      <c r="R2130" s="0" t="s">
        <v>138</v>
      </c>
      <c r="S2130" s="14">
        <v>0</v>
      </c>
      <c r="T2130" s="0" t="s">
        <v>478</v>
      </c>
      <c r="U2130" s="0" t="s">
        <v>138</v>
      </c>
      <c r="V2130" s="14" t="s">
        <v>138</v>
      </c>
      <c r="W2130" s="0" t="s">
        <v>138</v>
      </c>
      <c r="X2130" s="14" t="s">
        <v>138</v>
      </c>
      <c r="Y2130" s="0" t="s">
        <v>138</v>
      </c>
      <c r="Z2130" s="14" t="s">
        <v>138</v>
      </c>
      <c r="AA2130" s="0" t="s">
        <v>138</v>
      </c>
      <c r="AB2130" s="14" t="s">
        <v>138</v>
      </c>
      <c r="AD2130" s="0" t="s">
        <v>138</v>
      </c>
      <c r="AF2130" s="0">
        <v>0</v>
      </c>
      <c r="AG2130" s="0">
        <v>0</v>
      </c>
      <c r="AH2130" s="0" t="s">
        <v>140</v>
      </c>
      <c r="AI2130" s="0" t="s">
        <v>138</v>
      </c>
      <c r="AL2130" s="14"/>
      <c r="AN2130" s="14"/>
      <c r="AQ2130" s="0" t="s">
        <v>130</v>
      </c>
      <c r="AR2130" s="0" t="s">
        <v>130</v>
      </c>
      <c r="AS2130" s="0" t="s">
        <v>130</v>
      </c>
      <c r="AT2130" s="0" t="s">
        <v>130</v>
      </c>
      <c r="AU2130" s="0" t="s">
        <v>130</v>
      </c>
      <c r="AV2130" s="0" t="s">
        <v>130</v>
      </c>
      <c r="AW2130" s="0" t="s">
        <v>130</v>
      </c>
      <c r="AX2130" s="0" t="s">
        <v>130</v>
      </c>
      <c r="AY2130" s="0" t="s">
        <v>130</v>
      </c>
      <c r="AZ2130" s="0" t="s">
        <v>130</v>
      </c>
      <c r="BA2130" s="0" t="s">
        <v>130</v>
      </c>
      <c r="BB2130" s="0" t="s">
        <v>141</v>
      </c>
      <c r="BC2130" s="0" t="s">
        <v>130</v>
      </c>
      <c r="BD2130" s="0" t="s">
        <v>130</v>
      </c>
      <c r="BE2130" s="0" t="s">
        <v>130</v>
      </c>
      <c r="BF2130" s="0" t="s">
        <v>130</v>
      </c>
      <c r="BG2130" s="0" t="s">
        <v>130</v>
      </c>
      <c r="BH2130" s="0" t="s">
        <v>130</v>
      </c>
      <c r="BI2130" s="0" t="s">
        <v>130</v>
      </c>
      <c r="BJ2130" s="0" t="s">
        <v>130</v>
      </c>
      <c r="BK2130" s="0" t="s">
        <v>130</v>
      </c>
      <c r="BL2130" s="0" t="s">
        <v>130</v>
      </c>
      <c r="BM2130" s="0" t="s">
        <v>130</v>
      </c>
      <c r="BN2130" s="0" t="s">
        <v>130</v>
      </c>
      <c r="BO2130" s="0" t="s">
        <v>130</v>
      </c>
      <c r="BP2130" s="0" t="s">
        <v>130</v>
      </c>
      <c r="BQ2130" s="0" t="s">
        <v>130</v>
      </c>
      <c r="BR2130" s="0" t="s">
        <v>130</v>
      </c>
      <c r="BS2130" s="0" t="s">
        <v>130</v>
      </c>
      <c r="BT2130" s="0" t="s">
        <v>130</v>
      </c>
      <c r="BU2130" s="0" t="s">
        <v>130</v>
      </c>
      <c r="BV2130" s="0" t="s">
        <v>130</v>
      </c>
      <c r="BW2130" s="0" t="s">
        <v>130</v>
      </c>
      <c r="BX2130" s="0" t="s">
        <v>130</v>
      </c>
      <c r="BY2130" s="0" t="s">
        <v>130</v>
      </c>
      <c r="BZ2130" s="0" t="s">
        <v>130</v>
      </c>
      <c r="CA2130" s="0" t="s">
        <v>130</v>
      </c>
      <c r="CB2130" s="0" t="s">
        <v>130</v>
      </c>
      <c r="CC2130" s="0" t="s">
        <v>130</v>
      </c>
      <c r="CD2130" s="0" t="s">
        <v>130</v>
      </c>
      <c r="CE2130" s="0" t="s">
        <v>130</v>
      </c>
      <c r="CF2130" s="0" t="s">
        <v>130</v>
      </c>
      <c r="CG2130" s="0" t="s">
        <v>130</v>
      </c>
      <c r="CH2130" s="0" t="s">
        <v>130</v>
      </c>
      <c r="CI2130" s="0" t="s">
        <v>130</v>
      </c>
      <c r="CJ2130" s="0" t="s">
        <v>130</v>
      </c>
      <c r="CK2130" s="0" t="s">
        <v>130</v>
      </c>
      <c r="CL2130" s="0" t="s">
        <v>130</v>
      </c>
      <c r="CM2130" s="0" t="s">
        <v>130</v>
      </c>
      <c r="CN2130" s="0" t="s">
        <v>130</v>
      </c>
      <c r="CO2130" s="0" t="s">
        <v>130</v>
      </c>
      <c r="CP2130" s="0" t="s">
        <v>130</v>
      </c>
      <c r="CQ2130" s="0" t="s">
        <v>130</v>
      </c>
      <c r="CR2130" s="0" t="s">
        <v>130</v>
      </c>
      <c r="CS2130" s="0" t="s">
        <v>130</v>
      </c>
      <c r="CT2130" s="0" t="s">
        <v>5920</v>
      </c>
    </row>
    <row r="2131">
      <c r="A2131" s="14">
        <v>26327793</v>
      </c>
      <c r="B2131" s="0" t="s">
        <v>4323</v>
      </c>
      <c r="C2131" s="16">
        <f>HYPERLINK("https://eosportal.federatedhermes.com/companies/Q29tcGFueQppNzcwNDY=", "Zalando SE")</f>
      </c>
      <c r="D2131" s="0" t="s">
        <v>25</v>
      </c>
      <c r="E2131" s="0" t="s">
        <v>5921</v>
      </c>
      <c r="F2131" s="16">
        <f>HYPERLINK("https://eosportal.federatedhermes.com/engagements/RW5nYWdlbWVudAppMzI1Mzk=", "Board composition, skills and experience")</f>
      </c>
      <c r="G2131" s="14" t="s">
        <v>5922</v>
      </c>
      <c r="H2131" s="0" t="s">
        <v>130</v>
      </c>
      <c r="I2131" s="14" t="s">
        <v>319</v>
      </c>
      <c r="J2131" s="0" t="s">
        <v>145</v>
      </c>
      <c r="K2131" s="0" t="s">
        <v>164</v>
      </c>
      <c r="L2131" s="0" t="s">
        <v>165</v>
      </c>
      <c r="M2131" s="0" t="s">
        <v>378</v>
      </c>
      <c r="N2131" s="0" t="s">
        <v>2485</v>
      </c>
      <c r="O2131" s="0" t="s">
        <v>643</v>
      </c>
      <c r="Q2131" s="0" t="s">
        <v>130</v>
      </c>
      <c r="R2131" s="0" t="s">
        <v>138</v>
      </c>
      <c r="S2131" s="14">
        <v>0</v>
      </c>
      <c r="T2131" s="0" t="s">
        <v>478</v>
      </c>
      <c r="U2131" s="0" t="s">
        <v>138</v>
      </c>
      <c r="V2131" s="14" t="s">
        <v>138</v>
      </c>
      <c r="W2131" s="0" t="s">
        <v>138</v>
      </c>
      <c r="X2131" s="14" t="s">
        <v>138</v>
      </c>
      <c r="Y2131" s="0" t="s">
        <v>138</v>
      </c>
      <c r="Z2131" s="14" t="s">
        <v>138</v>
      </c>
      <c r="AA2131" s="0" t="s">
        <v>138</v>
      </c>
      <c r="AB2131" s="14" t="s">
        <v>138</v>
      </c>
      <c r="AD2131" s="0" t="s">
        <v>138</v>
      </c>
      <c r="AF2131" s="0">
        <v>0</v>
      </c>
      <c r="AG2131" s="0">
        <v>0</v>
      </c>
      <c r="AH2131" s="0" t="s">
        <v>140</v>
      </c>
      <c r="AI2131" s="0" t="s">
        <v>138</v>
      </c>
      <c r="AL2131" s="14"/>
      <c r="AN2131" s="14"/>
      <c r="AQ2131" s="0" t="s">
        <v>130</v>
      </c>
      <c r="AR2131" s="0" t="s">
        <v>130</v>
      </c>
      <c r="AS2131" s="0" t="s">
        <v>130</v>
      </c>
      <c r="AT2131" s="0" t="s">
        <v>130</v>
      </c>
      <c r="AU2131" s="0" t="s">
        <v>130</v>
      </c>
      <c r="AV2131" s="0" t="s">
        <v>130</v>
      </c>
      <c r="AW2131" s="0" t="s">
        <v>130</v>
      </c>
      <c r="AX2131" s="0" t="s">
        <v>130</v>
      </c>
      <c r="AY2131" s="0" t="s">
        <v>130</v>
      </c>
      <c r="AZ2131" s="0" t="s">
        <v>130</v>
      </c>
      <c r="BA2131" s="0" t="s">
        <v>130</v>
      </c>
      <c r="BB2131" s="0" t="s">
        <v>130</v>
      </c>
      <c r="BC2131" s="0" t="s">
        <v>130</v>
      </c>
      <c r="BD2131" s="0" t="s">
        <v>130</v>
      </c>
      <c r="BE2131" s="0" t="s">
        <v>130</v>
      </c>
      <c r="BF2131" s="0" t="s">
        <v>130</v>
      </c>
      <c r="BG2131" s="0" t="s">
        <v>130</v>
      </c>
      <c r="BH2131" s="0" t="s">
        <v>130</v>
      </c>
      <c r="BI2131" s="0" t="s">
        <v>130</v>
      </c>
      <c r="BJ2131" s="0" t="s">
        <v>130</v>
      </c>
      <c r="BK2131" s="0" t="s">
        <v>130</v>
      </c>
      <c r="BL2131" s="0" t="s">
        <v>130</v>
      </c>
      <c r="BM2131" s="0" t="s">
        <v>130</v>
      </c>
      <c r="BN2131" s="0" t="s">
        <v>130</v>
      </c>
      <c r="BO2131" s="0" t="s">
        <v>130</v>
      </c>
      <c r="BP2131" s="0" t="s">
        <v>130</v>
      </c>
      <c r="BQ2131" s="0" t="s">
        <v>130</v>
      </c>
      <c r="BR2131" s="0" t="s">
        <v>130</v>
      </c>
      <c r="BS2131" s="0" t="s">
        <v>130</v>
      </c>
      <c r="BT2131" s="0" t="s">
        <v>130</v>
      </c>
      <c r="BU2131" s="0" t="s">
        <v>130</v>
      </c>
      <c r="BV2131" s="0" t="s">
        <v>130</v>
      </c>
      <c r="BW2131" s="0" t="s">
        <v>130</v>
      </c>
      <c r="BX2131" s="0" t="s">
        <v>130</v>
      </c>
      <c r="BY2131" s="0" t="s">
        <v>130</v>
      </c>
      <c r="BZ2131" s="0" t="s">
        <v>130</v>
      </c>
      <c r="CA2131" s="0" t="s">
        <v>130</v>
      </c>
      <c r="CB2131" s="0" t="s">
        <v>130</v>
      </c>
      <c r="CC2131" s="0" t="s">
        <v>130</v>
      </c>
      <c r="CD2131" s="0" t="s">
        <v>130</v>
      </c>
      <c r="CE2131" s="0" t="s">
        <v>130</v>
      </c>
      <c r="CF2131" s="0" t="s">
        <v>130</v>
      </c>
      <c r="CG2131" s="0" t="s">
        <v>130</v>
      </c>
      <c r="CH2131" s="0" t="s">
        <v>130</v>
      </c>
      <c r="CI2131" s="0" t="s">
        <v>130</v>
      </c>
      <c r="CJ2131" s="0" t="s">
        <v>130</v>
      </c>
      <c r="CK2131" s="0" t="s">
        <v>130</v>
      </c>
      <c r="CL2131" s="0" t="s">
        <v>130</v>
      </c>
      <c r="CM2131" s="0" t="s">
        <v>130</v>
      </c>
      <c r="CN2131" s="0" t="s">
        <v>130</v>
      </c>
      <c r="CO2131" s="0" t="s">
        <v>130</v>
      </c>
      <c r="CP2131" s="0" t="s">
        <v>130</v>
      </c>
      <c r="CQ2131" s="0" t="s">
        <v>130</v>
      </c>
      <c r="CR2131" s="0" t="s">
        <v>130</v>
      </c>
      <c r="CS2131" s="0" t="s">
        <v>130</v>
      </c>
      <c r="CT2131" s="0" t="s">
        <v>5923</v>
      </c>
    </row>
    <row r="2132">
      <c r="A2132" s="14">
        <v>41633927</v>
      </c>
      <c r="B2132" s="0" t="s">
        <v>4569</v>
      </c>
      <c r="C2132" s="16">
        <f>HYPERLINK("https://eosportal.federatedhermes.com/companies/Q29tcGFueQppNTIxODI=", "Stellantis NV")</f>
      </c>
      <c r="D2132" s="0" t="s">
        <v>25</v>
      </c>
      <c r="E2132" s="0" t="s">
        <v>5778</v>
      </c>
      <c r="F2132" s="16">
        <f>HYPERLINK("https://eosportal.federatedhermes.com/engagements/RW5nYWdlbWVudAppMzI1NDQ=", "Risk of forced labour in the supply chain")</f>
      </c>
      <c r="G2132" s="14" t="s">
        <v>5924</v>
      </c>
      <c r="H2132" s="0" t="s">
        <v>141</v>
      </c>
      <c r="I2132" s="14" t="s">
        <v>1645</v>
      </c>
      <c r="J2132" s="0" t="s">
        <v>153</v>
      </c>
      <c r="K2132" s="0" t="s">
        <v>243</v>
      </c>
      <c r="L2132" s="0" t="s">
        <v>456</v>
      </c>
      <c r="M2132" s="0" t="s">
        <v>378</v>
      </c>
      <c r="N2132" s="0" t="s">
        <v>2554</v>
      </c>
      <c r="O2132" s="0" t="s">
        <v>425</v>
      </c>
      <c r="Q2132" s="0" t="s">
        <v>130</v>
      </c>
      <c r="R2132" s="0" t="s">
        <v>138</v>
      </c>
      <c r="S2132" s="14">
        <v>0</v>
      </c>
      <c r="T2132" s="0" t="s">
        <v>478</v>
      </c>
      <c r="U2132" s="0" t="s">
        <v>138</v>
      </c>
      <c r="V2132" s="14" t="s">
        <v>138</v>
      </c>
      <c r="W2132" s="0" t="s">
        <v>138</v>
      </c>
      <c r="X2132" s="14" t="s">
        <v>138</v>
      </c>
      <c r="Y2132" s="0" t="s">
        <v>138</v>
      </c>
      <c r="Z2132" s="14" t="s">
        <v>138</v>
      </c>
      <c r="AA2132" s="0" t="s">
        <v>138</v>
      </c>
      <c r="AB2132" s="14" t="s">
        <v>138</v>
      </c>
      <c r="AD2132" s="0" t="s">
        <v>138</v>
      </c>
      <c r="AF2132" s="0">
        <v>0</v>
      </c>
      <c r="AG2132" s="0">
        <v>0</v>
      </c>
      <c r="AH2132" s="0" t="s">
        <v>140</v>
      </c>
      <c r="AI2132" s="0" t="s">
        <v>138</v>
      </c>
      <c r="AL2132" s="14"/>
      <c r="AN2132" s="14"/>
      <c r="AQ2132" s="0" t="s">
        <v>130</v>
      </c>
      <c r="AR2132" s="0" t="s">
        <v>130</v>
      </c>
      <c r="AS2132" s="0" t="s">
        <v>130</v>
      </c>
      <c r="AT2132" s="0" t="s">
        <v>130</v>
      </c>
      <c r="AU2132" s="0" t="s">
        <v>130</v>
      </c>
      <c r="AV2132" s="0" t="s">
        <v>130</v>
      </c>
      <c r="AW2132" s="0" t="s">
        <v>130</v>
      </c>
      <c r="AX2132" s="0" t="s">
        <v>141</v>
      </c>
      <c r="AY2132" s="0" t="s">
        <v>130</v>
      </c>
      <c r="AZ2132" s="0" t="s">
        <v>130</v>
      </c>
      <c r="BA2132" s="0" t="s">
        <v>130</v>
      </c>
      <c r="BB2132" s="0" t="s">
        <v>130</v>
      </c>
      <c r="BC2132" s="0" t="s">
        <v>130</v>
      </c>
      <c r="BD2132" s="0" t="s">
        <v>130</v>
      </c>
      <c r="BE2132" s="0" t="s">
        <v>130</v>
      </c>
      <c r="BF2132" s="0" t="s">
        <v>141</v>
      </c>
      <c r="BG2132" s="0" t="s">
        <v>130</v>
      </c>
      <c r="BH2132" s="0" t="s">
        <v>130</v>
      </c>
      <c r="BI2132" s="0" t="s">
        <v>130</v>
      </c>
      <c r="BJ2132" s="0" t="s">
        <v>130</v>
      </c>
      <c r="BK2132" s="0" t="s">
        <v>130</v>
      </c>
      <c r="BL2132" s="0" t="s">
        <v>130</v>
      </c>
      <c r="BM2132" s="0" t="s">
        <v>130</v>
      </c>
      <c r="BN2132" s="0" t="s">
        <v>130</v>
      </c>
      <c r="BO2132" s="0" t="s">
        <v>130</v>
      </c>
      <c r="BP2132" s="0" t="s">
        <v>130</v>
      </c>
      <c r="BQ2132" s="0" t="s">
        <v>130</v>
      </c>
      <c r="BR2132" s="0" t="s">
        <v>130</v>
      </c>
      <c r="BS2132" s="0" t="s">
        <v>130</v>
      </c>
      <c r="BT2132" s="0" t="s">
        <v>130</v>
      </c>
      <c r="BU2132" s="0" t="s">
        <v>130</v>
      </c>
      <c r="BV2132" s="0" t="s">
        <v>130</v>
      </c>
      <c r="BW2132" s="0" t="s">
        <v>130</v>
      </c>
      <c r="BX2132" s="0" t="s">
        <v>130</v>
      </c>
      <c r="BY2132" s="0" t="s">
        <v>130</v>
      </c>
      <c r="BZ2132" s="0" t="s">
        <v>130</v>
      </c>
      <c r="CA2132" s="0" t="s">
        <v>130</v>
      </c>
      <c r="CB2132" s="0" t="s">
        <v>130</v>
      </c>
      <c r="CC2132" s="0" t="s">
        <v>130</v>
      </c>
      <c r="CD2132" s="0" t="s">
        <v>130</v>
      </c>
      <c r="CE2132" s="0" t="s">
        <v>130</v>
      </c>
      <c r="CF2132" s="0" t="s">
        <v>130</v>
      </c>
      <c r="CG2132" s="0" t="s">
        <v>130</v>
      </c>
      <c r="CH2132" s="0" t="s">
        <v>130</v>
      </c>
      <c r="CI2132" s="0" t="s">
        <v>130</v>
      </c>
      <c r="CJ2132" s="0" t="s">
        <v>130</v>
      </c>
      <c r="CK2132" s="0" t="s">
        <v>130</v>
      </c>
      <c r="CL2132" s="0" t="s">
        <v>130</v>
      </c>
      <c r="CM2132" s="0" t="s">
        <v>130</v>
      </c>
      <c r="CN2132" s="0" t="s">
        <v>130</v>
      </c>
      <c r="CO2132" s="0" t="s">
        <v>130</v>
      </c>
      <c r="CP2132" s="0" t="s">
        <v>130</v>
      </c>
      <c r="CQ2132" s="0" t="s">
        <v>130</v>
      </c>
      <c r="CR2132" s="0" t="s">
        <v>130</v>
      </c>
      <c r="CS2132" s="0" t="s">
        <v>130</v>
      </c>
      <c r="CT2132" s="0" t="s">
        <v>5925</v>
      </c>
    </row>
    <row r="2133">
      <c r="A2133" s="14">
        <v>101166</v>
      </c>
      <c r="B2133" s="0" t="s">
        <v>1275</v>
      </c>
      <c r="C2133" s="16">
        <f>HYPERLINK("https://eosportal.federatedhermes.com/companies/Q29tcGFueQppODU4OTI=", "Pfizer Inc")</f>
      </c>
      <c r="D2133" s="0" t="s">
        <v>25</v>
      </c>
      <c r="E2133" s="0" t="s">
        <v>5926</v>
      </c>
      <c r="F2133" s="16">
        <f>HYPERLINK("https://eosportal.federatedhermes.com/engagements/RW5nYWdlbWVudAppMzI1NDg=", "Auditor Rotation Plan")</f>
      </c>
      <c r="G2133" s="14" t="s">
        <v>5927</v>
      </c>
      <c r="H2133" s="0" t="s">
        <v>141</v>
      </c>
      <c r="I2133" s="14" t="s">
        <v>636</v>
      </c>
      <c r="J2133" s="0" t="s">
        <v>132</v>
      </c>
      <c r="K2133" s="0" t="s">
        <v>170</v>
      </c>
      <c r="L2133" s="0" t="s">
        <v>310</v>
      </c>
      <c r="M2133" s="0" t="s">
        <v>135</v>
      </c>
      <c r="N2133" s="0" t="s">
        <v>136</v>
      </c>
      <c r="O2133" s="0" t="s">
        <v>274</v>
      </c>
      <c r="Q2133" s="0" t="s">
        <v>130</v>
      </c>
      <c r="R2133" s="0" t="s">
        <v>138</v>
      </c>
      <c r="S2133" s="14">
        <v>0</v>
      </c>
      <c r="T2133" s="0" t="s">
        <v>478</v>
      </c>
      <c r="U2133" s="0" t="s">
        <v>138</v>
      </c>
      <c r="V2133" s="14" t="s">
        <v>138</v>
      </c>
      <c r="W2133" s="0" t="s">
        <v>138</v>
      </c>
      <c r="X2133" s="14" t="s">
        <v>138</v>
      </c>
      <c r="Y2133" s="0" t="s">
        <v>138</v>
      </c>
      <c r="Z2133" s="14" t="s">
        <v>138</v>
      </c>
      <c r="AA2133" s="0" t="s">
        <v>138</v>
      </c>
      <c r="AB2133" s="14" t="s">
        <v>138</v>
      </c>
      <c r="AD2133" s="0" t="s">
        <v>138</v>
      </c>
      <c r="AF2133" s="0">
        <v>0</v>
      </c>
      <c r="AG2133" s="0">
        <v>0</v>
      </c>
      <c r="AH2133" s="0" t="s">
        <v>140</v>
      </c>
      <c r="AI2133" s="0" t="s">
        <v>138</v>
      </c>
      <c r="AL2133" s="14"/>
      <c r="AN2133" s="14"/>
      <c r="AQ2133" s="0" t="s">
        <v>130</v>
      </c>
      <c r="AR2133" s="0" t="s">
        <v>130</v>
      </c>
      <c r="AS2133" s="0" t="s">
        <v>130</v>
      </c>
      <c r="AT2133" s="0" t="s">
        <v>130</v>
      </c>
      <c r="AU2133" s="0" t="s">
        <v>130</v>
      </c>
      <c r="AV2133" s="0" t="s">
        <v>130</v>
      </c>
      <c r="AW2133" s="0" t="s">
        <v>130</v>
      </c>
      <c r="AX2133" s="0" t="s">
        <v>130</v>
      </c>
      <c r="AY2133" s="0" t="s">
        <v>130</v>
      </c>
      <c r="AZ2133" s="0" t="s">
        <v>130</v>
      </c>
      <c r="BA2133" s="0" t="s">
        <v>130</v>
      </c>
      <c r="BB2133" s="0" t="s">
        <v>130</v>
      </c>
      <c r="BC2133" s="0" t="s">
        <v>130</v>
      </c>
      <c r="BD2133" s="0" t="s">
        <v>130</v>
      </c>
      <c r="BE2133" s="0" t="s">
        <v>130</v>
      </c>
      <c r="BF2133" s="0" t="s">
        <v>130</v>
      </c>
      <c r="BG2133" s="0" t="s">
        <v>130</v>
      </c>
      <c r="BH2133" s="0" t="s">
        <v>130</v>
      </c>
      <c r="BI2133" s="0" t="s">
        <v>130</v>
      </c>
      <c r="BJ2133" s="0" t="s">
        <v>130</v>
      </c>
      <c r="BK2133" s="0" t="s">
        <v>130</v>
      </c>
      <c r="BL2133" s="0" t="s">
        <v>130</v>
      </c>
      <c r="BM2133" s="0" t="s">
        <v>130</v>
      </c>
      <c r="BN2133" s="0" t="s">
        <v>130</v>
      </c>
      <c r="BO2133" s="0" t="s">
        <v>130</v>
      </c>
      <c r="BP2133" s="0" t="s">
        <v>130</v>
      </c>
      <c r="BQ2133" s="0" t="s">
        <v>130</v>
      </c>
      <c r="BR2133" s="0" t="s">
        <v>130</v>
      </c>
      <c r="BS2133" s="0" t="s">
        <v>130</v>
      </c>
      <c r="BT2133" s="0" t="s">
        <v>130</v>
      </c>
      <c r="BU2133" s="0" t="s">
        <v>130</v>
      </c>
      <c r="BV2133" s="0" t="s">
        <v>130</v>
      </c>
      <c r="BW2133" s="0" t="s">
        <v>130</v>
      </c>
      <c r="BX2133" s="0" t="s">
        <v>130</v>
      </c>
      <c r="BY2133" s="0" t="s">
        <v>130</v>
      </c>
      <c r="BZ2133" s="0" t="s">
        <v>130</v>
      </c>
      <c r="CA2133" s="0" t="s">
        <v>130</v>
      </c>
      <c r="CB2133" s="0" t="s">
        <v>130</v>
      </c>
      <c r="CC2133" s="0" t="s">
        <v>130</v>
      </c>
      <c r="CD2133" s="0" t="s">
        <v>130</v>
      </c>
      <c r="CE2133" s="0" t="s">
        <v>130</v>
      </c>
      <c r="CF2133" s="0" t="s">
        <v>130</v>
      </c>
      <c r="CG2133" s="0" t="s">
        <v>130</v>
      </c>
      <c r="CH2133" s="0" t="s">
        <v>130</v>
      </c>
      <c r="CI2133" s="0" t="s">
        <v>130</v>
      </c>
      <c r="CJ2133" s="0" t="s">
        <v>130</v>
      </c>
      <c r="CK2133" s="0" t="s">
        <v>130</v>
      </c>
      <c r="CL2133" s="0" t="s">
        <v>130</v>
      </c>
      <c r="CM2133" s="0" t="s">
        <v>130</v>
      </c>
      <c r="CN2133" s="0" t="s">
        <v>130</v>
      </c>
      <c r="CO2133" s="0" t="s">
        <v>130</v>
      </c>
      <c r="CP2133" s="0" t="s">
        <v>130</v>
      </c>
      <c r="CQ2133" s="0" t="s">
        <v>130</v>
      </c>
      <c r="CR2133" s="0" t="s">
        <v>130</v>
      </c>
      <c r="CS2133" s="0" t="s">
        <v>130</v>
      </c>
      <c r="CT2133" s="0" t="s">
        <v>5928</v>
      </c>
    </row>
    <row r="2134">
      <c r="A2134" s="14">
        <v>11948451</v>
      </c>
      <c r="B2134" s="0" t="s">
        <v>4079</v>
      </c>
      <c r="C2134" s="16">
        <f>HYPERLINK("https://eosportal.federatedhermes.com/companies/Q29tcGFueQppNjMzMTI=", "Tesla Inc")</f>
      </c>
      <c r="D2134" s="0" t="s">
        <v>25</v>
      </c>
      <c r="E2134" s="0" t="s">
        <v>5929</v>
      </c>
      <c r="F2134" s="16">
        <f>HYPERLINK("https://eosportal.federatedhermes.com/engagements/RW5nYWdlbWVudAppMzI1NDk=", "Declining board independence")</f>
      </c>
      <c r="G2134" s="14" t="s">
        <v>5930</v>
      </c>
      <c r="H2134" s="0" t="s">
        <v>141</v>
      </c>
      <c r="I2134" s="14" t="s">
        <v>191</v>
      </c>
      <c r="J2134" s="0" t="s">
        <v>145</v>
      </c>
      <c r="K2134" s="0" t="s">
        <v>164</v>
      </c>
      <c r="L2134" s="0" t="s">
        <v>165</v>
      </c>
      <c r="M2134" s="0" t="s">
        <v>135</v>
      </c>
      <c r="N2134" s="0" t="s">
        <v>136</v>
      </c>
      <c r="O2134" s="0" t="s">
        <v>425</v>
      </c>
      <c r="Q2134" s="0" t="s">
        <v>141</v>
      </c>
      <c r="R2134" s="0" t="s">
        <v>138</v>
      </c>
      <c r="S2134" s="14">
        <v>3</v>
      </c>
      <c r="T2134" s="0" t="s">
        <v>478</v>
      </c>
      <c r="U2134" s="0" t="s">
        <v>138</v>
      </c>
      <c r="V2134" s="14" t="s">
        <v>138</v>
      </c>
      <c r="W2134" s="0" t="s">
        <v>138</v>
      </c>
      <c r="X2134" s="14" t="s">
        <v>138</v>
      </c>
      <c r="Y2134" s="0" t="s">
        <v>138</v>
      </c>
      <c r="Z2134" s="14" t="s">
        <v>138</v>
      </c>
      <c r="AA2134" s="0" t="s">
        <v>138</v>
      </c>
      <c r="AB2134" s="14" t="s">
        <v>138</v>
      </c>
      <c r="AD2134" s="0" t="s">
        <v>138</v>
      </c>
      <c r="AF2134" s="0">
        <v>0</v>
      </c>
      <c r="AG2134" s="0">
        <v>0</v>
      </c>
      <c r="AH2134" s="0" t="s">
        <v>140</v>
      </c>
      <c r="AI2134" s="0" t="s">
        <v>138</v>
      </c>
      <c r="AK2134" s="0" t="s">
        <v>3207</v>
      </c>
      <c r="AL2134" s="14"/>
      <c r="AN2134" s="14"/>
      <c r="AQ2134" s="0" t="s">
        <v>130</v>
      </c>
      <c r="AR2134" s="0" t="s">
        <v>130</v>
      </c>
      <c r="AS2134" s="0" t="s">
        <v>130</v>
      </c>
      <c r="AT2134" s="0" t="s">
        <v>130</v>
      </c>
      <c r="AU2134" s="0" t="s">
        <v>130</v>
      </c>
      <c r="AV2134" s="0" t="s">
        <v>130</v>
      </c>
      <c r="AW2134" s="0" t="s">
        <v>130</v>
      </c>
      <c r="AX2134" s="0" t="s">
        <v>130</v>
      </c>
      <c r="AY2134" s="0" t="s">
        <v>130</v>
      </c>
      <c r="AZ2134" s="0" t="s">
        <v>130</v>
      </c>
      <c r="BA2134" s="0" t="s">
        <v>130</v>
      </c>
      <c r="BB2134" s="0" t="s">
        <v>130</v>
      </c>
      <c r="BC2134" s="0" t="s">
        <v>130</v>
      </c>
      <c r="BD2134" s="0" t="s">
        <v>130</v>
      </c>
      <c r="BE2134" s="0" t="s">
        <v>130</v>
      </c>
      <c r="BF2134" s="0" t="s">
        <v>130</v>
      </c>
      <c r="BG2134" s="0" t="s">
        <v>130</v>
      </c>
      <c r="BH2134" s="0" t="s">
        <v>130</v>
      </c>
      <c r="BI2134" s="0" t="s">
        <v>130</v>
      </c>
      <c r="BJ2134" s="0" t="s">
        <v>130</v>
      </c>
      <c r="BK2134" s="0" t="s">
        <v>130</v>
      </c>
      <c r="BL2134" s="0" t="s">
        <v>130</v>
      </c>
      <c r="BM2134" s="0" t="s">
        <v>130</v>
      </c>
      <c r="BN2134" s="0" t="s">
        <v>130</v>
      </c>
      <c r="BO2134" s="0" t="s">
        <v>130</v>
      </c>
      <c r="BP2134" s="0" t="s">
        <v>130</v>
      </c>
      <c r="BQ2134" s="0" t="s">
        <v>130</v>
      </c>
      <c r="BR2134" s="0" t="s">
        <v>130</v>
      </c>
      <c r="BS2134" s="0" t="s">
        <v>130</v>
      </c>
      <c r="BT2134" s="0" t="s">
        <v>130</v>
      </c>
      <c r="BU2134" s="0" t="s">
        <v>130</v>
      </c>
      <c r="BV2134" s="0" t="s">
        <v>130</v>
      </c>
      <c r="BW2134" s="0" t="s">
        <v>130</v>
      </c>
      <c r="BX2134" s="0" t="s">
        <v>130</v>
      </c>
      <c r="BY2134" s="0" t="s">
        <v>130</v>
      </c>
      <c r="BZ2134" s="0" t="s">
        <v>130</v>
      </c>
      <c r="CA2134" s="0" t="s">
        <v>130</v>
      </c>
      <c r="CB2134" s="0" t="s">
        <v>130</v>
      </c>
      <c r="CC2134" s="0" t="s">
        <v>130</v>
      </c>
      <c r="CD2134" s="0" t="s">
        <v>130</v>
      </c>
      <c r="CE2134" s="0" t="s">
        <v>130</v>
      </c>
      <c r="CF2134" s="0" t="s">
        <v>130</v>
      </c>
      <c r="CG2134" s="0" t="s">
        <v>130</v>
      </c>
      <c r="CH2134" s="0" t="s">
        <v>130</v>
      </c>
      <c r="CI2134" s="0" t="s">
        <v>130</v>
      </c>
      <c r="CJ2134" s="0" t="s">
        <v>130</v>
      </c>
      <c r="CK2134" s="0" t="s">
        <v>130</v>
      </c>
      <c r="CL2134" s="0" t="s">
        <v>130</v>
      </c>
      <c r="CM2134" s="0" t="s">
        <v>130</v>
      </c>
      <c r="CN2134" s="0" t="s">
        <v>130</v>
      </c>
      <c r="CO2134" s="0" t="s">
        <v>130</v>
      </c>
      <c r="CP2134" s="0" t="s">
        <v>130</v>
      </c>
      <c r="CQ2134" s="0" t="s">
        <v>130</v>
      </c>
      <c r="CR2134" s="0" t="s">
        <v>130</v>
      </c>
      <c r="CS2134" s="0" t="s">
        <v>130</v>
      </c>
      <c r="CT2134" s="0" t="s">
        <v>5931</v>
      </c>
    </row>
    <row r="2135">
      <c r="A2135" s="14">
        <v>115757</v>
      </c>
      <c r="B2135" s="0" t="s">
        <v>2655</v>
      </c>
      <c r="C2135" s="16">
        <f>HYPERLINK("https://eosportal.federatedhermes.com/companies/Q29tcGFueQppNTg5Mjc=", "Volkswagen AG")</f>
      </c>
      <c r="D2135" s="0" t="s">
        <v>23</v>
      </c>
      <c r="E2135" s="0" t="s">
        <v>5435</v>
      </c>
      <c r="F2135" s="16">
        <f>HYPERLINK("https://eosportal.federatedhermes.com/engagements/RW5nYWdlbWVudAppMzI1NTE=", "Climate Policy Engagement Transparency")</f>
      </c>
      <c r="G2135" s="14" t="s">
        <v>5932</v>
      </c>
      <c r="H2135" s="0" t="s">
        <v>141</v>
      </c>
      <c r="I2135" s="14" t="s">
        <v>1645</v>
      </c>
      <c r="J2135" s="0" t="s">
        <v>197</v>
      </c>
      <c r="K2135" s="0" t="s">
        <v>198</v>
      </c>
      <c r="L2135" s="0" t="s">
        <v>199</v>
      </c>
      <c r="M2135" s="0" t="s">
        <v>378</v>
      </c>
      <c r="N2135" s="0" t="s">
        <v>2485</v>
      </c>
      <c r="O2135" s="0" t="s">
        <v>425</v>
      </c>
      <c r="Q2135" s="0" t="s">
        <v>130</v>
      </c>
      <c r="R2135" s="0" t="s">
        <v>130</v>
      </c>
      <c r="S2135" s="14">
        <v>0</v>
      </c>
      <c r="T2135" s="0" t="s">
        <v>478</v>
      </c>
      <c r="U2135" s="0" t="s">
        <v>221</v>
      </c>
      <c r="V2135" s="14" t="s">
        <v>478</v>
      </c>
      <c r="W2135" s="0" t="s">
        <v>221</v>
      </c>
      <c r="X2135" s="14" t="s">
        <v>222</v>
      </c>
      <c r="Y2135" s="0" t="s">
        <v>223</v>
      </c>
      <c r="Z2135" s="14" t="s">
        <v>138</v>
      </c>
      <c r="AA2135" s="0" t="s">
        <v>224</v>
      </c>
      <c r="AB2135" s="14" t="s">
        <v>138</v>
      </c>
      <c r="AD2135" s="0" t="s">
        <v>17</v>
      </c>
      <c r="AF2135" s="0">
        <v>0</v>
      </c>
      <c r="AG2135" s="0">
        <v>0</v>
      </c>
      <c r="AH2135" s="0" t="s">
        <v>140</v>
      </c>
      <c r="AI2135" s="0" t="s">
        <v>479</v>
      </c>
      <c r="AL2135" s="14"/>
      <c r="AN2135" s="14"/>
      <c r="AQ2135" s="0" t="s">
        <v>130</v>
      </c>
      <c r="AR2135" s="0" t="s">
        <v>130</v>
      </c>
      <c r="AS2135" s="0" t="s">
        <v>130</v>
      </c>
      <c r="AT2135" s="0" t="s">
        <v>130</v>
      </c>
      <c r="AU2135" s="0" t="s">
        <v>130</v>
      </c>
      <c r="AV2135" s="0" t="s">
        <v>130</v>
      </c>
      <c r="AW2135" s="0" t="s">
        <v>130</v>
      </c>
      <c r="AX2135" s="0" t="s">
        <v>130</v>
      </c>
      <c r="AY2135" s="0" t="s">
        <v>130</v>
      </c>
      <c r="AZ2135" s="0" t="s">
        <v>130</v>
      </c>
      <c r="BA2135" s="0" t="s">
        <v>130</v>
      </c>
      <c r="BB2135" s="0" t="s">
        <v>141</v>
      </c>
      <c r="BC2135" s="0" t="s">
        <v>141</v>
      </c>
      <c r="BD2135" s="0" t="s">
        <v>130</v>
      </c>
      <c r="BE2135" s="0" t="s">
        <v>130</v>
      </c>
      <c r="BF2135" s="0" t="s">
        <v>130</v>
      </c>
      <c r="BG2135" s="0" t="s">
        <v>130</v>
      </c>
      <c r="BH2135" s="0" t="s">
        <v>130</v>
      </c>
      <c r="BI2135" s="0" t="s">
        <v>130</v>
      </c>
      <c r="BJ2135" s="0" t="s">
        <v>130</v>
      </c>
      <c r="BK2135" s="0" t="s">
        <v>130</v>
      </c>
      <c r="BL2135" s="0" t="s">
        <v>130</v>
      </c>
      <c r="BM2135" s="0" t="s">
        <v>130</v>
      </c>
      <c r="BN2135" s="0" t="s">
        <v>130</v>
      </c>
      <c r="BO2135" s="0" t="s">
        <v>130</v>
      </c>
      <c r="BP2135" s="0" t="s">
        <v>130</v>
      </c>
      <c r="BQ2135" s="0" t="s">
        <v>130</v>
      </c>
      <c r="BR2135" s="0" t="s">
        <v>130</v>
      </c>
      <c r="BS2135" s="0" t="s">
        <v>130</v>
      </c>
      <c r="BT2135" s="0" t="s">
        <v>130</v>
      </c>
      <c r="BU2135" s="0" t="s">
        <v>130</v>
      </c>
      <c r="BV2135" s="0" t="s">
        <v>130</v>
      </c>
      <c r="BW2135" s="0" t="s">
        <v>130</v>
      </c>
      <c r="BX2135" s="0" t="s">
        <v>130</v>
      </c>
      <c r="BY2135" s="0" t="s">
        <v>130</v>
      </c>
      <c r="BZ2135" s="0" t="s">
        <v>130</v>
      </c>
      <c r="CA2135" s="0" t="s">
        <v>130</v>
      </c>
      <c r="CB2135" s="0" t="s">
        <v>130</v>
      </c>
      <c r="CC2135" s="0" t="s">
        <v>130</v>
      </c>
      <c r="CD2135" s="0" t="s">
        <v>130</v>
      </c>
      <c r="CE2135" s="0" t="s">
        <v>130</v>
      </c>
      <c r="CF2135" s="0" t="s">
        <v>130</v>
      </c>
      <c r="CG2135" s="0" t="s">
        <v>130</v>
      </c>
      <c r="CH2135" s="0" t="s">
        <v>130</v>
      </c>
      <c r="CI2135" s="0" t="s">
        <v>130</v>
      </c>
      <c r="CJ2135" s="0" t="s">
        <v>130</v>
      </c>
      <c r="CK2135" s="0" t="s">
        <v>130</v>
      </c>
      <c r="CL2135" s="0" t="s">
        <v>130</v>
      </c>
      <c r="CM2135" s="0" t="s">
        <v>130</v>
      </c>
      <c r="CN2135" s="0" t="s">
        <v>130</v>
      </c>
      <c r="CO2135" s="0" t="s">
        <v>130</v>
      </c>
      <c r="CP2135" s="0" t="s">
        <v>130</v>
      </c>
      <c r="CQ2135" s="0" t="s">
        <v>130</v>
      </c>
      <c r="CR2135" s="0" t="s">
        <v>130</v>
      </c>
      <c r="CS2135" s="0" t="s">
        <v>130</v>
      </c>
      <c r="CT2135" s="0" t="s">
        <v>5933</v>
      </c>
    </row>
    <row r="2136">
      <c r="A2136" s="14">
        <v>117621</v>
      </c>
      <c r="B2136" s="0" t="s">
        <v>2862</v>
      </c>
      <c r="C2136" s="16">
        <f>HYPERLINK("https://eosportal.federatedhermes.com/companies/Q29tcGFueQppNjc3Mzc=", "Hyundai Motor Co")</f>
      </c>
      <c r="D2136" s="0" t="s">
        <v>25</v>
      </c>
      <c r="E2136" s="0" t="s">
        <v>427</v>
      </c>
      <c r="F2136" s="16">
        <f>HYPERLINK("https://eosportal.federatedhermes.com/engagements/RW5nYWdlbWVudAppMzI1NTM=", "Circular economy")</f>
      </c>
      <c r="G2136" s="14" t="s">
        <v>5934</v>
      </c>
      <c r="H2136" s="0" t="s">
        <v>141</v>
      </c>
      <c r="I2136" s="14" t="s">
        <v>191</v>
      </c>
      <c r="J2136" s="0" t="s">
        <v>197</v>
      </c>
      <c r="K2136" s="0" t="s">
        <v>348</v>
      </c>
      <c r="L2136" s="0" t="s">
        <v>349</v>
      </c>
      <c r="M2136" s="0" t="s">
        <v>802</v>
      </c>
      <c r="N2136" s="0" t="s">
        <v>2800</v>
      </c>
      <c r="O2136" s="0" t="s">
        <v>425</v>
      </c>
      <c r="Q2136" s="0" t="s">
        <v>130</v>
      </c>
      <c r="R2136" s="0" t="s">
        <v>138</v>
      </c>
      <c r="S2136" s="14">
        <v>0</v>
      </c>
      <c r="T2136" s="0" t="s">
        <v>478</v>
      </c>
      <c r="U2136" s="0" t="s">
        <v>138</v>
      </c>
      <c r="V2136" s="14" t="s">
        <v>138</v>
      </c>
      <c r="W2136" s="0" t="s">
        <v>138</v>
      </c>
      <c r="X2136" s="14" t="s">
        <v>138</v>
      </c>
      <c r="Y2136" s="0" t="s">
        <v>138</v>
      </c>
      <c r="Z2136" s="14" t="s">
        <v>138</v>
      </c>
      <c r="AA2136" s="0" t="s">
        <v>138</v>
      </c>
      <c r="AB2136" s="14" t="s">
        <v>138</v>
      </c>
      <c r="AD2136" s="0" t="s">
        <v>138</v>
      </c>
      <c r="AF2136" s="0">
        <v>0</v>
      </c>
      <c r="AG2136" s="0">
        <v>0</v>
      </c>
      <c r="AH2136" s="0" t="s">
        <v>140</v>
      </c>
      <c r="AI2136" s="0" t="s">
        <v>138</v>
      </c>
      <c r="AL2136" s="14"/>
      <c r="AN2136" s="14"/>
      <c r="AQ2136" s="0" t="s">
        <v>130</v>
      </c>
      <c r="AR2136" s="0" t="s">
        <v>130</v>
      </c>
      <c r="AS2136" s="0" t="s">
        <v>130</v>
      </c>
      <c r="AT2136" s="0" t="s">
        <v>130</v>
      </c>
      <c r="AU2136" s="0" t="s">
        <v>130</v>
      </c>
      <c r="AV2136" s="0" t="s">
        <v>130</v>
      </c>
      <c r="AW2136" s="0" t="s">
        <v>130</v>
      </c>
      <c r="AX2136" s="0" t="s">
        <v>130</v>
      </c>
      <c r="AY2136" s="0" t="s">
        <v>130</v>
      </c>
      <c r="AZ2136" s="0" t="s">
        <v>130</v>
      </c>
      <c r="BA2136" s="0" t="s">
        <v>130</v>
      </c>
      <c r="BB2136" s="0" t="s">
        <v>141</v>
      </c>
      <c r="BC2136" s="0" t="s">
        <v>130</v>
      </c>
      <c r="BD2136" s="0" t="s">
        <v>130</v>
      </c>
      <c r="BE2136" s="0" t="s">
        <v>130</v>
      </c>
      <c r="BF2136" s="0" t="s">
        <v>130</v>
      </c>
      <c r="BG2136" s="0" t="s">
        <v>130</v>
      </c>
      <c r="BH2136" s="0" t="s">
        <v>130</v>
      </c>
      <c r="BI2136" s="0" t="s">
        <v>130</v>
      </c>
      <c r="BJ2136" s="0" t="s">
        <v>130</v>
      </c>
      <c r="BK2136" s="0" t="s">
        <v>130</v>
      </c>
      <c r="BL2136" s="0" t="s">
        <v>130</v>
      </c>
      <c r="BM2136" s="0" t="s">
        <v>130</v>
      </c>
      <c r="BN2136" s="0" t="s">
        <v>130</v>
      </c>
      <c r="BO2136" s="0" t="s">
        <v>130</v>
      </c>
      <c r="BP2136" s="0" t="s">
        <v>130</v>
      </c>
      <c r="BQ2136" s="0" t="s">
        <v>130</v>
      </c>
      <c r="BR2136" s="0" t="s">
        <v>130</v>
      </c>
      <c r="BS2136" s="0" t="s">
        <v>130</v>
      </c>
      <c r="BT2136" s="0" t="s">
        <v>130</v>
      </c>
      <c r="BU2136" s="0" t="s">
        <v>130</v>
      </c>
      <c r="BV2136" s="0" t="s">
        <v>130</v>
      </c>
      <c r="BW2136" s="0" t="s">
        <v>130</v>
      </c>
      <c r="BX2136" s="0" t="s">
        <v>130</v>
      </c>
      <c r="BY2136" s="0" t="s">
        <v>130</v>
      </c>
      <c r="BZ2136" s="0" t="s">
        <v>130</v>
      </c>
      <c r="CA2136" s="0" t="s">
        <v>130</v>
      </c>
      <c r="CB2136" s="0" t="s">
        <v>130</v>
      </c>
      <c r="CC2136" s="0" t="s">
        <v>130</v>
      </c>
      <c r="CD2136" s="0" t="s">
        <v>141</v>
      </c>
      <c r="CE2136" s="0" t="s">
        <v>130</v>
      </c>
      <c r="CF2136" s="0" t="s">
        <v>130</v>
      </c>
      <c r="CG2136" s="0" t="s">
        <v>130</v>
      </c>
      <c r="CH2136" s="0" t="s">
        <v>130</v>
      </c>
      <c r="CI2136" s="0" t="s">
        <v>130</v>
      </c>
      <c r="CJ2136" s="0" t="s">
        <v>130</v>
      </c>
      <c r="CK2136" s="0" t="s">
        <v>130</v>
      </c>
      <c r="CL2136" s="0" t="s">
        <v>130</v>
      </c>
      <c r="CM2136" s="0" t="s">
        <v>130</v>
      </c>
      <c r="CN2136" s="0" t="s">
        <v>130</v>
      </c>
      <c r="CO2136" s="0" t="s">
        <v>130</v>
      </c>
      <c r="CP2136" s="0" t="s">
        <v>130</v>
      </c>
      <c r="CQ2136" s="0" t="s">
        <v>130</v>
      </c>
      <c r="CR2136" s="0" t="s">
        <v>130</v>
      </c>
      <c r="CS2136" s="0" t="s">
        <v>130</v>
      </c>
      <c r="CT2136" s="0" t="s">
        <v>5935</v>
      </c>
    </row>
    <row r="2137">
      <c r="A2137" s="14">
        <v>48364393</v>
      </c>
      <c r="B2137" s="0" t="s">
        <v>4718</v>
      </c>
      <c r="C2137" s="16">
        <f>HYPERLINK("https://eosportal.federatedhermes.com/companies/Q29tcGFueQppNTg5OTY=", "DuPont de Nemours Inc")</f>
      </c>
      <c r="D2137" s="0" t="s">
        <v>25</v>
      </c>
      <c r="E2137" s="0" t="s">
        <v>912</v>
      </c>
      <c r="F2137" s="16">
        <f>HYPERLINK("https://eosportal.federatedhermes.com/engagements/RW5nYWdlbWVudAppMzI1NTc=", "Executive remuneration")</f>
      </c>
      <c r="G2137" s="14" t="s">
        <v>5936</v>
      </c>
      <c r="H2137" s="0" t="s">
        <v>141</v>
      </c>
      <c r="I2137" s="14" t="s">
        <v>191</v>
      </c>
      <c r="J2137" s="0" t="s">
        <v>145</v>
      </c>
      <c r="K2137" s="0" t="s">
        <v>146</v>
      </c>
      <c r="L2137" s="0" t="s">
        <v>500</v>
      </c>
      <c r="M2137" s="0" t="s">
        <v>135</v>
      </c>
      <c r="N2137" s="0" t="s">
        <v>136</v>
      </c>
      <c r="O2137" s="0" t="s">
        <v>706</v>
      </c>
      <c r="Q2137" s="0" t="s">
        <v>130</v>
      </c>
      <c r="R2137" s="0" t="s">
        <v>138</v>
      </c>
      <c r="S2137" s="14">
        <v>0</v>
      </c>
      <c r="T2137" s="0" t="s">
        <v>478</v>
      </c>
      <c r="U2137" s="0" t="s">
        <v>138</v>
      </c>
      <c r="V2137" s="14" t="s">
        <v>138</v>
      </c>
      <c r="W2137" s="0" t="s">
        <v>138</v>
      </c>
      <c r="X2137" s="14" t="s">
        <v>138</v>
      </c>
      <c r="Y2137" s="0" t="s">
        <v>138</v>
      </c>
      <c r="Z2137" s="14" t="s">
        <v>138</v>
      </c>
      <c r="AA2137" s="0" t="s">
        <v>138</v>
      </c>
      <c r="AB2137" s="14" t="s">
        <v>138</v>
      </c>
      <c r="AD2137" s="0" t="s">
        <v>138</v>
      </c>
      <c r="AF2137" s="0">
        <v>0</v>
      </c>
      <c r="AG2137" s="0">
        <v>0</v>
      </c>
      <c r="AH2137" s="0" t="s">
        <v>140</v>
      </c>
      <c r="AI2137" s="0" t="s">
        <v>138</v>
      </c>
      <c r="AL2137" s="14"/>
      <c r="AN2137" s="14"/>
      <c r="AQ2137" s="0" t="s">
        <v>130</v>
      </c>
      <c r="AR2137" s="0" t="s">
        <v>130</v>
      </c>
      <c r="AS2137" s="0" t="s">
        <v>130</v>
      </c>
      <c r="AT2137" s="0" t="s">
        <v>130</v>
      </c>
      <c r="AU2137" s="0" t="s">
        <v>130</v>
      </c>
      <c r="AV2137" s="0" t="s">
        <v>130</v>
      </c>
      <c r="AW2137" s="0" t="s">
        <v>130</v>
      </c>
      <c r="AX2137" s="0" t="s">
        <v>130</v>
      </c>
      <c r="AY2137" s="0" t="s">
        <v>130</v>
      </c>
      <c r="AZ2137" s="0" t="s">
        <v>130</v>
      </c>
      <c r="BA2137" s="0" t="s">
        <v>130</v>
      </c>
      <c r="BB2137" s="0" t="s">
        <v>130</v>
      </c>
      <c r="BC2137" s="0" t="s">
        <v>130</v>
      </c>
      <c r="BD2137" s="0" t="s">
        <v>130</v>
      </c>
      <c r="BE2137" s="0" t="s">
        <v>130</v>
      </c>
      <c r="BF2137" s="0" t="s">
        <v>130</v>
      </c>
      <c r="BG2137" s="0" t="s">
        <v>130</v>
      </c>
      <c r="BH2137" s="0" t="s">
        <v>130</v>
      </c>
      <c r="BI2137" s="0" t="s">
        <v>130</v>
      </c>
      <c r="BJ2137" s="0" t="s">
        <v>130</v>
      </c>
      <c r="BK2137" s="0" t="s">
        <v>130</v>
      </c>
      <c r="BL2137" s="0" t="s">
        <v>130</v>
      </c>
      <c r="BM2137" s="0" t="s">
        <v>130</v>
      </c>
      <c r="BN2137" s="0" t="s">
        <v>130</v>
      </c>
      <c r="BO2137" s="0" t="s">
        <v>130</v>
      </c>
      <c r="BP2137" s="0" t="s">
        <v>130</v>
      </c>
      <c r="BQ2137" s="0" t="s">
        <v>130</v>
      </c>
      <c r="BR2137" s="0" t="s">
        <v>130</v>
      </c>
      <c r="BS2137" s="0" t="s">
        <v>130</v>
      </c>
      <c r="BT2137" s="0" t="s">
        <v>130</v>
      </c>
      <c r="BU2137" s="0" t="s">
        <v>130</v>
      </c>
      <c r="BV2137" s="0" t="s">
        <v>130</v>
      </c>
      <c r="BW2137" s="0" t="s">
        <v>130</v>
      </c>
      <c r="BX2137" s="0" t="s">
        <v>130</v>
      </c>
      <c r="BY2137" s="0" t="s">
        <v>130</v>
      </c>
      <c r="BZ2137" s="0" t="s">
        <v>130</v>
      </c>
      <c r="CA2137" s="0" t="s">
        <v>130</v>
      </c>
      <c r="CB2137" s="0" t="s">
        <v>130</v>
      </c>
      <c r="CC2137" s="0" t="s">
        <v>130</v>
      </c>
      <c r="CD2137" s="0" t="s">
        <v>130</v>
      </c>
      <c r="CE2137" s="0" t="s">
        <v>130</v>
      </c>
      <c r="CF2137" s="0" t="s">
        <v>130</v>
      </c>
      <c r="CG2137" s="0" t="s">
        <v>130</v>
      </c>
      <c r="CH2137" s="0" t="s">
        <v>130</v>
      </c>
      <c r="CI2137" s="0" t="s">
        <v>130</v>
      </c>
      <c r="CJ2137" s="0" t="s">
        <v>130</v>
      </c>
      <c r="CK2137" s="0" t="s">
        <v>130</v>
      </c>
      <c r="CL2137" s="0" t="s">
        <v>130</v>
      </c>
      <c r="CM2137" s="0" t="s">
        <v>130</v>
      </c>
      <c r="CN2137" s="0" t="s">
        <v>130</v>
      </c>
      <c r="CO2137" s="0" t="s">
        <v>130</v>
      </c>
      <c r="CP2137" s="0" t="s">
        <v>130</v>
      </c>
      <c r="CQ2137" s="0" t="s">
        <v>130</v>
      </c>
      <c r="CR2137" s="0" t="s">
        <v>130</v>
      </c>
      <c r="CS2137" s="0" t="s">
        <v>130</v>
      </c>
      <c r="CT2137" s="0" t="s">
        <v>5937</v>
      </c>
    </row>
    <row r="2138">
      <c r="A2138" s="14">
        <v>100043</v>
      </c>
      <c r="B2138" s="0" t="s">
        <v>173</v>
      </c>
      <c r="C2138" s="16">
        <f>HYPERLINK("https://eosportal.federatedhermes.com/companies/Q29tcGFueQppNDgxNjg=", "Honeywell International Inc")</f>
      </c>
      <c r="D2138" s="0" t="s">
        <v>25</v>
      </c>
      <c r="E2138" s="0" t="s">
        <v>912</v>
      </c>
      <c r="F2138" s="16">
        <f>HYPERLINK("https://eosportal.federatedhermes.com/engagements/RW5nYWdlbWVudAppMzI1NjA=", "Executive remuneration")</f>
      </c>
      <c r="G2138" s="14" t="s">
        <v>5938</v>
      </c>
      <c r="H2138" s="0" t="s">
        <v>130</v>
      </c>
      <c r="I2138" s="14" t="s">
        <v>131</v>
      </c>
      <c r="J2138" s="0" t="s">
        <v>145</v>
      </c>
      <c r="K2138" s="0" t="s">
        <v>146</v>
      </c>
      <c r="L2138" s="0" t="s">
        <v>147</v>
      </c>
      <c r="M2138" s="0" t="s">
        <v>135</v>
      </c>
      <c r="N2138" s="0" t="s">
        <v>136</v>
      </c>
      <c r="O2138" s="0" t="s">
        <v>176</v>
      </c>
      <c r="Q2138" s="0" t="s">
        <v>130</v>
      </c>
      <c r="R2138" s="0" t="s">
        <v>138</v>
      </c>
      <c r="S2138" s="14">
        <v>0</v>
      </c>
      <c r="T2138" s="0" t="s">
        <v>478</v>
      </c>
      <c r="U2138" s="0" t="s">
        <v>138</v>
      </c>
      <c r="V2138" s="14" t="s">
        <v>138</v>
      </c>
      <c r="W2138" s="0" t="s">
        <v>138</v>
      </c>
      <c r="X2138" s="14" t="s">
        <v>138</v>
      </c>
      <c r="Y2138" s="0" t="s">
        <v>138</v>
      </c>
      <c r="Z2138" s="14" t="s">
        <v>138</v>
      </c>
      <c r="AA2138" s="0" t="s">
        <v>138</v>
      </c>
      <c r="AB2138" s="14" t="s">
        <v>138</v>
      </c>
      <c r="AD2138" s="0" t="s">
        <v>138</v>
      </c>
      <c r="AF2138" s="0">
        <v>0</v>
      </c>
      <c r="AG2138" s="0">
        <v>0</v>
      </c>
      <c r="AH2138" s="0" t="s">
        <v>140</v>
      </c>
      <c r="AI2138" s="0" t="s">
        <v>138</v>
      </c>
      <c r="AL2138" s="14"/>
      <c r="AN2138" s="14"/>
      <c r="AQ2138" s="0" t="s">
        <v>130</v>
      </c>
      <c r="AR2138" s="0" t="s">
        <v>130</v>
      </c>
      <c r="AS2138" s="0" t="s">
        <v>130</v>
      </c>
      <c r="AT2138" s="0" t="s">
        <v>130</v>
      </c>
      <c r="AU2138" s="0" t="s">
        <v>130</v>
      </c>
      <c r="AV2138" s="0" t="s">
        <v>130</v>
      </c>
      <c r="AW2138" s="0" t="s">
        <v>130</v>
      </c>
      <c r="AX2138" s="0" t="s">
        <v>130</v>
      </c>
      <c r="AY2138" s="0" t="s">
        <v>130</v>
      </c>
      <c r="AZ2138" s="0" t="s">
        <v>130</v>
      </c>
      <c r="BA2138" s="0" t="s">
        <v>130</v>
      </c>
      <c r="BB2138" s="0" t="s">
        <v>130</v>
      </c>
      <c r="BC2138" s="0" t="s">
        <v>130</v>
      </c>
      <c r="BD2138" s="0" t="s">
        <v>130</v>
      </c>
      <c r="BE2138" s="0" t="s">
        <v>130</v>
      </c>
      <c r="BF2138" s="0" t="s">
        <v>130</v>
      </c>
      <c r="BG2138" s="0" t="s">
        <v>130</v>
      </c>
      <c r="BH2138" s="0" t="s">
        <v>130</v>
      </c>
      <c r="BI2138" s="0" t="s">
        <v>130</v>
      </c>
      <c r="BJ2138" s="0" t="s">
        <v>130</v>
      </c>
      <c r="BK2138" s="0" t="s">
        <v>130</v>
      </c>
      <c r="BL2138" s="0" t="s">
        <v>130</v>
      </c>
      <c r="BM2138" s="0" t="s">
        <v>130</v>
      </c>
      <c r="BN2138" s="0" t="s">
        <v>130</v>
      </c>
      <c r="BO2138" s="0" t="s">
        <v>130</v>
      </c>
      <c r="BP2138" s="0" t="s">
        <v>130</v>
      </c>
      <c r="BQ2138" s="0" t="s">
        <v>130</v>
      </c>
      <c r="BR2138" s="0" t="s">
        <v>130</v>
      </c>
      <c r="BS2138" s="0" t="s">
        <v>130</v>
      </c>
      <c r="BT2138" s="0" t="s">
        <v>130</v>
      </c>
      <c r="BU2138" s="0" t="s">
        <v>130</v>
      </c>
      <c r="BV2138" s="0" t="s">
        <v>130</v>
      </c>
      <c r="BW2138" s="0" t="s">
        <v>130</v>
      </c>
      <c r="BX2138" s="0" t="s">
        <v>130</v>
      </c>
      <c r="BY2138" s="0" t="s">
        <v>130</v>
      </c>
      <c r="BZ2138" s="0" t="s">
        <v>130</v>
      </c>
      <c r="CA2138" s="0" t="s">
        <v>130</v>
      </c>
      <c r="CB2138" s="0" t="s">
        <v>130</v>
      </c>
      <c r="CC2138" s="0" t="s">
        <v>130</v>
      </c>
      <c r="CD2138" s="0" t="s">
        <v>130</v>
      </c>
      <c r="CE2138" s="0" t="s">
        <v>130</v>
      </c>
      <c r="CF2138" s="0" t="s">
        <v>130</v>
      </c>
      <c r="CG2138" s="0" t="s">
        <v>130</v>
      </c>
      <c r="CH2138" s="0" t="s">
        <v>130</v>
      </c>
      <c r="CI2138" s="0" t="s">
        <v>130</v>
      </c>
      <c r="CJ2138" s="0" t="s">
        <v>130</v>
      </c>
      <c r="CK2138" s="0" t="s">
        <v>130</v>
      </c>
      <c r="CL2138" s="0" t="s">
        <v>130</v>
      </c>
      <c r="CM2138" s="0" t="s">
        <v>130</v>
      </c>
      <c r="CN2138" s="0" t="s">
        <v>130</v>
      </c>
      <c r="CO2138" s="0" t="s">
        <v>130</v>
      </c>
      <c r="CP2138" s="0" t="s">
        <v>130</v>
      </c>
      <c r="CQ2138" s="0" t="s">
        <v>130</v>
      </c>
      <c r="CR2138" s="0" t="s">
        <v>130</v>
      </c>
      <c r="CS2138" s="0" t="s">
        <v>130</v>
      </c>
      <c r="CT2138" s="0" t="s">
        <v>5939</v>
      </c>
    </row>
    <row r="2139">
      <c r="A2139" s="14">
        <v>69383537</v>
      </c>
      <c r="B2139" s="0" t="s">
        <v>5940</v>
      </c>
      <c r="C2139" s="16">
        <f>HYPERLINK("https://eosportal.federatedhermes.com/companies/Q29tcGFueQppNTM4NjY=", "InPost SA")</f>
      </c>
      <c r="D2139" s="0" t="s">
        <v>25</v>
      </c>
      <c r="E2139" s="0" t="s">
        <v>729</v>
      </c>
      <c r="F2139" s="16">
        <f>HYPERLINK("https://eosportal.federatedhermes.com/engagements/RW5nYWdlbWVudAppMzI1NjQ=", "Board diversity")</f>
      </c>
      <c r="G2139" s="14" t="s">
        <v>5941</v>
      </c>
      <c r="H2139" s="0" t="s">
        <v>130</v>
      </c>
      <c r="I2139" s="14" t="s">
        <v>131</v>
      </c>
      <c r="J2139" s="0" t="s">
        <v>145</v>
      </c>
      <c r="K2139" s="0" t="s">
        <v>164</v>
      </c>
      <c r="L2139" s="0" t="s">
        <v>165</v>
      </c>
      <c r="M2139" s="0" t="s">
        <v>2807</v>
      </c>
      <c r="N2139" s="0" t="s">
        <v>5942</v>
      </c>
      <c r="O2139" s="0" t="s">
        <v>425</v>
      </c>
      <c r="Q2139" s="0" t="s">
        <v>141</v>
      </c>
      <c r="R2139" s="0" t="s">
        <v>138</v>
      </c>
      <c r="S2139" s="14">
        <v>1</v>
      </c>
      <c r="T2139" s="0" t="s">
        <v>478</v>
      </c>
      <c r="U2139" s="0" t="s">
        <v>138</v>
      </c>
      <c r="V2139" s="14" t="s">
        <v>138</v>
      </c>
      <c r="W2139" s="0" t="s">
        <v>138</v>
      </c>
      <c r="X2139" s="14" t="s">
        <v>138</v>
      </c>
      <c r="Y2139" s="0" t="s">
        <v>138</v>
      </c>
      <c r="Z2139" s="14" t="s">
        <v>138</v>
      </c>
      <c r="AA2139" s="0" t="s">
        <v>138</v>
      </c>
      <c r="AB2139" s="14" t="s">
        <v>138</v>
      </c>
      <c r="AD2139" s="0" t="s">
        <v>138</v>
      </c>
      <c r="AF2139" s="0">
        <v>0</v>
      </c>
      <c r="AG2139" s="0">
        <v>0</v>
      </c>
      <c r="AH2139" s="0" t="s">
        <v>140</v>
      </c>
      <c r="AI2139" s="0" t="s">
        <v>138</v>
      </c>
      <c r="AK2139" s="0" t="s">
        <v>847</v>
      </c>
      <c r="AL2139" s="14"/>
      <c r="AN2139" s="14"/>
      <c r="AQ2139" s="0" t="s">
        <v>130</v>
      </c>
      <c r="AR2139" s="0" t="s">
        <v>130</v>
      </c>
      <c r="AS2139" s="0" t="s">
        <v>130</v>
      </c>
      <c r="AT2139" s="0" t="s">
        <v>130</v>
      </c>
      <c r="AU2139" s="0" t="s">
        <v>141</v>
      </c>
      <c r="AV2139" s="0" t="s">
        <v>130</v>
      </c>
      <c r="AW2139" s="0" t="s">
        <v>130</v>
      </c>
      <c r="AX2139" s="0" t="s">
        <v>130</v>
      </c>
      <c r="AY2139" s="0" t="s">
        <v>130</v>
      </c>
      <c r="AZ2139" s="0" t="s">
        <v>141</v>
      </c>
      <c r="BA2139" s="0" t="s">
        <v>130</v>
      </c>
      <c r="BB2139" s="0" t="s">
        <v>130</v>
      </c>
      <c r="BC2139" s="0" t="s">
        <v>130</v>
      </c>
      <c r="BD2139" s="0" t="s">
        <v>130</v>
      </c>
      <c r="BE2139" s="0" t="s">
        <v>130</v>
      </c>
      <c r="BF2139" s="0" t="s">
        <v>130</v>
      </c>
      <c r="BG2139" s="0" t="s">
        <v>130</v>
      </c>
      <c r="BH2139" s="0" t="s">
        <v>130</v>
      </c>
      <c r="BI2139" s="0" t="s">
        <v>130</v>
      </c>
      <c r="BJ2139" s="0" t="s">
        <v>130</v>
      </c>
      <c r="BK2139" s="0" t="s">
        <v>130</v>
      </c>
      <c r="BL2139" s="0" t="s">
        <v>130</v>
      </c>
      <c r="BM2139" s="0" t="s">
        <v>130</v>
      </c>
      <c r="BN2139" s="0" t="s">
        <v>130</v>
      </c>
      <c r="BO2139" s="0" t="s">
        <v>130</v>
      </c>
      <c r="BP2139" s="0" t="s">
        <v>130</v>
      </c>
      <c r="BQ2139" s="0" t="s">
        <v>130</v>
      </c>
      <c r="BR2139" s="0" t="s">
        <v>130</v>
      </c>
      <c r="BS2139" s="0" t="s">
        <v>130</v>
      </c>
      <c r="BT2139" s="0" t="s">
        <v>130</v>
      </c>
      <c r="BU2139" s="0" t="s">
        <v>130</v>
      </c>
      <c r="BV2139" s="0" t="s">
        <v>130</v>
      </c>
      <c r="BW2139" s="0" t="s">
        <v>130</v>
      </c>
      <c r="BX2139" s="0" t="s">
        <v>130</v>
      </c>
      <c r="BY2139" s="0" t="s">
        <v>130</v>
      </c>
      <c r="BZ2139" s="0" t="s">
        <v>130</v>
      </c>
      <c r="CA2139" s="0" t="s">
        <v>130</v>
      </c>
      <c r="CB2139" s="0" t="s">
        <v>130</v>
      </c>
      <c r="CC2139" s="0" t="s">
        <v>130</v>
      </c>
      <c r="CD2139" s="0" t="s">
        <v>130</v>
      </c>
      <c r="CE2139" s="0" t="s">
        <v>130</v>
      </c>
      <c r="CF2139" s="0" t="s">
        <v>130</v>
      </c>
      <c r="CG2139" s="0" t="s">
        <v>130</v>
      </c>
      <c r="CH2139" s="0" t="s">
        <v>130</v>
      </c>
      <c r="CI2139" s="0" t="s">
        <v>130</v>
      </c>
      <c r="CJ2139" s="0" t="s">
        <v>130</v>
      </c>
      <c r="CK2139" s="0" t="s">
        <v>130</v>
      </c>
      <c r="CL2139" s="0" t="s">
        <v>130</v>
      </c>
      <c r="CM2139" s="0" t="s">
        <v>130</v>
      </c>
      <c r="CN2139" s="0" t="s">
        <v>130</v>
      </c>
      <c r="CO2139" s="0" t="s">
        <v>130</v>
      </c>
      <c r="CP2139" s="0" t="s">
        <v>130</v>
      </c>
      <c r="CQ2139" s="0" t="s">
        <v>130</v>
      </c>
      <c r="CR2139" s="0" t="s">
        <v>130</v>
      </c>
      <c r="CS2139" s="0" t="s">
        <v>130</v>
      </c>
      <c r="CT2139" s="0" t="s">
        <v>5943</v>
      </c>
    </row>
    <row r="2140">
      <c r="A2140" s="14">
        <v>115691</v>
      </c>
      <c r="B2140" s="0" t="s">
        <v>2482</v>
      </c>
      <c r="C2140" s="16">
        <f>HYPERLINK("https://eosportal.federatedhermes.com/companies/Q29tcGFueQppNjc3MzA=", "Deutsche Bank AG")</f>
      </c>
      <c r="D2140" s="0" t="s">
        <v>25</v>
      </c>
      <c r="E2140" s="0" t="s">
        <v>5944</v>
      </c>
      <c r="F2140" s="16">
        <f>HYPERLINK("https://eosportal.federatedhermes.com/engagements/RW5nYWdlbWVudAppMzI1Njc=", "Virtual AGMs")</f>
      </c>
      <c r="G2140" s="14" t="s">
        <v>5945</v>
      </c>
      <c r="H2140" s="0" t="s">
        <v>141</v>
      </c>
      <c r="I2140" s="14" t="s">
        <v>191</v>
      </c>
      <c r="J2140" s="0" t="s">
        <v>145</v>
      </c>
      <c r="K2140" s="0" t="s">
        <v>400</v>
      </c>
      <c r="L2140" s="0" t="s">
        <v>401</v>
      </c>
      <c r="M2140" s="0" t="s">
        <v>378</v>
      </c>
      <c r="N2140" s="0" t="s">
        <v>2485</v>
      </c>
      <c r="O2140" s="0" t="s">
        <v>238</v>
      </c>
      <c r="Q2140" s="0" t="s">
        <v>130</v>
      </c>
      <c r="R2140" s="0" t="s">
        <v>138</v>
      </c>
      <c r="S2140" s="14">
        <v>0</v>
      </c>
      <c r="T2140" s="0" t="s">
        <v>478</v>
      </c>
      <c r="U2140" s="0" t="s">
        <v>138</v>
      </c>
      <c r="V2140" s="14" t="s">
        <v>138</v>
      </c>
      <c r="W2140" s="0" t="s">
        <v>138</v>
      </c>
      <c r="X2140" s="14" t="s">
        <v>138</v>
      </c>
      <c r="Y2140" s="0" t="s">
        <v>138</v>
      </c>
      <c r="Z2140" s="14" t="s">
        <v>138</v>
      </c>
      <c r="AA2140" s="0" t="s">
        <v>138</v>
      </c>
      <c r="AB2140" s="14" t="s">
        <v>138</v>
      </c>
      <c r="AD2140" s="0" t="s">
        <v>138</v>
      </c>
      <c r="AF2140" s="0">
        <v>0</v>
      </c>
      <c r="AG2140" s="0">
        <v>0</v>
      </c>
      <c r="AH2140" s="0" t="s">
        <v>140</v>
      </c>
      <c r="AI2140" s="0" t="s">
        <v>138</v>
      </c>
      <c r="AL2140" s="14"/>
      <c r="AN2140" s="14"/>
      <c r="AQ2140" s="0" t="s">
        <v>130</v>
      </c>
      <c r="AR2140" s="0" t="s">
        <v>130</v>
      </c>
      <c r="AS2140" s="0" t="s">
        <v>130</v>
      </c>
      <c r="AT2140" s="0" t="s">
        <v>130</v>
      </c>
      <c r="AU2140" s="0" t="s">
        <v>130</v>
      </c>
      <c r="AV2140" s="0" t="s">
        <v>130</v>
      </c>
      <c r="AW2140" s="0" t="s">
        <v>130</v>
      </c>
      <c r="AX2140" s="0" t="s">
        <v>130</v>
      </c>
      <c r="AY2140" s="0" t="s">
        <v>130</v>
      </c>
      <c r="AZ2140" s="0" t="s">
        <v>130</v>
      </c>
      <c r="BA2140" s="0" t="s">
        <v>130</v>
      </c>
      <c r="BB2140" s="0" t="s">
        <v>130</v>
      </c>
      <c r="BC2140" s="0" t="s">
        <v>130</v>
      </c>
      <c r="BD2140" s="0" t="s">
        <v>130</v>
      </c>
      <c r="BE2140" s="0" t="s">
        <v>130</v>
      </c>
      <c r="BF2140" s="0" t="s">
        <v>130</v>
      </c>
      <c r="BG2140" s="0" t="s">
        <v>130</v>
      </c>
      <c r="BH2140" s="0" t="s">
        <v>130</v>
      </c>
      <c r="BI2140" s="0" t="s">
        <v>130</v>
      </c>
      <c r="BJ2140" s="0" t="s">
        <v>130</v>
      </c>
      <c r="BK2140" s="0" t="s">
        <v>130</v>
      </c>
      <c r="BL2140" s="0" t="s">
        <v>130</v>
      </c>
      <c r="BM2140" s="0" t="s">
        <v>130</v>
      </c>
      <c r="BN2140" s="0" t="s">
        <v>130</v>
      </c>
      <c r="BO2140" s="0" t="s">
        <v>130</v>
      </c>
      <c r="BP2140" s="0" t="s">
        <v>130</v>
      </c>
      <c r="BQ2140" s="0" t="s">
        <v>130</v>
      </c>
      <c r="BR2140" s="0" t="s">
        <v>130</v>
      </c>
      <c r="BS2140" s="0" t="s">
        <v>130</v>
      </c>
      <c r="BT2140" s="0" t="s">
        <v>130</v>
      </c>
      <c r="BU2140" s="0" t="s">
        <v>130</v>
      </c>
      <c r="BV2140" s="0" t="s">
        <v>130</v>
      </c>
      <c r="BW2140" s="0" t="s">
        <v>130</v>
      </c>
      <c r="BX2140" s="0" t="s">
        <v>130</v>
      </c>
      <c r="BY2140" s="0" t="s">
        <v>130</v>
      </c>
      <c r="BZ2140" s="0" t="s">
        <v>130</v>
      </c>
      <c r="CA2140" s="0" t="s">
        <v>130</v>
      </c>
      <c r="CB2140" s="0" t="s">
        <v>130</v>
      </c>
      <c r="CC2140" s="0" t="s">
        <v>130</v>
      </c>
      <c r="CD2140" s="0" t="s">
        <v>130</v>
      </c>
      <c r="CE2140" s="0" t="s">
        <v>130</v>
      </c>
      <c r="CF2140" s="0" t="s">
        <v>130</v>
      </c>
      <c r="CG2140" s="0" t="s">
        <v>130</v>
      </c>
      <c r="CH2140" s="0" t="s">
        <v>130</v>
      </c>
      <c r="CI2140" s="0" t="s">
        <v>130</v>
      </c>
      <c r="CJ2140" s="0" t="s">
        <v>130</v>
      </c>
      <c r="CK2140" s="0" t="s">
        <v>130</v>
      </c>
      <c r="CL2140" s="0" t="s">
        <v>130</v>
      </c>
      <c r="CM2140" s="0" t="s">
        <v>130</v>
      </c>
      <c r="CN2140" s="0" t="s">
        <v>130</v>
      </c>
      <c r="CO2140" s="0" t="s">
        <v>130</v>
      </c>
      <c r="CP2140" s="0" t="s">
        <v>130</v>
      </c>
      <c r="CQ2140" s="0" t="s">
        <v>130</v>
      </c>
      <c r="CR2140" s="0" t="s">
        <v>130</v>
      </c>
      <c r="CS2140" s="0" t="s">
        <v>130</v>
      </c>
      <c r="CT2140" s="0" t="s">
        <v>5946</v>
      </c>
    </row>
    <row r="2141">
      <c r="A2141" s="14">
        <v>7791092</v>
      </c>
      <c r="B2141" s="0" t="s">
        <v>3851</v>
      </c>
      <c r="C2141" s="16">
        <f>HYPERLINK("https://eosportal.federatedhermes.com/companies/Q29tcGFueQppODMyNjU=", "BYD Co Ltd")</f>
      </c>
      <c r="D2141" s="0" t="s">
        <v>25</v>
      </c>
      <c r="E2141" s="0" t="s">
        <v>5818</v>
      </c>
      <c r="F2141" s="16">
        <f>HYPERLINK("https://eosportal.federatedhermes.com/engagements/RW5nYWdlbWVudAppMzI1Nzk=", "Demonstrate that the company's supply chain audits are effective")</f>
      </c>
      <c r="G2141" s="14" t="s">
        <v>5947</v>
      </c>
      <c r="H2141" s="0" t="s">
        <v>141</v>
      </c>
      <c r="I2141" s="14" t="s">
        <v>191</v>
      </c>
      <c r="J2141" s="0" t="s">
        <v>153</v>
      </c>
      <c r="K2141" s="0" t="s">
        <v>243</v>
      </c>
      <c r="L2141" s="0" t="s">
        <v>244</v>
      </c>
      <c r="M2141" s="0" t="s">
        <v>2807</v>
      </c>
      <c r="N2141" s="0" t="s">
        <v>3272</v>
      </c>
      <c r="O2141" s="0" t="s">
        <v>425</v>
      </c>
      <c r="Q2141" s="0" t="s">
        <v>141</v>
      </c>
      <c r="R2141" s="0" t="s">
        <v>138</v>
      </c>
      <c r="S2141" s="14">
        <v>1</v>
      </c>
      <c r="T2141" s="0" t="s">
        <v>478</v>
      </c>
      <c r="U2141" s="0" t="s">
        <v>138</v>
      </c>
      <c r="V2141" s="14" t="s">
        <v>138</v>
      </c>
      <c r="W2141" s="0" t="s">
        <v>138</v>
      </c>
      <c r="X2141" s="14" t="s">
        <v>138</v>
      </c>
      <c r="Y2141" s="0" t="s">
        <v>138</v>
      </c>
      <c r="Z2141" s="14" t="s">
        <v>138</v>
      </c>
      <c r="AA2141" s="0" t="s">
        <v>138</v>
      </c>
      <c r="AB2141" s="14" t="s">
        <v>138</v>
      </c>
      <c r="AD2141" s="0" t="s">
        <v>138</v>
      </c>
      <c r="AF2141" s="0">
        <v>0</v>
      </c>
      <c r="AG2141" s="0">
        <v>0</v>
      </c>
      <c r="AH2141" s="0" t="s">
        <v>140</v>
      </c>
      <c r="AI2141" s="0" t="s">
        <v>138</v>
      </c>
      <c r="AK2141" s="0" t="s">
        <v>344</v>
      </c>
      <c r="AL2141" s="14"/>
      <c r="AN2141" s="14"/>
      <c r="AQ2141" s="0" t="s">
        <v>130</v>
      </c>
      <c r="AR2141" s="0" t="s">
        <v>130</v>
      </c>
      <c r="AS2141" s="0" t="s">
        <v>130</v>
      </c>
      <c r="AT2141" s="0" t="s">
        <v>130</v>
      </c>
      <c r="AU2141" s="0" t="s">
        <v>130</v>
      </c>
      <c r="AV2141" s="0" t="s">
        <v>130</v>
      </c>
      <c r="AW2141" s="0" t="s">
        <v>130</v>
      </c>
      <c r="AX2141" s="0" t="s">
        <v>141</v>
      </c>
      <c r="AY2141" s="0" t="s">
        <v>130</v>
      </c>
      <c r="AZ2141" s="0" t="s">
        <v>130</v>
      </c>
      <c r="BA2141" s="0" t="s">
        <v>130</v>
      </c>
      <c r="BB2141" s="0" t="s">
        <v>130</v>
      </c>
      <c r="BC2141" s="0" t="s">
        <v>130</v>
      </c>
      <c r="BD2141" s="0" t="s">
        <v>130</v>
      </c>
      <c r="BE2141" s="0" t="s">
        <v>130</v>
      </c>
      <c r="BF2141" s="0" t="s">
        <v>130</v>
      </c>
      <c r="BG2141" s="0" t="s">
        <v>130</v>
      </c>
      <c r="BH2141" s="0" t="s">
        <v>130</v>
      </c>
      <c r="BI2141" s="0" t="s">
        <v>130</v>
      </c>
      <c r="BJ2141" s="0" t="s">
        <v>130</v>
      </c>
      <c r="BK2141" s="0" t="s">
        <v>130</v>
      </c>
      <c r="BL2141" s="0" t="s">
        <v>130</v>
      </c>
      <c r="BM2141" s="0" t="s">
        <v>130</v>
      </c>
      <c r="BN2141" s="0" t="s">
        <v>130</v>
      </c>
      <c r="BO2141" s="0" t="s">
        <v>130</v>
      </c>
      <c r="BP2141" s="0" t="s">
        <v>130</v>
      </c>
      <c r="BQ2141" s="0" t="s">
        <v>130</v>
      </c>
      <c r="BR2141" s="0" t="s">
        <v>130</v>
      </c>
      <c r="BS2141" s="0" t="s">
        <v>130</v>
      </c>
      <c r="BT2141" s="0" t="s">
        <v>130</v>
      </c>
      <c r="BU2141" s="0" t="s">
        <v>130</v>
      </c>
      <c r="BV2141" s="0" t="s">
        <v>130</v>
      </c>
      <c r="BW2141" s="0" t="s">
        <v>130</v>
      </c>
      <c r="BX2141" s="0" t="s">
        <v>130</v>
      </c>
      <c r="BY2141" s="0" t="s">
        <v>130</v>
      </c>
      <c r="BZ2141" s="0" t="s">
        <v>130</v>
      </c>
      <c r="CA2141" s="0" t="s">
        <v>130</v>
      </c>
      <c r="CB2141" s="0" t="s">
        <v>130</v>
      </c>
      <c r="CC2141" s="0" t="s">
        <v>130</v>
      </c>
      <c r="CD2141" s="0" t="s">
        <v>130</v>
      </c>
      <c r="CE2141" s="0" t="s">
        <v>130</v>
      </c>
      <c r="CF2141" s="0" t="s">
        <v>130</v>
      </c>
      <c r="CG2141" s="0" t="s">
        <v>130</v>
      </c>
      <c r="CH2141" s="0" t="s">
        <v>130</v>
      </c>
      <c r="CI2141" s="0" t="s">
        <v>130</v>
      </c>
      <c r="CJ2141" s="0" t="s">
        <v>130</v>
      </c>
      <c r="CK2141" s="0" t="s">
        <v>130</v>
      </c>
      <c r="CL2141" s="0" t="s">
        <v>130</v>
      </c>
      <c r="CM2141" s="0" t="s">
        <v>130</v>
      </c>
      <c r="CN2141" s="0" t="s">
        <v>130</v>
      </c>
      <c r="CO2141" s="0" t="s">
        <v>130</v>
      </c>
      <c r="CP2141" s="0" t="s">
        <v>130</v>
      </c>
      <c r="CQ2141" s="0" t="s">
        <v>130</v>
      </c>
      <c r="CR2141" s="0" t="s">
        <v>130</v>
      </c>
      <c r="CS2141" s="0" t="s">
        <v>130</v>
      </c>
      <c r="CT2141" s="0" t="s">
        <v>5948</v>
      </c>
    </row>
    <row r="2142">
      <c r="A2142" s="14">
        <v>115114</v>
      </c>
      <c r="B2142" s="0" t="s">
        <v>2319</v>
      </c>
      <c r="C2142" s="16">
        <f>HYPERLINK("https://eosportal.federatedhermes.com/companies/Q29tcGFueQppNTU3NDE=", "Toyota Motor Corp")</f>
      </c>
      <c r="D2142" s="0" t="s">
        <v>25</v>
      </c>
      <c r="E2142" s="0" t="s">
        <v>5949</v>
      </c>
      <c r="F2142" s="16">
        <f>HYPERLINK("https://eosportal.federatedhermes.com/engagements/RW5nYWdlbWVudAppMzI1ODA=", "Oversight of Subsidiaries")</f>
      </c>
      <c r="G2142" s="14" t="s">
        <v>5950</v>
      </c>
      <c r="H2142" s="0" t="s">
        <v>141</v>
      </c>
      <c r="I2142" s="14" t="s">
        <v>1645</v>
      </c>
      <c r="J2142" s="0" t="s">
        <v>132</v>
      </c>
      <c r="K2142" s="0" t="s">
        <v>260</v>
      </c>
      <c r="L2142" s="0" t="s">
        <v>261</v>
      </c>
      <c r="M2142" s="0" t="s">
        <v>802</v>
      </c>
      <c r="N2142" s="0" t="s">
        <v>952</v>
      </c>
      <c r="O2142" s="0" t="s">
        <v>425</v>
      </c>
      <c r="Q2142" s="0" t="s">
        <v>130</v>
      </c>
      <c r="R2142" s="0" t="s">
        <v>138</v>
      </c>
      <c r="S2142" s="14">
        <v>0</v>
      </c>
      <c r="T2142" s="0" t="s">
        <v>478</v>
      </c>
      <c r="U2142" s="0" t="s">
        <v>138</v>
      </c>
      <c r="V2142" s="14" t="s">
        <v>138</v>
      </c>
      <c r="W2142" s="0" t="s">
        <v>138</v>
      </c>
      <c r="X2142" s="14" t="s">
        <v>138</v>
      </c>
      <c r="Y2142" s="0" t="s">
        <v>138</v>
      </c>
      <c r="Z2142" s="14" t="s">
        <v>138</v>
      </c>
      <c r="AA2142" s="0" t="s">
        <v>138</v>
      </c>
      <c r="AB2142" s="14" t="s">
        <v>138</v>
      </c>
      <c r="AD2142" s="0" t="s">
        <v>138</v>
      </c>
      <c r="AF2142" s="0">
        <v>0</v>
      </c>
      <c r="AG2142" s="0">
        <v>0</v>
      </c>
      <c r="AH2142" s="0" t="s">
        <v>140</v>
      </c>
      <c r="AI2142" s="0" t="s">
        <v>138</v>
      </c>
      <c r="AL2142" s="14"/>
      <c r="AN2142" s="14"/>
      <c r="AQ2142" s="0" t="s">
        <v>130</v>
      </c>
      <c r="AR2142" s="0" t="s">
        <v>130</v>
      </c>
      <c r="AS2142" s="0" t="s">
        <v>130</v>
      </c>
      <c r="AT2142" s="0" t="s">
        <v>130</v>
      </c>
      <c r="AU2142" s="0" t="s">
        <v>130</v>
      </c>
      <c r="AV2142" s="0" t="s">
        <v>130</v>
      </c>
      <c r="AW2142" s="0" t="s">
        <v>130</v>
      </c>
      <c r="AX2142" s="0" t="s">
        <v>130</v>
      </c>
      <c r="AY2142" s="0" t="s">
        <v>130</v>
      </c>
      <c r="AZ2142" s="0" t="s">
        <v>130</v>
      </c>
      <c r="BA2142" s="0" t="s">
        <v>130</v>
      </c>
      <c r="BB2142" s="0" t="s">
        <v>130</v>
      </c>
      <c r="BC2142" s="0" t="s">
        <v>130</v>
      </c>
      <c r="BD2142" s="0" t="s">
        <v>130</v>
      </c>
      <c r="BE2142" s="0" t="s">
        <v>130</v>
      </c>
      <c r="BF2142" s="0" t="s">
        <v>130</v>
      </c>
      <c r="BG2142" s="0" t="s">
        <v>130</v>
      </c>
      <c r="BH2142" s="0" t="s">
        <v>130</v>
      </c>
      <c r="BI2142" s="0" t="s">
        <v>130</v>
      </c>
      <c r="BJ2142" s="0" t="s">
        <v>130</v>
      </c>
      <c r="BK2142" s="0" t="s">
        <v>130</v>
      </c>
      <c r="BL2142" s="0" t="s">
        <v>130</v>
      </c>
      <c r="BM2142" s="0" t="s">
        <v>130</v>
      </c>
      <c r="BN2142" s="0" t="s">
        <v>130</v>
      </c>
      <c r="BO2142" s="0" t="s">
        <v>130</v>
      </c>
      <c r="BP2142" s="0" t="s">
        <v>130</v>
      </c>
      <c r="BQ2142" s="0" t="s">
        <v>130</v>
      </c>
      <c r="BR2142" s="0" t="s">
        <v>130</v>
      </c>
      <c r="BS2142" s="0" t="s">
        <v>130</v>
      </c>
      <c r="BT2142" s="0" t="s">
        <v>130</v>
      </c>
      <c r="BU2142" s="0" t="s">
        <v>130</v>
      </c>
      <c r="BV2142" s="0" t="s">
        <v>130</v>
      </c>
      <c r="BW2142" s="0" t="s">
        <v>130</v>
      </c>
      <c r="BX2142" s="0" t="s">
        <v>130</v>
      </c>
      <c r="BY2142" s="0" t="s">
        <v>130</v>
      </c>
      <c r="BZ2142" s="0" t="s">
        <v>130</v>
      </c>
      <c r="CA2142" s="0" t="s">
        <v>130</v>
      </c>
      <c r="CB2142" s="0" t="s">
        <v>130</v>
      </c>
      <c r="CC2142" s="0" t="s">
        <v>130</v>
      </c>
      <c r="CD2142" s="0" t="s">
        <v>130</v>
      </c>
      <c r="CE2142" s="0" t="s">
        <v>130</v>
      </c>
      <c r="CF2142" s="0" t="s">
        <v>130</v>
      </c>
      <c r="CG2142" s="0" t="s">
        <v>130</v>
      </c>
      <c r="CH2142" s="0" t="s">
        <v>130</v>
      </c>
      <c r="CI2142" s="0" t="s">
        <v>130</v>
      </c>
      <c r="CJ2142" s="0" t="s">
        <v>130</v>
      </c>
      <c r="CK2142" s="0" t="s">
        <v>130</v>
      </c>
      <c r="CL2142" s="0" t="s">
        <v>130</v>
      </c>
      <c r="CM2142" s="0" t="s">
        <v>130</v>
      </c>
      <c r="CN2142" s="0" t="s">
        <v>130</v>
      </c>
      <c r="CO2142" s="0" t="s">
        <v>130</v>
      </c>
      <c r="CP2142" s="0" t="s">
        <v>130</v>
      </c>
      <c r="CQ2142" s="0" t="s">
        <v>130</v>
      </c>
      <c r="CR2142" s="0" t="s">
        <v>130</v>
      </c>
      <c r="CS2142" s="0" t="s">
        <v>130</v>
      </c>
      <c r="CT2142" s="0" t="s">
        <v>5951</v>
      </c>
    </row>
    <row r="2143">
      <c r="A2143" s="14">
        <v>368234</v>
      </c>
      <c r="B2143" s="0" t="s">
        <v>3736</v>
      </c>
      <c r="C2143" s="16">
        <f>HYPERLINK("https://eosportal.federatedhermes.com/companies/Q29tcGFueQppNjc3MzU=", "Advance Auto Parts Inc")</f>
      </c>
      <c r="D2143" s="0" t="s">
        <v>25</v>
      </c>
      <c r="E2143" s="0" t="s">
        <v>912</v>
      </c>
      <c r="F2143" s="16">
        <f>HYPERLINK("https://eosportal.federatedhermes.com/engagements/RW5nYWdlbWVudAppMzI1ODE=", "Executive remuneration")</f>
      </c>
      <c r="G2143" s="14" t="s">
        <v>5952</v>
      </c>
      <c r="H2143" s="0" t="s">
        <v>130</v>
      </c>
      <c r="I2143" s="14" t="s">
        <v>131</v>
      </c>
      <c r="J2143" s="0" t="s">
        <v>145</v>
      </c>
      <c r="K2143" s="0" t="s">
        <v>146</v>
      </c>
      <c r="L2143" s="0" t="s">
        <v>147</v>
      </c>
      <c r="M2143" s="0" t="s">
        <v>135</v>
      </c>
      <c r="N2143" s="0" t="s">
        <v>136</v>
      </c>
      <c r="O2143" s="0" t="s">
        <v>643</v>
      </c>
      <c r="Q2143" s="0" t="s">
        <v>130</v>
      </c>
      <c r="R2143" s="0" t="s">
        <v>138</v>
      </c>
      <c r="S2143" s="14">
        <v>0</v>
      </c>
      <c r="T2143" s="0" t="s">
        <v>478</v>
      </c>
      <c r="U2143" s="0" t="s">
        <v>138</v>
      </c>
      <c r="V2143" s="14" t="s">
        <v>138</v>
      </c>
      <c r="W2143" s="0" t="s">
        <v>138</v>
      </c>
      <c r="X2143" s="14" t="s">
        <v>138</v>
      </c>
      <c r="Y2143" s="0" t="s">
        <v>138</v>
      </c>
      <c r="Z2143" s="14" t="s">
        <v>138</v>
      </c>
      <c r="AA2143" s="0" t="s">
        <v>138</v>
      </c>
      <c r="AB2143" s="14" t="s">
        <v>138</v>
      </c>
      <c r="AD2143" s="0" t="s">
        <v>138</v>
      </c>
      <c r="AF2143" s="0">
        <v>0</v>
      </c>
      <c r="AG2143" s="0">
        <v>0</v>
      </c>
      <c r="AH2143" s="0" t="s">
        <v>140</v>
      </c>
      <c r="AI2143" s="0" t="s">
        <v>138</v>
      </c>
      <c r="AL2143" s="14"/>
      <c r="AN2143" s="14"/>
      <c r="AQ2143" s="0" t="s">
        <v>130</v>
      </c>
      <c r="AR2143" s="0" t="s">
        <v>130</v>
      </c>
      <c r="AS2143" s="0" t="s">
        <v>130</v>
      </c>
      <c r="AT2143" s="0" t="s">
        <v>130</v>
      </c>
      <c r="AU2143" s="0" t="s">
        <v>130</v>
      </c>
      <c r="AV2143" s="0" t="s">
        <v>130</v>
      </c>
      <c r="AW2143" s="0" t="s">
        <v>130</v>
      </c>
      <c r="AX2143" s="0" t="s">
        <v>130</v>
      </c>
      <c r="AY2143" s="0" t="s">
        <v>130</v>
      </c>
      <c r="AZ2143" s="0" t="s">
        <v>130</v>
      </c>
      <c r="BA2143" s="0" t="s">
        <v>130</v>
      </c>
      <c r="BB2143" s="0" t="s">
        <v>130</v>
      </c>
      <c r="BC2143" s="0" t="s">
        <v>130</v>
      </c>
      <c r="BD2143" s="0" t="s">
        <v>130</v>
      </c>
      <c r="BE2143" s="0" t="s">
        <v>130</v>
      </c>
      <c r="BF2143" s="0" t="s">
        <v>130</v>
      </c>
      <c r="BG2143" s="0" t="s">
        <v>130</v>
      </c>
      <c r="BH2143" s="0" t="s">
        <v>130</v>
      </c>
      <c r="BI2143" s="0" t="s">
        <v>130</v>
      </c>
      <c r="BJ2143" s="0" t="s">
        <v>130</v>
      </c>
      <c r="BK2143" s="0" t="s">
        <v>130</v>
      </c>
      <c r="BL2143" s="0" t="s">
        <v>130</v>
      </c>
      <c r="BM2143" s="0" t="s">
        <v>130</v>
      </c>
      <c r="BN2143" s="0" t="s">
        <v>130</v>
      </c>
      <c r="BO2143" s="0" t="s">
        <v>130</v>
      </c>
      <c r="BP2143" s="0" t="s">
        <v>130</v>
      </c>
      <c r="BQ2143" s="0" t="s">
        <v>130</v>
      </c>
      <c r="BR2143" s="0" t="s">
        <v>130</v>
      </c>
      <c r="BS2143" s="0" t="s">
        <v>130</v>
      </c>
      <c r="BT2143" s="0" t="s">
        <v>130</v>
      </c>
      <c r="BU2143" s="0" t="s">
        <v>130</v>
      </c>
      <c r="BV2143" s="0" t="s">
        <v>130</v>
      </c>
      <c r="BW2143" s="0" t="s">
        <v>130</v>
      </c>
      <c r="BX2143" s="0" t="s">
        <v>130</v>
      </c>
      <c r="BY2143" s="0" t="s">
        <v>130</v>
      </c>
      <c r="BZ2143" s="0" t="s">
        <v>130</v>
      </c>
      <c r="CA2143" s="0" t="s">
        <v>130</v>
      </c>
      <c r="CB2143" s="0" t="s">
        <v>130</v>
      </c>
      <c r="CC2143" s="0" t="s">
        <v>130</v>
      </c>
      <c r="CD2143" s="0" t="s">
        <v>130</v>
      </c>
      <c r="CE2143" s="0" t="s">
        <v>130</v>
      </c>
      <c r="CF2143" s="0" t="s">
        <v>130</v>
      </c>
      <c r="CG2143" s="0" t="s">
        <v>130</v>
      </c>
      <c r="CH2143" s="0" t="s">
        <v>130</v>
      </c>
      <c r="CI2143" s="0" t="s">
        <v>130</v>
      </c>
      <c r="CJ2143" s="0" t="s">
        <v>130</v>
      </c>
      <c r="CK2143" s="0" t="s">
        <v>130</v>
      </c>
      <c r="CL2143" s="0" t="s">
        <v>130</v>
      </c>
      <c r="CM2143" s="0" t="s">
        <v>130</v>
      </c>
      <c r="CN2143" s="0" t="s">
        <v>130</v>
      </c>
      <c r="CO2143" s="0" t="s">
        <v>130</v>
      </c>
      <c r="CP2143" s="0" t="s">
        <v>130</v>
      </c>
      <c r="CQ2143" s="0" t="s">
        <v>130</v>
      </c>
      <c r="CR2143" s="0" t="s">
        <v>130</v>
      </c>
      <c r="CS2143" s="0" t="s">
        <v>130</v>
      </c>
      <c r="CT2143" s="0" t="s">
        <v>5953</v>
      </c>
    </row>
    <row r="2144">
      <c r="A2144" s="14">
        <v>116563</v>
      </c>
      <c r="B2144" s="0" t="s">
        <v>2780</v>
      </c>
      <c r="C2144" s="16">
        <f>HYPERLINK("https://eosportal.federatedhermes.com/companies/Q29tcGFueQppNzU2NjU=", "Techtronic Industries Co Ltd")</f>
      </c>
      <c r="D2144" s="0" t="s">
        <v>25</v>
      </c>
      <c r="E2144" s="0" t="s">
        <v>5954</v>
      </c>
      <c r="F2144" s="16">
        <f>HYPERLINK("https://eosportal.federatedhermes.com/engagements/RW5nYWdlbWVudAppMzI1ODI=", "Product circularity")</f>
      </c>
      <c r="G2144" s="14" t="s">
        <v>5955</v>
      </c>
      <c r="H2144" s="0" t="s">
        <v>130</v>
      </c>
      <c r="I2144" s="14" t="s">
        <v>131</v>
      </c>
      <c r="J2144" s="0" t="s">
        <v>197</v>
      </c>
      <c r="K2144" s="0" t="s">
        <v>348</v>
      </c>
      <c r="L2144" s="0" t="s">
        <v>349</v>
      </c>
      <c r="M2144" s="0" t="s">
        <v>802</v>
      </c>
      <c r="N2144" s="0" t="s">
        <v>803</v>
      </c>
      <c r="O2144" s="0" t="s">
        <v>176</v>
      </c>
      <c r="Q2144" s="0" t="s">
        <v>130</v>
      </c>
      <c r="R2144" s="0" t="s">
        <v>138</v>
      </c>
      <c r="S2144" s="14">
        <v>0</v>
      </c>
      <c r="T2144" s="0" t="s">
        <v>478</v>
      </c>
      <c r="U2144" s="0" t="s">
        <v>138</v>
      </c>
      <c r="V2144" s="14" t="s">
        <v>138</v>
      </c>
      <c r="W2144" s="0" t="s">
        <v>138</v>
      </c>
      <c r="X2144" s="14" t="s">
        <v>138</v>
      </c>
      <c r="Y2144" s="0" t="s">
        <v>138</v>
      </c>
      <c r="Z2144" s="14" t="s">
        <v>138</v>
      </c>
      <c r="AA2144" s="0" t="s">
        <v>138</v>
      </c>
      <c r="AB2144" s="14" t="s">
        <v>138</v>
      </c>
      <c r="AD2144" s="0" t="s">
        <v>138</v>
      </c>
      <c r="AF2144" s="0">
        <v>0</v>
      </c>
      <c r="AG2144" s="0">
        <v>0</v>
      </c>
      <c r="AH2144" s="0" t="s">
        <v>140</v>
      </c>
      <c r="AI2144" s="0" t="s">
        <v>138</v>
      </c>
      <c r="AL2144" s="14"/>
      <c r="AN2144" s="14"/>
      <c r="AQ2144" s="0" t="s">
        <v>130</v>
      </c>
      <c r="AR2144" s="0" t="s">
        <v>130</v>
      </c>
      <c r="AS2144" s="0" t="s">
        <v>130</v>
      </c>
      <c r="AT2144" s="0" t="s">
        <v>130</v>
      </c>
      <c r="AU2144" s="0" t="s">
        <v>130</v>
      </c>
      <c r="AV2144" s="0" t="s">
        <v>130</v>
      </c>
      <c r="AW2144" s="0" t="s">
        <v>130</v>
      </c>
      <c r="AX2144" s="0" t="s">
        <v>130</v>
      </c>
      <c r="AY2144" s="0" t="s">
        <v>130</v>
      </c>
      <c r="AZ2144" s="0" t="s">
        <v>130</v>
      </c>
      <c r="BA2144" s="0" t="s">
        <v>130</v>
      </c>
      <c r="BB2144" s="0" t="s">
        <v>141</v>
      </c>
      <c r="BC2144" s="0" t="s">
        <v>130</v>
      </c>
      <c r="BD2144" s="0" t="s">
        <v>130</v>
      </c>
      <c r="BE2144" s="0" t="s">
        <v>130</v>
      </c>
      <c r="BF2144" s="0" t="s">
        <v>130</v>
      </c>
      <c r="BG2144" s="0" t="s">
        <v>130</v>
      </c>
      <c r="BH2144" s="0" t="s">
        <v>130</v>
      </c>
      <c r="BI2144" s="0" t="s">
        <v>130</v>
      </c>
      <c r="BJ2144" s="0" t="s">
        <v>130</v>
      </c>
      <c r="BK2144" s="0" t="s">
        <v>130</v>
      </c>
      <c r="BL2144" s="0" t="s">
        <v>130</v>
      </c>
      <c r="BM2144" s="0" t="s">
        <v>130</v>
      </c>
      <c r="BN2144" s="0" t="s">
        <v>130</v>
      </c>
      <c r="BO2144" s="0" t="s">
        <v>130</v>
      </c>
      <c r="BP2144" s="0" t="s">
        <v>130</v>
      </c>
      <c r="BQ2144" s="0" t="s">
        <v>130</v>
      </c>
      <c r="BR2144" s="0" t="s">
        <v>130</v>
      </c>
      <c r="BS2144" s="0" t="s">
        <v>130</v>
      </c>
      <c r="BT2144" s="0" t="s">
        <v>130</v>
      </c>
      <c r="BU2144" s="0" t="s">
        <v>130</v>
      </c>
      <c r="BV2144" s="0" t="s">
        <v>130</v>
      </c>
      <c r="BW2144" s="0" t="s">
        <v>130</v>
      </c>
      <c r="BX2144" s="0" t="s">
        <v>130</v>
      </c>
      <c r="BY2144" s="0" t="s">
        <v>130</v>
      </c>
      <c r="BZ2144" s="0" t="s">
        <v>130</v>
      </c>
      <c r="CA2144" s="0" t="s">
        <v>130</v>
      </c>
      <c r="CB2144" s="0" t="s">
        <v>130</v>
      </c>
      <c r="CC2144" s="0" t="s">
        <v>130</v>
      </c>
      <c r="CD2144" s="0" t="s">
        <v>141</v>
      </c>
      <c r="CE2144" s="0" t="s">
        <v>130</v>
      </c>
      <c r="CF2144" s="0" t="s">
        <v>130</v>
      </c>
      <c r="CG2144" s="0" t="s">
        <v>130</v>
      </c>
      <c r="CH2144" s="0" t="s">
        <v>130</v>
      </c>
      <c r="CI2144" s="0" t="s">
        <v>130</v>
      </c>
      <c r="CJ2144" s="0" t="s">
        <v>130</v>
      </c>
      <c r="CK2144" s="0" t="s">
        <v>130</v>
      </c>
      <c r="CL2144" s="0" t="s">
        <v>130</v>
      </c>
      <c r="CM2144" s="0" t="s">
        <v>130</v>
      </c>
      <c r="CN2144" s="0" t="s">
        <v>130</v>
      </c>
      <c r="CO2144" s="0" t="s">
        <v>130</v>
      </c>
      <c r="CP2144" s="0" t="s">
        <v>130</v>
      </c>
      <c r="CQ2144" s="0" t="s">
        <v>130</v>
      </c>
      <c r="CR2144" s="0" t="s">
        <v>130</v>
      </c>
      <c r="CS2144" s="0" t="s">
        <v>130</v>
      </c>
      <c r="CT2144" s="0" t="s">
        <v>5956</v>
      </c>
    </row>
    <row r="2145">
      <c r="A2145" s="14">
        <v>100537</v>
      </c>
      <c r="B2145" s="0" t="s">
        <v>728</v>
      </c>
      <c r="C2145" s="16">
        <f>HYPERLINK("https://eosportal.federatedhermes.com/companies/Q29tcGFueQppNTQ1MDY=", "Equifax Inc")</f>
      </c>
      <c r="D2145" s="0" t="s">
        <v>25</v>
      </c>
      <c r="E2145" s="0" t="s">
        <v>236</v>
      </c>
      <c r="F2145" s="16">
        <f>HYPERLINK("https://eosportal.federatedhermes.com/engagements/RW5nYWdlbWVudAppMzI1ODU=", "Executive pay")</f>
      </c>
      <c r="G2145" s="14" t="s">
        <v>5957</v>
      </c>
      <c r="H2145" s="0" t="s">
        <v>130</v>
      </c>
      <c r="I2145" s="14" t="s">
        <v>131</v>
      </c>
      <c r="J2145" s="0" t="s">
        <v>145</v>
      </c>
      <c r="K2145" s="0" t="s">
        <v>146</v>
      </c>
      <c r="L2145" s="0" t="s">
        <v>500</v>
      </c>
      <c r="M2145" s="0" t="s">
        <v>135</v>
      </c>
      <c r="N2145" s="0" t="s">
        <v>136</v>
      </c>
      <c r="O2145" s="0" t="s">
        <v>176</v>
      </c>
      <c r="Q2145" s="0" t="s">
        <v>141</v>
      </c>
      <c r="R2145" s="0" t="s">
        <v>138</v>
      </c>
      <c r="S2145" s="14">
        <v>1</v>
      </c>
      <c r="T2145" s="0" t="s">
        <v>478</v>
      </c>
      <c r="U2145" s="0" t="s">
        <v>138</v>
      </c>
      <c r="V2145" s="14" t="s">
        <v>138</v>
      </c>
      <c r="W2145" s="0" t="s">
        <v>138</v>
      </c>
      <c r="X2145" s="14" t="s">
        <v>138</v>
      </c>
      <c r="Y2145" s="0" t="s">
        <v>138</v>
      </c>
      <c r="Z2145" s="14" t="s">
        <v>138</v>
      </c>
      <c r="AA2145" s="0" t="s">
        <v>138</v>
      </c>
      <c r="AB2145" s="14" t="s">
        <v>138</v>
      </c>
      <c r="AD2145" s="0" t="s">
        <v>138</v>
      </c>
      <c r="AF2145" s="0">
        <v>0</v>
      </c>
      <c r="AG2145" s="0">
        <v>0</v>
      </c>
      <c r="AH2145" s="0" t="s">
        <v>140</v>
      </c>
      <c r="AI2145" s="0" t="s">
        <v>138</v>
      </c>
      <c r="AK2145" s="0" t="s">
        <v>3996</v>
      </c>
      <c r="AL2145" s="14"/>
      <c r="AN2145" s="14"/>
      <c r="AQ2145" s="0" t="s">
        <v>130</v>
      </c>
      <c r="AR2145" s="0" t="s">
        <v>130</v>
      </c>
      <c r="AS2145" s="0" t="s">
        <v>130</v>
      </c>
      <c r="AT2145" s="0" t="s">
        <v>130</v>
      </c>
      <c r="AU2145" s="0" t="s">
        <v>130</v>
      </c>
      <c r="AV2145" s="0" t="s">
        <v>130</v>
      </c>
      <c r="AW2145" s="0" t="s">
        <v>130</v>
      </c>
      <c r="AX2145" s="0" t="s">
        <v>130</v>
      </c>
      <c r="AY2145" s="0" t="s">
        <v>130</v>
      </c>
      <c r="AZ2145" s="0" t="s">
        <v>130</v>
      </c>
      <c r="BA2145" s="0" t="s">
        <v>130</v>
      </c>
      <c r="BB2145" s="0" t="s">
        <v>130</v>
      </c>
      <c r="BC2145" s="0" t="s">
        <v>130</v>
      </c>
      <c r="BD2145" s="0" t="s">
        <v>130</v>
      </c>
      <c r="BE2145" s="0" t="s">
        <v>130</v>
      </c>
      <c r="BF2145" s="0" t="s">
        <v>130</v>
      </c>
      <c r="BG2145" s="0" t="s">
        <v>130</v>
      </c>
      <c r="BH2145" s="0" t="s">
        <v>130</v>
      </c>
      <c r="BI2145" s="0" t="s">
        <v>130</v>
      </c>
      <c r="BJ2145" s="0" t="s">
        <v>130</v>
      </c>
      <c r="BK2145" s="0" t="s">
        <v>130</v>
      </c>
      <c r="BL2145" s="0" t="s">
        <v>130</v>
      </c>
      <c r="BM2145" s="0" t="s">
        <v>130</v>
      </c>
      <c r="BN2145" s="0" t="s">
        <v>130</v>
      </c>
      <c r="BO2145" s="0" t="s">
        <v>130</v>
      </c>
      <c r="BP2145" s="0" t="s">
        <v>130</v>
      </c>
      <c r="BQ2145" s="0" t="s">
        <v>130</v>
      </c>
      <c r="BR2145" s="0" t="s">
        <v>130</v>
      </c>
      <c r="BS2145" s="0" t="s">
        <v>130</v>
      </c>
      <c r="BT2145" s="0" t="s">
        <v>130</v>
      </c>
      <c r="BU2145" s="0" t="s">
        <v>130</v>
      </c>
      <c r="BV2145" s="0" t="s">
        <v>130</v>
      </c>
      <c r="BW2145" s="0" t="s">
        <v>130</v>
      </c>
      <c r="BX2145" s="0" t="s">
        <v>130</v>
      </c>
      <c r="BY2145" s="0" t="s">
        <v>130</v>
      </c>
      <c r="BZ2145" s="0" t="s">
        <v>130</v>
      </c>
      <c r="CA2145" s="0" t="s">
        <v>130</v>
      </c>
      <c r="CB2145" s="0" t="s">
        <v>130</v>
      </c>
      <c r="CC2145" s="0" t="s">
        <v>130</v>
      </c>
      <c r="CD2145" s="0" t="s">
        <v>130</v>
      </c>
      <c r="CE2145" s="0" t="s">
        <v>130</v>
      </c>
      <c r="CF2145" s="0" t="s">
        <v>130</v>
      </c>
      <c r="CG2145" s="0" t="s">
        <v>130</v>
      </c>
      <c r="CH2145" s="0" t="s">
        <v>130</v>
      </c>
      <c r="CI2145" s="0" t="s">
        <v>130</v>
      </c>
      <c r="CJ2145" s="0" t="s">
        <v>130</v>
      </c>
      <c r="CK2145" s="0" t="s">
        <v>130</v>
      </c>
      <c r="CL2145" s="0" t="s">
        <v>130</v>
      </c>
      <c r="CM2145" s="0" t="s">
        <v>130</v>
      </c>
      <c r="CN2145" s="0" t="s">
        <v>130</v>
      </c>
      <c r="CO2145" s="0" t="s">
        <v>130</v>
      </c>
      <c r="CP2145" s="0" t="s">
        <v>130</v>
      </c>
      <c r="CQ2145" s="0" t="s">
        <v>130</v>
      </c>
      <c r="CR2145" s="0" t="s">
        <v>130</v>
      </c>
      <c r="CS2145" s="0" t="s">
        <v>130</v>
      </c>
      <c r="CT2145" s="0" t="s">
        <v>5958</v>
      </c>
    </row>
    <row r="2146">
      <c r="A2146" s="14">
        <v>116563</v>
      </c>
      <c r="B2146" s="0" t="s">
        <v>2780</v>
      </c>
      <c r="C2146" s="16">
        <f>HYPERLINK("https://eosportal.federatedhermes.com/companies/Q29tcGFueQppNzU2NjU=", "Techtronic Industries Co Ltd")</f>
      </c>
      <c r="D2146" s="0" t="s">
        <v>25</v>
      </c>
      <c r="E2146" s="0" t="s">
        <v>459</v>
      </c>
      <c r="F2146" s="16">
        <f>HYPERLINK("https://eosportal.federatedhermes.com/engagements/RW5nYWdlbWVudAppMzI1ODY=", "Human capital management")</f>
      </c>
      <c r="G2146" s="14" t="s">
        <v>5959</v>
      </c>
      <c r="H2146" s="0" t="s">
        <v>130</v>
      </c>
      <c r="I2146" s="14" t="s">
        <v>131</v>
      </c>
      <c r="J2146" s="0" t="s">
        <v>153</v>
      </c>
      <c r="K2146" s="0" t="s">
        <v>154</v>
      </c>
      <c r="L2146" s="0" t="s">
        <v>306</v>
      </c>
      <c r="M2146" s="0" t="s">
        <v>802</v>
      </c>
      <c r="N2146" s="0" t="s">
        <v>803</v>
      </c>
      <c r="O2146" s="0" t="s">
        <v>176</v>
      </c>
      <c r="Q2146" s="0" t="s">
        <v>130</v>
      </c>
      <c r="R2146" s="0" t="s">
        <v>138</v>
      </c>
      <c r="S2146" s="14">
        <v>0</v>
      </c>
      <c r="T2146" s="0" t="s">
        <v>478</v>
      </c>
      <c r="U2146" s="0" t="s">
        <v>138</v>
      </c>
      <c r="V2146" s="14" t="s">
        <v>138</v>
      </c>
      <c r="W2146" s="0" t="s">
        <v>138</v>
      </c>
      <c r="X2146" s="14" t="s">
        <v>138</v>
      </c>
      <c r="Y2146" s="0" t="s">
        <v>138</v>
      </c>
      <c r="Z2146" s="14" t="s">
        <v>138</v>
      </c>
      <c r="AA2146" s="0" t="s">
        <v>138</v>
      </c>
      <c r="AB2146" s="14" t="s">
        <v>138</v>
      </c>
      <c r="AD2146" s="0" t="s">
        <v>138</v>
      </c>
      <c r="AF2146" s="0">
        <v>0</v>
      </c>
      <c r="AG2146" s="0">
        <v>0</v>
      </c>
      <c r="AH2146" s="0" t="s">
        <v>140</v>
      </c>
      <c r="AI2146" s="0" t="s">
        <v>138</v>
      </c>
      <c r="AL2146" s="14"/>
      <c r="AN2146" s="14"/>
      <c r="AQ2146" s="0" t="s">
        <v>130</v>
      </c>
      <c r="AR2146" s="0" t="s">
        <v>130</v>
      </c>
      <c r="AS2146" s="0" t="s">
        <v>130</v>
      </c>
      <c r="AT2146" s="0" t="s">
        <v>130</v>
      </c>
      <c r="AU2146" s="0" t="s">
        <v>130</v>
      </c>
      <c r="AV2146" s="0" t="s">
        <v>130</v>
      </c>
      <c r="AW2146" s="0" t="s">
        <v>130</v>
      </c>
      <c r="AX2146" s="0" t="s">
        <v>141</v>
      </c>
      <c r="AY2146" s="0" t="s">
        <v>130</v>
      </c>
      <c r="AZ2146" s="0" t="s">
        <v>141</v>
      </c>
      <c r="BA2146" s="0" t="s">
        <v>130</v>
      </c>
      <c r="BB2146" s="0" t="s">
        <v>130</v>
      </c>
      <c r="BC2146" s="0" t="s">
        <v>130</v>
      </c>
      <c r="BD2146" s="0" t="s">
        <v>130</v>
      </c>
      <c r="BE2146" s="0" t="s">
        <v>130</v>
      </c>
      <c r="BF2146" s="0" t="s">
        <v>130</v>
      </c>
      <c r="BG2146" s="0" t="s">
        <v>130</v>
      </c>
      <c r="BH2146" s="0" t="s">
        <v>130</v>
      </c>
      <c r="BI2146" s="0" t="s">
        <v>130</v>
      </c>
      <c r="BJ2146" s="0" t="s">
        <v>130</v>
      </c>
      <c r="BK2146" s="0" t="s">
        <v>130</v>
      </c>
      <c r="BL2146" s="0" t="s">
        <v>130</v>
      </c>
      <c r="BM2146" s="0" t="s">
        <v>130</v>
      </c>
      <c r="BN2146" s="0" t="s">
        <v>130</v>
      </c>
      <c r="BO2146" s="0" t="s">
        <v>130</v>
      </c>
      <c r="BP2146" s="0" t="s">
        <v>130</v>
      </c>
      <c r="BQ2146" s="0" t="s">
        <v>130</v>
      </c>
      <c r="BR2146" s="0" t="s">
        <v>130</v>
      </c>
      <c r="BS2146" s="0" t="s">
        <v>130</v>
      </c>
      <c r="BT2146" s="0" t="s">
        <v>130</v>
      </c>
      <c r="BU2146" s="0" t="s">
        <v>130</v>
      </c>
      <c r="BV2146" s="0" t="s">
        <v>130</v>
      </c>
      <c r="BW2146" s="0" t="s">
        <v>130</v>
      </c>
      <c r="BX2146" s="0" t="s">
        <v>130</v>
      </c>
      <c r="BY2146" s="0" t="s">
        <v>130</v>
      </c>
      <c r="BZ2146" s="0" t="s">
        <v>130</v>
      </c>
      <c r="CA2146" s="0" t="s">
        <v>130</v>
      </c>
      <c r="CB2146" s="0" t="s">
        <v>130</v>
      </c>
      <c r="CC2146" s="0" t="s">
        <v>130</v>
      </c>
      <c r="CD2146" s="0" t="s">
        <v>130</v>
      </c>
      <c r="CE2146" s="0" t="s">
        <v>130</v>
      </c>
      <c r="CF2146" s="0" t="s">
        <v>130</v>
      </c>
      <c r="CG2146" s="0" t="s">
        <v>130</v>
      </c>
      <c r="CH2146" s="0" t="s">
        <v>130</v>
      </c>
      <c r="CI2146" s="0" t="s">
        <v>130</v>
      </c>
      <c r="CJ2146" s="0" t="s">
        <v>130</v>
      </c>
      <c r="CK2146" s="0" t="s">
        <v>130</v>
      </c>
      <c r="CL2146" s="0" t="s">
        <v>130</v>
      </c>
      <c r="CM2146" s="0" t="s">
        <v>130</v>
      </c>
      <c r="CN2146" s="0" t="s">
        <v>130</v>
      </c>
      <c r="CO2146" s="0" t="s">
        <v>130</v>
      </c>
      <c r="CP2146" s="0" t="s">
        <v>130</v>
      </c>
      <c r="CQ2146" s="0" t="s">
        <v>130</v>
      </c>
      <c r="CR2146" s="0" t="s">
        <v>130</v>
      </c>
      <c r="CS2146" s="0" t="s">
        <v>130</v>
      </c>
      <c r="CT2146" s="0" t="s">
        <v>5960</v>
      </c>
    </row>
    <row r="2147">
      <c r="A2147" s="14">
        <v>115467</v>
      </c>
      <c r="B2147" s="0" t="s">
        <v>2421</v>
      </c>
      <c r="C2147" s="16">
        <f>HYPERLINK("https://eosportal.federatedhermes.com/companies/Q29tcGFueQppNTg0Nzc=", "Kering SA")</f>
      </c>
      <c r="D2147" s="0" t="s">
        <v>23</v>
      </c>
      <c r="E2147" s="0" t="s">
        <v>5961</v>
      </c>
      <c r="F2147" s="16">
        <f>HYPERLINK("https://eosportal.federatedhermes.com/engagements/RW5nYWdlbWVudAppMzI1ODc=", "Implement 2025 biodiversity strategy")</f>
      </c>
      <c r="G2147" s="14" t="s">
        <v>5962</v>
      </c>
      <c r="H2147" s="0" t="s">
        <v>141</v>
      </c>
      <c r="I2147" s="14" t="s">
        <v>131</v>
      </c>
      <c r="J2147" s="0" t="s">
        <v>197</v>
      </c>
      <c r="K2147" s="0" t="s">
        <v>337</v>
      </c>
      <c r="L2147" s="0" t="s">
        <v>576</v>
      </c>
      <c r="M2147" s="0" t="s">
        <v>378</v>
      </c>
      <c r="N2147" s="0" t="s">
        <v>1646</v>
      </c>
      <c r="O2147" s="0" t="s">
        <v>332</v>
      </c>
      <c r="P2147" s="0" t="s">
        <v>5963</v>
      </c>
      <c r="Q2147" s="0" t="s">
        <v>141</v>
      </c>
      <c r="R2147" s="0" t="s">
        <v>141</v>
      </c>
      <c r="S2147" s="14">
        <v>1</v>
      </c>
      <c r="T2147" s="0" t="s">
        <v>478</v>
      </c>
      <c r="U2147" s="0" t="s">
        <v>221</v>
      </c>
      <c r="V2147" s="14" t="s">
        <v>478</v>
      </c>
      <c r="W2147" s="0" t="s">
        <v>221</v>
      </c>
      <c r="X2147" s="14" t="s">
        <v>478</v>
      </c>
      <c r="Y2147" s="0" t="s">
        <v>221</v>
      </c>
      <c r="Z2147" s="14" t="s">
        <v>361</v>
      </c>
      <c r="AA2147" s="0" t="s">
        <v>223</v>
      </c>
      <c r="AB2147" s="14" t="s">
        <v>138</v>
      </c>
      <c r="AC2147" s="0" t="s">
        <v>17</v>
      </c>
      <c r="AD2147" s="0" t="s">
        <v>20</v>
      </c>
      <c r="AE2147" s="0" t="s">
        <v>2266</v>
      </c>
      <c r="AF2147" s="0">
        <v>1</v>
      </c>
      <c r="AG2147" s="0">
        <v>0</v>
      </c>
      <c r="AH2147" s="0" t="s">
        <v>140</v>
      </c>
      <c r="AI2147" s="0" t="s">
        <v>598</v>
      </c>
      <c r="AK2147" s="0" t="s">
        <v>1439</v>
      </c>
      <c r="AL2147" s="14"/>
      <c r="AN2147" s="14"/>
      <c r="AQ2147" s="0" t="s">
        <v>130</v>
      </c>
      <c r="AR2147" s="0" t="s">
        <v>141</v>
      </c>
      <c r="AS2147" s="0" t="s">
        <v>130</v>
      </c>
      <c r="AT2147" s="0" t="s">
        <v>130</v>
      </c>
      <c r="AU2147" s="0" t="s">
        <v>130</v>
      </c>
      <c r="AV2147" s="0" t="s">
        <v>141</v>
      </c>
      <c r="AW2147" s="0" t="s">
        <v>130</v>
      </c>
      <c r="AX2147" s="0" t="s">
        <v>130</v>
      </c>
      <c r="AY2147" s="0" t="s">
        <v>130</v>
      </c>
      <c r="AZ2147" s="0" t="s">
        <v>130</v>
      </c>
      <c r="BA2147" s="0" t="s">
        <v>141</v>
      </c>
      <c r="BB2147" s="0" t="s">
        <v>141</v>
      </c>
      <c r="BC2147" s="0" t="s">
        <v>130</v>
      </c>
      <c r="BD2147" s="0" t="s">
        <v>141</v>
      </c>
      <c r="BE2147" s="0" t="s">
        <v>141</v>
      </c>
      <c r="BF2147" s="0" t="s">
        <v>130</v>
      </c>
      <c r="BG2147" s="0" t="s">
        <v>130</v>
      </c>
      <c r="BH2147" s="0" t="s">
        <v>130</v>
      </c>
      <c r="BI2147" s="0" t="s">
        <v>130</v>
      </c>
      <c r="BJ2147" s="0" t="s">
        <v>130</v>
      </c>
      <c r="BK2147" s="0" t="s">
        <v>130</v>
      </c>
      <c r="BL2147" s="0" t="s">
        <v>130</v>
      </c>
      <c r="BM2147" s="0" t="s">
        <v>130</v>
      </c>
      <c r="BN2147" s="0" t="s">
        <v>130</v>
      </c>
      <c r="BO2147" s="0" t="s">
        <v>130</v>
      </c>
      <c r="BP2147" s="0" t="s">
        <v>130</v>
      </c>
      <c r="BQ2147" s="0" t="s">
        <v>130</v>
      </c>
      <c r="BR2147" s="0" t="s">
        <v>130</v>
      </c>
      <c r="BS2147" s="0" t="s">
        <v>130</v>
      </c>
      <c r="BT2147" s="0" t="s">
        <v>130</v>
      </c>
      <c r="BU2147" s="0" t="s">
        <v>130</v>
      </c>
      <c r="BV2147" s="0" t="s">
        <v>130</v>
      </c>
      <c r="BW2147" s="0" t="s">
        <v>130</v>
      </c>
      <c r="BX2147" s="0" t="s">
        <v>130</v>
      </c>
      <c r="BY2147" s="0" t="s">
        <v>130</v>
      </c>
      <c r="BZ2147" s="0" t="s">
        <v>130</v>
      </c>
      <c r="CA2147" s="0" t="s">
        <v>130</v>
      </c>
      <c r="CB2147" s="0" t="s">
        <v>130</v>
      </c>
      <c r="CC2147" s="0" t="s">
        <v>130</v>
      </c>
      <c r="CD2147" s="0" t="s">
        <v>130</v>
      </c>
      <c r="CE2147" s="0" t="s">
        <v>130</v>
      </c>
      <c r="CF2147" s="0" t="s">
        <v>130</v>
      </c>
      <c r="CG2147" s="0" t="s">
        <v>130</v>
      </c>
      <c r="CH2147" s="0" t="s">
        <v>130</v>
      </c>
      <c r="CI2147" s="0" t="s">
        <v>130</v>
      </c>
      <c r="CJ2147" s="0" t="s">
        <v>130</v>
      </c>
      <c r="CK2147" s="0" t="s">
        <v>130</v>
      </c>
      <c r="CL2147" s="0" t="s">
        <v>130</v>
      </c>
      <c r="CM2147" s="0" t="s">
        <v>130</v>
      </c>
      <c r="CN2147" s="0" t="s">
        <v>130</v>
      </c>
      <c r="CO2147" s="0" t="s">
        <v>130</v>
      </c>
      <c r="CP2147" s="0" t="s">
        <v>130</v>
      </c>
      <c r="CQ2147" s="0" t="s">
        <v>130</v>
      </c>
      <c r="CR2147" s="0" t="s">
        <v>130</v>
      </c>
      <c r="CS2147" s="0" t="s">
        <v>130</v>
      </c>
      <c r="CT2147" s="0" t="s">
        <v>5964</v>
      </c>
    </row>
    <row r="2148">
      <c r="A2148" s="14">
        <v>38791673</v>
      </c>
      <c r="B2148" s="0" t="s">
        <v>5648</v>
      </c>
      <c r="C2148" s="16">
        <f>HYPERLINK("https://eosportal.federatedhermes.com/companies/Q29tcGFueQppNTg3MDI=", "Wiwynn Corp")</f>
      </c>
      <c r="D2148" s="0" t="s">
        <v>25</v>
      </c>
      <c r="E2148" s="0" t="s">
        <v>5965</v>
      </c>
      <c r="F2148" s="16">
        <f>HYPERLINK("https://eosportal.federatedhermes.com/engagements/RW5nYWdlbWVudAppMzI1OTg=", "Independence")</f>
      </c>
      <c r="G2148" s="14" t="s">
        <v>5966</v>
      </c>
      <c r="H2148" s="0" t="s">
        <v>130</v>
      </c>
      <c r="I2148" s="14" t="s">
        <v>131</v>
      </c>
      <c r="J2148" s="0" t="s">
        <v>145</v>
      </c>
      <c r="K2148" s="0" t="s">
        <v>164</v>
      </c>
      <c r="L2148" s="0" t="s">
        <v>165</v>
      </c>
      <c r="M2148" s="0" t="s">
        <v>802</v>
      </c>
      <c r="N2148" s="0" t="s">
        <v>2941</v>
      </c>
      <c r="O2148" s="0" t="s">
        <v>1125</v>
      </c>
      <c r="Q2148" s="0" t="s">
        <v>141</v>
      </c>
      <c r="R2148" s="0" t="s">
        <v>138</v>
      </c>
      <c r="S2148" s="14">
        <v>1</v>
      </c>
      <c r="T2148" s="0" t="s">
        <v>478</v>
      </c>
      <c r="U2148" s="0" t="s">
        <v>138</v>
      </c>
      <c r="V2148" s="14" t="s">
        <v>138</v>
      </c>
      <c r="W2148" s="0" t="s">
        <v>138</v>
      </c>
      <c r="X2148" s="14" t="s">
        <v>138</v>
      </c>
      <c r="Y2148" s="0" t="s">
        <v>138</v>
      </c>
      <c r="Z2148" s="14" t="s">
        <v>138</v>
      </c>
      <c r="AA2148" s="0" t="s">
        <v>138</v>
      </c>
      <c r="AB2148" s="14" t="s">
        <v>138</v>
      </c>
      <c r="AD2148" s="0" t="s">
        <v>138</v>
      </c>
      <c r="AF2148" s="0">
        <v>0</v>
      </c>
      <c r="AG2148" s="0">
        <v>0</v>
      </c>
      <c r="AH2148" s="0" t="s">
        <v>140</v>
      </c>
      <c r="AI2148" s="0" t="s">
        <v>138</v>
      </c>
      <c r="AK2148" s="0" t="s">
        <v>2529</v>
      </c>
      <c r="AL2148" s="14"/>
      <c r="AN2148" s="14"/>
      <c r="AQ2148" s="0" t="s">
        <v>130</v>
      </c>
      <c r="AR2148" s="0" t="s">
        <v>130</v>
      </c>
      <c r="AS2148" s="0" t="s">
        <v>130</v>
      </c>
      <c r="AT2148" s="0" t="s">
        <v>130</v>
      </c>
      <c r="AU2148" s="0" t="s">
        <v>130</v>
      </c>
      <c r="AV2148" s="0" t="s">
        <v>130</v>
      </c>
      <c r="AW2148" s="0" t="s">
        <v>130</v>
      </c>
      <c r="AX2148" s="0" t="s">
        <v>130</v>
      </c>
      <c r="AY2148" s="0" t="s">
        <v>130</v>
      </c>
      <c r="AZ2148" s="0" t="s">
        <v>130</v>
      </c>
      <c r="BA2148" s="0" t="s">
        <v>130</v>
      </c>
      <c r="BB2148" s="0" t="s">
        <v>130</v>
      </c>
      <c r="BC2148" s="0" t="s">
        <v>130</v>
      </c>
      <c r="BD2148" s="0" t="s">
        <v>130</v>
      </c>
      <c r="BE2148" s="0" t="s">
        <v>130</v>
      </c>
      <c r="BF2148" s="0" t="s">
        <v>130</v>
      </c>
      <c r="BG2148" s="0" t="s">
        <v>130</v>
      </c>
      <c r="BH2148" s="0" t="s">
        <v>130</v>
      </c>
      <c r="BI2148" s="0" t="s">
        <v>130</v>
      </c>
      <c r="BJ2148" s="0" t="s">
        <v>130</v>
      </c>
      <c r="BK2148" s="0" t="s">
        <v>130</v>
      </c>
      <c r="BL2148" s="0" t="s">
        <v>130</v>
      </c>
      <c r="BM2148" s="0" t="s">
        <v>130</v>
      </c>
      <c r="BN2148" s="0" t="s">
        <v>130</v>
      </c>
      <c r="BO2148" s="0" t="s">
        <v>130</v>
      </c>
      <c r="BP2148" s="0" t="s">
        <v>130</v>
      </c>
      <c r="BQ2148" s="0" t="s">
        <v>130</v>
      </c>
      <c r="BR2148" s="0" t="s">
        <v>130</v>
      </c>
      <c r="BS2148" s="0" t="s">
        <v>130</v>
      </c>
      <c r="BT2148" s="0" t="s">
        <v>130</v>
      </c>
      <c r="BU2148" s="0" t="s">
        <v>130</v>
      </c>
      <c r="BV2148" s="0" t="s">
        <v>130</v>
      </c>
      <c r="BW2148" s="0" t="s">
        <v>130</v>
      </c>
      <c r="BX2148" s="0" t="s">
        <v>130</v>
      </c>
      <c r="BY2148" s="0" t="s">
        <v>130</v>
      </c>
      <c r="BZ2148" s="0" t="s">
        <v>130</v>
      </c>
      <c r="CA2148" s="0" t="s">
        <v>130</v>
      </c>
      <c r="CB2148" s="0" t="s">
        <v>130</v>
      </c>
      <c r="CC2148" s="0" t="s">
        <v>130</v>
      </c>
      <c r="CD2148" s="0" t="s">
        <v>130</v>
      </c>
      <c r="CE2148" s="0" t="s">
        <v>130</v>
      </c>
      <c r="CF2148" s="0" t="s">
        <v>130</v>
      </c>
      <c r="CG2148" s="0" t="s">
        <v>130</v>
      </c>
      <c r="CH2148" s="0" t="s">
        <v>130</v>
      </c>
      <c r="CI2148" s="0" t="s">
        <v>130</v>
      </c>
      <c r="CJ2148" s="0" t="s">
        <v>130</v>
      </c>
      <c r="CK2148" s="0" t="s">
        <v>130</v>
      </c>
      <c r="CL2148" s="0" t="s">
        <v>130</v>
      </c>
      <c r="CM2148" s="0" t="s">
        <v>130</v>
      </c>
      <c r="CN2148" s="0" t="s">
        <v>130</v>
      </c>
      <c r="CO2148" s="0" t="s">
        <v>130</v>
      </c>
      <c r="CP2148" s="0" t="s">
        <v>130</v>
      </c>
      <c r="CQ2148" s="0" t="s">
        <v>130</v>
      </c>
      <c r="CR2148" s="0" t="s">
        <v>130</v>
      </c>
      <c r="CS2148" s="0" t="s">
        <v>130</v>
      </c>
      <c r="CT2148" s="0" t="s">
        <v>5967</v>
      </c>
    </row>
    <row r="2149">
      <c r="A2149" s="14">
        <v>70940270</v>
      </c>
      <c r="B2149" s="0" t="s">
        <v>4590</v>
      </c>
      <c r="C2149" s="16">
        <f>HYPERLINK("https://eosportal.federatedhermes.com/companies/Q29tcGFueQppODU0MTY=", "Linde PLC")</f>
      </c>
      <c r="D2149" s="0" t="s">
        <v>25</v>
      </c>
      <c r="E2149" s="0" t="s">
        <v>5968</v>
      </c>
      <c r="F2149" s="16">
        <f>HYPERLINK("https://eosportal.federatedhermes.com/engagements/RW5nYWdlbWVudAppMzI1OTk=", "Paris Agreement-aligned 2050 carbon neutrality goal")</f>
      </c>
      <c r="G2149" s="14" t="s">
        <v>5969</v>
      </c>
      <c r="H2149" s="0" t="s">
        <v>141</v>
      </c>
      <c r="I2149" s="14" t="s">
        <v>191</v>
      </c>
      <c r="J2149" s="0" t="s">
        <v>197</v>
      </c>
      <c r="K2149" s="0" t="s">
        <v>198</v>
      </c>
      <c r="L2149" s="0" t="s">
        <v>216</v>
      </c>
      <c r="M2149" s="0" t="s">
        <v>135</v>
      </c>
      <c r="N2149" s="0" t="s">
        <v>136</v>
      </c>
      <c r="O2149" s="0" t="s">
        <v>706</v>
      </c>
      <c r="Q2149" s="0" t="s">
        <v>130</v>
      </c>
      <c r="R2149" s="0" t="s">
        <v>138</v>
      </c>
      <c r="S2149" s="14">
        <v>0</v>
      </c>
      <c r="T2149" s="0" t="s">
        <v>478</v>
      </c>
      <c r="U2149" s="0" t="s">
        <v>138</v>
      </c>
      <c r="V2149" s="14" t="s">
        <v>138</v>
      </c>
      <c r="W2149" s="0" t="s">
        <v>138</v>
      </c>
      <c r="X2149" s="14" t="s">
        <v>138</v>
      </c>
      <c r="Y2149" s="0" t="s">
        <v>138</v>
      </c>
      <c r="Z2149" s="14" t="s">
        <v>138</v>
      </c>
      <c r="AA2149" s="0" t="s">
        <v>138</v>
      </c>
      <c r="AB2149" s="14" t="s">
        <v>138</v>
      </c>
      <c r="AD2149" s="0" t="s">
        <v>138</v>
      </c>
      <c r="AF2149" s="0">
        <v>0</v>
      </c>
      <c r="AG2149" s="0">
        <v>0</v>
      </c>
      <c r="AH2149" s="0" t="s">
        <v>140</v>
      </c>
      <c r="AI2149" s="0" t="s">
        <v>138</v>
      </c>
      <c r="AL2149" s="14"/>
      <c r="AN2149" s="14"/>
      <c r="AQ2149" s="0" t="s">
        <v>130</v>
      </c>
      <c r="AR2149" s="0" t="s">
        <v>130</v>
      </c>
      <c r="AS2149" s="0" t="s">
        <v>130</v>
      </c>
      <c r="AT2149" s="0" t="s">
        <v>130</v>
      </c>
      <c r="AU2149" s="0" t="s">
        <v>130</v>
      </c>
      <c r="AV2149" s="0" t="s">
        <v>130</v>
      </c>
      <c r="AW2149" s="0" t="s">
        <v>141</v>
      </c>
      <c r="AX2149" s="0" t="s">
        <v>130</v>
      </c>
      <c r="AY2149" s="0" t="s">
        <v>130</v>
      </c>
      <c r="AZ2149" s="0" t="s">
        <v>130</v>
      </c>
      <c r="BA2149" s="0" t="s">
        <v>130</v>
      </c>
      <c r="BB2149" s="0" t="s">
        <v>130</v>
      </c>
      <c r="BC2149" s="0" t="s">
        <v>141</v>
      </c>
      <c r="BD2149" s="0" t="s">
        <v>130</v>
      </c>
      <c r="BE2149" s="0" t="s">
        <v>130</v>
      </c>
      <c r="BF2149" s="0" t="s">
        <v>130</v>
      </c>
      <c r="BG2149" s="0" t="s">
        <v>130</v>
      </c>
      <c r="BH2149" s="0" t="s">
        <v>141</v>
      </c>
      <c r="BI2149" s="0" t="s">
        <v>141</v>
      </c>
      <c r="BJ2149" s="0" t="s">
        <v>141</v>
      </c>
      <c r="BK2149" s="0" t="s">
        <v>130</v>
      </c>
      <c r="BL2149" s="0" t="s">
        <v>130</v>
      </c>
      <c r="BM2149" s="0" t="s">
        <v>130</v>
      </c>
      <c r="BN2149" s="0" t="s">
        <v>130</v>
      </c>
      <c r="BO2149" s="0" t="s">
        <v>130</v>
      </c>
      <c r="BP2149" s="0" t="s">
        <v>130</v>
      </c>
      <c r="BQ2149" s="0" t="s">
        <v>130</v>
      </c>
      <c r="BR2149" s="0" t="s">
        <v>130</v>
      </c>
      <c r="BS2149" s="0" t="s">
        <v>130</v>
      </c>
      <c r="BT2149" s="0" t="s">
        <v>130</v>
      </c>
      <c r="BU2149" s="0" t="s">
        <v>130</v>
      </c>
      <c r="BV2149" s="0" t="s">
        <v>141</v>
      </c>
      <c r="BW2149" s="0" t="s">
        <v>141</v>
      </c>
      <c r="BX2149" s="0" t="s">
        <v>130</v>
      </c>
      <c r="BY2149" s="0" t="s">
        <v>130</v>
      </c>
      <c r="BZ2149" s="0" t="s">
        <v>130</v>
      </c>
      <c r="CA2149" s="0" t="s">
        <v>130</v>
      </c>
      <c r="CB2149" s="0" t="s">
        <v>130</v>
      </c>
      <c r="CC2149" s="0" t="s">
        <v>130</v>
      </c>
      <c r="CD2149" s="0" t="s">
        <v>130</v>
      </c>
      <c r="CE2149" s="0" t="s">
        <v>130</v>
      </c>
      <c r="CF2149" s="0" t="s">
        <v>130</v>
      </c>
      <c r="CG2149" s="0" t="s">
        <v>130</v>
      </c>
      <c r="CH2149" s="0" t="s">
        <v>130</v>
      </c>
      <c r="CI2149" s="0" t="s">
        <v>130</v>
      </c>
      <c r="CJ2149" s="0" t="s">
        <v>130</v>
      </c>
      <c r="CK2149" s="0" t="s">
        <v>130</v>
      </c>
      <c r="CL2149" s="0" t="s">
        <v>130</v>
      </c>
      <c r="CM2149" s="0" t="s">
        <v>130</v>
      </c>
      <c r="CN2149" s="0" t="s">
        <v>130</v>
      </c>
      <c r="CO2149" s="0" t="s">
        <v>130</v>
      </c>
      <c r="CP2149" s="0" t="s">
        <v>130</v>
      </c>
      <c r="CQ2149" s="0" t="s">
        <v>130</v>
      </c>
      <c r="CR2149" s="0" t="s">
        <v>130</v>
      </c>
      <c r="CS2149" s="0" t="s">
        <v>130</v>
      </c>
      <c r="CT2149" s="0" t="s">
        <v>5970</v>
      </c>
    </row>
    <row r="2150">
      <c r="A2150" s="14">
        <v>101365</v>
      </c>
      <c r="B2150" s="0" t="s">
        <v>1493</v>
      </c>
      <c r="C2150" s="16">
        <f>HYPERLINK("https://eosportal.federatedhermes.com/companies/Q29tcGFueQppNTQ1MjA=", "Sony Group Corp")</f>
      </c>
      <c r="D2150" s="0" t="s">
        <v>25</v>
      </c>
      <c r="E2150" s="0" t="s">
        <v>5971</v>
      </c>
      <c r="F2150" s="16">
        <f>HYPERLINK("https://eosportal.federatedhermes.com/engagements/RW5nYWdlbWVudAppMzI2MTM=", "Executive Remuneration Structure")</f>
      </c>
      <c r="G2150" s="14" t="s">
        <v>5972</v>
      </c>
      <c r="H2150" s="0" t="s">
        <v>141</v>
      </c>
      <c r="I2150" s="14" t="s">
        <v>191</v>
      </c>
      <c r="J2150" s="0" t="s">
        <v>145</v>
      </c>
      <c r="K2150" s="0" t="s">
        <v>146</v>
      </c>
      <c r="L2150" s="0" t="s">
        <v>147</v>
      </c>
      <c r="M2150" s="0" t="s">
        <v>802</v>
      </c>
      <c r="N2150" s="0" t="s">
        <v>952</v>
      </c>
      <c r="O2150" s="0" t="s">
        <v>1125</v>
      </c>
      <c r="Q2150" s="0" t="s">
        <v>141</v>
      </c>
      <c r="R2150" s="0" t="s">
        <v>138</v>
      </c>
      <c r="S2150" s="14">
        <v>1</v>
      </c>
      <c r="T2150" s="0" t="s">
        <v>478</v>
      </c>
      <c r="U2150" s="0" t="s">
        <v>138</v>
      </c>
      <c r="V2150" s="14" t="s">
        <v>138</v>
      </c>
      <c r="W2150" s="0" t="s">
        <v>138</v>
      </c>
      <c r="X2150" s="14" t="s">
        <v>138</v>
      </c>
      <c r="Y2150" s="0" t="s">
        <v>138</v>
      </c>
      <c r="Z2150" s="14" t="s">
        <v>138</v>
      </c>
      <c r="AA2150" s="0" t="s">
        <v>138</v>
      </c>
      <c r="AB2150" s="14" t="s">
        <v>138</v>
      </c>
      <c r="AD2150" s="0" t="s">
        <v>138</v>
      </c>
      <c r="AF2150" s="0">
        <v>0</v>
      </c>
      <c r="AG2150" s="0">
        <v>0</v>
      </c>
      <c r="AH2150" s="0" t="s">
        <v>140</v>
      </c>
      <c r="AI2150" s="0" t="s">
        <v>138</v>
      </c>
      <c r="AK2150" s="0" t="s">
        <v>1196</v>
      </c>
      <c r="AL2150" s="14"/>
      <c r="AN2150" s="14"/>
      <c r="AQ2150" s="0" t="s">
        <v>130</v>
      </c>
      <c r="AR2150" s="0" t="s">
        <v>130</v>
      </c>
      <c r="AS2150" s="0" t="s">
        <v>130</v>
      </c>
      <c r="AT2150" s="0" t="s">
        <v>130</v>
      </c>
      <c r="AU2150" s="0" t="s">
        <v>130</v>
      </c>
      <c r="AV2150" s="0" t="s">
        <v>130</v>
      </c>
      <c r="AW2150" s="0" t="s">
        <v>130</v>
      </c>
      <c r="AX2150" s="0" t="s">
        <v>130</v>
      </c>
      <c r="AY2150" s="0" t="s">
        <v>130</v>
      </c>
      <c r="AZ2150" s="0" t="s">
        <v>130</v>
      </c>
      <c r="BA2150" s="0" t="s">
        <v>130</v>
      </c>
      <c r="BB2150" s="0" t="s">
        <v>130</v>
      </c>
      <c r="BC2150" s="0" t="s">
        <v>130</v>
      </c>
      <c r="BD2150" s="0" t="s">
        <v>130</v>
      </c>
      <c r="BE2150" s="0" t="s">
        <v>130</v>
      </c>
      <c r="BF2150" s="0" t="s">
        <v>130</v>
      </c>
      <c r="BG2150" s="0" t="s">
        <v>130</v>
      </c>
      <c r="BH2150" s="0" t="s">
        <v>130</v>
      </c>
      <c r="BI2150" s="0" t="s">
        <v>130</v>
      </c>
      <c r="BJ2150" s="0" t="s">
        <v>130</v>
      </c>
      <c r="BK2150" s="0" t="s">
        <v>130</v>
      </c>
      <c r="BL2150" s="0" t="s">
        <v>130</v>
      </c>
      <c r="BM2150" s="0" t="s">
        <v>130</v>
      </c>
      <c r="BN2150" s="0" t="s">
        <v>130</v>
      </c>
      <c r="BO2150" s="0" t="s">
        <v>130</v>
      </c>
      <c r="BP2150" s="0" t="s">
        <v>130</v>
      </c>
      <c r="BQ2150" s="0" t="s">
        <v>130</v>
      </c>
      <c r="BR2150" s="0" t="s">
        <v>130</v>
      </c>
      <c r="BS2150" s="0" t="s">
        <v>130</v>
      </c>
      <c r="BT2150" s="0" t="s">
        <v>130</v>
      </c>
      <c r="BU2150" s="0" t="s">
        <v>130</v>
      </c>
      <c r="BV2150" s="0" t="s">
        <v>130</v>
      </c>
      <c r="BW2150" s="0" t="s">
        <v>130</v>
      </c>
      <c r="BX2150" s="0" t="s">
        <v>130</v>
      </c>
      <c r="BY2150" s="0" t="s">
        <v>130</v>
      </c>
      <c r="BZ2150" s="0" t="s">
        <v>130</v>
      </c>
      <c r="CA2150" s="0" t="s">
        <v>130</v>
      </c>
      <c r="CB2150" s="0" t="s">
        <v>130</v>
      </c>
      <c r="CC2150" s="0" t="s">
        <v>130</v>
      </c>
      <c r="CD2150" s="0" t="s">
        <v>130</v>
      </c>
      <c r="CE2150" s="0" t="s">
        <v>130</v>
      </c>
      <c r="CF2150" s="0" t="s">
        <v>130</v>
      </c>
      <c r="CG2150" s="0" t="s">
        <v>130</v>
      </c>
      <c r="CH2150" s="0" t="s">
        <v>130</v>
      </c>
      <c r="CI2150" s="0" t="s">
        <v>130</v>
      </c>
      <c r="CJ2150" s="0" t="s">
        <v>130</v>
      </c>
      <c r="CK2150" s="0" t="s">
        <v>130</v>
      </c>
      <c r="CL2150" s="0" t="s">
        <v>130</v>
      </c>
      <c r="CM2150" s="0" t="s">
        <v>130</v>
      </c>
      <c r="CN2150" s="0" t="s">
        <v>130</v>
      </c>
      <c r="CO2150" s="0" t="s">
        <v>130</v>
      </c>
      <c r="CP2150" s="0" t="s">
        <v>130</v>
      </c>
      <c r="CQ2150" s="0" t="s">
        <v>130</v>
      </c>
      <c r="CR2150" s="0" t="s">
        <v>130</v>
      </c>
      <c r="CS2150" s="0" t="s">
        <v>130</v>
      </c>
      <c r="CT2150" s="0" t="s">
        <v>5973</v>
      </c>
    </row>
    <row r="2151">
      <c r="A2151" s="14">
        <v>101491</v>
      </c>
      <c r="B2151" s="0" t="s">
        <v>1642</v>
      </c>
      <c r="C2151" s="16">
        <f>HYPERLINK("https://eosportal.federatedhermes.com/companies/Q29tcGFueQppNjMzMzM=", "TotalEnergies SE")</f>
      </c>
      <c r="D2151" s="0" t="s">
        <v>23</v>
      </c>
      <c r="E2151" s="0" t="s">
        <v>5974</v>
      </c>
      <c r="F2151" s="16">
        <f>HYPERLINK("https://eosportal.federatedhermes.com/engagements/RW5nYWdlbWVudAppMzI2MTk=", "Paris-aligned emissions reduction targets (downstream)")</f>
      </c>
      <c r="G2151" s="14" t="s">
        <v>5975</v>
      </c>
      <c r="H2151" s="0" t="s">
        <v>141</v>
      </c>
      <c r="I2151" s="14" t="s">
        <v>1645</v>
      </c>
      <c r="J2151" s="0" t="s">
        <v>197</v>
      </c>
      <c r="K2151" s="0" t="s">
        <v>198</v>
      </c>
      <c r="L2151" s="0" t="s">
        <v>216</v>
      </c>
      <c r="M2151" s="0" t="s">
        <v>378</v>
      </c>
      <c r="N2151" s="0" t="s">
        <v>1646</v>
      </c>
      <c r="O2151" s="0" t="s">
        <v>542</v>
      </c>
      <c r="Q2151" s="0" t="s">
        <v>141</v>
      </c>
      <c r="R2151" s="0" t="s">
        <v>130</v>
      </c>
      <c r="S2151" s="14">
        <v>1</v>
      </c>
      <c r="T2151" s="0" t="s">
        <v>394</v>
      </c>
      <c r="U2151" s="0" t="s">
        <v>221</v>
      </c>
      <c r="V2151" s="14" t="s">
        <v>394</v>
      </c>
      <c r="W2151" s="0" t="s">
        <v>221</v>
      </c>
      <c r="X2151" s="14" t="s">
        <v>148</v>
      </c>
      <c r="Y2151" s="0" t="s">
        <v>223</v>
      </c>
      <c r="Z2151" s="14" t="s">
        <v>138</v>
      </c>
      <c r="AA2151" s="0" t="s">
        <v>224</v>
      </c>
      <c r="AB2151" s="14" t="s">
        <v>138</v>
      </c>
      <c r="AD2151" s="0" t="s">
        <v>17</v>
      </c>
      <c r="AF2151" s="0">
        <v>0</v>
      </c>
      <c r="AG2151" s="0">
        <v>0</v>
      </c>
      <c r="AH2151" s="0" t="s">
        <v>140</v>
      </c>
      <c r="AI2151" s="0" t="s">
        <v>225</v>
      </c>
      <c r="AK2151" s="0" t="s">
        <v>1668</v>
      </c>
      <c r="AL2151" s="14"/>
      <c r="AN2151" s="14"/>
      <c r="AQ2151" s="0" t="s">
        <v>130</v>
      </c>
      <c r="AR2151" s="0" t="s">
        <v>130</v>
      </c>
      <c r="AS2151" s="0" t="s">
        <v>130</v>
      </c>
      <c r="AT2151" s="0" t="s">
        <v>130</v>
      </c>
      <c r="AU2151" s="0" t="s">
        <v>130</v>
      </c>
      <c r="AV2151" s="0" t="s">
        <v>130</v>
      </c>
      <c r="AW2151" s="0" t="s">
        <v>141</v>
      </c>
      <c r="AX2151" s="0" t="s">
        <v>130</v>
      </c>
      <c r="AY2151" s="0" t="s">
        <v>130</v>
      </c>
      <c r="AZ2151" s="0" t="s">
        <v>130</v>
      </c>
      <c r="BA2151" s="0" t="s">
        <v>130</v>
      </c>
      <c r="BB2151" s="0" t="s">
        <v>130</v>
      </c>
      <c r="BC2151" s="0" t="s">
        <v>141</v>
      </c>
      <c r="BD2151" s="0" t="s">
        <v>130</v>
      </c>
      <c r="BE2151" s="0" t="s">
        <v>130</v>
      </c>
      <c r="BF2151" s="0" t="s">
        <v>130</v>
      </c>
      <c r="BG2151" s="0" t="s">
        <v>130</v>
      </c>
      <c r="BH2151" s="0" t="s">
        <v>141</v>
      </c>
      <c r="BI2151" s="0" t="s">
        <v>141</v>
      </c>
      <c r="BJ2151" s="0" t="s">
        <v>141</v>
      </c>
      <c r="BK2151" s="0" t="s">
        <v>130</v>
      </c>
      <c r="BL2151" s="0" t="s">
        <v>130</v>
      </c>
      <c r="BM2151" s="0" t="s">
        <v>130</v>
      </c>
      <c r="BN2151" s="0" t="s">
        <v>130</v>
      </c>
      <c r="BO2151" s="0" t="s">
        <v>130</v>
      </c>
      <c r="BP2151" s="0" t="s">
        <v>130</v>
      </c>
      <c r="BQ2151" s="0" t="s">
        <v>130</v>
      </c>
      <c r="BR2151" s="0" t="s">
        <v>130</v>
      </c>
      <c r="BS2151" s="0" t="s">
        <v>130</v>
      </c>
      <c r="BT2151" s="0" t="s">
        <v>130</v>
      </c>
      <c r="BU2151" s="0" t="s">
        <v>130</v>
      </c>
      <c r="BV2151" s="0" t="s">
        <v>141</v>
      </c>
      <c r="BW2151" s="0" t="s">
        <v>141</v>
      </c>
      <c r="BX2151" s="0" t="s">
        <v>130</v>
      </c>
      <c r="BY2151" s="0" t="s">
        <v>130</v>
      </c>
      <c r="BZ2151" s="0" t="s">
        <v>130</v>
      </c>
      <c r="CA2151" s="0" t="s">
        <v>130</v>
      </c>
      <c r="CB2151" s="0" t="s">
        <v>130</v>
      </c>
      <c r="CC2151" s="0" t="s">
        <v>130</v>
      </c>
      <c r="CD2151" s="0" t="s">
        <v>130</v>
      </c>
      <c r="CE2151" s="0" t="s">
        <v>130</v>
      </c>
      <c r="CF2151" s="0" t="s">
        <v>130</v>
      </c>
      <c r="CG2151" s="0" t="s">
        <v>130</v>
      </c>
      <c r="CH2151" s="0" t="s">
        <v>130</v>
      </c>
      <c r="CI2151" s="0" t="s">
        <v>130</v>
      </c>
      <c r="CJ2151" s="0" t="s">
        <v>130</v>
      </c>
      <c r="CK2151" s="0" t="s">
        <v>130</v>
      </c>
      <c r="CL2151" s="0" t="s">
        <v>130</v>
      </c>
      <c r="CM2151" s="0" t="s">
        <v>130</v>
      </c>
      <c r="CN2151" s="0" t="s">
        <v>130</v>
      </c>
      <c r="CO2151" s="0" t="s">
        <v>130</v>
      </c>
      <c r="CP2151" s="0" t="s">
        <v>130</v>
      </c>
      <c r="CQ2151" s="0" t="s">
        <v>130</v>
      </c>
      <c r="CR2151" s="0" t="s">
        <v>130</v>
      </c>
      <c r="CS2151" s="0" t="s">
        <v>130</v>
      </c>
      <c r="CT2151" s="0" t="s">
        <v>5976</v>
      </c>
    </row>
    <row r="2152">
      <c r="A2152" s="14">
        <v>7044851</v>
      </c>
      <c r="B2152" s="0" t="s">
        <v>3763</v>
      </c>
      <c r="C2152" s="16">
        <f>HYPERLINK("https://eosportal.federatedhermes.com/companies/Q29tcGFueQppODQ2NDc=", "Compass Group PLC")</f>
      </c>
      <c r="D2152" s="0" t="s">
        <v>23</v>
      </c>
      <c r="E2152" s="0" t="s">
        <v>1147</v>
      </c>
      <c r="F2152" s="16">
        <f>HYPERLINK("https://eosportal.federatedhermes.com/engagements/RW5nYWdlbWVudAppMzI2MjE=", "Climate resilient strategy - enhanced scope")</f>
      </c>
      <c r="G2152" s="14" t="s">
        <v>5977</v>
      </c>
      <c r="H2152" s="0" t="s">
        <v>141</v>
      </c>
      <c r="I2152" s="14" t="s">
        <v>191</v>
      </c>
      <c r="J2152" s="0" t="s">
        <v>197</v>
      </c>
      <c r="K2152" s="0" t="s">
        <v>198</v>
      </c>
      <c r="L2152" s="0" t="s">
        <v>220</v>
      </c>
      <c r="M2152" s="0" t="s">
        <v>272</v>
      </c>
      <c r="N2152" s="0" t="s">
        <v>273</v>
      </c>
      <c r="O2152" s="0" t="s">
        <v>643</v>
      </c>
      <c r="Q2152" s="0" t="s">
        <v>130</v>
      </c>
      <c r="R2152" s="0" t="s">
        <v>130</v>
      </c>
      <c r="S2152" s="14">
        <v>0</v>
      </c>
      <c r="T2152" s="0" t="s">
        <v>597</v>
      </c>
      <c r="U2152" s="0" t="s">
        <v>221</v>
      </c>
      <c r="V2152" s="14" t="s">
        <v>597</v>
      </c>
      <c r="W2152" s="0" t="s">
        <v>221</v>
      </c>
      <c r="X2152" s="14" t="s">
        <v>597</v>
      </c>
      <c r="Y2152" s="0" t="s">
        <v>221</v>
      </c>
      <c r="Z2152" s="14" t="s">
        <v>2629</v>
      </c>
      <c r="AA2152" s="0" t="s">
        <v>223</v>
      </c>
      <c r="AB2152" s="14" t="s">
        <v>138</v>
      </c>
      <c r="AD2152" s="0" t="s">
        <v>20</v>
      </c>
      <c r="AF2152" s="0">
        <v>0</v>
      </c>
      <c r="AG2152" s="0">
        <v>0</v>
      </c>
      <c r="AH2152" s="0" t="s">
        <v>140</v>
      </c>
      <c r="AI2152" s="0" t="s">
        <v>479</v>
      </c>
      <c r="AL2152" s="14"/>
      <c r="AN2152" s="14"/>
      <c r="AQ2152" s="0" t="s">
        <v>130</v>
      </c>
      <c r="AR2152" s="0" t="s">
        <v>130</v>
      </c>
      <c r="AS2152" s="0" t="s">
        <v>130</v>
      </c>
      <c r="AT2152" s="0" t="s">
        <v>130</v>
      </c>
      <c r="AU2152" s="0" t="s">
        <v>130</v>
      </c>
      <c r="AV2152" s="0" t="s">
        <v>130</v>
      </c>
      <c r="AW2152" s="0" t="s">
        <v>141</v>
      </c>
      <c r="AX2152" s="0" t="s">
        <v>130</v>
      </c>
      <c r="AY2152" s="0" t="s">
        <v>141</v>
      </c>
      <c r="AZ2152" s="0" t="s">
        <v>130</v>
      </c>
      <c r="BA2152" s="0" t="s">
        <v>130</v>
      </c>
      <c r="BB2152" s="0" t="s">
        <v>130</v>
      </c>
      <c r="BC2152" s="0" t="s">
        <v>141</v>
      </c>
      <c r="BD2152" s="0" t="s">
        <v>130</v>
      </c>
      <c r="BE2152" s="0" t="s">
        <v>130</v>
      </c>
      <c r="BF2152" s="0" t="s">
        <v>130</v>
      </c>
      <c r="BG2152" s="0" t="s">
        <v>130</v>
      </c>
      <c r="BH2152" s="0" t="s">
        <v>130</v>
      </c>
      <c r="BI2152" s="0" t="s">
        <v>130</v>
      </c>
      <c r="BJ2152" s="0" t="s">
        <v>130</v>
      </c>
      <c r="BK2152" s="0" t="s">
        <v>130</v>
      </c>
      <c r="BL2152" s="0" t="s">
        <v>130</v>
      </c>
      <c r="BM2152" s="0" t="s">
        <v>130</v>
      </c>
      <c r="BN2152" s="0" t="s">
        <v>130</v>
      </c>
      <c r="BO2152" s="0" t="s">
        <v>130</v>
      </c>
      <c r="BP2152" s="0" t="s">
        <v>130</v>
      </c>
      <c r="BQ2152" s="0" t="s">
        <v>130</v>
      </c>
      <c r="BR2152" s="0" t="s">
        <v>130</v>
      </c>
      <c r="BS2152" s="0" t="s">
        <v>130</v>
      </c>
      <c r="BT2152" s="0" t="s">
        <v>130</v>
      </c>
      <c r="BU2152" s="0" t="s">
        <v>130</v>
      </c>
      <c r="BV2152" s="0" t="s">
        <v>130</v>
      </c>
      <c r="BW2152" s="0" t="s">
        <v>130</v>
      </c>
      <c r="BX2152" s="0" t="s">
        <v>130</v>
      </c>
      <c r="BY2152" s="0" t="s">
        <v>130</v>
      </c>
      <c r="BZ2152" s="0" t="s">
        <v>130</v>
      </c>
      <c r="CA2152" s="0" t="s">
        <v>130</v>
      </c>
      <c r="CB2152" s="0" t="s">
        <v>130</v>
      </c>
      <c r="CC2152" s="0" t="s">
        <v>130</v>
      </c>
      <c r="CD2152" s="0" t="s">
        <v>130</v>
      </c>
      <c r="CE2152" s="0" t="s">
        <v>130</v>
      </c>
      <c r="CF2152" s="0" t="s">
        <v>130</v>
      </c>
      <c r="CG2152" s="0" t="s">
        <v>130</v>
      </c>
      <c r="CH2152" s="0" t="s">
        <v>130</v>
      </c>
      <c r="CI2152" s="0" t="s">
        <v>130</v>
      </c>
      <c r="CJ2152" s="0" t="s">
        <v>130</v>
      </c>
      <c r="CK2152" s="0" t="s">
        <v>130</v>
      </c>
      <c r="CL2152" s="0" t="s">
        <v>130</v>
      </c>
      <c r="CM2152" s="0" t="s">
        <v>130</v>
      </c>
      <c r="CN2152" s="0" t="s">
        <v>130</v>
      </c>
      <c r="CO2152" s="0" t="s">
        <v>130</v>
      </c>
      <c r="CP2152" s="0" t="s">
        <v>130</v>
      </c>
      <c r="CQ2152" s="0" t="s">
        <v>130</v>
      </c>
      <c r="CR2152" s="0" t="s">
        <v>130</v>
      </c>
      <c r="CS2152" s="0" t="s">
        <v>130</v>
      </c>
      <c r="CT2152" s="0" t="s">
        <v>5978</v>
      </c>
    </row>
    <row r="2153">
      <c r="A2153" s="14">
        <v>115476</v>
      </c>
      <c r="B2153" s="0" t="s">
        <v>5979</v>
      </c>
      <c r="C2153" s="16">
        <f>HYPERLINK("https://eosportal.federatedhermes.com/companies/Q29tcGFueQppNTg0ODE=", "Renault SA")</f>
      </c>
      <c r="D2153" s="0" t="s">
        <v>23</v>
      </c>
      <c r="E2153" s="0" t="s">
        <v>5980</v>
      </c>
      <c r="F2153" s="16">
        <f>HYPERLINK("https://eosportal.federatedhermes.com/engagements/RW5nYWdlbWVudAppMzI2MjM=", "Public Policy")</f>
      </c>
      <c r="G2153" s="14" t="s">
        <v>5981</v>
      </c>
      <c r="H2153" s="0" t="s">
        <v>141</v>
      </c>
      <c r="I2153" s="14" t="s">
        <v>636</v>
      </c>
      <c r="J2153" s="0" t="s">
        <v>197</v>
      </c>
      <c r="K2153" s="0" t="s">
        <v>198</v>
      </c>
      <c r="L2153" s="0" t="s">
        <v>199</v>
      </c>
      <c r="M2153" s="0" t="s">
        <v>378</v>
      </c>
      <c r="N2153" s="0" t="s">
        <v>1646</v>
      </c>
      <c r="O2153" s="0" t="s">
        <v>425</v>
      </c>
      <c r="Q2153" s="0" t="s">
        <v>130</v>
      </c>
      <c r="R2153" s="0" t="s">
        <v>141</v>
      </c>
      <c r="S2153" s="14">
        <v>0</v>
      </c>
      <c r="T2153" s="0" t="s">
        <v>478</v>
      </c>
      <c r="U2153" s="0" t="s">
        <v>221</v>
      </c>
      <c r="V2153" s="14" t="s">
        <v>478</v>
      </c>
      <c r="W2153" s="0" t="s">
        <v>221</v>
      </c>
      <c r="X2153" s="14" t="s">
        <v>478</v>
      </c>
      <c r="Y2153" s="0" t="s">
        <v>221</v>
      </c>
      <c r="Z2153" s="14" t="s">
        <v>3562</v>
      </c>
      <c r="AA2153" s="0" t="s">
        <v>221</v>
      </c>
      <c r="AB2153" s="14" t="s">
        <v>361</v>
      </c>
      <c r="AC2153" s="0" t="s">
        <v>20</v>
      </c>
      <c r="AD2153" s="0" t="s">
        <v>362</v>
      </c>
      <c r="AE2153" s="0" t="s">
        <v>363</v>
      </c>
      <c r="AF2153" s="0">
        <v>1</v>
      </c>
      <c r="AG2153" s="0">
        <v>0</v>
      </c>
      <c r="AH2153" s="0" t="s">
        <v>140</v>
      </c>
      <c r="AI2153" s="0" t="s">
        <v>221</v>
      </c>
      <c r="AJ2153" s="0" t="s">
        <v>748</v>
      </c>
      <c r="AL2153" s="14"/>
      <c r="AM2153" s="0" t="s">
        <v>366</v>
      </c>
      <c r="AN2153" s="14"/>
      <c r="AP2153" s="0" t="s">
        <v>4571</v>
      </c>
      <c r="AQ2153" s="0" t="s">
        <v>130</v>
      </c>
      <c r="AR2153" s="0" t="s">
        <v>130</v>
      </c>
      <c r="AS2153" s="0" t="s">
        <v>130</v>
      </c>
      <c r="AT2153" s="0" t="s">
        <v>130</v>
      </c>
      <c r="AU2153" s="0" t="s">
        <v>130</v>
      </c>
      <c r="AV2153" s="0" t="s">
        <v>130</v>
      </c>
      <c r="AW2153" s="0" t="s">
        <v>130</v>
      </c>
      <c r="AX2153" s="0" t="s">
        <v>130</v>
      </c>
      <c r="AY2153" s="0" t="s">
        <v>130</v>
      </c>
      <c r="AZ2153" s="0" t="s">
        <v>130</v>
      </c>
      <c r="BA2153" s="0" t="s">
        <v>130</v>
      </c>
      <c r="BB2153" s="0" t="s">
        <v>141</v>
      </c>
      <c r="BC2153" s="0" t="s">
        <v>141</v>
      </c>
      <c r="BD2153" s="0" t="s">
        <v>130</v>
      </c>
      <c r="BE2153" s="0" t="s">
        <v>130</v>
      </c>
      <c r="BF2153" s="0" t="s">
        <v>130</v>
      </c>
      <c r="BG2153" s="0" t="s">
        <v>130</v>
      </c>
      <c r="BH2153" s="0" t="s">
        <v>130</v>
      </c>
      <c r="BI2153" s="0" t="s">
        <v>130</v>
      </c>
      <c r="BJ2153" s="0" t="s">
        <v>130</v>
      </c>
      <c r="BK2153" s="0" t="s">
        <v>130</v>
      </c>
      <c r="BL2153" s="0" t="s">
        <v>130</v>
      </c>
      <c r="BM2153" s="0" t="s">
        <v>130</v>
      </c>
      <c r="BN2153" s="0" t="s">
        <v>130</v>
      </c>
      <c r="BO2153" s="0" t="s">
        <v>130</v>
      </c>
      <c r="BP2153" s="0" t="s">
        <v>130</v>
      </c>
      <c r="BQ2153" s="0" t="s">
        <v>130</v>
      </c>
      <c r="BR2153" s="0" t="s">
        <v>130</v>
      </c>
      <c r="BS2153" s="0" t="s">
        <v>130</v>
      </c>
      <c r="BT2153" s="0" t="s">
        <v>130</v>
      </c>
      <c r="BU2153" s="0" t="s">
        <v>130</v>
      </c>
      <c r="BV2153" s="0" t="s">
        <v>130</v>
      </c>
      <c r="BW2153" s="0" t="s">
        <v>130</v>
      </c>
      <c r="BX2153" s="0" t="s">
        <v>130</v>
      </c>
      <c r="BY2153" s="0" t="s">
        <v>130</v>
      </c>
      <c r="BZ2153" s="0" t="s">
        <v>130</v>
      </c>
      <c r="CA2153" s="0" t="s">
        <v>130</v>
      </c>
      <c r="CB2153" s="0" t="s">
        <v>130</v>
      </c>
      <c r="CC2153" s="0" t="s">
        <v>130</v>
      </c>
      <c r="CD2153" s="0" t="s">
        <v>130</v>
      </c>
      <c r="CE2153" s="0" t="s">
        <v>130</v>
      </c>
      <c r="CF2153" s="0" t="s">
        <v>130</v>
      </c>
      <c r="CG2153" s="0" t="s">
        <v>130</v>
      </c>
      <c r="CH2153" s="0" t="s">
        <v>130</v>
      </c>
      <c r="CI2153" s="0" t="s">
        <v>130</v>
      </c>
      <c r="CJ2153" s="0" t="s">
        <v>130</v>
      </c>
      <c r="CK2153" s="0" t="s">
        <v>130</v>
      </c>
      <c r="CL2153" s="0" t="s">
        <v>130</v>
      </c>
      <c r="CM2153" s="0" t="s">
        <v>130</v>
      </c>
      <c r="CN2153" s="0" t="s">
        <v>130</v>
      </c>
      <c r="CO2153" s="0" t="s">
        <v>130</v>
      </c>
      <c r="CP2153" s="0" t="s">
        <v>130</v>
      </c>
      <c r="CQ2153" s="0" t="s">
        <v>130</v>
      </c>
      <c r="CR2153" s="0" t="s">
        <v>130</v>
      </c>
      <c r="CS2153" s="0" t="s">
        <v>130</v>
      </c>
      <c r="CT2153" s="0" t="s">
        <v>5982</v>
      </c>
    </row>
    <row r="2154">
      <c r="A2154" s="14">
        <v>7909359</v>
      </c>
      <c r="B2154" s="0" t="s">
        <v>3859</v>
      </c>
      <c r="C2154" s="16">
        <f>HYPERLINK("https://eosportal.federatedhermes.com/companies/Q29tcGFueQppNzgyNzQ=", "Sumitomo Mitsui Financial Group Inc")</f>
      </c>
      <c r="D2154" s="0" t="s">
        <v>25</v>
      </c>
      <c r="E2154" s="0" t="s">
        <v>5500</v>
      </c>
      <c r="F2154" s="16">
        <f>HYPERLINK("https://eosportal.federatedhermes.com/engagements/RW5nYWdlbWVudAppMzI2MzE=", "Human rights due diligence")</f>
      </c>
      <c r="G2154" s="14" t="s">
        <v>5983</v>
      </c>
      <c r="H2154" s="0" t="s">
        <v>141</v>
      </c>
      <c r="I2154" s="14" t="s">
        <v>191</v>
      </c>
      <c r="J2154" s="0" t="s">
        <v>153</v>
      </c>
      <c r="K2154" s="0" t="s">
        <v>243</v>
      </c>
      <c r="L2154" s="0" t="s">
        <v>244</v>
      </c>
      <c r="M2154" s="0" t="s">
        <v>802</v>
      </c>
      <c r="N2154" s="0" t="s">
        <v>952</v>
      </c>
      <c r="O2154" s="0" t="s">
        <v>238</v>
      </c>
      <c r="Q2154" s="0" t="s">
        <v>130</v>
      </c>
      <c r="R2154" s="0" t="s">
        <v>138</v>
      </c>
      <c r="S2154" s="14">
        <v>0</v>
      </c>
      <c r="T2154" s="0" t="s">
        <v>231</v>
      </c>
      <c r="U2154" s="0" t="s">
        <v>138</v>
      </c>
      <c r="V2154" s="14" t="s">
        <v>138</v>
      </c>
      <c r="W2154" s="0" t="s">
        <v>138</v>
      </c>
      <c r="X2154" s="14" t="s">
        <v>138</v>
      </c>
      <c r="Y2154" s="0" t="s">
        <v>138</v>
      </c>
      <c r="Z2154" s="14" t="s">
        <v>138</v>
      </c>
      <c r="AA2154" s="0" t="s">
        <v>138</v>
      </c>
      <c r="AB2154" s="14" t="s">
        <v>138</v>
      </c>
      <c r="AD2154" s="0" t="s">
        <v>138</v>
      </c>
      <c r="AF2154" s="0">
        <v>0</v>
      </c>
      <c r="AG2154" s="0">
        <v>0</v>
      </c>
      <c r="AH2154" s="0" t="s">
        <v>140</v>
      </c>
      <c r="AI2154" s="0" t="s">
        <v>138</v>
      </c>
      <c r="AL2154" s="14"/>
      <c r="AN2154" s="14"/>
      <c r="AQ2154" s="0" t="s">
        <v>130</v>
      </c>
      <c r="AR2154" s="0" t="s">
        <v>130</v>
      </c>
      <c r="AS2154" s="0" t="s">
        <v>130</v>
      </c>
      <c r="AT2154" s="0" t="s">
        <v>130</v>
      </c>
      <c r="AU2154" s="0" t="s">
        <v>130</v>
      </c>
      <c r="AV2154" s="0" t="s">
        <v>130</v>
      </c>
      <c r="AW2154" s="0" t="s">
        <v>130</v>
      </c>
      <c r="AX2154" s="0" t="s">
        <v>141</v>
      </c>
      <c r="AY2154" s="0" t="s">
        <v>130</v>
      </c>
      <c r="AZ2154" s="0" t="s">
        <v>130</v>
      </c>
      <c r="BA2154" s="0" t="s">
        <v>130</v>
      </c>
      <c r="BB2154" s="0" t="s">
        <v>130</v>
      </c>
      <c r="BC2154" s="0" t="s">
        <v>130</v>
      </c>
      <c r="BD2154" s="0" t="s">
        <v>130</v>
      </c>
      <c r="BE2154" s="0" t="s">
        <v>130</v>
      </c>
      <c r="BF2154" s="0" t="s">
        <v>130</v>
      </c>
      <c r="BG2154" s="0" t="s">
        <v>130</v>
      </c>
      <c r="BH2154" s="0" t="s">
        <v>130</v>
      </c>
      <c r="BI2154" s="0" t="s">
        <v>130</v>
      </c>
      <c r="BJ2154" s="0" t="s">
        <v>130</v>
      </c>
      <c r="BK2154" s="0" t="s">
        <v>130</v>
      </c>
      <c r="BL2154" s="0" t="s">
        <v>130</v>
      </c>
      <c r="BM2154" s="0" t="s">
        <v>130</v>
      </c>
      <c r="BN2154" s="0" t="s">
        <v>130</v>
      </c>
      <c r="BO2154" s="0" t="s">
        <v>130</v>
      </c>
      <c r="BP2154" s="0" t="s">
        <v>130</v>
      </c>
      <c r="BQ2154" s="0" t="s">
        <v>130</v>
      </c>
      <c r="BR2154" s="0" t="s">
        <v>130</v>
      </c>
      <c r="BS2154" s="0" t="s">
        <v>130</v>
      </c>
      <c r="BT2154" s="0" t="s">
        <v>130</v>
      </c>
      <c r="BU2154" s="0" t="s">
        <v>130</v>
      </c>
      <c r="BV2154" s="0" t="s">
        <v>130</v>
      </c>
      <c r="BW2154" s="0" t="s">
        <v>130</v>
      </c>
      <c r="BX2154" s="0" t="s">
        <v>130</v>
      </c>
      <c r="BY2154" s="0" t="s">
        <v>130</v>
      </c>
      <c r="BZ2154" s="0" t="s">
        <v>130</v>
      </c>
      <c r="CA2154" s="0" t="s">
        <v>130</v>
      </c>
      <c r="CB2154" s="0" t="s">
        <v>130</v>
      </c>
      <c r="CC2154" s="0" t="s">
        <v>130</v>
      </c>
      <c r="CD2154" s="0" t="s">
        <v>130</v>
      </c>
      <c r="CE2154" s="0" t="s">
        <v>130</v>
      </c>
      <c r="CF2154" s="0" t="s">
        <v>130</v>
      </c>
      <c r="CG2154" s="0" t="s">
        <v>130</v>
      </c>
      <c r="CH2154" s="0" t="s">
        <v>130</v>
      </c>
      <c r="CI2154" s="0" t="s">
        <v>130</v>
      </c>
      <c r="CJ2154" s="0" t="s">
        <v>130</v>
      </c>
      <c r="CK2154" s="0" t="s">
        <v>130</v>
      </c>
      <c r="CL2154" s="0" t="s">
        <v>130</v>
      </c>
      <c r="CM2154" s="0" t="s">
        <v>130</v>
      </c>
      <c r="CN2154" s="0" t="s">
        <v>130</v>
      </c>
      <c r="CO2154" s="0" t="s">
        <v>130</v>
      </c>
      <c r="CP2154" s="0" t="s">
        <v>130</v>
      </c>
      <c r="CQ2154" s="0" t="s">
        <v>130</v>
      </c>
      <c r="CR2154" s="0" t="s">
        <v>130</v>
      </c>
      <c r="CS2154" s="0" t="s">
        <v>130</v>
      </c>
      <c r="CT2154" s="0" t="s">
        <v>5984</v>
      </c>
    </row>
    <row r="2155">
      <c r="A2155" s="14">
        <v>100232</v>
      </c>
      <c r="B2155" s="0" t="s">
        <v>368</v>
      </c>
      <c r="C2155" s="16">
        <f>HYPERLINK("https://eosportal.federatedhermes.com/companies/Q29tcGFueQppNjQzODg=", "BHP Group Ltd")</f>
      </c>
      <c r="D2155" s="0" t="s">
        <v>25</v>
      </c>
      <c r="E2155" s="0" t="s">
        <v>574</v>
      </c>
      <c r="F2155" s="16">
        <f>HYPERLINK("https://eosportal.federatedhermes.com/engagements/RW5nYWdlbWVudAppMzI2Mzg=", "Biodiversity")</f>
      </c>
      <c r="G2155" s="14" t="s">
        <v>5985</v>
      </c>
      <c r="H2155" s="0" t="s">
        <v>141</v>
      </c>
      <c r="I2155" s="14" t="s">
        <v>191</v>
      </c>
      <c r="J2155" s="0" t="s">
        <v>197</v>
      </c>
      <c r="K2155" s="0" t="s">
        <v>337</v>
      </c>
      <c r="L2155" s="0" t="s">
        <v>576</v>
      </c>
      <c r="M2155" s="0" t="s">
        <v>371</v>
      </c>
      <c r="N2155" s="0" t="s">
        <v>372</v>
      </c>
      <c r="O2155" s="0" t="s">
        <v>373</v>
      </c>
      <c r="Q2155" s="0" t="s">
        <v>130</v>
      </c>
      <c r="R2155" s="0" t="s">
        <v>138</v>
      </c>
      <c r="S2155" s="14">
        <v>0</v>
      </c>
      <c r="T2155" s="0" t="s">
        <v>478</v>
      </c>
      <c r="U2155" s="0" t="s">
        <v>138</v>
      </c>
      <c r="V2155" s="14" t="s">
        <v>138</v>
      </c>
      <c r="W2155" s="0" t="s">
        <v>138</v>
      </c>
      <c r="X2155" s="14" t="s">
        <v>138</v>
      </c>
      <c r="Y2155" s="0" t="s">
        <v>138</v>
      </c>
      <c r="Z2155" s="14" t="s">
        <v>138</v>
      </c>
      <c r="AA2155" s="0" t="s">
        <v>138</v>
      </c>
      <c r="AB2155" s="14" t="s">
        <v>138</v>
      </c>
      <c r="AD2155" s="0" t="s">
        <v>138</v>
      </c>
      <c r="AF2155" s="0">
        <v>0</v>
      </c>
      <c r="AG2155" s="0">
        <v>0</v>
      </c>
      <c r="AH2155" s="0" t="s">
        <v>140</v>
      </c>
      <c r="AI2155" s="0" t="s">
        <v>138</v>
      </c>
      <c r="AL2155" s="14"/>
      <c r="AN2155" s="14"/>
      <c r="AQ2155" s="0" t="s">
        <v>130</v>
      </c>
      <c r="AR2155" s="0" t="s">
        <v>141</v>
      </c>
      <c r="AS2155" s="0" t="s">
        <v>130</v>
      </c>
      <c r="AT2155" s="0" t="s">
        <v>130</v>
      </c>
      <c r="AU2155" s="0" t="s">
        <v>130</v>
      </c>
      <c r="AV2155" s="0" t="s">
        <v>141</v>
      </c>
      <c r="AW2155" s="0" t="s">
        <v>130</v>
      </c>
      <c r="AX2155" s="0" t="s">
        <v>130</v>
      </c>
      <c r="AY2155" s="0" t="s">
        <v>130</v>
      </c>
      <c r="AZ2155" s="0" t="s">
        <v>130</v>
      </c>
      <c r="BA2155" s="0" t="s">
        <v>141</v>
      </c>
      <c r="BB2155" s="0" t="s">
        <v>141</v>
      </c>
      <c r="BC2155" s="0" t="s">
        <v>130</v>
      </c>
      <c r="BD2155" s="0" t="s">
        <v>141</v>
      </c>
      <c r="BE2155" s="0" t="s">
        <v>141</v>
      </c>
      <c r="BF2155" s="0" t="s">
        <v>130</v>
      </c>
      <c r="BG2155" s="0" t="s">
        <v>130</v>
      </c>
      <c r="BH2155" s="0" t="s">
        <v>130</v>
      </c>
      <c r="BI2155" s="0" t="s">
        <v>130</v>
      </c>
      <c r="BJ2155" s="0" t="s">
        <v>130</v>
      </c>
      <c r="BK2155" s="0" t="s">
        <v>130</v>
      </c>
      <c r="BL2155" s="0" t="s">
        <v>130</v>
      </c>
      <c r="BM2155" s="0" t="s">
        <v>130</v>
      </c>
      <c r="BN2155" s="0" t="s">
        <v>130</v>
      </c>
      <c r="BO2155" s="0" t="s">
        <v>130</v>
      </c>
      <c r="BP2155" s="0" t="s">
        <v>130</v>
      </c>
      <c r="BQ2155" s="0" t="s">
        <v>130</v>
      </c>
      <c r="BR2155" s="0" t="s">
        <v>130</v>
      </c>
      <c r="BS2155" s="0" t="s">
        <v>130</v>
      </c>
      <c r="BT2155" s="0" t="s">
        <v>130</v>
      </c>
      <c r="BU2155" s="0" t="s">
        <v>130</v>
      </c>
      <c r="BV2155" s="0" t="s">
        <v>130</v>
      </c>
      <c r="BW2155" s="0" t="s">
        <v>130</v>
      </c>
      <c r="BX2155" s="0" t="s">
        <v>130</v>
      </c>
      <c r="BY2155" s="0" t="s">
        <v>130</v>
      </c>
      <c r="BZ2155" s="0" t="s">
        <v>130</v>
      </c>
      <c r="CA2155" s="0" t="s">
        <v>130</v>
      </c>
      <c r="CB2155" s="0" t="s">
        <v>130</v>
      </c>
      <c r="CC2155" s="0" t="s">
        <v>130</v>
      </c>
      <c r="CD2155" s="0" t="s">
        <v>130</v>
      </c>
      <c r="CE2155" s="0" t="s">
        <v>130</v>
      </c>
      <c r="CF2155" s="0" t="s">
        <v>130</v>
      </c>
      <c r="CG2155" s="0" t="s">
        <v>130</v>
      </c>
      <c r="CH2155" s="0" t="s">
        <v>130</v>
      </c>
      <c r="CI2155" s="0" t="s">
        <v>130</v>
      </c>
      <c r="CJ2155" s="0" t="s">
        <v>130</v>
      </c>
      <c r="CK2155" s="0" t="s">
        <v>130</v>
      </c>
      <c r="CL2155" s="0" t="s">
        <v>130</v>
      </c>
      <c r="CM2155" s="0" t="s">
        <v>130</v>
      </c>
      <c r="CN2155" s="0" t="s">
        <v>130</v>
      </c>
      <c r="CO2155" s="0" t="s">
        <v>130</v>
      </c>
      <c r="CP2155" s="0" t="s">
        <v>130</v>
      </c>
      <c r="CQ2155" s="0" t="s">
        <v>130</v>
      </c>
      <c r="CR2155" s="0" t="s">
        <v>130</v>
      </c>
      <c r="CS2155" s="0" t="s">
        <v>130</v>
      </c>
      <c r="CT2155" s="0" t="s">
        <v>5986</v>
      </c>
    </row>
    <row r="2156">
      <c r="A2156" s="14">
        <v>136124</v>
      </c>
      <c r="B2156" s="0" t="s">
        <v>3066</v>
      </c>
      <c r="C2156" s="16">
        <f>HYPERLINK("https://eosportal.federatedhermes.com/companies/Q29tcGFueQppODQ3NTU=", "AP Moller - Maersk A/S")</f>
      </c>
      <c r="D2156" s="0" t="s">
        <v>23</v>
      </c>
      <c r="E2156" s="0" t="s">
        <v>5987</v>
      </c>
      <c r="F2156" s="16">
        <f>HYPERLINK("https://eosportal.federatedhermes.com/engagements/RW5nYWdlbWVudAppMzI2NDU=", "Physical climate risk")</f>
      </c>
      <c r="G2156" s="14" t="s">
        <v>5988</v>
      </c>
      <c r="H2156" s="0" t="s">
        <v>141</v>
      </c>
      <c r="I2156" s="14" t="s">
        <v>191</v>
      </c>
      <c r="J2156" s="0" t="s">
        <v>197</v>
      </c>
      <c r="K2156" s="0" t="s">
        <v>198</v>
      </c>
      <c r="L2156" s="0" t="s">
        <v>682</v>
      </c>
      <c r="M2156" s="0" t="s">
        <v>378</v>
      </c>
      <c r="N2156" s="0" t="s">
        <v>1339</v>
      </c>
      <c r="O2156" s="0" t="s">
        <v>425</v>
      </c>
      <c r="Q2156" s="0" t="s">
        <v>141</v>
      </c>
      <c r="R2156" s="0" t="s">
        <v>141</v>
      </c>
      <c r="S2156" s="14">
        <v>2</v>
      </c>
      <c r="T2156" s="0" t="s">
        <v>2270</v>
      </c>
      <c r="U2156" s="0" t="s">
        <v>221</v>
      </c>
      <c r="V2156" s="14" t="s">
        <v>2270</v>
      </c>
      <c r="W2156" s="0" t="s">
        <v>221</v>
      </c>
      <c r="X2156" s="14" t="s">
        <v>2270</v>
      </c>
      <c r="Y2156" s="0" t="s">
        <v>221</v>
      </c>
      <c r="Z2156" s="14" t="s">
        <v>361</v>
      </c>
      <c r="AA2156" s="0" t="s">
        <v>223</v>
      </c>
      <c r="AB2156" s="14" t="s">
        <v>138</v>
      </c>
      <c r="AC2156" s="0" t="s">
        <v>17</v>
      </c>
      <c r="AD2156" s="0" t="s">
        <v>20</v>
      </c>
      <c r="AE2156" s="0" t="s">
        <v>2266</v>
      </c>
      <c r="AF2156" s="0">
        <v>1</v>
      </c>
      <c r="AG2156" s="0">
        <v>0</v>
      </c>
      <c r="AH2156" s="0" t="s">
        <v>140</v>
      </c>
      <c r="AI2156" s="0" t="s">
        <v>479</v>
      </c>
      <c r="AK2156" s="0" t="s">
        <v>226</v>
      </c>
      <c r="AL2156" s="14"/>
      <c r="AN2156" s="14"/>
      <c r="AQ2156" s="0" t="s">
        <v>130</v>
      </c>
      <c r="AR2156" s="0" t="s">
        <v>130</v>
      </c>
      <c r="AS2156" s="0" t="s">
        <v>130</v>
      </c>
      <c r="AT2156" s="0" t="s">
        <v>130</v>
      </c>
      <c r="AU2156" s="0" t="s">
        <v>130</v>
      </c>
      <c r="AV2156" s="0" t="s">
        <v>130</v>
      </c>
      <c r="AW2156" s="0" t="s">
        <v>130</v>
      </c>
      <c r="AX2156" s="0" t="s">
        <v>130</v>
      </c>
      <c r="AY2156" s="0" t="s">
        <v>130</v>
      </c>
      <c r="AZ2156" s="0" t="s">
        <v>130</v>
      </c>
      <c r="BA2156" s="0" t="s">
        <v>130</v>
      </c>
      <c r="BB2156" s="0" t="s">
        <v>130</v>
      </c>
      <c r="BC2156" s="0" t="s">
        <v>141</v>
      </c>
      <c r="BD2156" s="0" t="s">
        <v>130</v>
      </c>
      <c r="BE2156" s="0" t="s">
        <v>130</v>
      </c>
      <c r="BF2156" s="0" t="s">
        <v>130</v>
      </c>
      <c r="BG2156" s="0" t="s">
        <v>130</v>
      </c>
      <c r="BH2156" s="0" t="s">
        <v>130</v>
      </c>
      <c r="BI2156" s="0" t="s">
        <v>130</v>
      </c>
      <c r="BJ2156" s="0" t="s">
        <v>130</v>
      </c>
      <c r="BK2156" s="0" t="s">
        <v>130</v>
      </c>
      <c r="BL2156" s="0" t="s">
        <v>130</v>
      </c>
      <c r="BM2156" s="0" t="s">
        <v>130</v>
      </c>
      <c r="BN2156" s="0" t="s">
        <v>130</v>
      </c>
      <c r="BO2156" s="0" t="s">
        <v>130</v>
      </c>
      <c r="BP2156" s="0" t="s">
        <v>130</v>
      </c>
      <c r="BQ2156" s="0" t="s">
        <v>130</v>
      </c>
      <c r="BR2156" s="0" t="s">
        <v>130</v>
      </c>
      <c r="BS2156" s="0" t="s">
        <v>130</v>
      </c>
      <c r="BT2156" s="0" t="s">
        <v>130</v>
      </c>
      <c r="BU2156" s="0" t="s">
        <v>130</v>
      </c>
      <c r="BV2156" s="0" t="s">
        <v>130</v>
      </c>
      <c r="BW2156" s="0" t="s">
        <v>130</v>
      </c>
      <c r="BX2156" s="0" t="s">
        <v>130</v>
      </c>
      <c r="BY2156" s="0" t="s">
        <v>130</v>
      </c>
      <c r="BZ2156" s="0" t="s">
        <v>130</v>
      </c>
      <c r="CA2156" s="0" t="s">
        <v>130</v>
      </c>
      <c r="CB2156" s="0" t="s">
        <v>130</v>
      </c>
      <c r="CC2156" s="0" t="s">
        <v>130</v>
      </c>
      <c r="CD2156" s="0" t="s">
        <v>130</v>
      </c>
      <c r="CE2156" s="0" t="s">
        <v>130</v>
      </c>
      <c r="CF2156" s="0" t="s">
        <v>130</v>
      </c>
      <c r="CG2156" s="0" t="s">
        <v>130</v>
      </c>
      <c r="CH2156" s="0" t="s">
        <v>130</v>
      </c>
      <c r="CI2156" s="0" t="s">
        <v>130</v>
      </c>
      <c r="CJ2156" s="0" t="s">
        <v>130</v>
      </c>
      <c r="CK2156" s="0" t="s">
        <v>130</v>
      </c>
      <c r="CL2156" s="0" t="s">
        <v>130</v>
      </c>
      <c r="CM2156" s="0" t="s">
        <v>130</v>
      </c>
      <c r="CN2156" s="0" t="s">
        <v>130</v>
      </c>
      <c r="CO2156" s="0" t="s">
        <v>130</v>
      </c>
      <c r="CP2156" s="0" t="s">
        <v>130</v>
      </c>
      <c r="CQ2156" s="0" t="s">
        <v>130</v>
      </c>
      <c r="CR2156" s="0" t="s">
        <v>130</v>
      </c>
      <c r="CS2156" s="0" t="s">
        <v>130</v>
      </c>
      <c r="CT2156" s="0" t="s">
        <v>5989</v>
      </c>
    </row>
    <row r="2157">
      <c r="A2157" s="14">
        <v>100438</v>
      </c>
      <c r="B2157" s="0" t="s">
        <v>573</v>
      </c>
      <c r="C2157" s="16">
        <f>HYPERLINK("https://eosportal.federatedhermes.com/companies/Q29tcGFueQppNjQzODk=", "Deere &amp; Co")</f>
      </c>
      <c r="D2157" s="0" t="s">
        <v>25</v>
      </c>
      <c r="E2157" s="0" t="s">
        <v>5990</v>
      </c>
      <c r="F2157" s="16">
        <f>HYPERLINK("https://eosportal.federatedhermes.com/engagements/RW5nYWdlbWVudAppMzI2NDk=", "Climate transition")</f>
      </c>
      <c r="G2157" s="14" t="s">
        <v>5991</v>
      </c>
      <c r="H2157" s="0" t="s">
        <v>141</v>
      </c>
      <c r="I2157" s="14" t="s">
        <v>191</v>
      </c>
      <c r="J2157" s="0" t="s">
        <v>197</v>
      </c>
      <c r="K2157" s="0" t="s">
        <v>198</v>
      </c>
      <c r="L2157" s="0" t="s">
        <v>216</v>
      </c>
      <c r="M2157" s="0" t="s">
        <v>135</v>
      </c>
      <c r="N2157" s="0" t="s">
        <v>136</v>
      </c>
      <c r="O2157" s="0" t="s">
        <v>176</v>
      </c>
      <c r="Q2157" s="0" t="s">
        <v>130</v>
      </c>
      <c r="R2157" s="0" t="s">
        <v>138</v>
      </c>
      <c r="S2157" s="14">
        <v>0</v>
      </c>
      <c r="T2157" s="0" t="s">
        <v>478</v>
      </c>
      <c r="U2157" s="0" t="s">
        <v>138</v>
      </c>
      <c r="V2157" s="14" t="s">
        <v>138</v>
      </c>
      <c r="W2157" s="0" t="s">
        <v>138</v>
      </c>
      <c r="X2157" s="14" t="s">
        <v>138</v>
      </c>
      <c r="Y2157" s="0" t="s">
        <v>138</v>
      </c>
      <c r="Z2157" s="14" t="s">
        <v>138</v>
      </c>
      <c r="AA2157" s="0" t="s">
        <v>138</v>
      </c>
      <c r="AB2157" s="14" t="s">
        <v>138</v>
      </c>
      <c r="AD2157" s="0" t="s">
        <v>138</v>
      </c>
      <c r="AF2157" s="0">
        <v>0</v>
      </c>
      <c r="AG2157" s="0">
        <v>0</v>
      </c>
      <c r="AH2157" s="0" t="s">
        <v>140</v>
      </c>
      <c r="AI2157" s="0" t="s">
        <v>138</v>
      </c>
      <c r="AL2157" s="14"/>
      <c r="AN2157" s="14"/>
      <c r="AQ2157" s="0" t="s">
        <v>130</v>
      </c>
      <c r="AR2157" s="0" t="s">
        <v>130</v>
      </c>
      <c r="AS2157" s="0" t="s">
        <v>130</v>
      </c>
      <c r="AT2157" s="0" t="s">
        <v>130</v>
      </c>
      <c r="AU2157" s="0" t="s">
        <v>130</v>
      </c>
      <c r="AV2157" s="0" t="s">
        <v>130</v>
      </c>
      <c r="AW2157" s="0" t="s">
        <v>141</v>
      </c>
      <c r="AX2157" s="0" t="s">
        <v>130</v>
      </c>
      <c r="AY2157" s="0" t="s">
        <v>130</v>
      </c>
      <c r="AZ2157" s="0" t="s">
        <v>130</v>
      </c>
      <c r="BA2157" s="0" t="s">
        <v>130</v>
      </c>
      <c r="BB2157" s="0" t="s">
        <v>130</v>
      </c>
      <c r="BC2157" s="0" t="s">
        <v>141</v>
      </c>
      <c r="BD2157" s="0" t="s">
        <v>130</v>
      </c>
      <c r="BE2157" s="0" t="s">
        <v>130</v>
      </c>
      <c r="BF2157" s="0" t="s">
        <v>130</v>
      </c>
      <c r="BG2157" s="0" t="s">
        <v>130</v>
      </c>
      <c r="BH2157" s="0" t="s">
        <v>141</v>
      </c>
      <c r="BI2157" s="0" t="s">
        <v>141</v>
      </c>
      <c r="BJ2157" s="0" t="s">
        <v>141</v>
      </c>
      <c r="BK2157" s="0" t="s">
        <v>130</v>
      </c>
      <c r="BL2157" s="0" t="s">
        <v>130</v>
      </c>
      <c r="BM2157" s="0" t="s">
        <v>130</v>
      </c>
      <c r="BN2157" s="0" t="s">
        <v>130</v>
      </c>
      <c r="BO2157" s="0" t="s">
        <v>130</v>
      </c>
      <c r="BP2157" s="0" t="s">
        <v>130</v>
      </c>
      <c r="BQ2157" s="0" t="s">
        <v>130</v>
      </c>
      <c r="BR2157" s="0" t="s">
        <v>130</v>
      </c>
      <c r="BS2157" s="0" t="s">
        <v>130</v>
      </c>
      <c r="BT2157" s="0" t="s">
        <v>130</v>
      </c>
      <c r="BU2157" s="0" t="s">
        <v>130</v>
      </c>
      <c r="BV2157" s="0" t="s">
        <v>141</v>
      </c>
      <c r="BW2157" s="0" t="s">
        <v>141</v>
      </c>
      <c r="BX2157" s="0" t="s">
        <v>130</v>
      </c>
      <c r="BY2157" s="0" t="s">
        <v>130</v>
      </c>
      <c r="BZ2157" s="0" t="s">
        <v>130</v>
      </c>
      <c r="CA2157" s="0" t="s">
        <v>130</v>
      </c>
      <c r="CB2157" s="0" t="s">
        <v>130</v>
      </c>
      <c r="CC2157" s="0" t="s">
        <v>130</v>
      </c>
      <c r="CD2157" s="0" t="s">
        <v>130</v>
      </c>
      <c r="CE2157" s="0" t="s">
        <v>130</v>
      </c>
      <c r="CF2157" s="0" t="s">
        <v>130</v>
      </c>
      <c r="CG2157" s="0" t="s">
        <v>130</v>
      </c>
      <c r="CH2157" s="0" t="s">
        <v>130</v>
      </c>
      <c r="CI2157" s="0" t="s">
        <v>130</v>
      </c>
      <c r="CJ2157" s="0" t="s">
        <v>130</v>
      </c>
      <c r="CK2157" s="0" t="s">
        <v>130</v>
      </c>
      <c r="CL2157" s="0" t="s">
        <v>130</v>
      </c>
      <c r="CM2157" s="0" t="s">
        <v>130</v>
      </c>
      <c r="CN2157" s="0" t="s">
        <v>130</v>
      </c>
      <c r="CO2157" s="0" t="s">
        <v>130</v>
      </c>
      <c r="CP2157" s="0" t="s">
        <v>130</v>
      </c>
      <c r="CQ2157" s="0" t="s">
        <v>130</v>
      </c>
      <c r="CR2157" s="0" t="s">
        <v>130</v>
      </c>
      <c r="CS2157" s="0" t="s">
        <v>130</v>
      </c>
      <c r="CT2157" s="0" t="s">
        <v>5992</v>
      </c>
    </row>
    <row r="2158">
      <c r="A2158" s="14">
        <v>11948451</v>
      </c>
      <c r="B2158" s="0" t="s">
        <v>4079</v>
      </c>
      <c r="C2158" s="16">
        <f>HYPERLINK("https://eosportal.federatedhermes.com/companies/Q29tcGFueQppNjMzMTI=", "Tesla Inc")</f>
      </c>
      <c r="D2158" s="0" t="s">
        <v>25</v>
      </c>
      <c r="E2158" s="0" t="s">
        <v>1181</v>
      </c>
      <c r="F2158" s="16">
        <f>HYPERLINK("https://eosportal.federatedhermes.com/engagements/RW5nYWdlbWVudAppMzI2NTg=", "ESG disclosures")</f>
      </c>
      <c r="G2158" s="14" t="s">
        <v>5993</v>
      </c>
      <c r="H2158" s="0" t="s">
        <v>141</v>
      </c>
      <c r="I2158" s="14" t="s">
        <v>191</v>
      </c>
      <c r="J2158" s="0" t="s">
        <v>132</v>
      </c>
      <c r="K2158" s="0" t="s">
        <v>170</v>
      </c>
      <c r="L2158" s="0" t="s">
        <v>171</v>
      </c>
      <c r="M2158" s="0" t="s">
        <v>135</v>
      </c>
      <c r="N2158" s="0" t="s">
        <v>136</v>
      </c>
      <c r="O2158" s="0" t="s">
        <v>425</v>
      </c>
      <c r="Q2158" s="0" t="s">
        <v>141</v>
      </c>
      <c r="R2158" s="0" t="s">
        <v>138</v>
      </c>
      <c r="S2158" s="14">
        <v>2</v>
      </c>
      <c r="T2158" s="0" t="s">
        <v>478</v>
      </c>
      <c r="U2158" s="0" t="s">
        <v>138</v>
      </c>
      <c r="V2158" s="14" t="s">
        <v>138</v>
      </c>
      <c r="W2158" s="0" t="s">
        <v>138</v>
      </c>
      <c r="X2158" s="14" t="s">
        <v>138</v>
      </c>
      <c r="Y2158" s="0" t="s">
        <v>138</v>
      </c>
      <c r="Z2158" s="14" t="s">
        <v>138</v>
      </c>
      <c r="AA2158" s="0" t="s">
        <v>138</v>
      </c>
      <c r="AB2158" s="14" t="s">
        <v>138</v>
      </c>
      <c r="AD2158" s="0" t="s">
        <v>138</v>
      </c>
      <c r="AF2158" s="0">
        <v>0</v>
      </c>
      <c r="AG2158" s="0">
        <v>0</v>
      </c>
      <c r="AH2158" s="0" t="s">
        <v>140</v>
      </c>
      <c r="AI2158" s="0" t="s">
        <v>138</v>
      </c>
      <c r="AK2158" s="0" t="s">
        <v>3207</v>
      </c>
      <c r="AL2158" s="14"/>
      <c r="AN2158" s="14"/>
      <c r="AQ2158" s="0" t="s">
        <v>130</v>
      </c>
      <c r="AR2158" s="0" t="s">
        <v>130</v>
      </c>
      <c r="AS2158" s="0" t="s">
        <v>130</v>
      </c>
      <c r="AT2158" s="0" t="s">
        <v>130</v>
      </c>
      <c r="AU2158" s="0" t="s">
        <v>130</v>
      </c>
      <c r="AV2158" s="0" t="s">
        <v>130</v>
      </c>
      <c r="AW2158" s="0" t="s">
        <v>130</v>
      </c>
      <c r="AX2158" s="0" t="s">
        <v>130</v>
      </c>
      <c r="AY2158" s="0" t="s">
        <v>130</v>
      </c>
      <c r="AZ2158" s="0" t="s">
        <v>130</v>
      </c>
      <c r="BA2158" s="0" t="s">
        <v>130</v>
      </c>
      <c r="BB2158" s="0" t="s">
        <v>130</v>
      </c>
      <c r="BC2158" s="0" t="s">
        <v>130</v>
      </c>
      <c r="BD2158" s="0" t="s">
        <v>130</v>
      </c>
      <c r="BE2158" s="0" t="s">
        <v>130</v>
      </c>
      <c r="BF2158" s="0" t="s">
        <v>130</v>
      </c>
      <c r="BG2158" s="0" t="s">
        <v>130</v>
      </c>
      <c r="BH2158" s="0" t="s">
        <v>130</v>
      </c>
      <c r="BI2158" s="0" t="s">
        <v>130</v>
      </c>
      <c r="BJ2158" s="0" t="s">
        <v>130</v>
      </c>
      <c r="BK2158" s="0" t="s">
        <v>130</v>
      </c>
      <c r="BL2158" s="0" t="s">
        <v>130</v>
      </c>
      <c r="BM2158" s="0" t="s">
        <v>130</v>
      </c>
      <c r="BN2158" s="0" t="s">
        <v>130</v>
      </c>
      <c r="BO2158" s="0" t="s">
        <v>130</v>
      </c>
      <c r="BP2158" s="0" t="s">
        <v>130</v>
      </c>
      <c r="BQ2158" s="0" t="s">
        <v>130</v>
      </c>
      <c r="BR2158" s="0" t="s">
        <v>130</v>
      </c>
      <c r="BS2158" s="0" t="s">
        <v>130</v>
      </c>
      <c r="BT2158" s="0" t="s">
        <v>130</v>
      </c>
      <c r="BU2158" s="0" t="s">
        <v>130</v>
      </c>
      <c r="BV2158" s="0" t="s">
        <v>130</v>
      </c>
      <c r="BW2158" s="0" t="s">
        <v>130</v>
      </c>
      <c r="BX2158" s="0" t="s">
        <v>130</v>
      </c>
      <c r="BY2158" s="0" t="s">
        <v>130</v>
      </c>
      <c r="BZ2158" s="0" t="s">
        <v>130</v>
      </c>
      <c r="CA2158" s="0" t="s">
        <v>130</v>
      </c>
      <c r="CB2158" s="0" t="s">
        <v>130</v>
      </c>
      <c r="CC2158" s="0" t="s">
        <v>130</v>
      </c>
      <c r="CD2158" s="0" t="s">
        <v>130</v>
      </c>
      <c r="CE2158" s="0" t="s">
        <v>130</v>
      </c>
      <c r="CF2158" s="0" t="s">
        <v>130</v>
      </c>
      <c r="CG2158" s="0" t="s">
        <v>130</v>
      </c>
      <c r="CH2158" s="0" t="s">
        <v>130</v>
      </c>
      <c r="CI2158" s="0" t="s">
        <v>130</v>
      </c>
      <c r="CJ2158" s="0" t="s">
        <v>130</v>
      </c>
      <c r="CK2158" s="0" t="s">
        <v>130</v>
      </c>
      <c r="CL2158" s="0" t="s">
        <v>130</v>
      </c>
      <c r="CM2158" s="0" t="s">
        <v>130</v>
      </c>
      <c r="CN2158" s="0" t="s">
        <v>130</v>
      </c>
      <c r="CO2158" s="0" t="s">
        <v>130</v>
      </c>
      <c r="CP2158" s="0" t="s">
        <v>130</v>
      </c>
      <c r="CQ2158" s="0" t="s">
        <v>130</v>
      </c>
      <c r="CR2158" s="0" t="s">
        <v>130</v>
      </c>
      <c r="CS2158" s="0" t="s">
        <v>130</v>
      </c>
      <c r="CT2158" s="0" t="s">
        <v>5994</v>
      </c>
    </row>
    <row r="2159">
      <c r="A2159" s="14">
        <v>37513441</v>
      </c>
      <c r="B2159" s="0" t="s">
        <v>5995</v>
      </c>
      <c r="C2159" s="16">
        <f>HYPERLINK("https://eosportal.federatedhermes.com/companies/Q29tcGFueQppNjUwMTI=", "DoorDash Inc")</f>
      </c>
      <c r="D2159" s="0" t="s">
        <v>25</v>
      </c>
      <c r="E2159" s="0" t="s">
        <v>295</v>
      </c>
      <c r="F2159" s="16">
        <f>HYPERLINK("https://eosportal.federatedhermes.com/engagements/RW5nYWdlbWVudAppMzI2NTk=", "Board structure")</f>
      </c>
      <c r="G2159" s="14" t="s">
        <v>5996</v>
      </c>
      <c r="H2159" s="0" t="s">
        <v>130</v>
      </c>
      <c r="I2159" s="14" t="s">
        <v>319</v>
      </c>
      <c r="J2159" s="0" t="s">
        <v>145</v>
      </c>
      <c r="K2159" s="0" t="s">
        <v>400</v>
      </c>
      <c r="L2159" s="0" t="s">
        <v>507</v>
      </c>
      <c r="M2159" s="0" t="s">
        <v>135</v>
      </c>
      <c r="N2159" s="0" t="s">
        <v>136</v>
      </c>
      <c r="O2159" s="0" t="s">
        <v>643</v>
      </c>
      <c r="Q2159" s="0" t="s">
        <v>130</v>
      </c>
      <c r="R2159" s="0" t="s">
        <v>138</v>
      </c>
      <c r="S2159" s="14">
        <v>0</v>
      </c>
      <c r="T2159" s="0" t="s">
        <v>478</v>
      </c>
      <c r="U2159" s="0" t="s">
        <v>138</v>
      </c>
      <c r="V2159" s="14" t="s">
        <v>138</v>
      </c>
      <c r="W2159" s="0" t="s">
        <v>138</v>
      </c>
      <c r="X2159" s="14" t="s">
        <v>138</v>
      </c>
      <c r="Y2159" s="0" t="s">
        <v>138</v>
      </c>
      <c r="Z2159" s="14" t="s">
        <v>138</v>
      </c>
      <c r="AA2159" s="0" t="s">
        <v>138</v>
      </c>
      <c r="AB2159" s="14" t="s">
        <v>138</v>
      </c>
      <c r="AD2159" s="0" t="s">
        <v>138</v>
      </c>
      <c r="AF2159" s="0">
        <v>0</v>
      </c>
      <c r="AG2159" s="0">
        <v>0</v>
      </c>
      <c r="AH2159" s="0" t="s">
        <v>140</v>
      </c>
      <c r="AI2159" s="0" t="s">
        <v>138</v>
      </c>
      <c r="AL2159" s="14"/>
      <c r="AN2159" s="14"/>
      <c r="AQ2159" s="0" t="s">
        <v>130</v>
      </c>
      <c r="AR2159" s="0" t="s">
        <v>130</v>
      </c>
      <c r="AS2159" s="0" t="s">
        <v>130</v>
      </c>
      <c r="AT2159" s="0" t="s">
        <v>130</v>
      </c>
      <c r="AU2159" s="0" t="s">
        <v>130</v>
      </c>
      <c r="AV2159" s="0" t="s">
        <v>130</v>
      </c>
      <c r="AW2159" s="0" t="s">
        <v>130</v>
      </c>
      <c r="AX2159" s="0" t="s">
        <v>130</v>
      </c>
      <c r="AY2159" s="0" t="s">
        <v>130</v>
      </c>
      <c r="AZ2159" s="0" t="s">
        <v>130</v>
      </c>
      <c r="BA2159" s="0" t="s">
        <v>130</v>
      </c>
      <c r="BB2159" s="0" t="s">
        <v>130</v>
      </c>
      <c r="BC2159" s="0" t="s">
        <v>130</v>
      </c>
      <c r="BD2159" s="0" t="s">
        <v>130</v>
      </c>
      <c r="BE2159" s="0" t="s">
        <v>130</v>
      </c>
      <c r="BF2159" s="0" t="s">
        <v>130</v>
      </c>
      <c r="BG2159" s="0" t="s">
        <v>130</v>
      </c>
      <c r="BH2159" s="0" t="s">
        <v>130</v>
      </c>
      <c r="BI2159" s="0" t="s">
        <v>130</v>
      </c>
      <c r="BJ2159" s="0" t="s">
        <v>130</v>
      </c>
      <c r="BK2159" s="0" t="s">
        <v>130</v>
      </c>
      <c r="BL2159" s="0" t="s">
        <v>130</v>
      </c>
      <c r="BM2159" s="0" t="s">
        <v>130</v>
      </c>
      <c r="BN2159" s="0" t="s">
        <v>130</v>
      </c>
      <c r="BO2159" s="0" t="s">
        <v>130</v>
      </c>
      <c r="BP2159" s="0" t="s">
        <v>130</v>
      </c>
      <c r="BQ2159" s="0" t="s">
        <v>130</v>
      </c>
      <c r="BR2159" s="0" t="s">
        <v>130</v>
      </c>
      <c r="BS2159" s="0" t="s">
        <v>130</v>
      </c>
      <c r="BT2159" s="0" t="s">
        <v>130</v>
      </c>
      <c r="BU2159" s="0" t="s">
        <v>130</v>
      </c>
      <c r="BV2159" s="0" t="s">
        <v>130</v>
      </c>
      <c r="BW2159" s="0" t="s">
        <v>130</v>
      </c>
      <c r="BX2159" s="0" t="s">
        <v>130</v>
      </c>
      <c r="BY2159" s="0" t="s">
        <v>130</v>
      </c>
      <c r="BZ2159" s="0" t="s">
        <v>130</v>
      </c>
      <c r="CA2159" s="0" t="s">
        <v>130</v>
      </c>
      <c r="CB2159" s="0" t="s">
        <v>130</v>
      </c>
      <c r="CC2159" s="0" t="s">
        <v>130</v>
      </c>
      <c r="CD2159" s="0" t="s">
        <v>130</v>
      </c>
      <c r="CE2159" s="0" t="s">
        <v>130</v>
      </c>
      <c r="CF2159" s="0" t="s">
        <v>130</v>
      </c>
      <c r="CG2159" s="0" t="s">
        <v>130</v>
      </c>
      <c r="CH2159" s="0" t="s">
        <v>130</v>
      </c>
      <c r="CI2159" s="0" t="s">
        <v>130</v>
      </c>
      <c r="CJ2159" s="0" t="s">
        <v>130</v>
      </c>
      <c r="CK2159" s="0" t="s">
        <v>130</v>
      </c>
      <c r="CL2159" s="0" t="s">
        <v>130</v>
      </c>
      <c r="CM2159" s="0" t="s">
        <v>130</v>
      </c>
      <c r="CN2159" s="0" t="s">
        <v>130</v>
      </c>
      <c r="CO2159" s="0" t="s">
        <v>130</v>
      </c>
      <c r="CP2159" s="0" t="s">
        <v>130</v>
      </c>
      <c r="CQ2159" s="0" t="s">
        <v>130</v>
      </c>
      <c r="CR2159" s="0" t="s">
        <v>130</v>
      </c>
      <c r="CS2159" s="0" t="s">
        <v>130</v>
      </c>
      <c r="CT2159" s="0" t="s">
        <v>5997</v>
      </c>
    </row>
    <row r="2160">
      <c r="A2160" s="14">
        <v>225547</v>
      </c>
      <c r="B2160" s="0" t="s">
        <v>3434</v>
      </c>
      <c r="C2160" s="16">
        <f>HYPERLINK("https://eosportal.federatedhermes.com/companies/Q29tcGFueQppNzQwNTc=", "ArcelorMittal SA")</f>
      </c>
      <c r="D2160" s="0" t="s">
        <v>23</v>
      </c>
      <c r="E2160" s="0" t="s">
        <v>5998</v>
      </c>
      <c r="F2160" s="16">
        <f>HYPERLINK("https://eosportal.federatedhermes.com/engagements/RW5nYWdlbWVudAppMzI2NjY=", "Climate Lobbying")</f>
      </c>
      <c r="G2160" s="14" t="s">
        <v>5999</v>
      </c>
      <c r="H2160" s="0" t="s">
        <v>141</v>
      </c>
      <c r="I2160" s="14" t="s">
        <v>191</v>
      </c>
      <c r="J2160" s="0" t="s">
        <v>197</v>
      </c>
      <c r="K2160" s="0" t="s">
        <v>198</v>
      </c>
      <c r="L2160" s="0" t="s">
        <v>199</v>
      </c>
      <c r="M2160" s="0" t="s">
        <v>378</v>
      </c>
      <c r="N2160" s="0" t="s">
        <v>3435</v>
      </c>
      <c r="O2160" s="0" t="s">
        <v>373</v>
      </c>
      <c r="Q2160" s="0" t="s">
        <v>141</v>
      </c>
      <c r="R2160" s="0" t="s">
        <v>130</v>
      </c>
      <c r="S2160" s="14">
        <v>1</v>
      </c>
      <c r="T2160" s="0" t="s">
        <v>2270</v>
      </c>
      <c r="U2160" s="0" t="s">
        <v>221</v>
      </c>
      <c r="V2160" s="14" t="s">
        <v>2270</v>
      </c>
      <c r="W2160" s="0" t="s">
        <v>221</v>
      </c>
      <c r="X2160" s="14" t="s">
        <v>3265</v>
      </c>
      <c r="Y2160" s="0" t="s">
        <v>221</v>
      </c>
      <c r="Z2160" s="14" t="s">
        <v>2842</v>
      </c>
      <c r="AA2160" s="0" t="s">
        <v>223</v>
      </c>
      <c r="AB2160" s="14" t="s">
        <v>138</v>
      </c>
      <c r="AD2160" s="0" t="s">
        <v>20</v>
      </c>
      <c r="AF2160" s="0">
        <v>0</v>
      </c>
      <c r="AG2160" s="0">
        <v>0</v>
      </c>
      <c r="AH2160" s="0" t="s">
        <v>140</v>
      </c>
      <c r="AI2160" s="0" t="s">
        <v>479</v>
      </c>
      <c r="AK2160" s="0" t="s">
        <v>1470</v>
      </c>
      <c r="AL2160" s="14"/>
      <c r="AN2160" s="14"/>
      <c r="AQ2160" s="0" t="s">
        <v>130</v>
      </c>
      <c r="AR2160" s="0" t="s">
        <v>130</v>
      </c>
      <c r="AS2160" s="0" t="s">
        <v>130</v>
      </c>
      <c r="AT2160" s="0" t="s">
        <v>130</v>
      </c>
      <c r="AU2160" s="0" t="s">
        <v>130</v>
      </c>
      <c r="AV2160" s="0" t="s">
        <v>130</v>
      </c>
      <c r="AW2160" s="0" t="s">
        <v>130</v>
      </c>
      <c r="AX2160" s="0" t="s">
        <v>130</v>
      </c>
      <c r="AY2160" s="0" t="s">
        <v>130</v>
      </c>
      <c r="AZ2160" s="0" t="s">
        <v>130</v>
      </c>
      <c r="BA2160" s="0" t="s">
        <v>130</v>
      </c>
      <c r="BB2160" s="0" t="s">
        <v>141</v>
      </c>
      <c r="BC2160" s="0" t="s">
        <v>141</v>
      </c>
      <c r="BD2160" s="0" t="s">
        <v>130</v>
      </c>
      <c r="BE2160" s="0" t="s">
        <v>130</v>
      </c>
      <c r="BF2160" s="0" t="s">
        <v>130</v>
      </c>
      <c r="BG2160" s="0" t="s">
        <v>130</v>
      </c>
      <c r="BH2160" s="0" t="s">
        <v>130</v>
      </c>
      <c r="BI2160" s="0" t="s">
        <v>130</v>
      </c>
      <c r="BJ2160" s="0" t="s">
        <v>130</v>
      </c>
      <c r="BK2160" s="0" t="s">
        <v>130</v>
      </c>
      <c r="BL2160" s="0" t="s">
        <v>130</v>
      </c>
      <c r="BM2160" s="0" t="s">
        <v>130</v>
      </c>
      <c r="BN2160" s="0" t="s">
        <v>130</v>
      </c>
      <c r="BO2160" s="0" t="s">
        <v>130</v>
      </c>
      <c r="BP2160" s="0" t="s">
        <v>130</v>
      </c>
      <c r="BQ2160" s="0" t="s">
        <v>130</v>
      </c>
      <c r="BR2160" s="0" t="s">
        <v>130</v>
      </c>
      <c r="BS2160" s="0" t="s">
        <v>130</v>
      </c>
      <c r="BT2160" s="0" t="s">
        <v>130</v>
      </c>
      <c r="BU2160" s="0" t="s">
        <v>130</v>
      </c>
      <c r="BV2160" s="0" t="s">
        <v>130</v>
      </c>
      <c r="BW2160" s="0" t="s">
        <v>130</v>
      </c>
      <c r="BX2160" s="0" t="s">
        <v>130</v>
      </c>
      <c r="BY2160" s="0" t="s">
        <v>130</v>
      </c>
      <c r="BZ2160" s="0" t="s">
        <v>130</v>
      </c>
      <c r="CA2160" s="0" t="s">
        <v>130</v>
      </c>
      <c r="CB2160" s="0" t="s">
        <v>130</v>
      </c>
      <c r="CC2160" s="0" t="s">
        <v>130</v>
      </c>
      <c r="CD2160" s="0" t="s">
        <v>130</v>
      </c>
      <c r="CE2160" s="0" t="s">
        <v>130</v>
      </c>
      <c r="CF2160" s="0" t="s">
        <v>130</v>
      </c>
      <c r="CG2160" s="0" t="s">
        <v>130</v>
      </c>
      <c r="CH2160" s="0" t="s">
        <v>130</v>
      </c>
      <c r="CI2160" s="0" t="s">
        <v>130</v>
      </c>
      <c r="CJ2160" s="0" t="s">
        <v>130</v>
      </c>
      <c r="CK2160" s="0" t="s">
        <v>130</v>
      </c>
      <c r="CL2160" s="0" t="s">
        <v>130</v>
      </c>
      <c r="CM2160" s="0" t="s">
        <v>130</v>
      </c>
      <c r="CN2160" s="0" t="s">
        <v>130</v>
      </c>
      <c r="CO2160" s="0" t="s">
        <v>130</v>
      </c>
      <c r="CP2160" s="0" t="s">
        <v>130</v>
      </c>
      <c r="CQ2160" s="0" t="s">
        <v>130</v>
      </c>
      <c r="CR2160" s="0" t="s">
        <v>130</v>
      </c>
      <c r="CS2160" s="0" t="s">
        <v>130</v>
      </c>
      <c r="CT2160" s="0" t="s">
        <v>6000</v>
      </c>
    </row>
    <row r="2161">
      <c r="A2161" s="14">
        <v>225547</v>
      </c>
      <c r="B2161" s="0" t="s">
        <v>3434</v>
      </c>
      <c r="C2161" s="16">
        <f>HYPERLINK("https://eosportal.federatedhermes.com/companies/Q29tcGFueQppNzQwNTc=", "ArcelorMittal SA")</f>
      </c>
      <c r="D2161" s="0" t="s">
        <v>23</v>
      </c>
      <c r="E2161" s="0" t="s">
        <v>6001</v>
      </c>
      <c r="F2161" s="16">
        <f>HYPERLINK("https://eosportal.federatedhermes.com/engagements/RW5nYWdlbWVudAppMzI2Njk=", "Gender diversity in the executive team")</f>
      </c>
      <c r="G2161" s="14" t="s">
        <v>6002</v>
      </c>
      <c r="H2161" s="0" t="s">
        <v>141</v>
      </c>
      <c r="I2161" s="14" t="s">
        <v>191</v>
      </c>
      <c r="J2161" s="0" t="s">
        <v>153</v>
      </c>
      <c r="K2161" s="0" t="s">
        <v>154</v>
      </c>
      <c r="L2161" s="0" t="s">
        <v>268</v>
      </c>
      <c r="M2161" s="0" t="s">
        <v>378</v>
      </c>
      <c r="N2161" s="0" t="s">
        <v>3435</v>
      </c>
      <c r="O2161" s="0" t="s">
        <v>373</v>
      </c>
      <c r="Q2161" s="0" t="s">
        <v>141</v>
      </c>
      <c r="R2161" s="0" t="s">
        <v>130</v>
      </c>
      <c r="S2161" s="14">
        <v>1</v>
      </c>
      <c r="T2161" s="0" t="s">
        <v>2270</v>
      </c>
      <c r="U2161" s="0" t="s">
        <v>221</v>
      </c>
      <c r="V2161" s="14" t="s">
        <v>2270</v>
      </c>
      <c r="W2161" s="0" t="s">
        <v>221</v>
      </c>
      <c r="X2161" s="14" t="s">
        <v>3562</v>
      </c>
      <c r="Y2161" s="0" t="s">
        <v>223</v>
      </c>
      <c r="Z2161" s="14" t="s">
        <v>138</v>
      </c>
      <c r="AA2161" s="0" t="s">
        <v>224</v>
      </c>
      <c r="AB2161" s="14" t="s">
        <v>138</v>
      </c>
      <c r="AD2161" s="0" t="s">
        <v>17</v>
      </c>
      <c r="AF2161" s="0">
        <v>0</v>
      </c>
      <c r="AG2161" s="0">
        <v>0</v>
      </c>
      <c r="AH2161" s="0" t="s">
        <v>140</v>
      </c>
      <c r="AI2161" s="0" t="s">
        <v>479</v>
      </c>
      <c r="AK2161" s="0" t="s">
        <v>1470</v>
      </c>
      <c r="AL2161" s="14"/>
      <c r="AN2161" s="14"/>
      <c r="AQ2161" s="0" t="s">
        <v>130</v>
      </c>
      <c r="AR2161" s="0" t="s">
        <v>130</v>
      </c>
      <c r="AS2161" s="0" t="s">
        <v>130</v>
      </c>
      <c r="AT2161" s="0" t="s">
        <v>130</v>
      </c>
      <c r="AU2161" s="0" t="s">
        <v>141</v>
      </c>
      <c r="AV2161" s="0" t="s">
        <v>130</v>
      </c>
      <c r="AW2161" s="0" t="s">
        <v>130</v>
      </c>
      <c r="AX2161" s="0" t="s">
        <v>130</v>
      </c>
      <c r="AY2161" s="0" t="s">
        <v>130</v>
      </c>
      <c r="AZ2161" s="0" t="s">
        <v>130</v>
      </c>
      <c r="BA2161" s="0" t="s">
        <v>130</v>
      </c>
      <c r="BB2161" s="0" t="s">
        <v>130</v>
      </c>
      <c r="BC2161" s="0" t="s">
        <v>130</v>
      </c>
      <c r="BD2161" s="0" t="s">
        <v>130</v>
      </c>
      <c r="BE2161" s="0" t="s">
        <v>130</v>
      </c>
      <c r="BF2161" s="0" t="s">
        <v>130</v>
      </c>
      <c r="BG2161" s="0" t="s">
        <v>130</v>
      </c>
      <c r="BH2161" s="0" t="s">
        <v>130</v>
      </c>
      <c r="BI2161" s="0" t="s">
        <v>130</v>
      </c>
      <c r="BJ2161" s="0" t="s">
        <v>130</v>
      </c>
      <c r="BK2161" s="0" t="s">
        <v>130</v>
      </c>
      <c r="BL2161" s="0" t="s">
        <v>130</v>
      </c>
      <c r="BM2161" s="0" t="s">
        <v>130</v>
      </c>
      <c r="BN2161" s="0" t="s">
        <v>130</v>
      </c>
      <c r="BO2161" s="0" t="s">
        <v>130</v>
      </c>
      <c r="BP2161" s="0" t="s">
        <v>130</v>
      </c>
      <c r="BQ2161" s="0" t="s">
        <v>130</v>
      </c>
      <c r="BR2161" s="0" t="s">
        <v>130</v>
      </c>
      <c r="BS2161" s="0" t="s">
        <v>130</v>
      </c>
      <c r="BT2161" s="0" t="s">
        <v>130</v>
      </c>
      <c r="BU2161" s="0" t="s">
        <v>130</v>
      </c>
      <c r="BV2161" s="0" t="s">
        <v>130</v>
      </c>
      <c r="BW2161" s="0" t="s">
        <v>130</v>
      </c>
      <c r="BX2161" s="0" t="s">
        <v>130</v>
      </c>
      <c r="BY2161" s="0" t="s">
        <v>130</v>
      </c>
      <c r="BZ2161" s="0" t="s">
        <v>130</v>
      </c>
      <c r="CA2161" s="0" t="s">
        <v>130</v>
      </c>
      <c r="CB2161" s="0" t="s">
        <v>130</v>
      </c>
      <c r="CC2161" s="0" t="s">
        <v>130</v>
      </c>
      <c r="CD2161" s="0" t="s">
        <v>130</v>
      </c>
      <c r="CE2161" s="0" t="s">
        <v>130</v>
      </c>
      <c r="CF2161" s="0" t="s">
        <v>130</v>
      </c>
      <c r="CG2161" s="0" t="s">
        <v>130</v>
      </c>
      <c r="CH2161" s="0" t="s">
        <v>130</v>
      </c>
      <c r="CI2161" s="0" t="s">
        <v>130</v>
      </c>
      <c r="CJ2161" s="0" t="s">
        <v>130</v>
      </c>
      <c r="CK2161" s="0" t="s">
        <v>141</v>
      </c>
      <c r="CL2161" s="0" t="s">
        <v>130</v>
      </c>
      <c r="CM2161" s="0" t="s">
        <v>130</v>
      </c>
      <c r="CN2161" s="0" t="s">
        <v>130</v>
      </c>
      <c r="CO2161" s="0" t="s">
        <v>130</v>
      </c>
      <c r="CP2161" s="0" t="s">
        <v>130</v>
      </c>
      <c r="CQ2161" s="0" t="s">
        <v>130</v>
      </c>
      <c r="CR2161" s="0" t="s">
        <v>130</v>
      </c>
      <c r="CS2161" s="0" t="s">
        <v>130</v>
      </c>
      <c r="CT2161" s="0" t="s">
        <v>6003</v>
      </c>
    </row>
    <row r="2162">
      <c r="A2162" s="14">
        <v>100355</v>
      </c>
      <c r="B2162" s="0" t="s">
        <v>604</v>
      </c>
      <c r="C2162" s="16">
        <f>HYPERLINK("https://eosportal.federatedhermes.com/companies/Q29tcGFueQppNDgyOTA=", "Coca-Cola Co/The")</f>
      </c>
      <c r="D2162" s="0" t="s">
        <v>23</v>
      </c>
      <c r="E2162" s="0" t="s">
        <v>228</v>
      </c>
      <c r="F2162" s="16">
        <f>HYPERLINK("https://eosportal.federatedhermes.com/engagements/RW5nYWdlbWVudAppMzI2NzA=", "Climate strategy")</f>
      </c>
      <c r="G2162" s="14" t="s">
        <v>448</v>
      </c>
      <c r="H2162" s="0" t="s">
        <v>141</v>
      </c>
      <c r="I2162" s="14" t="s">
        <v>191</v>
      </c>
      <c r="J2162" s="0" t="s">
        <v>197</v>
      </c>
      <c r="K2162" s="0" t="s">
        <v>198</v>
      </c>
      <c r="L2162" s="0" t="s">
        <v>220</v>
      </c>
      <c r="M2162" s="0" t="s">
        <v>135</v>
      </c>
      <c r="N2162" s="0" t="s">
        <v>136</v>
      </c>
      <c r="O2162" s="0" t="s">
        <v>332</v>
      </c>
      <c r="Q2162" s="0" t="s">
        <v>130</v>
      </c>
      <c r="R2162" s="0" t="s">
        <v>130</v>
      </c>
      <c r="S2162" s="14">
        <v>0</v>
      </c>
      <c r="T2162" s="0" t="s">
        <v>2629</v>
      </c>
      <c r="U2162" s="0" t="s">
        <v>221</v>
      </c>
      <c r="V2162" s="14" t="s">
        <v>2629</v>
      </c>
      <c r="W2162" s="0" t="s">
        <v>223</v>
      </c>
      <c r="X2162" s="14" t="s">
        <v>138</v>
      </c>
      <c r="Y2162" s="0" t="s">
        <v>224</v>
      </c>
      <c r="Z2162" s="14" t="s">
        <v>138</v>
      </c>
      <c r="AA2162" s="0" t="s">
        <v>224</v>
      </c>
      <c r="AB2162" s="14" t="s">
        <v>138</v>
      </c>
      <c r="AD2162" s="0" t="s">
        <v>14</v>
      </c>
      <c r="AF2162" s="0">
        <v>0</v>
      </c>
      <c r="AG2162" s="0">
        <v>0</v>
      </c>
      <c r="AH2162" s="0" t="s">
        <v>140</v>
      </c>
      <c r="AI2162" s="0" t="s">
        <v>225</v>
      </c>
      <c r="AL2162" s="14"/>
      <c r="AN2162" s="14"/>
      <c r="AQ2162" s="0" t="s">
        <v>130</v>
      </c>
      <c r="AR2162" s="0" t="s">
        <v>130</v>
      </c>
      <c r="AS2162" s="0" t="s">
        <v>130</v>
      </c>
      <c r="AT2162" s="0" t="s">
        <v>130</v>
      </c>
      <c r="AU2162" s="0" t="s">
        <v>130</v>
      </c>
      <c r="AV2162" s="0" t="s">
        <v>130</v>
      </c>
      <c r="AW2162" s="0" t="s">
        <v>141</v>
      </c>
      <c r="AX2162" s="0" t="s">
        <v>130</v>
      </c>
      <c r="AY2162" s="0" t="s">
        <v>141</v>
      </c>
      <c r="AZ2162" s="0" t="s">
        <v>130</v>
      </c>
      <c r="BA2162" s="0" t="s">
        <v>130</v>
      </c>
      <c r="BB2162" s="0" t="s">
        <v>130</v>
      </c>
      <c r="BC2162" s="0" t="s">
        <v>141</v>
      </c>
      <c r="BD2162" s="0" t="s">
        <v>130</v>
      </c>
      <c r="BE2162" s="0" t="s">
        <v>130</v>
      </c>
      <c r="BF2162" s="0" t="s">
        <v>130</v>
      </c>
      <c r="BG2162" s="0" t="s">
        <v>130</v>
      </c>
      <c r="BH2162" s="0" t="s">
        <v>141</v>
      </c>
      <c r="BI2162" s="0" t="s">
        <v>141</v>
      </c>
      <c r="BJ2162" s="0" t="s">
        <v>141</v>
      </c>
      <c r="BK2162" s="0" t="s">
        <v>130</v>
      </c>
      <c r="BL2162" s="0" t="s">
        <v>130</v>
      </c>
      <c r="BM2162" s="0" t="s">
        <v>130</v>
      </c>
      <c r="BN2162" s="0" t="s">
        <v>130</v>
      </c>
      <c r="BO2162" s="0" t="s">
        <v>130</v>
      </c>
      <c r="BP2162" s="0" t="s">
        <v>130</v>
      </c>
      <c r="BQ2162" s="0" t="s">
        <v>130</v>
      </c>
      <c r="BR2162" s="0" t="s">
        <v>130</v>
      </c>
      <c r="BS2162" s="0" t="s">
        <v>130</v>
      </c>
      <c r="BT2162" s="0" t="s">
        <v>130</v>
      </c>
      <c r="BU2162" s="0" t="s">
        <v>130</v>
      </c>
      <c r="BV2162" s="0" t="s">
        <v>141</v>
      </c>
      <c r="BW2162" s="0" t="s">
        <v>141</v>
      </c>
      <c r="BX2162" s="0" t="s">
        <v>130</v>
      </c>
      <c r="BY2162" s="0" t="s">
        <v>130</v>
      </c>
      <c r="BZ2162" s="0" t="s">
        <v>130</v>
      </c>
      <c r="CA2162" s="0" t="s">
        <v>130</v>
      </c>
      <c r="CB2162" s="0" t="s">
        <v>130</v>
      </c>
      <c r="CC2162" s="0" t="s">
        <v>130</v>
      </c>
      <c r="CD2162" s="0" t="s">
        <v>130</v>
      </c>
      <c r="CE2162" s="0" t="s">
        <v>130</v>
      </c>
      <c r="CF2162" s="0" t="s">
        <v>130</v>
      </c>
      <c r="CG2162" s="0" t="s">
        <v>130</v>
      </c>
      <c r="CH2162" s="0" t="s">
        <v>130</v>
      </c>
      <c r="CI2162" s="0" t="s">
        <v>130</v>
      </c>
      <c r="CJ2162" s="0" t="s">
        <v>130</v>
      </c>
      <c r="CK2162" s="0" t="s">
        <v>130</v>
      </c>
      <c r="CL2162" s="0" t="s">
        <v>130</v>
      </c>
      <c r="CM2162" s="0" t="s">
        <v>130</v>
      </c>
      <c r="CN2162" s="0" t="s">
        <v>130</v>
      </c>
      <c r="CO2162" s="0" t="s">
        <v>130</v>
      </c>
      <c r="CP2162" s="0" t="s">
        <v>130</v>
      </c>
      <c r="CQ2162" s="0" t="s">
        <v>130</v>
      </c>
      <c r="CR2162" s="0" t="s">
        <v>130</v>
      </c>
      <c r="CS2162" s="0" t="s">
        <v>130</v>
      </c>
      <c r="CT2162" s="0" t="s">
        <v>6004</v>
      </c>
    </row>
    <row r="2163">
      <c r="A2163" s="14">
        <v>115230</v>
      </c>
      <c r="B2163" s="0" t="s">
        <v>2352</v>
      </c>
      <c r="C2163" s="16">
        <f>HYPERLINK("https://eosportal.federatedhermes.com/companies/Q29tcGFueQppNjI0OTg=", "Air Liquide SA")</f>
      </c>
      <c r="D2163" s="0" t="s">
        <v>23</v>
      </c>
      <c r="E2163" s="0" t="s">
        <v>6005</v>
      </c>
      <c r="F2163" s="16">
        <f>HYPERLINK("https://eosportal.federatedhermes.com/engagements/RW5nYWdlbWVudAppMzI2ODA=", "Quantified objective on Scope 3 emissions")</f>
      </c>
      <c r="G2163" s="14" t="s">
        <v>6006</v>
      </c>
      <c r="H2163" s="0" t="s">
        <v>141</v>
      </c>
      <c r="I2163" s="14" t="s">
        <v>1645</v>
      </c>
      <c r="J2163" s="0" t="s">
        <v>197</v>
      </c>
      <c r="K2163" s="0" t="s">
        <v>198</v>
      </c>
      <c r="L2163" s="0" t="s">
        <v>216</v>
      </c>
      <c r="M2163" s="0" t="s">
        <v>378</v>
      </c>
      <c r="N2163" s="0" t="s">
        <v>1646</v>
      </c>
      <c r="O2163" s="0" t="s">
        <v>706</v>
      </c>
      <c r="Q2163" s="0" t="s">
        <v>141</v>
      </c>
      <c r="R2163" s="0" t="s">
        <v>130</v>
      </c>
      <c r="S2163" s="14">
        <v>1</v>
      </c>
      <c r="T2163" s="0" t="s">
        <v>2629</v>
      </c>
      <c r="U2163" s="0" t="s">
        <v>221</v>
      </c>
      <c r="V2163" s="14" t="s">
        <v>2629</v>
      </c>
      <c r="W2163" s="0" t="s">
        <v>221</v>
      </c>
      <c r="X2163" s="14" t="s">
        <v>360</v>
      </c>
      <c r="Y2163" s="0" t="s">
        <v>221</v>
      </c>
      <c r="Z2163" s="14" t="s">
        <v>3562</v>
      </c>
      <c r="AA2163" s="0" t="s">
        <v>223</v>
      </c>
      <c r="AB2163" s="14" t="s">
        <v>138</v>
      </c>
      <c r="AD2163" s="0" t="s">
        <v>20</v>
      </c>
      <c r="AF2163" s="0">
        <v>0</v>
      </c>
      <c r="AG2163" s="0">
        <v>0</v>
      </c>
      <c r="AH2163" s="0" t="s">
        <v>140</v>
      </c>
      <c r="AI2163" s="0" t="s">
        <v>598</v>
      </c>
      <c r="AK2163" s="0" t="s">
        <v>1668</v>
      </c>
      <c r="AL2163" s="14"/>
      <c r="AN2163" s="14"/>
      <c r="AQ2163" s="0" t="s">
        <v>130</v>
      </c>
      <c r="AR2163" s="0" t="s">
        <v>130</v>
      </c>
      <c r="AS2163" s="0" t="s">
        <v>130</v>
      </c>
      <c r="AT2163" s="0" t="s">
        <v>130</v>
      </c>
      <c r="AU2163" s="0" t="s">
        <v>130</v>
      </c>
      <c r="AV2163" s="0" t="s">
        <v>130</v>
      </c>
      <c r="AW2163" s="0" t="s">
        <v>141</v>
      </c>
      <c r="AX2163" s="0" t="s">
        <v>130</v>
      </c>
      <c r="AY2163" s="0" t="s">
        <v>130</v>
      </c>
      <c r="AZ2163" s="0" t="s">
        <v>130</v>
      </c>
      <c r="BA2163" s="0" t="s">
        <v>130</v>
      </c>
      <c r="BB2163" s="0" t="s">
        <v>130</v>
      </c>
      <c r="BC2163" s="0" t="s">
        <v>141</v>
      </c>
      <c r="BD2163" s="0" t="s">
        <v>130</v>
      </c>
      <c r="BE2163" s="0" t="s">
        <v>130</v>
      </c>
      <c r="BF2163" s="0" t="s">
        <v>130</v>
      </c>
      <c r="BG2163" s="0" t="s">
        <v>130</v>
      </c>
      <c r="BH2163" s="0" t="s">
        <v>141</v>
      </c>
      <c r="BI2163" s="0" t="s">
        <v>141</v>
      </c>
      <c r="BJ2163" s="0" t="s">
        <v>141</v>
      </c>
      <c r="BK2163" s="0" t="s">
        <v>130</v>
      </c>
      <c r="BL2163" s="0" t="s">
        <v>130</v>
      </c>
      <c r="BM2163" s="0" t="s">
        <v>130</v>
      </c>
      <c r="BN2163" s="0" t="s">
        <v>130</v>
      </c>
      <c r="BO2163" s="0" t="s">
        <v>130</v>
      </c>
      <c r="BP2163" s="0" t="s">
        <v>130</v>
      </c>
      <c r="BQ2163" s="0" t="s">
        <v>130</v>
      </c>
      <c r="BR2163" s="0" t="s">
        <v>130</v>
      </c>
      <c r="BS2163" s="0" t="s">
        <v>130</v>
      </c>
      <c r="BT2163" s="0" t="s">
        <v>130</v>
      </c>
      <c r="BU2163" s="0" t="s">
        <v>130</v>
      </c>
      <c r="BV2163" s="0" t="s">
        <v>141</v>
      </c>
      <c r="BW2163" s="0" t="s">
        <v>141</v>
      </c>
      <c r="BX2163" s="0" t="s">
        <v>130</v>
      </c>
      <c r="BY2163" s="0" t="s">
        <v>130</v>
      </c>
      <c r="BZ2163" s="0" t="s">
        <v>130</v>
      </c>
      <c r="CA2163" s="0" t="s">
        <v>130</v>
      </c>
      <c r="CB2163" s="0" t="s">
        <v>130</v>
      </c>
      <c r="CC2163" s="0" t="s">
        <v>130</v>
      </c>
      <c r="CD2163" s="0" t="s">
        <v>130</v>
      </c>
      <c r="CE2163" s="0" t="s">
        <v>130</v>
      </c>
      <c r="CF2163" s="0" t="s">
        <v>130</v>
      </c>
      <c r="CG2163" s="0" t="s">
        <v>130</v>
      </c>
      <c r="CH2163" s="0" t="s">
        <v>130</v>
      </c>
      <c r="CI2163" s="0" t="s">
        <v>130</v>
      </c>
      <c r="CJ2163" s="0" t="s">
        <v>130</v>
      </c>
      <c r="CK2163" s="0" t="s">
        <v>130</v>
      </c>
      <c r="CL2163" s="0" t="s">
        <v>130</v>
      </c>
      <c r="CM2163" s="0" t="s">
        <v>130</v>
      </c>
      <c r="CN2163" s="0" t="s">
        <v>130</v>
      </c>
      <c r="CO2163" s="0" t="s">
        <v>130</v>
      </c>
      <c r="CP2163" s="0" t="s">
        <v>130</v>
      </c>
      <c r="CQ2163" s="0" t="s">
        <v>130</v>
      </c>
      <c r="CR2163" s="0" t="s">
        <v>130</v>
      </c>
      <c r="CS2163" s="0" t="s">
        <v>130</v>
      </c>
      <c r="CT2163" s="0" t="s">
        <v>6007</v>
      </c>
    </row>
    <row r="2164">
      <c r="A2164" s="14">
        <v>216204</v>
      </c>
      <c r="B2164" s="0" t="s">
        <v>3364</v>
      </c>
      <c r="C2164" s="16">
        <f>HYPERLINK("https://eosportal.federatedhermes.com/companies/Q29tcGFueQppNjQzODI=", "Centrica PLC")</f>
      </c>
      <c r="D2164" s="0" t="s">
        <v>25</v>
      </c>
      <c r="E2164" s="0" t="s">
        <v>341</v>
      </c>
      <c r="F2164" s="16">
        <f>HYPERLINK("https://eosportal.federatedhermes.com/engagements/RW5nYWdlbWVudAppMzI2ODY=", "Remuneration")</f>
      </c>
      <c r="G2164" s="14" t="s">
        <v>6008</v>
      </c>
      <c r="H2164" s="0" t="s">
        <v>141</v>
      </c>
      <c r="I2164" s="14" t="s">
        <v>191</v>
      </c>
      <c r="J2164" s="0" t="s">
        <v>145</v>
      </c>
      <c r="K2164" s="0" t="s">
        <v>146</v>
      </c>
      <c r="L2164" s="0" t="s">
        <v>147</v>
      </c>
      <c r="M2164" s="0" t="s">
        <v>272</v>
      </c>
      <c r="N2164" s="0" t="s">
        <v>273</v>
      </c>
      <c r="O2164" s="0" t="s">
        <v>192</v>
      </c>
      <c r="Q2164" s="0" t="s">
        <v>130</v>
      </c>
      <c r="R2164" s="0" t="s">
        <v>138</v>
      </c>
      <c r="S2164" s="14">
        <v>0</v>
      </c>
      <c r="T2164" s="0" t="s">
        <v>478</v>
      </c>
      <c r="U2164" s="0" t="s">
        <v>138</v>
      </c>
      <c r="V2164" s="14" t="s">
        <v>138</v>
      </c>
      <c r="W2164" s="0" t="s">
        <v>138</v>
      </c>
      <c r="X2164" s="14" t="s">
        <v>138</v>
      </c>
      <c r="Y2164" s="0" t="s">
        <v>138</v>
      </c>
      <c r="Z2164" s="14" t="s">
        <v>138</v>
      </c>
      <c r="AA2164" s="0" t="s">
        <v>138</v>
      </c>
      <c r="AB2164" s="14" t="s">
        <v>138</v>
      </c>
      <c r="AD2164" s="0" t="s">
        <v>138</v>
      </c>
      <c r="AF2164" s="0">
        <v>0</v>
      </c>
      <c r="AG2164" s="0">
        <v>0</v>
      </c>
      <c r="AH2164" s="0" t="s">
        <v>140</v>
      </c>
      <c r="AI2164" s="0" t="s">
        <v>138</v>
      </c>
      <c r="AL2164" s="14"/>
      <c r="AN2164" s="14"/>
      <c r="AQ2164" s="0" t="s">
        <v>130</v>
      </c>
      <c r="AR2164" s="0" t="s">
        <v>130</v>
      </c>
      <c r="AS2164" s="0" t="s">
        <v>130</v>
      </c>
      <c r="AT2164" s="0" t="s">
        <v>130</v>
      </c>
      <c r="AU2164" s="0" t="s">
        <v>130</v>
      </c>
      <c r="AV2164" s="0" t="s">
        <v>130</v>
      </c>
      <c r="AW2164" s="0" t="s">
        <v>130</v>
      </c>
      <c r="AX2164" s="0" t="s">
        <v>130</v>
      </c>
      <c r="AY2164" s="0" t="s">
        <v>130</v>
      </c>
      <c r="AZ2164" s="0" t="s">
        <v>130</v>
      </c>
      <c r="BA2164" s="0" t="s">
        <v>130</v>
      </c>
      <c r="BB2164" s="0" t="s">
        <v>130</v>
      </c>
      <c r="BC2164" s="0" t="s">
        <v>130</v>
      </c>
      <c r="BD2164" s="0" t="s">
        <v>130</v>
      </c>
      <c r="BE2164" s="0" t="s">
        <v>130</v>
      </c>
      <c r="BF2164" s="0" t="s">
        <v>130</v>
      </c>
      <c r="BG2164" s="0" t="s">
        <v>130</v>
      </c>
      <c r="BH2164" s="0" t="s">
        <v>130</v>
      </c>
      <c r="BI2164" s="0" t="s">
        <v>130</v>
      </c>
      <c r="BJ2164" s="0" t="s">
        <v>130</v>
      </c>
      <c r="BK2164" s="0" t="s">
        <v>130</v>
      </c>
      <c r="BL2164" s="0" t="s">
        <v>130</v>
      </c>
      <c r="BM2164" s="0" t="s">
        <v>130</v>
      </c>
      <c r="BN2164" s="0" t="s">
        <v>130</v>
      </c>
      <c r="BO2164" s="0" t="s">
        <v>130</v>
      </c>
      <c r="BP2164" s="0" t="s">
        <v>130</v>
      </c>
      <c r="BQ2164" s="0" t="s">
        <v>130</v>
      </c>
      <c r="BR2164" s="0" t="s">
        <v>130</v>
      </c>
      <c r="BS2164" s="0" t="s">
        <v>130</v>
      </c>
      <c r="BT2164" s="0" t="s">
        <v>130</v>
      </c>
      <c r="BU2164" s="0" t="s">
        <v>130</v>
      </c>
      <c r="BV2164" s="0" t="s">
        <v>130</v>
      </c>
      <c r="BW2164" s="0" t="s">
        <v>130</v>
      </c>
      <c r="BX2164" s="0" t="s">
        <v>130</v>
      </c>
      <c r="BY2164" s="0" t="s">
        <v>130</v>
      </c>
      <c r="BZ2164" s="0" t="s">
        <v>130</v>
      </c>
      <c r="CA2164" s="0" t="s">
        <v>130</v>
      </c>
      <c r="CB2164" s="0" t="s">
        <v>130</v>
      </c>
      <c r="CC2164" s="0" t="s">
        <v>130</v>
      </c>
      <c r="CD2164" s="0" t="s">
        <v>130</v>
      </c>
      <c r="CE2164" s="0" t="s">
        <v>130</v>
      </c>
      <c r="CF2164" s="0" t="s">
        <v>130</v>
      </c>
      <c r="CG2164" s="0" t="s">
        <v>130</v>
      </c>
      <c r="CH2164" s="0" t="s">
        <v>130</v>
      </c>
      <c r="CI2164" s="0" t="s">
        <v>130</v>
      </c>
      <c r="CJ2164" s="0" t="s">
        <v>130</v>
      </c>
      <c r="CK2164" s="0" t="s">
        <v>130</v>
      </c>
      <c r="CL2164" s="0" t="s">
        <v>130</v>
      </c>
      <c r="CM2164" s="0" t="s">
        <v>130</v>
      </c>
      <c r="CN2164" s="0" t="s">
        <v>130</v>
      </c>
      <c r="CO2164" s="0" t="s">
        <v>130</v>
      </c>
      <c r="CP2164" s="0" t="s">
        <v>130</v>
      </c>
      <c r="CQ2164" s="0" t="s">
        <v>130</v>
      </c>
      <c r="CR2164" s="0" t="s">
        <v>130</v>
      </c>
      <c r="CS2164" s="0" t="s">
        <v>130</v>
      </c>
      <c r="CT2164" s="0" t="s">
        <v>6009</v>
      </c>
    </row>
    <row r="2165">
      <c r="A2165" s="14">
        <v>225547</v>
      </c>
      <c r="B2165" s="0" t="s">
        <v>3434</v>
      </c>
      <c r="C2165" s="16">
        <f>HYPERLINK("https://eosportal.federatedhermes.com/companies/Q29tcGFueQppNzQwNTc=", "ArcelorMittal SA")</f>
      </c>
      <c r="D2165" s="0" t="s">
        <v>23</v>
      </c>
      <c r="E2165" s="0" t="s">
        <v>6010</v>
      </c>
      <c r="F2165" s="16">
        <f>HYPERLINK("https://eosportal.federatedhermes.com/engagements/RW5nYWdlbWVudAppMzI2OTc=", "Health and Safety management")</f>
      </c>
      <c r="G2165" s="14" t="s">
        <v>6011</v>
      </c>
      <c r="H2165" s="0" t="s">
        <v>141</v>
      </c>
      <c r="I2165" s="14" t="s">
        <v>191</v>
      </c>
      <c r="J2165" s="0" t="s">
        <v>153</v>
      </c>
      <c r="K2165" s="0" t="s">
        <v>154</v>
      </c>
      <c r="L2165" s="0" t="s">
        <v>155</v>
      </c>
      <c r="M2165" s="0" t="s">
        <v>378</v>
      </c>
      <c r="N2165" s="0" t="s">
        <v>3435</v>
      </c>
      <c r="O2165" s="0" t="s">
        <v>373</v>
      </c>
      <c r="Q2165" s="0" t="s">
        <v>130</v>
      </c>
      <c r="R2165" s="0" t="s">
        <v>130</v>
      </c>
      <c r="S2165" s="14">
        <v>0</v>
      </c>
      <c r="T2165" s="0" t="s">
        <v>2270</v>
      </c>
      <c r="U2165" s="0" t="s">
        <v>221</v>
      </c>
      <c r="V2165" s="14" t="s">
        <v>2270</v>
      </c>
      <c r="W2165" s="0" t="s">
        <v>221</v>
      </c>
      <c r="X2165" s="14" t="s">
        <v>2270</v>
      </c>
      <c r="Y2165" s="0" t="s">
        <v>221</v>
      </c>
      <c r="Z2165" s="14" t="s">
        <v>2842</v>
      </c>
      <c r="AA2165" s="0" t="s">
        <v>223</v>
      </c>
      <c r="AB2165" s="14" t="s">
        <v>138</v>
      </c>
      <c r="AD2165" s="0" t="s">
        <v>20</v>
      </c>
      <c r="AF2165" s="0">
        <v>0</v>
      </c>
      <c r="AG2165" s="0">
        <v>0</v>
      </c>
      <c r="AH2165" s="0" t="s">
        <v>140</v>
      </c>
      <c r="AI2165" s="0" t="s">
        <v>479</v>
      </c>
      <c r="AL2165" s="14"/>
      <c r="AN2165" s="14"/>
      <c r="AQ2165" s="0" t="s">
        <v>130</v>
      </c>
      <c r="AR2165" s="0" t="s">
        <v>130</v>
      </c>
      <c r="AS2165" s="0" t="s">
        <v>130</v>
      </c>
      <c r="AT2165" s="0" t="s">
        <v>130</v>
      </c>
      <c r="AU2165" s="0" t="s">
        <v>130</v>
      </c>
      <c r="AV2165" s="0" t="s">
        <v>130</v>
      </c>
      <c r="AW2165" s="0" t="s">
        <v>130</v>
      </c>
      <c r="AX2165" s="0" t="s">
        <v>141</v>
      </c>
      <c r="AY2165" s="0" t="s">
        <v>130</v>
      </c>
      <c r="AZ2165" s="0" t="s">
        <v>130</v>
      </c>
      <c r="BA2165" s="0" t="s">
        <v>130</v>
      </c>
      <c r="BB2165" s="0" t="s">
        <v>130</v>
      </c>
      <c r="BC2165" s="0" t="s">
        <v>130</v>
      </c>
      <c r="BD2165" s="0" t="s">
        <v>130</v>
      </c>
      <c r="BE2165" s="0" t="s">
        <v>130</v>
      </c>
      <c r="BF2165" s="0" t="s">
        <v>130</v>
      </c>
      <c r="BG2165" s="0" t="s">
        <v>130</v>
      </c>
      <c r="BH2165" s="0" t="s">
        <v>130</v>
      </c>
      <c r="BI2165" s="0" t="s">
        <v>130</v>
      </c>
      <c r="BJ2165" s="0" t="s">
        <v>130</v>
      </c>
      <c r="BK2165" s="0" t="s">
        <v>130</v>
      </c>
      <c r="BL2165" s="0" t="s">
        <v>130</v>
      </c>
      <c r="BM2165" s="0" t="s">
        <v>130</v>
      </c>
      <c r="BN2165" s="0" t="s">
        <v>130</v>
      </c>
      <c r="BO2165" s="0" t="s">
        <v>130</v>
      </c>
      <c r="BP2165" s="0" t="s">
        <v>130</v>
      </c>
      <c r="BQ2165" s="0" t="s">
        <v>130</v>
      </c>
      <c r="BR2165" s="0" t="s">
        <v>130</v>
      </c>
      <c r="BS2165" s="0" t="s">
        <v>130</v>
      </c>
      <c r="BT2165" s="0" t="s">
        <v>130</v>
      </c>
      <c r="BU2165" s="0" t="s">
        <v>130</v>
      </c>
      <c r="BV2165" s="0" t="s">
        <v>130</v>
      </c>
      <c r="BW2165" s="0" t="s">
        <v>130</v>
      </c>
      <c r="BX2165" s="0" t="s">
        <v>130</v>
      </c>
      <c r="BY2165" s="0" t="s">
        <v>130</v>
      </c>
      <c r="BZ2165" s="0" t="s">
        <v>130</v>
      </c>
      <c r="CA2165" s="0" t="s">
        <v>130</v>
      </c>
      <c r="CB2165" s="0" t="s">
        <v>130</v>
      </c>
      <c r="CC2165" s="0" t="s">
        <v>130</v>
      </c>
      <c r="CD2165" s="0" t="s">
        <v>130</v>
      </c>
      <c r="CE2165" s="0" t="s">
        <v>130</v>
      </c>
      <c r="CF2165" s="0" t="s">
        <v>130</v>
      </c>
      <c r="CG2165" s="0" t="s">
        <v>130</v>
      </c>
      <c r="CH2165" s="0" t="s">
        <v>130</v>
      </c>
      <c r="CI2165" s="0" t="s">
        <v>141</v>
      </c>
      <c r="CJ2165" s="0" t="s">
        <v>130</v>
      </c>
      <c r="CK2165" s="0" t="s">
        <v>130</v>
      </c>
      <c r="CL2165" s="0" t="s">
        <v>130</v>
      </c>
      <c r="CM2165" s="0" t="s">
        <v>130</v>
      </c>
      <c r="CN2165" s="0" t="s">
        <v>130</v>
      </c>
      <c r="CO2165" s="0" t="s">
        <v>130</v>
      </c>
      <c r="CP2165" s="0" t="s">
        <v>130</v>
      </c>
      <c r="CQ2165" s="0" t="s">
        <v>130</v>
      </c>
      <c r="CR2165" s="0" t="s">
        <v>130</v>
      </c>
      <c r="CS2165" s="0" t="s">
        <v>130</v>
      </c>
      <c r="CT2165" s="0" t="s">
        <v>6012</v>
      </c>
    </row>
    <row r="2166">
      <c r="A2166" s="14">
        <v>186941</v>
      </c>
      <c r="B2166" s="0" t="s">
        <v>3270</v>
      </c>
      <c r="C2166" s="16">
        <f>HYPERLINK("https://eosportal.federatedhermes.com/companies/Q29tcGFueQppNzc5MzA=", "China Construction Bank Corp")</f>
      </c>
      <c r="D2166" s="0" t="s">
        <v>25</v>
      </c>
      <c r="E2166" s="0" t="s">
        <v>6013</v>
      </c>
      <c r="F2166" s="16">
        <f>HYPERLINK("https://eosportal.federatedhermes.com/engagements/RW5nYWdlbWVudAppMzI3MDA=", "Bank Track human rights benchmark")</f>
      </c>
      <c r="G2166" s="14" t="s">
        <v>6014</v>
      </c>
      <c r="H2166" s="0" t="s">
        <v>141</v>
      </c>
      <c r="I2166" s="14" t="s">
        <v>131</v>
      </c>
      <c r="J2166" s="0" t="s">
        <v>153</v>
      </c>
      <c r="K2166" s="0" t="s">
        <v>243</v>
      </c>
      <c r="L2166" s="0" t="s">
        <v>244</v>
      </c>
      <c r="M2166" s="0" t="s">
        <v>2807</v>
      </c>
      <c r="N2166" s="0" t="s">
        <v>3272</v>
      </c>
      <c r="O2166" s="0" t="s">
        <v>238</v>
      </c>
      <c r="Q2166" s="0" t="s">
        <v>130</v>
      </c>
      <c r="R2166" s="0" t="s">
        <v>138</v>
      </c>
      <c r="S2166" s="14">
        <v>0</v>
      </c>
      <c r="T2166" s="0" t="s">
        <v>478</v>
      </c>
      <c r="U2166" s="0" t="s">
        <v>138</v>
      </c>
      <c r="V2166" s="14" t="s">
        <v>138</v>
      </c>
      <c r="W2166" s="0" t="s">
        <v>138</v>
      </c>
      <c r="X2166" s="14" t="s">
        <v>138</v>
      </c>
      <c r="Y2166" s="0" t="s">
        <v>138</v>
      </c>
      <c r="Z2166" s="14" t="s">
        <v>138</v>
      </c>
      <c r="AA2166" s="0" t="s">
        <v>138</v>
      </c>
      <c r="AB2166" s="14" t="s">
        <v>138</v>
      </c>
      <c r="AD2166" s="0" t="s">
        <v>138</v>
      </c>
      <c r="AF2166" s="0">
        <v>0</v>
      </c>
      <c r="AG2166" s="0">
        <v>0</v>
      </c>
      <c r="AH2166" s="0" t="s">
        <v>140</v>
      </c>
      <c r="AI2166" s="0" t="s">
        <v>138</v>
      </c>
      <c r="AL2166" s="14"/>
      <c r="AN2166" s="14"/>
      <c r="AQ2166" s="0" t="s">
        <v>130</v>
      </c>
      <c r="AR2166" s="0" t="s">
        <v>130</v>
      </c>
      <c r="AS2166" s="0" t="s">
        <v>130</v>
      </c>
      <c r="AT2166" s="0" t="s">
        <v>130</v>
      </c>
      <c r="AU2166" s="0" t="s">
        <v>130</v>
      </c>
      <c r="AV2166" s="0" t="s">
        <v>130</v>
      </c>
      <c r="AW2166" s="0" t="s">
        <v>130</v>
      </c>
      <c r="AX2166" s="0" t="s">
        <v>141</v>
      </c>
      <c r="AY2166" s="0" t="s">
        <v>130</v>
      </c>
      <c r="AZ2166" s="0" t="s">
        <v>130</v>
      </c>
      <c r="BA2166" s="0" t="s">
        <v>130</v>
      </c>
      <c r="BB2166" s="0" t="s">
        <v>130</v>
      </c>
      <c r="BC2166" s="0" t="s">
        <v>130</v>
      </c>
      <c r="BD2166" s="0" t="s">
        <v>130</v>
      </c>
      <c r="BE2166" s="0" t="s">
        <v>130</v>
      </c>
      <c r="BF2166" s="0" t="s">
        <v>130</v>
      </c>
      <c r="BG2166" s="0" t="s">
        <v>130</v>
      </c>
      <c r="BH2166" s="0" t="s">
        <v>130</v>
      </c>
      <c r="BI2166" s="0" t="s">
        <v>130</v>
      </c>
      <c r="BJ2166" s="0" t="s">
        <v>130</v>
      </c>
      <c r="BK2166" s="0" t="s">
        <v>130</v>
      </c>
      <c r="BL2166" s="0" t="s">
        <v>130</v>
      </c>
      <c r="BM2166" s="0" t="s">
        <v>130</v>
      </c>
      <c r="BN2166" s="0" t="s">
        <v>130</v>
      </c>
      <c r="BO2166" s="0" t="s">
        <v>130</v>
      </c>
      <c r="BP2166" s="0" t="s">
        <v>130</v>
      </c>
      <c r="BQ2166" s="0" t="s">
        <v>130</v>
      </c>
      <c r="BR2166" s="0" t="s">
        <v>130</v>
      </c>
      <c r="BS2166" s="0" t="s">
        <v>130</v>
      </c>
      <c r="BT2166" s="0" t="s">
        <v>130</v>
      </c>
      <c r="BU2166" s="0" t="s">
        <v>130</v>
      </c>
      <c r="BV2166" s="0" t="s">
        <v>130</v>
      </c>
      <c r="BW2166" s="0" t="s">
        <v>130</v>
      </c>
      <c r="BX2166" s="0" t="s">
        <v>130</v>
      </c>
      <c r="BY2166" s="0" t="s">
        <v>130</v>
      </c>
      <c r="BZ2166" s="0" t="s">
        <v>130</v>
      </c>
      <c r="CA2166" s="0" t="s">
        <v>130</v>
      </c>
      <c r="CB2166" s="0" t="s">
        <v>130</v>
      </c>
      <c r="CC2166" s="0" t="s">
        <v>130</v>
      </c>
      <c r="CD2166" s="0" t="s">
        <v>130</v>
      </c>
      <c r="CE2166" s="0" t="s">
        <v>130</v>
      </c>
      <c r="CF2166" s="0" t="s">
        <v>130</v>
      </c>
      <c r="CG2166" s="0" t="s">
        <v>130</v>
      </c>
      <c r="CH2166" s="0" t="s">
        <v>130</v>
      </c>
      <c r="CI2166" s="0" t="s">
        <v>130</v>
      </c>
      <c r="CJ2166" s="0" t="s">
        <v>130</v>
      </c>
      <c r="CK2166" s="0" t="s">
        <v>130</v>
      </c>
      <c r="CL2166" s="0" t="s">
        <v>130</v>
      </c>
      <c r="CM2166" s="0" t="s">
        <v>130</v>
      </c>
      <c r="CN2166" s="0" t="s">
        <v>130</v>
      </c>
      <c r="CO2166" s="0" t="s">
        <v>130</v>
      </c>
      <c r="CP2166" s="0" t="s">
        <v>130</v>
      </c>
      <c r="CQ2166" s="0" t="s">
        <v>130</v>
      </c>
      <c r="CR2166" s="0" t="s">
        <v>130</v>
      </c>
      <c r="CS2166" s="0" t="s">
        <v>130</v>
      </c>
      <c r="CT2166" s="0" t="s">
        <v>6015</v>
      </c>
    </row>
    <row r="2167">
      <c r="A2167" s="14">
        <v>129309</v>
      </c>
      <c r="B2167" s="0" t="s">
        <v>2992</v>
      </c>
      <c r="C2167" s="16">
        <f>HYPERLINK("https://eosportal.federatedhermes.com/companies/Q29tcGFueQppNzc5MzY=", "POSCO Holdings Inc")</f>
      </c>
      <c r="D2167" s="0" t="s">
        <v>25</v>
      </c>
      <c r="E2167" s="0" t="s">
        <v>6016</v>
      </c>
      <c r="F2167" s="16">
        <f>HYPERLINK("https://eosportal.federatedhermes.com/engagements/RW5nYWdlbWVudAppMzI3MDE=", "Right to unionise")</f>
      </c>
      <c r="G2167" s="14" t="s">
        <v>6017</v>
      </c>
      <c r="H2167" s="0" t="s">
        <v>141</v>
      </c>
      <c r="I2167" s="14" t="s">
        <v>191</v>
      </c>
      <c r="J2167" s="0" t="s">
        <v>153</v>
      </c>
      <c r="K2167" s="0" t="s">
        <v>243</v>
      </c>
      <c r="L2167" s="0" t="s">
        <v>244</v>
      </c>
      <c r="M2167" s="0" t="s">
        <v>802</v>
      </c>
      <c r="N2167" s="0" t="s">
        <v>2800</v>
      </c>
      <c r="O2167" s="0" t="s">
        <v>373</v>
      </c>
      <c r="Q2167" s="0" t="s">
        <v>130</v>
      </c>
      <c r="R2167" s="0" t="s">
        <v>138</v>
      </c>
      <c r="S2167" s="14">
        <v>0</v>
      </c>
      <c r="T2167" s="0" t="s">
        <v>478</v>
      </c>
      <c r="U2167" s="0" t="s">
        <v>138</v>
      </c>
      <c r="V2167" s="14" t="s">
        <v>138</v>
      </c>
      <c r="W2167" s="0" t="s">
        <v>138</v>
      </c>
      <c r="X2167" s="14" t="s">
        <v>138</v>
      </c>
      <c r="Y2167" s="0" t="s">
        <v>138</v>
      </c>
      <c r="Z2167" s="14" t="s">
        <v>138</v>
      </c>
      <c r="AA2167" s="0" t="s">
        <v>138</v>
      </c>
      <c r="AB2167" s="14" t="s">
        <v>138</v>
      </c>
      <c r="AD2167" s="0" t="s">
        <v>138</v>
      </c>
      <c r="AF2167" s="0">
        <v>0</v>
      </c>
      <c r="AG2167" s="0">
        <v>0</v>
      </c>
      <c r="AH2167" s="0" t="s">
        <v>140</v>
      </c>
      <c r="AI2167" s="0" t="s">
        <v>138</v>
      </c>
      <c r="AL2167" s="14"/>
      <c r="AN2167" s="14"/>
      <c r="AQ2167" s="0" t="s">
        <v>130</v>
      </c>
      <c r="AR2167" s="0" t="s">
        <v>130</v>
      </c>
      <c r="AS2167" s="0" t="s">
        <v>130</v>
      </c>
      <c r="AT2167" s="0" t="s">
        <v>130</v>
      </c>
      <c r="AU2167" s="0" t="s">
        <v>130</v>
      </c>
      <c r="AV2167" s="0" t="s">
        <v>130</v>
      </c>
      <c r="AW2167" s="0" t="s">
        <v>130</v>
      </c>
      <c r="AX2167" s="0" t="s">
        <v>141</v>
      </c>
      <c r="AY2167" s="0" t="s">
        <v>130</v>
      </c>
      <c r="AZ2167" s="0" t="s">
        <v>130</v>
      </c>
      <c r="BA2167" s="0" t="s">
        <v>130</v>
      </c>
      <c r="BB2167" s="0" t="s">
        <v>130</v>
      </c>
      <c r="BC2167" s="0" t="s">
        <v>130</v>
      </c>
      <c r="BD2167" s="0" t="s">
        <v>130</v>
      </c>
      <c r="BE2167" s="0" t="s">
        <v>130</v>
      </c>
      <c r="BF2167" s="0" t="s">
        <v>130</v>
      </c>
      <c r="BG2167" s="0" t="s">
        <v>130</v>
      </c>
      <c r="BH2167" s="0" t="s">
        <v>130</v>
      </c>
      <c r="BI2167" s="0" t="s">
        <v>130</v>
      </c>
      <c r="BJ2167" s="0" t="s">
        <v>130</v>
      </c>
      <c r="BK2167" s="0" t="s">
        <v>130</v>
      </c>
      <c r="BL2167" s="0" t="s">
        <v>130</v>
      </c>
      <c r="BM2167" s="0" t="s">
        <v>130</v>
      </c>
      <c r="BN2167" s="0" t="s">
        <v>130</v>
      </c>
      <c r="BO2167" s="0" t="s">
        <v>130</v>
      </c>
      <c r="BP2167" s="0" t="s">
        <v>130</v>
      </c>
      <c r="BQ2167" s="0" t="s">
        <v>130</v>
      </c>
      <c r="BR2167" s="0" t="s">
        <v>130</v>
      </c>
      <c r="BS2167" s="0" t="s">
        <v>130</v>
      </c>
      <c r="BT2167" s="0" t="s">
        <v>130</v>
      </c>
      <c r="BU2167" s="0" t="s">
        <v>130</v>
      </c>
      <c r="BV2167" s="0" t="s">
        <v>130</v>
      </c>
      <c r="BW2167" s="0" t="s">
        <v>130</v>
      </c>
      <c r="BX2167" s="0" t="s">
        <v>130</v>
      </c>
      <c r="BY2167" s="0" t="s">
        <v>130</v>
      </c>
      <c r="BZ2167" s="0" t="s">
        <v>130</v>
      </c>
      <c r="CA2167" s="0" t="s">
        <v>130</v>
      </c>
      <c r="CB2167" s="0" t="s">
        <v>130</v>
      </c>
      <c r="CC2167" s="0" t="s">
        <v>130</v>
      </c>
      <c r="CD2167" s="0" t="s">
        <v>130</v>
      </c>
      <c r="CE2167" s="0" t="s">
        <v>130</v>
      </c>
      <c r="CF2167" s="0" t="s">
        <v>130</v>
      </c>
      <c r="CG2167" s="0" t="s">
        <v>130</v>
      </c>
      <c r="CH2167" s="0" t="s">
        <v>130</v>
      </c>
      <c r="CI2167" s="0" t="s">
        <v>130</v>
      </c>
      <c r="CJ2167" s="0" t="s">
        <v>130</v>
      </c>
      <c r="CK2167" s="0" t="s">
        <v>130</v>
      </c>
      <c r="CL2167" s="0" t="s">
        <v>130</v>
      </c>
      <c r="CM2167" s="0" t="s">
        <v>130</v>
      </c>
      <c r="CN2167" s="0" t="s">
        <v>130</v>
      </c>
      <c r="CO2167" s="0" t="s">
        <v>130</v>
      </c>
      <c r="CP2167" s="0" t="s">
        <v>130</v>
      </c>
      <c r="CQ2167" s="0" t="s">
        <v>130</v>
      </c>
      <c r="CR2167" s="0" t="s">
        <v>130</v>
      </c>
      <c r="CS2167" s="0" t="s">
        <v>130</v>
      </c>
      <c r="CT2167" s="0" t="s">
        <v>6018</v>
      </c>
    </row>
    <row r="2168">
      <c r="A2168" s="14">
        <v>151843</v>
      </c>
      <c r="B2168" s="0" t="s">
        <v>3167</v>
      </c>
      <c r="C2168" s="16">
        <f>HYPERLINK("https://eosportal.federatedhermes.com/companies/Q29tcGFueQppODU0MTU=", "Fast Retailing Co Ltd")</f>
      </c>
      <c r="D2168" s="0" t="s">
        <v>23</v>
      </c>
      <c r="E2168" s="0" t="s">
        <v>6019</v>
      </c>
      <c r="F2168" s="16">
        <f>HYPERLINK("https://eosportal.federatedhermes.com/engagements/RW5nYWdlbWVudAppMzI3MDI=", "Supply chain - enhanced due diligence and auditing covering human rights")</f>
      </c>
      <c r="G2168" s="14" t="s">
        <v>6020</v>
      </c>
      <c r="H2168" s="0" t="s">
        <v>141</v>
      </c>
      <c r="I2168" s="14" t="s">
        <v>191</v>
      </c>
      <c r="J2168" s="0" t="s">
        <v>153</v>
      </c>
      <c r="K2168" s="0" t="s">
        <v>243</v>
      </c>
      <c r="L2168" s="0" t="s">
        <v>244</v>
      </c>
      <c r="M2168" s="0" t="s">
        <v>802</v>
      </c>
      <c r="N2168" s="0" t="s">
        <v>952</v>
      </c>
      <c r="O2168" s="0" t="s">
        <v>643</v>
      </c>
      <c r="Q2168" s="0" t="s">
        <v>130</v>
      </c>
      <c r="R2168" s="0" t="s">
        <v>130</v>
      </c>
      <c r="S2168" s="14">
        <v>0</v>
      </c>
      <c r="T2168" s="0" t="s">
        <v>2629</v>
      </c>
      <c r="U2168" s="0" t="s">
        <v>221</v>
      </c>
      <c r="V2168" s="14" t="s">
        <v>2629</v>
      </c>
      <c r="W2168" s="0" t="s">
        <v>221</v>
      </c>
      <c r="X2168" s="14" t="s">
        <v>2629</v>
      </c>
      <c r="Y2168" s="0" t="s">
        <v>223</v>
      </c>
      <c r="Z2168" s="14" t="s">
        <v>138</v>
      </c>
      <c r="AA2168" s="0" t="s">
        <v>224</v>
      </c>
      <c r="AB2168" s="14" t="s">
        <v>138</v>
      </c>
      <c r="AD2168" s="0" t="s">
        <v>17</v>
      </c>
      <c r="AF2168" s="0">
        <v>0</v>
      </c>
      <c r="AG2168" s="0">
        <v>0</v>
      </c>
      <c r="AH2168" s="0" t="s">
        <v>140</v>
      </c>
      <c r="AI2168" s="0" t="s">
        <v>479</v>
      </c>
      <c r="AL2168" s="14"/>
      <c r="AN2168" s="14"/>
      <c r="AQ2168" s="0" t="s">
        <v>130</v>
      </c>
      <c r="AR2168" s="0" t="s">
        <v>130</v>
      </c>
      <c r="AS2168" s="0" t="s">
        <v>130</v>
      </c>
      <c r="AT2168" s="0" t="s">
        <v>130</v>
      </c>
      <c r="AU2168" s="0" t="s">
        <v>130</v>
      </c>
      <c r="AV2168" s="0" t="s">
        <v>130</v>
      </c>
      <c r="AW2168" s="0" t="s">
        <v>130</v>
      </c>
      <c r="AX2168" s="0" t="s">
        <v>141</v>
      </c>
      <c r="AY2168" s="0" t="s">
        <v>130</v>
      </c>
      <c r="AZ2168" s="0" t="s">
        <v>130</v>
      </c>
      <c r="BA2168" s="0" t="s">
        <v>130</v>
      </c>
      <c r="BB2168" s="0" t="s">
        <v>130</v>
      </c>
      <c r="BC2168" s="0" t="s">
        <v>130</v>
      </c>
      <c r="BD2168" s="0" t="s">
        <v>130</v>
      </c>
      <c r="BE2168" s="0" t="s">
        <v>130</v>
      </c>
      <c r="BF2168" s="0" t="s">
        <v>130</v>
      </c>
      <c r="BG2168" s="0" t="s">
        <v>130</v>
      </c>
      <c r="BH2168" s="0" t="s">
        <v>130</v>
      </c>
      <c r="BI2168" s="0" t="s">
        <v>130</v>
      </c>
      <c r="BJ2168" s="0" t="s">
        <v>130</v>
      </c>
      <c r="BK2168" s="0" t="s">
        <v>130</v>
      </c>
      <c r="BL2168" s="0" t="s">
        <v>130</v>
      </c>
      <c r="BM2168" s="0" t="s">
        <v>130</v>
      </c>
      <c r="BN2168" s="0" t="s">
        <v>130</v>
      </c>
      <c r="BO2168" s="0" t="s">
        <v>130</v>
      </c>
      <c r="BP2168" s="0" t="s">
        <v>130</v>
      </c>
      <c r="BQ2168" s="0" t="s">
        <v>130</v>
      </c>
      <c r="BR2168" s="0" t="s">
        <v>130</v>
      </c>
      <c r="BS2168" s="0" t="s">
        <v>130</v>
      </c>
      <c r="BT2168" s="0" t="s">
        <v>130</v>
      </c>
      <c r="BU2168" s="0" t="s">
        <v>130</v>
      </c>
      <c r="BV2168" s="0" t="s">
        <v>130</v>
      </c>
      <c r="BW2168" s="0" t="s">
        <v>130</v>
      </c>
      <c r="BX2168" s="0" t="s">
        <v>130</v>
      </c>
      <c r="BY2168" s="0" t="s">
        <v>130</v>
      </c>
      <c r="BZ2168" s="0" t="s">
        <v>130</v>
      </c>
      <c r="CA2168" s="0" t="s">
        <v>130</v>
      </c>
      <c r="CB2168" s="0" t="s">
        <v>130</v>
      </c>
      <c r="CC2168" s="0" t="s">
        <v>130</v>
      </c>
      <c r="CD2168" s="0" t="s">
        <v>130</v>
      </c>
      <c r="CE2168" s="0" t="s">
        <v>130</v>
      </c>
      <c r="CF2168" s="0" t="s">
        <v>130</v>
      </c>
      <c r="CG2168" s="0" t="s">
        <v>130</v>
      </c>
      <c r="CH2168" s="0" t="s">
        <v>130</v>
      </c>
      <c r="CI2168" s="0" t="s">
        <v>130</v>
      </c>
      <c r="CJ2168" s="0" t="s">
        <v>130</v>
      </c>
      <c r="CK2168" s="0" t="s">
        <v>130</v>
      </c>
      <c r="CL2168" s="0" t="s">
        <v>130</v>
      </c>
      <c r="CM2168" s="0" t="s">
        <v>130</v>
      </c>
      <c r="CN2168" s="0" t="s">
        <v>130</v>
      </c>
      <c r="CO2168" s="0" t="s">
        <v>130</v>
      </c>
      <c r="CP2168" s="0" t="s">
        <v>130</v>
      </c>
      <c r="CQ2168" s="0" t="s">
        <v>130</v>
      </c>
      <c r="CR2168" s="0" t="s">
        <v>130</v>
      </c>
      <c r="CS2168" s="0" t="s">
        <v>130</v>
      </c>
      <c r="CT2168" s="0" t="s">
        <v>6021</v>
      </c>
    </row>
    <row r="2169">
      <c r="A2169" s="14">
        <v>304149</v>
      </c>
      <c r="B2169" s="0" t="s">
        <v>3541</v>
      </c>
      <c r="C2169" s="16">
        <f>HYPERLINK("https://eosportal.federatedhermes.com/companies/Q29tcGFueQppNzc5MjM=", "ICICI Bank Ltd")</f>
      </c>
      <c r="D2169" s="0" t="s">
        <v>23</v>
      </c>
      <c r="E2169" s="0" t="s">
        <v>6022</v>
      </c>
      <c r="F2169" s="16">
        <f>HYPERLINK("https://eosportal.federatedhermes.com/engagements/RW5nYWdlbWVudAppMzI3MDQ=", "Net-zero by 2050 goal for financed emissions")</f>
      </c>
      <c r="G2169" s="14" t="s">
        <v>6023</v>
      </c>
      <c r="H2169" s="0" t="s">
        <v>141</v>
      </c>
      <c r="I2169" s="14" t="s">
        <v>131</v>
      </c>
      <c r="J2169" s="0" t="s">
        <v>197</v>
      </c>
      <c r="K2169" s="0" t="s">
        <v>198</v>
      </c>
      <c r="L2169" s="0" t="s">
        <v>216</v>
      </c>
      <c r="M2169" s="0" t="s">
        <v>2807</v>
      </c>
      <c r="N2169" s="0" t="s">
        <v>2969</v>
      </c>
      <c r="O2169" s="0" t="s">
        <v>238</v>
      </c>
      <c r="Q2169" s="0" t="s">
        <v>141</v>
      </c>
      <c r="R2169" s="0" t="s">
        <v>130</v>
      </c>
      <c r="S2169" s="14">
        <v>1</v>
      </c>
      <c r="T2169" s="0" t="s">
        <v>478</v>
      </c>
      <c r="U2169" s="0" t="s">
        <v>221</v>
      </c>
      <c r="V2169" s="14" t="s">
        <v>478</v>
      </c>
      <c r="W2169" s="0" t="s">
        <v>221</v>
      </c>
      <c r="X2169" s="14" t="s">
        <v>360</v>
      </c>
      <c r="Y2169" s="0" t="s">
        <v>223</v>
      </c>
      <c r="Z2169" s="14" t="s">
        <v>138</v>
      </c>
      <c r="AA2169" s="0" t="s">
        <v>224</v>
      </c>
      <c r="AB2169" s="14" t="s">
        <v>138</v>
      </c>
      <c r="AD2169" s="0" t="s">
        <v>17</v>
      </c>
      <c r="AF2169" s="0">
        <v>0</v>
      </c>
      <c r="AG2169" s="0">
        <v>0</v>
      </c>
      <c r="AH2169" s="0" t="s">
        <v>140</v>
      </c>
      <c r="AI2169" s="0" t="s">
        <v>479</v>
      </c>
      <c r="AK2169" s="0" t="s">
        <v>1289</v>
      </c>
      <c r="AL2169" s="14"/>
      <c r="AN2169" s="14"/>
      <c r="AQ2169" s="0" t="s">
        <v>130</v>
      </c>
      <c r="AR2169" s="0" t="s">
        <v>130</v>
      </c>
      <c r="AS2169" s="0" t="s">
        <v>130</v>
      </c>
      <c r="AT2169" s="0" t="s">
        <v>130</v>
      </c>
      <c r="AU2169" s="0" t="s">
        <v>130</v>
      </c>
      <c r="AV2169" s="0" t="s">
        <v>130</v>
      </c>
      <c r="AW2169" s="0" t="s">
        <v>141</v>
      </c>
      <c r="AX2169" s="0" t="s">
        <v>130</v>
      </c>
      <c r="AY2169" s="0" t="s">
        <v>130</v>
      </c>
      <c r="AZ2169" s="0" t="s">
        <v>130</v>
      </c>
      <c r="BA2169" s="0" t="s">
        <v>130</v>
      </c>
      <c r="BB2169" s="0" t="s">
        <v>130</v>
      </c>
      <c r="BC2169" s="0" t="s">
        <v>141</v>
      </c>
      <c r="BD2169" s="0" t="s">
        <v>130</v>
      </c>
      <c r="BE2169" s="0" t="s">
        <v>130</v>
      </c>
      <c r="BF2169" s="0" t="s">
        <v>130</v>
      </c>
      <c r="BG2169" s="0" t="s">
        <v>130</v>
      </c>
      <c r="BH2169" s="0" t="s">
        <v>141</v>
      </c>
      <c r="BI2169" s="0" t="s">
        <v>141</v>
      </c>
      <c r="BJ2169" s="0" t="s">
        <v>141</v>
      </c>
      <c r="BK2169" s="0" t="s">
        <v>130</v>
      </c>
      <c r="BL2169" s="0" t="s">
        <v>130</v>
      </c>
      <c r="BM2169" s="0" t="s">
        <v>130</v>
      </c>
      <c r="BN2169" s="0" t="s">
        <v>130</v>
      </c>
      <c r="BO2169" s="0" t="s">
        <v>130</v>
      </c>
      <c r="BP2169" s="0" t="s">
        <v>130</v>
      </c>
      <c r="BQ2169" s="0" t="s">
        <v>130</v>
      </c>
      <c r="BR2169" s="0" t="s">
        <v>130</v>
      </c>
      <c r="BS2169" s="0" t="s">
        <v>130</v>
      </c>
      <c r="BT2169" s="0" t="s">
        <v>130</v>
      </c>
      <c r="BU2169" s="0" t="s">
        <v>130</v>
      </c>
      <c r="BV2169" s="0" t="s">
        <v>141</v>
      </c>
      <c r="BW2169" s="0" t="s">
        <v>141</v>
      </c>
      <c r="BX2169" s="0" t="s">
        <v>130</v>
      </c>
      <c r="BY2169" s="0" t="s">
        <v>130</v>
      </c>
      <c r="BZ2169" s="0" t="s">
        <v>130</v>
      </c>
      <c r="CA2169" s="0" t="s">
        <v>130</v>
      </c>
      <c r="CB2169" s="0" t="s">
        <v>130</v>
      </c>
      <c r="CC2169" s="0" t="s">
        <v>130</v>
      </c>
      <c r="CD2169" s="0" t="s">
        <v>130</v>
      </c>
      <c r="CE2169" s="0" t="s">
        <v>130</v>
      </c>
      <c r="CF2169" s="0" t="s">
        <v>130</v>
      </c>
      <c r="CG2169" s="0" t="s">
        <v>130</v>
      </c>
      <c r="CH2169" s="0" t="s">
        <v>130</v>
      </c>
      <c r="CI2169" s="0" t="s">
        <v>130</v>
      </c>
      <c r="CJ2169" s="0" t="s">
        <v>130</v>
      </c>
      <c r="CK2169" s="0" t="s">
        <v>130</v>
      </c>
      <c r="CL2169" s="0" t="s">
        <v>130</v>
      </c>
      <c r="CM2169" s="0" t="s">
        <v>130</v>
      </c>
      <c r="CN2169" s="0" t="s">
        <v>130</v>
      </c>
      <c r="CO2169" s="0" t="s">
        <v>130</v>
      </c>
      <c r="CP2169" s="0" t="s">
        <v>130</v>
      </c>
      <c r="CQ2169" s="0" t="s">
        <v>130</v>
      </c>
      <c r="CR2169" s="0" t="s">
        <v>130</v>
      </c>
      <c r="CS2169" s="0" t="s">
        <v>130</v>
      </c>
      <c r="CT2169" s="0" t="s">
        <v>6024</v>
      </c>
    </row>
    <row r="2170">
      <c r="A2170" s="14">
        <v>304149</v>
      </c>
      <c r="B2170" s="0" t="s">
        <v>3541</v>
      </c>
      <c r="C2170" s="16">
        <f>HYPERLINK("https://eosportal.federatedhermes.com/companies/Q29tcGFueQppNzc5MjM=", "ICICI Bank Ltd")</f>
      </c>
      <c r="D2170" s="0" t="s">
        <v>23</v>
      </c>
      <c r="E2170" s="0" t="s">
        <v>6025</v>
      </c>
      <c r="F2170" s="16">
        <f>HYPERLINK("https://eosportal.federatedhermes.com/engagements/RW5nYWdlbWVudAppMzI3MDU=", "Climate change strategy and roadmap")</f>
      </c>
      <c r="G2170" s="14" t="s">
        <v>6026</v>
      </c>
      <c r="H2170" s="0" t="s">
        <v>141</v>
      </c>
      <c r="I2170" s="14" t="s">
        <v>131</v>
      </c>
      <c r="J2170" s="0" t="s">
        <v>197</v>
      </c>
      <c r="K2170" s="0" t="s">
        <v>198</v>
      </c>
      <c r="L2170" s="0" t="s">
        <v>216</v>
      </c>
      <c r="M2170" s="0" t="s">
        <v>2807</v>
      </c>
      <c r="N2170" s="0" t="s">
        <v>2969</v>
      </c>
      <c r="O2170" s="0" t="s">
        <v>238</v>
      </c>
      <c r="Q2170" s="0" t="s">
        <v>141</v>
      </c>
      <c r="R2170" s="0" t="s">
        <v>141</v>
      </c>
      <c r="S2170" s="14">
        <v>1</v>
      </c>
      <c r="T2170" s="0" t="s">
        <v>478</v>
      </c>
      <c r="U2170" s="0" t="s">
        <v>221</v>
      </c>
      <c r="V2170" s="14" t="s">
        <v>478</v>
      </c>
      <c r="W2170" s="0" t="s">
        <v>221</v>
      </c>
      <c r="X2170" s="14" t="s">
        <v>478</v>
      </c>
      <c r="Y2170" s="0" t="s">
        <v>221</v>
      </c>
      <c r="Z2170" s="14" t="s">
        <v>361</v>
      </c>
      <c r="AA2170" s="0" t="s">
        <v>223</v>
      </c>
      <c r="AB2170" s="14" t="s">
        <v>138</v>
      </c>
      <c r="AC2170" s="0" t="s">
        <v>17</v>
      </c>
      <c r="AD2170" s="0" t="s">
        <v>20</v>
      </c>
      <c r="AE2170" s="0" t="s">
        <v>2266</v>
      </c>
      <c r="AF2170" s="0">
        <v>1</v>
      </c>
      <c r="AG2170" s="0">
        <v>0</v>
      </c>
      <c r="AH2170" s="0" t="s">
        <v>140</v>
      </c>
      <c r="AI2170" s="0" t="s">
        <v>598</v>
      </c>
      <c r="AK2170" s="0" t="s">
        <v>1289</v>
      </c>
      <c r="AL2170" s="14"/>
      <c r="AN2170" s="14"/>
      <c r="AQ2170" s="0" t="s">
        <v>130</v>
      </c>
      <c r="AR2170" s="0" t="s">
        <v>130</v>
      </c>
      <c r="AS2170" s="0" t="s">
        <v>130</v>
      </c>
      <c r="AT2170" s="0" t="s">
        <v>130</v>
      </c>
      <c r="AU2170" s="0" t="s">
        <v>130</v>
      </c>
      <c r="AV2170" s="0" t="s">
        <v>130</v>
      </c>
      <c r="AW2170" s="0" t="s">
        <v>141</v>
      </c>
      <c r="AX2170" s="0" t="s">
        <v>130</v>
      </c>
      <c r="AY2170" s="0" t="s">
        <v>130</v>
      </c>
      <c r="AZ2170" s="0" t="s">
        <v>130</v>
      </c>
      <c r="BA2170" s="0" t="s">
        <v>130</v>
      </c>
      <c r="BB2170" s="0" t="s">
        <v>130</v>
      </c>
      <c r="BC2170" s="0" t="s">
        <v>141</v>
      </c>
      <c r="BD2170" s="0" t="s">
        <v>130</v>
      </c>
      <c r="BE2170" s="0" t="s">
        <v>130</v>
      </c>
      <c r="BF2170" s="0" t="s">
        <v>130</v>
      </c>
      <c r="BG2170" s="0" t="s">
        <v>130</v>
      </c>
      <c r="BH2170" s="0" t="s">
        <v>141</v>
      </c>
      <c r="BI2170" s="0" t="s">
        <v>141</v>
      </c>
      <c r="BJ2170" s="0" t="s">
        <v>141</v>
      </c>
      <c r="BK2170" s="0" t="s">
        <v>130</v>
      </c>
      <c r="BL2170" s="0" t="s">
        <v>130</v>
      </c>
      <c r="BM2170" s="0" t="s">
        <v>130</v>
      </c>
      <c r="BN2170" s="0" t="s">
        <v>130</v>
      </c>
      <c r="BO2170" s="0" t="s">
        <v>130</v>
      </c>
      <c r="BP2170" s="0" t="s">
        <v>130</v>
      </c>
      <c r="BQ2170" s="0" t="s">
        <v>130</v>
      </c>
      <c r="BR2170" s="0" t="s">
        <v>130</v>
      </c>
      <c r="BS2170" s="0" t="s">
        <v>130</v>
      </c>
      <c r="BT2170" s="0" t="s">
        <v>130</v>
      </c>
      <c r="BU2170" s="0" t="s">
        <v>130</v>
      </c>
      <c r="BV2170" s="0" t="s">
        <v>141</v>
      </c>
      <c r="BW2170" s="0" t="s">
        <v>141</v>
      </c>
      <c r="BX2170" s="0" t="s">
        <v>130</v>
      </c>
      <c r="BY2170" s="0" t="s">
        <v>130</v>
      </c>
      <c r="BZ2170" s="0" t="s">
        <v>130</v>
      </c>
      <c r="CA2170" s="0" t="s">
        <v>130</v>
      </c>
      <c r="CB2170" s="0" t="s">
        <v>130</v>
      </c>
      <c r="CC2170" s="0" t="s">
        <v>130</v>
      </c>
      <c r="CD2170" s="0" t="s">
        <v>130</v>
      </c>
      <c r="CE2170" s="0" t="s">
        <v>130</v>
      </c>
      <c r="CF2170" s="0" t="s">
        <v>130</v>
      </c>
      <c r="CG2170" s="0" t="s">
        <v>130</v>
      </c>
      <c r="CH2170" s="0" t="s">
        <v>130</v>
      </c>
      <c r="CI2170" s="0" t="s">
        <v>130</v>
      </c>
      <c r="CJ2170" s="0" t="s">
        <v>130</v>
      </c>
      <c r="CK2170" s="0" t="s">
        <v>130</v>
      </c>
      <c r="CL2170" s="0" t="s">
        <v>130</v>
      </c>
      <c r="CM2170" s="0" t="s">
        <v>130</v>
      </c>
      <c r="CN2170" s="0" t="s">
        <v>130</v>
      </c>
      <c r="CO2170" s="0" t="s">
        <v>130</v>
      </c>
      <c r="CP2170" s="0" t="s">
        <v>130</v>
      </c>
      <c r="CQ2170" s="0" t="s">
        <v>130</v>
      </c>
      <c r="CR2170" s="0" t="s">
        <v>130</v>
      </c>
      <c r="CS2170" s="0" t="s">
        <v>130</v>
      </c>
      <c r="CT2170" s="0" t="s">
        <v>6027</v>
      </c>
    </row>
    <row r="2171">
      <c r="A2171" s="14">
        <v>304149</v>
      </c>
      <c r="B2171" s="0" t="s">
        <v>3541</v>
      </c>
      <c r="C2171" s="16">
        <f>HYPERLINK("https://eosportal.federatedhermes.com/companies/Q29tcGFueQppNzc5MjM=", "ICICI Bank Ltd")</f>
      </c>
      <c r="D2171" s="0" t="s">
        <v>23</v>
      </c>
      <c r="E2171" s="0" t="s">
        <v>5901</v>
      </c>
      <c r="F2171" s="16">
        <f>HYPERLINK("https://eosportal.federatedhermes.com/engagements/RW5nYWdlbWVudAppMzI3MDY=", "Social and financial inclusion strategy")</f>
      </c>
      <c r="G2171" s="14" t="s">
        <v>6028</v>
      </c>
      <c r="H2171" s="0" t="s">
        <v>141</v>
      </c>
      <c r="I2171" s="14" t="s">
        <v>131</v>
      </c>
      <c r="J2171" s="0" t="s">
        <v>153</v>
      </c>
      <c r="K2171" s="0" t="s">
        <v>243</v>
      </c>
      <c r="L2171" s="0" t="s">
        <v>292</v>
      </c>
      <c r="M2171" s="0" t="s">
        <v>2807</v>
      </c>
      <c r="N2171" s="0" t="s">
        <v>2969</v>
      </c>
      <c r="O2171" s="0" t="s">
        <v>238</v>
      </c>
      <c r="Q2171" s="0" t="s">
        <v>141</v>
      </c>
      <c r="R2171" s="0" t="s">
        <v>141</v>
      </c>
      <c r="S2171" s="14">
        <v>1</v>
      </c>
      <c r="T2171" s="0" t="s">
        <v>478</v>
      </c>
      <c r="U2171" s="0" t="s">
        <v>221</v>
      </c>
      <c r="V2171" s="14" t="s">
        <v>478</v>
      </c>
      <c r="W2171" s="0" t="s">
        <v>221</v>
      </c>
      <c r="X2171" s="14" t="s">
        <v>360</v>
      </c>
      <c r="Y2171" s="0" t="s">
        <v>221</v>
      </c>
      <c r="Z2171" s="14" t="s">
        <v>361</v>
      </c>
      <c r="AA2171" s="0" t="s">
        <v>223</v>
      </c>
      <c r="AB2171" s="14" t="s">
        <v>138</v>
      </c>
      <c r="AC2171" s="0" t="s">
        <v>17</v>
      </c>
      <c r="AD2171" s="0" t="s">
        <v>20</v>
      </c>
      <c r="AE2171" s="0" t="s">
        <v>2266</v>
      </c>
      <c r="AF2171" s="0">
        <v>1</v>
      </c>
      <c r="AG2171" s="0">
        <v>0</v>
      </c>
      <c r="AH2171" s="0" t="s">
        <v>140</v>
      </c>
      <c r="AI2171" s="0" t="s">
        <v>598</v>
      </c>
      <c r="AK2171" s="0" t="s">
        <v>1289</v>
      </c>
      <c r="AL2171" s="14"/>
      <c r="AN2171" s="14"/>
      <c r="AQ2171" s="0" t="s">
        <v>141</v>
      </c>
      <c r="AR2171" s="0" t="s">
        <v>130</v>
      </c>
      <c r="AS2171" s="0" t="s">
        <v>130</v>
      </c>
      <c r="AT2171" s="0" t="s">
        <v>130</v>
      </c>
      <c r="AU2171" s="0" t="s">
        <v>141</v>
      </c>
      <c r="AV2171" s="0" t="s">
        <v>130</v>
      </c>
      <c r="AW2171" s="0" t="s">
        <v>130</v>
      </c>
      <c r="AX2171" s="0" t="s">
        <v>141</v>
      </c>
      <c r="AY2171" s="0" t="s">
        <v>130</v>
      </c>
      <c r="AZ2171" s="0" t="s">
        <v>130</v>
      </c>
      <c r="BA2171" s="0" t="s">
        <v>130</v>
      </c>
      <c r="BB2171" s="0" t="s">
        <v>130</v>
      </c>
      <c r="BC2171" s="0" t="s">
        <v>130</v>
      </c>
      <c r="BD2171" s="0" t="s">
        <v>130</v>
      </c>
      <c r="BE2171" s="0" t="s">
        <v>130</v>
      </c>
      <c r="BF2171" s="0" t="s">
        <v>130</v>
      </c>
      <c r="BG2171" s="0" t="s">
        <v>130</v>
      </c>
      <c r="BH2171" s="0" t="s">
        <v>130</v>
      </c>
      <c r="BI2171" s="0" t="s">
        <v>130</v>
      </c>
      <c r="BJ2171" s="0" t="s">
        <v>130</v>
      </c>
      <c r="BK2171" s="0" t="s">
        <v>130</v>
      </c>
      <c r="BL2171" s="0" t="s">
        <v>130</v>
      </c>
      <c r="BM2171" s="0" t="s">
        <v>130</v>
      </c>
      <c r="BN2171" s="0" t="s">
        <v>130</v>
      </c>
      <c r="BO2171" s="0" t="s">
        <v>130</v>
      </c>
      <c r="BP2171" s="0" t="s">
        <v>130</v>
      </c>
      <c r="BQ2171" s="0" t="s">
        <v>130</v>
      </c>
      <c r="BR2171" s="0" t="s">
        <v>130</v>
      </c>
      <c r="BS2171" s="0" t="s">
        <v>130</v>
      </c>
      <c r="BT2171" s="0" t="s">
        <v>130</v>
      </c>
      <c r="BU2171" s="0" t="s">
        <v>130</v>
      </c>
      <c r="BV2171" s="0" t="s">
        <v>130</v>
      </c>
      <c r="BW2171" s="0" t="s">
        <v>130</v>
      </c>
      <c r="BX2171" s="0" t="s">
        <v>130</v>
      </c>
      <c r="BY2171" s="0" t="s">
        <v>130</v>
      </c>
      <c r="BZ2171" s="0" t="s">
        <v>130</v>
      </c>
      <c r="CA2171" s="0" t="s">
        <v>130</v>
      </c>
      <c r="CB2171" s="0" t="s">
        <v>130</v>
      </c>
      <c r="CC2171" s="0" t="s">
        <v>130</v>
      </c>
      <c r="CD2171" s="0" t="s">
        <v>130</v>
      </c>
      <c r="CE2171" s="0" t="s">
        <v>130</v>
      </c>
      <c r="CF2171" s="0" t="s">
        <v>130</v>
      </c>
      <c r="CG2171" s="0" t="s">
        <v>130</v>
      </c>
      <c r="CH2171" s="0" t="s">
        <v>130</v>
      </c>
      <c r="CI2171" s="0" t="s">
        <v>130</v>
      </c>
      <c r="CJ2171" s="0" t="s">
        <v>130</v>
      </c>
      <c r="CK2171" s="0" t="s">
        <v>130</v>
      </c>
      <c r="CL2171" s="0" t="s">
        <v>130</v>
      </c>
      <c r="CM2171" s="0" t="s">
        <v>130</v>
      </c>
      <c r="CN2171" s="0" t="s">
        <v>130</v>
      </c>
      <c r="CO2171" s="0" t="s">
        <v>130</v>
      </c>
      <c r="CP2171" s="0" t="s">
        <v>130</v>
      </c>
      <c r="CQ2171" s="0" t="s">
        <v>130</v>
      </c>
      <c r="CR2171" s="0" t="s">
        <v>130</v>
      </c>
      <c r="CS2171" s="0" t="s">
        <v>130</v>
      </c>
      <c r="CT2171" s="0" t="s">
        <v>6029</v>
      </c>
    </row>
    <row r="2172">
      <c r="A2172" s="14">
        <v>117222</v>
      </c>
      <c r="B2172" s="0" t="s">
        <v>2797</v>
      </c>
      <c r="C2172" s="16">
        <f>HYPERLINK("https://eosportal.federatedhermes.com/companies/Q29tcGFueQppNTkyMTc=", "Samsung Fire &amp; Marine Insurance Co Ltd")</f>
      </c>
      <c r="D2172" s="0" t="s">
        <v>25</v>
      </c>
      <c r="E2172" s="0" t="s">
        <v>6030</v>
      </c>
      <c r="F2172" s="16">
        <f>HYPERLINK("https://eosportal.federatedhermes.com/engagements/RW5nYWdlbWVudAppMzI3MjE=", "Align its underwriting and financing policy on fossil fuel to Paris goals")</f>
      </c>
      <c r="G2172" s="14" t="s">
        <v>6031</v>
      </c>
      <c r="H2172" s="0" t="s">
        <v>130</v>
      </c>
      <c r="I2172" s="14" t="s">
        <v>319</v>
      </c>
      <c r="J2172" s="0" t="s">
        <v>197</v>
      </c>
      <c r="K2172" s="0" t="s">
        <v>198</v>
      </c>
      <c r="L2172" s="0" t="s">
        <v>216</v>
      </c>
      <c r="M2172" s="0" t="s">
        <v>802</v>
      </c>
      <c r="N2172" s="0" t="s">
        <v>2800</v>
      </c>
      <c r="O2172" s="0" t="s">
        <v>238</v>
      </c>
      <c r="Q2172" s="0" t="s">
        <v>130</v>
      </c>
      <c r="R2172" s="0" t="s">
        <v>138</v>
      </c>
      <c r="S2172" s="14">
        <v>0</v>
      </c>
      <c r="T2172" s="0" t="s">
        <v>2629</v>
      </c>
      <c r="U2172" s="0" t="s">
        <v>138</v>
      </c>
      <c r="V2172" s="14" t="s">
        <v>138</v>
      </c>
      <c r="W2172" s="0" t="s">
        <v>138</v>
      </c>
      <c r="X2172" s="14" t="s">
        <v>138</v>
      </c>
      <c r="Y2172" s="0" t="s">
        <v>138</v>
      </c>
      <c r="Z2172" s="14" t="s">
        <v>138</v>
      </c>
      <c r="AA2172" s="0" t="s">
        <v>138</v>
      </c>
      <c r="AB2172" s="14" t="s">
        <v>138</v>
      </c>
      <c r="AD2172" s="0" t="s">
        <v>138</v>
      </c>
      <c r="AF2172" s="0">
        <v>0</v>
      </c>
      <c r="AG2172" s="0">
        <v>0</v>
      </c>
      <c r="AH2172" s="0" t="s">
        <v>140</v>
      </c>
      <c r="AI2172" s="0" t="s">
        <v>138</v>
      </c>
      <c r="AL2172" s="14"/>
      <c r="AN2172" s="14"/>
      <c r="AQ2172" s="0" t="s">
        <v>130</v>
      </c>
      <c r="AR2172" s="0" t="s">
        <v>130</v>
      </c>
      <c r="AS2172" s="0" t="s">
        <v>130</v>
      </c>
      <c r="AT2172" s="0" t="s">
        <v>130</v>
      </c>
      <c r="AU2172" s="0" t="s">
        <v>130</v>
      </c>
      <c r="AV2172" s="0" t="s">
        <v>130</v>
      </c>
      <c r="AW2172" s="0" t="s">
        <v>141</v>
      </c>
      <c r="AX2172" s="0" t="s">
        <v>130</v>
      </c>
      <c r="AY2172" s="0" t="s">
        <v>141</v>
      </c>
      <c r="AZ2172" s="0" t="s">
        <v>130</v>
      </c>
      <c r="BA2172" s="0" t="s">
        <v>130</v>
      </c>
      <c r="BB2172" s="0" t="s">
        <v>130</v>
      </c>
      <c r="BC2172" s="0" t="s">
        <v>141</v>
      </c>
      <c r="BD2172" s="0" t="s">
        <v>130</v>
      </c>
      <c r="BE2172" s="0" t="s">
        <v>130</v>
      </c>
      <c r="BF2172" s="0" t="s">
        <v>130</v>
      </c>
      <c r="BG2172" s="0" t="s">
        <v>130</v>
      </c>
      <c r="BH2172" s="0" t="s">
        <v>141</v>
      </c>
      <c r="BI2172" s="0" t="s">
        <v>141</v>
      </c>
      <c r="BJ2172" s="0" t="s">
        <v>141</v>
      </c>
      <c r="BK2172" s="0" t="s">
        <v>130</v>
      </c>
      <c r="BL2172" s="0" t="s">
        <v>130</v>
      </c>
      <c r="BM2172" s="0" t="s">
        <v>130</v>
      </c>
      <c r="BN2172" s="0" t="s">
        <v>130</v>
      </c>
      <c r="BO2172" s="0" t="s">
        <v>130</v>
      </c>
      <c r="BP2172" s="0" t="s">
        <v>130</v>
      </c>
      <c r="BQ2172" s="0" t="s">
        <v>130</v>
      </c>
      <c r="BR2172" s="0" t="s">
        <v>130</v>
      </c>
      <c r="BS2172" s="0" t="s">
        <v>130</v>
      </c>
      <c r="BT2172" s="0" t="s">
        <v>130</v>
      </c>
      <c r="BU2172" s="0" t="s">
        <v>130</v>
      </c>
      <c r="BV2172" s="0" t="s">
        <v>141</v>
      </c>
      <c r="BW2172" s="0" t="s">
        <v>141</v>
      </c>
      <c r="BX2172" s="0" t="s">
        <v>130</v>
      </c>
      <c r="BY2172" s="0" t="s">
        <v>130</v>
      </c>
      <c r="BZ2172" s="0" t="s">
        <v>130</v>
      </c>
      <c r="CA2172" s="0" t="s">
        <v>130</v>
      </c>
      <c r="CB2172" s="0" t="s">
        <v>130</v>
      </c>
      <c r="CC2172" s="0" t="s">
        <v>130</v>
      </c>
      <c r="CD2172" s="0" t="s">
        <v>130</v>
      </c>
      <c r="CE2172" s="0" t="s">
        <v>130</v>
      </c>
      <c r="CF2172" s="0" t="s">
        <v>130</v>
      </c>
      <c r="CG2172" s="0" t="s">
        <v>130</v>
      </c>
      <c r="CH2172" s="0" t="s">
        <v>130</v>
      </c>
      <c r="CI2172" s="0" t="s">
        <v>130</v>
      </c>
      <c r="CJ2172" s="0" t="s">
        <v>130</v>
      </c>
      <c r="CK2172" s="0" t="s">
        <v>130</v>
      </c>
      <c r="CL2172" s="0" t="s">
        <v>130</v>
      </c>
      <c r="CM2172" s="0" t="s">
        <v>130</v>
      </c>
      <c r="CN2172" s="0" t="s">
        <v>130</v>
      </c>
      <c r="CO2172" s="0" t="s">
        <v>130</v>
      </c>
      <c r="CP2172" s="0" t="s">
        <v>130</v>
      </c>
      <c r="CQ2172" s="0" t="s">
        <v>130</v>
      </c>
      <c r="CR2172" s="0" t="s">
        <v>130</v>
      </c>
      <c r="CS2172" s="0" t="s">
        <v>130</v>
      </c>
      <c r="CT2172" s="0" t="s">
        <v>6032</v>
      </c>
    </row>
    <row r="2173">
      <c r="A2173" s="14">
        <v>117222</v>
      </c>
      <c r="B2173" s="0" t="s">
        <v>2797</v>
      </c>
      <c r="C2173" s="16">
        <f>HYPERLINK("https://eosportal.federatedhermes.com/companies/Q29tcGFueQppNTkyMTc=", "Samsung Fire &amp; Marine Insurance Co Ltd")</f>
      </c>
      <c r="D2173" s="0" t="s">
        <v>25</v>
      </c>
      <c r="E2173" s="0" t="s">
        <v>6033</v>
      </c>
      <c r="F2173" s="16">
        <f>HYPERLINK("https://eosportal.federatedhermes.com/engagements/RW5nYWdlbWVudAppMzI3MjI=", "Treasury share reduction to zero or reissue")</f>
      </c>
      <c r="G2173" s="14" t="s">
        <v>6034</v>
      </c>
      <c r="H2173" s="0" t="s">
        <v>130</v>
      </c>
      <c r="I2173" s="14" t="s">
        <v>319</v>
      </c>
      <c r="J2173" s="0" t="s">
        <v>145</v>
      </c>
      <c r="K2173" s="0" t="s">
        <v>400</v>
      </c>
      <c r="L2173" s="0" t="s">
        <v>401</v>
      </c>
      <c r="M2173" s="0" t="s">
        <v>802</v>
      </c>
      <c r="N2173" s="0" t="s">
        <v>2800</v>
      </c>
      <c r="O2173" s="0" t="s">
        <v>238</v>
      </c>
      <c r="Q2173" s="0" t="s">
        <v>141</v>
      </c>
      <c r="R2173" s="0" t="s">
        <v>138</v>
      </c>
      <c r="S2173" s="14">
        <v>1</v>
      </c>
      <c r="T2173" s="0" t="s">
        <v>2629</v>
      </c>
      <c r="U2173" s="0" t="s">
        <v>138</v>
      </c>
      <c r="V2173" s="14" t="s">
        <v>138</v>
      </c>
      <c r="W2173" s="0" t="s">
        <v>138</v>
      </c>
      <c r="X2173" s="14" t="s">
        <v>138</v>
      </c>
      <c r="Y2173" s="0" t="s">
        <v>138</v>
      </c>
      <c r="Z2173" s="14" t="s">
        <v>138</v>
      </c>
      <c r="AA2173" s="0" t="s">
        <v>138</v>
      </c>
      <c r="AB2173" s="14" t="s">
        <v>138</v>
      </c>
      <c r="AD2173" s="0" t="s">
        <v>138</v>
      </c>
      <c r="AF2173" s="0">
        <v>0</v>
      </c>
      <c r="AG2173" s="0">
        <v>0</v>
      </c>
      <c r="AH2173" s="0" t="s">
        <v>140</v>
      </c>
      <c r="AI2173" s="0" t="s">
        <v>138</v>
      </c>
      <c r="AK2173" s="0" t="s">
        <v>1151</v>
      </c>
      <c r="AL2173" s="14"/>
      <c r="AN2173" s="14"/>
      <c r="AQ2173" s="0" t="s">
        <v>130</v>
      </c>
      <c r="AR2173" s="0" t="s">
        <v>130</v>
      </c>
      <c r="AS2173" s="0" t="s">
        <v>130</v>
      </c>
      <c r="AT2173" s="0" t="s">
        <v>130</v>
      </c>
      <c r="AU2173" s="0" t="s">
        <v>130</v>
      </c>
      <c r="AV2173" s="0" t="s">
        <v>130</v>
      </c>
      <c r="AW2173" s="0" t="s">
        <v>130</v>
      </c>
      <c r="AX2173" s="0" t="s">
        <v>130</v>
      </c>
      <c r="AY2173" s="0" t="s">
        <v>130</v>
      </c>
      <c r="AZ2173" s="0" t="s">
        <v>130</v>
      </c>
      <c r="BA2173" s="0" t="s">
        <v>130</v>
      </c>
      <c r="BB2173" s="0" t="s">
        <v>130</v>
      </c>
      <c r="BC2173" s="0" t="s">
        <v>130</v>
      </c>
      <c r="BD2173" s="0" t="s">
        <v>130</v>
      </c>
      <c r="BE2173" s="0" t="s">
        <v>130</v>
      </c>
      <c r="BF2173" s="0" t="s">
        <v>130</v>
      </c>
      <c r="BG2173" s="0" t="s">
        <v>130</v>
      </c>
      <c r="BH2173" s="0" t="s">
        <v>130</v>
      </c>
      <c r="BI2173" s="0" t="s">
        <v>130</v>
      </c>
      <c r="BJ2173" s="0" t="s">
        <v>130</v>
      </c>
      <c r="BK2173" s="0" t="s">
        <v>130</v>
      </c>
      <c r="BL2173" s="0" t="s">
        <v>130</v>
      </c>
      <c r="BM2173" s="0" t="s">
        <v>130</v>
      </c>
      <c r="BN2173" s="0" t="s">
        <v>130</v>
      </c>
      <c r="BO2173" s="0" t="s">
        <v>130</v>
      </c>
      <c r="BP2173" s="0" t="s">
        <v>130</v>
      </c>
      <c r="BQ2173" s="0" t="s">
        <v>130</v>
      </c>
      <c r="BR2173" s="0" t="s">
        <v>130</v>
      </c>
      <c r="BS2173" s="0" t="s">
        <v>130</v>
      </c>
      <c r="BT2173" s="0" t="s">
        <v>130</v>
      </c>
      <c r="BU2173" s="0" t="s">
        <v>130</v>
      </c>
      <c r="BV2173" s="0" t="s">
        <v>130</v>
      </c>
      <c r="BW2173" s="0" t="s">
        <v>130</v>
      </c>
      <c r="BX2173" s="0" t="s">
        <v>130</v>
      </c>
      <c r="BY2173" s="0" t="s">
        <v>130</v>
      </c>
      <c r="BZ2173" s="0" t="s">
        <v>130</v>
      </c>
      <c r="CA2173" s="0" t="s">
        <v>130</v>
      </c>
      <c r="CB2173" s="0" t="s">
        <v>130</v>
      </c>
      <c r="CC2173" s="0" t="s">
        <v>130</v>
      </c>
      <c r="CD2173" s="0" t="s">
        <v>130</v>
      </c>
      <c r="CE2173" s="0" t="s">
        <v>130</v>
      </c>
      <c r="CF2173" s="0" t="s">
        <v>130</v>
      </c>
      <c r="CG2173" s="0" t="s">
        <v>130</v>
      </c>
      <c r="CH2173" s="0" t="s">
        <v>130</v>
      </c>
      <c r="CI2173" s="0" t="s">
        <v>130</v>
      </c>
      <c r="CJ2173" s="0" t="s">
        <v>130</v>
      </c>
      <c r="CK2173" s="0" t="s">
        <v>130</v>
      </c>
      <c r="CL2173" s="0" t="s">
        <v>130</v>
      </c>
      <c r="CM2173" s="0" t="s">
        <v>130</v>
      </c>
      <c r="CN2173" s="0" t="s">
        <v>130</v>
      </c>
      <c r="CO2173" s="0" t="s">
        <v>130</v>
      </c>
      <c r="CP2173" s="0" t="s">
        <v>130</v>
      </c>
      <c r="CQ2173" s="0" t="s">
        <v>130</v>
      </c>
      <c r="CR2173" s="0" t="s">
        <v>130</v>
      </c>
      <c r="CS2173" s="0" t="s">
        <v>130</v>
      </c>
      <c r="CT2173" s="0" t="s">
        <v>6035</v>
      </c>
    </row>
    <row r="2174">
      <c r="A2174" s="14">
        <v>117222</v>
      </c>
      <c r="B2174" s="0" t="s">
        <v>2797</v>
      </c>
      <c r="C2174" s="16">
        <f>HYPERLINK("https://eosportal.federatedhermes.com/companies/Q29tcGFueQppNTkyMTc=", "Samsung Fire &amp; Marine Insurance Co Ltd")</f>
      </c>
      <c r="D2174" s="0" t="s">
        <v>25</v>
      </c>
      <c r="E2174" s="0" t="s">
        <v>6036</v>
      </c>
      <c r="F2174" s="16">
        <f>HYPERLINK("https://eosportal.federatedhermes.com/engagements/RW5nYWdlbWVudAppMzI3MjM=", "Diversify its portfolio")</f>
      </c>
      <c r="G2174" s="14" t="s">
        <v>6037</v>
      </c>
      <c r="H2174" s="0" t="s">
        <v>130</v>
      </c>
      <c r="I2174" s="14" t="s">
        <v>319</v>
      </c>
      <c r="J2174" s="0" t="s">
        <v>132</v>
      </c>
      <c r="K2174" s="0" t="s">
        <v>260</v>
      </c>
      <c r="L2174" s="0" t="s">
        <v>261</v>
      </c>
      <c r="M2174" s="0" t="s">
        <v>802</v>
      </c>
      <c r="N2174" s="0" t="s">
        <v>2800</v>
      </c>
      <c r="O2174" s="0" t="s">
        <v>238</v>
      </c>
      <c r="Q2174" s="0" t="s">
        <v>130</v>
      </c>
      <c r="R2174" s="0" t="s">
        <v>138</v>
      </c>
      <c r="S2174" s="14">
        <v>0</v>
      </c>
      <c r="T2174" s="0" t="s">
        <v>2629</v>
      </c>
      <c r="U2174" s="0" t="s">
        <v>138</v>
      </c>
      <c r="V2174" s="14" t="s">
        <v>138</v>
      </c>
      <c r="W2174" s="0" t="s">
        <v>138</v>
      </c>
      <c r="X2174" s="14" t="s">
        <v>138</v>
      </c>
      <c r="Y2174" s="0" t="s">
        <v>138</v>
      </c>
      <c r="Z2174" s="14" t="s">
        <v>138</v>
      </c>
      <c r="AA2174" s="0" t="s">
        <v>138</v>
      </c>
      <c r="AB2174" s="14" t="s">
        <v>138</v>
      </c>
      <c r="AD2174" s="0" t="s">
        <v>138</v>
      </c>
      <c r="AF2174" s="0">
        <v>0</v>
      </c>
      <c r="AG2174" s="0">
        <v>0</v>
      </c>
      <c r="AH2174" s="0" t="s">
        <v>140</v>
      </c>
      <c r="AI2174" s="0" t="s">
        <v>138</v>
      </c>
      <c r="AL2174" s="14"/>
      <c r="AN2174" s="14"/>
      <c r="AQ2174" s="0" t="s">
        <v>130</v>
      </c>
      <c r="AR2174" s="0" t="s">
        <v>130</v>
      </c>
      <c r="AS2174" s="0" t="s">
        <v>130</v>
      </c>
      <c r="AT2174" s="0" t="s">
        <v>130</v>
      </c>
      <c r="AU2174" s="0" t="s">
        <v>130</v>
      </c>
      <c r="AV2174" s="0" t="s">
        <v>130</v>
      </c>
      <c r="AW2174" s="0" t="s">
        <v>130</v>
      </c>
      <c r="AX2174" s="0" t="s">
        <v>130</v>
      </c>
      <c r="AY2174" s="0" t="s">
        <v>130</v>
      </c>
      <c r="AZ2174" s="0" t="s">
        <v>130</v>
      </c>
      <c r="BA2174" s="0" t="s">
        <v>130</v>
      </c>
      <c r="BB2174" s="0" t="s">
        <v>130</v>
      </c>
      <c r="BC2174" s="0" t="s">
        <v>130</v>
      </c>
      <c r="BD2174" s="0" t="s">
        <v>130</v>
      </c>
      <c r="BE2174" s="0" t="s">
        <v>130</v>
      </c>
      <c r="BF2174" s="0" t="s">
        <v>130</v>
      </c>
      <c r="BG2174" s="0" t="s">
        <v>130</v>
      </c>
      <c r="BH2174" s="0" t="s">
        <v>130</v>
      </c>
      <c r="BI2174" s="0" t="s">
        <v>130</v>
      </c>
      <c r="BJ2174" s="0" t="s">
        <v>130</v>
      </c>
      <c r="BK2174" s="0" t="s">
        <v>130</v>
      </c>
      <c r="BL2174" s="0" t="s">
        <v>130</v>
      </c>
      <c r="BM2174" s="0" t="s">
        <v>130</v>
      </c>
      <c r="BN2174" s="0" t="s">
        <v>130</v>
      </c>
      <c r="BO2174" s="0" t="s">
        <v>130</v>
      </c>
      <c r="BP2174" s="0" t="s">
        <v>130</v>
      </c>
      <c r="BQ2174" s="0" t="s">
        <v>130</v>
      </c>
      <c r="BR2174" s="0" t="s">
        <v>130</v>
      </c>
      <c r="BS2174" s="0" t="s">
        <v>130</v>
      </c>
      <c r="BT2174" s="0" t="s">
        <v>130</v>
      </c>
      <c r="BU2174" s="0" t="s">
        <v>130</v>
      </c>
      <c r="BV2174" s="0" t="s">
        <v>130</v>
      </c>
      <c r="BW2174" s="0" t="s">
        <v>130</v>
      </c>
      <c r="BX2174" s="0" t="s">
        <v>130</v>
      </c>
      <c r="BY2174" s="0" t="s">
        <v>130</v>
      </c>
      <c r="BZ2174" s="0" t="s">
        <v>130</v>
      </c>
      <c r="CA2174" s="0" t="s">
        <v>130</v>
      </c>
      <c r="CB2174" s="0" t="s">
        <v>130</v>
      </c>
      <c r="CC2174" s="0" t="s">
        <v>130</v>
      </c>
      <c r="CD2174" s="0" t="s">
        <v>130</v>
      </c>
      <c r="CE2174" s="0" t="s">
        <v>130</v>
      </c>
      <c r="CF2174" s="0" t="s">
        <v>130</v>
      </c>
      <c r="CG2174" s="0" t="s">
        <v>130</v>
      </c>
      <c r="CH2174" s="0" t="s">
        <v>130</v>
      </c>
      <c r="CI2174" s="0" t="s">
        <v>130</v>
      </c>
      <c r="CJ2174" s="0" t="s">
        <v>130</v>
      </c>
      <c r="CK2174" s="0" t="s">
        <v>130</v>
      </c>
      <c r="CL2174" s="0" t="s">
        <v>130</v>
      </c>
      <c r="CM2174" s="0" t="s">
        <v>130</v>
      </c>
      <c r="CN2174" s="0" t="s">
        <v>130</v>
      </c>
      <c r="CO2174" s="0" t="s">
        <v>130</v>
      </c>
      <c r="CP2174" s="0" t="s">
        <v>130</v>
      </c>
      <c r="CQ2174" s="0" t="s">
        <v>130</v>
      </c>
      <c r="CR2174" s="0" t="s">
        <v>130</v>
      </c>
      <c r="CS2174" s="0" t="s">
        <v>130</v>
      </c>
      <c r="CT2174" s="0" t="s">
        <v>6038</v>
      </c>
    </row>
    <row r="2175">
      <c r="A2175" s="14">
        <v>58121995</v>
      </c>
      <c r="B2175" s="0" t="s">
        <v>4629</v>
      </c>
      <c r="C2175" s="16">
        <f>HYPERLINK("https://eosportal.federatedhermes.com/companies/Q29tcGFueQppNzM3OTU=", "Nutrien Ltd")</f>
      </c>
      <c r="D2175" s="0" t="s">
        <v>25</v>
      </c>
      <c r="E2175" s="0" t="s">
        <v>6039</v>
      </c>
      <c r="F2175" s="16">
        <f>HYPERLINK("https://eosportal.federatedhermes.com/engagements/RW5nYWdlbWVudAppMzI3MjU=", "Enhanced sustainability disclosures")</f>
      </c>
      <c r="G2175" s="14" t="s">
        <v>6040</v>
      </c>
      <c r="H2175" s="0" t="s">
        <v>141</v>
      </c>
      <c r="I2175" s="14" t="s">
        <v>131</v>
      </c>
      <c r="J2175" s="0" t="s">
        <v>132</v>
      </c>
      <c r="K2175" s="0" t="s">
        <v>170</v>
      </c>
      <c r="L2175" s="0" t="s">
        <v>171</v>
      </c>
      <c r="M2175" s="0" t="s">
        <v>135</v>
      </c>
      <c r="N2175" s="0" t="s">
        <v>1678</v>
      </c>
      <c r="O2175" s="0" t="s">
        <v>706</v>
      </c>
      <c r="Q2175" s="0" t="s">
        <v>130</v>
      </c>
      <c r="R2175" s="0" t="s">
        <v>138</v>
      </c>
      <c r="S2175" s="14">
        <v>0</v>
      </c>
      <c r="T2175" s="0" t="s">
        <v>478</v>
      </c>
      <c r="U2175" s="0" t="s">
        <v>138</v>
      </c>
      <c r="V2175" s="14" t="s">
        <v>138</v>
      </c>
      <c r="W2175" s="0" t="s">
        <v>138</v>
      </c>
      <c r="X2175" s="14" t="s">
        <v>138</v>
      </c>
      <c r="Y2175" s="0" t="s">
        <v>138</v>
      </c>
      <c r="Z2175" s="14" t="s">
        <v>138</v>
      </c>
      <c r="AA2175" s="0" t="s">
        <v>138</v>
      </c>
      <c r="AB2175" s="14" t="s">
        <v>138</v>
      </c>
      <c r="AD2175" s="0" t="s">
        <v>138</v>
      </c>
      <c r="AF2175" s="0">
        <v>0</v>
      </c>
      <c r="AG2175" s="0">
        <v>0</v>
      </c>
      <c r="AH2175" s="0" t="s">
        <v>140</v>
      </c>
      <c r="AI2175" s="0" t="s">
        <v>138</v>
      </c>
      <c r="AL2175" s="14"/>
      <c r="AN2175" s="14"/>
      <c r="AQ2175" s="0" t="s">
        <v>130</v>
      </c>
      <c r="AR2175" s="0" t="s">
        <v>130</v>
      </c>
      <c r="AS2175" s="0" t="s">
        <v>130</v>
      </c>
      <c r="AT2175" s="0" t="s">
        <v>130</v>
      </c>
      <c r="AU2175" s="0" t="s">
        <v>130</v>
      </c>
      <c r="AV2175" s="0" t="s">
        <v>130</v>
      </c>
      <c r="AW2175" s="0" t="s">
        <v>130</v>
      </c>
      <c r="AX2175" s="0" t="s">
        <v>130</v>
      </c>
      <c r="AY2175" s="0" t="s">
        <v>130</v>
      </c>
      <c r="AZ2175" s="0" t="s">
        <v>130</v>
      </c>
      <c r="BA2175" s="0" t="s">
        <v>130</v>
      </c>
      <c r="BB2175" s="0" t="s">
        <v>130</v>
      </c>
      <c r="BC2175" s="0" t="s">
        <v>130</v>
      </c>
      <c r="BD2175" s="0" t="s">
        <v>130</v>
      </c>
      <c r="BE2175" s="0" t="s">
        <v>130</v>
      </c>
      <c r="BF2175" s="0" t="s">
        <v>130</v>
      </c>
      <c r="BG2175" s="0" t="s">
        <v>130</v>
      </c>
      <c r="BH2175" s="0" t="s">
        <v>130</v>
      </c>
      <c r="BI2175" s="0" t="s">
        <v>130</v>
      </c>
      <c r="BJ2175" s="0" t="s">
        <v>130</v>
      </c>
      <c r="BK2175" s="0" t="s">
        <v>130</v>
      </c>
      <c r="BL2175" s="0" t="s">
        <v>130</v>
      </c>
      <c r="BM2175" s="0" t="s">
        <v>130</v>
      </c>
      <c r="BN2175" s="0" t="s">
        <v>130</v>
      </c>
      <c r="BO2175" s="0" t="s">
        <v>130</v>
      </c>
      <c r="BP2175" s="0" t="s">
        <v>130</v>
      </c>
      <c r="BQ2175" s="0" t="s">
        <v>130</v>
      </c>
      <c r="BR2175" s="0" t="s">
        <v>130</v>
      </c>
      <c r="BS2175" s="0" t="s">
        <v>130</v>
      </c>
      <c r="BT2175" s="0" t="s">
        <v>130</v>
      </c>
      <c r="BU2175" s="0" t="s">
        <v>130</v>
      </c>
      <c r="BV2175" s="0" t="s">
        <v>130</v>
      </c>
      <c r="BW2175" s="0" t="s">
        <v>130</v>
      </c>
      <c r="BX2175" s="0" t="s">
        <v>130</v>
      </c>
      <c r="BY2175" s="0" t="s">
        <v>130</v>
      </c>
      <c r="BZ2175" s="0" t="s">
        <v>130</v>
      </c>
      <c r="CA2175" s="0" t="s">
        <v>130</v>
      </c>
      <c r="CB2175" s="0" t="s">
        <v>130</v>
      </c>
      <c r="CC2175" s="0" t="s">
        <v>130</v>
      </c>
      <c r="CD2175" s="0" t="s">
        <v>130</v>
      </c>
      <c r="CE2175" s="0" t="s">
        <v>130</v>
      </c>
      <c r="CF2175" s="0" t="s">
        <v>130</v>
      </c>
      <c r="CG2175" s="0" t="s">
        <v>130</v>
      </c>
      <c r="CH2175" s="0" t="s">
        <v>130</v>
      </c>
      <c r="CI2175" s="0" t="s">
        <v>130</v>
      </c>
      <c r="CJ2175" s="0" t="s">
        <v>130</v>
      </c>
      <c r="CK2175" s="0" t="s">
        <v>130</v>
      </c>
      <c r="CL2175" s="0" t="s">
        <v>130</v>
      </c>
      <c r="CM2175" s="0" t="s">
        <v>130</v>
      </c>
      <c r="CN2175" s="0" t="s">
        <v>130</v>
      </c>
      <c r="CO2175" s="0" t="s">
        <v>130</v>
      </c>
      <c r="CP2175" s="0" t="s">
        <v>130</v>
      </c>
      <c r="CQ2175" s="0" t="s">
        <v>130</v>
      </c>
      <c r="CR2175" s="0" t="s">
        <v>130</v>
      </c>
      <c r="CS2175" s="0" t="s">
        <v>130</v>
      </c>
      <c r="CT2175" s="0" t="s">
        <v>6041</v>
      </c>
    </row>
    <row r="2176">
      <c r="A2176" s="14">
        <v>304149</v>
      </c>
      <c r="B2176" s="0" t="s">
        <v>3541</v>
      </c>
      <c r="C2176" s="16">
        <f>HYPERLINK("https://eosportal.federatedhermes.com/companies/Q29tcGFueQppNzc5MjM=", "ICICI Bank Ltd")</f>
      </c>
      <c r="D2176" s="0" t="s">
        <v>25</v>
      </c>
      <c r="E2176" s="0" t="s">
        <v>5080</v>
      </c>
      <c r="F2176" s="16">
        <f>HYPERLINK("https://eosportal.federatedhermes.com/engagements/RW5nYWdlbWVudAppMzI3MjY=", "Deforestation")</f>
      </c>
      <c r="G2176" s="14" t="s">
        <v>6042</v>
      </c>
      <c r="H2176" s="0" t="s">
        <v>141</v>
      </c>
      <c r="I2176" s="14" t="s">
        <v>131</v>
      </c>
      <c r="J2176" s="0" t="s">
        <v>197</v>
      </c>
      <c r="K2176" s="0" t="s">
        <v>337</v>
      </c>
      <c r="L2176" s="0" t="s">
        <v>576</v>
      </c>
      <c r="M2176" s="0" t="s">
        <v>2807</v>
      </c>
      <c r="N2176" s="0" t="s">
        <v>2969</v>
      </c>
      <c r="O2176" s="0" t="s">
        <v>238</v>
      </c>
      <c r="Q2176" s="0" t="s">
        <v>141</v>
      </c>
      <c r="R2176" s="0" t="s">
        <v>138</v>
      </c>
      <c r="S2176" s="14">
        <v>1</v>
      </c>
      <c r="T2176" s="0" t="s">
        <v>478</v>
      </c>
      <c r="U2176" s="0" t="s">
        <v>138</v>
      </c>
      <c r="V2176" s="14" t="s">
        <v>138</v>
      </c>
      <c r="W2176" s="0" t="s">
        <v>138</v>
      </c>
      <c r="X2176" s="14" t="s">
        <v>138</v>
      </c>
      <c r="Y2176" s="0" t="s">
        <v>138</v>
      </c>
      <c r="Z2176" s="14" t="s">
        <v>138</v>
      </c>
      <c r="AA2176" s="0" t="s">
        <v>138</v>
      </c>
      <c r="AB2176" s="14" t="s">
        <v>138</v>
      </c>
      <c r="AD2176" s="0" t="s">
        <v>138</v>
      </c>
      <c r="AF2176" s="0">
        <v>0</v>
      </c>
      <c r="AG2176" s="0">
        <v>0</v>
      </c>
      <c r="AH2176" s="0" t="s">
        <v>140</v>
      </c>
      <c r="AI2176" s="0" t="s">
        <v>138</v>
      </c>
      <c r="AK2176" s="0" t="s">
        <v>1289</v>
      </c>
      <c r="AL2176" s="14"/>
      <c r="AN2176" s="14"/>
      <c r="AQ2176" s="0" t="s">
        <v>130</v>
      </c>
      <c r="AR2176" s="0" t="s">
        <v>141</v>
      </c>
      <c r="AS2176" s="0" t="s">
        <v>130</v>
      </c>
      <c r="AT2176" s="0" t="s">
        <v>130</v>
      </c>
      <c r="AU2176" s="0" t="s">
        <v>130</v>
      </c>
      <c r="AV2176" s="0" t="s">
        <v>130</v>
      </c>
      <c r="AW2176" s="0" t="s">
        <v>130</v>
      </c>
      <c r="AX2176" s="0" t="s">
        <v>130</v>
      </c>
      <c r="AY2176" s="0" t="s">
        <v>130</v>
      </c>
      <c r="AZ2176" s="0" t="s">
        <v>130</v>
      </c>
      <c r="BA2176" s="0" t="s">
        <v>130</v>
      </c>
      <c r="BB2176" s="0" t="s">
        <v>141</v>
      </c>
      <c r="BC2176" s="0" t="s">
        <v>130</v>
      </c>
      <c r="BD2176" s="0" t="s">
        <v>130</v>
      </c>
      <c r="BE2176" s="0" t="s">
        <v>141</v>
      </c>
      <c r="BF2176" s="0" t="s">
        <v>130</v>
      </c>
      <c r="BG2176" s="0" t="s">
        <v>130</v>
      </c>
      <c r="BH2176" s="0" t="s">
        <v>130</v>
      </c>
      <c r="BI2176" s="0" t="s">
        <v>130</v>
      </c>
      <c r="BJ2176" s="0" t="s">
        <v>130</v>
      </c>
      <c r="BK2176" s="0" t="s">
        <v>130</v>
      </c>
      <c r="BL2176" s="0" t="s">
        <v>130</v>
      </c>
      <c r="BM2176" s="0" t="s">
        <v>130</v>
      </c>
      <c r="BN2176" s="0" t="s">
        <v>130</v>
      </c>
      <c r="BO2176" s="0" t="s">
        <v>130</v>
      </c>
      <c r="BP2176" s="0" t="s">
        <v>130</v>
      </c>
      <c r="BQ2176" s="0" t="s">
        <v>130</v>
      </c>
      <c r="BR2176" s="0" t="s">
        <v>130</v>
      </c>
      <c r="BS2176" s="0" t="s">
        <v>130</v>
      </c>
      <c r="BT2176" s="0" t="s">
        <v>130</v>
      </c>
      <c r="BU2176" s="0" t="s">
        <v>130</v>
      </c>
      <c r="BV2176" s="0" t="s">
        <v>130</v>
      </c>
      <c r="BW2176" s="0" t="s">
        <v>130</v>
      </c>
      <c r="BX2176" s="0" t="s">
        <v>130</v>
      </c>
      <c r="BY2176" s="0" t="s">
        <v>130</v>
      </c>
      <c r="BZ2176" s="0" t="s">
        <v>130</v>
      </c>
      <c r="CA2176" s="0" t="s">
        <v>130</v>
      </c>
      <c r="CB2176" s="0" t="s">
        <v>130</v>
      </c>
      <c r="CC2176" s="0" t="s">
        <v>130</v>
      </c>
      <c r="CD2176" s="0" t="s">
        <v>130</v>
      </c>
      <c r="CE2176" s="0" t="s">
        <v>130</v>
      </c>
      <c r="CF2176" s="0" t="s">
        <v>130</v>
      </c>
      <c r="CG2176" s="0" t="s">
        <v>130</v>
      </c>
      <c r="CH2176" s="0" t="s">
        <v>130</v>
      </c>
      <c r="CI2176" s="0" t="s">
        <v>130</v>
      </c>
      <c r="CJ2176" s="0" t="s">
        <v>130</v>
      </c>
      <c r="CK2176" s="0" t="s">
        <v>130</v>
      </c>
      <c r="CL2176" s="0" t="s">
        <v>130</v>
      </c>
      <c r="CM2176" s="0" t="s">
        <v>130</v>
      </c>
      <c r="CN2176" s="0" t="s">
        <v>130</v>
      </c>
      <c r="CO2176" s="0" t="s">
        <v>130</v>
      </c>
      <c r="CP2176" s="0" t="s">
        <v>130</v>
      </c>
      <c r="CQ2176" s="0" t="s">
        <v>130</v>
      </c>
      <c r="CR2176" s="0" t="s">
        <v>130</v>
      </c>
      <c r="CS2176" s="0" t="s">
        <v>130</v>
      </c>
      <c r="CT2176" s="0" t="s">
        <v>6043</v>
      </c>
    </row>
    <row r="2177">
      <c r="A2177" s="14">
        <v>101177</v>
      </c>
      <c r="B2177" s="0" t="s">
        <v>5248</v>
      </c>
      <c r="C2177" s="16">
        <f>HYPERLINK("https://eosportal.federatedhermes.com/companies/Q29tcGFueQppODUwMDc=", "PulteGroup Inc")</f>
      </c>
      <c r="D2177" s="0" t="s">
        <v>25</v>
      </c>
      <c r="E2177" s="0" t="s">
        <v>1104</v>
      </c>
      <c r="F2177" s="16">
        <f>HYPERLINK("https://eosportal.federatedhermes.com/engagements/RW5nYWdlbWVudAppMzI3Mjg=", "Executive Compensation")</f>
      </c>
      <c r="G2177" s="14" t="s">
        <v>6044</v>
      </c>
      <c r="H2177" s="0" t="s">
        <v>130</v>
      </c>
      <c r="I2177" s="14" t="s">
        <v>131</v>
      </c>
      <c r="J2177" s="0" t="s">
        <v>145</v>
      </c>
      <c r="K2177" s="0" t="s">
        <v>146</v>
      </c>
      <c r="L2177" s="0" t="s">
        <v>147</v>
      </c>
      <c r="M2177" s="0" t="s">
        <v>135</v>
      </c>
      <c r="N2177" s="0" t="s">
        <v>136</v>
      </c>
      <c r="O2177" s="0" t="s">
        <v>332</v>
      </c>
      <c r="Q2177" s="0" t="s">
        <v>130</v>
      </c>
      <c r="R2177" s="0" t="s">
        <v>138</v>
      </c>
      <c r="S2177" s="14">
        <v>0</v>
      </c>
      <c r="T2177" s="0" t="s">
        <v>478</v>
      </c>
      <c r="U2177" s="0" t="s">
        <v>138</v>
      </c>
      <c r="V2177" s="14" t="s">
        <v>138</v>
      </c>
      <c r="W2177" s="0" t="s">
        <v>138</v>
      </c>
      <c r="X2177" s="14" t="s">
        <v>138</v>
      </c>
      <c r="Y2177" s="0" t="s">
        <v>138</v>
      </c>
      <c r="Z2177" s="14" t="s">
        <v>138</v>
      </c>
      <c r="AA2177" s="0" t="s">
        <v>138</v>
      </c>
      <c r="AB2177" s="14" t="s">
        <v>138</v>
      </c>
      <c r="AD2177" s="0" t="s">
        <v>138</v>
      </c>
      <c r="AF2177" s="0">
        <v>0</v>
      </c>
      <c r="AG2177" s="0">
        <v>0</v>
      </c>
      <c r="AH2177" s="0" t="s">
        <v>140</v>
      </c>
      <c r="AI2177" s="0" t="s">
        <v>138</v>
      </c>
      <c r="AL2177" s="14"/>
      <c r="AN2177" s="14"/>
      <c r="AQ2177" s="0" t="s">
        <v>130</v>
      </c>
      <c r="AR2177" s="0" t="s">
        <v>130</v>
      </c>
      <c r="AS2177" s="0" t="s">
        <v>130</v>
      </c>
      <c r="AT2177" s="0" t="s">
        <v>130</v>
      </c>
      <c r="AU2177" s="0" t="s">
        <v>130</v>
      </c>
      <c r="AV2177" s="0" t="s">
        <v>130</v>
      </c>
      <c r="AW2177" s="0" t="s">
        <v>130</v>
      </c>
      <c r="AX2177" s="0" t="s">
        <v>130</v>
      </c>
      <c r="AY2177" s="0" t="s">
        <v>130</v>
      </c>
      <c r="AZ2177" s="0" t="s">
        <v>130</v>
      </c>
      <c r="BA2177" s="0" t="s">
        <v>130</v>
      </c>
      <c r="BB2177" s="0" t="s">
        <v>130</v>
      </c>
      <c r="BC2177" s="0" t="s">
        <v>130</v>
      </c>
      <c r="BD2177" s="0" t="s">
        <v>130</v>
      </c>
      <c r="BE2177" s="0" t="s">
        <v>130</v>
      </c>
      <c r="BF2177" s="0" t="s">
        <v>130</v>
      </c>
      <c r="BG2177" s="0" t="s">
        <v>130</v>
      </c>
      <c r="BH2177" s="0" t="s">
        <v>130</v>
      </c>
      <c r="BI2177" s="0" t="s">
        <v>130</v>
      </c>
      <c r="BJ2177" s="0" t="s">
        <v>130</v>
      </c>
      <c r="BK2177" s="0" t="s">
        <v>130</v>
      </c>
      <c r="BL2177" s="0" t="s">
        <v>130</v>
      </c>
      <c r="BM2177" s="0" t="s">
        <v>130</v>
      </c>
      <c r="BN2177" s="0" t="s">
        <v>130</v>
      </c>
      <c r="BO2177" s="0" t="s">
        <v>130</v>
      </c>
      <c r="BP2177" s="0" t="s">
        <v>130</v>
      </c>
      <c r="BQ2177" s="0" t="s">
        <v>130</v>
      </c>
      <c r="BR2177" s="0" t="s">
        <v>130</v>
      </c>
      <c r="BS2177" s="0" t="s">
        <v>130</v>
      </c>
      <c r="BT2177" s="0" t="s">
        <v>130</v>
      </c>
      <c r="BU2177" s="0" t="s">
        <v>130</v>
      </c>
      <c r="BV2177" s="0" t="s">
        <v>130</v>
      </c>
      <c r="BW2177" s="0" t="s">
        <v>130</v>
      </c>
      <c r="BX2177" s="0" t="s">
        <v>130</v>
      </c>
      <c r="BY2177" s="0" t="s">
        <v>130</v>
      </c>
      <c r="BZ2177" s="0" t="s">
        <v>130</v>
      </c>
      <c r="CA2177" s="0" t="s">
        <v>130</v>
      </c>
      <c r="CB2177" s="0" t="s">
        <v>130</v>
      </c>
      <c r="CC2177" s="0" t="s">
        <v>130</v>
      </c>
      <c r="CD2177" s="0" t="s">
        <v>130</v>
      </c>
      <c r="CE2177" s="0" t="s">
        <v>130</v>
      </c>
      <c r="CF2177" s="0" t="s">
        <v>130</v>
      </c>
      <c r="CG2177" s="0" t="s">
        <v>130</v>
      </c>
      <c r="CH2177" s="0" t="s">
        <v>130</v>
      </c>
      <c r="CI2177" s="0" t="s">
        <v>130</v>
      </c>
      <c r="CJ2177" s="0" t="s">
        <v>130</v>
      </c>
      <c r="CK2177" s="0" t="s">
        <v>130</v>
      </c>
      <c r="CL2177" s="0" t="s">
        <v>130</v>
      </c>
      <c r="CM2177" s="0" t="s">
        <v>130</v>
      </c>
      <c r="CN2177" s="0" t="s">
        <v>130</v>
      </c>
      <c r="CO2177" s="0" t="s">
        <v>130</v>
      </c>
      <c r="CP2177" s="0" t="s">
        <v>130</v>
      </c>
      <c r="CQ2177" s="0" t="s">
        <v>130</v>
      </c>
      <c r="CR2177" s="0" t="s">
        <v>130</v>
      </c>
      <c r="CS2177" s="0" t="s">
        <v>130</v>
      </c>
      <c r="CT2177" s="0" t="s">
        <v>6045</v>
      </c>
    </row>
    <row r="2178">
      <c r="A2178" s="14">
        <v>100481</v>
      </c>
      <c r="B2178" s="0" t="s">
        <v>673</v>
      </c>
      <c r="C2178" s="16">
        <f>HYPERLINK("https://eosportal.federatedhermes.com/companies/Q29tcGFueQppNjQzNjU=", "Duke Energy Corp")</f>
      </c>
      <c r="D2178" s="0" t="s">
        <v>23</v>
      </c>
      <c r="E2178" s="0" t="s">
        <v>6046</v>
      </c>
      <c r="F2178" s="16">
        <f>HYPERLINK("https://eosportal.federatedhermes.com/engagements/RW5nYWdlbWVudAppMzI3MzE=", "Human rights - due diligence and auditing")</f>
      </c>
      <c r="G2178" s="14" t="s">
        <v>6047</v>
      </c>
      <c r="H2178" s="0" t="s">
        <v>141</v>
      </c>
      <c r="I2178" s="14" t="s">
        <v>191</v>
      </c>
      <c r="J2178" s="0" t="s">
        <v>153</v>
      </c>
      <c r="K2178" s="0" t="s">
        <v>243</v>
      </c>
      <c r="L2178" s="0" t="s">
        <v>244</v>
      </c>
      <c r="M2178" s="0" t="s">
        <v>135</v>
      </c>
      <c r="N2178" s="0" t="s">
        <v>136</v>
      </c>
      <c r="O2178" s="0" t="s">
        <v>192</v>
      </c>
      <c r="Q2178" s="0" t="s">
        <v>130</v>
      </c>
      <c r="R2178" s="0" t="s">
        <v>130</v>
      </c>
      <c r="S2178" s="14">
        <v>0</v>
      </c>
      <c r="T2178" s="0" t="s">
        <v>478</v>
      </c>
      <c r="U2178" s="0" t="s">
        <v>221</v>
      </c>
      <c r="V2178" s="14" t="s">
        <v>478</v>
      </c>
      <c r="W2178" s="0" t="s">
        <v>221</v>
      </c>
      <c r="X2178" s="14" t="s">
        <v>478</v>
      </c>
      <c r="Y2178" s="0" t="s">
        <v>223</v>
      </c>
      <c r="Z2178" s="14" t="s">
        <v>138</v>
      </c>
      <c r="AA2178" s="0" t="s">
        <v>224</v>
      </c>
      <c r="AB2178" s="14" t="s">
        <v>138</v>
      </c>
      <c r="AD2178" s="0" t="s">
        <v>17</v>
      </c>
      <c r="AF2178" s="0">
        <v>0</v>
      </c>
      <c r="AG2178" s="0">
        <v>0</v>
      </c>
      <c r="AH2178" s="0" t="s">
        <v>140</v>
      </c>
      <c r="AI2178" s="0" t="s">
        <v>479</v>
      </c>
      <c r="AL2178" s="14"/>
      <c r="AN2178" s="14"/>
      <c r="AQ2178" s="0" t="s">
        <v>130</v>
      </c>
      <c r="AR2178" s="0" t="s">
        <v>130</v>
      </c>
      <c r="AS2178" s="0" t="s">
        <v>130</v>
      </c>
      <c r="AT2178" s="0" t="s">
        <v>130</v>
      </c>
      <c r="AU2178" s="0" t="s">
        <v>130</v>
      </c>
      <c r="AV2178" s="0" t="s">
        <v>130</v>
      </c>
      <c r="AW2178" s="0" t="s">
        <v>130</v>
      </c>
      <c r="AX2178" s="0" t="s">
        <v>141</v>
      </c>
      <c r="AY2178" s="0" t="s">
        <v>130</v>
      </c>
      <c r="AZ2178" s="0" t="s">
        <v>130</v>
      </c>
      <c r="BA2178" s="0" t="s">
        <v>130</v>
      </c>
      <c r="BB2178" s="0" t="s">
        <v>130</v>
      </c>
      <c r="BC2178" s="0" t="s">
        <v>130</v>
      </c>
      <c r="BD2178" s="0" t="s">
        <v>130</v>
      </c>
      <c r="BE2178" s="0" t="s">
        <v>130</v>
      </c>
      <c r="BF2178" s="0" t="s">
        <v>130</v>
      </c>
      <c r="BG2178" s="0" t="s">
        <v>130</v>
      </c>
      <c r="BH2178" s="0" t="s">
        <v>130</v>
      </c>
      <c r="BI2178" s="0" t="s">
        <v>130</v>
      </c>
      <c r="BJ2178" s="0" t="s">
        <v>130</v>
      </c>
      <c r="BK2178" s="0" t="s">
        <v>130</v>
      </c>
      <c r="BL2178" s="0" t="s">
        <v>130</v>
      </c>
      <c r="BM2178" s="0" t="s">
        <v>130</v>
      </c>
      <c r="BN2178" s="0" t="s">
        <v>130</v>
      </c>
      <c r="BO2178" s="0" t="s">
        <v>130</v>
      </c>
      <c r="BP2178" s="0" t="s">
        <v>130</v>
      </c>
      <c r="BQ2178" s="0" t="s">
        <v>130</v>
      </c>
      <c r="BR2178" s="0" t="s">
        <v>130</v>
      </c>
      <c r="BS2178" s="0" t="s">
        <v>130</v>
      </c>
      <c r="BT2178" s="0" t="s">
        <v>130</v>
      </c>
      <c r="BU2178" s="0" t="s">
        <v>130</v>
      </c>
      <c r="BV2178" s="0" t="s">
        <v>130</v>
      </c>
      <c r="BW2178" s="0" t="s">
        <v>130</v>
      </c>
      <c r="BX2178" s="0" t="s">
        <v>130</v>
      </c>
      <c r="BY2178" s="0" t="s">
        <v>130</v>
      </c>
      <c r="BZ2178" s="0" t="s">
        <v>130</v>
      </c>
      <c r="CA2178" s="0" t="s">
        <v>130</v>
      </c>
      <c r="CB2178" s="0" t="s">
        <v>130</v>
      </c>
      <c r="CC2178" s="0" t="s">
        <v>130</v>
      </c>
      <c r="CD2178" s="0" t="s">
        <v>130</v>
      </c>
      <c r="CE2178" s="0" t="s">
        <v>130</v>
      </c>
      <c r="CF2178" s="0" t="s">
        <v>130</v>
      </c>
      <c r="CG2178" s="0" t="s">
        <v>130</v>
      </c>
      <c r="CH2178" s="0" t="s">
        <v>130</v>
      </c>
      <c r="CI2178" s="0" t="s">
        <v>130</v>
      </c>
      <c r="CJ2178" s="0" t="s">
        <v>130</v>
      </c>
      <c r="CK2178" s="0" t="s">
        <v>130</v>
      </c>
      <c r="CL2178" s="0" t="s">
        <v>130</v>
      </c>
      <c r="CM2178" s="0" t="s">
        <v>130</v>
      </c>
      <c r="CN2178" s="0" t="s">
        <v>130</v>
      </c>
      <c r="CO2178" s="0" t="s">
        <v>130</v>
      </c>
      <c r="CP2178" s="0" t="s">
        <v>130</v>
      </c>
      <c r="CQ2178" s="0" t="s">
        <v>130</v>
      </c>
      <c r="CR2178" s="0" t="s">
        <v>130</v>
      </c>
      <c r="CS2178" s="0" t="s">
        <v>130</v>
      </c>
      <c r="CT2178" s="0" t="s">
        <v>6048</v>
      </c>
    </row>
    <row r="2179">
      <c r="A2179" s="14">
        <v>106583</v>
      </c>
      <c r="B2179" s="0" t="s">
        <v>2098</v>
      </c>
      <c r="C2179" s="16">
        <f>HYPERLINK("https://eosportal.federatedhermes.com/companies/Q29tcGFueQppNjc3NDY=", "Roper Technologies Inc")</f>
      </c>
      <c r="D2179" s="0" t="s">
        <v>23</v>
      </c>
      <c r="E2179" s="0" t="s">
        <v>228</v>
      </c>
      <c r="F2179" s="16">
        <f>HYPERLINK("https://eosportal.federatedhermes.com/engagements/RW5nYWdlbWVudAppMzI3NDA=", "Climate strategy")</f>
      </c>
      <c r="G2179" s="14" t="s">
        <v>4543</v>
      </c>
      <c r="H2179" s="0" t="s">
        <v>130</v>
      </c>
      <c r="I2179" s="14" t="s">
        <v>319</v>
      </c>
      <c r="J2179" s="0" t="s">
        <v>197</v>
      </c>
      <c r="K2179" s="0" t="s">
        <v>198</v>
      </c>
      <c r="L2179" s="0" t="s">
        <v>220</v>
      </c>
      <c r="M2179" s="0" t="s">
        <v>135</v>
      </c>
      <c r="N2179" s="0" t="s">
        <v>136</v>
      </c>
      <c r="O2179" s="0" t="s">
        <v>137</v>
      </c>
      <c r="Q2179" s="0" t="s">
        <v>141</v>
      </c>
      <c r="R2179" s="0" t="s">
        <v>130</v>
      </c>
      <c r="S2179" s="14">
        <v>1</v>
      </c>
      <c r="T2179" s="0" t="s">
        <v>478</v>
      </c>
      <c r="U2179" s="0" t="s">
        <v>221</v>
      </c>
      <c r="V2179" s="14" t="s">
        <v>478</v>
      </c>
      <c r="W2179" s="0" t="s">
        <v>221</v>
      </c>
      <c r="X2179" s="14" t="s">
        <v>222</v>
      </c>
      <c r="Y2179" s="0" t="s">
        <v>221</v>
      </c>
      <c r="Z2179" s="14" t="s">
        <v>446</v>
      </c>
      <c r="AA2179" s="0" t="s">
        <v>223</v>
      </c>
      <c r="AB2179" s="14" t="s">
        <v>138</v>
      </c>
      <c r="AD2179" s="0" t="s">
        <v>20</v>
      </c>
      <c r="AF2179" s="0">
        <v>0</v>
      </c>
      <c r="AG2179" s="0">
        <v>0</v>
      </c>
      <c r="AH2179" s="0" t="s">
        <v>140</v>
      </c>
      <c r="AI2179" s="0" t="s">
        <v>598</v>
      </c>
      <c r="AK2179" s="0" t="s">
        <v>2103</v>
      </c>
      <c r="AL2179" s="14"/>
      <c r="AN2179" s="14"/>
      <c r="AQ2179" s="0" t="s">
        <v>130</v>
      </c>
      <c r="AR2179" s="0" t="s">
        <v>130</v>
      </c>
      <c r="AS2179" s="0" t="s">
        <v>130</v>
      </c>
      <c r="AT2179" s="0" t="s">
        <v>130</v>
      </c>
      <c r="AU2179" s="0" t="s">
        <v>130</v>
      </c>
      <c r="AV2179" s="0" t="s">
        <v>130</v>
      </c>
      <c r="AW2179" s="0" t="s">
        <v>141</v>
      </c>
      <c r="AX2179" s="0" t="s">
        <v>130</v>
      </c>
      <c r="AY2179" s="0" t="s">
        <v>141</v>
      </c>
      <c r="AZ2179" s="0" t="s">
        <v>130</v>
      </c>
      <c r="BA2179" s="0" t="s">
        <v>130</v>
      </c>
      <c r="BB2179" s="0" t="s">
        <v>130</v>
      </c>
      <c r="BC2179" s="0" t="s">
        <v>141</v>
      </c>
      <c r="BD2179" s="0" t="s">
        <v>130</v>
      </c>
      <c r="BE2179" s="0" t="s">
        <v>130</v>
      </c>
      <c r="BF2179" s="0" t="s">
        <v>130</v>
      </c>
      <c r="BG2179" s="0" t="s">
        <v>130</v>
      </c>
      <c r="BH2179" s="0" t="s">
        <v>141</v>
      </c>
      <c r="BI2179" s="0" t="s">
        <v>141</v>
      </c>
      <c r="BJ2179" s="0" t="s">
        <v>141</v>
      </c>
      <c r="BK2179" s="0" t="s">
        <v>130</v>
      </c>
      <c r="BL2179" s="0" t="s">
        <v>130</v>
      </c>
      <c r="BM2179" s="0" t="s">
        <v>130</v>
      </c>
      <c r="BN2179" s="0" t="s">
        <v>130</v>
      </c>
      <c r="BO2179" s="0" t="s">
        <v>130</v>
      </c>
      <c r="BP2179" s="0" t="s">
        <v>130</v>
      </c>
      <c r="BQ2179" s="0" t="s">
        <v>130</v>
      </c>
      <c r="BR2179" s="0" t="s">
        <v>130</v>
      </c>
      <c r="BS2179" s="0" t="s">
        <v>130</v>
      </c>
      <c r="BT2179" s="0" t="s">
        <v>130</v>
      </c>
      <c r="BU2179" s="0" t="s">
        <v>130</v>
      </c>
      <c r="BV2179" s="0" t="s">
        <v>141</v>
      </c>
      <c r="BW2179" s="0" t="s">
        <v>141</v>
      </c>
      <c r="BX2179" s="0" t="s">
        <v>130</v>
      </c>
      <c r="BY2179" s="0" t="s">
        <v>130</v>
      </c>
      <c r="BZ2179" s="0" t="s">
        <v>130</v>
      </c>
      <c r="CA2179" s="0" t="s">
        <v>130</v>
      </c>
      <c r="CB2179" s="0" t="s">
        <v>130</v>
      </c>
      <c r="CC2179" s="0" t="s">
        <v>130</v>
      </c>
      <c r="CD2179" s="0" t="s">
        <v>130</v>
      </c>
      <c r="CE2179" s="0" t="s">
        <v>130</v>
      </c>
      <c r="CF2179" s="0" t="s">
        <v>130</v>
      </c>
      <c r="CG2179" s="0" t="s">
        <v>130</v>
      </c>
      <c r="CH2179" s="0" t="s">
        <v>130</v>
      </c>
      <c r="CI2179" s="0" t="s">
        <v>130</v>
      </c>
      <c r="CJ2179" s="0" t="s">
        <v>130</v>
      </c>
      <c r="CK2179" s="0" t="s">
        <v>130</v>
      </c>
      <c r="CL2179" s="0" t="s">
        <v>130</v>
      </c>
      <c r="CM2179" s="0" t="s">
        <v>130</v>
      </c>
      <c r="CN2179" s="0" t="s">
        <v>130</v>
      </c>
      <c r="CO2179" s="0" t="s">
        <v>130</v>
      </c>
      <c r="CP2179" s="0" t="s">
        <v>130</v>
      </c>
      <c r="CQ2179" s="0" t="s">
        <v>130</v>
      </c>
      <c r="CR2179" s="0" t="s">
        <v>130</v>
      </c>
      <c r="CS2179" s="0" t="s">
        <v>130</v>
      </c>
      <c r="CT2179" s="0" t="s">
        <v>6049</v>
      </c>
    </row>
    <row r="2180">
      <c r="A2180" s="14">
        <v>11948451</v>
      </c>
      <c r="B2180" s="0" t="s">
        <v>4079</v>
      </c>
      <c r="C2180" s="16">
        <f>HYPERLINK("https://eosportal.federatedhermes.com/companies/Q29tcGFueQppNjMzMTI=", "Tesla Inc")</f>
      </c>
      <c r="D2180" s="0" t="s">
        <v>23</v>
      </c>
      <c r="E2180" s="0" t="s">
        <v>6050</v>
      </c>
      <c r="F2180" s="16">
        <f>HYPERLINK("https://eosportal.federatedhermes.com/engagements/RW5nYWdlbWVudAppMzI3NDI=", "Human rights controversies")</f>
      </c>
      <c r="G2180" s="14" t="s">
        <v>6051</v>
      </c>
      <c r="H2180" s="0" t="s">
        <v>141</v>
      </c>
      <c r="I2180" s="14" t="s">
        <v>191</v>
      </c>
      <c r="J2180" s="0" t="s">
        <v>153</v>
      </c>
      <c r="K2180" s="0" t="s">
        <v>243</v>
      </c>
      <c r="L2180" s="0" t="s">
        <v>244</v>
      </c>
      <c r="M2180" s="0" t="s">
        <v>135</v>
      </c>
      <c r="N2180" s="0" t="s">
        <v>136</v>
      </c>
      <c r="O2180" s="0" t="s">
        <v>425</v>
      </c>
      <c r="Q2180" s="0" t="s">
        <v>130</v>
      </c>
      <c r="R2180" s="0" t="s">
        <v>130</v>
      </c>
      <c r="S2180" s="14">
        <v>0</v>
      </c>
      <c r="T2180" s="0" t="s">
        <v>478</v>
      </c>
      <c r="U2180" s="0" t="s">
        <v>221</v>
      </c>
      <c r="V2180" s="14" t="s">
        <v>478</v>
      </c>
      <c r="W2180" s="0" t="s">
        <v>221</v>
      </c>
      <c r="X2180" s="14" t="s">
        <v>3562</v>
      </c>
      <c r="Y2180" s="0" t="s">
        <v>223</v>
      </c>
      <c r="Z2180" s="14" t="s">
        <v>138</v>
      </c>
      <c r="AA2180" s="0" t="s">
        <v>224</v>
      </c>
      <c r="AB2180" s="14" t="s">
        <v>138</v>
      </c>
      <c r="AD2180" s="0" t="s">
        <v>17</v>
      </c>
      <c r="AF2180" s="0">
        <v>0</v>
      </c>
      <c r="AG2180" s="0">
        <v>0</v>
      </c>
      <c r="AH2180" s="0" t="s">
        <v>140</v>
      </c>
      <c r="AI2180" s="0" t="s">
        <v>479</v>
      </c>
      <c r="AL2180" s="14"/>
      <c r="AN2180" s="14"/>
      <c r="AQ2180" s="0" t="s">
        <v>130</v>
      </c>
      <c r="AR2180" s="0" t="s">
        <v>130</v>
      </c>
      <c r="AS2180" s="0" t="s">
        <v>130</v>
      </c>
      <c r="AT2180" s="0" t="s">
        <v>130</v>
      </c>
      <c r="AU2180" s="0" t="s">
        <v>130</v>
      </c>
      <c r="AV2180" s="0" t="s">
        <v>130</v>
      </c>
      <c r="AW2180" s="0" t="s">
        <v>130</v>
      </c>
      <c r="AX2180" s="0" t="s">
        <v>141</v>
      </c>
      <c r="AY2180" s="0" t="s">
        <v>130</v>
      </c>
      <c r="AZ2180" s="0" t="s">
        <v>130</v>
      </c>
      <c r="BA2180" s="0" t="s">
        <v>130</v>
      </c>
      <c r="BB2180" s="0" t="s">
        <v>130</v>
      </c>
      <c r="BC2180" s="0" t="s">
        <v>130</v>
      </c>
      <c r="BD2180" s="0" t="s">
        <v>130</v>
      </c>
      <c r="BE2180" s="0" t="s">
        <v>130</v>
      </c>
      <c r="BF2180" s="0" t="s">
        <v>130</v>
      </c>
      <c r="BG2180" s="0" t="s">
        <v>130</v>
      </c>
      <c r="BH2180" s="0" t="s">
        <v>130</v>
      </c>
      <c r="BI2180" s="0" t="s">
        <v>130</v>
      </c>
      <c r="BJ2180" s="0" t="s">
        <v>130</v>
      </c>
      <c r="BK2180" s="0" t="s">
        <v>130</v>
      </c>
      <c r="BL2180" s="0" t="s">
        <v>130</v>
      </c>
      <c r="BM2180" s="0" t="s">
        <v>130</v>
      </c>
      <c r="BN2180" s="0" t="s">
        <v>130</v>
      </c>
      <c r="BO2180" s="0" t="s">
        <v>130</v>
      </c>
      <c r="BP2180" s="0" t="s">
        <v>130</v>
      </c>
      <c r="BQ2180" s="0" t="s">
        <v>130</v>
      </c>
      <c r="BR2180" s="0" t="s">
        <v>130</v>
      </c>
      <c r="BS2180" s="0" t="s">
        <v>130</v>
      </c>
      <c r="BT2180" s="0" t="s">
        <v>130</v>
      </c>
      <c r="BU2180" s="0" t="s">
        <v>130</v>
      </c>
      <c r="BV2180" s="0" t="s">
        <v>130</v>
      </c>
      <c r="BW2180" s="0" t="s">
        <v>130</v>
      </c>
      <c r="BX2180" s="0" t="s">
        <v>130</v>
      </c>
      <c r="BY2180" s="0" t="s">
        <v>130</v>
      </c>
      <c r="BZ2180" s="0" t="s">
        <v>130</v>
      </c>
      <c r="CA2180" s="0" t="s">
        <v>130</v>
      </c>
      <c r="CB2180" s="0" t="s">
        <v>130</v>
      </c>
      <c r="CC2180" s="0" t="s">
        <v>130</v>
      </c>
      <c r="CD2180" s="0" t="s">
        <v>130</v>
      </c>
      <c r="CE2180" s="0" t="s">
        <v>130</v>
      </c>
      <c r="CF2180" s="0" t="s">
        <v>130</v>
      </c>
      <c r="CG2180" s="0" t="s">
        <v>130</v>
      </c>
      <c r="CH2180" s="0" t="s">
        <v>130</v>
      </c>
      <c r="CI2180" s="0" t="s">
        <v>130</v>
      </c>
      <c r="CJ2180" s="0" t="s">
        <v>130</v>
      </c>
      <c r="CK2180" s="0" t="s">
        <v>130</v>
      </c>
      <c r="CL2180" s="0" t="s">
        <v>130</v>
      </c>
      <c r="CM2180" s="0" t="s">
        <v>130</v>
      </c>
      <c r="CN2180" s="0" t="s">
        <v>130</v>
      </c>
      <c r="CO2180" s="0" t="s">
        <v>130</v>
      </c>
      <c r="CP2180" s="0" t="s">
        <v>130</v>
      </c>
      <c r="CQ2180" s="0" t="s">
        <v>130</v>
      </c>
      <c r="CR2180" s="0" t="s">
        <v>130</v>
      </c>
      <c r="CS2180" s="0" t="s">
        <v>130</v>
      </c>
      <c r="CT2180" s="0" t="s">
        <v>6052</v>
      </c>
    </row>
    <row r="2181">
      <c r="A2181" s="14">
        <v>110755</v>
      </c>
      <c r="B2181" s="0" t="s">
        <v>2303</v>
      </c>
      <c r="C2181" s="16">
        <f>HYPERLINK("https://eosportal.federatedhermes.com/companies/Q29tcGFueQppODYxNDM=", "Toronto-Dominion Bank/The")</f>
      </c>
      <c r="D2181" s="0" t="s">
        <v>25</v>
      </c>
      <c r="E2181" s="0" t="s">
        <v>2208</v>
      </c>
      <c r="F2181" s="16">
        <f>HYPERLINK("https://eosportal.federatedhermes.com/engagements/RW5nYWdlbWVudAppMzI3NTE=", "Artificial intelligence")</f>
      </c>
      <c r="G2181" s="14" t="s">
        <v>6053</v>
      </c>
      <c r="H2181" s="0" t="s">
        <v>141</v>
      </c>
      <c r="I2181" s="14" t="s">
        <v>191</v>
      </c>
      <c r="J2181" s="0" t="s">
        <v>153</v>
      </c>
      <c r="K2181" s="0" t="s">
        <v>243</v>
      </c>
      <c r="L2181" s="0" t="s">
        <v>537</v>
      </c>
      <c r="M2181" s="0" t="s">
        <v>135</v>
      </c>
      <c r="N2181" s="0" t="s">
        <v>1678</v>
      </c>
      <c r="O2181" s="0" t="s">
        <v>238</v>
      </c>
      <c r="Q2181" s="0" t="s">
        <v>141</v>
      </c>
      <c r="R2181" s="0" t="s">
        <v>138</v>
      </c>
      <c r="S2181" s="14">
        <v>1</v>
      </c>
      <c r="T2181" s="0" t="s">
        <v>394</v>
      </c>
      <c r="U2181" s="0" t="s">
        <v>138</v>
      </c>
      <c r="V2181" s="14" t="s">
        <v>138</v>
      </c>
      <c r="W2181" s="0" t="s">
        <v>138</v>
      </c>
      <c r="X2181" s="14" t="s">
        <v>138</v>
      </c>
      <c r="Y2181" s="0" t="s">
        <v>138</v>
      </c>
      <c r="Z2181" s="14" t="s">
        <v>138</v>
      </c>
      <c r="AA2181" s="0" t="s">
        <v>138</v>
      </c>
      <c r="AB2181" s="14" t="s">
        <v>138</v>
      </c>
      <c r="AD2181" s="0" t="s">
        <v>138</v>
      </c>
      <c r="AF2181" s="0">
        <v>0</v>
      </c>
      <c r="AG2181" s="0">
        <v>0</v>
      </c>
      <c r="AH2181" s="0" t="s">
        <v>140</v>
      </c>
      <c r="AI2181" s="0" t="s">
        <v>138</v>
      </c>
      <c r="AK2181" s="0" t="s">
        <v>1386</v>
      </c>
      <c r="AL2181" s="14"/>
      <c r="AN2181" s="14"/>
      <c r="AQ2181" s="0" t="s">
        <v>130</v>
      </c>
      <c r="AR2181" s="0" t="s">
        <v>130</v>
      </c>
      <c r="AS2181" s="0" t="s">
        <v>130</v>
      </c>
      <c r="AT2181" s="0" t="s">
        <v>130</v>
      </c>
      <c r="AU2181" s="0" t="s">
        <v>130</v>
      </c>
      <c r="AV2181" s="0" t="s">
        <v>130</v>
      </c>
      <c r="AW2181" s="0" t="s">
        <v>130</v>
      </c>
      <c r="AX2181" s="0" t="s">
        <v>130</v>
      </c>
      <c r="AY2181" s="0" t="s">
        <v>130</v>
      </c>
      <c r="AZ2181" s="0" t="s">
        <v>130</v>
      </c>
      <c r="BA2181" s="0" t="s">
        <v>130</v>
      </c>
      <c r="BB2181" s="0" t="s">
        <v>130</v>
      </c>
      <c r="BC2181" s="0" t="s">
        <v>130</v>
      </c>
      <c r="BD2181" s="0" t="s">
        <v>130</v>
      </c>
      <c r="BE2181" s="0" t="s">
        <v>130</v>
      </c>
      <c r="BF2181" s="0" t="s">
        <v>141</v>
      </c>
      <c r="BG2181" s="0" t="s">
        <v>130</v>
      </c>
      <c r="BH2181" s="0" t="s">
        <v>130</v>
      </c>
      <c r="BI2181" s="0" t="s">
        <v>130</v>
      </c>
      <c r="BJ2181" s="0" t="s">
        <v>130</v>
      </c>
      <c r="BK2181" s="0" t="s">
        <v>130</v>
      </c>
      <c r="BL2181" s="0" t="s">
        <v>130</v>
      </c>
      <c r="BM2181" s="0" t="s">
        <v>130</v>
      </c>
      <c r="BN2181" s="0" t="s">
        <v>130</v>
      </c>
      <c r="BO2181" s="0" t="s">
        <v>130</v>
      </c>
      <c r="BP2181" s="0" t="s">
        <v>130</v>
      </c>
      <c r="BQ2181" s="0" t="s">
        <v>130</v>
      </c>
      <c r="BR2181" s="0" t="s">
        <v>130</v>
      </c>
      <c r="BS2181" s="0" t="s">
        <v>130</v>
      </c>
      <c r="BT2181" s="0" t="s">
        <v>130</v>
      </c>
      <c r="BU2181" s="0" t="s">
        <v>130</v>
      </c>
      <c r="BV2181" s="0" t="s">
        <v>130</v>
      </c>
      <c r="BW2181" s="0" t="s">
        <v>130</v>
      </c>
      <c r="BX2181" s="0" t="s">
        <v>130</v>
      </c>
      <c r="BY2181" s="0" t="s">
        <v>130</v>
      </c>
      <c r="BZ2181" s="0" t="s">
        <v>130</v>
      </c>
      <c r="CA2181" s="0" t="s">
        <v>130</v>
      </c>
      <c r="CB2181" s="0" t="s">
        <v>130</v>
      </c>
      <c r="CC2181" s="0" t="s">
        <v>130</v>
      </c>
      <c r="CD2181" s="0" t="s">
        <v>130</v>
      </c>
      <c r="CE2181" s="0" t="s">
        <v>130</v>
      </c>
      <c r="CF2181" s="0" t="s">
        <v>130</v>
      </c>
      <c r="CG2181" s="0" t="s">
        <v>130</v>
      </c>
      <c r="CH2181" s="0" t="s">
        <v>130</v>
      </c>
      <c r="CI2181" s="0" t="s">
        <v>130</v>
      </c>
      <c r="CJ2181" s="0" t="s">
        <v>130</v>
      </c>
      <c r="CK2181" s="0" t="s">
        <v>130</v>
      </c>
      <c r="CL2181" s="0" t="s">
        <v>130</v>
      </c>
      <c r="CM2181" s="0" t="s">
        <v>130</v>
      </c>
      <c r="CN2181" s="0" t="s">
        <v>130</v>
      </c>
      <c r="CO2181" s="0" t="s">
        <v>130</v>
      </c>
      <c r="CP2181" s="0" t="s">
        <v>130</v>
      </c>
      <c r="CQ2181" s="0" t="s">
        <v>130</v>
      </c>
      <c r="CR2181" s="0" t="s">
        <v>130</v>
      </c>
      <c r="CS2181" s="0" t="s">
        <v>130</v>
      </c>
      <c r="CT2181" s="0" t="s">
        <v>6054</v>
      </c>
    </row>
    <row r="2182">
      <c r="A2182" s="14">
        <v>117976</v>
      </c>
      <c r="B2182" s="0" t="s">
        <v>4944</v>
      </c>
      <c r="C2182" s="16">
        <f>HYPERLINK("https://eosportal.federatedhermes.com/companies/Q29tcGFueQppNTg5MTU=", "Sika AG")</f>
      </c>
      <c r="D2182" s="0" t="s">
        <v>23</v>
      </c>
      <c r="E2182" s="0" t="s">
        <v>6055</v>
      </c>
      <c r="F2182" s="16">
        <f>HYPERLINK("https://eosportal.federatedhermes.com/engagements/RW5nYWdlbWVudAppMzI3NTI=", "Disclosure of hazardous chemicals production")</f>
      </c>
      <c r="G2182" s="14" t="s">
        <v>6056</v>
      </c>
      <c r="H2182" s="0" t="s">
        <v>141</v>
      </c>
      <c r="I2182" s="14" t="s">
        <v>191</v>
      </c>
      <c r="J2182" s="0" t="s">
        <v>197</v>
      </c>
      <c r="K2182" s="0" t="s">
        <v>348</v>
      </c>
      <c r="L2182" s="0" t="s">
        <v>650</v>
      </c>
      <c r="M2182" s="0" t="s">
        <v>378</v>
      </c>
      <c r="N2182" s="0" t="s">
        <v>1059</v>
      </c>
      <c r="O2182" s="0" t="s">
        <v>706</v>
      </c>
      <c r="Q2182" s="0" t="s">
        <v>141</v>
      </c>
      <c r="R2182" s="0" t="s">
        <v>130</v>
      </c>
      <c r="S2182" s="14">
        <v>1</v>
      </c>
      <c r="T2182" s="0" t="s">
        <v>478</v>
      </c>
      <c r="U2182" s="0" t="s">
        <v>221</v>
      </c>
      <c r="V2182" s="14" t="s">
        <v>478</v>
      </c>
      <c r="W2182" s="0" t="s">
        <v>221</v>
      </c>
      <c r="X2182" s="14" t="s">
        <v>360</v>
      </c>
      <c r="Y2182" s="0" t="s">
        <v>223</v>
      </c>
      <c r="Z2182" s="14" t="s">
        <v>138</v>
      </c>
      <c r="AA2182" s="0" t="s">
        <v>224</v>
      </c>
      <c r="AB2182" s="14" t="s">
        <v>138</v>
      </c>
      <c r="AD2182" s="0" t="s">
        <v>17</v>
      </c>
      <c r="AF2182" s="0">
        <v>0</v>
      </c>
      <c r="AG2182" s="0">
        <v>0</v>
      </c>
      <c r="AH2182" s="0" t="s">
        <v>140</v>
      </c>
      <c r="AI2182" s="0" t="s">
        <v>479</v>
      </c>
      <c r="AK2182" s="0" t="s">
        <v>714</v>
      </c>
      <c r="AL2182" s="14"/>
      <c r="AN2182" s="14"/>
      <c r="AQ2182" s="0" t="s">
        <v>130</v>
      </c>
      <c r="AR2182" s="0" t="s">
        <v>130</v>
      </c>
      <c r="AS2182" s="0" t="s">
        <v>141</v>
      </c>
      <c r="AT2182" s="0" t="s">
        <v>130</v>
      </c>
      <c r="AU2182" s="0" t="s">
        <v>130</v>
      </c>
      <c r="AV2182" s="0" t="s">
        <v>130</v>
      </c>
      <c r="AW2182" s="0" t="s">
        <v>130</v>
      </c>
      <c r="AX2182" s="0" t="s">
        <v>130</v>
      </c>
      <c r="AY2182" s="0" t="s">
        <v>130</v>
      </c>
      <c r="AZ2182" s="0" t="s">
        <v>130</v>
      </c>
      <c r="BA2182" s="0" t="s">
        <v>130</v>
      </c>
      <c r="BB2182" s="0" t="s">
        <v>141</v>
      </c>
      <c r="BC2182" s="0" t="s">
        <v>130</v>
      </c>
      <c r="BD2182" s="0" t="s">
        <v>130</v>
      </c>
      <c r="BE2182" s="0" t="s">
        <v>130</v>
      </c>
      <c r="BF2182" s="0" t="s">
        <v>130</v>
      </c>
      <c r="BG2182" s="0" t="s">
        <v>130</v>
      </c>
      <c r="BH2182" s="0" t="s">
        <v>130</v>
      </c>
      <c r="BI2182" s="0" t="s">
        <v>130</v>
      </c>
      <c r="BJ2182" s="0" t="s">
        <v>130</v>
      </c>
      <c r="BK2182" s="0" t="s">
        <v>130</v>
      </c>
      <c r="BL2182" s="0" t="s">
        <v>130</v>
      </c>
      <c r="BM2182" s="0" t="s">
        <v>130</v>
      </c>
      <c r="BN2182" s="0" t="s">
        <v>130</v>
      </c>
      <c r="BO2182" s="0" t="s">
        <v>130</v>
      </c>
      <c r="BP2182" s="0" t="s">
        <v>130</v>
      </c>
      <c r="BQ2182" s="0" t="s">
        <v>130</v>
      </c>
      <c r="BR2182" s="0" t="s">
        <v>130</v>
      </c>
      <c r="BS2182" s="0" t="s">
        <v>130</v>
      </c>
      <c r="BT2182" s="0" t="s">
        <v>130</v>
      </c>
      <c r="BU2182" s="0" t="s">
        <v>130</v>
      </c>
      <c r="BV2182" s="0" t="s">
        <v>130</v>
      </c>
      <c r="BW2182" s="0" t="s">
        <v>130</v>
      </c>
      <c r="BX2182" s="0" t="s">
        <v>130</v>
      </c>
      <c r="BY2182" s="0" t="s">
        <v>130</v>
      </c>
      <c r="BZ2182" s="0" t="s">
        <v>130</v>
      </c>
      <c r="CA2182" s="0" t="s">
        <v>130</v>
      </c>
      <c r="CB2182" s="0" t="s">
        <v>130</v>
      </c>
      <c r="CC2182" s="0" t="s">
        <v>130</v>
      </c>
      <c r="CD2182" s="0" t="s">
        <v>130</v>
      </c>
      <c r="CE2182" s="0" t="s">
        <v>130</v>
      </c>
      <c r="CF2182" s="0" t="s">
        <v>130</v>
      </c>
      <c r="CG2182" s="0" t="s">
        <v>130</v>
      </c>
      <c r="CH2182" s="0" t="s">
        <v>130</v>
      </c>
      <c r="CI2182" s="0" t="s">
        <v>130</v>
      </c>
      <c r="CJ2182" s="0" t="s">
        <v>130</v>
      </c>
      <c r="CK2182" s="0" t="s">
        <v>130</v>
      </c>
      <c r="CL2182" s="0" t="s">
        <v>130</v>
      </c>
      <c r="CM2182" s="0" t="s">
        <v>130</v>
      </c>
      <c r="CN2182" s="0" t="s">
        <v>130</v>
      </c>
      <c r="CO2182" s="0" t="s">
        <v>130</v>
      </c>
      <c r="CP2182" s="0" t="s">
        <v>130</v>
      </c>
      <c r="CQ2182" s="0" t="s">
        <v>130</v>
      </c>
      <c r="CR2182" s="0" t="s">
        <v>130</v>
      </c>
      <c r="CS2182" s="0" t="s">
        <v>130</v>
      </c>
      <c r="CT2182" s="0" t="s">
        <v>6057</v>
      </c>
    </row>
    <row r="2183">
      <c r="A2183" s="14">
        <v>115245</v>
      </c>
      <c r="B2183" s="0" t="s">
        <v>2366</v>
      </c>
      <c r="C2183" s="16">
        <f>HYPERLINK("https://eosportal.federatedhermes.com/companies/Q29tcGFueQppODU4ODA=", "BNP Paribas SA")</f>
      </c>
      <c r="D2183" s="0" t="s">
        <v>23</v>
      </c>
      <c r="E2183" s="0" t="s">
        <v>6058</v>
      </c>
      <c r="F2183" s="16">
        <f>HYPERLINK("https://eosportal.federatedhermes.com/engagements/RW5nYWdlbWVudAppMzI3NTM=", "Client engagement on transition plans")</f>
      </c>
      <c r="G2183" s="14" t="s">
        <v>6059</v>
      </c>
      <c r="H2183" s="0" t="s">
        <v>141</v>
      </c>
      <c r="I2183" s="14" t="s">
        <v>131</v>
      </c>
      <c r="J2183" s="0" t="s">
        <v>197</v>
      </c>
      <c r="K2183" s="0" t="s">
        <v>198</v>
      </c>
      <c r="L2183" s="0" t="s">
        <v>216</v>
      </c>
      <c r="M2183" s="0" t="s">
        <v>378</v>
      </c>
      <c r="N2183" s="0" t="s">
        <v>1646</v>
      </c>
      <c r="O2183" s="0" t="s">
        <v>238</v>
      </c>
      <c r="Q2183" s="0" t="s">
        <v>141</v>
      </c>
      <c r="R2183" s="0" t="s">
        <v>130</v>
      </c>
      <c r="S2183" s="14">
        <v>1</v>
      </c>
      <c r="T2183" s="0" t="s">
        <v>478</v>
      </c>
      <c r="U2183" s="0" t="s">
        <v>221</v>
      </c>
      <c r="V2183" s="14" t="s">
        <v>478</v>
      </c>
      <c r="W2183" s="0" t="s">
        <v>221</v>
      </c>
      <c r="X2183" s="14" t="s">
        <v>478</v>
      </c>
      <c r="Y2183" s="0" t="s">
        <v>223</v>
      </c>
      <c r="Z2183" s="14" t="s">
        <v>138</v>
      </c>
      <c r="AA2183" s="0" t="s">
        <v>224</v>
      </c>
      <c r="AB2183" s="14" t="s">
        <v>138</v>
      </c>
      <c r="AD2183" s="0" t="s">
        <v>17</v>
      </c>
      <c r="AF2183" s="0">
        <v>0</v>
      </c>
      <c r="AG2183" s="0">
        <v>0</v>
      </c>
      <c r="AH2183" s="0" t="s">
        <v>140</v>
      </c>
      <c r="AI2183" s="0" t="s">
        <v>479</v>
      </c>
      <c r="AK2183" s="0" t="s">
        <v>2376</v>
      </c>
      <c r="AL2183" s="14"/>
      <c r="AN2183" s="14"/>
      <c r="AQ2183" s="0" t="s">
        <v>130</v>
      </c>
      <c r="AR2183" s="0" t="s">
        <v>130</v>
      </c>
      <c r="AS2183" s="0" t="s">
        <v>130</v>
      </c>
      <c r="AT2183" s="0" t="s">
        <v>130</v>
      </c>
      <c r="AU2183" s="0" t="s">
        <v>130</v>
      </c>
      <c r="AV2183" s="0" t="s">
        <v>130</v>
      </c>
      <c r="AW2183" s="0" t="s">
        <v>141</v>
      </c>
      <c r="AX2183" s="0" t="s">
        <v>130</v>
      </c>
      <c r="AY2183" s="0" t="s">
        <v>130</v>
      </c>
      <c r="AZ2183" s="0" t="s">
        <v>130</v>
      </c>
      <c r="BA2183" s="0" t="s">
        <v>130</v>
      </c>
      <c r="BB2183" s="0" t="s">
        <v>130</v>
      </c>
      <c r="BC2183" s="0" t="s">
        <v>141</v>
      </c>
      <c r="BD2183" s="0" t="s">
        <v>130</v>
      </c>
      <c r="BE2183" s="0" t="s">
        <v>130</v>
      </c>
      <c r="BF2183" s="0" t="s">
        <v>130</v>
      </c>
      <c r="BG2183" s="0" t="s">
        <v>130</v>
      </c>
      <c r="BH2183" s="0" t="s">
        <v>141</v>
      </c>
      <c r="BI2183" s="0" t="s">
        <v>141</v>
      </c>
      <c r="BJ2183" s="0" t="s">
        <v>141</v>
      </c>
      <c r="BK2183" s="0" t="s">
        <v>130</v>
      </c>
      <c r="BL2183" s="0" t="s">
        <v>130</v>
      </c>
      <c r="BM2183" s="0" t="s">
        <v>130</v>
      </c>
      <c r="BN2183" s="0" t="s">
        <v>130</v>
      </c>
      <c r="BO2183" s="0" t="s">
        <v>130</v>
      </c>
      <c r="BP2183" s="0" t="s">
        <v>130</v>
      </c>
      <c r="BQ2183" s="0" t="s">
        <v>130</v>
      </c>
      <c r="BR2183" s="0" t="s">
        <v>130</v>
      </c>
      <c r="BS2183" s="0" t="s">
        <v>130</v>
      </c>
      <c r="BT2183" s="0" t="s">
        <v>130</v>
      </c>
      <c r="BU2183" s="0" t="s">
        <v>130</v>
      </c>
      <c r="BV2183" s="0" t="s">
        <v>141</v>
      </c>
      <c r="BW2183" s="0" t="s">
        <v>141</v>
      </c>
      <c r="BX2183" s="0" t="s">
        <v>130</v>
      </c>
      <c r="BY2183" s="0" t="s">
        <v>130</v>
      </c>
      <c r="BZ2183" s="0" t="s">
        <v>130</v>
      </c>
      <c r="CA2183" s="0" t="s">
        <v>130</v>
      </c>
      <c r="CB2183" s="0" t="s">
        <v>130</v>
      </c>
      <c r="CC2183" s="0" t="s">
        <v>130</v>
      </c>
      <c r="CD2183" s="0" t="s">
        <v>130</v>
      </c>
      <c r="CE2183" s="0" t="s">
        <v>130</v>
      </c>
      <c r="CF2183" s="0" t="s">
        <v>130</v>
      </c>
      <c r="CG2183" s="0" t="s">
        <v>130</v>
      </c>
      <c r="CH2183" s="0" t="s">
        <v>130</v>
      </c>
      <c r="CI2183" s="0" t="s">
        <v>130</v>
      </c>
      <c r="CJ2183" s="0" t="s">
        <v>130</v>
      </c>
      <c r="CK2183" s="0" t="s">
        <v>130</v>
      </c>
      <c r="CL2183" s="0" t="s">
        <v>130</v>
      </c>
      <c r="CM2183" s="0" t="s">
        <v>130</v>
      </c>
      <c r="CN2183" s="0" t="s">
        <v>130</v>
      </c>
      <c r="CO2183" s="0" t="s">
        <v>130</v>
      </c>
      <c r="CP2183" s="0" t="s">
        <v>130</v>
      </c>
      <c r="CQ2183" s="0" t="s">
        <v>130</v>
      </c>
      <c r="CR2183" s="0" t="s">
        <v>130</v>
      </c>
      <c r="CS2183" s="0" t="s">
        <v>130</v>
      </c>
      <c r="CT2183" s="0" t="s">
        <v>6060</v>
      </c>
    </row>
    <row r="2184">
      <c r="A2184" s="14">
        <v>115785</v>
      </c>
      <c r="B2184" s="0" t="s">
        <v>2695</v>
      </c>
      <c r="C2184" s="16">
        <f>HYPERLINK("https://eosportal.federatedhermes.com/companies/Q29tcGFueQppODU0NDE=", "Roche Holding AG")</f>
      </c>
      <c r="D2184" s="0" t="s">
        <v>23</v>
      </c>
      <c r="E2184" s="0" t="s">
        <v>574</v>
      </c>
      <c r="F2184" s="16">
        <f>HYPERLINK("https://eosportal.federatedhermes.com/engagements/RW5nYWdlbWVudAppMzI3NTQ=", "Biodiversity")</f>
      </c>
      <c r="G2184" s="14" t="s">
        <v>6061</v>
      </c>
      <c r="H2184" s="0" t="s">
        <v>141</v>
      </c>
      <c r="I2184" s="14" t="s">
        <v>191</v>
      </c>
      <c r="J2184" s="0" t="s">
        <v>197</v>
      </c>
      <c r="K2184" s="0" t="s">
        <v>337</v>
      </c>
      <c r="L2184" s="0" t="s">
        <v>576</v>
      </c>
      <c r="M2184" s="0" t="s">
        <v>378</v>
      </c>
      <c r="N2184" s="0" t="s">
        <v>1059</v>
      </c>
      <c r="O2184" s="0" t="s">
        <v>274</v>
      </c>
      <c r="Q2184" s="0" t="s">
        <v>130</v>
      </c>
      <c r="R2184" s="0" t="s">
        <v>130</v>
      </c>
      <c r="S2184" s="14">
        <v>0</v>
      </c>
      <c r="T2184" s="0" t="s">
        <v>478</v>
      </c>
      <c r="U2184" s="0" t="s">
        <v>221</v>
      </c>
      <c r="V2184" s="14" t="s">
        <v>478</v>
      </c>
      <c r="W2184" s="0" t="s">
        <v>221</v>
      </c>
      <c r="X2184" s="14" t="s">
        <v>478</v>
      </c>
      <c r="Y2184" s="0" t="s">
        <v>221</v>
      </c>
      <c r="Z2184" s="14" t="s">
        <v>3562</v>
      </c>
      <c r="AA2184" s="0" t="s">
        <v>223</v>
      </c>
      <c r="AB2184" s="14" t="s">
        <v>138</v>
      </c>
      <c r="AD2184" s="0" t="s">
        <v>20</v>
      </c>
      <c r="AF2184" s="0">
        <v>0</v>
      </c>
      <c r="AG2184" s="0">
        <v>0</v>
      </c>
      <c r="AH2184" s="0" t="s">
        <v>140</v>
      </c>
      <c r="AI2184" s="0" t="s">
        <v>598</v>
      </c>
      <c r="AL2184" s="14"/>
      <c r="AN2184" s="14"/>
      <c r="AQ2184" s="0" t="s">
        <v>130</v>
      </c>
      <c r="AR2184" s="0" t="s">
        <v>130</v>
      </c>
      <c r="AS2184" s="0" t="s">
        <v>130</v>
      </c>
      <c r="AT2184" s="0" t="s">
        <v>130</v>
      </c>
      <c r="AU2184" s="0" t="s">
        <v>130</v>
      </c>
      <c r="AV2184" s="0" t="s">
        <v>141</v>
      </c>
      <c r="AW2184" s="0" t="s">
        <v>130</v>
      </c>
      <c r="AX2184" s="0" t="s">
        <v>130</v>
      </c>
      <c r="AY2184" s="0" t="s">
        <v>130</v>
      </c>
      <c r="AZ2184" s="0" t="s">
        <v>130</v>
      </c>
      <c r="BA2184" s="0" t="s">
        <v>130</v>
      </c>
      <c r="BB2184" s="0" t="s">
        <v>141</v>
      </c>
      <c r="BC2184" s="0" t="s">
        <v>130</v>
      </c>
      <c r="BD2184" s="0" t="s">
        <v>141</v>
      </c>
      <c r="BE2184" s="0" t="s">
        <v>141</v>
      </c>
      <c r="BF2184" s="0" t="s">
        <v>130</v>
      </c>
      <c r="BG2184" s="0" t="s">
        <v>130</v>
      </c>
      <c r="BH2184" s="0" t="s">
        <v>130</v>
      </c>
      <c r="BI2184" s="0" t="s">
        <v>130</v>
      </c>
      <c r="BJ2184" s="0" t="s">
        <v>130</v>
      </c>
      <c r="BK2184" s="0" t="s">
        <v>130</v>
      </c>
      <c r="BL2184" s="0" t="s">
        <v>130</v>
      </c>
      <c r="BM2184" s="0" t="s">
        <v>130</v>
      </c>
      <c r="BN2184" s="0" t="s">
        <v>130</v>
      </c>
      <c r="BO2184" s="0" t="s">
        <v>130</v>
      </c>
      <c r="BP2184" s="0" t="s">
        <v>130</v>
      </c>
      <c r="BQ2184" s="0" t="s">
        <v>130</v>
      </c>
      <c r="BR2184" s="0" t="s">
        <v>130</v>
      </c>
      <c r="BS2184" s="0" t="s">
        <v>130</v>
      </c>
      <c r="BT2184" s="0" t="s">
        <v>130</v>
      </c>
      <c r="BU2184" s="0" t="s">
        <v>130</v>
      </c>
      <c r="BV2184" s="0" t="s">
        <v>130</v>
      </c>
      <c r="BW2184" s="0" t="s">
        <v>130</v>
      </c>
      <c r="BX2184" s="0" t="s">
        <v>130</v>
      </c>
      <c r="BY2184" s="0" t="s">
        <v>130</v>
      </c>
      <c r="BZ2184" s="0" t="s">
        <v>130</v>
      </c>
      <c r="CA2184" s="0" t="s">
        <v>130</v>
      </c>
      <c r="CB2184" s="0" t="s">
        <v>130</v>
      </c>
      <c r="CC2184" s="0" t="s">
        <v>130</v>
      </c>
      <c r="CD2184" s="0" t="s">
        <v>130</v>
      </c>
      <c r="CE2184" s="0" t="s">
        <v>130</v>
      </c>
      <c r="CF2184" s="0" t="s">
        <v>130</v>
      </c>
      <c r="CG2184" s="0" t="s">
        <v>130</v>
      </c>
      <c r="CH2184" s="0" t="s">
        <v>130</v>
      </c>
      <c r="CI2184" s="0" t="s">
        <v>130</v>
      </c>
      <c r="CJ2184" s="0" t="s">
        <v>130</v>
      </c>
      <c r="CK2184" s="0" t="s">
        <v>130</v>
      </c>
      <c r="CL2184" s="0" t="s">
        <v>130</v>
      </c>
      <c r="CM2184" s="0" t="s">
        <v>130</v>
      </c>
      <c r="CN2184" s="0" t="s">
        <v>130</v>
      </c>
      <c r="CO2184" s="0" t="s">
        <v>130</v>
      </c>
      <c r="CP2184" s="0" t="s">
        <v>130</v>
      </c>
      <c r="CQ2184" s="0" t="s">
        <v>130</v>
      </c>
      <c r="CR2184" s="0" t="s">
        <v>130</v>
      </c>
      <c r="CS2184" s="0" t="s">
        <v>130</v>
      </c>
      <c r="CT2184" s="0" t="s">
        <v>6062</v>
      </c>
    </row>
    <row r="2185">
      <c r="A2185" s="14">
        <v>68938862</v>
      </c>
      <c r="B2185" s="0" t="s">
        <v>4962</v>
      </c>
      <c r="C2185" s="16">
        <f>HYPERLINK("https://eosportal.federatedhermes.com/companies/Q29tcGFueQppNTcwNzE=", "Siemens Energy AG")</f>
      </c>
      <c r="D2185" s="0" t="s">
        <v>25</v>
      </c>
      <c r="E2185" s="0" t="s">
        <v>6063</v>
      </c>
      <c r="F2185" s="16">
        <f>HYPERLINK("https://eosportal.federatedhermes.com/engagements/RW5nYWdlbWVudAppMzI3NTU=", "Turbine quality issues")</f>
      </c>
      <c r="G2185" s="14" t="s">
        <v>6064</v>
      </c>
      <c r="H2185" s="0" t="s">
        <v>141</v>
      </c>
      <c r="I2185" s="14" t="s">
        <v>191</v>
      </c>
      <c r="J2185" s="0" t="s">
        <v>132</v>
      </c>
      <c r="K2185" s="0" t="s">
        <v>260</v>
      </c>
      <c r="L2185" s="0" t="s">
        <v>261</v>
      </c>
      <c r="M2185" s="0" t="s">
        <v>378</v>
      </c>
      <c r="N2185" s="0" t="s">
        <v>2485</v>
      </c>
      <c r="O2185" s="0" t="s">
        <v>176</v>
      </c>
      <c r="Q2185" s="0" t="s">
        <v>130</v>
      </c>
      <c r="R2185" s="0" t="s">
        <v>138</v>
      </c>
      <c r="S2185" s="14">
        <v>0</v>
      </c>
      <c r="T2185" s="0" t="s">
        <v>478</v>
      </c>
      <c r="U2185" s="0" t="s">
        <v>138</v>
      </c>
      <c r="V2185" s="14" t="s">
        <v>138</v>
      </c>
      <c r="W2185" s="0" t="s">
        <v>138</v>
      </c>
      <c r="X2185" s="14" t="s">
        <v>138</v>
      </c>
      <c r="Y2185" s="0" t="s">
        <v>138</v>
      </c>
      <c r="Z2185" s="14" t="s">
        <v>138</v>
      </c>
      <c r="AA2185" s="0" t="s">
        <v>138</v>
      </c>
      <c r="AB2185" s="14" t="s">
        <v>138</v>
      </c>
      <c r="AD2185" s="0" t="s">
        <v>138</v>
      </c>
      <c r="AF2185" s="0">
        <v>0</v>
      </c>
      <c r="AG2185" s="0">
        <v>0</v>
      </c>
      <c r="AH2185" s="0" t="s">
        <v>140</v>
      </c>
      <c r="AI2185" s="0" t="s">
        <v>138</v>
      </c>
      <c r="AL2185" s="14"/>
      <c r="AN2185" s="14"/>
      <c r="AQ2185" s="0" t="s">
        <v>130</v>
      </c>
      <c r="AR2185" s="0" t="s">
        <v>130</v>
      </c>
      <c r="AS2185" s="0" t="s">
        <v>130</v>
      </c>
      <c r="AT2185" s="0" t="s">
        <v>130</v>
      </c>
      <c r="AU2185" s="0" t="s">
        <v>130</v>
      </c>
      <c r="AV2185" s="0" t="s">
        <v>130</v>
      </c>
      <c r="AW2185" s="0" t="s">
        <v>130</v>
      </c>
      <c r="AX2185" s="0" t="s">
        <v>130</v>
      </c>
      <c r="AY2185" s="0" t="s">
        <v>130</v>
      </c>
      <c r="AZ2185" s="0" t="s">
        <v>130</v>
      </c>
      <c r="BA2185" s="0" t="s">
        <v>130</v>
      </c>
      <c r="BB2185" s="0" t="s">
        <v>130</v>
      </c>
      <c r="BC2185" s="0" t="s">
        <v>130</v>
      </c>
      <c r="BD2185" s="0" t="s">
        <v>130</v>
      </c>
      <c r="BE2185" s="0" t="s">
        <v>130</v>
      </c>
      <c r="BF2185" s="0" t="s">
        <v>130</v>
      </c>
      <c r="BG2185" s="0" t="s">
        <v>130</v>
      </c>
      <c r="BH2185" s="0" t="s">
        <v>130</v>
      </c>
      <c r="BI2185" s="0" t="s">
        <v>130</v>
      </c>
      <c r="BJ2185" s="0" t="s">
        <v>130</v>
      </c>
      <c r="BK2185" s="0" t="s">
        <v>130</v>
      </c>
      <c r="BL2185" s="0" t="s">
        <v>130</v>
      </c>
      <c r="BM2185" s="0" t="s">
        <v>130</v>
      </c>
      <c r="BN2185" s="0" t="s">
        <v>130</v>
      </c>
      <c r="BO2185" s="0" t="s">
        <v>130</v>
      </c>
      <c r="BP2185" s="0" t="s">
        <v>130</v>
      </c>
      <c r="BQ2185" s="0" t="s">
        <v>130</v>
      </c>
      <c r="BR2185" s="0" t="s">
        <v>130</v>
      </c>
      <c r="BS2185" s="0" t="s">
        <v>130</v>
      </c>
      <c r="BT2185" s="0" t="s">
        <v>130</v>
      </c>
      <c r="BU2185" s="0" t="s">
        <v>130</v>
      </c>
      <c r="BV2185" s="0" t="s">
        <v>130</v>
      </c>
      <c r="BW2185" s="0" t="s">
        <v>130</v>
      </c>
      <c r="BX2185" s="0" t="s">
        <v>130</v>
      </c>
      <c r="BY2185" s="0" t="s">
        <v>130</v>
      </c>
      <c r="BZ2185" s="0" t="s">
        <v>130</v>
      </c>
      <c r="CA2185" s="0" t="s">
        <v>130</v>
      </c>
      <c r="CB2185" s="0" t="s">
        <v>130</v>
      </c>
      <c r="CC2185" s="0" t="s">
        <v>130</v>
      </c>
      <c r="CD2185" s="0" t="s">
        <v>130</v>
      </c>
      <c r="CE2185" s="0" t="s">
        <v>130</v>
      </c>
      <c r="CF2185" s="0" t="s">
        <v>130</v>
      </c>
      <c r="CG2185" s="0" t="s">
        <v>130</v>
      </c>
      <c r="CH2185" s="0" t="s">
        <v>130</v>
      </c>
      <c r="CI2185" s="0" t="s">
        <v>130</v>
      </c>
      <c r="CJ2185" s="0" t="s">
        <v>130</v>
      </c>
      <c r="CK2185" s="0" t="s">
        <v>130</v>
      </c>
      <c r="CL2185" s="0" t="s">
        <v>130</v>
      </c>
      <c r="CM2185" s="0" t="s">
        <v>130</v>
      </c>
      <c r="CN2185" s="0" t="s">
        <v>130</v>
      </c>
      <c r="CO2185" s="0" t="s">
        <v>130</v>
      </c>
      <c r="CP2185" s="0" t="s">
        <v>130</v>
      </c>
      <c r="CQ2185" s="0" t="s">
        <v>130</v>
      </c>
      <c r="CR2185" s="0" t="s">
        <v>130</v>
      </c>
      <c r="CS2185" s="0" t="s">
        <v>130</v>
      </c>
      <c r="CT2185" s="0" t="s">
        <v>6065</v>
      </c>
    </row>
    <row r="2186">
      <c r="A2186" s="14">
        <v>100232</v>
      </c>
      <c r="B2186" s="0" t="s">
        <v>368</v>
      </c>
      <c r="C2186" s="16">
        <f>HYPERLINK("https://eosportal.federatedhermes.com/companies/Q29tcGFueQppNjQzODg=", "BHP Group Ltd")</f>
      </c>
      <c r="D2186" s="0" t="s">
        <v>23</v>
      </c>
      <c r="E2186" s="0" t="s">
        <v>6066</v>
      </c>
      <c r="F2186" s="16">
        <f>HYPERLINK("https://eosportal.federatedhermes.com/engagements/RW5nYWdlbWVudAppMzI3NTc=", "Samarco dam collapse - resettlement, environmental restitution, and compensation")</f>
      </c>
      <c r="G2186" s="14" t="s">
        <v>6067</v>
      </c>
      <c r="H2186" s="0" t="s">
        <v>141</v>
      </c>
      <c r="I2186" s="14" t="s">
        <v>191</v>
      </c>
      <c r="J2186" s="0" t="s">
        <v>153</v>
      </c>
      <c r="K2186" s="0" t="s">
        <v>243</v>
      </c>
      <c r="L2186" s="0" t="s">
        <v>571</v>
      </c>
      <c r="M2186" s="0" t="s">
        <v>371</v>
      </c>
      <c r="N2186" s="0" t="s">
        <v>372</v>
      </c>
      <c r="O2186" s="0" t="s">
        <v>373</v>
      </c>
      <c r="Q2186" s="0" t="s">
        <v>141</v>
      </c>
      <c r="R2186" s="0" t="s">
        <v>130</v>
      </c>
      <c r="S2186" s="14">
        <v>1</v>
      </c>
      <c r="T2186" s="0" t="s">
        <v>478</v>
      </c>
      <c r="U2186" s="0" t="s">
        <v>221</v>
      </c>
      <c r="V2186" s="14" t="s">
        <v>478</v>
      </c>
      <c r="W2186" s="0" t="s">
        <v>221</v>
      </c>
      <c r="X2186" s="14" t="s">
        <v>478</v>
      </c>
      <c r="Y2186" s="0" t="s">
        <v>221</v>
      </c>
      <c r="Z2186" s="14" t="s">
        <v>2428</v>
      </c>
      <c r="AA2186" s="0" t="s">
        <v>223</v>
      </c>
      <c r="AB2186" s="14" t="s">
        <v>138</v>
      </c>
      <c r="AD2186" s="0" t="s">
        <v>20</v>
      </c>
      <c r="AF2186" s="0">
        <v>0</v>
      </c>
      <c r="AG2186" s="0">
        <v>0</v>
      </c>
      <c r="AH2186" s="0" t="s">
        <v>140</v>
      </c>
      <c r="AI2186" s="0" t="s">
        <v>598</v>
      </c>
      <c r="AK2186" s="0" t="s">
        <v>2569</v>
      </c>
      <c r="AL2186" s="14"/>
      <c r="AN2186" s="14"/>
      <c r="AQ2186" s="0" t="s">
        <v>130</v>
      </c>
      <c r="AR2186" s="0" t="s">
        <v>130</v>
      </c>
      <c r="AS2186" s="0" t="s">
        <v>130</v>
      </c>
      <c r="AT2186" s="0" t="s">
        <v>130</v>
      </c>
      <c r="AU2186" s="0" t="s">
        <v>130</v>
      </c>
      <c r="AV2186" s="0" t="s">
        <v>141</v>
      </c>
      <c r="AW2186" s="0" t="s">
        <v>130</v>
      </c>
      <c r="AX2186" s="0" t="s">
        <v>130</v>
      </c>
      <c r="AY2186" s="0" t="s">
        <v>130</v>
      </c>
      <c r="AZ2186" s="0" t="s">
        <v>141</v>
      </c>
      <c r="BA2186" s="0" t="s">
        <v>141</v>
      </c>
      <c r="BB2186" s="0" t="s">
        <v>130</v>
      </c>
      <c r="BC2186" s="0" t="s">
        <v>130</v>
      </c>
      <c r="BD2186" s="0" t="s">
        <v>130</v>
      </c>
      <c r="BE2186" s="0" t="s">
        <v>130</v>
      </c>
      <c r="BF2186" s="0" t="s">
        <v>141</v>
      </c>
      <c r="BG2186" s="0" t="s">
        <v>130</v>
      </c>
      <c r="BH2186" s="0" t="s">
        <v>130</v>
      </c>
      <c r="BI2186" s="0" t="s">
        <v>130</v>
      </c>
      <c r="BJ2186" s="0" t="s">
        <v>130</v>
      </c>
      <c r="BK2186" s="0" t="s">
        <v>130</v>
      </c>
      <c r="BL2186" s="0" t="s">
        <v>130</v>
      </c>
      <c r="BM2186" s="0" t="s">
        <v>130</v>
      </c>
      <c r="BN2186" s="0" t="s">
        <v>130</v>
      </c>
      <c r="BO2186" s="0" t="s">
        <v>130</v>
      </c>
      <c r="BP2186" s="0" t="s">
        <v>130</v>
      </c>
      <c r="BQ2186" s="0" t="s">
        <v>130</v>
      </c>
      <c r="BR2186" s="0" t="s">
        <v>130</v>
      </c>
      <c r="BS2186" s="0" t="s">
        <v>130</v>
      </c>
      <c r="BT2186" s="0" t="s">
        <v>130</v>
      </c>
      <c r="BU2186" s="0" t="s">
        <v>130</v>
      </c>
      <c r="BV2186" s="0" t="s">
        <v>130</v>
      </c>
      <c r="BW2186" s="0" t="s">
        <v>130</v>
      </c>
      <c r="BX2186" s="0" t="s">
        <v>130</v>
      </c>
      <c r="BY2186" s="0" t="s">
        <v>130</v>
      </c>
      <c r="BZ2186" s="0" t="s">
        <v>130</v>
      </c>
      <c r="CA2186" s="0" t="s">
        <v>130</v>
      </c>
      <c r="CB2186" s="0" t="s">
        <v>130</v>
      </c>
      <c r="CC2186" s="0" t="s">
        <v>130</v>
      </c>
      <c r="CD2186" s="0" t="s">
        <v>130</v>
      </c>
      <c r="CE2186" s="0" t="s">
        <v>130</v>
      </c>
      <c r="CF2186" s="0" t="s">
        <v>130</v>
      </c>
      <c r="CG2186" s="0" t="s">
        <v>130</v>
      </c>
      <c r="CH2186" s="0" t="s">
        <v>130</v>
      </c>
      <c r="CI2186" s="0" t="s">
        <v>130</v>
      </c>
      <c r="CJ2186" s="0" t="s">
        <v>130</v>
      </c>
      <c r="CK2186" s="0" t="s">
        <v>130</v>
      </c>
      <c r="CL2186" s="0" t="s">
        <v>130</v>
      </c>
      <c r="CM2186" s="0" t="s">
        <v>130</v>
      </c>
      <c r="CN2186" s="0" t="s">
        <v>130</v>
      </c>
      <c r="CO2186" s="0" t="s">
        <v>130</v>
      </c>
      <c r="CP2186" s="0" t="s">
        <v>130</v>
      </c>
      <c r="CQ2186" s="0" t="s">
        <v>130</v>
      </c>
      <c r="CR2186" s="0" t="s">
        <v>130</v>
      </c>
      <c r="CS2186" s="0" t="s">
        <v>130</v>
      </c>
      <c r="CT2186" s="0" t="s">
        <v>6068</v>
      </c>
    </row>
    <row r="2187">
      <c r="A2187" s="14">
        <v>100602</v>
      </c>
      <c r="B2187" s="0" t="s">
        <v>827</v>
      </c>
      <c r="C2187" s="16">
        <f>HYPERLINK("https://eosportal.federatedhermes.com/companies/Q29tcGFueQppNTQxNzY=", "Ford Motor Co")</f>
      </c>
      <c r="D2187" s="0" t="s">
        <v>25</v>
      </c>
      <c r="E2187" s="0" t="s">
        <v>6069</v>
      </c>
      <c r="F2187" s="16">
        <f>HYPERLINK("https://eosportal.federatedhermes.com/engagements/RW5nYWdlbWVudAppMzI3NTk=", "Increasing Non-Driver &amp; Pedestrian Safety Risk")</f>
      </c>
      <c r="G2187" s="14" t="s">
        <v>6070</v>
      </c>
      <c r="H2187" s="0" t="s">
        <v>141</v>
      </c>
      <c r="I2187" s="14" t="s">
        <v>191</v>
      </c>
      <c r="J2187" s="0" t="s">
        <v>153</v>
      </c>
      <c r="K2187" s="0" t="s">
        <v>185</v>
      </c>
      <c r="L2187" s="0" t="s">
        <v>626</v>
      </c>
      <c r="M2187" s="0" t="s">
        <v>135</v>
      </c>
      <c r="N2187" s="0" t="s">
        <v>136</v>
      </c>
      <c r="O2187" s="0" t="s">
        <v>425</v>
      </c>
      <c r="Q2187" s="0" t="s">
        <v>130</v>
      </c>
      <c r="R2187" s="0" t="s">
        <v>138</v>
      </c>
      <c r="S2187" s="14">
        <v>0</v>
      </c>
      <c r="T2187" s="0" t="s">
        <v>478</v>
      </c>
      <c r="U2187" s="0" t="s">
        <v>138</v>
      </c>
      <c r="V2187" s="14" t="s">
        <v>138</v>
      </c>
      <c r="W2187" s="0" t="s">
        <v>138</v>
      </c>
      <c r="X2187" s="14" t="s">
        <v>138</v>
      </c>
      <c r="Y2187" s="0" t="s">
        <v>138</v>
      </c>
      <c r="Z2187" s="14" t="s">
        <v>138</v>
      </c>
      <c r="AA2187" s="0" t="s">
        <v>138</v>
      </c>
      <c r="AB2187" s="14" t="s">
        <v>138</v>
      </c>
      <c r="AD2187" s="0" t="s">
        <v>138</v>
      </c>
      <c r="AF2187" s="0">
        <v>0</v>
      </c>
      <c r="AG2187" s="0">
        <v>0</v>
      </c>
      <c r="AH2187" s="0" t="s">
        <v>140</v>
      </c>
      <c r="AI2187" s="0" t="s">
        <v>138</v>
      </c>
      <c r="AL2187" s="14"/>
      <c r="AN2187" s="14"/>
      <c r="AQ2187" s="0" t="s">
        <v>130</v>
      </c>
      <c r="AR2187" s="0" t="s">
        <v>130</v>
      </c>
      <c r="AS2187" s="0" t="s">
        <v>130</v>
      </c>
      <c r="AT2187" s="0" t="s">
        <v>130</v>
      </c>
      <c r="AU2187" s="0" t="s">
        <v>130</v>
      </c>
      <c r="AV2187" s="0" t="s">
        <v>130</v>
      </c>
      <c r="AW2187" s="0" t="s">
        <v>130</v>
      </c>
      <c r="AX2187" s="0" t="s">
        <v>130</v>
      </c>
      <c r="AY2187" s="0" t="s">
        <v>130</v>
      </c>
      <c r="AZ2187" s="0" t="s">
        <v>130</v>
      </c>
      <c r="BA2187" s="0" t="s">
        <v>130</v>
      </c>
      <c r="BB2187" s="0" t="s">
        <v>130</v>
      </c>
      <c r="BC2187" s="0" t="s">
        <v>130</v>
      </c>
      <c r="BD2187" s="0" t="s">
        <v>130</v>
      </c>
      <c r="BE2187" s="0" t="s">
        <v>130</v>
      </c>
      <c r="BF2187" s="0" t="s">
        <v>130</v>
      </c>
      <c r="BG2187" s="0" t="s">
        <v>130</v>
      </c>
      <c r="BH2187" s="0" t="s">
        <v>130</v>
      </c>
      <c r="BI2187" s="0" t="s">
        <v>130</v>
      </c>
      <c r="BJ2187" s="0" t="s">
        <v>130</v>
      </c>
      <c r="BK2187" s="0" t="s">
        <v>130</v>
      </c>
      <c r="BL2187" s="0" t="s">
        <v>130</v>
      </c>
      <c r="BM2187" s="0" t="s">
        <v>130</v>
      </c>
      <c r="BN2187" s="0" t="s">
        <v>130</v>
      </c>
      <c r="BO2187" s="0" t="s">
        <v>130</v>
      </c>
      <c r="BP2187" s="0" t="s">
        <v>130</v>
      </c>
      <c r="BQ2187" s="0" t="s">
        <v>130</v>
      </c>
      <c r="BR2187" s="0" t="s">
        <v>130</v>
      </c>
      <c r="BS2187" s="0" t="s">
        <v>130</v>
      </c>
      <c r="BT2187" s="0" t="s">
        <v>130</v>
      </c>
      <c r="BU2187" s="0" t="s">
        <v>130</v>
      </c>
      <c r="BV2187" s="0" t="s">
        <v>130</v>
      </c>
      <c r="BW2187" s="0" t="s">
        <v>130</v>
      </c>
      <c r="BX2187" s="0" t="s">
        <v>130</v>
      </c>
      <c r="BY2187" s="0" t="s">
        <v>130</v>
      </c>
      <c r="BZ2187" s="0" t="s">
        <v>130</v>
      </c>
      <c r="CA2187" s="0" t="s">
        <v>130</v>
      </c>
      <c r="CB2187" s="0" t="s">
        <v>130</v>
      </c>
      <c r="CC2187" s="0" t="s">
        <v>130</v>
      </c>
      <c r="CD2187" s="0" t="s">
        <v>130</v>
      </c>
      <c r="CE2187" s="0" t="s">
        <v>130</v>
      </c>
      <c r="CF2187" s="0" t="s">
        <v>130</v>
      </c>
      <c r="CG2187" s="0" t="s">
        <v>130</v>
      </c>
      <c r="CH2187" s="0" t="s">
        <v>130</v>
      </c>
      <c r="CI2187" s="0" t="s">
        <v>130</v>
      </c>
      <c r="CJ2187" s="0" t="s">
        <v>130</v>
      </c>
      <c r="CK2187" s="0" t="s">
        <v>130</v>
      </c>
      <c r="CL2187" s="0" t="s">
        <v>130</v>
      </c>
      <c r="CM2187" s="0" t="s">
        <v>130</v>
      </c>
      <c r="CN2187" s="0" t="s">
        <v>130</v>
      </c>
      <c r="CO2187" s="0" t="s">
        <v>130</v>
      </c>
      <c r="CP2187" s="0" t="s">
        <v>130</v>
      </c>
      <c r="CQ2187" s="0" t="s">
        <v>130</v>
      </c>
      <c r="CR2187" s="0" t="s">
        <v>130</v>
      </c>
      <c r="CS2187" s="0" t="s">
        <v>130</v>
      </c>
      <c r="CT2187" s="0" t="s">
        <v>6071</v>
      </c>
    </row>
    <row r="2188">
      <c r="A2188" s="14">
        <v>156276</v>
      </c>
      <c r="B2188" s="0" t="s">
        <v>4955</v>
      </c>
      <c r="C2188" s="16">
        <f>HYPERLINK("https://eosportal.federatedhermes.com/companies/Q29tcGFueQppNTY2Njc=", "Lonza Group AG")</f>
      </c>
      <c r="D2188" s="0" t="s">
        <v>25</v>
      </c>
      <c r="E2188" s="0" t="s">
        <v>3772</v>
      </c>
      <c r="F2188" s="16">
        <f>HYPERLINK("https://eosportal.federatedhermes.com/engagements/RW5nYWdlbWVudAppMzI3NjQ=", "Conduct, Culture &amp; Ethics")</f>
      </c>
      <c r="G2188" s="14" t="s">
        <v>6072</v>
      </c>
      <c r="H2188" s="0" t="s">
        <v>130</v>
      </c>
      <c r="I2188" s="14" t="s">
        <v>319</v>
      </c>
      <c r="J2188" s="0" t="s">
        <v>153</v>
      </c>
      <c r="K2188" s="0" t="s">
        <v>185</v>
      </c>
      <c r="L2188" s="0" t="s">
        <v>186</v>
      </c>
      <c r="M2188" s="0" t="s">
        <v>378</v>
      </c>
      <c r="N2188" s="0" t="s">
        <v>1059</v>
      </c>
      <c r="O2188" s="0" t="s">
        <v>274</v>
      </c>
      <c r="Q2188" s="0" t="s">
        <v>130</v>
      </c>
      <c r="R2188" s="0" t="s">
        <v>138</v>
      </c>
      <c r="S2188" s="14">
        <v>0</v>
      </c>
      <c r="T2188" s="0" t="s">
        <v>478</v>
      </c>
      <c r="U2188" s="0" t="s">
        <v>138</v>
      </c>
      <c r="V2188" s="14" t="s">
        <v>138</v>
      </c>
      <c r="W2188" s="0" t="s">
        <v>138</v>
      </c>
      <c r="X2188" s="14" t="s">
        <v>138</v>
      </c>
      <c r="Y2188" s="0" t="s">
        <v>138</v>
      </c>
      <c r="Z2188" s="14" t="s">
        <v>138</v>
      </c>
      <c r="AA2188" s="0" t="s">
        <v>138</v>
      </c>
      <c r="AB2188" s="14" t="s">
        <v>138</v>
      </c>
      <c r="AD2188" s="0" t="s">
        <v>138</v>
      </c>
      <c r="AF2188" s="0">
        <v>0</v>
      </c>
      <c r="AG2188" s="0">
        <v>0</v>
      </c>
      <c r="AH2188" s="0" t="s">
        <v>140</v>
      </c>
      <c r="AI2188" s="0" t="s">
        <v>138</v>
      </c>
      <c r="AL2188" s="14"/>
      <c r="AN2188" s="14"/>
      <c r="AQ2188" s="0" t="s">
        <v>130</v>
      </c>
      <c r="AR2188" s="0" t="s">
        <v>130</v>
      </c>
      <c r="AS2188" s="0" t="s">
        <v>130</v>
      </c>
      <c r="AT2188" s="0" t="s">
        <v>130</v>
      </c>
      <c r="AU2188" s="0" t="s">
        <v>130</v>
      </c>
      <c r="AV2188" s="0" t="s">
        <v>130</v>
      </c>
      <c r="AW2188" s="0" t="s">
        <v>130</v>
      </c>
      <c r="AX2188" s="0" t="s">
        <v>130</v>
      </c>
      <c r="AY2188" s="0" t="s">
        <v>130</v>
      </c>
      <c r="AZ2188" s="0" t="s">
        <v>130</v>
      </c>
      <c r="BA2188" s="0" t="s">
        <v>130</v>
      </c>
      <c r="BB2188" s="0" t="s">
        <v>130</v>
      </c>
      <c r="BC2188" s="0" t="s">
        <v>130</v>
      </c>
      <c r="BD2188" s="0" t="s">
        <v>130</v>
      </c>
      <c r="BE2188" s="0" t="s">
        <v>130</v>
      </c>
      <c r="BF2188" s="0" t="s">
        <v>130</v>
      </c>
      <c r="BG2188" s="0" t="s">
        <v>130</v>
      </c>
      <c r="BH2188" s="0" t="s">
        <v>130</v>
      </c>
      <c r="BI2188" s="0" t="s">
        <v>130</v>
      </c>
      <c r="BJ2188" s="0" t="s">
        <v>130</v>
      </c>
      <c r="BK2188" s="0" t="s">
        <v>130</v>
      </c>
      <c r="BL2188" s="0" t="s">
        <v>130</v>
      </c>
      <c r="BM2188" s="0" t="s">
        <v>130</v>
      </c>
      <c r="BN2188" s="0" t="s">
        <v>130</v>
      </c>
      <c r="BO2188" s="0" t="s">
        <v>130</v>
      </c>
      <c r="BP2188" s="0" t="s">
        <v>130</v>
      </c>
      <c r="BQ2188" s="0" t="s">
        <v>130</v>
      </c>
      <c r="BR2188" s="0" t="s">
        <v>130</v>
      </c>
      <c r="BS2188" s="0" t="s">
        <v>130</v>
      </c>
      <c r="BT2188" s="0" t="s">
        <v>130</v>
      </c>
      <c r="BU2188" s="0" t="s">
        <v>130</v>
      </c>
      <c r="BV2188" s="0" t="s">
        <v>130</v>
      </c>
      <c r="BW2188" s="0" t="s">
        <v>130</v>
      </c>
      <c r="BX2188" s="0" t="s">
        <v>130</v>
      </c>
      <c r="BY2188" s="0" t="s">
        <v>130</v>
      </c>
      <c r="BZ2188" s="0" t="s">
        <v>130</v>
      </c>
      <c r="CA2188" s="0" t="s">
        <v>130</v>
      </c>
      <c r="CB2188" s="0" t="s">
        <v>130</v>
      </c>
      <c r="CC2188" s="0" t="s">
        <v>130</v>
      </c>
      <c r="CD2188" s="0" t="s">
        <v>130</v>
      </c>
      <c r="CE2188" s="0" t="s">
        <v>130</v>
      </c>
      <c r="CF2188" s="0" t="s">
        <v>130</v>
      </c>
      <c r="CG2188" s="0" t="s">
        <v>130</v>
      </c>
      <c r="CH2188" s="0" t="s">
        <v>130</v>
      </c>
      <c r="CI2188" s="0" t="s">
        <v>130</v>
      </c>
      <c r="CJ2188" s="0" t="s">
        <v>130</v>
      </c>
      <c r="CK2188" s="0" t="s">
        <v>130</v>
      </c>
      <c r="CL2188" s="0" t="s">
        <v>130</v>
      </c>
      <c r="CM2188" s="0" t="s">
        <v>130</v>
      </c>
      <c r="CN2188" s="0" t="s">
        <v>130</v>
      </c>
      <c r="CO2188" s="0" t="s">
        <v>130</v>
      </c>
      <c r="CP2188" s="0" t="s">
        <v>130</v>
      </c>
      <c r="CQ2188" s="0" t="s">
        <v>130</v>
      </c>
      <c r="CR2188" s="0" t="s">
        <v>130</v>
      </c>
      <c r="CS2188" s="0" t="s">
        <v>130</v>
      </c>
      <c r="CT2188" s="0" t="s">
        <v>6073</v>
      </c>
    </row>
    <row r="2189">
      <c r="A2189" s="14">
        <v>1442748</v>
      </c>
      <c r="B2189" s="0" t="s">
        <v>3624</v>
      </c>
      <c r="C2189" s="16">
        <f>HYPERLINK("https://eosportal.federatedhermes.com/companies/Q29tcGFueQppNjI1MDA=", "Mitsubishi UFJ Financial Group Inc")</f>
      </c>
      <c r="D2189" s="0" t="s">
        <v>25</v>
      </c>
      <c r="E2189" s="0" t="s">
        <v>1686</v>
      </c>
      <c r="F2189" s="16">
        <f>HYPERLINK("https://eosportal.federatedhermes.com/engagements/RW5nYWdlbWVudAppMzI3NjU=", "Board Gender Diversity")</f>
      </c>
      <c r="G2189" s="14" t="s">
        <v>6074</v>
      </c>
      <c r="H2189" s="0" t="s">
        <v>141</v>
      </c>
      <c r="I2189" s="14" t="s">
        <v>1645</v>
      </c>
      <c r="J2189" s="0" t="s">
        <v>145</v>
      </c>
      <c r="K2189" s="0" t="s">
        <v>164</v>
      </c>
      <c r="L2189" s="0" t="s">
        <v>165</v>
      </c>
      <c r="M2189" s="0" t="s">
        <v>802</v>
      </c>
      <c r="N2189" s="0" t="s">
        <v>952</v>
      </c>
      <c r="O2189" s="0" t="s">
        <v>238</v>
      </c>
      <c r="Q2189" s="0" t="s">
        <v>141</v>
      </c>
      <c r="R2189" s="0" t="s">
        <v>138</v>
      </c>
      <c r="S2189" s="14">
        <v>1</v>
      </c>
      <c r="T2189" s="0" t="s">
        <v>478</v>
      </c>
      <c r="U2189" s="0" t="s">
        <v>138</v>
      </c>
      <c r="V2189" s="14" t="s">
        <v>138</v>
      </c>
      <c r="W2189" s="0" t="s">
        <v>138</v>
      </c>
      <c r="X2189" s="14" t="s">
        <v>138</v>
      </c>
      <c r="Y2189" s="0" t="s">
        <v>138</v>
      </c>
      <c r="Z2189" s="14" t="s">
        <v>138</v>
      </c>
      <c r="AA2189" s="0" t="s">
        <v>138</v>
      </c>
      <c r="AB2189" s="14" t="s">
        <v>138</v>
      </c>
      <c r="AD2189" s="0" t="s">
        <v>138</v>
      </c>
      <c r="AF2189" s="0">
        <v>0</v>
      </c>
      <c r="AG2189" s="0">
        <v>0</v>
      </c>
      <c r="AH2189" s="0" t="s">
        <v>140</v>
      </c>
      <c r="AI2189" s="0" t="s">
        <v>138</v>
      </c>
      <c r="AK2189" s="0" t="s">
        <v>3789</v>
      </c>
      <c r="AL2189" s="14"/>
      <c r="AN2189" s="14"/>
      <c r="AQ2189" s="0" t="s">
        <v>130</v>
      </c>
      <c r="AR2189" s="0" t="s">
        <v>130</v>
      </c>
      <c r="AS2189" s="0" t="s">
        <v>130</v>
      </c>
      <c r="AT2189" s="0" t="s">
        <v>130</v>
      </c>
      <c r="AU2189" s="0" t="s">
        <v>141</v>
      </c>
      <c r="AV2189" s="0" t="s">
        <v>130</v>
      </c>
      <c r="AW2189" s="0" t="s">
        <v>130</v>
      </c>
      <c r="AX2189" s="0" t="s">
        <v>130</v>
      </c>
      <c r="AY2189" s="0" t="s">
        <v>130</v>
      </c>
      <c r="AZ2189" s="0" t="s">
        <v>130</v>
      </c>
      <c r="BA2189" s="0" t="s">
        <v>130</v>
      </c>
      <c r="BB2189" s="0" t="s">
        <v>130</v>
      </c>
      <c r="BC2189" s="0" t="s">
        <v>130</v>
      </c>
      <c r="BD2189" s="0" t="s">
        <v>130</v>
      </c>
      <c r="BE2189" s="0" t="s">
        <v>130</v>
      </c>
      <c r="BF2189" s="0" t="s">
        <v>130</v>
      </c>
      <c r="BG2189" s="0" t="s">
        <v>130</v>
      </c>
      <c r="BH2189" s="0" t="s">
        <v>130</v>
      </c>
      <c r="BI2189" s="0" t="s">
        <v>130</v>
      </c>
      <c r="BJ2189" s="0" t="s">
        <v>130</v>
      </c>
      <c r="BK2189" s="0" t="s">
        <v>130</v>
      </c>
      <c r="BL2189" s="0" t="s">
        <v>130</v>
      </c>
      <c r="BM2189" s="0" t="s">
        <v>130</v>
      </c>
      <c r="BN2189" s="0" t="s">
        <v>130</v>
      </c>
      <c r="BO2189" s="0" t="s">
        <v>130</v>
      </c>
      <c r="BP2189" s="0" t="s">
        <v>130</v>
      </c>
      <c r="BQ2189" s="0" t="s">
        <v>130</v>
      </c>
      <c r="BR2189" s="0" t="s">
        <v>130</v>
      </c>
      <c r="BS2189" s="0" t="s">
        <v>130</v>
      </c>
      <c r="BT2189" s="0" t="s">
        <v>130</v>
      </c>
      <c r="BU2189" s="0" t="s">
        <v>130</v>
      </c>
      <c r="BV2189" s="0" t="s">
        <v>130</v>
      </c>
      <c r="BW2189" s="0" t="s">
        <v>130</v>
      </c>
      <c r="BX2189" s="0" t="s">
        <v>130</v>
      </c>
      <c r="BY2189" s="0" t="s">
        <v>130</v>
      </c>
      <c r="BZ2189" s="0" t="s">
        <v>130</v>
      </c>
      <c r="CA2189" s="0" t="s">
        <v>130</v>
      </c>
      <c r="CB2189" s="0" t="s">
        <v>130</v>
      </c>
      <c r="CC2189" s="0" t="s">
        <v>130</v>
      </c>
      <c r="CD2189" s="0" t="s">
        <v>130</v>
      </c>
      <c r="CE2189" s="0" t="s">
        <v>130</v>
      </c>
      <c r="CF2189" s="0" t="s">
        <v>130</v>
      </c>
      <c r="CG2189" s="0" t="s">
        <v>130</v>
      </c>
      <c r="CH2189" s="0" t="s">
        <v>130</v>
      </c>
      <c r="CI2189" s="0" t="s">
        <v>130</v>
      </c>
      <c r="CJ2189" s="0" t="s">
        <v>130</v>
      </c>
      <c r="CK2189" s="0" t="s">
        <v>130</v>
      </c>
      <c r="CL2189" s="0" t="s">
        <v>130</v>
      </c>
      <c r="CM2189" s="0" t="s">
        <v>130</v>
      </c>
      <c r="CN2189" s="0" t="s">
        <v>130</v>
      </c>
      <c r="CO2189" s="0" t="s">
        <v>130</v>
      </c>
      <c r="CP2189" s="0" t="s">
        <v>130</v>
      </c>
      <c r="CQ2189" s="0" t="s">
        <v>130</v>
      </c>
      <c r="CR2189" s="0" t="s">
        <v>130</v>
      </c>
      <c r="CS2189" s="0" t="s">
        <v>130</v>
      </c>
      <c r="CT2189" s="0" t="s">
        <v>6075</v>
      </c>
    </row>
    <row r="2190">
      <c r="A2190" s="14">
        <v>114322</v>
      </c>
      <c r="B2190" s="0" t="s">
        <v>2042</v>
      </c>
      <c r="C2190" s="16">
        <f>HYPERLINK("https://eosportal.federatedhermes.com/companies/Q29tcGFueQppNjc3MjY=", "Nintendo Co Ltd")</f>
      </c>
      <c r="D2190" s="0" t="s">
        <v>25</v>
      </c>
      <c r="E2190" s="0" t="s">
        <v>6076</v>
      </c>
      <c r="F2190" s="16">
        <f>HYPERLINK("https://eosportal.federatedhermes.com/engagements/RW5nYWdlbWVudAppMzI3NzA=", "Reduction on cross shareholdings")</f>
      </c>
      <c r="G2190" s="14" t="s">
        <v>6077</v>
      </c>
      <c r="H2190" s="0" t="s">
        <v>141</v>
      </c>
      <c r="I2190" s="14" t="s">
        <v>131</v>
      </c>
      <c r="J2190" s="0" t="s">
        <v>145</v>
      </c>
      <c r="K2190" s="0" t="s">
        <v>400</v>
      </c>
      <c r="L2190" s="0" t="s">
        <v>401</v>
      </c>
      <c r="M2190" s="0" t="s">
        <v>802</v>
      </c>
      <c r="N2190" s="0" t="s">
        <v>952</v>
      </c>
      <c r="O2190" s="0" t="s">
        <v>137</v>
      </c>
      <c r="Q2190" s="0" t="s">
        <v>130</v>
      </c>
      <c r="R2190" s="0" t="s">
        <v>138</v>
      </c>
      <c r="S2190" s="14">
        <v>0</v>
      </c>
      <c r="T2190" s="0" t="s">
        <v>2629</v>
      </c>
      <c r="U2190" s="0" t="s">
        <v>138</v>
      </c>
      <c r="V2190" s="14" t="s">
        <v>138</v>
      </c>
      <c r="W2190" s="0" t="s">
        <v>138</v>
      </c>
      <c r="X2190" s="14" t="s">
        <v>138</v>
      </c>
      <c r="Y2190" s="0" t="s">
        <v>138</v>
      </c>
      <c r="Z2190" s="14" t="s">
        <v>138</v>
      </c>
      <c r="AA2190" s="0" t="s">
        <v>138</v>
      </c>
      <c r="AB2190" s="14" t="s">
        <v>138</v>
      </c>
      <c r="AD2190" s="0" t="s">
        <v>138</v>
      </c>
      <c r="AF2190" s="0">
        <v>0</v>
      </c>
      <c r="AG2190" s="0">
        <v>0</v>
      </c>
      <c r="AH2190" s="0" t="s">
        <v>140</v>
      </c>
      <c r="AI2190" s="0" t="s">
        <v>138</v>
      </c>
      <c r="AL2190" s="14"/>
      <c r="AN2190" s="14"/>
      <c r="AQ2190" s="0" t="s">
        <v>130</v>
      </c>
      <c r="AR2190" s="0" t="s">
        <v>130</v>
      </c>
      <c r="AS2190" s="0" t="s">
        <v>130</v>
      </c>
      <c r="AT2190" s="0" t="s">
        <v>130</v>
      </c>
      <c r="AU2190" s="0" t="s">
        <v>130</v>
      </c>
      <c r="AV2190" s="0" t="s">
        <v>130</v>
      </c>
      <c r="AW2190" s="0" t="s">
        <v>130</v>
      </c>
      <c r="AX2190" s="0" t="s">
        <v>130</v>
      </c>
      <c r="AY2190" s="0" t="s">
        <v>130</v>
      </c>
      <c r="AZ2190" s="0" t="s">
        <v>130</v>
      </c>
      <c r="BA2190" s="0" t="s">
        <v>130</v>
      </c>
      <c r="BB2190" s="0" t="s">
        <v>130</v>
      </c>
      <c r="BC2190" s="0" t="s">
        <v>130</v>
      </c>
      <c r="BD2190" s="0" t="s">
        <v>130</v>
      </c>
      <c r="BE2190" s="0" t="s">
        <v>130</v>
      </c>
      <c r="BF2190" s="0" t="s">
        <v>130</v>
      </c>
      <c r="BG2190" s="0" t="s">
        <v>130</v>
      </c>
      <c r="BH2190" s="0" t="s">
        <v>130</v>
      </c>
      <c r="BI2190" s="0" t="s">
        <v>130</v>
      </c>
      <c r="BJ2190" s="0" t="s">
        <v>130</v>
      </c>
      <c r="BK2190" s="0" t="s">
        <v>130</v>
      </c>
      <c r="BL2190" s="0" t="s">
        <v>130</v>
      </c>
      <c r="BM2190" s="0" t="s">
        <v>130</v>
      </c>
      <c r="BN2190" s="0" t="s">
        <v>130</v>
      </c>
      <c r="BO2190" s="0" t="s">
        <v>130</v>
      </c>
      <c r="BP2190" s="0" t="s">
        <v>130</v>
      </c>
      <c r="BQ2190" s="0" t="s">
        <v>130</v>
      </c>
      <c r="BR2190" s="0" t="s">
        <v>130</v>
      </c>
      <c r="BS2190" s="0" t="s">
        <v>130</v>
      </c>
      <c r="BT2190" s="0" t="s">
        <v>130</v>
      </c>
      <c r="BU2190" s="0" t="s">
        <v>130</v>
      </c>
      <c r="BV2190" s="0" t="s">
        <v>130</v>
      </c>
      <c r="BW2190" s="0" t="s">
        <v>130</v>
      </c>
      <c r="BX2190" s="0" t="s">
        <v>130</v>
      </c>
      <c r="BY2190" s="0" t="s">
        <v>130</v>
      </c>
      <c r="BZ2190" s="0" t="s">
        <v>130</v>
      </c>
      <c r="CA2190" s="0" t="s">
        <v>130</v>
      </c>
      <c r="CB2190" s="0" t="s">
        <v>130</v>
      </c>
      <c r="CC2190" s="0" t="s">
        <v>130</v>
      </c>
      <c r="CD2190" s="0" t="s">
        <v>130</v>
      </c>
      <c r="CE2190" s="0" t="s">
        <v>130</v>
      </c>
      <c r="CF2190" s="0" t="s">
        <v>130</v>
      </c>
      <c r="CG2190" s="0" t="s">
        <v>130</v>
      </c>
      <c r="CH2190" s="0" t="s">
        <v>130</v>
      </c>
      <c r="CI2190" s="0" t="s">
        <v>130</v>
      </c>
      <c r="CJ2190" s="0" t="s">
        <v>130</v>
      </c>
      <c r="CK2190" s="0" t="s">
        <v>130</v>
      </c>
      <c r="CL2190" s="0" t="s">
        <v>130</v>
      </c>
      <c r="CM2190" s="0" t="s">
        <v>130</v>
      </c>
      <c r="CN2190" s="0" t="s">
        <v>130</v>
      </c>
      <c r="CO2190" s="0" t="s">
        <v>130</v>
      </c>
      <c r="CP2190" s="0" t="s">
        <v>130</v>
      </c>
      <c r="CQ2190" s="0" t="s">
        <v>130</v>
      </c>
      <c r="CR2190" s="0" t="s">
        <v>130</v>
      </c>
      <c r="CS2190" s="0" t="s">
        <v>130</v>
      </c>
      <c r="CT2190" s="0" t="s">
        <v>6078</v>
      </c>
    </row>
    <row r="2191">
      <c r="A2191" s="14">
        <v>28399721</v>
      </c>
      <c r="B2191" s="0" t="s">
        <v>4350</v>
      </c>
      <c r="C2191" s="16">
        <f>HYPERLINK("https://eosportal.federatedhermes.com/companies/Q29tcGFueQppNTg5ODY=", "Phillips 66")</f>
      </c>
      <c r="D2191" s="0" t="s">
        <v>23</v>
      </c>
      <c r="E2191" s="0" t="s">
        <v>5543</v>
      </c>
      <c r="F2191" s="16">
        <f>HYPERLINK("https://eosportal.federatedhermes.com/engagements/RW5nYWdlbWVudAppMzI3NzU=", "Methane management best practices")</f>
      </c>
      <c r="G2191" s="14" t="s">
        <v>6079</v>
      </c>
      <c r="H2191" s="0" t="s">
        <v>141</v>
      </c>
      <c r="I2191" s="14" t="s">
        <v>191</v>
      </c>
      <c r="J2191" s="0" t="s">
        <v>197</v>
      </c>
      <c r="K2191" s="0" t="s">
        <v>198</v>
      </c>
      <c r="L2191" s="0" t="s">
        <v>220</v>
      </c>
      <c r="M2191" s="0" t="s">
        <v>135</v>
      </c>
      <c r="N2191" s="0" t="s">
        <v>136</v>
      </c>
      <c r="O2191" s="0" t="s">
        <v>542</v>
      </c>
      <c r="Q2191" s="0" t="s">
        <v>141</v>
      </c>
      <c r="R2191" s="0" t="s">
        <v>130</v>
      </c>
      <c r="S2191" s="14">
        <v>1</v>
      </c>
      <c r="T2191" s="0" t="s">
        <v>478</v>
      </c>
      <c r="U2191" s="0" t="s">
        <v>221</v>
      </c>
      <c r="V2191" s="14" t="s">
        <v>478</v>
      </c>
      <c r="W2191" s="0" t="s">
        <v>221</v>
      </c>
      <c r="X2191" s="14" t="s">
        <v>478</v>
      </c>
      <c r="Y2191" s="0" t="s">
        <v>221</v>
      </c>
      <c r="Z2191" s="14" t="s">
        <v>446</v>
      </c>
      <c r="AA2191" s="0" t="s">
        <v>223</v>
      </c>
      <c r="AB2191" s="14" t="s">
        <v>138</v>
      </c>
      <c r="AD2191" s="0" t="s">
        <v>20</v>
      </c>
      <c r="AF2191" s="0">
        <v>0</v>
      </c>
      <c r="AG2191" s="0">
        <v>0</v>
      </c>
      <c r="AH2191" s="0" t="s">
        <v>140</v>
      </c>
      <c r="AI2191" s="0" t="s">
        <v>598</v>
      </c>
      <c r="AK2191" s="0" t="s">
        <v>2376</v>
      </c>
      <c r="AL2191" s="14"/>
      <c r="AN2191" s="14"/>
      <c r="AQ2191" s="0" t="s">
        <v>130</v>
      </c>
      <c r="AR2191" s="0" t="s">
        <v>130</v>
      </c>
      <c r="AS2191" s="0" t="s">
        <v>130</v>
      </c>
      <c r="AT2191" s="0" t="s">
        <v>130</v>
      </c>
      <c r="AU2191" s="0" t="s">
        <v>130</v>
      </c>
      <c r="AV2191" s="0" t="s">
        <v>130</v>
      </c>
      <c r="AW2191" s="0" t="s">
        <v>141</v>
      </c>
      <c r="AX2191" s="0" t="s">
        <v>130</v>
      </c>
      <c r="AY2191" s="0" t="s">
        <v>141</v>
      </c>
      <c r="AZ2191" s="0" t="s">
        <v>130</v>
      </c>
      <c r="BA2191" s="0" t="s">
        <v>130</v>
      </c>
      <c r="BB2191" s="0" t="s">
        <v>130</v>
      </c>
      <c r="BC2191" s="0" t="s">
        <v>141</v>
      </c>
      <c r="BD2191" s="0" t="s">
        <v>130</v>
      </c>
      <c r="BE2191" s="0" t="s">
        <v>130</v>
      </c>
      <c r="BF2191" s="0" t="s">
        <v>130</v>
      </c>
      <c r="BG2191" s="0" t="s">
        <v>130</v>
      </c>
      <c r="BH2191" s="0" t="s">
        <v>130</v>
      </c>
      <c r="BI2191" s="0" t="s">
        <v>130</v>
      </c>
      <c r="BJ2191" s="0" t="s">
        <v>130</v>
      </c>
      <c r="BK2191" s="0" t="s">
        <v>130</v>
      </c>
      <c r="BL2191" s="0" t="s">
        <v>130</v>
      </c>
      <c r="BM2191" s="0" t="s">
        <v>130</v>
      </c>
      <c r="BN2191" s="0" t="s">
        <v>130</v>
      </c>
      <c r="BO2191" s="0" t="s">
        <v>130</v>
      </c>
      <c r="BP2191" s="0" t="s">
        <v>130</v>
      </c>
      <c r="BQ2191" s="0" t="s">
        <v>130</v>
      </c>
      <c r="BR2191" s="0" t="s">
        <v>130</v>
      </c>
      <c r="BS2191" s="0" t="s">
        <v>130</v>
      </c>
      <c r="BT2191" s="0" t="s">
        <v>130</v>
      </c>
      <c r="BU2191" s="0" t="s">
        <v>130</v>
      </c>
      <c r="BV2191" s="0" t="s">
        <v>130</v>
      </c>
      <c r="BW2191" s="0" t="s">
        <v>130</v>
      </c>
      <c r="BX2191" s="0" t="s">
        <v>130</v>
      </c>
      <c r="BY2191" s="0" t="s">
        <v>130</v>
      </c>
      <c r="BZ2191" s="0" t="s">
        <v>130</v>
      </c>
      <c r="CA2191" s="0" t="s">
        <v>130</v>
      </c>
      <c r="CB2191" s="0" t="s">
        <v>130</v>
      </c>
      <c r="CC2191" s="0" t="s">
        <v>130</v>
      </c>
      <c r="CD2191" s="0" t="s">
        <v>130</v>
      </c>
      <c r="CE2191" s="0" t="s">
        <v>130</v>
      </c>
      <c r="CF2191" s="0" t="s">
        <v>130</v>
      </c>
      <c r="CG2191" s="0" t="s">
        <v>130</v>
      </c>
      <c r="CH2191" s="0" t="s">
        <v>130</v>
      </c>
      <c r="CI2191" s="0" t="s">
        <v>130</v>
      </c>
      <c r="CJ2191" s="0" t="s">
        <v>130</v>
      </c>
      <c r="CK2191" s="0" t="s">
        <v>130</v>
      </c>
      <c r="CL2191" s="0" t="s">
        <v>130</v>
      </c>
      <c r="CM2191" s="0" t="s">
        <v>130</v>
      </c>
      <c r="CN2191" s="0" t="s">
        <v>130</v>
      </c>
      <c r="CO2191" s="0" t="s">
        <v>130</v>
      </c>
      <c r="CP2191" s="0" t="s">
        <v>130</v>
      </c>
      <c r="CQ2191" s="0" t="s">
        <v>130</v>
      </c>
      <c r="CR2191" s="0" t="s">
        <v>130</v>
      </c>
      <c r="CS2191" s="0" t="s">
        <v>130</v>
      </c>
      <c r="CT2191" s="0" t="s">
        <v>6080</v>
      </c>
    </row>
    <row r="2192">
      <c r="A2192" s="14">
        <v>101177</v>
      </c>
      <c r="B2192" s="0" t="s">
        <v>5248</v>
      </c>
      <c r="C2192" s="16">
        <f>HYPERLINK("https://eosportal.federatedhermes.com/companies/Q29tcGFueQppODUwMDc=", "PulteGroup Inc")</f>
      </c>
      <c r="D2192" s="0" t="s">
        <v>23</v>
      </c>
      <c r="E2192" s="0" t="s">
        <v>6081</v>
      </c>
      <c r="F2192" s="16">
        <f>HYPERLINK("https://eosportal.federatedhermes.com/engagements/RW5nYWdlbWVudAppMzI3ODQ=", "Supply chain deforestation commitment")</f>
      </c>
      <c r="G2192" s="14" t="s">
        <v>6082</v>
      </c>
      <c r="H2192" s="0" t="s">
        <v>130</v>
      </c>
      <c r="I2192" s="14" t="s">
        <v>131</v>
      </c>
      <c r="J2192" s="0" t="s">
        <v>197</v>
      </c>
      <c r="K2192" s="0" t="s">
        <v>337</v>
      </c>
      <c r="L2192" s="0" t="s">
        <v>576</v>
      </c>
      <c r="M2192" s="0" t="s">
        <v>135</v>
      </c>
      <c r="N2192" s="0" t="s">
        <v>136</v>
      </c>
      <c r="O2192" s="0" t="s">
        <v>332</v>
      </c>
      <c r="Q2192" s="0" t="s">
        <v>141</v>
      </c>
      <c r="R2192" s="0" t="s">
        <v>130</v>
      </c>
      <c r="S2192" s="14">
        <v>1</v>
      </c>
      <c r="T2192" s="0" t="s">
        <v>2270</v>
      </c>
      <c r="U2192" s="0" t="s">
        <v>221</v>
      </c>
      <c r="V2192" s="14" t="s">
        <v>2270</v>
      </c>
      <c r="W2192" s="0" t="s">
        <v>221</v>
      </c>
      <c r="X2192" s="14" t="s">
        <v>4412</v>
      </c>
      <c r="Y2192" s="0" t="s">
        <v>223</v>
      </c>
      <c r="Z2192" s="14" t="s">
        <v>138</v>
      </c>
      <c r="AA2192" s="0" t="s">
        <v>224</v>
      </c>
      <c r="AB2192" s="14" t="s">
        <v>138</v>
      </c>
      <c r="AD2192" s="0" t="s">
        <v>17</v>
      </c>
      <c r="AF2192" s="0">
        <v>0</v>
      </c>
      <c r="AG2192" s="0">
        <v>0</v>
      </c>
      <c r="AH2192" s="0" t="s">
        <v>140</v>
      </c>
      <c r="AI2192" s="0" t="s">
        <v>479</v>
      </c>
      <c r="AK2192" s="0" t="s">
        <v>578</v>
      </c>
      <c r="AL2192" s="14"/>
      <c r="AN2192" s="14"/>
      <c r="AQ2192" s="0" t="s">
        <v>130</v>
      </c>
      <c r="AR2192" s="0" t="s">
        <v>141</v>
      </c>
      <c r="AS2192" s="0" t="s">
        <v>130</v>
      </c>
      <c r="AT2192" s="0" t="s">
        <v>130</v>
      </c>
      <c r="AU2192" s="0" t="s">
        <v>130</v>
      </c>
      <c r="AV2192" s="0" t="s">
        <v>130</v>
      </c>
      <c r="AW2192" s="0" t="s">
        <v>130</v>
      </c>
      <c r="AX2192" s="0" t="s">
        <v>130</v>
      </c>
      <c r="AY2192" s="0" t="s">
        <v>130</v>
      </c>
      <c r="AZ2192" s="0" t="s">
        <v>130</v>
      </c>
      <c r="BA2192" s="0" t="s">
        <v>130</v>
      </c>
      <c r="BB2192" s="0" t="s">
        <v>141</v>
      </c>
      <c r="BC2192" s="0" t="s">
        <v>130</v>
      </c>
      <c r="BD2192" s="0" t="s">
        <v>130</v>
      </c>
      <c r="BE2192" s="0" t="s">
        <v>141</v>
      </c>
      <c r="BF2192" s="0" t="s">
        <v>130</v>
      </c>
      <c r="BG2192" s="0" t="s">
        <v>130</v>
      </c>
      <c r="BH2192" s="0" t="s">
        <v>130</v>
      </c>
      <c r="BI2192" s="0" t="s">
        <v>130</v>
      </c>
      <c r="BJ2192" s="0" t="s">
        <v>130</v>
      </c>
      <c r="BK2192" s="0" t="s">
        <v>130</v>
      </c>
      <c r="BL2192" s="0" t="s">
        <v>130</v>
      </c>
      <c r="BM2192" s="0" t="s">
        <v>130</v>
      </c>
      <c r="BN2192" s="0" t="s">
        <v>130</v>
      </c>
      <c r="BO2192" s="0" t="s">
        <v>130</v>
      </c>
      <c r="BP2192" s="0" t="s">
        <v>130</v>
      </c>
      <c r="BQ2192" s="0" t="s">
        <v>130</v>
      </c>
      <c r="BR2192" s="0" t="s">
        <v>130</v>
      </c>
      <c r="BS2192" s="0" t="s">
        <v>130</v>
      </c>
      <c r="BT2192" s="0" t="s">
        <v>130</v>
      </c>
      <c r="BU2192" s="0" t="s">
        <v>130</v>
      </c>
      <c r="BV2192" s="0" t="s">
        <v>130</v>
      </c>
      <c r="BW2192" s="0" t="s">
        <v>130</v>
      </c>
      <c r="BX2192" s="0" t="s">
        <v>130</v>
      </c>
      <c r="BY2192" s="0" t="s">
        <v>130</v>
      </c>
      <c r="BZ2192" s="0" t="s">
        <v>130</v>
      </c>
      <c r="CA2192" s="0" t="s">
        <v>130</v>
      </c>
      <c r="CB2192" s="0" t="s">
        <v>130</v>
      </c>
      <c r="CC2192" s="0" t="s">
        <v>130</v>
      </c>
      <c r="CD2192" s="0" t="s">
        <v>130</v>
      </c>
      <c r="CE2192" s="0" t="s">
        <v>130</v>
      </c>
      <c r="CF2192" s="0" t="s">
        <v>130</v>
      </c>
      <c r="CG2192" s="0" t="s">
        <v>130</v>
      </c>
      <c r="CH2192" s="0" t="s">
        <v>130</v>
      </c>
      <c r="CI2192" s="0" t="s">
        <v>130</v>
      </c>
      <c r="CJ2192" s="0" t="s">
        <v>130</v>
      </c>
      <c r="CK2192" s="0" t="s">
        <v>130</v>
      </c>
      <c r="CL2192" s="0" t="s">
        <v>130</v>
      </c>
      <c r="CM2192" s="0" t="s">
        <v>130</v>
      </c>
      <c r="CN2192" s="0" t="s">
        <v>130</v>
      </c>
      <c r="CO2192" s="0" t="s">
        <v>130</v>
      </c>
      <c r="CP2192" s="0" t="s">
        <v>130</v>
      </c>
      <c r="CQ2192" s="0" t="s">
        <v>130</v>
      </c>
      <c r="CR2192" s="0" t="s">
        <v>130</v>
      </c>
      <c r="CS2192" s="0" t="s">
        <v>130</v>
      </c>
      <c r="CT2192" s="0" t="s">
        <v>6083</v>
      </c>
    </row>
    <row r="2193">
      <c r="A2193" s="14">
        <v>8023686</v>
      </c>
      <c r="B2193" s="0" t="s">
        <v>3886</v>
      </c>
      <c r="C2193" s="16">
        <f>HYPERLINK("https://eosportal.federatedhermes.com/companies/Q29tcGFueQppODQwNjc=", "Mizuho Financial Group Inc")</f>
      </c>
      <c r="D2193" s="0" t="s">
        <v>23</v>
      </c>
      <c r="E2193" s="0" t="s">
        <v>6084</v>
      </c>
      <c r="F2193" s="16">
        <f>HYPERLINK("https://eosportal.federatedhermes.com/engagements/RW5nYWdlbWVudAppMzI3ODc=", "Enhance financing policy to protect biodiversity")</f>
      </c>
      <c r="G2193" s="14" t="s">
        <v>6085</v>
      </c>
      <c r="H2193" s="0" t="s">
        <v>141</v>
      </c>
      <c r="I2193" s="14" t="s">
        <v>191</v>
      </c>
      <c r="J2193" s="0" t="s">
        <v>197</v>
      </c>
      <c r="K2193" s="0" t="s">
        <v>337</v>
      </c>
      <c r="L2193" s="0" t="s">
        <v>576</v>
      </c>
      <c r="M2193" s="0" t="s">
        <v>802</v>
      </c>
      <c r="N2193" s="0" t="s">
        <v>952</v>
      </c>
      <c r="O2193" s="0" t="s">
        <v>238</v>
      </c>
      <c r="Q2193" s="0" t="s">
        <v>130</v>
      </c>
      <c r="R2193" s="0" t="s">
        <v>130</v>
      </c>
      <c r="S2193" s="14">
        <v>0</v>
      </c>
      <c r="T2193" s="0" t="s">
        <v>394</v>
      </c>
      <c r="U2193" s="0" t="s">
        <v>221</v>
      </c>
      <c r="V2193" s="14" t="s">
        <v>394</v>
      </c>
      <c r="W2193" s="0" t="s">
        <v>223</v>
      </c>
      <c r="X2193" s="14" t="s">
        <v>138</v>
      </c>
      <c r="Y2193" s="0" t="s">
        <v>224</v>
      </c>
      <c r="Z2193" s="14" t="s">
        <v>138</v>
      </c>
      <c r="AA2193" s="0" t="s">
        <v>224</v>
      </c>
      <c r="AB2193" s="14" t="s">
        <v>138</v>
      </c>
      <c r="AD2193" s="0" t="s">
        <v>14</v>
      </c>
      <c r="AF2193" s="0">
        <v>0</v>
      </c>
      <c r="AG2193" s="0">
        <v>0</v>
      </c>
      <c r="AH2193" s="0" t="s">
        <v>140</v>
      </c>
      <c r="AI2193" s="0" t="s">
        <v>598</v>
      </c>
      <c r="AL2193" s="14"/>
      <c r="AN2193" s="14"/>
      <c r="AQ2193" s="0" t="s">
        <v>130</v>
      </c>
      <c r="AR2193" s="0" t="s">
        <v>141</v>
      </c>
      <c r="AS2193" s="0" t="s">
        <v>130</v>
      </c>
      <c r="AT2193" s="0" t="s">
        <v>130</v>
      </c>
      <c r="AU2193" s="0" t="s">
        <v>130</v>
      </c>
      <c r="AV2193" s="0" t="s">
        <v>130</v>
      </c>
      <c r="AW2193" s="0" t="s">
        <v>130</v>
      </c>
      <c r="AX2193" s="0" t="s">
        <v>130</v>
      </c>
      <c r="AY2193" s="0" t="s">
        <v>130</v>
      </c>
      <c r="AZ2193" s="0" t="s">
        <v>130</v>
      </c>
      <c r="BA2193" s="0" t="s">
        <v>130</v>
      </c>
      <c r="BB2193" s="0" t="s">
        <v>141</v>
      </c>
      <c r="BC2193" s="0" t="s">
        <v>130</v>
      </c>
      <c r="BD2193" s="0" t="s">
        <v>130</v>
      </c>
      <c r="BE2193" s="0" t="s">
        <v>141</v>
      </c>
      <c r="BF2193" s="0" t="s">
        <v>130</v>
      </c>
      <c r="BG2193" s="0" t="s">
        <v>130</v>
      </c>
      <c r="BH2193" s="0" t="s">
        <v>130</v>
      </c>
      <c r="BI2193" s="0" t="s">
        <v>130</v>
      </c>
      <c r="BJ2193" s="0" t="s">
        <v>130</v>
      </c>
      <c r="BK2193" s="0" t="s">
        <v>130</v>
      </c>
      <c r="BL2193" s="0" t="s">
        <v>130</v>
      </c>
      <c r="BM2193" s="0" t="s">
        <v>130</v>
      </c>
      <c r="BN2193" s="0" t="s">
        <v>130</v>
      </c>
      <c r="BO2193" s="0" t="s">
        <v>130</v>
      </c>
      <c r="BP2193" s="0" t="s">
        <v>130</v>
      </c>
      <c r="BQ2193" s="0" t="s">
        <v>130</v>
      </c>
      <c r="BR2193" s="0" t="s">
        <v>130</v>
      </c>
      <c r="BS2193" s="0" t="s">
        <v>130</v>
      </c>
      <c r="BT2193" s="0" t="s">
        <v>130</v>
      </c>
      <c r="BU2193" s="0" t="s">
        <v>130</v>
      </c>
      <c r="BV2193" s="0" t="s">
        <v>130</v>
      </c>
      <c r="BW2193" s="0" t="s">
        <v>130</v>
      </c>
      <c r="BX2193" s="0" t="s">
        <v>130</v>
      </c>
      <c r="BY2193" s="0" t="s">
        <v>130</v>
      </c>
      <c r="BZ2193" s="0" t="s">
        <v>130</v>
      </c>
      <c r="CA2193" s="0" t="s">
        <v>130</v>
      </c>
      <c r="CB2193" s="0" t="s">
        <v>130</v>
      </c>
      <c r="CC2193" s="0" t="s">
        <v>130</v>
      </c>
      <c r="CD2193" s="0" t="s">
        <v>130</v>
      </c>
      <c r="CE2193" s="0" t="s">
        <v>130</v>
      </c>
      <c r="CF2193" s="0" t="s">
        <v>130</v>
      </c>
      <c r="CG2193" s="0" t="s">
        <v>130</v>
      </c>
      <c r="CH2193" s="0" t="s">
        <v>130</v>
      </c>
      <c r="CI2193" s="0" t="s">
        <v>130</v>
      </c>
      <c r="CJ2193" s="0" t="s">
        <v>130</v>
      </c>
      <c r="CK2193" s="0" t="s">
        <v>130</v>
      </c>
      <c r="CL2193" s="0" t="s">
        <v>130</v>
      </c>
      <c r="CM2193" s="0" t="s">
        <v>130</v>
      </c>
      <c r="CN2193" s="0" t="s">
        <v>130</v>
      </c>
      <c r="CO2193" s="0" t="s">
        <v>130</v>
      </c>
      <c r="CP2193" s="0" t="s">
        <v>130</v>
      </c>
      <c r="CQ2193" s="0" t="s">
        <v>130</v>
      </c>
      <c r="CR2193" s="0" t="s">
        <v>130</v>
      </c>
      <c r="CS2193" s="0" t="s">
        <v>130</v>
      </c>
      <c r="CT2193" s="0" t="s">
        <v>6086</v>
      </c>
    </row>
    <row r="2194">
      <c r="A2194" s="14">
        <v>8023686</v>
      </c>
      <c r="B2194" s="0" t="s">
        <v>3886</v>
      </c>
      <c r="C2194" s="16">
        <f>HYPERLINK("https://eosportal.federatedhermes.com/companies/Q29tcGFueQppODQwNjc=", "Mizuho Financial Group Inc")</f>
      </c>
      <c r="D2194" s="0" t="s">
        <v>23</v>
      </c>
      <c r="E2194" s="0" t="s">
        <v>5500</v>
      </c>
      <c r="F2194" s="16">
        <f>HYPERLINK("https://eosportal.federatedhermes.com/engagements/RW5nYWdlbWVudAppMzI3ODg=", "Human rights due diligence")</f>
      </c>
      <c r="G2194" s="14" t="s">
        <v>6087</v>
      </c>
      <c r="H2194" s="0" t="s">
        <v>141</v>
      </c>
      <c r="I2194" s="14" t="s">
        <v>191</v>
      </c>
      <c r="J2194" s="0" t="s">
        <v>153</v>
      </c>
      <c r="K2194" s="0" t="s">
        <v>243</v>
      </c>
      <c r="L2194" s="0" t="s">
        <v>244</v>
      </c>
      <c r="M2194" s="0" t="s">
        <v>802</v>
      </c>
      <c r="N2194" s="0" t="s">
        <v>952</v>
      </c>
      <c r="O2194" s="0" t="s">
        <v>238</v>
      </c>
      <c r="Q2194" s="0" t="s">
        <v>130</v>
      </c>
      <c r="R2194" s="0" t="s">
        <v>130</v>
      </c>
      <c r="S2194" s="14">
        <v>0</v>
      </c>
      <c r="T2194" s="0" t="s">
        <v>583</v>
      </c>
      <c r="U2194" s="0" t="s">
        <v>221</v>
      </c>
      <c r="V2194" s="14" t="s">
        <v>583</v>
      </c>
      <c r="W2194" s="0" t="s">
        <v>221</v>
      </c>
      <c r="X2194" s="14" t="s">
        <v>2629</v>
      </c>
      <c r="Y2194" s="0" t="s">
        <v>223</v>
      </c>
      <c r="Z2194" s="14" t="s">
        <v>138</v>
      </c>
      <c r="AA2194" s="0" t="s">
        <v>224</v>
      </c>
      <c r="AB2194" s="14" t="s">
        <v>138</v>
      </c>
      <c r="AD2194" s="0" t="s">
        <v>17</v>
      </c>
      <c r="AF2194" s="0">
        <v>0</v>
      </c>
      <c r="AG2194" s="0">
        <v>0</v>
      </c>
      <c r="AH2194" s="0" t="s">
        <v>140</v>
      </c>
      <c r="AI2194" s="0" t="s">
        <v>598</v>
      </c>
      <c r="AL2194" s="14"/>
      <c r="AN2194" s="14"/>
      <c r="AQ2194" s="0" t="s">
        <v>130</v>
      </c>
      <c r="AR2194" s="0" t="s">
        <v>130</v>
      </c>
      <c r="AS2194" s="0" t="s">
        <v>130</v>
      </c>
      <c r="AT2194" s="0" t="s">
        <v>130</v>
      </c>
      <c r="AU2194" s="0" t="s">
        <v>130</v>
      </c>
      <c r="AV2194" s="0" t="s">
        <v>130</v>
      </c>
      <c r="AW2194" s="0" t="s">
        <v>130</v>
      </c>
      <c r="AX2194" s="0" t="s">
        <v>141</v>
      </c>
      <c r="AY2194" s="0" t="s">
        <v>130</v>
      </c>
      <c r="AZ2194" s="0" t="s">
        <v>130</v>
      </c>
      <c r="BA2194" s="0" t="s">
        <v>130</v>
      </c>
      <c r="BB2194" s="0" t="s">
        <v>130</v>
      </c>
      <c r="BC2194" s="0" t="s">
        <v>130</v>
      </c>
      <c r="BD2194" s="0" t="s">
        <v>130</v>
      </c>
      <c r="BE2194" s="0" t="s">
        <v>130</v>
      </c>
      <c r="BF2194" s="0" t="s">
        <v>130</v>
      </c>
      <c r="BG2194" s="0" t="s">
        <v>130</v>
      </c>
      <c r="BH2194" s="0" t="s">
        <v>130</v>
      </c>
      <c r="BI2194" s="0" t="s">
        <v>130</v>
      </c>
      <c r="BJ2194" s="0" t="s">
        <v>130</v>
      </c>
      <c r="BK2194" s="0" t="s">
        <v>130</v>
      </c>
      <c r="BL2194" s="0" t="s">
        <v>130</v>
      </c>
      <c r="BM2194" s="0" t="s">
        <v>130</v>
      </c>
      <c r="BN2194" s="0" t="s">
        <v>130</v>
      </c>
      <c r="BO2194" s="0" t="s">
        <v>130</v>
      </c>
      <c r="BP2194" s="0" t="s">
        <v>130</v>
      </c>
      <c r="BQ2194" s="0" t="s">
        <v>130</v>
      </c>
      <c r="BR2194" s="0" t="s">
        <v>130</v>
      </c>
      <c r="BS2194" s="0" t="s">
        <v>130</v>
      </c>
      <c r="BT2194" s="0" t="s">
        <v>130</v>
      </c>
      <c r="BU2194" s="0" t="s">
        <v>130</v>
      </c>
      <c r="BV2194" s="0" t="s">
        <v>130</v>
      </c>
      <c r="BW2194" s="0" t="s">
        <v>130</v>
      </c>
      <c r="BX2194" s="0" t="s">
        <v>130</v>
      </c>
      <c r="BY2194" s="0" t="s">
        <v>130</v>
      </c>
      <c r="BZ2194" s="0" t="s">
        <v>130</v>
      </c>
      <c r="CA2194" s="0" t="s">
        <v>130</v>
      </c>
      <c r="CB2194" s="0" t="s">
        <v>130</v>
      </c>
      <c r="CC2194" s="0" t="s">
        <v>130</v>
      </c>
      <c r="CD2194" s="0" t="s">
        <v>130</v>
      </c>
      <c r="CE2194" s="0" t="s">
        <v>130</v>
      </c>
      <c r="CF2194" s="0" t="s">
        <v>130</v>
      </c>
      <c r="CG2194" s="0" t="s">
        <v>130</v>
      </c>
      <c r="CH2194" s="0" t="s">
        <v>130</v>
      </c>
      <c r="CI2194" s="0" t="s">
        <v>130</v>
      </c>
      <c r="CJ2194" s="0" t="s">
        <v>130</v>
      </c>
      <c r="CK2194" s="0" t="s">
        <v>130</v>
      </c>
      <c r="CL2194" s="0" t="s">
        <v>130</v>
      </c>
      <c r="CM2194" s="0" t="s">
        <v>130</v>
      </c>
      <c r="CN2194" s="0" t="s">
        <v>130</v>
      </c>
      <c r="CO2194" s="0" t="s">
        <v>130</v>
      </c>
      <c r="CP2194" s="0" t="s">
        <v>130</v>
      </c>
      <c r="CQ2194" s="0" t="s">
        <v>130</v>
      </c>
      <c r="CR2194" s="0" t="s">
        <v>130</v>
      </c>
      <c r="CS2194" s="0" t="s">
        <v>130</v>
      </c>
      <c r="CT2194" s="0" t="s">
        <v>6088</v>
      </c>
    </row>
    <row r="2195">
      <c r="A2195" s="14">
        <v>116420</v>
      </c>
      <c r="B2195" s="0" t="s">
        <v>2745</v>
      </c>
      <c r="C2195" s="16">
        <f>HYPERLINK("https://eosportal.federatedhermes.com/companies/Q29tcGFueQppNzcwNDg=", "Geely Automobile Holdings Ltd")</f>
      </c>
      <c r="D2195" s="0" t="s">
        <v>25</v>
      </c>
      <c r="E2195" s="0" t="s">
        <v>341</v>
      </c>
      <c r="F2195" s="16">
        <f>HYPERLINK("https://eosportal.federatedhermes.com/engagements/RW5nYWdlbWVudAppMzI3OTM=", "Remuneration")</f>
      </c>
      <c r="G2195" s="14" t="s">
        <v>6089</v>
      </c>
      <c r="H2195" s="0" t="s">
        <v>141</v>
      </c>
      <c r="I2195" s="14" t="s">
        <v>191</v>
      </c>
      <c r="J2195" s="0" t="s">
        <v>145</v>
      </c>
      <c r="K2195" s="0" t="s">
        <v>146</v>
      </c>
      <c r="L2195" s="0" t="s">
        <v>147</v>
      </c>
      <c r="M2195" s="0" t="s">
        <v>802</v>
      </c>
      <c r="N2195" s="0" t="s">
        <v>803</v>
      </c>
      <c r="O2195" s="0" t="s">
        <v>425</v>
      </c>
      <c r="Q2195" s="0" t="s">
        <v>130</v>
      </c>
      <c r="R2195" s="0" t="s">
        <v>138</v>
      </c>
      <c r="S2195" s="14">
        <v>0</v>
      </c>
      <c r="T2195" s="0" t="s">
        <v>478</v>
      </c>
      <c r="U2195" s="0" t="s">
        <v>138</v>
      </c>
      <c r="V2195" s="14" t="s">
        <v>138</v>
      </c>
      <c r="W2195" s="0" t="s">
        <v>138</v>
      </c>
      <c r="X2195" s="14" t="s">
        <v>138</v>
      </c>
      <c r="Y2195" s="0" t="s">
        <v>138</v>
      </c>
      <c r="Z2195" s="14" t="s">
        <v>138</v>
      </c>
      <c r="AA2195" s="0" t="s">
        <v>138</v>
      </c>
      <c r="AB2195" s="14" t="s">
        <v>138</v>
      </c>
      <c r="AD2195" s="0" t="s">
        <v>138</v>
      </c>
      <c r="AF2195" s="0">
        <v>0</v>
      </c>
      <c r="AG2195" s="0">
        <v>0</v>
      </c>
      <c r="AH2195" s="0" t="s">
        <v>140</v>
      </c>
      <c r="AI2195" s="0" t="s">
        <v>138</v>
      </c>
      <c r="AL2195" s="14"/>
      <c r="AN2195" s="14"/>
      <c r="AQ2195" s="0" t="s">
        <v>130</v>
      </c>
      <c r="AR2195" s="0" t="s">
        <v>130</v>
      </c>
      <c r="AS2195" s="0" t="s">
        <v>130</v>
      </c>
      <c r="AT2195" s="0" t="s">
        <v>130</v>
      </c>
      <c r="AU2195" s="0" t="s">
        <v>130</v>
      </c>
      <c r="AV2195" s="0" t="s">
        <v>130</v>
      </c>
      <c r="AW2195" s="0" t="s">
        <v>130</v>
      </c>
      <c r="AX2195" s="0" t="s">
        <v>130</v>
      </c>
      <c r="AY2195" s="0" t="s">
        <v>130</v>
      </c>
      <c r="AZ2195" s="0" t="s">
        <v>130</v>
      </c>
      <c r="BA2195" s="0" t="s">
        <v>130</v>
      </c>
      <c r="BB2195" s="0" t="s">
        <v>130</v>
      </c>
      <c r="BC2195" s="0" t="s">
        <v>130</v>
      </c>
      <c r="BD2195" s="0" t="s">
        <v>130</v>
      </c>
      <c r="BE2195" s="0" t="s">
        <v>130</v>
      </c>
      <c r="BF2195" s="0" t="s">
        <v>130</v>
      </c>
      <c r="BG2195" s="0" t="s">
        <v>130</v>
      </c>
      <c r="BH2195" s="0" t="s">
        <v>130</v>
      </c>
      <c r="BI2195" s="0" t="s">
        <v>130</v>
      </c>
      <c r="BJ2195" s="0" t="s">
        <v>130</v>
      </c>
      <c r="BK2195" s="0" t="s">
        <v>130</v>
      </c>
      <c r="BL2195" s="0" t="s">
        <v>130</v>
      </c>
      <c r="BM2195" s="0" t="s">
        <v>130</v>
      </c>
      <c r="BN2195" s="0" t="s">
        <v>130</v>
      </c>
      <c r="BO2195" s="0" t="s">
        <v>130</v>
      </c>
      <c r="BP2195" s="0" t="s">
        <v>130</v>
      </c>
      <c r="BQ2195" s="0" t="s">
        <v>130</v>
      </c>
      <c r="BR2195" s="0" t="s">
        <v>130</v>
      </c>
      <c r="BS2195" s="0" t="s">
        <v>130</v>
      </c>
      <c r="BT2195" s="0" t="s">
        <v>130</v>
      </c>
      <c r="BU2195" s="0" t="s">
        <v>130</v>
      </c>
      <c r="BV2195" s="0" t="s">
        <v>130</v>
      </c>
      <c r="BW2195" s="0" t="s">
        <v>130</v>
      </c>
      <c r="BX2195" s="0" t="s">
        <v>130</v>
      </c>
      <c r="BY2195" s="0" t="s">
        <v>130</v>
      </c>
      <c r="BZ2195" s="0" t="s">
        <v>130</v>
      </c>
      <c r="CA2195" s="0" t="s">
        <v>130</v>
      </c>
      <c r="CB2195" s="0" t="s">
        <v>130</v>
      </c>
      <c r="CC2195" s="0" t="s">
        <v>130</v>
      </c>
      <c r="CD2195" s="0" t="s">
        <v>130</v>
      </c>
      <c r="CE2195" s="0" t="s">
        <v>130</v>
      </c>
      <c r="CF2195" s="0" t="s">
        <v>130</v>
      </c>
      <c r="CG2195" s="0" t="s">
        <v>130</v>
      </c>
      <c r="CH2195" s="0" t="s">
        <v>130</v>
      </c>
      <c r="CI2195" s="0" t="s">
        <v>130</v>
      </c>
      <c r="CJ2195" s="0" t="s">
        <v>130</v>
      </c>
      <c r="CK2195" s="0" t="s">
        <v>130</v>
      </c>
      <c r="CL2195" s="0" t="s">
        <v>130</v>
      </c>
      <c r="CM2195" s="0" t="s">
        <v>130</v>
      </c>
      <c r="CN2195" s="0" t="s">
        <v>130</v>
      </c>
      <c r="CO2195" s="0" t="s">
        <v>130</v>
      </c>
      <c r="CP2195" s="0" t="s">
        <v>130</v>
      </c>
      <c r="CQ2195" s="0" t="s">
        <v>130</v>
      </c>
      <c r="CR2195" s="0" t="s">
        <v>130</v>
      </c>
      <c r="CS2195" s="0" t="s">
        <v>130</v>
      </c>
      <c r="CT2195" s="0" t="s">
        <v>6090</v>
      </c>
    </row>
    <row r="2196">
      <c r="A2196" s="14">
        <v>7791092</v>
      </c>
      <c r="B2196" s="0" t="s">
        <v>3851</v>
      </c>
      <c r="C2196" s="16">
        <f>HYPERLINK("https://eosportal.federatedhermes.com/companies/Q29tcGFueQppODMyNjU=", "BYD Co Ltd")</f>
      </c>
      <c r="D2196" s="0" t="s">
        <v>23</v>
      </c>
      <c r="E2196" s="0" t="s">
        <v>6091</v>
      </c>
      <c r="F2196" s="16">
        <f>HYPERLINK("https://eosportal.federatedhermes.com/engagements/RW5nYWdlbWVudAppMzI4MTA=", "Improve board gender diversity")</f>
      </c>
      <c r="G2196" s="14" t="s">
        <v>6092</v>
      </c>
      <c r="H2196" s="0" t="s">
        <v>141</v>
      </c>
      <c r="I2196" s="14" t="s">
        <v>191</v>
      </c>
      <c r="J2196" s="0" t="s">
        <v>145</v>
      </c>
      <c r="K2196" s="0" t="s">
        <v>164</v>
      </c>
      <c r="L2196" s="0" t="s">
        <v>165</v>
      </c>
      <c r="M2196" s="0" t="s">
        <v>2807</v>
      </c>
      <c r="N2196" s="0" t="s">
        <v>3272</v>
      </c>
      <c r="O2196" s="0" t="s">
        <v>425</v>
      </c>
      <c r="Q2196" s="0" t="s">
        <v>130</v>
      </c>
      <c r="R2196" s="0" t="s">
        <v>130</v>
      </c>
      <c r="S2196" s="14">
        <v>0</v>
      </c>
      <c r="T2196" s="0" t="s">
        <v>222</v>
      </c>
      <c r="U2196" s="0" t="s">
        <v>221</v>
      </c>
      <c r="V2196" s="14" t="s">
        <v>222</v>
      </c>
      <c r="W2196" s="0" t="s">
        <v>221</v>
      </c>
      <c r="X2196" s="14" t="s">
        <v>222</v>
      </c>
      <c r="Y2196" s="0" t="s">
        <v>221</v>
      </c>
      <c r="Z2196" s="14" t="s">
        <v>2428</v>
      </c>
      <c r="AA2196" s="0" t="s">
        <v>223</v>
      </c>
      <c r="AB2196" s="14" t="s">
        <v>138</v>
      </c>
      <c r="AD2196" s="0" t="s">
        <v>20</v>
      </c>
      <c r="AF2196" s="0">
        <v>0</v>
      </c>
      <c r="AG2196" s="0">
        <v>0</v>
      </c>
      <c r="AH2196" s="0" t="s">
        <v>140</v>
      </c>
      <c r="AI2196" s="0" t="s">
        <v>598</v>
      </c>
      <c r="AL2196" s="14"/>
      <c r="AN2196" s="14"/>
      <c r="AQ2196" s="0" t="s">
        <v>130</v>
      </c>
      <c r="AR2196" s="0" t="s">
        <v>130</v>
      </c>
      <c r="AS2196" s="0" t="s">
        <v>130</v>
      </c>
      <c r="AT2196" s="0" t="s">
        <v>130</v>
      </c>
      <c r="AU2196" s="0" t="s">
        <v>141</v>
      </c>
      <c r="AV2196" s="0" t="s">
        <v>130</v>
      </c>
      <c r="AW2196" s="0" t="s">
        <v>130</v>
      </c>
      <c r="AX2196" s="0" t="s">
        <v>130</v>
      </c>
      <c r="AY2196" s="0" t="s">
        <v>130</v>
      </c>
      <c r="AZ2196" s="0" t="s">
        <v>130</v>
      </c>
      <c r="BA2196" s="0" t="s">
        <v>130</v>
      </c>
      <c r="BB2196" s="0" t="s">
        <v>130</v>
      </c>
      <c r="BC2196" s="0" t="s">
        <v>130</v>
      </c>
      <c r="BD2196" s="0" t="s">
        <v>130</v>
      </c>
      <c r="BE2196" s="0" t="s">
        <v>130</v>
      </c>
      <c r="BF2196" s="0" t="s">
        <v>130</v>
      </c>
      <c r="BG2196" s="0" t="s">
        <v>130</v>
      </c>
      <c r="BH2196" s="0" t="s">
        <v>130</v>
      </c>
      <c r="BI2196" s="0" t="s">
        <v>130</v>
      </c>
      <c r="BJ2196" s="0" t="s">
        <v>130</v>
      </c>
      <c r="BK2196" s="0" t="s">
        <v>130</v>
      </c>
      <c r="BL2196" s="0" t="s">
        <v>130</v>
      </c>
      <c r="BM2196" s="0" t="s">
        <v>130</v>
      </c>
      <c r="BN2196" s="0" t="s">
        <v>130</v>
      </c>
      <c r="BO2196" s="0" t="s">
        <v>130</v>
      </c>
      <c r="BP2196" s="0" t="s">
        <v>130</v>
      </c>
      <c r="BQ2196" s="0" t="s">
        <v>141</v>
      </c>
      <c r="BR2196" s="0" t="s">
        <v>130</v>
      </c>
      <c r="BS2196" s="0" t="s">
        <v>130</v>
      </c>
      <c r="BT2196" s="0" t="s">
        <v>130</v>
      </c>
      <c r="BU2196" s="0" t="s">
        <v>130</v>
      </c>
      <c r="BV2196" s="0" t="s">
        <v>130</v>
      </c>
      <c r="BW2196" s="0" t="s">
        <v>130</v>
      </c>
      <c r="BX2196" s="0" t="s">
        <v>130</v>
      </c>
      <c r="BY2196" s="0" t="s">
        <v>130</v>
      </c>
      <c r="BZ2196" s="0" t="s">
        <v>130</v>
      </c>
      <c r="CA2196" s="0" t="s">
        <v>130</v>
      </c>
      <c r="CB2196" s="0" t="s">
        <v>130</v>
      </c>
      <c r="CC2196" s="0" t="s">
        <v>130</v>
      </c>
      <c r="CD2196" s="0" t="s">
        <v>130</v>
      </c>
      <c r="CE2196" s="0" t="s">
        <v>130</v>
      </c>
      <c r="CF2196" s="0" t="s">
        <v>130</v>
      </c>
      <c r="CG2196" s="0" t="s">
        <v>130</v>
      </c>
      <c r="CH2196" s="0" t="s">
        <v>130</v>
      </c>
      <c r="CI2196" s="0" t="s">
        <v>130</v>
      </c>
      <c r="CJ2196" s="0" t="s">
        <v>130</v>
      </c>
      <c r="CK2196" s="0" t="s">
        <v>130</v>
      </c>
      <c r="CL2196" s="0" t="s">
        <v>130</v>
      </c>
      <c r="CM2196" s="0" t="s">
        <v>130</v>
      </c>
      <c r="CN2196" s="0" t="s">
        <v>130</v>
      </c>
      <c r="CO2196" s="0" t="s">
        <v>130</v>
      </c>
      <c r="CP2196" s="0" t="s">
        <v>130</v>
      </c>
      <c r="CQ2196" s="0" t="s">
        <v>130</v>
      </c>
      <c r="CR2196" s="0" t="s">
        <v>130</v>
      </c>
      <c r="CS2196" s="0" t="s">
        <v>130</v>
      </c>
      <c r="CT2196" s="0" t="s">
        <v>6093</v>
      </c>
    </row>
    <row r="2197">
      <c r="A2197" s="14">
        <v>11948451</v>
      </c>
      <c r="B2197" s="0" t="s">
        <v>4079</v>
      </c>
      <c r="C2197" s="16">
        <f>HYPERLINK("https://eosportal.federatedhermes.com/companies/Q29tcGFueQppNjMzMTI=", "Tesla Inc")</f>
      </c>
      <c r="D2197" s="0" t="s">
        <v>25</v>
      </c>
      <c r="E2197" s="0" t="s">
        <v>6094</v>
      </c>
      <c r="F2197" s="16">
        <f>HYPERLINK("https://eosportal.federatedhermes.com/engagements/RW5nYWdlbWVudAppMzI4Mjc=", "Responsible tax practices")</f>
      </c>
      <c r="G2197" s="14" t="s">
        <v>6095</v>
      </c>
      <c r="H2197" s="0" t="s">
        <v>141</v>
      </c>
      <c r="I2197" s="14" t="s">
        <v>191</v>
      </c>
      <c r="J2197" s="0" t="s">
        <v>153</v>
      </c>
      <c r="K2197" s="0" t="s">
        <v>185</v>
      </c>
      <c r="L2197" s="0" t="s">
        <v>548</v>
      </c>
      <c r="M2197" s="0" t="s">
        <v>135</v>
      </c>
      <c r="N2197" s="0" t="s">
        <v>136</v>
      </c>
      <c r="O2197" s="0" t="s">
        <v>425</v>
      </c>
      <c r="Q2197" s="0" t="s">
        <v>130</v>
      </c>
      <c r="R2197" s="0" t="s">
        <v>138</v>
      </c>
      <c r="S2197" s="14">
        <v>0</v>
      </c>
      <c r="T2197" s="0" t="s">
        <v>222</v>
      </c>
      <c r="U2197" s="0" t="s">
        <v>138</v>
      </c>
      <c r="V2197" s="14" t="s">
        <v>138</v>
      </c>
      <c r="W2197" s="0" t="s">
        <v>138</v>
      </c>
      <c r="X2197" s="14" t="s">
        <v>138</v>
      </c>
      <c r="Y2197" s="0" t="s">
        <v>138</v>
      </c>
      <c r="Z2197" s="14" t="s">
        <v>138</v>
      </c>
      <c r="AA2197" s="0" t="s">
        <v>138</v>
      </c>
      <c r="AB2197" s="14" t="s">
        <v>138</v>
      </c>
      <c r="AD2197" s="0" t="s">
        <v>138</v>
      </c>
      <c r="AF2197" s="0">
        <v>0</v>
      </c>
      <c r="AG2197" s="0">
        <v>0</v>
      </c>
      <c r="AH2197" s="0" t="s">
        <v>140</v>
      </c>
      <c r="AI2197" s="0" t="s">
        <v>138</v>
      </c>
      <c r="AL2197" s="14"/>
      <c r="AN2197" s="14"/>
      <c r="AQ2197" s="0" t="s">
        <v>130</v>
      </c>
      <c r="AR2197" s="0" t="s">
        <v>130</v>
      </c>
      <c r="AS2197" s="0" t="s">
        <v>130</v>
      </c>
      <c r="AT2197" s="0" t="s">
        <v>130</v>
      </c>
      <c r="AU2197" s="0" t="s">
        <v>130</v>
      </c>
      <c r="AV2197" s="0" t="s">
        <v>130</v>
      </c>
      <c r="AW2197" s="0" t="s">
        <v>130</v>
      </c>
      <c r="AX2197" s="0" t="s">
        <v>130</v>
      </c>
      <c r="AY2197" s="0" t="s">
        <v>130</v>
      </c>
      <c r="AZ2197" s="0" t="s">
        <v>130</v>
      </c>
      <c r="BA2197" s="0" t="s">
        <v>130</v>
      </c>
      <c r="BB2197" s="0" t="s">
        <v>130</v>
      </c>
      <c r="BC2197" s="0" t="s">
        <v>130</v>
      </c>
      <c r="BD2197" s="0" t="s">
        <v>130</v>
      </c>
      <c r="BE2197" s="0" t="s">
        <v>130</v>
      </c>
      <c r="BF2197" s="0" t="s">
        <v>130</v>
      </c>
      <c r="BG2197" s="0" t="s">
        <v>141</v>
      </c>
      <c r="BH2197" s="0" t="s">
        <v>130</v>
      </c>
      <c r="BI2197" s="0" t="s">
        <v>130</v>
      </c>
      <c r="BJ2197" s="0" t="s">
        <v>130</v>
      </c>
      <c r="BK2197" s="0" t="s">
        <v>130</v>
      </c>
      <c r="BL2197" s="0" t="s">
        <v>130</v>
      </c>
      <c r="BM2197" s="0" t="s">
        <v>130</v>
      </c>
      <c r="BN2197" s="0" t="s">
        <v>130</v>
      </c>
      <c r="BO2197" s="0" t="s">
        <v>130</v>
      </c>
      <c r="BP2197" s="0" t="s">
        <v>130</v>
      </c>
      <c r="BQ2197" s="0" t="s">
        <v>130</v>
      </c>
      <c r="BR2197" s="0" t="s">
        <v>130</v>
      </c>
      <c r="BS2197" s="0" t="s">
        <v>130</v>
      </c>
      <c r="BT2197" s="0" t="s">
        <v>130</v>
      </c>
      <c r="BU2197" s="0" t="s">
        <v>130</v>
      </c>
      <c r="BV2197" s="0" t="s">
        <v>130</v>
      </c>
      <c r="BW2197" s="0" t="s">
        <v>130</v>
      </c>
      <c r="BX2197" s="0" t="s">
        <v>130</v>
      </c>
      <c r="BY2197" s="0" t="s">
        <v>130</v>
      </c>
      <c r="BZ2197" s="0" t="s">
        <v>130</v>
      </c>
      <c r="CA2197" s="0" t="s">
        <v>130</v>
      </c>
      <c r="CB2197" s="0" t="s">
        <v>130</v>
      </c>
      <c r="CC2197" s="0" t="s">
        <v>130</v>
      </c>
      <c r="CD2197" s="0" t="s">
        <v>130</v>
      </c>
      <c r="CE2197" s="0" t="s">
        <v>130</v>
      </c>
      <c r="CF2197" s="0" t="s">
        <v>130</v>
      </c>
      <c r="CG2197" s="0" t="s">
        <v>130</v>
      </c>
      <c r="CH2197" s="0" t="s">
        <v>130</v>
      </c>
      <c r="CI2197" s="0" t="s">
        <v>130</v>
      </c>
      <c r="CJ2197" s="0" t="s">
        <v>130</v>
      </c>
      <c r="CK2197" s="0" t="s">
        <v>130</v>
      </c>
      <c r="CL2197" s="0" t="s">
        <v>130</v>
      </c>
      <c r="CM2197" s="0" t="s">
        <v>130</v>
      </c>
      <c r="CN2197" s="0" t="s">
        <v>130</v>
      </c>
      <c r="CO2197" s="0" t="s">
        <v>130</v>
      </c>
      <c r="CP2197" s="0" t="s">
        <v>130</v>
      </c>
      <c r="CQ2197" s="0" t="s">
        <v>130</v>
      </c>
      <c r="CR2197" s="0" t="s">
        <v>130</v>
      </c>
      <c r="CS2197" s="0" t="s">
        <v>130</v>
      </c>
      <c r="CT2197" s="0" t="s">
        <v>6096</v>
      </c>
    </row>
    <row r="2198">
      <c r="A2198" s="14">
        <v>116563</v>
      </c>
      <c r="B2198" s="0" t="s">
        <v>2780</v>
      </c>
      <c r="C2198" s="16">
        <f>HYPERLINK("https://eosportal.federatedhermes.com/companies/Q29tcGFueQppNzU2NjU=", "Techtronic Industries Co Ltd")</f>
      </c>
      <c r="D2198" s="0" t="s">
        <v>25</v>
      </c>
      <c r="E2198" s="0" t="s">
        <v>6097</v>
      </c>
      <c r="F2198" s="16">
        <f>HYPERLINK("https://eosportal.federatedhermes.com/engagements/RW5nYWdlbWVudAppMzI4Mjk=", "Human rights risks in gloves supply chain")</f>
      </c>
      <c r="G2198" s="14" t="s">
        <v>6098</v>
      </c>
      <c r="H2198" s="0" t="s">
        <v>130</v>
      </c>
      <c r="I2198" s="14" t="s">
        <v>131</v>
      </c>
      <c r="J2198" s="0" t="s">
        <v>153</v>
      </c>
      <c r="K2198" s="0" t="s">
        <v>243</v>
      </c>
      <c r="L2198" s="0" t="s">
        <v>244</v>
      </c>
      <c r="M2198" s="0" t="s">
        <v>802</v>
      </c>
      <c r="N2198" s="0" t="s">
        <v>803</v>
      </c>
      <c r="O2198" s="0" t="s">
        <v>176</v>
      </c>
      <c r="Q2198" s="0" t="s">
        <v>130</v>
      </c>
      <c r="R2198" s="0" t="s">
        <v>138</v>
      </c>
      <c r="S2198" s="14">
        <v>0</v>
      </c>
      <c r="T2198" s="0" t="s">
        <v>222</v>
      </c>
      <c r="U2198" s="0" t="s">
        <v>138</v>
      </c>
      <c r="V2198" s="14" t="s">
        <v>138</v>
      </c>
      <c r="W2198" s="0" t="s">
        <v>138</v>
      </c>
      <c r="X2198" s="14" t="s">
        <v>138</v>
      </c>
      <c r="Y2198" s="0" t="s">
        <v>138</v>
      </c>
      <c r="Z2198" s="14" t="s">
        <v>138</v>
      </c>
      <c r="AA2198" s="0" t="s">
        <v>138</v>
      </c>
      <c r="AB2198" s="14" t="s">
        <v>138</v>
      </c>
      <c r="AD2198" s="0" t="s">
        <v>138</v>
      </c>
      <c r="AF2198" s="0">
        <v>0</v>
      </c>
      <c r="AG2198" s="0">
        <v>0</v>
      </c>
      <c r="AH2198" s="0" t="s">
        <v>140</v>
      </c>
      <c r="AI2198" s="0" t="s">
        <v>138</v>
      </c>
      <c r="AL2198" s="14"/>
      <c r="AN2198" s="14"/>
      <c r="AQ2198" s="0" t="s">
        <v>130</v>
      </c>
      <c r="AR2198" s="0" t="s">
        <v>130</v>
      </c>
      <c r="AS2198" s="0" t="s">
        <v>130</v>
      </c>
      <c r="AT2198" s="0" t="s">
        <v>130</v>
      </c>
      <c r="AU2198" s="0" t="s">
        <v>130</v>
      </c>
      <c r="AV2198" s="0" t="s">
        <v>130</v>
      </c>
      <c r="AW2198" s="0" t="s">
        <v>130</v>
      </c>
      <c r="AX2198" s="0" t="s">
        <v>141</v>
      </c>
      <c r="AY2198" s="0" t="s">
        <v>130</v>
      </c>
      <c r="AZ2198" s="0" t="s">
        <v>130</v>
      </c>
      <c r="BA2198" s="0" t="s">
        <v>130</v>
      </c>
      <c r="BB2198" s="0" t="s">
        <v>130</v>
      </c>
      <c r="BC2198" s="0" t="s">
        <v>130</v>
      </c>
      <c r="BD2198" s="0" t="s">
        <v>130</v>
      </c>
      <c r="BE2198" s="0" t="s">
        <v>130</v>
      </c>
      <c r="BF2198" s="0" t="s">
        <v>130</v>
      </c>
      <c r="BG2198" s="0" t="s">
        <v>130</v>
      </c>
      <c r="BH2198" s="0" t="s">
        <v>130</v>
      </c>
      <c r="BI2198" s="0" t="s">
        <v>130</v>
      </c>
      <c r="BJ2198" s="0" t="s">
        <v>130</v>
      </c>
      <c r="BK2198" s="0" t="s">
        <v>130</v>
      </c>
      <c r="BL2198" s="0" t="s">
        <v>130</v>
      </c>
      <c r="BM2198" s="0" t="s">
        <v>130</v>
      </c>
      <c r="BN2198" s="0" t="s">
        <v>130</v>
      </c>
      <c r="BO2198" s="0" t="s">
        <v>130</v>
      </c>
      <c r="BP2198" s="0" t="s">
        <v>130</v>
      </c>
      <c r="BQ2198" s="0" t="s">
        <v>130</v>
      </c>
      <c r="BR2198" s="0" t="s">
        <v>130</v>
      </c>
      <c r="BS2198" s="0" t="s">
        <v>130</v>
      </c>
      <c r="BT2198" s="0" t="s">
        <v>130</v>
      </c>
      <c r="BU2198" s="0" t="s">
        <v>130</v>
      </c>
      <c r="BV2198" s="0" t="s">
        <v>130</v>
      </c>
      <c r="BW2198" s="0" t="s">
        <v>130</v>
      </c>
      <c r="BX2198" s="0" t="s">
        <v>130</v>
      </c>
      <c r="BY2198" s="0" t="s">
        <v>130</v>
      </c>
      <c r="BZ2198" s="0" t="s">
        <v>130</v>
      </c>
      <c r="CA2198" s="0" t="s">
        <v>130</v>
      </c>
      <c r="CB2198" s="0" t="s">
        <v>130</v>
      </c>
      <c r="CC2198" s="0" t="s">
        <v>130</v>
      </c>
      <c r="CD2198" s="0" t="s">
        <v>130</v>
      </c>
      <c r="CE2198" s="0" t="s">
        <v>130</v>
      </c>
      <c r="CF2198" s="0" t="s">
        <v>130</v>
      </c>
      <c r="CG2198" s="0" t="s">
        <v>130</v>
      </c>
      <c r="CH2198" s="0" t="s">
        <v>130</v>
      </c>
      <c r="CI2198" s="0" t="s">
        <v>130</v>
      </c>
      <c r="CJ2198" s="0" t="s">
        <v>130</v>
      </c>
      <c r="CK2198" s="0" t="s">
        <v>130</v>
      </c>
      <c r="CL2198" s="0" t="s">
        <v>130</v>
      </c>
      <c r="CM2198" s="0" t="s">
        <v>130</v>
      </c>
      <c r="CN2198" s="0" t="s">
        <v>130</v>
      </c>
      <c r="CO2198" s="0" t="s">
        <v>130</v>
      </c>
      <c r="CP2198" s="0" t="s">
        <v>130</v>
      </c>
      <c r="CQ2198" s="0" t="s">
        <v>130</v>
      </c>
      <c r="CR2198" s="0" t="s">
        <v>130</v>
      </c>
      <c r="CS2198" s="0" t="s">
        <v>130</v>
      </c>
      <c r="CT2198" s="0" t="s">
        <v>6099</v>
      </c>
    </row>
    <row r="2199">
      <c r="A2199" s="14">
        <v>115268</v>
      </c>
      <c r="B2199" s="0" t="s">
        <v>2415</v>
      </c>
      <c r="C2199" s="16">
        <f>HYPERLINK("https://eosportal.federatedhermes.com/companies/Q29tcGFueQppODU4NzM=", "Carrefour SA")</f>
      </c>
      <c r="D2199" s="0" t="s">
        <v>25</v>
      </c>
      <c r="E2199" s="0" t="s">
        <v>3786</v>
      </c>
      <c r="F2199" s="16">
        <f>HYPERLINK("https://eosportal.federatedhermes.com/engagements/RW5nYWdlbWVudAppMzI4Mzg=", "Plastics")</f>
      </c>
      <c r="G2199" s="14" t="s">
        <v>6100</v>
      </c>
      <c r="H2199" s="0" t="s">
        <v>141</v>
      </c>
      <c r="I2199" s="14" t="s">
        <v>131</v>
      </c>
      <c r="J2199" s="0" t="s">
        <v>197</v>
      </c>
      <c r="K2199" s="0" t="s">
        <v>348</v>
      </c>
      <c r="L2199" s="0" t="s">
        <v>349</v>
      </c>
      <c r="M2199" s="0" t="s">
        <v>378</v>
      </c>
      <c r="N2199" s="0" t="s">
        <v>1646</v>
      </c>
      <c r="O2199" s="0" t="s">
        <v>643</v>
      </c>
      <c r="Q2199" s="0" t="s">
        <v>130</v>
      </c>
      <c r="R2199" s="0" t="s">
        <v>138</v>
      </c>
      <c r="S2199" s="14">
        <v>0</v>
      </c>
      <c r="T2199" s="0" t="s">
        <v>222</v>
      </c>
      <c r="U2199" s="0" t="s">
        <v>138</v>
      </c>
      <c r="V2199" s="14" t="s">
        <v>138</v>
      </c>
      <c r="W2199" s="0" t="s">
        <v>138</v>
      </c>
      <c r="X2199" s="14" t="s">
        <v>138</v>
      </c>
      <c r="Y2199" s="0" t="s">
        <v>138</v>
      </c>
      <c r="Z2199" s="14" t="s">
        <v>138</v>
      </c>
      <c r="AA2199" s="0" t="s">
        <v>138</v>
      </c>
      <c r="AB2199" s="14" t="s">
        <v>138</v>
      </c>
      <c r="AD2199" s="0" t="s">
        <v>138</v>
      </c>
      <c r="AF2199" s="0">
        <v>0</v>
      </c>
      <c r="AG2199" s="0">
        <v>0</v>
      </c>
      <c r="AH2199" s="0" t="s">
        <v>140</v>
      </c>
      <c r="AI2199" s="0" t="s">
        <v>138</v>
      </c>
      <c r="AL2199" s="14"/>
      <c r="AN2199" s="14"/>
      <c r="AQ2199" s="0" t="s">
        <v>130</v>
      </c>
      <c r="AR2199" s="0" t="s">
        <v>130</v>
      </c>
      <c r="AS2199" s="0" t="s">
        <v>130</v>
      </c>
      <c r="AT2199" s="0" t="s">
        <v>130</v>
      </c>
      <c r="AU2199" s="0" t="s">
        <v>130</v>
      </c>
      <c r="AV2199" s="0" t="s">
        <v>130</v>
      </c>
      <c r="AW2199" s="0" t="s">
        <v>130</v>
      </c>
      <c r="AX2199" s="0" t="s">
        <v>130</v>
      </c>
      <c r="AY2199" s="0" t="s">
        <v>130</v>
      </c>
      <c r="AZ2199" s="0" t="s">
        <v>130</v>
      </c>
      <c r="BA2199" s="0" t="s">
        <v>130</v>
      </c>
      <c r="BB2199" s="0" t="s">
        <v>141</v>
      </c>
      <c r="BC2199" s="0" t="s">
        <v>130</v>
      </c>
      <c r="BD2199" s="0" t="s">
        <v>130</v>
      </c>
      <c r="BE2199" s="0" t="s">
        <v>130</v>
      </c>
      <c r="BF2199" s="0" t="s">
        <v>130</v>
      </c>
      <c r="BG2199" s="0" t="s">
        <v>130</v>
      </c>
      <c r="BH2199" s="0" t="s">
        <v>130</v>
      </c>
      <c r="BI2199" s="0" t="s">
        <v>130</v>
      </c>
      <c r="BJ2199" s="0" t="s">
        <v>130</v>
      </c>
      <c r="BK2199" s="0" t="s">
        <v>130</v>
      </c>
      <c r="BL2199" s="0" t="s">
        <v>130</v>
      </c>
      <c r="BM2199" s="0" t="s">
        <v>130</v>
      </c>
      <c r="BN2199" s="0" t="s">
        <v>130</v>
      </c>
      <c r="BO2199" s="0" t="s">
        <v>130</v>
      </c>
      <c r="BP2199" s="0" t="s">
        <v>130</v>
      </c>
      <c r="BQ2199" s="0" t="s">
        <v>130</v>
      </c>
      <c r="BR2199" s="0" t="s">
        <v>130</v>
      </c>
      <c r="BS2199" s="0" t="s">
        <v>130</v>
      </c>
      <c r="BT2199" s="0" t="s">
        <v>130</v>
      </c>
      <c r="BU2199" s="0" t="s">
        <v>130</v>
      </c>
      <c r="BV2199" s="0" t="s">
        <v>130</v>
      </c>
      <c r="BW2199" s="0" t="s">
        <v>130</v>
      </c>
      <c r="BX2199" s="0" t="s">
        <v>130</v>
      </c>
      <c r="BY2199" s="0" t="s">
        <v>130</v>
      </c>
      <c r="BZ2199" s="0" t="s">
        <v>130</v>
      </c>
      <c r="CA2199" s="0" t="s">
        <v>130</v>
      </c>
      <c r="CB2199" s="0" t="s">
        <v>130</v>
      </c>
      <c r="CC2199" s="0" t="s">
        <v>130</v>
      </c>
      <c r="CD2199" s="0" t="s">
        <v>141</v>
      </c>
      <c r="CE2199" s="0" t="s">
        <v>130</v>
      </c>
      <c r="CF2199" s="0" t="s">
        <v>130</v>
      </c>
      <c r="CG2199" s="0" t="s">
        <v>130</v>
      </c>
      <c r="CH2199" s="0" t="s">
        <v>130</v>
      </c>
      <c r="CI2199" s="0" t="s">
        <v>130</v>
      </c>
      <c r="CJ2199" s="0" t="s">
        <v>130</v>
      </c>
      <c r="CK2199" s="0" t="s">
        <v>130</v>
      </c>
      <c r="CL2199" s="0" t="s">
        <v>130</v>
      </c>
      <c r="CM2199" s="0" t="s">
        <v>130</v>
      </c>
      <c r="CN2199" s="0" t="s">
        <v>130</v>
      </c>
      <c r="CO2199" s="0" t="s">
        <v>130</v>
      </c>
      <c r="CP2199" s="0" t="s">
        <v>130</v>
      </c>
      <c r="CQ2199" s="0" t="s">
        <v>130</v>
      </c>
      <c r="CR2199" s="0" t="s">
        <v>130</v>
      </c>
      <c r="CS2199" s="0" t="s">
        <v>130</v>
      </c>
      <c r="CT2199" s="0" t="s">
        <v>6101</v>
      </c>
    </row>
    <row r="2200">
      <c r="A2200" s="14">
        <v>101365</v>
      </c>
      <c r="B2200" s="0" t="s">
        <v>1493</v>
      </c>
      <c r="C2200" s="16">
        <f>HYPERLINK("https://eosportal.federatedhermes.com/companies/Q29tcGFueQppNTQ1MjA=", "Sony Group Corp")</f>
      </c>
      <c r="D2200" s="0" t="s">
        <v>25</v>
      </c>
      <c r="E2200" s="0" t="s">
        <v>6102</v>
      </c>
      <c r="F2200" s="16">
        <f>HYPERLINK("https://eosportal.federatedhermes.com/engagements/RW5nYWdlbWVudAppMzI4Mzk=", "Engagement with Independent Board Members")</f>
      </c>
      <c r="G2200" s="14" t="s">
        <v>6103</v>
      </c>
      <c r="H2200" s="0" t="s">
        <v>141</v>
      </c>
      <c r="I2200" s="14" t="s">
        <v>191</v>
      </c>
      <c r="J2200" s="0" t="s">
        <v>145</v>
      </c>
      <c r="K2200" s="0" t="s">
        <v>400</v>
      </c>
      <c r="L2200" s="0" t="s">
        <v>401</v>
      </c>
      <c r="M2200" s="0" t="s">
        <v>802</v>
      </c>
      <c r="N2200" s="0" t="s">
        <v>952</v>
      </c>
      <c r="O2200" s="0" t="s">
        <v>1125</v>
      </c>
      <c r="Q2200" s="0" t="s">
        <v>141</v>
      </c>
      <c r="R2200" s="0" t="s">
        <v>138</v>
      </c>
      <c r="S2200" s="14">
        <v>1</v>
      </c>
      <c r="T2200" s="0" t="s">
        <v>222</v>
      </c>
      <c r="U2200" s="0" t="s">
        <v>138</v>
      </c>
      <c r="V2200" s="14" t="s">
        <v>138</v>
      </c>
      <c r="W2200" s="0" t="s">
        <v>138</v>
      </c>
      <c r="X2200" s="14" t="s">
        <v>138</v>
      </c>
      <c r="Y2200" s="0" t="s">
        <v>138</v>
      </c>
      <c r="Z2200" s="14" t="s">
        <v>138</v>
      </c>
      <c r="AA2200" s="0" t="s">
        <v>138</v>
      </c>
      <c r="AB2200" s="14" t="s">
        <v>138</v>
      </c>
      <c r="AD2200" s="0" t="s">
        <v>138</v>
      </c>
      <c r="AF2200" s="0">
        <v>0</v>
      </c>
      <c r="AG2200" s="0">
        <v>0</v>
      </c>
      <c r="AH2200" s="0" t="s">
        <v>140</v>
      </c>
      <c r="AI2200" s="0" t="s">
        <v>138</v>
      </c>
      <c r="AK2200" s="0" t="s">
        <v>1196</v>
      </c>
      <c r="AL2200" s="14"/>
      <c r="AN2200" s="14"/>
      <c r="AQ2200" s="0" t="s">
        <v>130</v>
      </c>
      <c r="AR2200" s="0" t="s">
        <v>130</v>
      </c>
      <c r="AS2200" s="0" t="s">
        <v>130</v>
      </c>
      <c r="AT2200" s="0" t="s">
        <v>130</v>
      </c>
      <c r="AU2200" s="0" t="s">
        <v>130</v>
      </c>
      <c r="AV2200" s="0" t="s">
        <v>130</v>
      </c>
      <c r="AW2200" s="0" t="s">
        <v>130</v>
      </c>
      <c r="AX2200" s="0" t="s">
        <v>130</v>
      </c>
      <c r="AY2200" s="0" t="s">
        <v>130</v>
      </c>
      <c r="AZ2200" s="0" t="s">
        <v>130</v>
      </c>
      <c r="BA2200" s="0" t="s">
        <v>130</v>
      </c>
      <c r="BB2200" s="0" t="s">
        <v>130</v>
      </c>
      <c r="BC2200" s="0" t="s">
        <v>130</v>
      </c>
      <c r="BD2200" s="0" t="s">
        <v>130</v>
      </c>
      <c r="BE2200" s="0" t="s">
        <v>130</v>
      </c>
      <c r="BF2200" s="0" t="s">
        <v>130</v>
      </c>
      <c r="BG2200" s="0" t="s">
        <v>130</v>
      </c>
      <c r="BH2200" s="0" t="s">
        <v>130</v>
      </c>
      <c r="BI2200" s="0" t="s">
        <v>130</v>
      </c>
      <c r="BJ2200" s="0" t="s">
        <v>130</v>
      </c>
      <c r="BK2200" s="0" t="s">
        <v>130</v>
      </c>
      <c r="BL2200" s="0" t="s">
        <v>130</v>
      </c>
      <c r="BM2200" s="0" t="s">
        <v>130</v>
      </c>
      <c r="BN2200" s="0" t="s">
        <v>130</v>
      </c>
      <c r="BO2200" s="0" t="s">
        <v>130</v>
      </c>
      <c r="BP2200" s="0" t="s">
        <v>130</v>
      </c>
      <c r="BQ2200" s="0" t="s">
        <v>130</v>
      </c>
      <c r="BR2200" s="0" t="s">
        <v>130</v>
      </c>
      <c r="BS2200" s="0" t="s">
        <v>130</v>
      </c>
      <c r="BT2200" s="0" t="s">
        <v>130</v>
      </c>
      <c r="BU2200" s="0" t="s">
        <v>130</v>
      </c>
      <c r="BV2200" s="0" t="s">
        <v>130</v>
      </c>
      <c r="BW2200" s="0" t="s">
        <v>130</v>
      </c>
      <c r="BX2200" s="0" t="s">
        <v>130</v>
      </c>
      <c r="BY2200" s="0" t="s">
        <v>130</v>
      </c>
      <c r="BZ2200" s="0" t="s">
        <v>130</v>
      </c>
      <c r="CA2200" s="0" t="s">
        <v>130</v>
      </c>
      <c r="CB2200" s="0" t="s">
        <v>130</v>
      </c>
      <c r="CC2200" s="0" t="s">
        <v>130</v>
      </c>
      <c r="CD2200" s="0" t="s">
        <v>130</v>
      </c>
      <c r="CE2200" s="0" t="s">
        <v>130</v>
      </c>
      <c r="CF2200" s="0" t="s">
        <v>130</v>
      </c>
      <c r="CG2200" s="0" t="s">
        <v>130</v>
      </c>
      <c r="CH2200" s="0" t="s">
        <v>130</v>
      </c>
      <c r="CI2200" s="0" t="s">
        <v>130</v>
      </c>
      <c r="CJ2200" s="0" t="s">
        <v>130</v>
      </c>
      <c r="CK2200" s="0" t="s">
        <v>130</v>
      </c>
      <c r="CL2200" s="0" t="s">
        <v>130</v>
      </c>
      <c r="CM2200" s="0" t="s">
        <v>130</v>
      </c>
      <c r="CN2200" s="0" t="s">
        <v>130</v>
      </c>
      <c r="CO2200" s="0" t="s">
        <v>130</v>
      </c>
      <c r="CP2200" s="0" t="s">
        <v>130</v>
      </c>
      <c r="CQ2200" s="0" t="s">
        <v>130</v>
      </c>
      <c r="CR2200" s="0" t="s">
        <v>130</v>
      </c>
      <c r="CS2200" s="0" t="s">
        <v>130</v>
      </c>
      <c r="CT2200" s="0" t="s">
        <v>6104</v>
      </c>
    </row>
    <row r="2201">
      <c r="A2201" s="14">
        <v>171258</v>
      </c>
      <c r="B2201" s="0" t="s">
        <v>3052</v>
      </c>
      <c r="C2201" s="16">
        <f>HYPERLINK("https://eosportal.federatedhermes.com/companies/Q29tcGFueQppNjc3MzQ=", "Credicorp Ltd")</f>
      </c>
      <c r="D2201" s="0" t="s">
        <v>23</v>
      </c>
      <c r="E2201" s="0" t="s">
        <v>6105</v>
      </c>
      <c r="F2201" s="16">
        <f>HYPERLINK("https://eosportal.federatedhermes.com/engagements/RW5nYWdlbWVudAppMzI4NDQ=", "Ethical AI Principles")</f>
      </c>
      <c r="G2201" s="14" t="s">
        <v>6106</v>
      </c>
      <c r="H2201" s="0" t="s">
        <v>130</v>
      </c>
      <c r="I2201" s="14" t="s">
        <v>131</v>
      </c>
      <c r="J2201" s="0" t="s">
        <v>153</v>
      </c>
      <c r="K2201" s="0" t="s">
        <v>243</v>
      </c>
      <c r="L2201" s="0" t="s">
        <v>537</v>
      </c>
      <c r="M2201" s="0" t="s">
        <v>2807</v>
      </c>
      <c r="N2201" s="0" t="s">
        <v>3055</v>
      </c>
      <c r="O2201" s="0" t="s">
        <v>238</v>
      </c>
      <c r="Q2201" s="0" t="s">
        <v>130</v>
      </c>
      <c r="R2201" s="0" t="s">
        <v>130</v>
      </c>
      <c r="S2201" s="14">
        <v>0</v>
      </c>
      <c r="T2201" s="0" t="s">
        <v>478</v>
      </c>
      <c r="U2201" s="0" t="s">
        <v>221</v>
      </c>
      <c r="V2201" s="14" t="s">
        <v>478</v>
      </c>
      <c r="W2201" s="0" t="s">
        <v>221</v>
      </c>
      <c r="X2201" s="14" t="s">
        <v>478</v>
      </c>
      <c r="Y2201" s="0" t="s">
        <v>221</v>
      </c>
      <c r="Z2201" s="14" t="s">
        <v>3562</v>
      </c>
      <c r="AA2201" s="0" t="s">
        <v>223</v>
      </c>
      <c r="AB2201" s="14" t="s">
        <v>138</v>
      </c>
      <c r="AD2201" s="0" t="s">
        <v>20</v>
      </c>
      <c r="AF2201" s="0">
        <v>0</v>
      </c>
      <c r="AG2201" s="0">
        <v>0</v>
      </c>
      <c r="AH2201" s="0" t="s">
        <v>140</v>
      </c>
      <c r="AI2201" s="0" t="s">
        <v>598</v>
      </c>
      <c r="AL2201" s="14"/>
      <c r="AN2201" s="14"/>
      <c r="AQ2201" s="0" t="s">
        <v>130</v>
      </c>
      <c r="AR2201" s="0" t="s">
        <v>130</v>
      </c>
      <c r="AS2201" s="0" t="s">
        <v>130</v>
      </c>
      <c r="AT2201" s="0" t="s">
        <v>130</v>
      </c>
      <c r="AU2201" s="0" t="s">
        <v>130</v>
      </c>
      <c r="AV2201" s="0" t="s">
        <v>130</v>
      </c>
      <c r="AW2201" s="0" t="s">
        <v>130</v>
      </c>
      <c r="AX2201" s="0" t="s">
        <v>130</v>
      </c>
      <c r="AY2201" s="0" t="s">
        <v>130</v>
      </c>
      <c r="AZ2201" s="0" t="s">
        <v>130</v>
      </c>
      <c r="BA2201" s="0" t="s">
        <v>130</v>
      </c>
      <c r="BB2201" s="0" t="s">
        <v>130</v>
      </c>
      <c r="BC2201" s="0" t="s">
        <v>130</v>
      </c>
      <c r="BD2201" s="0" t="s">
        <v>130</v>
      </c>
      <c r="BE2201" s="0" t="s">
        <v>130</v>
      </c>
      <c r="BF2201" s="0" t="s">
        <v>141</v>
      </c>
      <c r="BG2201" s="0" t="s">
        <v>130</v>
      </c>
      <c r="BH2201" s="0" t="s">
        <v>130</v>
      </c>
      <c r="BI2201" s="0" t="s">
        <v>130</v>
      </c>
      <c r="BJ2201" s="0" t="s">
        <v>130</v>
      </c>
      <c r="BK2201" s="0" t="s">
        <v>130</v>
      </c>
      <c r="BL2201" s="0" t="s">
        <v>130</v>
      </c>
      <c r="BM2201" s="0" t="s">
        <v>130</v>
      </c>
      <c r="BN2201" s="0" t="s">
        <v>130</v>
      </c>
      <c r="BO2201" s="0" t="s">
        <v>130</v>
      </c>
      <c r="BP2201" s="0" t="s">
        <v>130</v>
      </c>
      <c r="BQ2201" s="0" t="s">
        <v>130</v>
      </c>
      <c r="BR2201" s="0" t="s">
        <v>130</v>
      </c>
      <c r="BS2201" s="0" t="s">
        <v>130</v>
      </c>
      <c r="BT2201" s="0" t="s">
        <v>130</v>
      </c>
      <c r="BU2201" s="0" t="s">
        <v>130</v>
      </c>
      <c r="BV2201" s="0" t="s">
        <v>130</v>
      </c>
      <c r="BW2201" s="0" t="s">
        <v>130</v>
      </c>
      <c r="BX2201" s="0" t="s">
        <v>130</v>
      </c>
      <c r="BY2201" s="0" t="s">
        <v>130</v>
      </c>
      <c r="BZ2201" s="0" t="s">
        <v>130</v>
      </c>
      <c r="CA2201" s="0" t="s">
        <v>130</v>
      </c>
      <c r="CB2201" s="0" t="s">
        <v>130</v>
      </c>
      <c r="CC2201" s="0" t="s">
        <v>130</v>
      </c>
      <c r="CD2201" s="0" t="s">
        <v>130</v>
      </c>
      <c r="CE2201" s="0" t="s">
        <v>130</v>
      </c>
      <c r="CF2201" s="0" t="s">
        <v>130</v>
      </c>
      <c r="CG2201" s="0" t="s">
        <v>130</v>
      </c>
      <c r="CH2201" s="0" t="s">
        <v>130</v>
      </c>
      <c r="CI2201" s="0" t="s">
        <v>130</v>
      </c>
      <c r="CJ2201" s="0" t="s">
        <v>130</v>
      </c>
      <c r="CK2201" s="0" t="s">
        <v>130</v>
      </c>
      <c r="CL2201" s="0" t="s">
        <v>130</v>
      </c>
      <c r="CM2201" s="0" t="s">
        <v>130</v>
      </c>
      <c r="CN2201" s="0" t="s">
        <v>130</v>
      </c>
      <c r="CO2201" s="0" t="s">
        <v>130</v>
      </c>
      <c r="CP2201" s="0" t="s">
        <v>130</v>
      </c>
      <c r="CQ2201" s="0" t="s">
        <v>130</v>
      </c>
      <c r="CR2201" s="0" t="s">
        <v>130</v>
      </c>
      <c r="CS2201" s="0" t="s">
        <v>130</v>
      </c>
      <c r="CT2201" s="0" t="s">
        <v>6107</v>
      </c>
    </row>
    <row r="2202">
      <c r="A2202" s="14">
        <v>117400</v>
      </c>
      <c r="B2202" s="0" t="s">
        <v>2831</v>
      </c>
      <c r="C2202" s="16">
        <f>HYPERLINK("https://eosportal.federatedhermes.com/companies/Q29tcGFueQppNzE3MDY=", "Alpha Services and Holdings SA")</f>
      </c>
      <c r="D2202" s="0" t="s">
        <v>25</v>
      </c>
      <c r="E2202" s="0" t="s">
        <v>6108</v>
      </c>
      <c r="F2202" s="16">
        <f>HYPERLINK("https://eosportal.federatedhermes.com/engagements/RW5nYWdlbWVudAppMzI4NDU=", "Remuneration Policy &amp; Disclosure Improvements")</f>
      </c>
      <c r="G2202" s="14" t="s">
        <v>6109</v>
      </c>
      <c r="H2202" s="0" t="s">
        <v>130</v>
      </c>
      <c r="I2202" s="14" t="s">
        <v>131</v>
      </c>
      <c r="J2202" s="0" t="s">
        <v>145</v>
      </c>
      <c r="K2202" s="0" t="s">
        <v>146</v>
      </c>
      <c r="L2202" s="0" t="s">
        <v>147</v>
      </c>
      <c r="M2202" s="0" t="s">
        <v>378</v>
      </c>
      <c r="N2202" s="0" t="s">
        <v>2834</v>
      </c>
      <c r="O2202" s="0" t="s">
        <v>238</v>
      </c>
      <c r="Q2202" s="0" t="s">
        <v>141</v>
      </c>
      <c r="R2202" s="0" t="s">
        <v>138</v>
      </c>
      <c r="S2202" s="14">
        <v>1</v>
      </c>
      <c r="T2202" s="0" t="s">
        <v>222</v>
      </c>
      <c r="U2202" s="0" t="s">
        <v>138</v>
      </c>
      <c r="V2202" s="14" t="s">
        <v>138</v>
      </c>
      <c r="W2202" s="0" t="s">
        <v>138</v>
      </c>
      <c r="X2202" s="14" t="s">
        <v>138</v>
      </c>
      <c r="Y2202" s="0" t="s">
        <v>138</v>
      </c>
      <c r="Z2202" s="14" t="s">
        <v>138</v>
      </c>
      <c r="AA2202" s="0" t="s">
        <v>138</v>
      </c>
      <c r="AB2202" s="14" t="s">
        <v>138</v>
      </c>
      <c r="AD2202" s="0" t="s">
        <v>138</v>
      </c>
      <c r="AF2202" s="0">
        <v>0</v>
      </c>
      <c r="AG2202" s="0">
        <v>0</v>
      </c>
      <c r="AH2202" s="0" t="s">
        <v>140</v>
      </c>
      <c r="AI2202" s="0" t="s">
        <v>138</v>
      </c>
      <c r="AK2202" s="0" t="s">
        <v>1668</v>
      </c>
      <c r="AL2202" s="14"/>
      <c r="AN2202" s="14"/>
      <c r="AQ2202" s="0" t="s">
        <v>130</v>
      </c>
      <c r="AR2202" s="0" t="s">
        <v>130</v>
      </c>
      <c r="AS2202" s="0" t="s">
        <v>130</v>
      </c>
      <c r="AT2202" s="0" t="s">
        <v>130</v>
      </c>
      <c r="AU2202" s="0" t="s">
        <v>130</v>
      </c>
      <c r="AV2202" s="0" t="s">
        <v>130</v>
      </c>
      <c r="AW2202" s="0" t="s">
        <v>130</v>
      </c>
      <c r="AX2202" s="0" t="s">
        <v>130</v>
      </c>
      <c r="AY2202" s="0" t="s">
        <v>130</v>
      </c>
      <c r="AZ2202" s="0" t="s">
        <v>130</v>
      </c>
      <c r="BA2202" s="0" t="s">
        <v>130</v>
      </c>
      <c r="BB2202" s="0" t="s">
        <v>130</v>
      </c>
      <c r="BC2202" s="0" t="s">
        <v>130</v>
      </c>
      <c r="BD2202" s="0" t="s">
        <v>130</v>
      </c>
      <c r="BE2202" s="0" t="s">
        <v>130</v>
      </c>
      <c r="BF2202" s="0" t="s">
        <v>130</v>
      </c>
      <c r="BG2202" s="0" t="s">
        <v>130</v>
      </c>
      <c r="BH2202" s="0" t="s">
        <v>130</v>
      </c>
      <c r="BI2202" s="0" t="s">
        <v>130</v>
      </c>
      <c r="BJ2202" s="0" t="s">
        <v>130</v>
      </c>
      <c r="BK2202" s="0" t="s">
        <v>130</v>
      </c>
      <c r="BL2202" s="0" t="s">
        <v>130</v>
      </c>
      <c r="BM2202" s="0" t="s">
        <v>130</v>
      </c>
      <c r="BN2202" s="0" t="s">
        <v>130</v>
      </c>
      <c r="BO2202" s="0" t="s">
        <v>130</v>
      </c>
      <c r="BP2202" s="0" t="s">
        <v>130</v>
      </c>
      <c r="BQ2202" s="0" t="s">
        <v>130</v>
      </c>
      <c r="BR2202" s="0" t="s">
        <v>130</v>
      </c>
      <c r="BS2202" s="0" t="s">
        <v>130</v>
      </c>
      <c r="BT2202" s="0" t="s">
        <v>130</v>
      </c>
      <c r="BU2202" s="0" t="s">
        <v>130</v>
      </c>
      <c r="BV2202" s="0" t="s">
        <v>130</v>
      </c>
      <c r="BW2202" s="0" t="s">
        <v>130</v>
      </c>
      <c r="BX2202" s="0" t="s">
        <v>130</v>
      </c>
      <c r="BY2202" s="0" t="s">
        <v>130</v>
      </c>
      <c r="BZ2202" s="0" t="s">
        <v>130</v>
      </c>
      <c r="CA2202" s="0" t="s">
        <v>130</v>
      </c>
      <c r="CB2202" s="0" t="s">
        <v>130</v>
      </c>
      <c r="CC2202" s="0" t="s">
        <v>130</v>
      </c>
      <c r="CD2202" s="0" t="s">
        <v>130</v>
      </c>
      <c r="CE2202" s="0" t="s">
        <v>130</v>
      </c>
      <c r="CF2202" s="0" t="s">
        <v>130</v>
      </c>
      <c r="CG2202" s="0" t="s">
        <v>130</v>
      </c>
      <c r="CH2202" s="0" t="s">
        <v>130</v>
      </c>
      <c r="CI2202" s="0" t="s">
        <v>130</v>
      </c>
      <c r="CJ2202" s="0" t="s">
        <v>130</v>
      </c>
      <c r="CK2202" s="0" t="s">
        <v>130</v>
      </c>
      <c r="CL2202" s="0" t="s">
        <v>130</v>
      </c>
      <c r="CM2202" s="0" t="s">
        <v>130</v>
      </c>
      <c r="CN2202" s="0" t="s">
        <v>130</v>
      </c>
      <c r="CO2202" s="0" t="s">
        <v>130</v>
      </c>
      <c r="CP2202" s="0" t="s">
        <v>130</v>
      </c>
      <c r="CQ2202" s="0" t="s">
        <v>130</v>
      </c>
      <c r="CR2202" s="0" t="s">
        <v>130</v>
      </c>
      <c r="CS2202" s="0" t="s">
        <v>130</v>
      </c>
      <c r="CT2202" s="0" t="s">
        <v>6110</v>
      </c>
    </row>
    <row r="2203">
      <c r="A2203" s="14">
        <v>115643</v>
      </c>
      <c r="B2203" s="0" t="s">
        <v>2552</v>
      </c>
      <c r="C2203" s="16">
        <f>HYPERLINK("https://eosportal.federatedhermes.com/companies/Q29tcGFueQppNjk2MzA=", "Koninklijke Ahold Delhaize NV")</f>
      </c>
      <c r="D2203" s="0" t="s">
        <v>25</v>
      </c>
      <c r="E2203" s="0" t="s">
        <v>6111</v>
      </c>
      <c r="F2203" s="16">
        <f>HYPERLINK("https://eosportal.federatedhermes.com/engagements/RW5nYWdlbWVudAppMzI4NDY=", "Plastic")</f>
      </c>
      <c r="G2203" s="14" t="s">
        <v>6112</v>
      </c>
      <c r="H2203" s="0" t="s">
        <v>141</v>
      </c>
      <c r="I2203" s="14" t="s">
        <v>1645</v>
      </c>
      <c r="J2203" s="0" t="s">
        <v>197</v>
      </c>
      <c r="K2203" s="0" t="s">
        <v>348</v>
      </c>
      <c r="L2203" s="0" t="s">
        <v>349</v>
      </c>
      <c r="M2203" s="0" t="s">
        <v>378</v>
      </c>
      <c r="N2203" s="0" t="s">
        <v>2554</v>
      </c>
      <c r="O2203" s="0" t="s">
        <v>643</v>
      </c>
      <c r="Q2203" s="0" t="s">
        <v>141</v>
      </c>
      <c r="R2203" s="0" t="s">
        <v>138</v>
      </c>
      <c r="S2203" s="14">
        <v>1</v>
      </c>
      <c r="T2203" s="0" t="s">
        <v>222</v>
      </c>
      <c r="U2203" s="0" t="s">
        <v>138</v>
      </c>
      <c r="V2203" s="14" t="s">
        <v>138</v>
      </c>
      <c r="W2203" s="0" t="s">
        <v>138</v>
      </c>
      <c r="X2203" s="14" t="s">
        <v>138</v>
      </c>
      <c r="Y2203" s="0" t="s">
        <v>138</v>
      </c>
      <c r="Z2203" s="14" t="s">
        <v>138</v>
      </c>
      <c r="AA2203" s="0" t="s">
        <v>138</v>
      </c>
      <c r="AB2203" s="14" t="s">
        <v>138</v>
      </c>
      <c r="AD2203" s="0" t="s">
        <v>138</v>
      </c>
      <c r="AF2203" s="0">
        <v>0</v>
      </c>
      <c r="AG2203" s="0">
        <v>0</v>
      </c>
      <c r="AH2203" s="0" t="s">
        <v>140</v>
      </c>
      <c r="AI2203" s="0" t="s">
        <v>138</v>
      </c>
      <c r="AK2203" s="0" t="s">
        <v>2290</v>
      </c>
      <c r="AL2203" s="14"/>
      <c r="AN2203" s="14"/>
      <c r="AQ2203" s="0" t="s">
        <v>130</v>
      </c>
      <c r="AR2203" s="0" t="s">
        <v>130</v>
      </c>
      <c r="AS2203" s="0" t="s">
        <v>130</v>
      </c>
      <c r="AT2203" s="0" t="s">
        <v>130</v>
      </c>
      <c r="AU2203" s="0" t="s">
        <v>130</v>
      </c>
      <c r="AV2203" s="0" t="s">
        <v>130</v>
      </c>
      <c r="AW2203" s="0" t="s">
        <v>130</v>
      </c>
      <c r="AX2203" s="0" t="s">
        <v>130</v>
      </c>
      <c r="AY2203" s="0" t="s">
        <v>130</v>
      </c>
      <c r="AZ2203" s="0" t="s">
        <v>130</v>
      </c>
      <c r="BA2203" s="0" t="s">
        <v>130</v>
      </c>
      <c r="BB2203" s="0" t="s">
        <v>141</v>
      </c>
      <c r="BC2203" s="0" t="s">
        <v>130</v>
      </c>
      <c r="BD2203" s="0" t="s">
        <v>130</v>
      </c>
      <c r="BE2203" s="0" t="s">
        <v>130</v>
      </c>
      <c r="BF2203" s="0" t="s">
        <v>130</v>
      </c>
      <c r="BG2203" s="0" t="s">
        <v>130</v>
      </c>
      <c r="BH2203" s="0" t="s">
        <v>130</v>
      </c>
      <c r="BI2203" s="0" t="s">
        <v>130</v>
      </c>
      <c r="BJ2203" s="0" t="s">
        <v>130</v>
      </c>
      <c r="BK2203" s="0" t="s">
        <v>130</v>
      </c>
      <c r="BL2203" s="0" t="s">
        <v>130</v>
      </c>
      <c r="BM2203" s="0" t="s">
        <v>130</v>
      </c>
      <c r="BN2203" s="0" t="s">
        <v>130</v>
      </c>
      <c r="BO2203" s="0" t="s">
        <v>130</v>
      </c>
      <c r="BP2203" s="0" t="s">
        <v>130</v>
      </c>
      <c r="BQ2203" s="0" t="s">
        <v>130</v>
      </c>
      <c r="BR2203" s="0" t="s">
        <v>130</v>
      </c>
      <c r="BS2203" s="0" t="s">
        <v>130</v>
      </c>
      <c r="BT2203" s="0" t="s">
        <v>130</v>
      </c>
      <c r="BU2203" s="0" t="s">
        <v>130</v>
      </c>
      <c r="BV2203" s="0" t="s">
        <v>130</v>
      </c>
      <c r="BW2203" s="0" t="s">
        <v>130</v>
      </c>
      <c r="BX2203" s="0" t="s">
        <v>130</v>
      </c>
      <c r="BY2203" s="0" t="s">
        <v>130</v>
      </c>
      <c r="BZ2203" s="0" t="s">
        <v>130</v>
      </c>
      <c r="CA2203" s="0" t="s">
        <v>130</v>
      </c>
      <c r="CB2203" s="0" t="s">
        <v>130</v>
      </c>
      <c r="CC2203" s="0" t="s">
        <v>130</v>
      </c>
      <c r="CD2203" s="0" t="s">
        <v>141</v>
      </c>
      <c r="CE2203" s="0" t="s">
        <v>130</v>
      </c>
      <c r="CF2203" s="0" t="s">
        <v>130</v>
      </c>
      <c r="CG2203" s="0" t="s">
        <v>130</v>
      </c>
      <c r="CH2203" s="0" t="s">
        <v>130</v>
      </c>
      <c r="CI2203" s="0" t="s">
        <v>130</v>
      </c>
      <c r="CJ2203" s="0" t="s">
        <v>130</v>
      </c>
      <c r="CK2203" s="0" t="s">
        <v>130</v>
      </c>
      <c r="CL2203" s="0" t="s">
        <v>130</v>
      </c>
      <c r="CM2203" s="0" t="s">
        <v>130</v>
      </c>
      <c r="CN2203" s="0" t="s">
        <v>130</v>
      </c>
      <c r="CO2203" s="0" t="s">
        <v>130</v>
      </c>
      <c r="CP2203" s="0" t="s">
        <v>130</v>
      </c>
      <c r="CQ2203" s="0" t="s">
        <v>130</v>
      </c>
      <c r="CR2203" s="0" t="s">
        <v>130</v>
      </c>
      <c r="CS2203" s="0" t="s">
        <v>130</v>
      </c>
      <c r="CT2203" s="0" t="s">
        <v>6113</v>
      </c>
    </row>
    <row r="2204">
      <c r="A2204" s="14">
        <v>59907412</v>
      </c>
      <c r="B2204" s="0" t="s">
        <v>4708</v>
      </c>
      <c r="C2204" s="16">
        <f>HYPERLINK("https://eosportal.federatedhermes.com/companies/Q29tcGFueQppNTg5NjM=", "Broadcom Inc")</f>
      </c>
      <c r="D2204" s="0" t="s">
        <v>23</v>
      </c>
      <c r="E2204" s="0" t="s">
        <v>228</v>
      </c>
      <c r="F2204" s="16">
        <f>HYPERLINK("https://eosportal.federatedhermes.com/engagements/RW5nYWdlbWVudAppMzI4NTM=", "Climate strategy")</f>
      </c>
      <c r="G2204" s="14" t="s">
        <v>5621</v>
      </c>
      <c r="H2204" s="0" t="s">
        <v>141</v>
      </c>
      <c r="I2204" s="14" t="s">
        <v>131</v>
      </c>
      <c r="J2204" s="0" t="s">
        <v>197</v>
      </c>
      <c r="K2204" s="0" t="s">
        <v>198</v>
      </c>
      <c r="L2204" s="0" t="s">
        <v>220</v>
      </c>
      <c r="M2204" s="0" t="s">
        <v>135</v>
      </c>
      <c r="N2204" s="0" t="s">
        <v>136</v>
      </c>
      <c r="O2204" s="0" t="s">
        <v>1125</v>
      </c>
      <c r="Q2204" s="0" t="s">
        <v>130</v>
      </c>
      <c r="R2204" s="0" t="s">
        <v>130</v>
      </c>
      <c r="S2204" s="14">
        <v>0</v>
      </c>
      <c r="T2204" s="0" t="s">
        <v>2629</v>
      </c>
      <c r="U2204" s="0" t="s">
        <v>221</v>
      </c>
      <c r="V2204" s="14" t="s">
        <v>2629</v>
      </c>
      <c r="W2204" s="0" t="s">
        <v>221</v>
      </c>
      <c r="X2204" s="14" t="s">
        <v>2629</v>
      </c>
      <c r="Y2204" s="0" t="s">
        <v>221</v>
      </c>
      <c r="Z2204" s="14" t="s">
        <v>4412</v>
      </c>
      <c r="AA2204" s="0" t="s">
        <v>223</v>
      </c>
      <c r="AB2204" s="14" t="s">
        <v>138</v>
      </c>
      <c r="AD2204" s="0" t="s">
        <v>20</v>
      </c>
      <c r="AF2204" s="0">
        <v>0</v>
      </c>
      <c r="AG2204" s="0">
        <v>0</v>
      </c>
      <c r="AH2204" s="0" t="s">
        <v>140</v>
      </c>
      <c r="AI2204" s="0" t="s">
        <v>598</v>
      </c>
      <c r="AL2204" s="14"/>
      <c r="AN2204" s="14"/>
      <c r="AQ2204" s="0" t="s">
        <v>130</v>
      </c>
      <c r="AR2204" s="0" t="s">
        <v>130</v>
      </c>
      <c r="AS2204" s="0" t="s">
        <v>130</v>
      </c>
      <c r="AT2204" s="0" t="s">
        <v>130</v>
      </c>
      <c r="AU2204" s="0" t="s">
        <v>130</v>
      </c>
      <c r="AV2204" s="0" t="s">
        <v>130</v>
      </c>
      <c r="AW2204" s="0" t="s">
        <v>141</v>
      </c>
      <c r="AX2204" s="0" t="s">
        <v>130</v>
      </c>
      <c r="AY2204" s="0" t="s">
        <v>141</v>
      </c>
      <c r="AZ2204" s="0" t="s">
        <v>130</v>
      </c>
      <c r="BA2204" s="0" t="s">
        <v>130</v>
      </c>
      <c r="BB2204" s="0" t="s">
        <v>130</v>
      </c>
      <c r="BC2204" s="0" t="s">
        <v>141</v>
      </c>
      <c r="BD2204" s="0" t="s">
        <v>130</v>
      </c>
      <c r="BE2204" s="0" t="s">
        <v>130</v>
      </c>
      <c r="BF2204" s="0" t="s">
        <v>130</v>
      </c>
      <c r="BG2204" s="0" t="s">
        <v>130</v>
      </c>
      <c r="BH2204" s="0" t="s">
        <v>141</v>
      </c>
      <c r="BI2204" s="0" t="s">
        <v>141</v>
      </c>
      <c r="BJ2204" s="0" t="s">
        <v>141</v>
      </c>
      <c r="BK2204" s="0" t="s">
        <v>130</v>
      </c>
      <c r="BL2204" s="0" t="s">
        <v>130</v>
      </c>
      <c r="BM2204" s="0" t="s">
        <v>130</v>
      </c>
      <c r="BN2204" s="0" t="s">
        <v>130</v>
      </c>
      <c r="BO2204" s="0" t="s">
        <v>130</v>
      </c>
      <c r="BP2204" s="0" t="s">
        <v>130</v>
      </c>
      <c r="BQ2204" s="0" t="s">
        <v>130</v>
      </c>
      <c r="BR2204" s="0" t="s">
        <v>130</v>
      </c>
      <c r="BS2204" s="0" t="s">
        <v>130</v>
      </c>
      <c r="BT2204" s="0" t="s">
        <v>130</v>
      </c>
      <c r="BU2204" s="0" t="s">
        <v>130</v>
      </c>
      <c r="BV2204" s="0" t="s">
        <v>141</v>
      </c>
      <c r="BW2204" s="0" t="s">
        <v>141</v>
      </c>
      <c r="BX2204" s="0" t="s">
        <v>130</v>
      </c>
      <c r="BY2204" s="0" t="s">
        <v>130</v>
      </c>
      <c r="BZ2204" s="0" t="s">
        <v>130</v>
      </c>
      <c r="CA2204" s="0" t="s">
        <v>130</v>
      </c>
      <c r="CB2204" s="0" t="s">
        <v>130</v>
      </c>
      <c r="CC2204" s="0" t="s">
        <v>130</v>
      </c>
      <c r="CD2204" s="0" t="s">
        <v>130</v>
      </c>
      <c r="CE2204" s="0" t="s">
        <v>130</v>
      </c>
      <c r="CF2204" s="0" t="s">
        <v>130</v>
      </c>
      <c r="CG2204" s="0" t="s">
        <v>130</v>
      </c>
      <c r="CH2204" s="0" t="s">
        <v>130</v>
      </c>
      <c r="CI2204" s="0" t="s">
        <v>130</v>
      </c>
      <c r="CJ2204" s="0" t="s">
        <v>130</v>
      </c>
      <c r="CK2204" s="0" t="s">
        <v>130</v>
      </c>
      <c r="CL2204" s="0" t="s">
        <v>130</v>
      </c>
      <c r="CM2204" s="0" t="s">
        <v>130</v>
      </c>
      <c r="CN2204" s="0" t="s">
        <v>130</v>
      </c>
      <c r="CO2204" s="0" t="s">
        <v>130</v>
      </c>
      <c r="CP2204" s="0" t="s">
        <v>130</v>
      </c>
      <c r="CQ2204" s="0" t="s">
        <v>130</v>
      </c>
      <c r="CR2204" s="0" t="s">
        <v>130</v>
      </c>
      <c r="CS2204" s="0" t="s">
        <v>130</v>
      </c>
      <c r="CT2204" s="0" t="s">
        <v>6114</v>
      </c>
    </row>
    <row r="2205">
      <c r="A2205" s="14">
        <v>115467</v>
      </c>
      <c r="B2205" s="0" t="s">
        <v>2421</v>
      </c>
      <c r="C2205" s="16">
        <f>HYPERLINK("https://eosportal.federatedhermes.com/companies/Q29tcGFueQppNTg0Nzc=", "Kering SA")</f>
      </c>
      <c r="D2205" s="0" t="s">
        <v>25</v>
      </c>
      <c r="E2205" s="0" t="s">
        <v>6115</v>
      </c>
      <c r="F2205" s="16">
        <f>HYPERLINK("https://eosportal.federatedhermes.com/engagements/RW5nYWdlbWVudAppMzI4NjI=", "Exposure to precious skins")</f>
      </c>
      <c r="G2205" s="14" t="s">
        <v>6116</v>
      </c>
      <c r="H2205" s="0" t="s">
        <v>141</v>
      </c>
      <c r="I2205" s="14" t="s">
        <v>131</v>
      </c>
      <c r="J2205" s="0" t="s">
        <v>197</v>
      </c>
      <c r="K2205" s="0" t="s">
        <v>337</v>
      </c>
      <c r="L2205" s="0" t="s">
        <v>576</v>
      </c>
      <c r="M2205" s="0" t="s">
        <v>378</v>
      </c>
      <c r="N2205" s="0" t="s">
        <v>1646</v>
      </c>
      <c r="O2205" s="0" t="s">
        <v>332</v>
      </c>
      <c r="Q2205" s="0" t="s">
        <v>130</v>
      </c>
      <c r="R2205" s="0" t="s">
        <v>138</v>
      </c>
      <c r="S2205" s="14">
        <v>0</v>
      </c>
      <c r="T2205" s="0" t="s">
        <v>222</v>
      </c>
      <c r="U2205" s="0" t="s">
        <v>138</v>
      </c>
      <c r="V2205" s="14" t="s">
        <v>138</v>
      </c>
      <c r="W2205" s="0" t="s">
        <v>138</v>
      </c>
      <c r="X2205" s="14" t="s">
        <v>138</v>
      </c>
      <c r="Y2205" s="0" t="s">
        <v>138</v>
      </c>
      <c r="Z2205" s="14" t="s">
        <v>138</v>
      </c>
      <c r="AA2205" s="0" t="s">
        <v>138</v>
      </c>
      <c r="AB2205" s="14" t="s">
        <v>138</v>
      </c>
      <c r="AD2205" s="0" t="s">
        <v>138</v>
      </c>
      <c r="AF2205" s="0">
        <v>0</v>
      </c>
      <c r="AG2205" s="0">
        <v>0</v>
      </c>
      <c r="AH2205" s="0" t="s">
        <v>140</v>
      </c>
      <c r="AI2205" s="0" t="s">
        <v>138</v>
      </c>
      <c r="AL2205" s="14"/>
      <c r="AN2205" s="14"/>
      <c r="AQ2205" s="0" t="s">
        <v>130</v>
      </c>
      <c r="AR2205" s="0" t="s">
        <v>130</v>
      </c>
      <c r="AS2205" s="0" t="s">
        <v>130</v>
      </c>
      <c r="AT2205" s="0" t="s">
        <v>130</v>
      </c>
      <c r="AU2205" s="0" t="s">
        <v>130</v>
      </c>
      <c r="AV2205" s="0" t="s">
        <v>130</v>
      </c>
      <c r="AW2205" s="0" t="s">
        <v>130</v>
      </c>
      <c r="AX2205" s="0" t="s">
        <v>130</v>
      </c>
      <c r="AY2205" s="0" t="s">
        <v>130</v>
      </c>
      <c r="AZ2205" s="0" t="s">
        <v>130</v>
      </c>
      <c r="BA2205" s="0" t="s">
        <v>130</v>
      </c>
      <c r="BB2205" s="0" t="s">
        <v>141</v>
      </c>
      <c r="BC2205" s="0" t="s">
        <v>130</v>
      </c>
      <c r="BD2205" s="0" t="s">
        <v>130</v>
      </c>
      <c r="BE2205" s="0" t="s">
        <v>141</v>
      </c>
      <c r="BF2205" s="0" t="s">
        <v>130</v>
      </c>
      <c r="BG2205" s="0" t="s">
        <v>130</v>
      </c>
      <c r="BH2205" s="0" t="s">
        <v>130</v>
      </c>
      <c r="BI2205" s="0" t="s">
        <v>130</v>
      </c>
      <c r="BJ2205" s="0" t="s">
        <v>130</v>
      </c>
      <c r="BK2205" s="0" t="s">
        <v>130</v>
      </c>
      <c r="BL2205" s="0" t="s">
        <v>130</v>
      </c>
      <c r="BM2205" s="0" t="s">
        <v>130</v>
      </c>
      <c r="BN2205" s="0" t="s">
        <v>130</v>
      </c>
      <c r="BO2205" s="0" t="s">
        <v>130</v>
      </c>
      <c r="BP2205" s="0" t="s">
        <v>130</v>
      </c>
      <c r="BQ2205" s="0" t="s">
        <v>130</v>
      </c>
      <c r="BR2205" s="0" t="s">
        <v>130</v>
      </c>
      <c r="BS2205" s="0" t="s">
        <v>130</v>
      </c>
      <c r="BT2205" s="0" t="s">
        <v>130</v>
      </c>
      <c r="BU2205" s="0" t="s">
        <v>130</v>
      </c>
      <c r="BV2205" s="0" t="s">
        <v>130</v>
      </c>
      <c r="BW2205" s="0" t="s">
        <v>130</v>
      </c>
      <c r="BX2205" s="0" t="s">
        <v>130</v>
      </c>
      <c r="BY2205" s="0" t="s">
        <v>130</v>
      </c>
      <c r="BZ2205" s="0" t="s">
        <v>130</v>
      </c>
      <c r="CA2205" s="0" t="s">
        <v>130</v>
      </c>
      <c r="CB2205" s="0" t="s">
        <v>130</v>
      </c>
      <c r="CC2205" s="0" t="s">
        <v>130</v>
      </c>
      <c r="CD2205" s="0" t="s">
        <v>130</v>
      </c>
      <c r="CE2205" s="0" t="s">
        <v>130</v>
      </c>
      <c r="CF2205" s="0" t="s">
        <v>130</v>
      </c>
      <c r="CG2205" s="0" t="s">
        <v>130</v>
      </c>
      <c r="CH2205" s="0" t="s">
        <v>130</v>
      </c>
      <c r="CI2205" s="0" t="s">
        <v>130</v>
      </c>
      <c r="CJ2205" s="0" t="s">
        <v>130</v>
      </c>
      <c r="CK2205" s="0" t="s">
        <v>130</v>
      </c>
      <c r="CL2205" s="0" t="s">
        <v>130</v>
      </c>
      <c r="CM2205" s="0" t="s">
        <v>130</v>
      </c>
      <c r="CN2205" s="0" t="s">
        <v>130</v>
      </c>
      <c r="CO2205" s="0" t="s">
        <v>130</v>
      </c>
      <c r="CP2205" s="0" t="s">
        <v>130</v>
      </c>
      <c r="CQ2205" s="0" t="s">
        <v>130</v>
      </c>
      <c r="CR2205" s="0" t="s">
        <v>130</v>
      </c>
      <c r="CS2205" s="0" t="s">
        <v>130</v>
      </c>
      <c r="CT2205" s="0" t="s">
        <v>6117</v>
      </c>
    </row>
    <row r="2206">
      <c r="A2206" s="14">
        <v>110755</v>
      </c>
      <c r="B2206" s="0" t="s">
        <v>2303</v>
      </c>
      <c r="C2206" s="16">
        <f>HYPERLINK("https://eosportal.federatedhermes.com/companies/Q29tcGFueQppODYxNDM=", "Toronto-Dominion Bank/The")</f>
      </c>
      <c r="D2206" s="0" t="s">
        <v>23</v>
      </c>
      <c r="E2206" s="0" t="s">
        <v>6118</v>
      </c>
      <c r="F2206" s="16">
        <f>HYPERLINK("https://eosportal.federatedhermes.com/engagements/RW5nYWdlbWVudAppMzI4NjQ=", "Workforce metrics disclosure")</f>
      </c>
      <c r="G2206" s="14" t="s">
        <v>6119</v>
      </c>
      <c r="H2206" s="0" t="s">
        <v>141</v>
      </c>
      <c r="I2206" s="14" t="s">
        <v>191</v>
      </c>
      <c r="J2206" s="0" t="s">
        <v>153</v>
      </c>
      <c r="K2206" s="0" t="s">
        <v>154</v>
      </c>
      <c r="L2206" s="0" t="s">
        <v>268</v>
      </c>
      <c r="M2206" s="0" t="s">
        <v>135</v>
      </c>
      <c r="N2206" s="0" t="s">
        <v>1678</v>
      </c>
      <c r="O2206" s="0" t="s">
        <v>238</v>
      </c>
      <c r="Q2206" s="0" t="s">
        <v>141</v>
      </c>
      <c r="R2206" s="0" t="s">
        <v>141</v>
      </c>
      <c r="S2206" s="14">
        <v>1</v>
      </c>
      <c r="T2206" s="0" t="s">
        <v>478</v>
      </c>
      <c r="U2206" s="0" t="s">
        <v>221</v>
      </c>
      <c r="V2206" s="14" t="s">
        <v>478</v>
      </c>
      <c r="W2206" s="0" t="s">
        <v>221</v>
      </c>
      <c r="X2206" s="14" t="s">
        <v>361</v>
      </c>
      <c r="Y2206" s="0" t="s">
        <v>223</v>
      </c>
      <c r="Z2206" s="14" t="s">
        <v>138</v>
      </c>
      <c r="AA2206" s="0" t="s">
        <v>224</v>
      </c>
      <c r="AB2206" s="14" t="s">
        <v>138</v>
      </c>
      <c r="AC2206" s="0" t="s">
        <v>14</v>
      </c>
      <c r="AD2206" s="0" t="s">
        <v>17</v>
      </c>
      <c r="AE2206" s="0" t="s">
        <v>5508</v>
      </c>
      <c r="AF2206" s="0">
        <v>1</v>
      </c>
      <c r="AG2206" s="0">
        <v>0</v>
      </c>
      <c r="AH2206" s="0" t="s">
        <v>140</v>
      </c>
      <c r="AI2206" s="0" t="s">
        <v>479</v>
      </c>
      <c r="AK2206" s="0" t="s">
        <v>1386</v>
      </c>
      <c r="AL2206" s="14"/>
      <c r="AN2206" s="14"/>
      <c r="AQ2206" s="0" t="s">
        <v>130</v>
      </c>
      <c r="AR2206" s="0" t="s">
        <v>130</v>
      </c>
      <c r="AS2206" s="0" t="s">
        <v>141</v>
      </c>
      <c r="AT2206" s="0" t="s">
        <v>141</v>
      </c>
      <c r="AU2206" s="0" t="s">
        <v>141</v>
      </c>
      <c r="AV2206" s="0" t="s">
        <v>130</v>
      </c>
      <c r="AW2206" s="0" t="s">
        <v>130</v>
      </c>
      <c r="AX2206" s="0" t="s">
        <v>141</v>
      </c>
      <c r="AY2206" s="0" t="s">
        <v>130</v>
      </c>
      <c r="AZ2206" s="0" t="s">
        <v>141</v>
      </c>
      <c r="BA2206" s="0" t="s">
        <v>130</v>
      </c>
      <c r="BB2206" s="0" t="s">
        <v>130</v>
      </c>
      <c r="BC2206" s="0" t="s">
        <v>130</v>
      </c>
      <c r="BD2206" s="0" t="s">
        <v>130</v>
      </c>
      <c r="BE2206" s="0" t="s">
        <v>130</v>
      </c>
      <c r="BF2206" s="0" t="s">
        <v>141</v>
      </c>
      <c r="BG2206" s="0" t="s">
        <v>130</v>
      </c>
      <c r="BH2206" s="0" t="s">
        <v>130</v>
      </c>
      <c r="BI2206" s="0" t="s">
        <v>130</v>
      </c>
      <c r="BJ2206" s="0" t="s">
        <v>130</v>
      </c>
      <c r="BK2206" s="0" t="s">
        <v>130</v>
      </c>
      <c r="BL2206" s="0" t="s">
        <v>130</v>
      </c>
      <c r="BM2206" s="0" t="s">
        <v>130</v>
      </c>
      <c r="BN2206" s="0" t="s">
        <v>130</v>
      </c>
      <c r="BO2206" s="0" t="s">
        <v>130</v>
      </c>
      <c r="BP2206" s="0" t="s">
        <v>130</v>
      </c>
      <c r="BQ2206" s="0" t="s">
        <v>130</v>
      </c>
      <c r="BR2206" s="0" t="s">
        <v>130</v>
      </c>
      <c r="BS2206" s="0" t="s">
        <v>130</v>
      </c>
      <c r="BT2206" s="0" t="s">
        <v>130</v>
      </c>
      <c r="BU2206" s="0" t="s">
        <v>130</v>
      </c>
      <c r="BV2206" s="0" t="s">
        <v>130</v>
      </c>
      <c r="BW2206" s="0" t="s">
        <v>130</v>
      </c>
      <c r="BX2206" s="0" t="s">
        <v>130</v>
      </c>
      <c r="BY2206" s="0" t="s">
        <v>130</v>
      </c>
      <c r="BZ2206" s="0" t="s">
        <v>130</v>
      </c>
      <c r="CA2206" s="0" t="s">
        <v>130</v>
      </c>
      <c r="CB2206" s="0" t="s">
        <v>130</v>
      </c>
      <c r="CC2206" s="0" t="s">
        <v>130</v>
      </c>
      <c r="CD2206" s="0" t="s">
        <v>130</v>
      </c>
      <c r="CE2206" s="0" t="s">
        <v>130</v>
      </c>
      <c r="CF2206" s="0" t="s">
        <v>130</v>
      </c>
      <c r="CG2206" s="0" t="s">
        <v>130</v>
      </c>
      <c r="CH2206" s="0" t="s">
        <v>130</v>
      </c>
      <c r="CI2206" s="0" t="s">
        <v>130</v>
      </c>
      <c r="CJ2206" s="0" t="s">
        <v>130</v>
      </c>
      <c r="CK2206" s="0" t="s">
        <v>141</v>
      </c>
      <c r="CL2206" s="0" t="s">
        <v>130</v>
      </c>
      <c r="CM2206" s="0" t="s">
        <v>130</v>
      </c>
      <c r="CN2206" s="0" t="s">
        <v>130</v>
      </c>
      <c r="CO2206" s="0" t="s">
        <v>130</v>
      </c>
      <c r="CP2206" s="0" t="s">
        <v>130</v>
      </c>
      <c r="CQ2206" s="0" t="s">
        <v>130</v>
      </c>
      <c r="CR2206" s="0" t="s">
        <v>130</v>
      </c>
      <c r="CS2206" s="0" t="s">
        <v>130</v>
      </c>
      <c r="CT2206" s="0" t="s">
        <v>6120</v>
      </c>
    </row>
    <row r="2207">
      <c r="A2207" s="14">
        <v>110755</v>
      </c>
      <c r="B2207" s="0" t="s">
        <v>2303</v>
      </c>
      <c r="C2207" s="16">
        <f>HYPERLINK("https://eosportal.federatedhermes.com/companies/Q29tcGFueQppODYxNDM=", "Toronto-Dominion Bank/The")</f>
      </c>
      <c r="D2207" s="0" t="s">
        <v>23</v>
      </c>
      <c r="E2207" s="0" t="s">
        <v>6121</v>
      </c>
      <c r="F2207" s="16">
        <f>HYPERLINK("https://eosportal.federatedhermes.com/engagements/RW5nYWdlbWVudAppMzI4NjU=", "Artificial intelligence governance")</f>
      </c>
      <c r="G2207" s="14" t="s">
        <v>6122</v>
      </c>
      <c r="H2207" s="0" t="s">
        <v>141</v>
      </c>
      <c r="I2207" s="14" t="s">
        <v>191</v>
      </c>
      <c r="J2207" s="0" t="s">
        <v>153</v>
      </c>
      <c r="K2207" s="0" t="s">
        <v>243</v>
      </c>
      <c r="L2207" s="0" t="s">
        <v>537</v>
      </c>
      <c r="M2207" s="0" t="s">
        <v>135</v>
      </c>
      <c r="N2207" s="0" t="s">
        <v>1678</v>
      </c>
      <c r="O2207" s="0" t="s">
        <v>238</v>
      </c>
      <c r="Q2207" s="0" t="s">
        <v>141</v>
      </c>
      <c r="R2207" s="0" t="s">
        <v>141</v>
      </c>
      <c r="S2207" s="14">
        <v>1</v>
      </c>
      <c r="T2207" s="0" t="s">
        <v>478</v>
      </c>
      <c r="U2207" s="0" t="s">
        <v>221</v>
      </c>
      <c r="V2207" s="14" t="s">
        <v>478</v>
      </c>
      <c r="W2207" s="0" t="s">
        <v>221</v>
      </c>
      <c r="X2207" s="14" t="s">
        <v>478</v>
      </c>
      <c r="Y2207" s="0" t="s">
        <v>221</v>
      </c>
      <c r="Z2207" s="14" t="s">
        <v>361</v>
      </c>
      <c r="AA2207" s="0" t="s">
        <v>223</v>
      </c>
      <c r="AB2207" s="14" t="s">
        <v>138</v>
      </c>
      <c r="AC2207" s="0" t="s">
        <v>17</v>
      </c>
      <c r="AD2207" s="0" t="s">
        <v>20</v>
      </c>
      <c r="AE2207" s="0" t="s">
        <v>2266</v>
      </c>
      <c r="AF2207" s="0">
        <v>1</v>
      </c>
      <c r="AG2207" s="0">
        <v>0</v>
      </c>
      <c r="AH2207" s="0" t="s">
        <v>140</v>
      </c>
      <c r="AI2207" s="0" t="s">
        <v>598</v>
      </c>
      <c r="AK2207" s="0" t="s">
        <v>1386</v>
      </c>
      <c r="AL2207" s="14"/>
      <c r="AN2207" s="14"/>
      <c r="AQ2207" s="0" t="s">
        <v>130</v>
      </c>
      <c r="AR2207" s="0" t="s">
        <v>130</v>
      </c>
      <c r="AS2207" s="0" t="s">
        <v>130</v>
      </c>
      <c r="AT2207" s="0" t="s">
        <v>130</v>
      </c>
      <c r="AU2207" s="0" t="s">
        <v>130</v>
      </c>
      <c r="AV2207" s="0" t="s">
        <v>130</v>
      </c>
      <c r="AW2207" s="0" t="s">
        <v>130</v>
      </c>
      <c r="AX2207" s="0" t="s">
        <v>130</v>
      </c>
      <c r="AY2207" s="0" t="s">
        <v>130</v>
      </c>
      <c r="AZ2207" s="0" t="s">
        <v>141</v>
      </c>
      <c r="BA2207" s="0" t="s">
        <v>130</v>
      </c>
      <c r="BB2207" s="0" t="s">
        <v>130</v>
      </c>
      <c r="BC2207" s="0" t="s">
        <v>130</v>
      </c>
      <c r="BD2207" s="0" t="s">
        <v>130</v>
      </c>
      <c r="BE2207" s="0" t="s">
        <v>130</v>
      </c>
      <c r="BF2207" s="0" t="s">
        <v>141</v>
      </c>
      <c r="BG2207" s="0" t="s">
        <v>130</v>
      </c>
      <c r="BH2207" s="0" t="s">
        <v>130</v>
      </c>
      <c r="BI2207" s="0" t="s">
        <v>130</v>
      </c>
      <c r="BJ2207" s="0" t="s">
        <v>130</v>
      </c>
      <c r="BK2207" s="0" t="s">
        <v>130</v>
      </c>
      <c r="BL2207" s="0" t="s">
        <v>130</v>
      </c>
      <c r="BM2207" s="0" t="s">
        <v>130</v>
      </c>
      <c r="BN2207" s="0" t="s">
        <v>130</v>
      </c>
      <c r="BO2207" s="0" t="s">
        <v>130</v>
      </c>
      <c r="BP2207" s="0" t="s">
        <v>130</v>
      </c>
      <c r="BQ2207" s="0" t="s">
        <v>130</v>
      </c>
      <c r="BR2207" s="0" t="s">
        <v>130</v>
      </c>
      <c r="BS2207" s="0" t="s">
        <v>130</v>
      </c>
      <c r="BT2207" s="0" t="s">
        <v>130</v>
      </c>
      <c r="BU2207" s="0" t="s">
        <v>130</v>
      </c>
      <c r="BV2207" s="0" t="s">
        <v>130</v>
      </c>
      <c r="BW2207" s="0" t="s">
        <v>130</v>
      </c>
      <c r="BX2207" s="0" t="s">
        <v>130</v>
      </c>
      <c r="BY2207" s="0" t="s">
        <v>130</v>
      </c>
      <c r="BZ2207" s="0" t="s">
        <v>130</v>
      </c>
      <c r="CA2207" s="0" t="s">
        <v>130</v>
      </c>
      <c r="CB2207" s="0" t="s">
        <v>130</v>
      </c>
      <c r="CC2207" s="0" t="s">
        <v>130</v>
      </c>
      <c r="CD2207" s="0" t="s">
        <v>130</v>
      </c>
      <c r="CE2207" s="0" t="s">
        <v>130</v>
      </c>
      <c r="CF2207" s="0" t="s">
        <v>130</v>
      </c>
      <c r="CG2207" s="0" t="s">
        <v>130</v>
      </c>
      <c r="CH2207" s="0" t="s">
        <v>130</v>
      </c>
      <c r="CI2207" s="0" t="s">
        <v>130</v>
      </c>
      <c r="CJ2207" s="0" t="s">
        <v>130</v>
      </c>
      <c r="CK2207" s="0" t="s">
        <v>130</v>
      </c>
      <c r="CL2207" s="0" t="s">
        <v>130</v>
      </c>
      <c r="CM2207" s="0" t="s">
        <v>130</v>
      </c>
      <c r="CN2207" s="0" t="s">
        <v>130</v>
      </c>
      <c r="CO2207" s="0" t="s">
        <v>130</v>
      </c>
      <c r="CP2207" s="0" t="s">
        <v>130</v>
      </c>
      <c r="CQ2207" s="0" t="s">
        <v>130</v>
      </c>
      <c r="CR2207" s="0" t="s">
        <v>130</v>
      </c>
      <c r="CS2207" s="0" t="s">
        <v>130</v>
      </c>
      <c r="CT2207" s="0" t="s">
        <v>6123</v>
      </c>
    </row>
    <row r="2208">
      <c r="A2208" s="14">
        <v>113129</v>
      </c>
      <c r="B2208" s="0" t="s">
        <v>1219</v>
      </c>
      <c r="C2208" s="16">
        <f>HYPERLINK("https://eosportal.federatedhermes.com/companies/Q29tcGFueQppNDY5NDc=", "Wesfarmers Ltd")</f>
      </c>
      <c r="D2208" s="0" t="s">
        <v>25</v>
      </c>
      <c r="E2208" s="0" t="s">
        <v>6124</v>
      </c>
      <c r="F2208" s="16">
        <f>HYPERLINK("https://eosportal.federatedhermes.com/engagements/RW5nYWdlbWVudAppMzI4NjY=", "Climate Change Vote Policy")</f>
      </c>
      <c r="G2208" s="14" t="s">
        <v>6125</v>
      </c>
      <c r="H2208" s="0" t="s">
        <v>130</v>
      </c>
      <c r="I2208" s="14" t="s">
        <v>319</v>
      </c>
      <c r="J2208" s="0" t="s">
        <v>197</v>
      </c>
      <c r="K2208" s="0" t="s">
        <v>198</v>
      </c>
      <c r="L2208" s="0" t="s">
        <v>199</v>
      </c>
      <c r="M2208" s="0" t="s">
        <v>371</v>
      </c>
      <c r="N2208" s="0" t="s">
        <v>372</v>
      </c>
      <c r="O2208" s="0" t="s">
        <v>643</v>
      </c>
      <c r="Q2208" s="0" t="s">
        <v>141</v>
      </c>
      <c r="R2208" s="0" t="s">
        <v>138</v>
      </c>
      <c r="S2208" s="14">
        <v>1</v>
      </c>
      <c r="T2208" s="0" t="s">
        <v>222</v>
      </c>
      <c r="U2208" s="0" t="s">
        <v>138</v>
      </c>
      <c r="V2208" s="14" t="s">
        <v>138</v>
      </c>
      <c r="W2208" s="0" t="s">
        <v>138</v>
      </c>
      <c r="X2208" s="14" t="s">
        <v>138</v>
      </c>
      <c r="Y2208" s="0" t="s">
        <v>138</v>
      </c>
      <c r="Z2208" s="14" t="s">
        <v>138</v>
      </c>
      <c r="AA2208" s="0" t="s">
        <v>138</v>
      </c>
      <c r="AB2208" s="14" t="s">
        <v>138</v>
      </c>
      <c r="AD2208" s="0" t="s">
        <v>138</v>
      </c>
      <c r="AF2208" s="0">
        <v>0</v>
      </c>
      <c r="AG2208" s="0">
        <v>0</v>
      </c>
      <c r="AH2208" s="0" t="s">
        <v>140</v>
      </c>
      <c r="AI2208" s="0" t="s">
        <v>138</v>
      </c>
      <c r="AK2208" s="0" t="s">
        <v>1220</v>
      </c>
      <c r="AL2208" s="14"/>
      <c r="AN2208" s="14"/>
      <c r="AQ2208" s="0" t="s">
        <v>130</v>
      </c>
      <c r="AR2208" s="0" t="s">
        <v>130</v>
      </c>
      <c r="AS2208" s="0" t="s">
        <v>130</v>
      </c>
      <c r="AT2208" s="0" t="s">
        <v>130</v>
      </c>
      <c r="AU2208" s="0" t="s">
        <v>130</v>
      </c>
      <c r="AV2208" s="0" t="s">
        <v>130</v>
      </c>
      <c r="AW2208" s="0" t="s">
        <v>130</v>
      </c>
      <c r="AX2208" s="0" t="s">
        <v>130</v>
      </c>
      <c r="AY2208" s="0" t="s">
        <v>130</v>
      </c>
      <c r="AZ2208" s="0" t="s">
        <v>130</v>
      </c>
      <c r="BA2208" s="0" t="s">
        <v>130</v>
      </c>
      <c r="BB2208" s="0" t="s">
        <v>141</v>
      </c>
      <c r="BC2208" s="0" t="s">
        <v>130</v>
      </c>
      <c r="BD2208" s="0" t="s">
        <v>130</v>
      </c>
      <c r="BE2208" s="0" t="s">
        <v>130</v>
      </c>
      <c r="BF2208" s="0" t="s">
        <v>130</v>
      </c>
      <c r="BG2208" s="0" t="s">
        <v>130</v>
      </c>
      <c r="BH2208" s="0" t="s">
        <v>130</v>
      </c>
      <c r="BI2208" s="0" t="s">
        <v>130</v>
      </c>
      <c r="BJ2208" s="0" t="s">
        <v>130</v>
      </c>
      <c r="BK2208" s="0" t="s">
        <v>130</v>
      </c>
      <c r="BL2208" s="0" t="s">
        <v>130</v>
      </c>
      <c r="BM2208" s="0" t="s">
        <v>130</v>
      </c>
      <c r="BN2208" s="0" t="s">
        <v>130</v>
      </c>
      <c r="BO2208" s="0" t="s">
        <v>130</v>
      </c>
      <c r="BP2208" s="0" t="s">
        <v>130</v>
      </c>
      <c r="BQ2208" s="0" t="s">
        <v>130</v>
      </c>
      <c r="BR2208" s="0" t="s">
        <v>130</v>
      </c>
      <c r="BS2208" s="0" t="s">
        <v>130</v>
      </c>
      <c r="BT2208" s="0" t="s">
        <v>130</v>
      </c>
      <c r="BU2208" s="0" t="s">
        <v>130</v>
      </c>
      <c r="BV2208" s="0" t="s">
        <v>130</v>
      </c>
      <c r="BW2208" s="0" t="s">
        <v>130</v>
      </c>
      <c r="BX2208" s="0" t="s">
        <v>130</v>
      </c>
      <c r="BY2208" s="0" t="s">
        <v>130</v>
      </c>
      <c r="BZ2208" s="0" t="s">
        <v>130</v>
      </c>
      <c r="CA2208" s="0" t="s">
        <v>130</v>
      </c>
      <c r="CB2208" s="0" t="s">
        <v>130</v>
      </c>
      <c r="CC2208" s="0" t="s">
        <v>130</v>
      </c>
      <c r="CD2208" s="0" t="s">
        <v>130</v>
      </c>
      <c r="CE2208" s="0" t="s">
        <v>130</v>
      </c>
      <c r="CF2208" s="0" t="s">
        <v>130</v>
      </c>
      <c r="CG2208" s="0" t="s">
        <v>130</v>
      </c>
      <c r="CH2208" s="0" t="s">
        <v>130</v>
      </c>
      <c r="CI2208" s="0" t="s">
        <v>130</v>
      </c>
      <c r="CJ2208" s="0" t="s">
        <v>130</v>
      </c>
      <c r="CK2208" s="0" t="s">
        <v>130</v>
      </c>
      <c r="CL2208" s="0" t="s">
        <v>130</v>
      </c>
      <c r="CM2208" s="0" t="s">
        <v>130</v>
      </c>
      <c r="CN2208" s="0" t="s">
        <v>130</v>
      </c>
      <c r="CO2208" s="0" t="s">
        <v>130</v>
      </c>
      <c r="CP2208" s="0" t="s">
        <v>130</v>
      </c>
      <c r="CQ2208" s="0" t="s">
        <v>130</v>
      </c>
      <c r="CR2208" s="0" t="s">
        <v>130</v>
      </c>
      <c r="CS2208" s="0" t="s">
        <v>130</v>
      </c>
      <c r="CT2208" s="0" t="s">
        <v>6126</v>
      </c>
    </row>
    <row r="2209">
      <c r="A2209" s="14">
        <v>101001</v>
      </c>
      <c r="B2209" s="0" t="s">
        <v>1142</v>
      </c>
      <c r="C2209" s="16">
        <f>HYPERLINK("https://eosportal.federatedhermes.com/companies/Q29tcGFueQppNjQzOTA=", "3M Co")</f>
      </c>
      <c r="D2209" s="0" t="s">
        <v>23</v>
      </c>
      <c r="E2209" s="0" t="s">
        <v>6127</v>
      </c>
      <c r="F2209" s="16">
        <f>HYPERLINK("https://eosportal.federatedhermes.com/engagements/RW5nYWdlbWVudAppMzI4NzA=", "Implementation of the commitment to exit PFAS manufacturing by the end of 2025")</f>
      </c>
      <c r="G2209" s="14" t="s">
        <v>6128</v>
      </c>
      <c r="H2209" s="0" t="s">
        <v>141</v>
      </c>
      <c r="I2209" s="14" t="s">
        <v>191</v>
      </c>
      <c r="J2209" s="0" t="s">
        <v>197</v>
      </c>
      <c r="K2209" s="0" t="s">
        <v>348</v>
      </c>
      <c r="L2209" s="0" t="s">
        <v>650</v>
      </c>
      <c r="M2209" s="0" t="s">
        <v>135</v>
      </c>
      <c r="N2209" s="0" t="s">
        <v>136</v>
      </c>
      <c r="O2209" s="0" t="s">
        <v>176</v>
      </c>
      <c r="Q2209" s="0" t="s">
        <v>141</v>
      </c>
      <c r="R2209" s="0" t="s">
        <v>130</v>
      </c>
      <c r="S2209" s="14">
        <v>2</v>
      </c>
      <c r="T2209" s="0" t="s">
        <v>222</v>
      </c>
      <c r="U2209" s="0" t="s">
        <v>221</v>
      </c>
      <c r="V2209" s="14" t="s">
        <v>222</v>
      </c>
      <c r="W2209" s="0" t="s">
        <v>221</v>
      </c>
      <c r="X2209" s="14" t="s">
        <v>222</v>
      </c>
      <c r="Y2209" s="0" t="s">
        <v>221</v>
      </c>
      <c r="Z2209" s="14" t="s">
        <v>2428</v>
      </c>
      <c r="AA2209" s="0" t="s">
        <v>223</v>
      </c>
      <c r="AB2209" s="14" t="s">
        <v>138</v>
      </c>
      <c r="AD2209" s="0" t="s">
        <v>20</v>
      </c>
      <c r="AF2209" s="0">
        <v>0</v>
      </c>
      <c r="AG2209" s="0">
        <v>0</v>
      </c>
      <c r="AH2209" s="0" t="s">
        <v>140</v>
      </c>
      <c r="AI2209" s="0" t="s">
        <v>598</v>
      </c>
      <c r="AK2209" s="0" t="s">
        <v>1151</v>
      </c>
      <c r="AL2209" s="14"/>
      <c r="AN2209" s="14"/>
      <c r="AQ2209" s="0" t="s">
        <v>130</v>
      </c>
      <c r="AR2209" s="0" t="s">
        <v>130</v>
      </c>
      <c r="AS2209" s="0" t="s">
        <v>141</v>
      </c>
      <c r="AT2209" s="0" t="s">
        <v>130</v>
      </c>
      <c r="AU2209" s="0" t="s">
        <v>130</v>
      </c>
      <c r="AV2209" s="0" t="s">
        <v>130</v>
      </c>
      <c r="AW2209" s="0" t="s">
        <v>130</v>
      </c>
      <c r="AX2209" s="0" t="s">
        <v>130</v>
      </c>
      <c r="AY2209" s="0" t="s">
        <v>130</v>
      </c>
      <c r="AZ2209" s="0" t="s">
        <v>130</v>
      </c>
      <c r="BA2209" s="0" t="s">
        <v>130</v>
      </c>
      <c r="BB2209" s="0" t="s">
        <v>141</v>
      </c>
      <c r="BC2209" s="0" t="s">
        <v>130</v>
      </c>
      <c r="BD2209" s="0" t="s">
        <v>130</v>
      </c>
      <c r="BE2209" s="0" t="s">
        <v>130</v>
      </c>
      <c r="BF2209" s="0" t="s">
        <v>130</v>
      </c>
      <c r="BG2209" s="0" t="s">
        <v>130</v>
      </c>
      <c r="BH2209" s="0" t="s">
        <v>130</v>
      </c>
      <c r="BI2209" s="0" t="s">
        <v>130</v>
      </c>
      <c r="BJ2209" s="0" t="s">
        <v>130</v>
      </c>
      <c r="BK2209" s="0" t="s">
        <v>130</v>
      </c>
      <c r="BL2209" s="0" t="s">
        <v>130</v>
      </c>
      <c r="BM2209" s="0" t="s">
        <v>130</v>
      </c>
      <c r="BN2209" s="0" t="s">
        <v>130</v>
      </c>
      <c r="BO2209" s="0" t="s">
        <v>130</v>
      </c>
      <c r="BP2209" s="0" t="s">
        <v>130</v>
      </c>
      <c r="BQ2209" s="0" t="s">
        <v>130</v>
      </c>
      <c r="BR2209" s="0" t="s">
        <v>130</v>
      </c>
      <c r="BS2209" s="0" t="s">
        <v>130</v>
      </c>
      <c r="BT2209" s="0" t="s">
        <v>130</v>
      </c>
      <c r="BU2209" s="0" t="s">
        <v>130</v>
      </c>
      <c r="BV2209" s="0" t="s">
        <v>130</v>
      </c>
      <c r="BW2209" s="0" t="s">
        <v>130</v>
      </c>
      <c r="BX2209" s="0" t="s">
        <v>130</v>
      </c>
      <c r="BY2209" s="0" t="s">
        <v>130</v>
      </c>
      <c r="BZ2209" s="0" t="s">
        <v>130</v>
      </c>
      <c r="CA2209" s="0" t="s">
        <v>130</v>
      </c>
      <c r="CB2209" s="0" t="s">
        <v>130</v>
      </c>
      <c r="CC2209" s="0" t="s">
        <v>130</v>
      </c>
      <c r="CD2209" s="0" t="s">
        <v>130</v>
      </c>
      <c r="CE2209" s="0" t="s">
        <v>130</v>
      </c>
      <c r="CF2209" s="0" t="s">
        <v>130</v>
      </c>
      <c r="CG2209" s="0" t="s">
        <v>130</v>
      </c>
      <c r="CH2209" s="0" t="s">
        <v>130</v>
      </c>
      <c r="CI2209" s="0" t="s">
        <v>130</v>
      </c>
      <c r="CJ2209" s="0" t="s">
        <v>130</v>
      </c>
      <c r="CK2209" s="0" t="s">
        <v>130</v>
      </c>
      <c r="CL2209" s="0" t="s">
        <v>130</v>
      </c>
      <c r="CM2209" s="0" t="s">
        <v>130</v>
      </c>
      <c r="CN2209" s="0" t="s">
        <v>130</v>
      </c>
      <c r="CO2209" s="0" t="s">
        <v>130</v>
      </c>
      <c r="CP2209" s="0" t="s">
        <v>130</v>
      </c>
      <c r="CQ2209" s="0" t="s">
        <v>130</v>
      </c>
      <c r="CR2209" s="0" t="s">
        <v>130</v>
      </c>
      <c r="CS2209" s="0" t="s">
        <v>130</v>
      </c>
      <c r="CT2209" s="0" t="s">
        <v>6129</v>
      </c>
    </row>
    <row r="2210">
      <c r="A2210" s="14">
        <v>918049</v>
      </c>
      <c r="B2210" s="0" t="s">
        <v>3423</v>
      </c>
      <c r="C2210" s="16">
        <f>HYPERLINK("https://eosportal.federatedhermes.com/companies/Q29tcGFueQppNjQzOTQ=", "Enel SpA")</f>
      </c>
      <c r="D2210" s="0" t="s">
        <v>23</v>
      </c>
      <c r="E2210" s="0" t="s">
        <v>6130</v>
      </c>
      <c r="F2210" s="16">
        <f>HYPERLINK("https://eosportal.federatedhermes.com/engagements/RW5nYWdlbWVudAppMzI4NzE=", "Climate strategy delivery")</f>
      </c>
      <c r="G2210" s="14" t="s">
        <v>6131</v>
      </c>
      <c r="H2210" s="0" t="s">
        <v>141</v>
      </c>
      <c r="I2210" s="14" t="s">
        <v>636</v>
      </c>
      <c r="J2210" s="0" t="s">
        <v>197</v>
      </c>
      <c r="K2210" s="0" t="s">
        <v>198</v>
      </c>
      <c r="L2210" s="0" t="s">
        <v>216</v>
      </c>
      <c r="M2210" s="0" t="s">
        <v>378</v>
      </c>
      <c r="N2210" s="0" t="s">
        <v>2898</v>
      </c>
      <c r="O2210" s="0" t="s">
        <v>192</v>
      </c>
      <c r="Q2210" s="0" t="s">
        <v>130</v>
      </c>
      <c r="R2210" s="0" t="s">
        <v>130</v>
      </c>
      <c r="S2210" s="14">
        <v>0</v>
      </c>
      <c r="T2210" s="0" t="s">
        <v>222</v>
      </c>
      <c r="U2210" s="0" t="s">
        <v>221</v>
      </c>
      <c r="V2210" s="14" t="s">
        <v>222</v>
      </c>
      <c r="W2210" s="0" t="s">
        <v>221</v>
      </c>
      <c r="X2210" s="14" t="s">
        <v>222</v>
      </c>
      <c r="Y2210" s="0" t="s">
        <v>223</v>
      </c>
      <c r="Z2210" s="14" t="s">
        <v>138</v>
      </c>
      <c r="AA2210" s="0" t="s">
        <v>224</v>
      </c>
      <c r="AB2210" s="14" t="s">
        <v>138</v>
      </c>
      <c r="AD2210" s="0" t="s">
        <v>17</v>
      </c>
      <c r="AF2210" s="0">
        <v>0</v>
      </c>
      <c r="AG2210" s="0">
        <v>0</v>
      </c>
      <c r="AH2210" s="0" t="s">
        <v>140</v>
      </c>
      <c r="AI2210" s="0" t="s">
        <v>479</v>
      </c>
      <c r="AL2210" s="14"/>
      <c r="AN2210" s="14"/>
      <c r="AQ2210" s="0" t="s">
        <v>130</v>
      </c>
      <c r="AR2210" s="0" t="s">
        <v>130</v>
      </c>
      <c r="AS2210" s="0" t="s">
        <v>130</v>
      </c>
      <c r="AT2210" s="0" t="s">
        <v>130</v>
      </c>
      <c r="AU2210" s="0" t="s">
        <v>130</v>
      </c>
      <c r="AV2210" s="0" t="s">
        <v>130</v>
      </c>
      <c r="AW2210" s="0" t="s">
        <v>141</v>
      </c>
      <c r="AX2210" s="0" t="s">
        <v>130</v>
      </c>
      <c r="AY2210" s="0" t="s">
        <v>141</v>
      </c>
      <c r="AZ2210" s="0" t="s">
        <v>130</v>
      </c>
      <c r="BA2210" s="0" t="s">
        <v>130</v>
      </c>
      <c r="BB2210" s="0" t="s">
        <v>130</v>
      </c>
      <c r="BC2210" s="0" t="s">
        <v>141</v>
      </c>
      <c r="BD2210" s="0" t="s">
        <v>130</v>
      </c>
      <c r="BE2210" s="0" t="s">
        <v>130</v>
      </c>
      <c r="BF2210" s="0" t="s">
        <v>130</v>
      </c>
      <c r="BG2210" s="0" t="s">
        <v>130</v>
      </c>
      <c r="BH2210" s="0" t="s">
        <v>141</v>
      </c>
      <c r="BI2210" s="0" t="s">
        <v>141</v>
      </c>
      <c r="BJ2210" s="0" t="s">
        <v>141</v>
      </c>
      <c r="BK2210" s="0" t="s">
        <v>130</v>
      </c>
      <c r="BL2210" s="0" t="s">
        <v>130</v>
      </c>
      <c r="BM2210" s="0" t="s">
        <v>130</v>
      </c>
      <c r="BN2210" s="0" t="s">
        <v>130</v>
      </c>
      <c r="BO2210" s="0" t="s">
        <v>130</v>
      </c>
      <c r="BP2210" s="0" t="s">
        <v>130</v>
      </c>
      <c r="BQ2210" s="0" t="s">
        <v>130</v>
      </c>
      <c r="BR2210" s="0" t="s">
        <v>130</v>
      </c>
      <c r="BS2210" s="0" t="s">
        <v>130</v>
      </c>
      <c r="BT2210" s="0" t="s">
        <v>130</v>
      </c>
      <c r="BU2210" s="0" t="s">
        <v>130</v>
      </c>
      <c r="BV2210" s="0" t="s">
        <v>141</v>
      </c>
      <c r="BW2210" s="0" t="s">
        <v>141</v>
      </c>
      <c r="BX2210" s="0" t="s">
        <v>130</v>
      </c>
      <c r="BY2210" s="0" t="s">
        <v>130</v>
      </c>
      <c r="BZ2210" s="0" t="s">
        <v>130</v>
      </c>
      <c r="CA2210" s="0" t="s">
        <v>130</v>
      </c>
      <c r="CB2210" s="0" t="s">
        <v>130</v>
      </c>
      <c r="CC2210" s="0" t="s">
        <v>130</v>
      </c>
      <c r="CD2210" s="0" t="s">
        <v>130</v>
      </c>
      <c r="CE2210" s="0" t="s">
        <v>130</v>
      </c>
      <c r="CF2210" s="0" t="s">
        <v>130</v>
      </c>
      <c r="CG2210" s="0" t="s">
        <v>130</v>
      </c>
      <c r="CH2210" s="0" t="s">
        <v>130</v>
      </c>
      <c r="CI2210" s="0" t="s">
        <v>130</v>
      </c>
      <c r="CJ2210" s="0" t="s">
        <v>130</v>
      </c>
      <c r="CK2210" s="0" t="s">
        <v>130</v>
      </c>
      <c r="CL2210" s="0" t="s">
        <v>130</v>
      </c>
      <c r="CM2210" s="0" t="s">
        <v>130</v>
      </c>
      <c r="CN2210" s="0" t="s">
        <v>130</v>
      </c>
      <c r="CO2210" s="0" t="s">
        <v>130</v>
      </c>
      <c r="CP2210" s="0" t="s">
        <v>130</v>
      </c>
      <c r="CQ2210" s="0" t="s">
        <v>130</v>
      </c>
      <c r="CR2210" s="0" t="s">
        <v>130</v>
      </c>
      <c r="CS2210" s="0" t="s">
        <v>130</v>
      </c>
      <c r="CT2210" s="0" t="s">
        <v>6132</v>
      </c>
    </row>
    <row r="2211">
      <c r="A2211" s="14">
        <v>115643</v>
      </c>
      <c r="B2211" s="0" t="s">
        <v>2552</v>
      </c>
      <c r="C2211" s="16">
        <f>HYPERLINK("https://eosportal.federatedhermes.com/companies/Q29tcGFueQppNjk2MzA=", "Koninklijke Ahold Delhaize NV")</f>
      </c>
      <c r="D2211" s="0" t="s">
        <v>25</v>
      </c>
      <c r="E2211" s="0" t="s">
        <v>6133</v>
      </c>
      <c r="F2211" s="16">
        <f>HYPERLINK("https://eosportal.federatedhermes.com/engagements/RW5nYWdlbWVudAppMzI4NzU=", "Net Zero Transition Plan (NZEI)")</f>
      </c>
      <c r="G2211" s="14" t="s">
        <v>6134</v>
      </c>
      <c r="H2211" s="0" t="s">
        <v>141</v>
      </c>
      <c r="I2211" s="14" t="s">
        <v>1645</v>
      </c>
      <c r="J2211" s="0" t="s">
        <v>197</v>
      </c>
      <c r="K2211" s="0" t="s">
        <v>198</v>
      </c>
      <c r="L2211" s="0" t="s">
        <v>216</v>
      </c>
      <c r="M2211" s="0" t="s">
        <v>378</v>
      </c>
      <c r="N2211" s="0" t="s">
        <v>2554</v>
      </c>
      <c r="O2211" s="0" t="s">
        <v>643</v>
      </c>
      <c r="Q2211" s="0" t="s">
        <v>141</v>
      </c>
      <c r="R2211" s="0" t="s">
        <v>138</v>
      </c>
      <c r="S2211" s="14">
        <v>1</v>
      </c>
      <c r="T2211" s="0" t="s">
        <v>2629</v>
      </c>
      <c r="U2211" s="0" t="s">
        <v>138</v>
      </c>
      <c r="V2211" s="14" t="s">
        <v>138</v>
      </c>
      <c r="W2211" s="0" t="s">
        <v>138</v>
      </c>
      <c r="X2211" s="14" t="s">
        <v>138</v>
      </c>
      <c r="Y2211" s="0" t="s">
        <v>138</v>
      </c>
      <c r="Z2211" s="14" t="s">
        <v>138</v>
      </c>
      <c r="AA2211" s="0" t="s">
        <v>138</v>
      </c>
      <c r="AB2211" s="14" t="s">
        <v>138</v>
      </c>
      <c r="AD2211" s="0" t="s">
        <v>138</v>
      </c>
      <c r="AF2211" s="0">
        <v>0</v>
      </c>
      <c r="AG2211" s="0">
        <v>0</v>
      </c>
      <c r="AH2211" s="0" t="s">
        <v>140</v>
      </c>
      <c r="AI2211" s="0" t="s">
        <v>138</v>
      </c>
      <c r="AK2211" s="0" t="s">
        <v>2290</v>
      </c>
      <c r="AL2211" s="14"/>
      <c r="AN2211" s="14"/>
      <c r="AQ2211" s="0" t="s">
        <v>130</v>
      </c>
      <c r="AR2211" s="0" t="s">
        <v>130</v>
      </c>
      <c r="AS2211" s="0" t="s">
        <v>130</v>
      </c>
      <c r="AT2211" s="0" t="s">
        <v>130</v>
      </c>
      <c r="AU2211" s="0" t="s">
        <v>130</v>
      </c>
      <c r="AV2211" s="0" t="s">
        <v>130</v>
      </c>
      <c r="AW2211" s="0" t="s">
        <v>141</v>
      </c>
      <c r="AX2211" s="0" t="s">
        <v>130</v>
      </c>
      <c r="AY2211" s="0" t="s">
        <v>130</v>
      </c>
      <c r="AZ2211" s="0" t="s">
        <v>130</v>
      </c>
      <c r="BA2211" s="0" t="s">
        <v>130</v>
      </c>
      <c r="BB2211" s="0" t="s">
        <v>130</v>
      </c>
      <c r="BC2211" s="0" t="s">
        <v>141</v>
      </c>
      <c r="BD2211" s="0" t="s">
        <v>130</v>
      </c>
      <c r="BE2211" s="0" t="s">
        <v>130</v>
      </c>
      <c r="BF2211" s="0" t="s">
        <v>130</v>
      </c>
      <c r="BG2211" s="0" t="s">
        <v>130</v>
      </c>
      <c r="BH2211" s="0" t="s">
        <v>141</v>
      </c>
      <c r="BI2211" s="0" t="s">
        <v>141</v>
      </c>
      <c r="BJ2211" s="0" t="s">
        <v>141</v>
      </c>
      <c r="BK2211" s="0" t="s">
        <v>130</v>
      </c>
      <c r="BL2211" s="0" t="s">
        <v>130</v>
      </c>
      <c r="BM2211" s="0" t="s">
        <v>130</v>
      </c>
      <c r="BN2211" s="0" t="s">
        <v>130</v>
      </c>
      <c r="BO2211" s="0" t="s">
        <v>130</v>
      </c>
      <c r="BP2211" s="0" t="s">
        <v>130</v>
      </c>
      <c r="BQ2211" s="0" t="s">
        <v>130</v>
      </c>
      <c r="BR2211" s="0" t="s">
        <v>130</v>
      </c>
      <c r="BS2211" s="0" t="s">
        <v>130</v>
      </c>
      <c r="BT2211" s="0" t="s">
        <v>130</v>
      </c>
      <c r="BU2211" s="0" t="s">
        <v>130</v>
      </c>
      <c r="BV2211" s="0" t="s">
        <v>141</v>
      </c>
      <c r="BW2211" s="0" t="s">
        <v>141</v>
      </c>
      <c r="BX2211" s="0" t="s">
        <v>130</v>
      </c>
      <c r="BY2211" s="0" t="s">
        <v>130</v>
      </c>
      <c r="BZ2211" s="0" t="s">
        <v>130</v>
      </c>
      <c r="CA2211" s="0" t="s">
        <v>130</v>
      </c>
      <c r="CB2211" s="0" t="s">
        <v>130</v>
      </c>
      <c r="CC2211" s="0" t="s">
        <v>130</v>
      </c>
      <c r="CD2211" s="0" t="s">
        <v>130</v>
      </c>
      <c r="CE2211" s="0" t="s">
        <v>130</v>
      </c>
      <c r="CF2211" s="0" t="s">
        <v>130</v>
      </c>
      <c r="CG2211" s="0" t="s">
        <v>130</v>
      </c>
      <c r="CH2211" s="0" t="s">
        <v>130</v>
      </c>
      <c r="CI2211" s="0" t="s">
        <v>130</v>
      </c>
      <c r="CJ2211" s="0" t="s">
        <v>130</v>
      </c>
      <c r="CK2211" s="0" t="s">
        <v>130</v>
      </c>
      <c r="CL2211" s="0" t="s">
        <v>130</v>
      </c>
      <c r="CM2211" s="0" t="s">
        <v>130</v>
      </c>
      <c r="CN2211" s="0" t="s">
        <v>130</v>
      </c>
      <c r="CO2211" s="0" t="s">
        <v>130</v>
      </c>
      <c r="CP2211" s="0" t="s">
        <v>130</v>
      </c>
      <c r="CQ2211" s="0" t="s">
        <v>130</v>
      </c>
      <c r="CR2211" s="0" t="s">
        <v>130</v>
      </c>
      <c r="CS2211" s="0" t="s">
        <v>130</v>
      </c>
      <c r="CT2211" s="0" t="s">
        <v>6135</v>
      </c>
    </row>
    <row r="2212">
      <c r="A2212" s="14">
        <v>815394</v>
      </c>
      <c r="B2212" s="0" t="s">
        <v>3281</v>
      </c>
      <c r="C2212" s="16">
        <f>HYPERLINK("https://eosportal.federatedhermes.com/companies/Q29tcGFueQppODA0ODY=", "Veolia Environnement SA")</f>
      </c>
      <c r="D2212" s="0" t="s">
        <v>25</v>
      </c>
      <c r="E2212" s="0" t="s">
        <v>6133</v>
      </c>
      <c r="F2212" s="16">
        <f>HYPERLINK("https://eosportal.federatedhermes.com/engagements/RW5nYWdlbWVudAppMzI4NzY=", "Net Zero Transition Plan (NZEI)")</f>
      </c>
      <c r="G2212" s="14" t="s">
        <v>6134</v>
      </c>
      <c r="H2212" s="0" t="s">
        <v>130</v>
      </c>
      <c r="I2212" s="14" t="s">
        <v>131</v>
      </c>
      <c r="J2212" s="0" t="s">
        <v>197</v>
      </c>
      <c r="K2212" s="0" t="s">
        <v>198</v>
      </c>
      <c r="L2212" s="0" t="s">
        <v>216</v>
      </c>
      <c r="M2212" s="0" t="s">
        <v>378</v>
      </c>
      <c r="N2212" s="0" t="s">
        <v>1646</v>
      </c>
      <c r="O2212" s="0" t="s">
        <v>192</v>
      </c>
      <c r="Q2212" s="0" t="s">
        <v>141</v>
      </c>
      <c r="R2212" s="0" t="s">
        <v>138</v>
      </c>
      <c r="S2212" s="14">
        <v>1</v>
      </c>
      <c r="T2212" s="0" t="s">
        <v>2629</v>
      </c>
      <c r="U2212" s="0" t="s">
        <v>138</v>
      </c>
      <c r="V2212" s="14" t="s">
        <v>138</v>
      </c>
      <c r="W2212" s="0" t="s">
        <v>138</v>
      </c>
      <c r="X2212" s="14" t="s">
        <v>138</v>
      </c>
      <c r="Y2212" s="0" t="s">
        <v>138</v>
      </c>
      <c r="Z2212" s="14" t="s">
        <v>138</v>
      </c>
      <c r="AA2212" s="0" t="s">
        <v>138</v>
      </c>
      <c r="AB2212" s="14" t="s">
        <v>138</v>
      </c>
      <c r="AD2212" s="0" t="s">
        <v>138</v>
      </c>
      <c r="AF2212" s="0">
        <v>0</v>
      </c>
      <c r="AG2212" s="0">
        <v>0</v>
      </c>
      <c r="AH2212" s="0" t="s">
        <v>140</v>
      </c>
      <c r="AI2212" s="0" t="s">
        <v>138</v>
      </c>
      <c r="AK2212" s="0" t="s">
        <v>714</v>
      </c>
      <c r="AL2212" s="14"/>
      <c r="AN2212" s="14"/>
      <c r="AQ2212" s="0" t="s">
        <v>130</v>
      </c>
      <c r="AR2212" s="0" t="s">
        <v>130</v>
      </c>
      <c r="AS2212" s="0" t="s">
        <v>130</v>
      </c>
      <c r="AT2212" s="0" t="s">
        <v>130</v>
      </c>
      <c r="AU2212" s="0" t="s">
        <v>130</v>
      </c>
      <c r="AV2212" s="0" t="s">
        <v>130</v>
      </c>
      <c r="AW2212" s="0" t="s">
        <v>141</v>
      </c>
      <c r="AX2212" s="0" t="s">
        <v>130</v>
      </c>
      <c r="AY2212" s="0" t="s">
        <v>130</v>
      </c>
      <c r="AZ2212" s="0" t="s">
        <v>130</v>
      </c>
      <c r="BA2212" s="0" t="s">
        <v>130</v>
      </c>
      <c r="BB2212" s="0" t="s">
        <v>130</v>
      </c>
      <c r="BC2212" s="0" t="s">
        <v>141</v>
      </c>
      <c r="BD2212" s="0" t="s">
        <v>130</v>
      </c>
      <c r="BE2212" s="0" t="s">
        <v>130</v>
      </c>
      <c r="BF2212" s="0" t="s">
        <v>130</v>
      </c>
      <c r="BG2212" s="0" t="s">
        <v>130</v>
      </c>
      <c r="BH2212" s="0" t="s">
        <v>141</v>
      </c>
      <c r="BI2212" s="0" t="s">
        <v>141</v>
      </c>
      <c r="BJ2212" s="0" t="s">
        <v>141</v>
      </c>
      <c r="BK2212" s="0" t="s">
        <v>130</v>
      </c>
      <c r="BL2212" s="0" t="s">
        <v>130</v>
      </c>
      <c r="BM2212" s="0" t="s">
        <v>130</v>
      </c>
      <c r="BN2212" s="0" t="s">
        <v>130</v>
      </c>
      <c r="BO2212" s="0" t="s">
        <v>130</v>
      </c>
      <c r="BP2212" s="0" t="s">
        <v>130</v>
      </c>
      <c r="BQ2212" s="0" t="s">
        <v>130</v>
      </c>
      <c r="BR2212" s="0" t="s">
        <v>130</v>
      </c>
      <c r="BS2212" s="0" t="s">
        <v>130</v>
      </c>
      <c r="BT2212" s="0" t="s">
        <v>130</v>
      </c>
      <c r="BU2212" s="0" t="s">
        <v>130</v>
      </c>
      <c r="BV2212" s="0" t="s">
        <v>141</v>
      </c>
      <c r="BW2212" s="0" t="s">
        <v>141</v>
      </c>
      <c r="BX2212" s="0" t="s">
        <v>130</v>
      </c>
      <c r="BY2212" s="0" t="s">
        <v>130</v>
      </c>
      <c r="BZ2212" s="0" t="s">
        <v>130</v>
      </c>
      <c r="CA2212" s="0" t="s">
        <v>130</v>
      </c>
      <c r="CB2212" s="0" t="s">
        <v>130</v>
      </c>
      <c r="CC2212" s="0" t="s">
        <v>130</v>
      </c>
      <c r="CD2212" s="0" t="s">
        <v>130</v>
      </c>
      <c r="CE2212" s="0" t="s">
        <v>130</v>
      </c>
      <c r="CF2212" s="0" t="s">
        <v>130</v>
      </c>
      <c r="CG2212" s="0" t="s">
        <v>130</v>
      </c>
      <c r="CH2212" s="0" t="s">
        <v>130</v>
      </c>
      <c r="CI2212" s="0" t="s">
        <v>130</v>
      </c>
      <c r="CJ2212" s="0" t="s">
        <v>130</v>
      </c>
      <c r="CK2212" s="0" t="s">
        <v>130</v>
      </c>
      <c r="CL2212" s="0" t="s">
        <v>130</v>
      </c>
      <c r="CM2212" s="0" t="s">
        <v>130</v>
      </c>
      <c r="CN2212" s="0" t="s">
        <v>130</v>
      </c>
      <c r="CO2212" s="0" t="s">
        <v>130</v>
      </c>
      <c r="CP2212" s="0" t="s">
        <v>130</v>
      </c>
      <c r="CQ2212" s="0" t="s">
        <v>130</v>
      </c>
      <c r="CR2212" s="0" t="s">
        <v>130</v>
      </c>
      <c r="CS2212" s="0" t="s">
        <v>130</v>
      </c>
      <c r="CT2212" s="0" t="s">
        <v>6136</v>
      </c>
    </row>
    <row r="2213">
      <c r="A2213" s="14">
        <v>112122</v>
      </c>
      <c r="B2213" s="0" t="s">
        <v>799</v>
      </c>
      <c r="C2213" s="16">
        <f>HYPERLINK("https://eosportal.federatedhermes.com/companies/Q29tcGFueQppNjMxMDk=", "Prudential PLC")</f>
      </c>
      <c r="D2213" s="0" t="s">
        <v>23</v>
      </c>
      <c r="E2213" s="0" t="s">
        <v>6137</v>
      </c>
      <c r="F2213" s="16">
        <f>HYPERLINK("https://eosportal.federatedhermes.com/engagements/RW5nYWdlbWVudAppMzI4Nzk=", "Strategy for provision of sustainable finance products")</f>
      </c>
      <c r="G2213" s="14" t="s">
        <v>6138</v>
      </c>
      <c r="H2213" s="0" t="s">
        <v>130</v>
      </c>
      <c r="I2213" s="14" t="s">
        <v>319</v>
      </c>
      <c r="J2213" s="0" t="s">
        <v>197</v>
      </c>
      <c r="K2213" s="0" t="s">
        <v>198</v>
      </c>
      <c r="L2213" s="0" t="s">
        <v>220</v>
      </c>
      <c r="M2213" s="0" t="s">
        <v>802</v>
      </c>
      <c r="N2213" s="0" t="s">
        <v>803</v>
      </c>
      <c r="O2213" s="0" t="s">
        <v>238</v>
      </c>
      <c r="Q2213" s="0" t="s">
        <v>130</v>
      </c>
      <c r="R2213" s="0" t="s">
        <v>130</v>
      </c>
      <c r="S2213" s="14">
        <v>0</v>
      </c>
      <c r="T2213" s="0" t="s">
        <v>222</v>
      </c>
      <c r="U2213" s="0" t="s">
        <v>221</v>
      </c>
      <c r="V2213" s="14" t="s">
        <v>222</v>
      </c>
      <c r="W2213" s="0" t="s">
        <v>221</v>
      </c>
      <c r="X2213" s="14" t="s">
        <v>222</v>
      </c>
      <c r="Y2213" s="0" t="s">
        <v>221</v>
      </c>
      <c r="Z2213" s="14" t="s">
        <v>4412</v>
      </c>
      <c r="AA2213" s="0" t="s">
        <v>223</v>
      </c>
      <c r="AB2213" s="14" t="s">
        <v>138</v>
      </c>
      <c r="AD2213" s="0" t="s">
        <v>20</v>
      </c>
      <c r="AF2213" s="0">
        <v>0</v>
      </c>
      <c r="AG2213" s="0">
        <v>0</v>
      </c>
      <c r="AH2213" s="0" t="s">
        <v>140</v>
      </c>
      <c r="AI2213" s="0" t="s">
        <v>598</v>
      </c>
      <c r="AL2213" s="14"/>
      <c r="AN2213" s="14"/>
      <c r="AQ2213" s="0" t="s">
        <v>130</v>
      </c>
      <c r="AR2213" s="0" t="s">
        <v>130</v>
      </c>
      <c r="AS2213" s="0" t="s">
        <v>130</v>
      </c>
      <c r="AT2213" s="0" t="s">
        <v>130</v>
      </c>
      <c r="AU2213" s="0" t="s">
        <v>130</v>
      </c>
      <c r="AV2213" s="0" t="s">
        <v>130</v>
      </c>
      <c r="AW2213" s="0" t="s">
        <v>141</v>
      </c>
      <c r="AX2213" s="0" t="s">
        <v>130</v>
      </c>
      <c r="AY2213" s="0" t="s">
        <v>141</v>
      </c>
      <c r="AZ2213" s="0" t="s">
        <v>130</v>
      </c>
      <c r="BA2213" s="0" t="s">
        <v>130</v>
      </c>
      <c r="BB2213" s="0" t="s">
        <v>130</v>
      </c>
      <c r="BC2213" s="0" t="s">
        <v>141</v>
      </c>
      <c r="BD2213" s="0" t="s">
        <v>130</v>
      </c>
      <c r="BE2213" s="0" t="s">
        <v>130</v>
      </c>
      <c r="BF2213" s="0" t="s">
        <v>130</v>
      </c>
      <c r="BG2213" s="0" t="s">
        <v>130</v>
      </c>
      <c r="BH2213" s="0" t="s">
        <v>130</v>
      </c>
      <c r="BI2213" s="0" t="s">
        <v>130</v>
      </c>
      <c r="BJ2213" s="0" t="s">
        <v>130</v>
      </c>
      <c r="BK2213" s="0" t="s">
        <v>130</v>
      </c>
      <c r="BL2213" s="0" t="s">
        <v>130</v>
      </c>
      <c r="BM2213" s="0" t="s">
        <v>130</v>
      </c>
      <c r="BN2213" s="0" t="s">
        <v>130</v>
      </c>
      <c r="BO2213" s="0" t="s">
        <v>130</v>
      </c>
      <c r="BP2213" s="0" t="s">
        <v>130</v>
      </c>
      <c r="BQ2213" s="0" t="s">
        <v>130</v>
      </c>
      <c r="BR2213" s="0" t="s">
        <v>130</v>
      </c>
      <c r="BS2213" s="0" t="s">
        <v>130</v>
      </c>
      <c r="BT2213" s="0" t="s">
        <v>130</v>
      </c>
      <c r="BU2213" s="0" t="s">
        <v>130</v>
      </c>
      <c r="BV2213" s="0" t="s">
        <v>130</v>
      </c>
      <c r="BW2213" s="0" t="s">
        <v>130</v>
      </c>
      <c r="BX2213" s="0" t="s">
        <v>130</v>
      </c>
      <c r="BY2213" s="0" t="s">
        <v>130</v>
      </c>
      <c r="BZ2213" s="0" t="s">
        <v>130</v>
      </c>
      <c r="CA2213" s="0" t="s">
        <v>130</v>
      </c>
      <c r="CB2213" s="0" t="s">
        <v>130</v>
      </c>
      <c r="CC2213" s="0" t="s">
        <v>130</v>
      </c>
      <c r="CD2213" s="0" t="s">
        <v>130</v>
      </c>
      <c r="CE2213" s="0" t="s">
        <v>130</v>
      </c>
      <c r="CF2213" s="0" t="s">
        <v>130</v>
      </c>
      <c r="CG2213" s="0" t="s">
        <v>130</v>
      </c>
      <c r="CH2213" s="0" t="s">
        <v>130</v>
      </c>
      <c r="CI2213" s="0" t="s">
        <v>130</v>
      </c>
      <c r="CJ2213" s="0" t="s">
        <v>130</v>
      </c>
      <c r="CK2213" s="0" t="s">
        <v>130</v>
      </c>
      <c r="CL2213" s="0" t="s">
        <v>130</v>
      </c>
      <c r="CM2213" s="0" t="s">
        <v>130</v>
      </c>
      <c r="CN2213" s="0" t="s">
        <v>130</v>
      </c>
      <c r="CO2213" s="0" t="s">
        <v>130</v>
      </c>
      <c r="CP2213" s="0" t="s">
        <v>130</v>
      </c>
      <c r="CQ2213" s="0" t="s">
        <v>130</v>
      </c>
      <c r="CR2213" s="0" t="s">
        <v>130</v>
      </c>
      <c r="CS2213" s="0" t="s">
        <v>130</v>
      </c>
      <c r="CT2213" s="0" t="s">
        <v>6139</v>
      </c>
    </row>
    <row r="2214">
      <c r="A2214" s="14">
        <v>101605</v>
      </c>
      <c r="B2214" s="0" t="s">
        <v>1797</v>
      </c>
      <c r="C2214" s="16">
        <f>HYPERLINK("https://eosportal.federatedhermes.com/companies/Q29tcGFueQppNjI1MDc=", "Vodafone Group PLC")</f>
      </c>
      <c r="D2214" s="0" t="s">
        <v>23</v>
      </c>
      <c r="E2214" s="0" t="s">
        <v>6140</v>
      </c>
      <c r="F2214" s="16">
        <f>HYPERLINK("https://eosportal.federatedhermes.com/engagements/RW5nYWdlbWVudAppMzI4ODA=", "Validation and verification of sources used for renewable energy consumption")</f>
      </c>
      <c r="G2214" s="14" t="s">
        <v>6141</v>
      </c>
      <c r="H2214" s="0" t="s">
        <v>130</v>
      </c>
      <c r="I2214" s="14" t="s">
        <v>319</v>
      </c>
      <c r="J2214" s="0" t="s">
        <v>197</v>
      </c>
      <c r="K2214" s="0" t="s">
        <v>198</v>
      </c>
      <c r="L2214" s="0" t="s">
        <v>216</v>
      </c>
      <c r="M2214" s="0" t="s">
        <v>272</v>
      </c>
      <c r="N2214" s="0" t="s">
        <v>273</v>
      </c>
      <c r="O2214" s="0" t="s">
        <v>137</v>
      </c>
      <c r="Q2214" s="0" t="s">
        <v>141</v>
      </c>
      <c r="R2214" s="0" t="s">
        <v>130</v>
      </c>
      <c r="S2214" s="14">
        <v>1</v>
      </c>
      <c r="T2214" s="0" t="s">
        <v>222</v>
      </c>
      <c r="U2214" s="0" t="s">
        <v>221</v>
      </c>
      <c r="V2214" s="14" t="s">
        <v>222</v>
      </c>
      <c r="W2214" s="0" t="s">
        <v>221</v>
      </c>
      <c r="X2214" s="14" t="s">
        <v>222</v>
      </c>
      <c r="Y2214" s="0" t="s">
        <v>223</v>
      </c>
      <c r="Z2214" s="14" t="s">
        <v>138</v>
      </c>
      <c r="AA2214" s="0" t="s">
        <v>224</v>
      </c>
      <c r="AB2214" s="14" t="s">
        <v>138</v>
      </c>
      <c r="AD2214" s="0" t="s">
        <v>17</v>
      </c>
      <c r="AF2214" s="0">
        <v>0</v>
      </c>
      <c r="AG2214" s="0">
        <v>0</v>
      </c>
      <c r="AH2214" s="0" t="s">
        <v>140</v>
      </c>
      <c r="AI2214" s="0" t="s">
        <v>479</v>
      </c>
      <c r="AK2214" s="0" t="s">
        <v>1799</v>
      </c>
      <c r="AL2214" s="14"/>
      <c r="AN2214" s="14"/>
      <c r="AQ2214" s="0" t="s">
        <v>130</v>
      </c>
      <c r="AR2214" s="0" t="s">
        <v>130</v>
      </c>
      <c r="AS2214" s="0" t="s">
        <v>130</v>
      </c>
      <c r="AT2214" s="0" t="s">
        <v>130</v>
      </c>
      <c r="AU2214" s="0" t="s">
        <v>130</v>
      </c>
      <c r="AV2214" s="0" t="s">
        <v>130</v>
      </c>
      <c r="AW2214" s="0" t="s">
        <v>141</v>
      </c>
      <c r="AX2214" s="0" t="s">
        <v>130</v>
      </c>
      <c r="AY2214" s="0" t="s">
        <v>130</v>
      </c>
      <c r="AZ2214" s="0" t="s">
        <v>130</v>
      </c>
      <c r="BA2214" s="0" t="s">
        <v>130</v>
      </c>
      <c r="BB2214" s="0" t="s">
        <v>130</v>
      </c>
      <c r="BC2214" s="0" t="s">
        <v>141</v>
      </c>
      <c r="BD2214" s="0" t="s">
        <v>130</v>
      </c>
      <c r="BE2214" s="0" t="s">
        <v>130</v>
      </c>
      <c r="BF2214" s="0" t="s">
        <v>130</v>
      </c>
      <c r="BG2214" s="0" t="s">
        <v>130</v>
      </c>
      <c r="BH2214" s="0" t="s">
        <v>141</v>
      </c>
      <c r="BI2214" s="0" t="s">
        <v>141</v>
      </c>
      <c r="BJ2214" s="0" t="s">
        <v>141</v>
      </c>
      <c r="BK2214" s="0" t="s">
        <v>130</v>
      </c>
      <c r="BL2214" s="0" t="s">
        <v>130</v>
      </c>
      <c r="BM2214" s="0" t="s">
        <v>130</v>
      </c>
      <c r="BN2214" s="0" t="s">
        <v>130</v>
      </c>
      <c r="BO2214" s="0" t="s">
        <v>130</v>
      </c>
      <c r="BP2214" s="0" t="s">
        <v>130</v>
      </c>
      <c r="BQ2214" s="0" t="s">
        <v>130</v>
      </c>
      <c r="BR2214" s="0" t="s">
        <v>130</v>
      </c>
      <c r="BS2214" s="0" t="s">
        <v>130</v>
      </c>
      <c r="BT2214" s="0" t="s">
        <v>130</v>
      </c>
      <c r="BU2214" s="0" t="s">
        <v>130</v>
      </c>
      <c r="BV2214" s="0" t="s">
        <v>141</v>
      </c>
      <c r="BW2214" s="0" t="s">
        <v>141</v>
      </c>
      <c r="BX2214" s="0" t="s">
        <v>130</v>
      </c>
      <c r="BY2214" s="0" t="s">
        <v>130</v>
      </c>
      <c r="BZ2214" s="0" t="s">
        <v>130</v>
      </c>
      <c r="CA2214" s="0" t="s">
        <v>130</v>
      </c>
      <c r="CB2214" s="0" t="s">
        <v>130</v>
      </c>
      <c r="CC2214" s="0" t="s">
        <v>130</v>
      </c>
      <c r="CD2214" s="0" t="s">
        <v>130</v>
      </c>
      <c r="CE2214" s="0" t="s">
        <v>130</v>
      </c>
      <c r="CF2214" s="0" t="s">
        <v>130</v>
      </c>
      <c r="CG2214" s="0" t="s">
        <v>130</v>
      </c>
      <c r="CH2214" s="0" t="s">
        <v>130</v>
      </c>
      <c r="CI2214" s="0" t="s">
        <v>130</v>
      </c>
      <c r="CJ2214" s="0" t="s">
        <v>130</v>
      </c>
      <c r="CK2214" s="0" t="s">
        <v>130</v>
      </c>
      <c r="CL2214" s="0" t="s">
        <v>130</v>
      </c>
      <c r="CM2214" s="0" t="s">
        <v>130</v>
      </c>
      <c r="CN2214" s="0" t="s">
        <v>130</v>
      </c>
      <c r="CO2214" s="0" t="s">
        <v>130</v>
      </c>
      <c r="CP2214" s="0" t="s">
        <v>130</v>
      </c>
      <c r="CQ2214" s="0" t="s">
        <v>130</v>
      </c>
      <c r="CR2214" s="0" t="s">
        <v>130</v>
      </c>
      <c r="CS2214" s="0" t="s">
        <v>130</v>
      </c>
      <c r="CT2214" s="0" t="s">
        <v>6142</v>
      </c>
    </row>
    <row r="2215">
      <c r="A2215" s="14">
        <v>115259</v>
      </c>
      <c r="B2215" s="0" t="s">
        <v>2384</v>
      </c>
      <c r="C2215" s="16">
        <f>HYPERLINK("https://eosportal.federatedhermes.com/companies/Q29tcGFueQppNjc3NTU=", "Danone SA")</f>
      </c>
      <c r="D2215" s="0" t="s">
        <v>23</v>
      </c>
      <c r="E2215" s="0" t="s">
        <v>6143</v>
      </c>
      <c r="F2215" s="16">
        <f>HYPERLINK("https://eosportal.federatedhermes.com/engagements/RW5nYWdlbWVudAppMzI4ODE=", "Regenerative agriculture scorecard target")</f>
      </c>
      <c r="G2215" s="14" t="s">
        <v>6144</v>
      </c>
      <c r="H2215" s="0" t="s">
        <v>141</v>
      </c>
      <c r="I2215" s="14" t="s">
        <v>191</v>
      </c>
      <c r="J2215" s="0" t="s">
        <v>197</v>
      </c>
      <c r="K2215" s="0" t="s">
        <v>337</v>
      </c>
      <c r="L2215" s="0" t="s">
        <v>576</v>
      </c>
      <c r="M2215" s="0" t="s">
        <v>378</v>
      </c>
      <c r="N2215" s="0" t="s">
        <v>1646</v>
      </c>
      <c r="O2215" s="0" t="s">
        <v>332</v>
      </c>
      <c r="Q2215" s="0" t="s">
        <v>141</v>
      </c>
      <c r="R2215" s="0" t="s">
        <v>130</v>
      </c>
      <c r="S2215" s="14">
        <v>3</v>
      </c>
      <c r="T2215" s="0" t="s">
        <v>478</v>
      </c>
      <c r="U2215" s="0" t="s">
        <v>221</v>
      </c>
      <c r="V2215" s="14" t="s">
        <v>478</v>
      </c>
      <c r="W2215" s="0" t="s">
        <v>221</v>
      </c>
      <c r="X2215" s="14" t="s">
        <v>478</v>
      </c>
      <c r="Y2215" s="0" t="s">
        <v>223</v>
      </c>
      <c r="Z2215" s="14" t="s">
        <v>138</v>
      </c>
      <c r="AA2215" s="0" t="s">
        <v>224</v>
      </c>
      <c r="AB2215" s="14" t="s">
        <v>138</v>
      </c>
      <c r="AD2215" s="0" t="s">
        <v>17</v>
      </c>
      <c r="AF2215" s="0">
        <v>0</v>
      </c>
      <c r="AG2215" s="0">
        <v>0</v>
      </c>
      <c r="AH2215" s="0" t="s">
        <v>140</v>
      </c>
      <c r="AI2215" s="0" t="s">
        <v>479</v>
      </c>
      <c r="AK2215" s="0" t="s">
        <v>436</v>
      </c>
      <c r="AL2215" s="14"/>
      <c r="AN2215" s="14"/>
      <c r="AQ2215" s="0" t="s">
        <v>130</v>
      </c>
      <c r="AR2215" s="0" t="s">
        <v>141</v>
      </c>
      <c r="AS2215" s="0" t="s">
        <v>130</v>
      </c>
      <c r="AT2215" s="0" t="s">
        <v>130</v>
      </c>
      <c r="AU2215" s="0" t="s">
        <v>130</v>
      </c>
      <c r="AV2215" s="0" t="s">
        <v>130</v>
      </c>
      <c r="AW2215" s="0" t="s">
        <v>130</v>
      </c>
      <c r="AX2215" s="0" t="s">
        <v>130</v>
      </c>
      <c r="AY2215" s="0" t="s">
        <v>130</v>
      </c>
      <c r="AZ2215" s="0" t="s">
        <v>130</v>
      </c>
      <c r="BA2215" s="0" t="s">
        <v>130</v>
      </c>
      <c r="BB2215" s="0" t="s">
        <v>141</v>
      </c>
      <c r="BC2215" s="0" t="s">
        <v>130</v>
      </c>
      <c r="BD2215" s="0" t="s">
        <v>130</v>
      </c>
      <c r="BE2215" s="0" t="s">
        <v>141</v>
      </c>
      <c r="BF2215" s="0" t="s">
        <v>130</v>
      </c>
      <c r="BG2215" s="0" t="s">
        <v>130</v>
      </c>
      <c r="BH2215" s="0" t="s">
        <v>130</v>
      </c>
      <c r="BI2215" s="0" t="s">
        <v>130</v>
      </c>
      <c r="BJ2215" s="0" t="s">
        <v>130</v>
      </c>
      <c r="BK2215" s="0" t="s">
        <v>130</v>
      </c>
      <c r="BL2215" s="0" t="s">
        <v>130</v>
      </c>
      <c r="BM2215" s="0" t="s">
        <v>130</v>
      </c>
      <c r="BN2215" s="0" t="s">
        <v>130</v>
      </c>
      <c r="BO2215" s="0" t="s">
        <v>130</v>
      </c>
      <c r="BP2215" s="0" t="s">
        <v>130</v>
      </c>
      <c r="BQ2215" s="0" t="s">
        <v>130</v>
      </c>
      <c r="BR2215" s="0" t="s">
        <v>130</v>
      </c>
      <c r="BS2215" s="0" t="s">
        <v>130</v>
      </c>
      <c r="BT2215" s="0" t="s">
        <v>130</v>
      </c>
      <c r="BU2215" s="0" t="s">
        <v>130</v>
      </c>
      <c r="BV2215" s="0" t="s">
        <v>130</v>
      </c>
      <c r="BW2215" s="0" t="s">
        <v>130</v>
      </c>
      <c r="BX2215" s="0" t="s">
        <v>130</v>
      </c>
      <c r="BY2215" s="0" t="s">
        <v>130</v>
      </c>
      <c r="BZ2215" s="0" t="s">
        <v>130</v>
      </c>
      <c r="CA2215" s="0" t="s">
        <v>130</v>
      </c>
      <c r="CB2215" s="0" t="s">
        <v>130</v>
      </c>
      <c r="CC2215" s="0" t="s">
        <v>130</v>
      </c>
      <c r="CD2215" s="0" t="s">
        <v>130</v>
      </c>
      <c r="CE2215" s="0" t="s">
        <v>130</v>
      </c>
      <c r="CF2215" s="0" t="s">
        <v>130</v>
      </c>
      <c r="CG2215" s="0" t="s">
        <v>130</v>
      </c>
      <c r="CH2215" s="0" t="s">
        <v>130</v>
      </c>
      <c r="CI2215" s="0" t="s">
        <v>130</v>
      </c>
      <c r="CJ2215" s="0" t="s">
        <v>130</v>
      </c>
      <c r="CK2215" s="0" t="s">
        <v>130</v>
      </c>
      <c r="CL2215" s="0" t="s">
        <v>130</v>
      </c>
      <c r="CM2215" s="0" t="s">
        <v>130</v>
      </c>
      <c r="CN2215" s="0" t="s">
        <v>130</v>
      </c>
      <c r="CO2215" s="0" t="s">
        <v>130</v>
      </c>
      <c r="CP2215" s="0" t="s">
        <v>130</v>
      </c>
      <c r="CQ2215" s="0" t="s">
        <v>130</v>
      </c>
      <c r="CR2215" s="0" t="s">
        <v>130</v>
      </c>
      <c r="CS2215" s="0" t="s">
        <v>130</v>
      </c>
      <c r="CT2215" s="0" t="s">
        <v>6145</v>
      </c>
    </row>
    <row r="2216">
      <c r="A2216" s="14">
        <v>129309</v>
      </c>
      <c r="B2216" s="0" t="s">
        <v>2992</v>
      </c>
      <c r="C2216" s="16">
        <f>HYPERLINK("https://eosportal.federatedhermes.com/companies/Q29tcGFueQppNzc5MzY=", "POSCO Holdings Inc")</f>
      </c>
      <c r="D2216" s="0" t="s">
        <v>23</v>
      </c>
      <c r="E2216" s="0" t="s">
        <v>6146</v>
      </c>
      <c r="F2216" s="16">
        <f>HYPERLINK("https://eosportal.federatedhermes.com/engagements/RW5nYWdlbWVudAppMzI4ODc=", "Hydrogen powered steelmaking")</f>
      </c>
      <c r="G2216" s="14" t="s">
        <v>6147</v>
      </c>
      <c r="H2216" s="0" t="s">
        <v>141</v>
      </c>
      <c r="I2216" s="14" t="s">
        <v>191</v>
      </c>
      <c r="J2216" s="0" t="s">
        <v>197</v>
      </c>
      <c r="K2216" s="0" t="s">
        <v>198</v>
      </c>
      <c r="L2216" s="0" t="s">
        <v>220</v>
      </c>
      <c r="M2216" s="0" t="s">
        <v>802</v>
      </c>
      <c r="N2216" s="0" t="s">
        <v>2800</v>
      </c>
      <c r="O2216" s="0" t="s">
        <v>373</v>
      </c>
      <c r="Q2216" s="0" t="s">
        <v>130</v>
      </c>
      <c r="R2216" s="0" t="s">
        <v>130</v>
      </c>
      <c r="S2216" s="14">
        <v>0</v>
      </c>
      <c r="T2216" s="0" t="s">
        <v>478</v>
      </c>
      <c r="U2216" s="0" t="s">
        <v>221</v>
      </c>
      <c r="V2216" s="14" t="s">
        <v>478</v>
      </c>
      <c r="W2216" s="0" t="s">
        <v>221</v>
      </c>
      <c r="X2216" s="14" t="s">
        <v>446</v>
      </c>
      <c r="Y2216" s="0" t="s">
        <v>223</v>
      </c>
      <c r="Z2216" s="14" t="s">
        <v>138</v>
      </c>
      <c r="AA2216" s="0" t="s">
        <v>224</v>
      </c>
      <c r="AB2216" s="14" t="s">
        <v>138</v>
      </c>
      <c r="AD2216" s="0" t="s">
        <v>17</v>
      </c>
      <c r="AF2216" s="0">
        <v>0</v>
      </c>
      <c r="AG2216" s="0">
        <v>0</v>
      </c>
      <c r="AH2216" s="0" t="s">
        <v>140</v>
      </c>
      <c r="AI2216" s="0" t="s">
        <v>479</v>
      </c>
      <c r="AL2216" s="14"/>
      <c r="AN2216" s="14"/>
      <c r="AQ2216" s="0" t="s">
        <v>130</v>
      </c>
      <c r="AR2216" s="0" t="s">
        <v>130</v>
      </c>
      <c r="AS2216" s="0" t="s">
        <v>130</v>
      </c>
      <c r="AT2216" s="0" t="s">
        <v>130</v>
      </c>
      <c r="AU2216" s="0" t="s">
        <v>130</v>
      </c>
      <c r="AV2216" s="0" t="s">
        <v>130</v>
      </c>
      <c r="AW2216" s="0" t="s">
        <v>141</v>
      </c>
      <c r="AX2216" s="0" t="s">
        <v>130</v>
      </c>
      <c r="AY2216" s="0" t="s">
        <v>141</v>
      </c>
      <c r="AZ2216" s="0" t="s">
        <v>130</v>
      </c>
      <c r="BA2216" s="0" t="s">
        <v>130</v>
      </c>
      <c r="BB2216" s="0" t="s">
        <v>130</v>
      </c>
      <c r="BC2216" s="0" t="s">
        <v>141</v>
      </c>
      <c r="BD2216" s="0" t="s">
        <v>130</v>
      </c>
      <c r="BE2216" s="0" t="s">
        <v>130</v>
      </c>
      <c r="BF2216" s="0" t="s">
        <v>130</v>
      </c>
      <c r="BG2216" s="0" t="s">
        <v>130</v>
      </c>
      <c r="BH2216" s="0" t="s">
        <v>130</v>
      </c>
      <c r="BI2216" s="0" t="s">
        <v>130</v>
      </c>
      <c r="BJ2216" s="0" t="s">
        <v>130</v>
      </c>
      <c r="BK2216" s="0" t="s">
        <v>130</v>
      </c>
      <c r="BL2216" s="0" t="s">
        <v>130</v>
      </c>
      <c r="BM2216" s="0" t="s">
        <v>130</v>
      </c>
      <c r="BN2216" s="0" t="s">
        <v>130</v>
      </c>
      <c r="BO2216" s="0" t="s">
        <v>130</v>
      </c>
      <c r="BP2216" s="0" t="s">
        <v>130</v>
      </c>
      <c r="BQ2216" s="0" t="s">
        <v>130</v>
      </c>
      <c r="BR2216" s="0" t="s">
        <v>130</v>
      </c>
      <c r="BS2216" s="0" t="s">
        <v>130</v>
      </c>
      <c r="BT2216" s="0" t="s">
        <v>130</v>
      </c>
      <c r="BU2216" s="0" t="s">
        <v>130</v>
      </c>
      <c r="BV2216" s="0" t="s">
        <v>130</v>
      </c>
      <c r="BW2216" s="0" t="s">
        <v>130</v>
      </c>
      <c r="BX2216" s="0" t="s">
        <v>130</v>
      </c>
      <c r="BY2216" s="0" t="s">
        <v>130</v>
      </c>
      <c r="BZ2216" s="0" t="s">
        <v>130</v>
      </c>
      <c r="CA2216" s="0" t="s">
        <v>130</v>
      </c>
      <c r="CB2216" s="0" t="s">
        <v>130</v>
      </c>
      <c r="CC2216" s="0" t="s">
        <v>130</v>
      </c>
      <c r="CD2216" s="0" t="s">
        <v>130</v>
      </c>
      <c r="CE2216" s="0" t="s">
        <v>130</v>
      </c>
      <c r="CF2216" s="0" t="s">
        <v>130</v>
      </c>
      <c r="CG2216" s="0" t="s">
        <v>130</v>
      </c>
      <c r="CH2216" s="0" t="s">
        <v>130</v>
      </c>
      <c r="CI2216" s="0" t="s">
        <v>130</v>
      </c>
      <c r="CJ2216" s="0" t="s">
        <v>130</v>
      </c>
      <c r="CK2216" s="0" t="s">
        <v>130</v>
      </c>
      <c r="CL2216" s="0" t="s">
        <v>130</v>
      </c>
      <c r="CM2216" s="0" t="s">
        <v>130</v>
      </c>
      <c r="CN2216" s="0" t="s">
        <v>130</v>
      </c>
      <c r="CO2216" s="0" t="s">
        <v>130</v>
      </c>
      <c r="CP2216" s="0" t="s">
        <v>130</v>
      </c>
      <c r="CQ2216" s="0" t="s">
        <v>130</v>
      </c>
      <c r="CR2216" s="0" t="s">
        <v>130</v>
      </c>
      <c r="CS2216" s="0" t="s">
        <v>130</v>
      </c>
      <c r="CT2216" s="0" t="s">
        <v>6148</v>
      </c>
    </row>
    <row r="2217">
      <c r="A2217" s="14">
        <v>100546</v>
      </c>
      <c r="B2217" s="0" t="s">
        <v>776</v>
      </c>
      <c r="C2217" s="16">
        <f>HYPERLINK("https://eosportal.federatedhermes.com/companies/Q29tcGFueQppNzU3MjY=", "Exxon Mobil Corp")</f>
      </c>
      <c r="D2217" s="0" t="s">
        <v>23</v>
      </c>
      <c r="E2217" s="0" t="s">
        <v>6149</v>
      </c>
      <c r="F2217" s="16">
        <f>HYPERLINK("https://eosportal.federatedhermes.com/engagements/RW5nYWdlbWVudAppMzI4ODg=", "Responsible taxation policy")</f>
      </c>
      <c r="G2217" s="14" t="s">
        <v>6150</v>
      </c>
      <c r="H2217" s="0" t="s">
        <v>141</v>
      </c>
      <c r="I2217" s="14" t="s">
        <v>191</v>
      </c>
      <c r="J2217" s="0" t="s">
        <v>153</v>
      </c>
      <c r="K2217" s="0" t="s">
        <v>185</v>
      </c>
      <c r="L2217" s="0" t="s">
        <v>548</v>
      </c>
      <c r="M2217" s="0" t="s">
        <v>135</v>
      </c>
      <c r="N2217" s="0" t="s">
        <v>136</v>
      </c>
      <c r="O2217" s="0" t="s">
        <v>542</v>
      </c>
      <c r="Q2217" s="0" t="s">
        <v>130</v>
      </c>
      <c r="R2217" s="0" t="s">
        <v>130</v>
      </c>
      <c r="S2217" s="14">
        <v>0</v>
      </c>
      <c r="T2217" s="0" t="s">
        <v>2629</v>
      </c>
      <c r="U2217" s="0" t="s">
        <v>221</v>
      </c>
      <c r="V2217" s="14" t="s">
        <v>2629</v>
      </c>
      <c r="W2217" s="0" t="s">
        <v>221</v>
      </c>
      <c r="X2217" s="14" t="s">
        <v>222</v>
      </c>
      <c r="Y2217" s="0" t="s">
        <v>223</v>
      </c>
      <c r="Z2217" s="14" t="s">
        <v>138</v>
      </c>
      <c r="AA2217" s="0" t="s">
        <v>224</v>
      </c>
      <c r="AB2217" s="14" t="s">
        <v>138</v>
      </c>
      <c r="AD2217" s="0" t="s">
        <v>17</v>
      </c>
      <c r="AF2217" s="0">
        <v>0</v>
      </c>
      <c r="AG2217" s="0">
        <v>0</v>
      </c>
      <c r="AH2217" s="0" t="s">
        <v>140</v>
      </c>
      <c r="AI2217" s="0" t="s">
        <v>479</v>
      </c>
      <c r="AL2217" s="14"/>
      <c r="AN2217" s="14"/>
      <c r="AQ2217" s="0" t="s">
        <v>130</v>
      </c>
      <c r="AR2217" s="0" t="s">
        <v>130</v>
      </c>
      <c r="AS2217" s="0" t="s">
        <v>130</v>
      </c>
      <c r="AT2217" s="0" t="s">
        <v>130</v>
      </c>
      <c r="AU2217" s="0" t="s">
        <v>130</v>
      </c>
      <c r="AV2217" s="0" t="s">
        <v>130</v>
      </c>
      <c r="AW2217" s="0" t="s">
        <v>130</v>
      </c>
      <c r="AX2217" s="0" t="s">
        <v>130</v>
      </c>
      <c r="AY2217" s="0" t="s">
        <v>130</v>
      </c>
      <c r="AZ2217" s="0" t="s">
        <v>130</v>
      </c>
      <c r="BA2217" s="0" t="s">
        <v>130</v>
      </c>
      <c r="BB2217" s="0" t="s">
        <v>130</v>
      </c>
      <c r="BC2217" s="0" t="s">
        <v>130</v>
      </c>
      <c r="BD2217" s="0" t="s">
        <v>130</v>
      </c>
      <c r="BE2217" s="0" t="s">
        <v>130</v>
      </c>
      <c r="BF2217" s="0" t="s">
        <v>130</v>
      </c>
      <c r="BG2217" s="0" t="s">
        <v>141</v>
      </c>
      <c r="BH2217" s="0" t="s">
        <v>130</v>
      </c>
      <c r="BI2217" s="0" t="s">
        <v>130</v>
      </c>
      <c r="BJ2217" s="0" t="s">
        <v>130</v>
      </c>
      <c r="BK2217" s="0" t="s">
        <v>130</v>
      </c>
      <c r="BL2217" s="0" t="s">
        <v>130</v>
      </c>
      <c r="BM2217" s="0" t="s">
        <v>130</v>
      </c>
      <c r="BN2217" s="0" t="s">
        <v>130</v>
      </c>
      <c r="BO2217" s="0" t="s">
        <v>130</v>
      </c>
      <c r="BP2217" s="0" t="s">
        <v>130</v>
      </c>
      <c r="BQ2217" s="0" t="s">
        <v>130</v>
      </c>
      <c r="BR2217" s="0" t="s">
        <v>130</v>
      </c>
      <c r="BS2217" s="0" t="s">
        <v>130</v>
      </c>
      <c r="BT2217" s="0" t="s">
        <v>130</v>
      </c>
      <c r="BU2217" s="0" t="s">
        <v>130</v>
      </c>
      <c r="BV2217" s="0" t="s">
        <v>130</v>
      </c>
      <c r="BW2217" s="0" t="s">
        <v>130</v>
      </c>
      <c r="BX2217" s="0" t="s">
        <v>130</v>
      </c>
      <c r="BY2217" s="0" t="s">
        <v>130</v>
      </c>
      <c r="BZ2217" s="0" t="s">
        <v>130</v>
      </c>
      <c r="CA2217" s="0" t="s">
        <v>130</v>
      </c>
      <c r="CB2217" s="0" t="s">
        <v>130</v>
      </c>
      <c r="CC2217" s="0" t="s">
        <v>130</v>
      </c>
      <c r="CD2217" s="0" t="s">
        <v>130</v>
      </c>
      <c r="CE2217" s="0" t="s">
        <v>130</v>
      </c>
      <c r="CF2217" s="0" t="s">
        <v>130</v>
      </c>
      <c r="CG2217" s="0" t="s">
        <v>130</v>
      </c>
      <c r="CH2217" s="0" t="s">
        <v>130</v>
      </c>
      <c r="CI2217" s="0" t="s">
        <v>130</v>
      </c>
      <c r="CJ2217" s="0" t="s">
        <v>130</v>
      </c>
      <c r="CK2217" s="0" t="s">
        <v>130</v>
      </c>
      <c r="CL2217" s="0" t="s">
        <v>130</v>
      </c>
      <c r="CM2217" s="0" t="s">
        <v>130</v>
      </c>
      <c r="CN2217" s="0" t="s">
        <v>130</v>
      </c>
      <c r="CO2217" s="0" t="s">
        <v>130</v>
      </c>
      <c r="CP2217" s="0" t="s">
        <v>130</v>
      </c>
      <c r="CQ2217" s="0" t="s">
        <v>130</v>
      </c>
      <c r="CR2217" s="0" t="s">
        <v>130</v>
      </c>
      <c r="CS2217" s="0" t="s">
        <v>130</v>
      </c>
      <c r="CT2217" s="0" t="s">
        <v>6151</v>
      </c>
    </row>
    <row r="2218">
      <c r="A2218" s="14">
        <v>169367</v>
      </c>
      <c r="B2218" s="0" t="s">
        <v>3021</v>
      </c>
      <c r="C2218" s="16">
        <f>HYPERLINK("https://eosportal.federatedhermes.com/companies/Q29tcGFueQppNjE5MDI=", "HDFC Bank Ltd")</f>
      </c>
      <c r="D2218" s="0" t="s">
        <v>25</v>
      </c>
      <c r="E2218" s="0" t="s">
        <v>907</v>
      </c>
      <c r="F2218" s="16">
        <f>HYPERLINK("https://eosportal.federatedhermes.com/engagements/RW5nYWdlbWVudAppMzI4ODk=", "Climate change")</f>
      </c>
      <c r="G2218" s="14" t="s">
        <v>6152</v>
      </c>
      <c r="H2218" s="0" t="s">
        <v>141</v>
      </c>
      <c r="I2218" s="14" t="s">
        <v>131</v>
      </c>
      <c r="J2218" s="0" t="s">
        <v>197</v>
      </c>
      <c r="K2218" s="0" t="s">
        <v>198</v>
      </c>
      <c r="L2218" s="0" t="s">
        <v>216</v>
      </c>
      <c r="M2218" s="0" t="s">
        <v>2807</v>
      </c>
      <c r="N2218" s="0" t="s">
        <v>2969</v>
      </c>
      <c r="O2218" s="0" t="s">
        <v>238</v>
      </c>
      <c r="Q2218" s="0" t="s">
        <v>130</v>
      </c>
      <c r="R2218" s="0" t="s">
        <v>138</v>
      </c>
      <c r="S2218" s="14">
        <v>0</v>
      </c>
      <c r="T2218" s="0" t="s">
        <v>222</v>
      </c>
      <c r="U2218" s="0" t="s">
        <v>138</v>
      </c>
      <c r="V2218" s="14" t="s">
        <v>138</v>
      </c>
      <c r="W2218" s="0" t="s">
        <v>138</v>
      </c>
      <c r="X2218" s="14" t="s">
        <v>138</v>
      </c>
      <c r="Y2218" s="0" t="s">
        <v>138</v>
      </c>
      <c r="Z2218" s="14" t="s">
        <v>138</v>
      </c>
      <c r="AA2218" s="0" t="s">
        <v>138</v>
      </c>
      <c r="AB2218" s="14" t="s">
        <v>138</v>
      </c>
      <c r="AD2218" s="0" t="s">
        <v>138</v>
      </c>
      <c r="AF2218" s="0">
        <v>0</v>
      </c>
      <c r="AG2218" s="0">
        <v>0</v>
      </c>
      <c r="AH2218" s="0" t="s">
        <v>140</v>
      </c>
      <c r="AI2218" s="0" t="s">
        <v>138</v>
      </c>
      <c r="AL2218" s="14"/>
      <c r="AN2218" s="14"/>
      <c r="AQ2218" s="0" t="s">
        <v>130</v>
      </c>
      <c r="AR2218" s="0" t="s">
        <v>130</v>
      </c>
      <c r="AS2218" s="0" t="s">
        <v>130</v>
      </c>
      <c r="AT2218" s="0" t="s">
        <v>130</v>
      </c>
      <c r="AU2218" s="0" t="s">
        <v>130</v>
      </c>
      <c r="AV2218" s="0" t="s">
        <v>130</v>
      </c>
      <c r="AW2218" s="0" t="s">
        <v>141</v>
      </c>
      <c r="AX2218" s="0" t="s">
        <v>130</v>
      </c>
      <c r="AY2218" s="0" t="s">
        <v>130</v>
      </c>
      <c r="AZ2218" s="0" t="s">
        <v>130</v>
      </c>
      <c r="BA2218" s="0" t="s">
        <v>130</v>
      </c>
      <c r="BB2218" s="0" t="s">
        <v>130</v>
      </c>
      <c r="BC2218" s="0" t="s">
        <v>141</v>
      </c>
      <c r="BD2218" s="0" t="s">
        <v>130</v>
      </c>
      <c r="BE2218" s="0" t="s">
        <v>130</v>
      </c>
      <c r="BF2218" s="0" t="s">
        <v>130</v>
      </c>
      <c r="BG2218" s="0" t="s">
        <v>130</v>
      </c>
      <c r="BH2218" s="0" t="s">
        <v>141</v>
      </c>
      <c r="BI2218" s="0" t="s">
        <v>141</v>
      </c>
      <c r="BJ2218" s="0" t="s">
        <v>141</v>
      </c>
      <c r="BK2218" s="0" t="s">
        <v>130</v>
      </c>
      <c r="BL2218" s="0" t="s">
        <v>130</v>
      </c>
      <c r="BM2218" s="0" t="s">
        <v>130</v>
      </c>
      <c r="BN2218" s="0" t="s">
        <v>130</v>
      </c>
      <c r="BO2218" s="0" t="s">
        <v>130</v>
      </c>
      <c r="BP2218" s="0" t="s">
        <v>130</v>
      </c>
      <c r="BQ2218" s="0" t="s">
        <v>130</v>
      </c>
      <c r="BR2218" s="0" t="s">
        <v>130</v>
      </c>
      <c r="BS2218" s="0" t="s">
        <v>130</v>
      </c>
      <c r="BT2218" s="0" t="s">
        <v>130</v>
      </c>
      <c r="BU2218" s="0" t="s">
        <v>130</v>
      </c>
      <c r="BV2218" s="0" t="s">
        <v>141</v>
      </c>
      <c r="BW2218" s="0" t="s">
        <v>141</v>
      </c>
      <c r="BX2218" s="0" t="s">
        <v>130</v>
      </c>
      <c r="BY2218" s="0" t="s">
        <v>130</v>
      </c>
      <c r="BZ2218" s="0" t="s">
        <v>130</v>
      </c>
      <c r="CA2218" s="0" t="s">
        <v>130</v>
      </c>
      <c r="CB2218" s="0" t="s">
        <v>130</v>
      </c>
      <c r="CC2218" s="0" t="s">
        <v>130</v>
      </c>
      <c r="CD2218" s="0" t="s">
        <v>130</v>
      </c>
      <c r="CE2218" s="0" t="s">
        <v>130</v>
      </c>
      <c r="CF2218" s="0" t="s">
        <v>130</v>
      </c>
      <c r="CG2218" s="0" t="s">
        <v>130</v>
      </c>
      <c r="CH2218" s="0" t="s">
        <v>130</v>
      </c>
      <c r="CI2218" s="0" t="s">
        <v>130</v>
      </c>
      <c r="CJ2218" s="0" t="s">
        <v>130</v>
      </c>
      <c r="CK2218" s="0" t="s">
        <v>130</v>
      </c>
      <c r="CL2218" s="0" t="s">
        <v>130</v>
      </c>
      <c r="CM2218" s="0" t="s">
        <v>130</v>
      </c>
      <c r="CN2218" s="0" t="s">
        <v>130</v>
      </c>
      <c r="CO2218" s="0" t="s">
        <v>130</v>
      </c>
      <c r="CP2218" s="0" t="s">
        <v>130</v>
      </c>
      <c r="CQ2218" s="0" t="s">
        <v>130</v>
      </c>
      <c r="CR2218" s="0" t="s">
        <v>130</v>
      </c>
      <c r="CS2218" s="0" t="s">
        <v>130</v>
      </c>
      <c r="CT2218" s="0" t="s">
        <v>6153</v>
      </c>
    </row>
    <row r="2219">
      <c r="A2219" s="14">
        <v>169367</v>
      </c>
      <c r="B2219" s="0" t="s">
        <v>3021</v>
      </c>
      <c r="C2219" s="16">
        <f>HYPERLINK("https://eosportal.federatedhermes.com/companies/Q29tcGFueQppNjE5MDI=", "HDFC Bank Ltd")</f>
      </c>
      <c r="D2219" s="0" t="s">
        <v>25</v>
      </c>
      <c r="E2219" s="0" t="s">
        <v>403</v>
      </c>
      <c r="F2219" s="16">
        <f>HYPERLINK("https://eosportal.federatedhermes.com/engagements/RW5nYWdlbWVudAppMzI4OTI=", "Financial inclusion")</f>
      </c>
      <c r="G2219" s="14" t="s">
        <v>6154</v>
      </c>
      <c r="H2219" s="0" t="s">
        <v>141</v>
      </c>
      <c r="I2219" s="14" t="s">
        <v>131</v>
      </c>
      <c r="J2219" s="0" t="s">
        <v>153</v>
      </c>
      <c r="K2219" s="0" t="s">
        <v>243</v>
      </c>
      <c r="L2219" s="0" t="s">
        <v>292</v>
      </c>
      <c r="M2219" s="0" t="s">
        <v>2807</v>
      </c>
      <c r="N2219" s="0" t="s">
        <v>2969</v>
      </c>
      <c r="O2219" s="0" t="s">
        <v>238</v>
      </c>
      <c r="Q2219" s="0" t="s">
        <v>130</v>
      </c>
      <c r="R2219" s="0" t="s">
        <v>138</v>
      </c>
      <c r="S2219" s="14">
        <v>0</v>
      </c>
      <c r="T2219" s="0" t="s">
        <v>222</v>
      </c>
      <c r="U2219" s="0" t="s">
        <v>138</v>
      </c>
      <c r="V2219" s="14" t="s">
        <v>138</v>
      </c>
      <c r="W2219" s="0" t="s">
        <v>138</v>
      </c>
      <c r="X2219" s="14" t="s">
        <v>138</v>
      </c>
      <c r="Y2219" s="0" t="s">
        <v>138</v>
      </c>
      <c r="Z2219" s="14" t="s">
        <v>138</v>
      </c>
      <c r="AA2219" s="0" t="s">
        <v>138</v>
      </c>
      <c r="AB2219" s="14" t="s">
        <v>138</v>
      </c>
      <c r="AD2219" s="0" t="s">
        <v>138</v>
      </c>
      <c r="AF2219" s="0">
        <v>0</v>
      </c>
      <c r="AG2219" s="0">
        <v>0</v>
      </c>
      <c r="AH2219" s="0" t="s">
        <v>140</v>
      </c>
      <c r="AI2219" s="0" t="s">
        <v>138</v>
      </c>
      <c r="AL2219" s="14"/>
      <c r="AN2219" s="14"/>
      <c r="AQ2219" s="0" t="s">
        <v>141</v>
      </c>
      <c r="AR2219" s="0" t="s">
        <v>130</v>
      </c>
      <c r="AS2219" s="0" t="s">
        <v>130</v>
      </c>
      <c r="AT2219" s="0" t="s">
        <v>130</v>
      </c>
      <c r="AU2219" s="0" t="s">
        <v>130</v>
      </c>
      <c r="AV2219" s="0" t="s">
        <v>130</v>
      </c>
      <c r="AW2219" s="0" t="s">
        <v>130</v>
      </c>
      <c r="AX2219" s="0" t="s">
        <v>141</v>
      </c>
      <c r="AY2219" s="0" t="s">
        <v>141</v>
      </c>
      <c r="AZ2219" s="0" t="s">
        <v>141</v>
      </c>
      <c r="BA2219" s="0" t="s">
        <v>130</v>
      </c>
      <c r="BB2219" s="0" t="s">
        <v>130</v>
      </c>
      <c r="BC2219" s="0" t="s">
        <v>130</v>
      </c>
      <c r="BD2219" s="0" t="s">
        <v>130</v>
      </c>
      <c r="BE2219" s="0" t="s">
        <v>130</v>
      </c>
      <c r="BF2219" s="0" t="s">
        <v>130</v>
      </c>
      <c r="BG2219" s="0" t="s">
        <v>130</v>
      </c>
      <c r="BH2219" s="0" t="s">
        <v>130</v>
      </c>
      <c r="BI2219" s="0" t="s">
        <v>130</v>
      </c>
      <c r="BJ2219" s="0" t="s">
        <v>130</v>
      </c>
      <c r="BK2219" s="0" t="s">
        <v>130</v>
      </c>
      <c r="BL2219" s="0" t="s">
        <v>130</v>
      </c>
      <c r="BM2219" s="0" t="s">
        <v>130</v>
      </c>
      <c r="BN2219" s="0" t="s">
        <v>130</v>
      </c>
      <c r="BO2219" s="0" t="s">
        <v>130</v>
      </c>
      <c r="BP2219" s="0" t="s">
        <v>130</v>
      </c>
      <c r="BQ2219" s="0" t="s">
        <v>130</v>
      </c>
      <c r="BR2219" s="0" t="s">
        <v>130</v>
      </c>
      <c r="BS2219" s="0" t="s">
        <v>130</v>
      </c>
      <c r="BT2219" s="0" t="s">
        <v>130</v>
      </c>
      <c r="BU2219" s="0" t="s">
        <v>130</v>
      </c>
      <c r="BV2219" s="0" t="s">
        <v>130</v>
      </c>
      <c r="BW2219" s="0" t="s">
        <v>130</v>
      </c>
      <c r="BX2219" s="0" t="s">
        <v>130</v>
      </c>
      <c r="BY2219" s="0" t="s">
        <v>130</v>
      </c>
      <c r="BZ2219" s="0" t="s">
        <v>130</v>
      </c>
      <c r="CA2219" s="0" t="s">
        <v>130</v>
      </c>
      <c r="CB2219" s="0" t="s">
        <v>130</v>
      </c>
      <c r="CC2219" s="0" t="s">
        <v>130</v>
      </c>
      <c r="CD2219" s="0" t="s">
        <v>130</v>
      </c>
      <c r="CE2219" s="0" t="s">
        <v>130</v>
      </c>
      <c r="CF2219" s="0" t="s">
        <v>130</v>
      </c>
      <c r="CG2219" s="0" t="s">
        <v>130</v>
      </c>
      <c r="CH2219" s="0" t="s">
        <v>130</v>
      </c>
      <c r="CI2219" s="0" t="s">
        <v>130</v>
      </c>
      <c r="CJ2219" s="0" t="s">
        <v>130</v>
      </c>
      <c r="CK2219" s="0" t="s">
        <v>130</v>
      </c>
      <c r="CL2219" s="0" t="s">
        <v>130</v>
      </c>
      <c r="CM2219" s="0" t="s">
        <v>130</v>
      </c>
      <c r="CN2219" s="0" t="s">
        <v>130</v>
      </c>
      <c r="CO2219" s="0" t="s">
        <v>130</v>
      </c>
      <c r="CP2219" s="0" t="s">
        <v>130</v>
      </c>
      <c r="CQ2219" s="0" t="s">
        <v>130</v>
      </c>
      <c r="CR2219" s="0" t="s">
        <v>130</v>
      </c>
      <c r="CS2219" s="0" t="s">
        <v>130</v>
      </c>
      <c r="CT2219" s="0" t="s">
        <v>6155</v>
      </c>
    </row>
    <row r="2220">
      <c r="A2220" s="14">
        <v>169367</v>
      </c>
      <c r="B2220" s="0" t="s">
        <v>3021</v>
      </c>
      <c r="C2220" s="16">
        <f>HYPERLINK("https://eosportal.federatedhermes.com/companies/Q29tcGFueQppNjE5MDI=", "HDFC Bank Ltd")</f>
      </c>
      <c r="D2220" s="0" t="s">
        <v>25</v>
      </c>
      <c r="E2220" s="0" t="s">
        <v>6156</v>
      </c>
      <c r="F2220" s="16">
        <f>HYPERLINK("https://eosportal.federatedhermes.com/engagements/RW5nYWdlbWVudAppMzI4OTM=", "Employee retention")</f>
      </c>
      <c r="G2220" s="14" t="s">
        <v>6157</v>
      </c>
      <c r="H2220" s="0" t="s">
        <v>141</v>
      </c>
      <c r="I2220" s="14" t="s">
        <v>131</v>
      </c>
      <c r="J2220" s="0" t="s">
        <v>153</v>
      </c>
      <c r="K2220" s="0" t="s">
        <v>154</v>
      </c>
      <c r="L2220" s="0" t="s">
        <v>268</v>
      </c>
      <c r="M2220" s="0" t="s">
        <v>2807</v>
      </c>
      <c r="N2220" s="0" t="s">
        <v>2969</v>
      </c>
      <c r="O2220" s="0" t="s">
        <v>238</v>
      </c>
      <c r="Q2220" s="0" t="s">
        <v>130</v>
      </c>
      <c r="R2220" s="0" t="s">
        <v>138</v>
      </c>
      <c r="S2220" s="14">
        <v>0</v>
      </c>
      <c r="T2220" s="0" t="s">
        <v>222</v>
      </c>
      <c r="U2220" s="0" t="s">
        <v>138</v>
      </c>
      <c r="V2220" s="14" t="s">
        <v>138</v>
      </c>
      <c r="W2220" s="0" t="s">
        <v>138</v>
      </c>
      <c r="X2220" s="14" t="s">
        <v>138</v>
      </c>
      <c r="Y2220" s="0" t="s">
        <v>138</v>
      </c>
      <c r="Z2220" s="14" t="s">
        <v>138</v>
      </c>
      <c r="AA2220" s="0" t="s">
        <v>138</v>
      </c>
      <c r="AB2220" s="14" t="s">
        <v>138</v>
      </c>
      <c r="AD2220" s="0" t="s">
        <v>138</v>
      </c>
      <c r="AF2220" s="0">
        <v>0</v>
      </c>
      <c r="AG2220" s="0">
        <v>0</v>
      </c>
      <c r="AH2220" s="0" t="s">
        <v>140</v>
      </c>
      <c r="AI2220" s="0" t="s">
        <v>138</v>
      </c>
      <c r="AL2220" s="14"/>
      <c r="AN2220" s="14"/>
      <c r="AQ2220" s="0" t="s">
        <v>130</v>
      </c>
      <c r="AR2220" s="0" t="s">
        <v>130</v>
      </c>
      <c r="AS2220" s="0" t="s">
        <v>130</v>
      </c>
      <c r="AT2220" s="0" t="s">
        <v>130</v>
      </c>
      <c r="AU2220" s="0" t="s">
        <v>130</v>
      </c>
      <c r="AV2220" s="0" t="s">
        <v>130</v>
      </c>
      <c r="AW2220" s="0" t="s">
        <v>130</v>
      </c>
      <c r="AX2220" s="0" t="s">
        <v>130</v>
      </c>
      <c r="AY2220" s="0" t="s">
        <v>130</v>
      </c>
      <c r="AZ2220" s="0" t="s">
        <v>130</v>
      </c>
      <c r="BA2220" s="0" t="s">
        <v>130</v>
      </c>
      <c r="BB2220" s="0" t="s">
        <v>130</v>
      </c>
      <c r="BC2220" s="0" t="s">
        <v>130</v>
      </c>
      <c r="BD2220" s="0" t="s">
        <v>130</v>
      </c>
      <c r="BE2220" s="0" t="s">
        <v>130</v>
      </c>
      <c r="BF2220" s="0" t="s">
        <v>130</v>
      </c>
      <c r="BG2220" s="0" t="s">
        <v>130</v>
      </c>
      <c r="BH2220" s="0" t="s">
        <v>130</v>
      </c>
      <c r="BI2220" s="0" t="s">
        <v>130</v>
      </c>
      <c r="BJ2220" s="0" t="s">
        <v>130</v>
      </c>
      <c r="BK2220" s="0" t="s">
        <v>130</v>
      </c>
      <c r="BL2220" s="0" t="s">
        <v>130</v>
      </c>
      <c r="BM2220" s="0" t="s">
        <v>130</v>
      </c>
      <c r="BN2220" s="0" t="s">
        <v>130</v>
      </c>
      <c r="BO2220" s="0" t="s">
        <v>130</v>
      </c>
      <c r="BP2220" s="0" t="s">
        <v>130</v>
      </c>
      <c r="BQ2220" s="0" t="s">
        <v>130</v>
      </c>
      <c r="BR2220" s="0" t="s">
        <v>130</v>
      </c>
      <c r="BS2220" s="0" t="s">
        <v>130</v>
      </c>
      <c r="BT2220" s="0" t="s">
        <v>130</v>
      </c>
      <c r="BU2220" s="0" t="s">
        <v>130</v>
      </c>
      <c r="BV2220" s="0" t="s">
        <v>130</v>
      </c>
      <c r="BW2220" s="0" t="s">
        <v>130</v>
      </c>
      <c r="BX2220" s="0" t="s">
        <v>130</v>
      </c>
      <c r="BY2220" s="0" t="s">
        <v>130</v>
      </c>
      <c r="BZ2220" s="0" t="s">
        <v>130</v>
      </c>
      <c r="CA2220" s="0" t="s">
        <v>130</v>
      </c>
      <c r="CB2220" s="0" t="s">
        <v>130</v>
      </c>
      <c r="CC2220" s="0" t="s">
        <v>130</v>
      </c>
      <c r="CD2220" s="0" t="s">
        <v>130</v>
      </c>
      <c r="CE2220" s="0" t="s">
        <v>130</v>
      </c>
      <c r="CF2220" s="0" t="s">
        <v>130</v>
      </c>
      <c r="CG2220" s="0" t="s">
        <v>130</v>
      </c>
      <c r="CH2220" s="0" t="s">
        <v>130</v>
      </c>
      <c r="CI2220" s="0" t="s">
        <v>130</v>
      </c>
      <c r="CJ2220" s="0" t="s">
        <v>130</v>
      </c>
      <c r="CK2220" s="0" t="s">
        <v>141</v>
      </c>
      <c r="CL2220" s="0" t="s">
        <v>130</v>
      </c>
      <c r="CM2220" s="0" t="s">
        <v>130</v>
      </c>
      <c r="CN2220" s="0" t="s">
        <v>130</v>
      </c>
      <c r="CO2220" s="0" t="s">
        <v>130</v>
      </c>
      <c r="CP2220" s="0" t="s">
        <v>130</v>
      </c>
      <c r="CQ2220" s="0" t="s">
        <v>130</v>
      </c>
      <c r="CR2220" s="0" t="s">
        <v>130</v>
      </c>
      <c r="CS2220" s="0" t="s">
        <v>130</v>
      </c>
      <c r="CT2220" s="0" t="s">
        <v>6158</v>
      </c>
    </row>
    <row r="2221">
      <c r="A2221" s="14">
        <v>112122</v>
      </c>
      <c r="B2221" s="0" t="s">
        <v>799</v>
      </c>
      <c r="C2221" s="16">
        <f>HYPERLINK("https://eosportal.federatedhermes.com/companies/Q29tcGFueQppNjMxMDk=", "Prudential PLC")</f>
      </c>
      <c r="D2221" s="0" t="s">
        <v>23</v>
      </c>
      <c r="E2221" s="0" t="s">
        <v>6159</v>
      </c>
      <c r="F2221" s="16">
        <f>HYPERLINK("https://eosportal.federatedhermes.com/engagements/RW5nYWdlbWVudAppMzI4OTc=", "Provision of coal phase out strategy")</f>
      </c>
      <c r="G2221" s="14" t="s">
        <v>6160</v>
      </c>
      <c r="H2221" s="0" t="s">
        <v>130</v>
      </c>
      <c r="I2221" s="14" t="s">
        <v>319</v>
      </c>
      <c r="J2221" s="0" t="s">
        <v>197</v>
      </c>
      <c r="K2221" s="0" t="s">
        <v>198</v>
      </c>
      <c r="L2221" s="0" t="s">
        <v>216</v>
      </c>
      <c r="M2221" s="0" t="s">
        <v>802</v>
      </c>
      <c r="N2221" s="0" t="s">
        <v>803</v>
      </c>
      <c r="O2221" s="0" t="s">
        <v>238</v>
      </c>
      <c r="Q2221" s="0" t="s">
        <v>130</v>
      </c>
      <c r="R2221" s="0" t="s">
        <v>130</v>
      </c>
      <c r="S2221" s="14">
        <v>0</v>
      </c>
      <c r="T2221" s="0" t="s">
        <v>222</v>
      </c>
      <c r="U2221" s="0" t="s">
        <v>221</v>
      </c>
      <c r="V2221" s="14" t="s">
        <v>222</v>
      </c>
      <c r="W2221" s="0" t="s">
        <v>221</v>
      </c>
      <c r="X2221" s="14" t="s">
        <v>222</v>
      </c>
      <c r="Y2221" s="0" t="s">
        <v>223</v>
      </c>
      <c r="Z2221" s="14" t="s">
        <v>138</v>
      </c>
      <c r="AA2221" s="0" t="s">
        <v>224</v>
      </c>
      <c r="AB2221" s="14" t="s">
        <v>138</v>
      </c>
      <c r="AD2221" s="0" t="s">
        <v>17</v>
      </c>
      <c r="AF2221" s="0">
        <v>0</v>
      </c>
      <c r="AG2221" s="0">
        <v>0</v>
      </c>
      <c r="AH2221" s="0" t="s">
        <v>140</v>
      </c>
      <c r="AI2221" s="0" t="s">
        <v>479</v>
      </c>
      <c r="AL2221" s="14"/>
      <c r="AN2221" s="14"/>
      <c r="AQ2221" s="0" t="s">
        <v>130</v>
      </c>
      <c r="AR2221" s="0" t="s">
        <v>130</v>
      </c>
      <c r="AS2221" s="0" t="s">
        <v>130</v>
      </c>
      <c r="AT2221" s="0" t="s">
        <v>130</v>
      </c>
      <c r="AU2221" s="0" t="s">
        <v>130</v>
      </c>
      <c r="AV2221" s="0" t="s">
        <v>130</v>
      </c>
      <c r="AW2221" s="0" t="s">
        <v>141</v>
      </c>
      <c r="AX2221" s="0" t="s">
        <v>130</v>
      </c>
      <c r="AY2221" s="0" t="s">
        <v>130</v>
      </c>
      <c r="AZ2221" s="0" t="s">
        <v>130</v>
      </c>
      <c r="BA2221" s="0" t="s">
        <v>130</v>
      </c>
      <c r="BB2221" s="0" t="s">
        <v>130</v>
      </c>
      <c r="BC2221" s="0" t="s">
        <v>141</v>
      </c>
      <c r="BD2221" s="0" t="s">
        <v>130</v>
      </c>
      <c r="BE2221" s="0" t="s">
        <v>130</v>
      </c>
      <c r="BF2221" s="0" t="s">
        <v>130</v>
      </c>
      <c r="BG2221" s="0" t="s">
        <v>130</v>
      </c>
      <c r="BH2221" s="0" t="s">
        <v>141</v>
      </c>
      <c r="BI2221" s="0" t="s">
        <v>141</v>
      </c>
      <c r="BJ2221" s="0" t="s">
        <v>141</v>
      </c>
      <c r="BK2221" s="0" t="s">
        <v>130</v>
      </c>
      <c r="BL2221" s="0" t="s">
        <v>130</v>
      </c>
      <c r="BM2221" s="0" t="s">
        <v>130</v>
      </c>
      <c r="BN2221" s="0" t="s">
        <v>130</v>
      </c>
      <c r="BO2221" s="0" t="s">
        <v>130</v>
      </c>
      <c r="BP2221" s="0" t="s">
        <v>130</v>
      </c>
      <c r="BQ2221" s="0" t="s">
        <v>130</v>
      </c>
      <c r="BR2221" s="0" t="s">
        <v>130</v>
      </c>
      <c r="BS2221" s="0" t="s">
        <v>130</v>
      </c>
      <c r="BT2221" s="0" t="s">
        <v>130</v>
      </c>
      <c r="BU2221" s="0" t="s">
        <v>130</v>
      </c>
      <c r="BV2221" s="0" t="s">
        <v>141</v>
      </c>
      <c r="BW2221" s="0" t="s">
        <v>141</v>
      </c>
      <c r="BX2221" s="0" t="s">
        <v>130</v>
      </c>
      <c r="BY2221" s="0" t="s">
        <v>130</v>
      </c>
      <c r="BZ2221" s="0" t="s">
        <v>130</v>
      </c>
      <c r="CA2221" s="0" t="s">
        <v>130</v>
      </c>
      <c r="CB2221" s="0" t="s">
        <v>130</v>
      </c>
      <c r="CC2221" s="0" t="s">
        <v>130</v>
      </c>
      <c r="CD2221" s="0" t="s">
        <v>130</v>
      </c>
      <c r="CE2221" s="0" t="s">
        <v>130</v>
      </c>
      <c r="CF2221" s="0" t="s">
        <v>130</v>
      </c>
      <c r="CG2221" s="0" t="s">
        <v>130</v>
      </c>
      <c r="CH2221" s="0" t="s">
        <v>130</v>
      </c>
      <c r="CI2221" s="0" t="s">
        <v>130</v>
      </c>
      <c r="CJ2221" s="0" t="s">
        <v>130</v>
      </c>
      <c r="CK2221" s="0" t="s">
        <v>130</v>
      </c>
      <c r="CL2221" s="0" t="s">
        <v>130</v>
      </c>
      <c r="CM2221" s="0" t="s">
        <v>130</v>
      </c>
      <c r="CN2221" s="0" t="s">
        <v>130</v>
      </c>
      <c r="CO2221" s="0" t="s">
        <v>130</v>
      </c>
      <c r="CP2221" s="0" t="s">
        <v>130</v>
      </c>
      <c r="CQ2221" s="0" t="s">
        <v>130</v>
      </c>
      <c r="CR2221" s="0" t="s">
        <v>130</v>
      </c>
      <c r="CS2221" s="0" t="s">
        <v>130</v>
      </c>
      <c r="CT2221" s="0" t="s">
        <v>6161</v>
      </c>
    </row>
    <row r="2222">
      <c r="A2222" s="14">
        <v>36507453</v>
      </c>
      <c r="B2222" s="0" t="s">
        <v>4479</v>
      </c>
      <c r="C2222" s="16">
        <f>HYPERLINK("https://eosportal.federatedhermes.com/companies/Q29tcGFueQppNjI0Njg=", "CNH Industrial NV")</f>
      </c>
      <c r="D2222" s="0" t="s">
        <v>23</v>
      </c>
      <c r="E2222" s="0" t="s">
        <v>1147</v>
      </c>
      <c r="F2222" s="16">
        <f>HYPERLINK("https://eosportal.federatedhermes.com/engagements/RW5nYWdlbWVudAppMzI4OTg=", "Climate resilient strategy - enhanced scope")</f>
      </c>
      <c r="G2222" s="14" t="s">
        <v>6162</v>
      </c>
      <c r="H2222" s="0" t="s">
        <v>130</v>
      </c>
      <c r="I2222" s="14" t="s">
        <v>131</v>
      </c>
      <c r="J2222" s="0" t="s">
        <v>197</v>
      </c>
      <c r="K2222" s="0" t="s">
        <v>198</v>
      </c>
      <c r="L2222" s="0" t="s">
        <v>220</v>
      </c>
      <c r="M2222" s="0" t="s">
        <v>272</v>
      </c>
      <c r="N2222" s="0" t="s">
        <v>273</v>
      </c>
      <c r="O2222" s="0" t="s">
        <v>176</v>
      </c>
      <c r="Q2222" s="0" t="s">
        <v>141</v>
      </c>
      <c r="R2222" s="0" t="s">
        <v>130</v>
      </c>
      <c r="S2222" s="14">
        <v>1</v>
      </c>
      <c r="T2222" s="0" t="s">
        <v>478</v>
      </c>
      <c r="U2222" s="0" t="s">
        <v>221</v>
      </c>
      <c r="V2222" s="14" t="s">
        <v>478</v>
      </c>
      <c r="W2222" s="0" t="s">
        <v>221</v>
      </c>
      <c r="X2222" s="14" t="s">
        <v>478</v>
      </c>
      <c r="Y2222" s="0" t="s">
        <v>223</v>
      </c>
      <c r="Z2222" s="14" t="s">
        <v>138</v>
      </c>
      <c r="AA2222" s="0" t="s">
        <v>224</v>
      </c>
      <c r="AB2222" s="14" t="s">
        <v>138</v>
      </c>
      <c r="AD2222" s="0" t="s">
        <v>17</v>
      </c>
      <c r="AF2222" s="0">
        <v>0</v>
      </c>
      <c r="AG2222" s="0">
        <v>0</v>
      </c>
      <c r="AH2222" s="0" t="s">
        <v>140</v>
      </c>
      <c r="AI2222" s="0" t="s">
        <v>479</v>
      </c>
      <c r="AK2222" s="0" t="s">
        <v>3996</v>
      </c>
      <c r="AL2222" s="14"/>
      <c r="AN2222" s="14"/>
      <c r="AQ2222" s="0" t="s">
        <v>130</v>
      </c>
      <c r="AR2222" s="0" t="s">
        <v>130</v>
      </c>
      <c r="AS2222" s="0" t="s">
        <v>130</v>
      </c>
      <c r="AT2222" s="0" t="s">
        <v>130</v>
      </c>
      <c r="AU2222" s="0" t="s">
        <v>130</v>
      </c>
      <c r="AV2222" s="0" t="s">
        <v>130</v>
      </c>
      <c r="AW2222" s="0" t="s">
        <v>141</v>
      </c>
      <c r="AX2222" s="0" t="s">
        <v>130</v>
      </c>
      <c r="AY2222" s="0" t="s">
        <v>141</v>
      </c>
      <c r="AZ2222" s="0" t="s">
        <v>130</v>
      </c>
      <c r="BA2222" s="0" t="s">
        <v>130</v>
      </c>
      <c r="BB2222" s="0" t="s">
        <v>130</v>
      </c>
      <c r="BC2222" s="0" t="s">
        <v>141</v>
      </c>
      <c r="BD2222" s="0" t="s">
        <v>130</v>
      </c>
      <c r="BE2222" s="0" t="s">
        <v>130</v>
      </c>
      <c r="BF2222" s="0" t="s">
        <v>130</v>
      </c>
      <c r="BG2222" s="0" t="s">
        <v>130</v>
      </c>
      <c r="BH2222" s="0" t="s">
        <v>141</v>
      </c>
      <c r="BI2222" s="0" t="s">
        <v>141</v>
      </c>
      <c r="BJ2222" s="0" t="s">
        <v>141</v>
      </c>
      <c r="BK2222" s="0" t="s">
        <v>130</v>
      </c>
      <c r="BL2222" s="0" t="s">
        <v>130</v>
      </c>
      <c r="BM2222" s="0" t="s">
        <v>130</v>
      </c>
      <c r="BN2222" s="0" t="s">
        <v>130</v>
      </c>
      <c r="BO2222" s="0" t="s">
        <v>130</v>
      </c>
      <c r="BP2222" s="0" t="s">
        <v>130</v>
      </c>
      <c r="BQ2222" s="0" t="s">
        <v>130</v>
      </c>
      <c r="BR2222" s="0" t="s">
        <v>130</v>
      </c>
      <c r="BS2222" s="0" t="s">
        <v>130</v>
      </c>
      <c r="BT2222" s="0" t="s">
        <v>130</v>
      </c>
      <c r="BU2222" s="0" t="s">
        <v>130</v>
      </c>
      <c r="BV2222" s="0" t="s">
        <v>141</v>
      </c>
      <c r="BW2222" s="0" t="s">
        <v>141</v>
      </c>
      <c r="BX2222" s="0" t="s">
        <v>130</v>
      </c>
      <c r="BY2222" s="0" t="s">
        <v>130</v>
      </c>
      <c r="BZ2222" s="0" t="s">
        <v>130</v>
      </c>
      <c r="CA2222" s="0" t="s">
        <v>130</v>
      </c>
      <c r="CB2222" s="0" t="s">
        <v>130</v>
      </c>
      <c r="CC2222" s="0" t="s">
        <v>130</v>
      </c>
      <c r="CD2222" s="0" t="s">
        <v>130</v>
      </c>
      <c r="CE2222" s="0" t="s">
        <v>130</v>
      </c>
      <c r="CF2222" s="0" t="s">
        <v>130</v>
      </c>
      <c r="CG2222" s="0" t="s">
        <v>130</v>
      </c>
      <c r="CH2222" s="0" t="s">
        <v>130</v>
      </c>
      <c r="CI2222" s="0" t="s">
        <v>130</v>
      </c>
      <c r="CJ2222" s="0" t="s">
        <v>130</v>
      </c>
      <c r="CK2222" s="0" t="s">
        <v>130</v>
      </c>
      <c r="CL2222" s="0" t="s">
        <v>130</v>
      </c>
      <c r="CM2222" s="0" t="s">
        <v>130</v>
      </c>
      <c r="CN2222" s="0" t="s">
        <v>130</v>
      </c>
      <c r="CO2222" s="0" t="s">
        <v>130</v>
      </c>
      <c r="CP2222" s="0" t="s">
        <v>130</v>
      </c>
      <c r="CQ2222" s="0" t="s">
        <v>130</v>
      </c>
      <c r="CR2222" s="0" t="s">
        <v>130</v>
      </c>
      <c r="CS2222" s="0" t="s">
        <v>130</v>
      </c>
      <c r="CT2222" s="0" t="s">
        <v>6163</v>
      </c>
    </row>
    <row r="2223">
      <c r="A2223" s="14">
        <v>16632863</v>
      </c>
      <c r="B2223" s="0" t="s">
        <v>4220</v>
      </c>
      <c r="C2223" s="16">
        <f>HYPERLINK("https://eosportal.federatedhermes.com/companies/Q29tcGFueQppNDQ5NjA=", "General Motors Co")</f>
      </c>
      <c r="D2223" s="0" t="s">
        <v>25</v>
      </c>
      <c r="E2223" s="0" t="s">
        <v>6164</v>
      </c>
      <c r="F2223" s="16">
        <f>HYPERLINK("https://eosportal.federatedhermes.com/engagements/RW5nYWdlbWVudAppMzI5MDY=", "Child &amp; Migrant Labour Allegations in US")</f>
      </c>
      <c r="G2223" s="14" t="s">
        <v>6165</v>
      </c>
      <c r="H2223" s="0" t="s">
        <v>141</v>
      </c>
      <c r="I2223" s="14" t="s">
        <v>191</v>
      </c>
      <c r="J2223" s="0" t="s">
        <v>153</v>
      </c>
      <c r="K2223" s="0" t="s">
        <v>243</v>
      </c>
      <c r="L2223" s="0" t="s">
        <v>244</v>
      </c>
      <c r="M2223" s="0" t="s">
        <v>135</v>
      </c>
      <c r="N2223" s="0" t="s">
        <v>136</v>
      </c>
      <c r="O2223" s="0" t="s">
        <v>425</v>
      </c>
      <c r="Q2223" s="0" t="s">
        <v>130</v>
      </c>
      <c r="R2223" s="0" t="s">
        <v>138</v>
      </c>
      <c r="S2223" s="14">
        <v>0</v>
      </c>
      <c r="T2223" s="0" t="s">
        <v>222</v>
      </c>
      <c r="U2223" s="0" t="s">
        <v>138</v>
      </c>
      <c r="V2223" s="14" t="s">
        <v>138</v>
      </c>
      <c r="W2223" s="0" t="s">
        <v>138</v>
      </c>
      <c r="X2223" s="14" t="s">
        <v>138</v>
      </c>
      <c r="Y2223" s="0" t="s">
        <v>138</v>
      </c>
      <c r="Z2223" s="14" t="s">
        <v>138</v>
      </c>
      <c r="AA2223" s="0" t="s">
        <v>138</v>
      </c>
      <c r="AB2223" s="14" t="s">
        <v>138</v>
      </c>
      <c r="AD2223" s="0" t="s">
        <v>138</v>
      </c>
      <c r="AF2223" s="0">
        <v>0</v>
      </c>
      <c r="AG2223" s="0">
        <v>0</v>
      </c>
      <c r="AH2223" s="0" t="s">
        <v>140</v>
      </c>
      <c r="AI2223" s="0" t="s">
        <v>138</v>
      </c>
      <c r="AL2223" s="14"/>
      <c r="AN2223" s="14"/>
      <c r="AQ2223" s="0" t="s">
        <v>130</v>
      </c>
      <c r="AR2223" s="0" t="s">
        <v>130</v>
      </c>
      <c r="AS2223" s="0" t="s">
        <v>130</v>
      </c>
      <c r="AT2223" s="0" t="s">
        <v>130</v>
      </c>
      <c r="AU2223" s="0" t="s">
        <v>130</v>
      </c>
      <c r="AV2223" s="0" t="s">
        <v>130</v>
      </c>
      <c r="AW2223" s="0" t="s">
        <v>130</v>
      </c>
      <c r="AX2223" s="0" t="s">
        <v>141</v>
      </c>
      <c r="AY2223" s="0" t="s">
        <v>130</v>
      </c>
      <c r="AZ2223" s="0" t="s">
        <v>130</v>
      </c>
      <c r="BA2223" s="0" t="s">
        <v>130</v>
      </c>
      <c r="BB2223" s="0" t="s">
        <v>130</v>
      </c>
      <c r="BC2223" s="0" t="s">
        <v>130</v>
      </c>
      <c r="BD2223" s="0" t="s">
        <v>130</v>
      </c>
      <c r="BE2223" s="0" t="s">
        <v>130</v>
      </c>
      <c r="BF2223" s="0" t="s">
        <v>130</v>
      </c>
      <c r="BG2223" s="0" t="s">
        <v>130</v>
      </c>
      <c r="BH2223" s="0" t="s">
        <v>130</v>
      </c>
      <c r="BI2223" s="0" t="s">
        <v>130</v>
      </c>
      <c r="BJ2223" s="0" t="s">
        <v>130</v>
      </c>
      <c r="BK2223" s="0" t="s">
        <v>130</v>
      </c>
      <c r="BL2223" s="0" t="s">
        <v>130</v>
      </c>
      <c r="BM2223" s="0" t="s">
        <v>130</v>
      </c>
      <c r="BN2223" s="0" t="s">
        <v>130</v>
      </c>
      <c r="BO2223" s="0" t="s">
        <v>130</v>
      </c>
      <c r="BP2223" s="0" t="s">
        <v>130</v>
      </c>
      <c r="BQ2223" s="0" t="s">
        <v>130</v>
      </c>
      <c r="BR2223" s="0" t="s">
        <v>130</v>
      </c>
      <c r="BS2223" s="0" t="s">
        <v>130</v>
      </c>
      <c r="BT2223" s="0" t="s">
        <v>130</v>
      </c>
      <c r="BU2223" s="0" t="s">
        <v>130</v>
      </c>
      <c r="BV2223" s="0" t="s">
        <v>130</v>
      </c>
      <c r="BW2223" s="0" t="s">
        <v>130</v>
      </c>
      <c r="BX2223" s="0" t="s">
        <v>130</v>
      </c>
      <c r="BY2223" s="0" t="s">
        <v>130</v>
      </c>
      <c r="BZ2223" s="0" t="s">
        <v>130</v>
      </c>
      <c r="CA2223" s="0" t="s">
        <v>130</v>
      </c>
      <c r="CB2223" s="0" t="s">
        <v>130</v>
      </c>
      <c r="CC2223" s="0" t="s">
        <v>130</v>
      </c>
      <c r="CD2223" s="0" t="s">
        <v>130</v>
      </c>
      <c r="CE2223" s="0" t="s">
        <v>130</v>
      </c>
      <c r="CF2223" s="0" t="s">
        <v>130</v>
      </c>
      <c r="CG2223" s="0" t="s">
        <v>130</v>
      </c>
      <c r="CH2223" s="0" t="s">
        <v>130</v>
      </c>
      <c r="CI2223" s="0" t="s">
        <v>130</v>
      </c>
      <c r="CJ2223" s="0" t="s">
        <v>130</v>
      </c>
      <c r="CK2223" s="0" t="s">
        <v>130</v>
      </c>
      <c r="CL2223" s="0" t="s">
        <v>130</v>
      </c>
      <c r="CM2223" s="0" t="s">
        <v>130</v>
      </c>
      <c r="CN2223" s="0" t="s">
        <v>130</v>
      </c>
      <c r="CO2223" s="0" t="s">
        <v>130</v>
      </c>
      <c r="CP2223" s="0" t="s">
        <v>130</v>
      </c>
      <c r="CQ2223" s="0" t="s">
        <v>130</v>
      </c>
      <c r="CR2223" s="0" t="s">
        <v>130</v>
      </c>
      <c r="CS2223" s="0" t="s">
        <v>130</v>
      </c>
      <c r="CT2223" s="0" t="s">
        <v>6166</v>
      </c>
    </row>
    <row r="2224">
      <c r="A2224" s="14">
        <v>115682</v>
      </c>
      <c r="B2224" s="0" t="s">
        <v>2620</v>
      </c>
      <c r="C2224" s="16">
        <f>HYPERLINK("https://eosportal.federatedhermes.com/companies/Q29tcGFueQppNTMxNDc=", "Bayerische Motoren Werke AG (BMW)")</f>
      </c>
      <c r="D2224" s="0" t="s">
        <v>23</v>
      </c>
      <c r="E2224" s="0" t="s">
        <v>6167</v>
      </c>
      <c r="F2224" s="16">
        <f>HYPERLINK("https://eosportal.federatedhermes.com/engagements/RW5nYWdlbWVudAppMzI5MTA=", "Supply chain mapping")</f>
      </c>
      <c r="G2224" s="14" t="s">
        <v>6168</v>
      </c>
      <c r="H2224" s="0" t="s">
        <v>141</v>
      </c>
      <c r="I2224" s="14" t="s">
        <v>1645</v>
      </c>
      <c r="J2224" s="0" t="s">
        <v>153</v>
      </c>
      <c r="K2224" s="0" t="s">
        <v>243</v>
      </c>
      <c r="L2224" s="0" t="s">
        <v>456</v>
      </c>
      <c r="M2224" s="0" t="s">
        <v>378</v>
      </c>
      <c r="N2224" s="0" t="s">
        <v>2485</v>
      </c>
      <c r="O2224" s="0" t="s">
        <v>425</v>
      </c>
      <c r="Q2224" s="0" t="s">
        <v>141</v>
      </c>
      <c r="R2224" s="0" t="s">
        <v>130</v>
      </c>
      <c r="S2224" s="14">
        <v>1</v>
      </c>
      <c r="T2224" s="0" t="s">
        <v>222</v>
      </c>
      <c r="U2224" s="0" t="s">
        <v>221</v>
      </c>
      <c r="V2224" s="14" t="s">
        <v>222</v>
      </c>
      <c r="W2224" s="0" t="s">
        <v>221</v>
      </c>
      <c r="X2224" s="14" t="s">
        <v>222</v>
      </c>
      <c r="Y2224" s="0" t="s">
        <v>221</v>
      </c>
      <c r="Z2224" s="14" t="s">
        <v>360</v>
      </c>
      <c r="AA2224" s="0" t="s">
        <v>223</v>
      </c>
      <c r="AB2224" s="14" t="s">
        <v>138</v>
      </c>
      <c r="AD2224" s="0" t="s">
        <v>20</v>
      </c>
      <c r="AF2224" s="0">
        <v>0</v>
      </c>
      <c r="AG2224" s="0">
        <v>0</v>
      </c>
      <c r="AH2224" s="0" t="s">
        <v>140</v>
      </c>
      <c r="AI2224" s="0" t="s">
        <v>598</v>
      </c>
      <c r="AK2224" s="0" t="s">
        <v>344</v>
      </c>
      <c r="AL2224" s="14"/>
      <c r="AN2224" s="14"/>
      <c r="AQ2224" s="0" t="s">
        <v>130</v>
      </c>
      <c r="AR2224" s="0" t="s">
        <v>130</v>
      </c>
      <c r="AS2224" s="0" t="s">
        <v>130</v>
      </c>
      <c r="AT2224" s="0" t="s">
        <v>130</v>
      </c>
      <c r="AU2224" s="0" t="s">
        <v>130</v>
      </c>
      <c r="AV2224" s="0" t="s">
        <v>130</v>
      </c>
      <c r="AW2224" s="0" t="s">
        <v>130</v>
      </c>
      <c r="AX2224" s="0" t="s">
        <v>141</v>
      </c>
      <c r="AY2224" s="0" t="s">
        <v>130</v>
      </c>
      <c r="AZ2224" s="0" t="s">
        <v>130</v>
      </c>
      <c r="BA2224" s="0" t="s">
        <v>130</v>
      </c>
      <c r="BB2224" s="0" t="s">
        <v>130</v>
      </c>
      <c r="BC2224" s="0" t="s">
        <v>130</v>
      </c>
      <c r="BD2224" s="0" t="s">
        <v>130</v>
      </c>
      <c r="BE2224" s="0" t="s">
        <v>130</v>
      </c>
      <c r="BF2224" s="0" t="s">
        <v>141</v>
      </c>
      <c r="BG2224" s="0" t="s">
        <v>130</v>
      </c>
      <c r="BH2224" s="0" t="s">
        <v>130</v>
      </c>
      <c r="BI2224" s="0" t="s">
        <v>130</v>
      </c>
      <c r="BJ2224" s="0" t="s">
        <v>130</v>
      </c>
      <c r="BK2224" s="0" t="s">
        <v>130</v>
      </c>
      <c r="BL2224" s="0" t="s">
        <v>130</v>
      </c>
      <c r="BM2224" s="0" t="s">
        <v>130</v>
      </c>
      <c r="BN2224" s="0" t="s">
        <v>130</v>
      </c>
      <c r="BO2224" s="0" t="s">
        <v>130</v>
      </c>
      <c r="BP2224" s="0" t="s">
        <v>130</v>
      </c>
      <c r="BQ2224" s="0" t="s">
        <v>130</v>
      </c>
      <c r="BR2224" s="0" t="s">
        <v>130</v>
      </c>
      <c r="BS2224" s="0" t="s">
        <v>130</v>
      </c>
      <c r="BT2224" s="0" t="s">
        <v>130</v>
      </c>
      <c r="BU2224" s="0" t="s">
        <v>130</v>
      </c>
      <c r="BV2224" s="0" t="s">
        <v>130</v>
      </c>
      <c r="BW2224" s="0" t="s">
        <v>130</v>
      </c>
      <c r="BX2224" s="0" t="s">
        <v>130</v>
      </c>
      <c r="BY2224" s="0" t="s">
        <v>130</v>
      </c>
      <c r="BZ2224" s="0" t="s">
        <v>130</v>
      </c>
      <c r="CA2224" s="0" t="s">
        <v>130</v>
      </c>
      <c r="CB2224" s="0" t="s">
        <v>130</v>
      </c>
      <c r="CC2224" s="0" t="s">
        <v>130</v>
      </c>
      <c r="CD2224" s="0" t="s">
        <v>130</v>
      </c>
      <c r="CE2224" s="0" t="s">
        <v>130</v>
      </c>
      <c r="CF2224" s="0" t="s">
        <v>130</v>
      </c>
      <c r="CG2224" s="0" t="s">
        <v>130</v>
      </c>
      <c r="CH2224" s="0" t="s">
        <v>130</v>
      </c>
      <c r="CI2224" s="0" t="s">
        <v>130</v>
      </c>
      <c r="CJ2224" s="0" t="s">
        <v>130</v>
      </c>
      <c r="CK2224" s="0" t="s">
        <v>130</v>
      </c>
      <c r="CL2224" s="0" t="s">
        <v>130</v>
      </c>
      <c r="CM2224" s="0" t="s">
        <v>130</v>
      </c>
      <c r="CN2224" s="0" t="s">
        <v>130</v>
      </c>
      <c r="CO2224" s="0" t="s">
        <v>130</v>
      </c>
      <c r="CP2224" s="0" t="s">
        <v>130</v>
      </c>
      <c r="CQ2224" s="0" t="s">
        <v>130</v>
      </c>
      <c r="CR2224" s="0" t="s">
        <v>130</v>
      </c>
      <c r="CS2224" s="0" t="s">
        <v>130</v>
      </c>
      <c r="CT2224" s="0" t="s">
        <v>6169</v>
      </c>
    </row>
    <row r="2225">
      <c r="A2225" s="14">
        <v>180001</v>
      </c>
      <c r="B2225" s="0" t="s">
        <v>3137</v>
      </c>
      <c r="C2225" s="16">
        <f>HYPERLINK("https://eosportal.federatedhermes.com/companies/Q29tcGFueQppNzcwNDM=", "adidas AG")</f>
      </c>
      <c r="D2225" s="0" t="s">
        <v>23</v>
      </c>
      <c r="E2225" s="0" t="s">
        <v>6170</v>
      </c>
      <c r="F2225" s="16">
        <f>HYPERLINK("https://eosportal.federatedhermes.com/engagements/RW5nYWdlbWVudAppMzI5MTE=", "Executive board diversity")</f>
      </c>
      <c r="G2225" s="14" t="s">
        <v>6171</v>
      </c>
      <c r="H2225" s="0" t="s">
        <v>141</v>
      </c>
      <c r="I2225" s="14" t="s">
        <v>191</v>
      </c>
      <c r="J2225" s="0" t="s">
        <v>153</v>
      </c>
      <c r="K2225" s="0" t="s">
        <v>154</v>
      </c>
      <c r="L2225" s="0" t="s">
        <v>268</v>
      </c>
      <c r="M2225" s="0" t="s">
        <v>378</v>
      </c>
      <c r="N2225" s="0" t="s">
        <v>2485</v>
      </c>
      <c r="O2225" s="0" t="s">
        <v>332</v>
      </c>
      <c r="Q2225" s="0" t="s">
        <v>130</v>
      </c>
      <c r="R2225" s="0" t="s">
        <v>130</v>
      </c>
      <c r="S2225" s="14">
        <v>0</v>
      </c>
      <c r="T2225" s="0" t="s">
        <v>222</v>
      </c>
      <c r="U2225" s="0" t="s">
        <v>221</v>
      </c>
      <c r="V2225" s="14" t="s">
        <v>222</v>
      </c>
      <c r="W2225" s="0" t="s">
        <v>221</v>
      </c>
      <c r="X2225" s="14" t="s">
        <v>222</v>
      </c>
      <c r="Y2225" s="0" t="s">
        <v>221</v>
      </c>
      <c r="Z2225" s="14" t="s">
        <v>222</v>
      </c>
      <c r="AA2225" s="0" t="s">
        <v>223</v>
      </c>
      <c r="AB2225" s="14" t="s">
        <v>138</v>
      </c>
      <c r="AD2225" s="0" t="s">
        <v>20</v>
      </c>
      <c r="AF2225" s="0">
        <v>0</v>
      </c>
      <c r="AG2225" s="0">
        <v>0</v>
      </c>
      <c r="AH2225" s="0" t="s">
        <v>140</v>
      </c>
      <c r="AI2225" s="0" t="s">
        <v>598</v>
      </c>
      <c r="AL2225" s="14"/>
      <c r="AN2225" s="14"/>
      <c r="AQ2225" s="0" t="s">
        <v>130</v>
      </c>
      <c r="AR2225" s="0" t="s">
        <v>130</v>
      </c>
      <c r="AS2225" s="0" t="s">
        <v>130</v>
      </c>
      <c r="AT2225" s="0" t="s">
        <v>130</v>
      </c>
      <c r="AU2225" s="0" t="s">
        <v>141</v>
      </c>
      <c r="AV2225" s="0" t="s">
        <v>130</v>
      </c>
      <c r="AW2225" s="0" t="s">
        <v>130</v>
      </c>
      <c r="AX2225" s="0" t="s">
        <v>130</v>
      </c>
      <c r="AY2225" s="0" t="s">
        <v>130</v>
      </c>
      <c r="AZ2225" s="0" t="s">
        <v>130</v>
      </c>
      <c r="BA2225" s="0" t="s">
        <v>130</v>
      </c>
      <c r="BB2225" s="0" t="s">
        <v>130</v>
      </c>
      <c r="BC2225" s="0" t="s">
        <v>130</v>
      </c>
      <c r="BD2225" s="0" t="s">
        <v>130</v>
      </c>
      <c r="BE2225" s="0" t="s">
        <v>130</v>
      </c>
      <c r="BF2225" s="0" t="s">
        <v>130</v>
      </c>
      <c r="BG2225" s="0" t="s">
        <v>130</v>
      </c>
      <c r="BH2225" s="0" t="s">
        <v>130</v>
      </c>
      <c r="BI2225" s="0" t="s">
        <v>130</v>
      </c>
      <c r="BJ2225" s="0" t="s">
        <v>130</v>
      </c>
      <c r="BK2225" s="0" t="s">
        <v>130</v>
      </c>
      <c r="BL2225" s="0" t="s">
        <v>130</v>
      </c>
      <c r="BM2225" s="0" t="s">
        <v>130</v>
      </c>
      <c r="BN2225" s="0" t="s">
        <v>130</v>
      </c>
      <c r="BO2225" s="0" t="s">
        <v>130</v>
      </c>
      <c r="BP2225" s="0" t="s">
        <v>130</v>
      </c>
      <c r="BQ2225" s="0" t="s">
        <v>130</v>
      </c>
      <c r="BR2225" s="0" t="s">
        <v>130</v>
      </c>
      <c r="BS2225" s="0" t="s">
        <v>130</v>
      </c>
      <c r="BT2225" s="0" t="s">
        <v>130</v>
      </c>
      <c r="BU2225" s="0" t="s">
        <v>130</v>
      </c>
      <c r="BV2225" s="0" t="s">
        <v>130</v>
      </c>
      <c r="BW2225" s="0" t="s">
        <v>130</v>
      </c>
      <c r="BX2225" s="0" t="s">
        <v>130</v>
      </c>
      <c r="BY2225" s="0" t="s">
        <v>130</v>
      </c>
      <c r="BZ2225" s="0" t="s">
        <v>130</v>
      </c>
      <c r="CA2225" s="0" t="s">
        <v>130</v>
      </c>
      <c r="CB2225" s="0" t="s">
        <v>130</v>
      </c>
      <c r="CC2225" s="0" t="s">
        <v>130</v>
      </c>
      <c r="CD2225" s="0" t="s">
        <v>130</v>
      </c>
      <c r="CE2225" s="0" t="s">
        <v>130</v>
      </c>
      <c r="CF2225" s="0" t="s">
        <v>130</v>
      </c>
      <c r="CG2225" s="0" t="s">
        <v>130</v>
      </c>
      <c r="CH2225" s="0" t="s">
        <v>130</v>
      </c>
      <c r="CI2225" s="0" t="s">
        <v>130</v>
      </c>
      <c r="CJ2225" s="0" t="s">
        <v>130</v>
      </c>
      <c r="CK2225" s="0" t="s">
        <v>141</v>
      </c>
      <c r="CL2225" s="0" t="s">
        <v>130</v>
      </c>
      <c r="CM2225" s="0" t="s">
        <v>130</v>
      </c>
      <c r="CN2225" s="0" t="s">
        <v>130</v>
      </c>
      <c r="CO2225" s="0" t="s">
        <v>130</v>
      </c>
      <c r="CP2225" s="0" t="s">
        <v>130</v>
      </c>
      <c r="CQ2225" s="0" t="s">
        <v>130</v>
      </c>
      <c r="CR2225" s="0" t="s">
        <v>130</v>
      </c>
      <c r="CS2225" s="0" t="s">
        <v>130</v>
      </c>
      <c r="CT2225" s="0" t="s">
        <v>6172</v>
      </c>
    </row>
    <row r="2226">
      <c r="A2226" s="14">
        <v>11204665</v>
      </c>
      <c r="B2226" s="0" t="s">
        <v>3998</v>
      </c>
      <c r="C2226" s="16">
        <f>HYPERLINK("https://eosportal.federatedhermes.com/companies/Q29tcGFueQppNjQ2NDE=", "Brambles Ltd")</f>
      </c>
      <c r="D2226" s="0" t="s">
        <v>23</v>
      </c>
      <c r="E2226" s="0" t="s">
        <v>6173</v>
      </c>
      <c r="F2226" s="16">
        <f>HYPERLINK("https://eosportal.federatedhermes.com/engagements/RW5nYWdlbWVudAppMzI5MTM=", "Explain forest positive goal and incorporate biodiversity")</f>
      </c>
      <c r="G2226" s="14" t="s">
        <v>6174</v>
      </c>
      <c r="H2226" s="0" t="s">
        <v>130</v>
      </c>
      <c r="I2226" s="14" t="s">
        <v>319</v>
      </c>
      <c r="J2226" s="0" t="s">
        <v>197</v>
      </c>
      <c r="K2226" s="0" t="s">
        <v>337</v>
      </c>
      <c r="L2226" s="0" t="s">
        <v>576</v>
      </c>
      <c r="M2226" s="0" t="s">
        <v>371</v>
      </c>
      <c r="N2226" s="0" t="s">
        <v>372</v>
      </c>
      <c r="O2226" s="0" t="s">
        <v>176</v>
      </c>
      <c r="Q2226" s="0" t="s">
        <v>141</v>
      </c>
      <c r="R2226" s="0" t="s">
        <v>130</v>
      </c>
      <c r="S2226" s="14">
        <v>1</v>
      </c>
      <c r="T2226" s="0" t="s">
        <v>478</v>
      </c>
      <c r="U2226" s="0" t="s">
        <v>221</v>
      </c>
      <c r="V2226" s="14" t="s">
        <v>478</v>
      </c>
      <c r="W2226" s="0" t="s">
        <v>221</v>
      </c>
      <c r="X2226" s="14" t="s">
        <v>446</v>
      </c>
      <c r="Y2226" s="0" t="s">
        <v>223</v>
      </c>
      <c r="Z2226" s="14" t="s">
        <v>138</v>
      </c>
      <c r="AA2226" s="0" t="s">
        <v>224</v>
      </c>
      <c r="AB2226" s="14" t="s">
        <v>138</v>
      </c>
      <c r="AD2226" s="0" t="s">
        <v>17</v>
      </c>
      <c r="AF2226" s="0">
        <v>0</v>
      </c>
      <c r="AG2226" s="0">
        <v>0</v>
      </c>
      <c r="AH2226" s="0" t="s">
        <v>140</v>
      </c>
      <c r="AI2226" s="0" t="s">
        <v>479</v>
      </c>
      <c r="AK2226" s="0" t="s">
        <v>3626</v>
      </c>
      <c r="AL2226" s="14"/>
      <c r="AN2226" s="14"/>
      <c r="AQ2226" s="0" t="s">
        <v>130</v>
      </c>
      <c r="AR2226" s="0" t="s">
        <v>141</v>
      </c>
      <c r="AS2226" s="0" t="s">
        <v>130</v>
      </c>
      <c r="AT2226" s="0" t="s">
        <v>130</v>
      </c>
      <c r="AU2226" s="0" t="s">
        <v>130</v>
      </c>
      <c r="AV2226" s="0" t="s">
        <v>130</v>
      </c>
      <c r="AW2226" s="0" t="s">
        <v>130</v>
      </c>
      <c r="AX2226" s="0" t="s">
        <v>130</v>
      </c>
      <c r="AY2226" s="0" t="s">
        <v>130</v>
      </c>
      <c r="AZ2226" s="0" t="s">
        <v>130</v>
      </c>
      <c r="BA2226" s="0" t="s">
        <v>130</v>
      </c>
      <c r="BB2226" s="0" t="s">
        <v>141</v>
      </c>
      <c r="BC2226" s="0" t="s">
        <v>130</v>
      </c>
      <c r="BD2226" s="0" t="s">
        <v>130</v>
      </c>
      <c r="BE2226" s="0" t="s">
        <v>141</v>
      </c>
      <c r="BF2226" s="0" t="s">
        <v>130</v>
      </c>
      <c r="BG2226" s="0" t="s">
        <v>130</v>
      </c>
      <c r="BH2226" s="0" t="s">
        <v>130</v>
      </c>
      <c r="BI2226" s="0" t="s">
        <v>130</v>
      </c>
      <c r="BJ2226" s="0" t="s">
        <v>130</v>
      </c>
      <c r="BK2226" s="0" t="s">
        <v>130</v>
      </c>
      <c r="BL2226" s="0" t="s">
        <v>130</v>
      </c>
      <c r="BM2226" s="0" t="s">
        <v>130</v>
      </c>
      <c r="BN2226" s="0" t="s">
        <v>130</v>
      </c>
      <c r="BO2226" s="0" t="s">
        <v>130</v>
      </c>
      <c r="BP2226" s="0" t="s">
        <v>130</v>
      </c>
      <c r="BQ2226" s="0" t="s">
        <v>130</v>
      </c>
      <c r="BR2226" s="0" t="s">
        <v>130</v>
      </c>
      <c r="BS2226" s="0" t="s">
        <v>130</v>
      </c>
      <c r="BT2226" s="0" t="s">
        <v>130</v>
      </c>
      <c r="BU2226" s="0" t="s">
        <v>130</v>
      </c>
      <c r="BV2226" s="0" t="s">
        <v>130</v>
      </c>
      <c r="BW2226" s="0" t="s">
        <v>130</v>
      </c>
      <c r="BX2226" s="0" t="s">
        <v>130</v>
      </c>
      <c r="BY2226" s="0" t="s">
        <v>130</v>
      </c>
      <c r="BZ2226" s="0" t="s">
        <v>130</v>
      </c>
      <c r="CA2226" s="0" t="s">
        <v>130</v>
      </c>
      <c r="CB2226" s="0" t="s">
        <v>130</v>
      </c>
      <c r="CC2226" s="0" t="s">
        <v>130</v>
      </c>
      <c r="CD2226" s="0" t="s">
        <v>130</v>
      </c>
      <c r="CE2226" s="0" t="s">
        <v>130</v>
      </c>
      <c r="CF2226" s="0" t="s">
        <v>130</v>
      </c>
      <c r="CG2226" s="0" t="s">
        <v>130</v>
      </c>
      <c r="CH2226" s="0" t="s">
        <v>130</v>
      </c>
      <c r="CI2226" s="0" t="s">
        <v>130</v>
      </c>
      <c r="CJ2226" s="0" t="s">
        <v>130</v>
      </c>
      <c r="CK2226" s="0" t="s">
        <v>130</v>
      </c>
      <c r="CL2226" s="0" t="s">
        <v>130</v>
      </c>
      <c r="CM2226" s="0" t="s">
        <v>130</v>
      </c>
      <c r="CN2226" s="0" t="s">
        <v>130</v>
      </c>
      <c r="CO2226" s="0" t="s">
        <v>130</v>
      </c>
      <c r="CP2226" s="0" t="s">
        <v>130</v>
      </c>
      <c r="CQ2226" s="0" t="s">
        <v>130</v>
      </c>
      <c r="CR2226" s="0" t="s">
        <v>130</v>
      </c>
      <c r="CS2226" s="0" t="s">
        <v>130</v>
      </c>
      <c r="CT2226" s="0" t="s">
        <v>6175</v>
      </c>
    </row>
    <row r="2227">
      <c r="A2227" s="14">
        <v>111680</v>
      </c>
      <c r="B2227" s="0" t="s">
        <v>633</v>
      </c>
      <c r="C2227" s="16">
        <f>HYPERLINK("https://eosportal.federatedhermes.com/companies/Q29tcGFueQppNTg5Njc=", "Diageo PLC")</f>
      </c>
      <c r="D2227" s="0" t="s">
        <v>25</v>
      </c>
      <c r="E2227" s="0" t="s">
        <v>6176</v>
      </c>
      <c r="F2227" s="16">
        <f>HYPERLINK("https://eosportal.federatedhermes.com/engagements/RW5nYWdlbWVudAppMzI5Mjk=", "Scope 3 emissions in agricultural supply chain")</f>
      </c>
      <c r="G2227" s="14" t="s">
        <v>6177</v>
      </c>
      <c r="H2227" s="0" t="s">
        <v>141</v>
      </c>
      <c r="I2227" s="14" t="s">
        <v>636</v>
      </c>
      <c r="J2227" s="0" t="s">
        <v>197</v>
      </c>
      <c r="K2227" s="0" t="s">
        <v>198</v>
      </c>
      <c r="L2227" s="0" t="s">
        <v>199</v>
      </c>
      <c r="M2227" s="0" t="s">
        <v>272</v>
      </c>
      <c r="N2227" s="0" t="s">
        <v>273</v>
      </c>
      <c r="O2227" s="0" t="s">
        <v>332</v>
      </c>
      <c r="Q2227" s="0" t="s">
        <v>141</v>
      </c>
      <c r="R2227" s="0" t="s">
        <v>138</v>
      </c>
      <c r="S2227" s="14">
        <v>1</v>
      </c>
      <c r="T2227" s="0" t="s">
        <v>222</v>
      </c>
      <c r="U2227" s="0" t="s">
        <v>138</v>
      </c>
      <c r="V2227" s="14" t="s">
        <v>138</v>
      </c>
      <c r="W2227" s="0" t="s">
        <v>138</v>
      </c>
      <c r="X2227" s="14" t="s">
        <v>138</v>
      </c>
      <c r="Y2227" s="0" t="s">
        <v>138</v>
      </c>
      <c r="Z2227" s="14" t="s">
        <v>138</v>
      </c>
      <c r="AA2227" s="0" t="s">
        <v>138</v>
      </c>
      <c r="AB2227" s="14" t="s">
        <v>138</v>
      </c>
      <c r="AD2227" s="0" t="s">
        <v>138</v>
      </c>
      <c r="AF2227" s="0">
        <v>0</v>
      </c>
      <c r="AG2227" s="0">
        <v>0</v>
      </c>
      <c r="AH2227" s="0" t="s">
        <v>140</v>
      </c>
      <c r="AI2227" s="0" t="s">
        <v>138</v>
      </c>
      <c r="AK2227" s="0" t="s">
        <v>2241</v>
      </c>
      <c r="AL2227" s="14"/>
      <c r="AN2227" s="14"/>
      <c r="AQ2227" s="0" t="s">
        <v>130</v>
      </c>
      <c r="AR2227" s="0" t="s">
        <v>130</v>
      </c>
      <c r="AS2227" s="0" t="s">
        <v>130</v>
      </c>
      <c r="AT2227" s="0" t="s">
        <v>130</v>
      </c>
      <c r="AU2227" s="0" t="s">
        <v>130</v>
      </c>
      <c r="AV2227" s="0" t="s">
        <v>130</v>
      </c>
      <c r="AW2227" s="0" t="s">
        <v>130</v>
      </c>
      <c r="AX2227" s="0" t="s">
        <v>130</v>
      </c>
      <c r="AY2227" s="0" t="s">
        <v>130</v>
      </c>
      <c r="AZ2227" s="0" t="s">
        <v>130</v>
      </c>
      <c r="BA2227" s="0" t="s">
        <v>130</v>
      </c>
      <c r="BB2227" s="0" t="s">
        <v>141</v>
      </c>
      <c r="BC2227" s="0" t="s">
        <v>130</v>
      </c>
      <c r="BD2227" s="0" t="s">
        <v>130</v>
      </c>
      <c r="BE2227" s="0" t="s">
        <v>130</v>
      </c>
      <c r="BF2227" s="0" t="s">
        <v>130</v>
      </c>
      <c r="BG2227" s="0" t="s">
        <v>130</v>
      </c>
      <c r="BH2227" s="0" t="s">
        <v>130</v>
      </c>
      <c r="BI2227" s="0" t="s">
        <v>130</v>
      </c>
      <c r="BJ2227" s="0" t="s">
        <v>130</v>
      </c>
      <c r="BK2227" s="0" t="s">
        <v>130</v>
      </c>
      <c r="BL2227" s="0" t="s">
        <v>130</v>
      </c>
      <c r="BM2227" s="0" t="s">
        <v>130</v>
      </c>
      <c r="BN2227" s="0" t="s">
        <v>130</v>
      </c>
      <c r="BO2227" s="0" t="s">
        <v>130</v>
      </c>
      <c r="BP2227" s="0" t="s">
        <v>130</v>
      </c>
      <c r="BQ2227" s="0" t="s">
        <v>130</v>
      </c>
      <c r="BR2227" s="0" t="s">
        <v>130</v>
      </c>
      <c r="BS2227" s="0" t="s">
        <v>130</v>
      </c>
      <c r="BT2227" s="0" t="s">
        <v>130</v>
      </c>
      <c r="BU2227" s="0" t="s">
        <v>130</v>
      </c>
      <c r="BV2227" s="0" t="s">
        <v>130</v>
      </c>
      <c r="BW2227" s="0" t="s">
        <v>130</v>
      </c>
      <c r="BX2227" s="0" t="s">
        <v>130</v>
      </c>
      <c r="BY2227" s="0" t="s">
        <v>130</v>
      </c>
      <c r="BZ2227" s="0" t="s">
        <v>130</v>
      </c>
      <c r="CA2227" s="0" t="s">
        <v>130</v>
      </c>
      <c r="CB2227" s="0" t="s">
        <v>130</v>
      </c>
      <c r="CC2227" s="0" t="s">
        <v>130</v>
      </c>
      <c r="CD2227" s="0" t="s">
        <v>130</v>
      </c>
      <c r="CE2227" s="0" t="s">
        <v>130</v>
      </c>
      <c r="CF2227" s="0" t="s">
        <v>130</v>
      </c>
      <c r="CG2227" s="0" t="s">
        <v>130</v>
      </c>
      <c r="CH2227" s="0" t="s">
        <v>130</v>
      </c>
      <c r="CI2227" s="0" t="s">
        <v>130</v>
      </c>
      <c r="CJ2227" s="0" t="s">
        <v>130</v>
      </c>
      <c r="CK2227" s="0" t="s">
        <v>130</v>
      </c>
      <c r="CL2227" s="0" t="s">
        <v>130</v>
      </c>
      <c r="CM2227" s="0" t="s">
        <v>130</v>
      </c>
      <c r="CN2227" s="0" t="s">
        <v>130</v>
      </c>
      <c r="CO2227" s="0" t="s">
        <v>130</v>
      </c>
      <c r="CP2227" s="0" t="s">
        <v>130</v>
      </c>
      <c r="CQ2227" s="0" t="s">
        <v>130</v>
      </c>
      <c r="CR2227" s="0" t="s">
        <v>130</v>
      </c>
      <c r="CS2227" s="0" t="s">
        <v>130</v>
      </c>
      <c r="CT2227" s="0" t="s">
        <v>6178</v>
      </c>
    </row>
    <row r="2228">
      <c r="A2228" s="14">
        <v>111680</v>
      </c>
      <c r="B2228" s="0" t="s">
        <v>633</v>
      </c>
      <c r="C2228" s="16">
        <f>HYPERLINK("https://eosportal.federatedhermes.com/companies/Q29tcGFueQppNTg5Njc=", "Diageo PLC")</f>
      </c>
      <c r="D2228" s="0" t="s">
        <v>25</v>
      </c>
      <c r="E2228" s="0" t="s">
        <v>6179</v>
      </c>
      <c r="F2228" s="16">
        <f>HYPERLINK("https://eosportal.federatedhermes.com/engagements/RW5nYWdlbWVudAppMzI5MzA=", "Management of water scarcity")</f>
      </c>
      <c r="G2228" s="14" t="s">
        <v>6180</v>
      </c>
      <c r="H2228" s="0" t="s">
        <v>141</v>
      </c>
      <c r="I2228" s="14" t="s">
        <v>636</v>
      </c>
      <c r="J2228" s="0" t="s">
        <v>197</v>
      </c>
      <c r="K2228" s="0" t="s">
        <v>337</v>
      </c>
      <c r="L2228" s="0" t="s">
        <v>338</v>
      </c>
      <c r="M2228" s="0" t="s">
        <v>272</v>
      </c>
      <c r="N2228" s="0" t="s">
        <v>273</v>
      </c>
      <c r="O2228" s="0" t="s">
        <v>332</v>
      </c>
      <c r="Q2228" s="0" t="s">
        <v>141</v>
      </c>
      <c r="R2228" s="0" t="s">
        <v>138</v>
      </c>
      <c r="S2228" s="14">
        <v>1</v>
      </c>
      <c r="T2228" s="0" t="s">
        <v>222</v>
      </c>
      <c r="U2228" s="0" t="s">
        <v>138</v>
      </c>
      <c r="V2228" s="14" t="s">
        <v>138</v>
      </c>
      <c r="W2228" s="0" t="s">
        <v>138</v>
      </c>
      <c r="X2228" s="14" t="s">
        <v>138</v>
      </c>
      <c r="Y2228" s="0" t="s">
        <v>138</v>
      </c>
      <c r="Z2228" s="14" t="s">
        <v>138</v>
      </c>
      <c r="AA2228" s="0" t="s">
        <v>138</v>
      </c>
      <c r="AB2228" s="14" t="s">
        <v>138</v>
      </c>
      <c r="AD2228" s="0" t="s">
        <v>138</v>
      </c>
      <c r="AF2228" s="0">
        <v>0</v>
      </c>
      <c r="AG2228" s="0">
        <v>0</v>
      </c>
      <c r="AH2228" s="0" t="s">
        <v>140</v>
      </c>
      <c r="AI2228" s="0" t="s">
        <v>138</v>
      </c>
      <c r="AK2228" s="0" t="s">
        <v>2241</v>
      </c>
      <c r="AL2228" s="14"/>
      <c r="AN2228" s="14"/>
      <c r="AQ2228" s="0" t="s">
        <v>130</v>
      </c>
      <c r="AR2228" s="0" t="s">
        <v>130</v>
      </c>
      <c r="AS2228" s="0" t="s">
        <v>130</v>
      </c>
      <c r="AT2228" s="0" t="s">
        <v>130</v>
      </c>
      <c r="AU2228" s="0" t="s">
        <v>130</v>
      </c>
      <c r="AV2228" s="0" t="s">
        <v>141</v>
      </c>
      <c r="AW2228" s="0" t="s">
        <v>130</v>
      </c>
      <c r="AX2228" s="0" t="s">
        <v>130</v>
      </c>
      <c r="AY2228" s="0" t="s">
        <v>130</v>
      </c>
      <c r="AZ2228" s="0" t="s">
        <v>130</v>
      </c>
      <c r="BA2228" s="0" t="s">
        <v>130</v>
      </c>
      <c r="BB2228" s="0" t="s">
        <v>130</v>
      </c>
      <c r="BC2228" s="0" t="s">
        <v>130</v>
      </c>
      <c r="BD2228" s="0" t="s">
        <v>130</v>
      </c>
      <c r="BE2228" s="0" t="s">
        <v>130</v>
      </c>
      <c r="BF2228" s="0" t="s">
        <v>130</v>
      </c>
      <c r="BG2228" s="0" t="s">
        <v>130</v>
      </c>
      <c r="BH2228" s="0" t="s">
        <v>130</v>
      </c>
      <c r="BI2228" s="0" t="s">
        <v>130</v>
      </c>
      <c r="BJ2228" s="0" t="s">
        <v>130</v>
      </c>
      <c r="BK2228" s="0" t="s">
        <v>130</v>
      </c>
      <c r="BL2228" s="0" t="s">
        <v>130</v>
      </c>
      <c r="BM2228" s="0" t="s">
        <v>130</v>
      </c>
      <c r="BN2228" s="0" t="s">
        <v>130</v>
      </c>
      <c r="BO2228" s="0" t="s">
        <v>130</v>
      </c>
      <c r="BP2228" s="0" t="s">
        <v>130</v>
      </c>
      <c r="BQ2228" s="0" t="s">
        <v>130</v>
      </c>
      <c r="BR2228" s="0" t="s">
        <v>130</v>
      </c>
      <c r="BS2228" s="0" t="s">
        <v>130</v>
      </c>
      <c r="BT2228" s="0" t="s">
        <v>130</v>
      </c>
      <c r="BU2228" s="0" t="s">
        <v>130</v>
      </c>
      <c r="BV2228" s="0" t="s">
        <v>130</v>
      </c>
      <c r="BW2228" s="0" t="s">
        <v>130</v>
      </c>
      <c r="BX2228" s="0" t="s">
        <v>141</v>
      </c>
      <c r="BY2228" s="0" t="s">
        <v>130</v>
      </c>
      <c r="BZ2228" s="0" t="s">
        <v>130</v>
      </c>
      <c r="CA2228" s="0" t="s">
        <v>130</v>
      </c>
      <c r="CB2228" s="0" t="s">
        <v>130</v>
      </c>
      <c r="CC2228" s="0" t="s">
        <v>130</v>
      </c>
      <c r="CD2228" s="0" t="s">
        <v>130</v>
      </c>
      <c r="CE2228" s="0" t="s">
        <v>130</v>
      </c>
      <c r="CF2228" s="0" t="s">
        <v>130</v>
      </c>
      <c r="CG2228" s="0" t="s">
        <v>130</v>
      </c>
      <c r="CH2228" s="0" t="s">
        <v>130</v>
      </c>
      <c r="CI2228" s="0" t="s">
        <v>130</v>
      </c>
      <c r="CJ2228" s="0" t="s">
        <v>130</v>
      </c>
      <c r="CK2228" s="0" t="s">
        <v>130</v>
      </c>
      <c r="CL2228" s="0" t="s">
        <v>130</v>
      </c>
      <c r="CM2228" s="0" t="s">
        <v>130</v>
      </c>
      <c r="CN2228" s="0" t="s">
        <v>130</v>
      </c>
      <c r="CO2228" s="0" t="s">
        <v>130</v>
      </c>
      <c r="CP2228" s="0" t="s">
        <v>130</v>
      </c>
      <c r="CQ2228" s="0" t="s">
        <v>130</v>
      </c>
      <c r="CR2228" s="0" t="s">
        <v>130</v>
      </c>
      <c r="CS2228" s="0" t="s">
        <v>130</v>
      </c>
      <c r="CT2228" s="0" t="s">
        <v>6181</v>
      </c>
    </row>
    <row r="2229">
      <c r="A2229" s="14">
        <v>304149</v>
      </c>
      <c r="B2229" s="0" t="s">
        <v>3541</v>
      </c>
      <c r="C2229" s="16">
        <f>HYPERLINK("https://eosportal.federatedhermes.com/companies/Q29tcGFueQppNzc5MjM=", "ICICI Bank Ltd")</f>
      </c>
      <c r="D2229" s="0" t="s">
        <v>25</v>
      </c>
      <c r="E2229" s="0" t="s">
        <v>3027</v>
      </c>
      <c r="F2229" s="16">
        <f>HYPERLINK("https://eosportal.federatedhermes.com/engagements/RW5nYWdlbWVudAppMzI5MzQ=", "Board gender diversity")</f>
      </c>
      <c r="G2229" s="14" t="s">
        <v>6182</v>
      </c>
      <c r="H2229" s="0" t="s">
        <v>141</v>
      </c>
      <c r="I2229" s="14" t="s">
        <v>131</v>
      </c>
      <c r="J2229" s="0" t="s">
        <v>145</v>
      </c>
      <c r="K2229" s="0" t="s">
        <v>164</v>
      </c>
      <c r="L2229" s="0" t="s">
        <v>165</v>
      </c>
      <c r="M2229" s="0" t="s">
        <v>2807</v>
      </c>
      <c r="N2229" s="0" t="s">
        <v>2969</v>
      </c>
      <c r="O2229" s="0" t="s">
        <v>238</v>
      </c>
      <c r="Q2229" s="0" t="s">
        <v>130</v>
      </c>
      <c r="R2229" s="0" t="s">
        <v>138</v>
      </c>
      <c r="S2229" s="14">
        <v>0</v>
      </c>
      <c r="T2229" s="0" t="s">
        <v>222</v>
      </c>
      <c r="U2229" s="0" t="s">
        <v>138</v>
      </c>
      <c r="V2229" s="14" t="s">
        <v>138</v>
      </c>
      <c r="W2229" s="0" t="s">
        <v>138</v>
      </c>
      <c r="X2229" s="14" t="s">
        <v>138</v>
      </c>
      <c r="Y2229" s="0" t="s">
        <v>138</v>
      </c>
      <c r="Z2229" s="14" t="s">
        <v>138</v>
      </c>
      <c r="AA2229" s="0" t="s">
        <v>138</v>
      </c>
      <c r="AB2229" s="14" t="s">
        <v>138</v>
      </c>
      <c r="AD2229" s="0" t="s">
        <v>138</v>
      </c>
      <c r="AF2229" s="0">
        <v>0</v>
      </c>
      <c r="AG2229" s="0">
        <v>0</v>
      </c>
      <c r="AH2229" s="0" t="s">
        <v>140</v>
      </c>
      <c r="AI2229" s="0" t="s">
        <v>138</v>
      </c>
      <c r="AL2229" s="14"/>
      <c r="AN2229" s="14"/>
      <c r="AQ2229" s="0" t="s">
        <v>130</v>
      </c>
      <c r="AR2229" s="0" t="s">
        <v>130</v>
      </c>
      <c r="AS2229" s="0" t="s">
        <v>130</v>
      </c>
      <c r="AT2229" s="0" t="s">
        <v>130</v>
      </c>
      <c r="AU2229" s="0" t="s">
        <v>141</v>
      </c>
      <c r="AV2229" s="0" t="s">
        <v>130</v>
      </c>
      <c r="AW2229" s="0" t="s">
        <v>130</v>
      </c>
      <c r="AX2229" s="0" t="s">
        <v>130</v>
      </c>
      <c r="AY2229" s="0" t="s">
        <v>130</v>
      </c>
      <c r="AZ2229" s="0" t="s">
        <v>130</v>
      </c>
      <c r="BA2229" s="0" t="s">
        <v>130</v>
      </c>
      <c r="BB2229" s="0" t="s">
        <v>130</v>
      </c>
      <c r="BC2229" s="0" t="s">
        <v>130</v>
      </c>
      <c r="BD2229" s="0" t="s">
        <v>130</v>
      </c>
      <c r="BE2229" s="0" t="s">
        <v>130</v>
      </c>
      <c r="BF2229" s="0" t="s">
        <v>130</v>
      </c>
      <c r="BG2229" s="0" t="s">
        <v>130</v>
      </c>
      <c r="BH2229" s="0" t="s">
        <v>130</v>
      </c>
      <c r="BI2229" s="0" t="s">
        <v>130</v>
      </c>
      <c r="BJ2229" s="0" t="s">
        <v>130</v>
      </c>
      <c r="BK2229" s="0" t="s">
        <v>130</v>
      </c>
      <c r="BL2229" s="0" t="s">
        <v>130</v>
      </c>
      <c r="BM2229" s="0" t="s">
        <v>130</v>
      </c>
      <c r="BN2229" s="0" t="s">
        <v>130</v>
      </c>
      <c r="BO2229" s="0" t="s">
        <v>130</v>
      </c>
      <c r="BP2229" s="0" t="s">
        <v>130</v>
      </c>
      <c r="BQ2229" s="0" t="s">
        <v>130</v>
      </c>
      <c r="BR2229" s="0" t="s">
        <v>130</v>
      </c>
      <c r="BS2229" s="0" t="s">
        <v>130</v>
      </c>
      <c r="BT2229" s="0" t="s">
        <v>130</v>
      </c>
      <c r="BU2229" s="0" t="s">
        <v>130</v>
      </c>
      <c r="BV2229" s="0" t="s">
        <v>130</v>
      </c>
      <c r="BW2229" s="0" t="s">
        <v>130</v>
      </c>
      <c r="BX2229" s="0" t="s">
        <v>130</v>
      </c>
      <c r="BY2229" s="0" t="s">
        <v>130</v>
      </c>
      <c r="BZ2229" s="0" t="s">
        <v>130</v>
      </c>
      <c r="CA2229" s="0" t="s">
        <v>130</v>
      </c>
      <c r="CB2229" s="0" t="s">
        <v>130</v>
      </c>
      <c r="CC2229" s="0" t="s">
        <v>130</v>
      </c>
      <c r="CD2229" s="0" t="s">
        <v>130</v>
      </c>
      <c r="CE2229" s="0" t="s">
        <v>130</v>
      </c>
      <c r="CF2229" s="0" t="s">
        <v>130</v>
      </c>
      <c r="CG2229" s="0" t="s">
        <v>130</v>
      </c>
      <c r="CH2229" s="0" t="s">
        <v>130</v>
      </c>
      <c r="CI2229" s="0" t="s">
        <v>130</v>
      </c>
      <c r="CJ2229" s="0" t="s">
        <v>130</v>
      </c>
      <c r="CK2229" s="0" t="s">
        <v>130</v>
      </c>
      <c r="CL2229" s="0" t="s">
        <v>130</v>
      </c>
      <c r="CM2229" s="0" t="s">
        <v>130</v>
      </c>
      <c r="CN2229" s="0" t="s">
        <v>130</v>
      </c>
      <c r="CO2229" s="0" t="s">
        <v>130</v>
      </c>
      <c r="CP2229" s="0" t="s">
        <v>130</v>
      </c>
      <c r="CQ2229" s="0" t="s">
        <v>130</v>
      </c>
      <c r="CR2229" s="0" t="s">
        <v>130</v>
      </c>
      <c r="CS2229" s="0" t="s">
        <v>130</v>
      </c>
      <c r="CT2229" s="0" t="s">
        <v>6183</v>
      </c>
    </row>
    <row r="2230">
      <c r="A2230" s="14">
        <v>41633927</v>
      </c>
      <c r="B2230" s="0" t="s">
        <v>4569</v>
      </c>
      <c r="C2230" s="16">
        <f>HYPERLINK("https://eosportal.federatedhermes.com/companies/Q29tcGFueQppNTIxODI=", "Stellantis NV")</f>
      </c>
      <c r="D2230" s="0" t="s">
        <v>25</v>
      </c>
      <c r="E2230" s="0" t="s">
        <v>6184</v>
      </c>
      <c r="F2230" s="16">
        <f>HYPERLINK("https://eosportal.federatedhermes.com/engagements/RW5nYWdlbWVudAppMzI5MzU=", "Lack of response for engagement")</f>
      </c>
      <c r="G2230" s="14" t="s">
        <v>6185</v>
      </c>
      <c r="H2230" s="0" t="s">
        <v>141</v>
      </c>
      <c r="I2230" s="14" t="s">
        <v>1645</v>
      </c>
      <c r="J2230" s="0" t="s">
        <v>145</v>
      </c>
      <c r="K2230" s="0" t="s">
        <v>400</v>
      </c>
      <c r="L2230" s="0" t="s">
        <v>401</v>
      </c>
      <c r="M2230" s="0" t="s">
        <v>378</v>
      </c>
      <c r="N2230" s="0" t="s">
        <v>2554</v>
      </c>
      <c r="O2230" s="0" t="s">
        <v>425</v>
      </c>
      <c r="Q2230" s="0" t="s">
        <v>130</v>
      </c>
      <c r="R2230" s="0" t="s">
        <v>138</v>
      </c>
      <c r="S2230" s="14">
        <v>0</v>
      </c>
      <c r="T2230" s="0" t="s">
        <v>222</v>
      </c>
      <c r="U2230" s="0" t="s">
        <v>138</v>
      </c>
      <c r="V2230" s="14" t="s">
        <v>138</v>
      </c>
      <c r="W2230" s="0" t="s">
        <v>138</v>
      </c>
      <c r="X2230" s="14" t="s">
        <v>138</v>
      </c>
      <c r="Y2230" s="0" t="s">
        <v>138</v>
      </c>
      <c r="Z2230" s="14" t="s">
        <v>138</v>
      </c>
      <c r="AA2230" s="0" t="s">
        <v>138</v>
      </c>
      <c r="AB2230" s="14" t="s">
        <v>138</v>
      </c>
      <c r="AD2230" s="0" t="s">
        <v>138</v>
      </c>
      <c r="AF2230" s="0">
        <v>0</v>
      </c>
      <c r="AG2230" s="0">
        <v>0</v>
      </c>
      <c r="AH2230" s="0" t="s">
        <v>140</v>
      </c>
      <c r="AI2230" s="0" t="s">
        <v>138</v>
      </c>
      <c r="AL2230" s="14"/>
      <c r="AN2230" s="14"/>
      <c r="AQ2230" s="0" t="s">
        <v>130</v>
      </c>
      <c r="AR2230" s="0" t="s">
        <v>130</v>
      </c>
      <c r="AS2230" s="0" t="s">
        <v>130</v>
      </c>
      <c r="AT2230" s="0" t="s">
        <v>130</v>
      </c>
      <c r="AU2230" s="0" t="s">
        <v>130</v>
      </c>
      <c r="AV2230" s="0" t="s">
        <v>130</v>
      </c>
      <c r="AW2230" s="0" t="s">
        <v>130</v>
      </c>
      <c r="AX2230" s="0" t="s">
        <v>130</v>
      </c>
      <c r="AY2230" s="0" t="s">
        <v>130</v>
      </c>
      <c r="AZ2230" s="0" t="s">
        <v>130</v>
      </c>
      <c r="BA2230" s="0" t="s">
        <v>130</v>
      </c>
      <c r="BB2230" s="0" t="s">
        <v>130</v>
      </c>
      <c r="BC2230" s="0" t="s">
        <v>130</v>
      </c>
      <c r="BD2230" s="0" t="s">
        <v>130</v>
      </c>
      <c r="BE2230" s="0" t="s">
        <v>130</v>
      </c>
      <c r="BF2230" s="0" t="s">
        <v>130</v>
      </c>
      <c r="BG2230" s="0" t="s">
        <v>130</v>
      </c>
      <c r="BH2230" s="0" t="s">
        <v>130</v>
      </c>
      <c r="BI2230" s="0" t="s">
        <v>130</v>
      </c>
      <c r="BJ2230" s="0" t="s">
        <v>130</v>
      </c>
      <c r="BK2230" s="0" t="s">
        <v>130</v>
      </c>
      <c r="BL2230" s="0" t="s">
        <v>130</v>
      </c>
      <c r="BM2230" s="0" t="s">
        <v>130</v>
      </c>
      <c r="BN2230" s="0" t="s">
        <v>130</v>
      </c>
      <c r="BO2230" s="0" t="s">
        <v>130</v>
      </c>
      <c r="BP2230" s="0" t="s">
        <v>130</v>
      </c>
      <c r="BQ2230" s="0" t="s">
        <v>130</v>
      </c>
      <c r="BR2230" s="0" t="s">
        <v>130</v>
      </c>
      <c r="BS2230" s="0" t="s">
        <v>130</v>
      </c>
      <c r="BT2230" s="0" t="s">
        <v>130</v>
      </c>
      <c r="BU2230" s="0" t="s">
        <v>130</v>
      </c>
      <c r="BV2230" s="0" t="s">
        <v>130</v>
      </c>
      <c r="BW2230" s="0" t="s">
        <v>130</v>
      </c>
      <c r="BX2230" s="0" t="s">
        <v>130</v>
      </c>
      <c r="BY2230" s="0" t="s">
        <v>130</v>
      </c>
      <c r="BZ2230" s="0" t="s">
        <v>130</v>
      </c>
      <c r="CA2230" s="0" t="s">
        <v>130</v>
      </c>
      <c r="CB2230" s="0" t="s">
        <v>130</v>
      </c>
      <c r="CC2230" s="0" t="s">
        <v>130</v>
      </c>
      <c r="CD2230" s="0" t="s">
        <v>130</v>
      </c>
      <c r="CE2230" s="0" t="s">
        <v>130</v>
      </c>
      <c r="CF2230" s="0" t="s">
        <v>130</v>
      </c>
      <c r="CG2230" s="0" t="s">
        <v>130</v>
      </c>
      <c r="CH2230" s="0" t="s">
        <v>130</v>
      </c>
      <c r="CI2230" s="0" t="s">
        <v>130</v>
      </c>
      <c r="CJ2230" s="0" t="s">
        <v>130</v>
      </c>
      <c r="CK2230" s="0" t="s">
        <v>130</v>
      </c>
      <c r="CL2230" s="0" t="s">
        <v>130</v>
      </c>
      <c r="CM2230" s="0" t="s">
        <v>130</v>
      </c>
      <c r="CN2230" s="0" t="s">
        <v>130</v>
      </c>
      <c r="CO2230" s="0" t="s">
        <v>130</v>
      </c>
      <c r="CP2230" s="0" t="s">
        <v>130</v>
      </c>
      <c r="CQ2230" s="0" t="s">
        <v>130</v>
      </c>
      <c r="CR2230" s="0" t="s">
        <v>130</v>
      </c>
      <c r="CS2230" s="0" t="s">
        <v>130</v>
      </c>
      <c r="CT2230" s="0" t="s">
        <v>6186</v>
      </c>
    </row>
    <row r="2231">
      <c r="A2231" s="14">
        <v>186830</v>
      </c>
      <c r="B2231" s="0" t="s">
        <v>3247</v>
      </c>
      <c r="C2231" s="16">
        <f>HYPERLINK("https://eosportal.federatedhermes.com/companies/Q29tcGFueQppNjc3NTE=", "Banco BTG Pactual SA")</f>
      </c>
      <c r="D2231" s="0" t="s">
        <v>25</v>
      </c>
      <c r="E2231" s="0" t="s">
        <v>6187</v>
      </c>
      <c r="F2231" s="16">
        <f>HYPERLINK("https://eosportal.federatedhermes.com/engagements/RW5nYWdlbWVudAppMzI5Mzk=", "Biodiversity Policy Development")</f>
      </c>
      <c r="G2231" s="14" t="s">
        <v>6188</v>
      </c>
      <c r="H2231" s="0" t="s">
        <v>130</v>
      </c>
      <c r="I2231" s="14" t="s">
        <v>131</v>
      </c>
      <c r="J2231" s="0" t="s">
        <v>197</v>
      </c>
      <c r="K2231" s="0" t="s">
        <v>337</v>
      </c>
      <c r="L2231" s="0" t="s">
        <v>576</v>
      </c>
      <c r="M2231" s="0" t="s">
        <v>2807</v>
      </c>
      <c r="N2231" s="0" t="s">
        <v>3041</v>
      </c>
      <c r="O2231" s="0" t="s">
        <v>238</v>
      </c>
      <c r="Q2231" s="0" t="s">
        <v>130</v>
      </c>
      <c r="R2231" s="0" t="s">
        <v>138</v>
      </c>
      <c r="S2231" s="14">
        <v>0</v>
      </c>
      <c r="T2231" s="0" t="s">
        <v>222</v>
      </c>
      <c r="U2231" s="0" t="s">
        <v>138</v>
      </c>
      <c r="V2231" s="14" t="s">
        <v>138</v>
      </c>
      <c r="W2231" s="0" t="s">
        <v>138</v>
      </c>
      <c r="X2231" s="14" t="s">
        <v>138</v>
      </c>
      <c r="Y2231" s="0" t="s">
        <v>138</v>
      </c>
      <c r="Z2231" s="14" t="s">
        <v>138</v>
      </c>
      <c r="AA2231" s="0" t="s">
        <v>138</v>
      </c>
      <c r="AB2231" s="14" t="s">
        <v>138</v>
      </c>
      <c r="AD2231" s="0" t="s">
        <v>138</v>
      </c>
      <c r="AF2231" s="0">
        <v>0</v>
      </c>
      <c r="AG2231" s="0">
        <v>0</v>
      </c>
      <c r="AH2231" s="0" t="s">
        <v>140</v>
      </c>
      <c r="AI2231" s="0" t="s">
        <v>138</v>
      </c>
      <c r="AL2231" s="14"/>
      <c r="AN2231" s="14"/>
      <c r="AQ2231" s="0" t="s">
        <v>130</v>
      </c>
      <c r="AR2231" s="0" t="s">
        <v>141</v>
      </c>
      <c r="AS2231" s="0" t="s">
        <v>130</v>
      </c>
      <c r="AT2231" s="0" t="s">
        <v>130</v>
      </c>
      <c r="AU2231" s="0" t="s">
        <v>130</v>
      </c>
      <c r="AV2231" s="0" t="s">
        <v>141</v>
      </c>
      <c r="AW2231" s="0" t="s">
        <v>130</v>
      </c>
      <c r="AX2231" s="0" t="s">
        <v>130</v>
      </c>
      <c r="AY2231" s="0" t="s">
        <v>130</v>
      </c>
      <c r="AZ2231" s="0" t="s">
        <v>130</v>
      </c>
      <c r="BA2231" s="0" t="s">
        <v>141</v>
      </c>
      <c r="BB2231" s="0" t="s">
        <v>141</v>
      </c>
      <c r="BC2231" s="0" t="s">
        <v>130</v>
      </c>
      <c r="BD2231" s="0" t="s">
        <v>141</v>
      </c>
      <c r="BE2231" s="0" t="s">
        <v>141</v>
      </c>
      <c r="BF2231" s="0" t="s">
        <v>130</v>
      </c>
      <c r="BG2231" s="0" t="s">
        <v>130</v>
      </c>
      <c r="BH2231" s="0" t="s">
        <v>130</v>
      </c>
      <c r="BI2231" s="0" t="s">
        <v>130</v>
      </c>
      <c r="BJ2231" s="0" t="s">
        <v>130</v>
      </c>
      <c r="BK2231" s="0" t="s">
        <v>130</v>
      </c>
      <c r="BL2231" s="0" t="s">
        <v>130</v>
      </c>
      <c r="BM2231" s="0" t="s">
        <v>130</v>
      </c>
      <c r="BN2231" s="0" t="s">
        <v>130</v>
      </c>
      <c r="BO2231" s="0" t="s">
        <v>130</v>
      </c>
      <c r="BP2231" s="0" t="s">
        <v>130</v>
      </c>
      <c r="BQ2231" s="0" t="s">
        <v>130</v>
      </c>
      <c r="BR2231" s="0" t="s">
        <v>130</v>
      </c>
      <c r="BS2231" s="0" t="s">
        <v>130</v>
      </c>
      <c r="BT2231" s="0" t="s">
        <v>130</v>
      </c>
      <c r="BU2231" s="0" t="s">
        <v>130</v>
      </c>
      <c r="BV2231" s="0" t="s">
        <v>130</v>
      </c>
      <c r="BW2231" s="0" t="s">
        <v>130</v>
      </c>
      <c r="BX2231" s="0" t="s">
        <v>130</v>
      </c>
      <c r="BY2231" s="0" t="s">
        <v>130</v>
      </c>
      <c r="BZ2231" s="0" t="s">
        <v>130</v>
      </c>
      <c r="CA2231" s="0" t="s">
        <v>130</v>
      </c>
      <c r="CB2231" s="0" t="s">
        <v>130</v>
      </c>
      <c r="CC2231" s="0" t="s">
        <v>130</v>
      </c>
      <c r="CD2231" s="0" t="s">
        <v>130</v>
      </c>
      <c r="CE2231" s="0" t="s">
        <v>130</v>
      </c>
      <c r="CF2231" s="0" t="s">
        <v>130</v>
      </c>
      <c r="CG2231" s="0" t="s">
        <v>130</v>
      </c>
      <c r="CH2231" s="0" t="s">
        <v>130</v>
      </c>
      <c r="CI2231" s="0" t="s">
        <v>130</v>
      </c>
      <c r="CJ2231" s="0" t="s">
        <v>130</v>
      </c>
      <c r="CK2231" s="0" t="s">
        <v>130</v>
      </c>
      <c r="CL2231" s="0" t="s">
        <v>130</v>
      </c>
      <c r="CM2231" s="0" t="s">
        <v>130</v>
      </c>
      <c r="CN2231" s="0" t="s">
        <v>130</v>
      </c>
      <c r="CO2231" s="0" t="s">
        <v>130</v>
      </c>
      <c r="CP2231" s="0" t="s">
        <v>130</v>
      </c>
      <c r="CQ2231" s="0" t="s">
        <v>130</v>
      </c>
      <c r="CR2231" s="0" t="s">
        <v>130</v>
      </c>
      <c r="CS2231" s="0" t="s">
        <v>130</v>
      </c>
      <c r="CT2231" s="0" t="s">
        <v>6189</v>
      </c>
    </row>
    <row r="2232">
      <c r="A2232" s="14">
        <v>111124</v>
      </c>
      <c r="B2232" s="0" t="s">
        <v>316</v>
      </c>
      <c r="C2232" s="16">
        <f>HYPERLINK("https://eosportal.federatedhermes.com/companies/Q29tcGFueQppNzY3MDM=", "Ashtead Group PLC")</f>
      </c>
      <c r="D2232" s="0" t="s">
        <v>23</v>
      </c>
      <c r="E2232" s="0" t="s">
        <v>6190</v>
      </c>
      <c r="F2232" s="16">
        <f>HYPERLINK("https://eosportal.federatedhermes.com/engagements/RW5nYWdlbWVudAppMzI5NDA=", "Composition of below board level management")</f>
      </c>
      <c r="G2232" s="14" t="s">
        <v>6191</v>
      </c>
      <c r="H2232" s="0" t="s">
        <v>130</v>
      </c>
      <c r="I2232" s="14" t="s">
        <v>319</v>
      </c>
      <c r="J2232" s="0" t="s">
        <v>153</v>
      </c>
      <c r="K2232" s="0" t="s">
        <v>154</v>
      </c>
      <c r="L2232" s="0" t="s">
        <v>268</v>
      </c>
      <c r="M2232" s="0" t="s">
        <v>272</v>
      </c>
      <c r="N2232" s="0" t="s">
        <v>273</v>
      </c>
      <c r="O2232" s="0" t="s">
        <v>176</v>
      </c>
      <c r="Q2232" s="0" t="s">
        <v>141</v>
      </c>
      <c r="R2232" s="0" t="s">
        <v>130</v>
      </c>
      <c r="S2232" s="14">
        <v>1</v>
      </c>
      <c r="T2232" s="0" t="s">
        <v>222</v>
      </c>
      <c r="U2232" s="0" t="s">
        <v>221</v>
      </c>
      <c r="V2232" s="14" t="s">
        <v>222</v>
      </c>
      <c r="W2232" s="0" t="s">
        <v>221</v>
      </c>
      <c r="X2232" s="14" t="s">
        <v>222</v>
      </c>
      <c r="Y2232" s="0" t="s">
        <v>223</v>
      </c>
      <c r="Z2232" s="14" t="s">
        <v>138</v>
      </c>
      <c r="AA2232" s="0" t="s">
        <v>224</v>
      </c>
      <c r="AB2232" s="14" t="s">
        <v>138</v>
      </c>
      <c r="AD2232" s="0" t="s">
        <v>17</v>
      </c>
      <c r="AF2232" s="0">
        <v>0</v>
      </c>
      <c r="AG2232" s="0">
        <v>0</v>
      </c>
      <c r="AH2232" s="0" t="s">
        <v>140</v>
      </c>
      <c r="AI2232" s="0" t="s">
        <v>479</v>
      </c>
      <c r="AK2232" s="0" t="s">
        <v>1470</v>
      </c>
      <c r="AL2232" s="14"/>
      <c r="AN2232" s="14"/>
      <c r="AQ2232" s="0" t="s">
        <v>130</v>
      </c>
      <c r="AR2232" s="0" t="s">
        <v>130</v>
      </c>
      <c r="AS2232" s="0" t="s">
        <v>130</v>
      </c>
      <c r="AT2232" s="0" t="s">
        <v>130</v>
      </c>
      <c r="AU2232" s="0" t="s">
        <v>141</v>
      </c>
      <c r="AV2232" s="0" t="s">
        <v>130</v>
      </c>
      <c r="AW2232" s="0" t="s">
        <v>130</v>
      </c>
      <c r="AX2232" s="0" t="s">
        <v>130</v>
      </c>
      <c r="AY2232" s="0" t="s">
        <v>130</v>
      </c>
      <c r="AZ2232" s="0" t="s">
        <v>130</v>
      </c>
      <c r="BA2232" s="0" t="s">
        <v>130</v>
      </c>
      <c r="BB2232" s="0" t="s">
        <v>130</v>
      </c>
      <c r="BC2232" s="0" t="s">
        <v>130</v>
      </c>
      <c r="BD2232" s="0" t="s">
        <v>130</v>
      </c>
      <c r="BE2232" s="0" t="s">
        <v>130</v>
      </c>
      <c r="BF2232" s="0" t="s">
        <v>130</v>
      </c>
      <c r="BG2232" s="0" t="s">
        <v>130</v>
      </c>
      <c r="BH2232" s="0" t="s">
        <v>130</v>
      </c>
      <c r="BI2232" s="0" t="s">
        <v>130</v>
      </c>
      <c r="BJ2232" s="0" t="s">
        <v>130</v>
      </c>
      <c r="BK2232" s="0" t="s">
        <v>130</v>
      </c>
      <c r="BL2232" s="0" t="s">
        <v>130</v>
      </c>
      <c r="BM2232" s="0" t="s">
        <v>130</v>
      </c>
      <c r="BN2232" s="0" t="s">
        <v>130</v>
      </c>
      <c r="BO2232" s="0" t="s">
        <v>130</v>
      </c>
      <c r="BP2232" s="0" t="s">
        <v>130</v>
      </c>
      <c r="BQ2232" s="0" t="s">
        <v>130</v>
      </c>
      <c r="BR2232" s="0" t="s">
        <v>130</v>
      </c>
      <c r="BS2232" s="0" t="s">
        <v>130</v>
      </c>
      <c r="BT2232" s="0" t="s">
        <v>130</v>
      </c>
      <c r="BU2232" s="0" t="s">
        <v>130</v>
      </c>
      <c r="BV2232" s="0" t="s">
        <v>130</v>
      </c>
      <c r="BW2232" s="0" t="s">
        <v>130</v>
      </c>
      <c r="BX2232" s="0" t="s">
        <v>130</v>
      </c>
      <c r="BY2232" s="0" t="s">
        <v>130</v>
      </c>
      <c r="BZ2232" s="0" t="s">
        <v>130</v>
      </c>
      <c r="CA2232" s="0" t="s">
        <v>130</v>
      </c>
      <c r="CB2232" s="0" t="s">
        <v>130</v>
      </c>
      <c r="CC2232" s="0" t="s">
        <v>130</v>
      </c>
      <c r="CD2232" s="0" t="s">
        <v>130</v>
      </c>
      <c r="CE2232" s="0" t="s">
        <v>130</v>
      </c>
      <c r="CF2232" s="0" t="s">
        <v>130</v>
      </c>
      <c r="CG2232" s="0" t="s">
        <v>130</v>
      </c>
      <c r="CH2232" s="0" t="s">
        <v>130</v>
      </c>
      <c r="CI2232" s="0" t="s">
        <v>130</v>
      </c>
      <c r="CJ2232" s="0" t="s">
        <v>130</v>
      </c>
      <c r="CK2232" s="0" t="s">
        <v>141</v>
      </c>
      <c r="CL2232" s="0" t="s">
        <v>130</v>
      </c>
      <c r="CM2232" s="0" t="s">
        <v>130</v>
      </c>
      <c r="CN2232" s="0" t="s">
        <v>130</v>
      </c>
      <c r="CO2232" s="0" t="s">
        <v>130</v>
      </c>
      <c r="CP2232" s="0" t="s">
        <v>130</v>
      </c>
      <c r="CQ2232" s="0" t="s">
        <v>130</v>
      </c>
      <c r="CR2232" s="0" t="s">
        <v>130</v>
      </c>
      <c r="CS2232" s="0" t="s">
        <v>130</v>
      </c>
      <c r="CT2232" s="0" t="s">
        <v>6192</v>
      </c>
    </row>
    <row r="2233">
      <c r="A2233" s="14">
        <v>961642</v>
      </c>
      <c r="B2233" s="0" t="s">
        <v>3509</v>
      </c>
      <c r="C2233" s="16">
        <f>HYPERLINK("https://eosportal.federatedhermes.com/companies/Q29tcGFueQppNjc3NTI=", "Zurich Insurance Group AG")</f>
      </c>
      <c r="D2233" s="0" t="s">
        <v>23</v>
      </c>
      <c r="E2233" s="0" t="s">
        <v>912</v>
      </c>
      <c r="F2233" s="16">
        <f>HYPERLINK("https://eosportal.federatedhermes.com/engagements/RW5nYWdlbWVudAppMzI5NDI=", "Executive remuneration")</f>
      </c>
      <c r="G2233" s="14" t="s">
        <v>6193</v>
      </c>
      <c r="H2233" s="0" t="s">
        <v>141</v>
      </c>
      <c r="I2233" s="14" t="s">
        <v>131</v>
      </c>
      <c r="J2233" s="0" t="s">
        <v>145</v>
      </c>
      <c r="K2233" s="0" t="s">
        <v>146</v>
      </c>
      <c r="L2233" s="0" t="s">
        <v>147</v>
      </c>
      <c r="M2233" s="0" t="s">
        <v>378</v>
      </c>
      <c r="N2233" s="0" t="s">
        <v>1059</v>
      </c>
      <c r="O2233" s="0" t="s">
        <v>238</v>
      </c>
      <c r="Q2233" s="0" t="s">
        <v>141</v>
      </c>
      <c r="R2233" s="0" t="s">
        <v>130</v>
      </c>
      <c r="S2233" s="14">
        <v>2</v>
      </c>
      <c r="T2233" s="0" t="s">
        <v>222</v>
      </c>
      <c r="U2233" s="0" t="s">
        <v>221</v>
      </c>
      <c r="V2233" s="14" t="s">
        <v>222</v>
      </c>
      <c r="W2233" s="0" t="s">
        <v>221</v>
      </c>
      <c r="X2233" s="14" t="s">
        <v>222</v>
      </c>
      <c r="Y2233" s="0" t="s">
        <v>221</v>
      </c>
      <c r="Z2233" s="14" t="s">
        <v>2842</v>
      </c>
      <c r="AA2233" s="0" t="s">
        <v>223</v>
      </c>
      <c r="AB2233" s="14" t="s">
        <v>138</v>
      </c>
      <c r="AD2233" s="0" t="s">
        <v>20</v>
      </c>
      <c r="AF2233" s="0">
        <v>0</v>
      </c>
      <c r="AG2233" s="0">
        <v>0</v>
      </c>
      <c r="AH2233" s="0" t="s">
        <v>140</v>
      </c>
      <c r="AI2233" s="0" t="s">
        <v>598</v>
      </c>
      <c r="AK2233" s="0" t="s">
        <v>344</v>
      </c>
      <c r="AL2233" s="14"/>
      <c r="AN2233" s="14"/>
      <c r="AQ2233" s="0" t="s">
        <v>130</v>
      </c>
      <c r="AR2233" s="0" t="s">
        <v>130</v>
      </c>
      <c r="AS2233" s="0" t="s">
        <v>130</v>
      </c>
      <c r="AT2233" s="0" t="s">
        <v>130</v>
      </c>
      <c r="AU2233" s="0" t="s">
        <v>130</v>
      </c>
      <c r="AV2233" s="0" t="s">
        <v>130</v>
      </c>
      <c r="AW2233" s="0" t="s">
        <v>130</v>
      </c>
      <c r="AX2233" s="0" t="s">
        <v>130</v>
      </c>
      <c r="AY2233" s="0" t="s">
        <v>130</v>
      </c>
      <c r="AZ2233" s="0" t="s">
        <v>130</v>
      </c>
      <c r="BA2233" s="0" t="s">
        <v>130</v>
      </c>
      <c r="BB2233" s="0" t="s">
        <v>130</v>
      </c>
      <c r="BC2233" s="0" t="s">
        <v>130</v>
      </c>
      <c r="BD2233" s="0" t="s">
        <v>130</v>
      </c>
      <c r="BE2233" s="0" t="s">
        <v>130</v>
      </c>
      <c r="BF2233" s="0" t="s">
        <v>130</v>
      </c>
      <c r="BG2233" s="0" t="s">
        <v>130</v>
      </c>
      <c r="BH2233" s="0" t="s">
        <v>130</v>
      </c>
      <c r="BI2233" s="0" t="s">
        <v>130</v>
      </c>
      <c r="BJ2233" s="0" t="s">
        <v>130</v>
      </c>
      <c r="BK2233" s="0" t="s">
        <v>130</v>
      </c>
      <c r="BL2233" s="0" t="s">
        <v>130</v>
      </c>
      <c r="BM2233" s="0" t="s">
        <v>130</v>
      </c>
      <c r="BN2233" s="0" t="s">
        <v>130</v>
      </c>
      <c r="BO2233" s="0" t="s">
        <v>130</v>
      </c>
      <c r="BP2233" s="0" t="s">
        <v>130</v>
      </c>
      <c r="BQ2233" s="0" t="s">
        <v>130</v>
      </c>
      <c r="BR2233" s="0" t="s">
        <v>130</v>
      </c>
      <c r="BS2233" s="0" t="s">
        <v>130</v>
      </c>
      <c r="BT2233" s="0" t="s">
        <v>130</v>
      </c>
      <c r="BU2233" s="0" t="s">
        <v>130</v>
      </c>
      <c r="BV2233" s="0" t="s">
        <v>130</v>
      </c>
      <c r="BW2233" s="0" t="s">
        <v>130</v>
      </c>
      <c r="BX2233" s="0" t="s">
        <v>130</v>
      </c>
      <c r="BY2233" s="0" t="s">
        <v>130</v>
      </c>
      <c r="BZ2233" s="0" t="s">
        <v>130</v>
      </c>
      <c r="CA2233" s="0" t="s">
        <v>130</v>
      </c>
      <c r="CB2233" s="0" t="s">
        <v>130</v>
      </c>
      <c r="CC2233" s="0" t="s">
        <v>130</v>
      </c>
      <c r="CD2233" s="0" t="s">
        <v>130</v>
      </c>
      <c r="CE2233" s="0" t="s">
        <v>130</v>
      </c>
      <c r="CF2233" s="0" t="s">
        <v>130</v>
      </c>
      <c r="CG2233" s="0" t="s">
        <v>130</v>
      </c>
      <c r="CH2233" s="0" t="s">
        <v>130</v>
      </c>
      <c r="CI2233" s="0" t="s">
        <v>130</v>
      </c>
      <c r="CJ2233" s="0" t="s">
        <v>130</v>
      </c>
      <c r="CK2233" s="0" t="s">
        <v>130</v>
      </c>
      <c r="CL2233" s="0" t="s">
        <v>130</v>
      </c>
      <c r="CM2233" s="0" t="s">
        <v>130</v>
      </c>
      <c r="CN2233" s="0" t="s">
        <v>130</v>
      </c>
      <c r="CO2233" s="0" t="s">
        <v>130</v>
      </c>
      <c r="CP2233" s="0" t="s">
        <v>130</v>
      </c>
      <c r="CQ2233" s="0" t="s">
        <v>130</v>
      </c>
      <c r="CR2233" s="0" t="s">
        <v>130</v>
      </c>
      <c r="CS2233" s="0" t="s">
        <v>130</v>
      </c>
      <c r="CT2233" s="0" t="s">
        <v>6194</v>
      </c>
    </row>
    <row r="2234">
      <c r="A2234" s="14">
        <v>1475463</v>
      </c>
      <c r="B2234" s="0" t="s">
        <v>3694</v>
      </c>
      <c r="C2234" s="16">
        <f>HYPERLINK("https://eosportal.federatedhermes.com/companies/Q29tcGFueQppODU4OTA=", "Experian PLC")</f>
      </c>
      <c r="D2234" s="0" t="s">
        <v>25</v>
      </c>
      <c r="E2234" s="0" t="s">
        <v>6195</v>
      </c>
      <c r="F2234" s="16">
        <f>HYPERLINK("https://eosportal.federatedhermes.com/engagements/RW5nYWdlbWVudAppMzI5NDQ=", "Ethics and whistleblowing")</f>
      </c>
      <c r="G2234" s="14" t="s">
        <v>6196</v>
      </c>
      <c r="H2234" s="0" t="s">
        <v>130</v>
      </c>
      <c r="I2234" s="14" t="s">
        <v>319</v>
      </c>
      <c r="J2234" s="0" t="s">
        <v>153</v>
      </c>
      <c r="K2234" s="0" t="s">
        <v>185</v>
      </c>
      <c r="L2234" s="0" t="s">
        <v>186</v>
      </c>
      <c r="M2234" s="0" t="s">
        <v>378</v>
      </c>
      <c r="N2234" s="0" t="s">
        <v>409</v>
      </c>
      <c r="O2234" s="0" t="s">
        <v>176</v>
      </c>
      <c r="Q2234" s="0" t="s">
        <v>130</v>
      </c>
      <c r="R2234" s="0" t="s">
        <v>138</v>
      </c>
      <c r="S2234" s="14">
        <v>0</v>
      </c>
      <c r="T2234" s="0" t="s">
        <v>222</v>
      </c>
      <c r="U2234" s="0" t="s">
        <v>138</v>
      </c>
      <c r="V2234" s="14" t="s">
        <v>138</v>
      </c>
      <c r="W2234" s="0" t="s">
        <v>138</v>
      </c>
      <c r="X2234" s="14" t="s">
        <v>138</v>
      </c>
      <c r="Y2234" s="0" t="s">
        <v>138</v>
      </c>
      <c r="Z2234" s="14" t="s">
        <v>138</v>
      </c>
      <c r="AA2234" s="0" t="s">
        <v>138</v>
      </c>
      <c r="AB2234" s="14" t="s">
        <v>138</v>
      </c>
      <c r="AD2234" s="0" t="s">
        <v>138</v>
      </c>
      <c r="AF2234" s="0">
        <v>0</v>
      </c>
      <c r="AG2234" s="0">
        <v>0</v>
      </c>
      <c r="AH2234" s="0" t="s">
        <v>140</v>
      </c>
      <c r="AI2234" s="0" t="s">
        <v>138</v>
      </c>
      <c r="AL2234" s="14"/>
      <c r="AN2234" s="14"/>
      <c r="AQ2234" s="0" t="s">
        <v>130</v>
      </c>
      <c r="AR2234" s="0" t="s">
        <v>130</v>
      </c>
      <c r="AS2234" s="0" t="s">
        <v>130</v>
      </c>
      <c r="AT2234" s="0" t="s">
        <v>130</v>
      </c>
      <c r="AU2234" s="0" t="s">
        <v>130</v>
      </c>
      <c r="AV2234" s="0" t="s">
        <v>130</v>
      </c>
      <c r="AW2234" s="0" t="s">
        <v>130</v>
      </c>
      <c r="AX2234" s="0" t="s">
        <v>130</v>
      </c>
      <c r="AY2234" s="0" t="s">
        <v>130</v>
      </c>
      <c r="AZ2234" s="0" t="s">
        <v>130</v>
      </c>
      <c r="BA2234" s="0" t="s">
        <v>130</v>
      </c>
      <c r="BB2234" s="0" t="s">
        <v>130</v>
      </c>
      <c r="BC2234" s="0" t="s">
        <v>130</v>
      </c>
      <c r="BD2234" s="0" t="s">
        <v>130</v>
      </c>
      <c r="BE2234" s="0" t="s">
        <v>130</v>
      </c>
      <c r="BF2234" s="0" t="s">
        <v>130</v>
      </c>
      <c r="BG2234" s="0" t="s">
        <v>130</v>
      </c>
      <c r="BH2234" s="0" t="s">
        <v>130</v>
      </c>
      <c r="BI2234" s="0" t="s">
        <v>130</v>
      </c>
      <c r="BJ2234" s="0" t="s">
        <v>130</v>
      </c>
      <c r="BK2234" s="0" t="s">
        <v>130</v>
      </c>
      <c r="BL2234" s="0" t="s">
        <v>130</v>
      </c>
      <c r="BM2234" s="0" t="s">
        <v>130</v>
      </c>
      <c r="BN2234" s="0" t="s">
        <v>130</v>
      </c>
      <c r="BO2234" s="0" t="s">
        <v>130</v>
      </c>
      <c r="BP2234" s="0" t="s">
        <v>130</v>
      </c>
      <c r="BQ2234" s="0" t="s">
        <v>130</v>
      </c>
      <c r="BR2234" s="0" t="s">
        <v>130</v>
      </c>
      <c r="BS2234" s="0" t="s">
        <v>130</v>
      </c>
      <c r="BT2234" s="0" t="s">
        <v>130</v>
      </c>
      <c r="BU2234" s="0" t="s">
        <v>130</v>
      </c>
      <c r="BV2234" s="0" t="s">
        <v>130</v>
      </c>
      <c r="BW2234" s="0" t="s">
        <v>130</v>
      </c>
      <c r="BX2234" s="0" t="s">
        <v>130</v>
      </c>
      <c r="BY2234" s="0" t="s">
        <v>130</v>
      </c>
      <c r="BZ2234" s="0" t="s">
        <v>130</v>
      </c>
      <c r="CA2234" s="0" t="s">
        <v>130</v>
      </c>
      <c r="CB2234" s="0" t="s">
        <v>130</v>
      </c>
      <c r="CC2234" s="0" t="s">
        <v>130</v>
      </c>
      <c r="CD2234" s="0" t="s">
        <v>130</v>
      </c>
      <c r="CE2234" s="0" t="s">
        <v>130</v>
      </c>
      <c r="CF2234" s="0" t="s">
        <v>130</v>
      </c>
      <c r="CG2234" s="0" t="s">
        <v>130</v>
      </c>
      <c r="CH2234" s="0" t="s">
        <v>130</v>
      </c>
      <c r="CI2234" s="0" t="s">
        <v>130</v>
      </c>
      <c r="CJ2234" s="0" t="s">
        <v>130</v>
      </c>
      <c r="CK2234" s="0" t="s">
        <v>130</v>
      </c>
      <c r="CL2234" s="0" t="s">
        <v>130</v>
      </c>
      <c r="CM2234" s="0" t="s">
        <v>130</v>
      </c>
      <c r="CN2234" s="0" t="s">
        <v>130</v>
      </c>
      <c r="CO2234" s="0" t="s">
        <v>130</v>
      </c>
      <c r="CP2234" s="0" t="s">
        <v>130</v>
      </c>
      <c r="CQ2234" s="0" t="s">
        <v>130</v>
      </c>
      <c r="CR2234" s="0" t="s">
        <v>130</v>
      </c>
      <c r="CS2234" s="0" t="s">
        <v>130</v>
      </c>
      <c r="CT2234" s="0" t="s">
        <v>6197</v>
      </c>
    </row>
    <row r="2235">
      <c r="A2235" s="14">
        <v>1475463</v>
      </c>
      <c r="B2235" s="0" t="s">
        <v>3694</v>
      </c>
      <c r="C2235" s="16">
        <f>HYPERLINK("https://eosportal.federatedhermes.com/companies/Q29tcGFueQppODU4OTA=", "Experian PLC")</f>
      </c>
      <c r="D2235" s="0" t="s">
        <v>25</v>
      </c>
      <c r="E2235" s="0" t="s">
        <v>5050</v>
      </c>
      <c r="F2235" s="16">
        <f>HYPERLINK("https://eosportal.federatedhermes.com/engagements/RW5nYWdlbWVudAppMzI5NDU=", "Net zero commitment")</f>
      </c>
      <c r="G2235" s="14" t="s">
        <v>6198</v>
      </c>
      <c r="H2235" s="0" t="s">
        <v>130</v>
      </c>
      <c r="I2235" s="14" t="s">
        <v>319</v>
      </c>
      <c r="J2235" s="0" t="s">
        <v>197</v>
      </c>
      <c r="K2235" s="0" t="s">
        <v>198</v>
      </c>
      <c r="L2235" s="0" t="s">
        <v>216</v>
      </c>
      <c r="M2235" s="0" t="s">
        <v>378</v>
      </c>
      <c r="N2235" s="0" t="s">
        <v>409</v>
      </c>
      <c r="O2235" s="0" t="s">
        <v>176</v>
      </c>
      <c r="Q2235" s="0" t="s">
        <v>130</v>
      </c>
      <c r="R2235" s="0" t="s">
        <v>138</v>
      </c>
      <c r="S2235" s="14">
        <v>0</v>
      </c>
      <c r="T2235" s="0" t="s">
        <v>222</v>
      </c>
      <c r="U2235" s="0" t="s">
        <v>138</v>
      </c>
      <c r="V2235" s="14" t="s">
        <v>138</v>
      </c>
      <c r="W2235" s="0" t="s">
        <v>138</v>
      </c>
      <c r="X2235" s="14" t="s">
        <v>138</v>
      </c>
      <c r="Y2235" s="0" t="s">
        <v>138</v>
      </c>
      <c r="Z2235" s="14" t="s">
        <v>138</v>
      </c>
      <c r="AA2235" s="0" t="s">
        <v>138</v>
      </c>
      <c r="AB2235" s="14" t="s">
        <v>138</v>
      </c>
      <c r="AD2235" s="0" t="s">
        <v>138</v>
      </c>
      <c r="AF2235" s="0">
        <v>0</v>
      </c>
      <c r="AG2235" s="0">
        <v>0</v>
      </c>
      <c r="AH2235" s="0" t="s">
        <v>140</v>
      </c>
      <c r="AI2235" s="0" t="s">
        <v>138</v>
      </c>
      <c r="AL2235" s="14"/>
      <c r="AN2235" s="14"/>
      <c r="AQ2235" s="0" t="s">
        <v>130</v>
      </c>
      <c r="AR2235" s="0" t="s">
        <v>130</v>
      </c>
      <c r="AS2235" s="0" t="s">
        <v>130</v>
      </c>
      <c r="AT2235" s="0" t="s">
        <v>130</v>
      </c>
      <c r="AU2235" s="0" t="s">
        <v>130</v>
      </c>
      <c r="AV2235" s="0" t="s">
        <v>130</v>
      </c>
      <c r="AW2235" s="0" t="s">
        <v>141</v>
      </c>
      <c r="AX2235" s="0" t="s">
        <v>130</v>
      </c>
      <c r="AY2235" s="0" t="s">
        <v>130</v>
      </c>
      <c r="AZ2235" s="0" t="s">
        <v>130</v>
      </c>
      <c r="BA2235" s="0" t="s">
        <v>130</v>
      </c>
      <c r="BB2235" s="0" t="s">
        <v>130</v>
      </c>
      <c r="BC2235" s="0" t="s">
        <v>141</v>
      </c>
      <c r="BD2235" s="0" t="s">
        <v>130</v>
      </c>
      <c r="BE2235" s="0" t="s">
        <v>130</v>
      </c>
      <c r="BF2235" s="0" t="s">
        <v>130</v>
      </c>
      <c r="BG2235" s="0" t="s">
        <v>130</v>
      </c>
      <c r="BH2235" s="0" t="s">
        <v>141</v>
      </c>
      <c r="BI2235" s="0" t="s">
        <v>141</v>
      </c>
      <c r="BJ2235" s="0" t="s">
        <v>141</v>
      </c>
      <c r="BK2235" s="0" t="s">
        <v>130</v>
      </c>
      <c r="BL2235" s="0" t="s">
        <v>130</v>
      </c>
      <c r="BM2235" s="0" t="s">
        <v>130</v>
      </c>
      <c r="BN2235" s="0" t="s">
        <v>130</v>
      </c>
      <c r="BO2235" s="0" t="s">
        <v>130</v>
      </c>
      <c r="BP2235" s="0" t="s">
        <v>130</v>
      </c>
      <c r="BQ2235" s="0" t="s">
        <v>130</v>
      </c>
      <c r="BR2235" s="0" t="s">
        <v>130</v>
      </c>
      <c r="BS2235" s="0" t="s">
        <v>130</v>
      </c>
      <c r="BT2235" s="0" t="s">
        <v>130</v>
      </c>
      <c r="BU2235" s="0" t="s">
        <v>130</v>
      </c>
      <c r="BV2235" s="0" t="s">
        <v>141</v>
      </c>
      <c r="BW2235" s="0" t="s">
        <v>141</v>
      </c>
      <c r="BX2235" s="0" t="s">
        <v>130</v>
      </c>
      <c r="BY2235" s="0" t="s">
        <v>130</v>
      </c>
      <c r="BZ2235" s="0" t="s">
        <v>130</v>
      </c>
      <c r="CA2235" s="0" t="s">
        <v>130</v>
      </c>
      <c r="CB2235" s="0" t="s">
        <v>130</v>
      </c>
      <c r="CC2235" s="0" t="s">
        <v>130</v>
      </c>
      <c r="CD2235" s="0" t="s">
        <v>130</v>
      </c>
      <c r="CE2235" s="0" t="s">
        <v>130</v>
      </c>
      <c r="CF2235" s="0" t="s">
        <v>130</v>
      </c>
      <c r="CG2235" s="0" t="s">
        <v>130</v>
      </c>
      <c r="CH2235" s="0" t="s">
        <v>130</v>
      </c>
      <c r="CI2235" s="0" t="s">
        <v>130</v>
      </c>
      <c r="CJ2235" s="0" t="s">
        <v>130</v>
      </c>
      <c r="CK2235" s="0" t="s">
        <v>130</v>
      </c>
      <c r="CL2235" s="0" t="s">
        <v>130</v>
      </c>
      <c r="CM2235" s="0" t="s">
        <v>130</v>
      </c>
      <c r="CN2235" s="0" t="s">
        <v>130</v>
      </c>
      <c r="CO2235" s="0" t="s">
        <v>130</v>
      </c>
      <c r="CP2235" s="0" t="s">
        <v>130</v>
      </c>
      <c r="CQ2235" s="0" t="s">
        <v>130</v>
      </c>
      <c r="CR2235" s="0" t="s">
        <v>130</v>
      </c>
      <c r="CS2235" s="0" t="s">
        <v>130</v>
      </c>
      <c r="CT2235" s="0" t="s">
        <v>6199</v>
      </c>
    </row>
    <row r="2236">
      <c r="A2236" s="14">
        <v>32348903</v>
      </c>
      <c r="B2236" s="0" t="s">
        <v>4458</v>
      </c>
      <c r="C2236" s="16">
        <f>HYPERLINK("https://eosportal.federatedhermes.com/companies/Q29tcGFueQppNTg5Njk=", "Zoetis Inc")</f>
      </c>
      <c r="D2236" s="0" t="s">
        <v>25</v>
      </c>
      <c r="E2236" s="0" t="s">
        <v>6200</v>
      </c>
      <c r="F2236" s="16">
        <f>HYPERLINK("https://eosportal.federatedhermes.com/engagements/RW5nYWdlbWVudAppMzI5NTg=", "Delivery of climate strategy")</f>
      </c>
      <c r="G2236" s="14" t="s">
        <v>6201</v>
      </c>
      <c r="H2236" s="0" t="s">
        <v>141</v>
      </c>
      <c r="I2236" s="14" t="s">
        <v>636</v>
      </c>
      <c r="J2236" s="0" t="s">
        <v>197</v>
      </c>
      <c r="K2236" s="0" t="s">
        <v>198</v>
      </c>
      <c r="L2236" s="0" t="s">
        <v>216</v>
      </c>
      <c r="M2236" s="0" t="s">
        <v>135</v>
      </c>
      <c r="N2236" s="0" t="s">
        <v>136</v>
      </c>
      <c r="O2236" s="0" t="s">
        <v>274</v>
      </c>
      <c r="Q2236" s="0" t="s">
        <v>130</v>
      </c>
      <c r="R2236" s="0" t="s">
        <v>138</v>
      </c>
      <c r="S2236" s="14">
        <v>0</v>
      </c>
      <c r="T2236" s="0" t="s">
        <v>222</v>
      </c>
      <c r="U2236" s="0" t="s">
        <v>138</v>
      </c>
      <c r="V2236" s="14" t="s">
        <v>138</v>
      </c>
      <c r="W2236" s="0" t="s">
        <v>138</v>
      </c>
      <c r="X2236" s="14" t="s">
        <v>138</v>
      </c>
      <c r="Y2236" s="0" t="s">
        <v>138</v>
      </c>
      <c r="Z2236" s="14" t="s">
        <v>138</v>
      </c>
      <c r="AA2236" s="0" t="s">
        <v>138</v>
      </c>
      <c r="AB2236" s="14" t="s">
        <v>138</v>
      </c>
      <c r="AD2236" s="0" t="s">
        <v>138</v>
      </c>
      <c r="AF2236" s="0">
        <v>0</v>
      </c>
      <c r="AG2236" s="0">
        <v>0</v>
      </c>
      <c r="AH2236" s="0" t="s">
        <v>140</v>
      </c>
      <c r="AI2236" s="0" t="s">
        <v>138</v>
      </c>
      <c r="AL2236" s="14"/>
      <c r="AN2236" s="14"/>
      <c r="AQ2236" s="0" t="s">
        <v>130</v>
      </c>
      <c r="AR2236" s="0" t="s">
        <v>130</v>
      </c>
      <c r="AS2236" s="0" t="s">
        <v>130</v>
      </c>
      <c r="AT2236" s="0" t="s">
        <v>130</v>
      </c>
      <c r="AU2236" s="0" t="s">
        <v>130</v>
      </c>
      <c r="AV2236" s="0" t="s">
        <v>130</v>
      </c>
      <c r="AW2236" s="0" t="s">
        <v>141</v>
      </c>
      <c r="AX2236" s="0" t="s">
        <v>130</v>
      </c>
      <c r="AY2236" s="0" t="s">
        <v>130</v>
      </c>
      <c r="AZ2236" s="0" t="s">
        <v>130</v>
      </c>
      <c r="BA2236" s="0" t="s">
        <v>130</v>
      </c>
      <c r="BB2236" s="0" t="s">
        <v>130</v>
      </c>
      <c r="BC2236" s="0" t="s">
        <v>141</v>
      </c>
      <c r="BD2236" s="0" t="s">
        <v>130</v>
      </c>
      <c r="BE2236" s="0" t="s">
        <v>130</v>
      </c>
      <c r="BF2236" s="0" t="s">
        <v>130</v>
      </c>
      <c r="BG2236" s="0" t="s">
        <v>130</v>
      </c>
      <c r="BH2236" s="0" t="s">
        <v>141</v>
      </c>
      <c r="BI2236" s="0" t="s">
        <v>141</v>
      </c>
      <c r="BJ2236" s="0" t="s">
        <v>141</v>
      </c>
      <c r="BK2236" s="0" t="s">
        <v>130</v>
      </c>
      <c r="BL2236" s="0" t="s">
        <v>130</v>
      </c>
      <c r="BM2236" s="0" t="s">
        <v>130</v>
      </c>
      <c r="BN2236" s="0" t="s">
        <v>130</v>
      </c>
      <c r="BO2236" s="0" t="s">
        <v>130</v>
      </c>
      <c r="BP2236" s="0" t="s">
        <v>130</v>
      </c>
      <c r="BQ2236" s="0" t="s">
        <v>130</v>
      </c>
      <c r="BR2236" s="0" t="s">
        <v>130</v>
      </c>
      <c r="BS2236" s="0" t="s">
        <v>130</v>
      </c>
      <c r="BT2236" s="0" t="s">
        <v>130</v>
      </c>
      <c r="BU2236" s="0" t="s">
        <v>130</v>
      </c>
      <c r="BV2236" s="0" t="s">
        <v>141</v>
      </c>
      <c r="BW2236" s="0" t="s">
        <v>141</v>
      </c>
      <c r="BX2236" s="0" t="s">
        <v>130</v>
      </c>
      <c r="BY2236" s="0" t="s">
        <v>130</v>
      </c>
      <c r="BZ2236" s="0" t="s">
        <v>130</v>
      </c>
      <c r="CA2236" s="0" t="s">
        <v>130</v>
      </c>
      <c r="CB2236" s="0" t="s">
        <v>130</v>
      </c>
      <c r="CC2236" s="0" t="s">
        <v>130</v>
      </c>
      <c r="CD2236" s="0" t="s">
        <v>130</v>
      </c>
      <c r="CE2236" s="0" t="s">
        <v>130</v>
      </c>
      <c r="CF2236" s="0" t="s">
        <v>130</v>
      </c>
      <c r="CG2236" s="0" t="s">
        <v>130</v>
      </c>
      <c r="CH2236" s="0" t="s">
        <v>130</v>
      </c>
      <c r="CI2236" s="0" t="s">
        <v>130</v>
      </c>
      <c r="CJ2236" s="0" t="s">
        <v>130</v>
      </c>
      <c r="CK2236" s="0" t="s">
        <v>130</v>
      </c>
      <c r="CL2236" s="0" t="s">
        <v>130</v>
      </c>
      <c r="CM2236" s="0" t="s">
        <v>130</v>
      </c>
      <c r="CN2236" s="0" t="s">
        <v>130</v>
      </c>
      <c r="CO2236" s="0" t="s">
        <v>130</v>
      </c>
      <c r="CP2236" s="0" t="s">
        <v>130</v>
      </c>
      <c r="CQ2236" s="0" t="s">
        <v>130</v>
      </c>
      <c r="CR2236" s="0" t="s">
        <v>130</v>
      </c>
      <c r="CS2236" s="0" t="s">
        <v>130</v>
      </c>
      <c r="CT2236" s="0" t="s">
        <v>6202</v>
      </c>
    </row>
    <row r="2237">
      <c r="A2237" s="14">
        <v>7791092</v>
      </c>
      <c r="B2237" s="0" t="s">
        <v>3851</v>
      </c>
      <c r="C2237" s="16">
        <f>HYPERLINK("https://eosportal.federatedhermes.com/companies/Q29tcGFueQppODMyNjU=", "BYD Co Ltd")</f>
      </c>
      <c r="D2237" s="0" t="s">
        <v>25</v>
      </c>
      <c r="E2237" s="0" t="s">
        <v>6203</v>
      </c>
      <c r="F2237" s="16">
        <f>HYPERLINK("https://eosportal.federatedhermes.com/engagements/RW5nYWdlbWVudAppMzI5NzQ=", "Accident rate")</f>
      </c>
      <c r="G2237" s="14" t="s">
        <v>6204</v>
      </c>
      <c r="H2237" s="0" t="s">
        <v>141</v>
      </c>
      <c r="I2237" s="14" t="s">
        <v>191</v>
      </c>
      <c r="J2237" s="0" t="s">
        <v>153</v>
      </c>
      <c r="K2237" s="0" t="s">
        <v>154</v>
      </c>
      <c r="L2237" s="0" t="s">
        <v>155</v>
      </c>
      <c r="M2237" s="0" t="s">
        <v>2807</v>
      </c>
      <c r="N2237" s="0" t="s">
        <v>3272</v>
      </c>
      <c r="O2237" s="0" t="s">
        <v>425</v>
      </c>
      <c r="Q2237" s="0" t="s">
        <v>130</v>
      </c>
      <c r="R2237" s="0" t="s">
        <v>138</v>
      </c>
      <c r="S2237" s="14">
        <v>0</v>
      </c>
      <c r="T2237" s="0" t="s">
        <v>222</v>
      </c>
      <c r="U2237" s="0" t="s">
        <v>138</v>
      </c>
      <c r="V2237" s="14" t="s">
        <v>138</v>
      </c>
      <c r="W2237" s="0" t="s">
        <v>138</v>
      </c>
      <c r="X2237" s="14" t="s">
        <v>138</v>
      </c>
      <c r="Y2237" s="0" t="s">
        <v>138</v>
      </c>
      <c r="Z2237" s="14" t="s">
        <v>138</v>
      </c>
      <c r="AA2237" s="0" t="s">
        <v>138</v>
      </c>
      <c r="AB2237" s="14" t="s">
        <v>138</v>
      </c>
      <c r="AD2237" s="0" t="s">
        <v>138</v>
      </c>
      <c r="AF2237" s="0">
        <v>0</v>
      </c>
      <c r="AG2237" s="0">
        <v>0</v>
      </c>
      <c r="AH2237" s="0" t="s">
        <v>140</v>
      </c>
      <c r="AI2237" s="0" t="s">
        <v>138</v>
      </c>
      <c r="AL2237" s="14"/>
      <c r="AN2237" s="14"/>
      <c r="AQ2237" s="0" t="s">
        <v>130</v>
      </c>
      <c r="AR2237" s="0" t="s">
        <v>130</v>
      </c>
      <c r="AS2237" s="0" t="s">
        <v>130</v>
      </c>
      <c r="AT2237" s="0" t="s">
        <v>130</v>
      </c>
      <c r="AU2237" s="0" t="s">
        <v>130</v>
      </c>
      <c r="AV2237" s="0" t="s">
        <v>130</v>
      </c>
      <c r="AW2237" s="0" t="s">
        <v>130</v>
      </c>
      <c r="AX2237" s="0" t="s">
        <v>141</v>
      </c>
      <c r="AY2237" s="0" t="s">
        <v>130</v>
      </c>
      <c r="AZ2237" s="0" t="s">
        <v>130</v>
      </c>
      <c r="BA2237" s="0" t="s">
        <v>130</v>
      </c>
      <c r="BB2237" s="0" t="s">
        <v>130</v>
      </c>
      <c r="BC2237" s="0" t="s">
        <v>130</v>
      </c>
      <c r="BD2237" s="0" t="s">
        <v>130</v>
      </c>
      <c r="BE2237" s="0" t="s">
        <v>130</v>
      </c>
      <c r="BF2237" s="0" t="s">
        <v>130</v>
      </c>
      <c r="BG2237" s="0" t="s">
        <v>130</v>
      </c>
      <c r="BH2237" s="0" t="s">
        <v>130</v>
      </c>
      <c r="BI2237" s="0" t="s">
        <v>130</v>
      </c>
      <c r="BJ2237" s="0" t="s">
        <v>130</v>
      </c>
      <c r="BK2237" s="0" t="s">
        <v>130</v>
      </c>
      <c r="BL2237" s="0" t="s">
        <v>130</v>
      </c>
      <c r="BM2237" s="0" t="s">
        <v>130</v>
      </c>
      <c r="BN2237" s="0" t="s">
        <v>130</v>
      </c>
      <c r="BO2237" s="0" t="s">
        <v>130</v>
      </c>
      <c r="BP2237" s="0" t="s">
        <v>130</v>
      </c>
      <c r="BQ2237" s="0" t="s">
        <v>130</v>
      </c>
      <c r="BR2237" s="0" t="s">
        <v>130</v>
      </c>
      <c r="BS2237" s="0" t="s">
        <v>130</v>
      </c>
      <c r="BT2237" s="0" t="s">
        <v>130</v>
      </c>
      <c r="BU2237" s="0" t="s">
        <v>130</v>
      </c>
      <c r="BV2237" s="0" t="s">
        <v>130</v>
      </c>
      <c r="BW2237" s="0" t="s">
        <v>130</v>
      </c>
      <c r="BX2237" s="0" t="s">
        <v>130</v>
      </c>
      <c r="BY2237" s="0" t="s">
        <v>130</v>
      </c>
      <c r="BZ2237" s="0" t="s">
        <v>130</v>
      </c>
      <c r="CA2237" s="0" t="s">
        <v>130</v>
      </c>
      <c r="CB2237" s="0" t="s">
        <v>130</v>
      </c>
      <c r="CC2237" s="0" t="s">
        <v>130</v>
      </c>
      <c r="CD2237" s="0" t="s">
        <v>130</v>
      </c>
      <c r="CE2237" s="0" t="s">
        <v>130</v>
      </c>
      <c r="CF2237" s="0" t="s">
        <v>130</v>
      </c>
      <c r="CG2237" s="0" t="s">
        <v>130</v>
      </c>
      <c r="CH2237" s="0" t="s">
        <v>130</v>
      </c>
      <c r="CI2237" s="0" t="s">
        <v>141</v>
      </c>
      <c r="CJ2237" s="0" t="s">
        <v>130</v>
      </c>
      <c r="CK2237" s="0" t="s">
        <v>130</v>
      </c>
      <c r="CL2237" s="0" t="s">
        <v>130</v>
      </c>
      <c r="CM2237" s="0" t="s">
        <v>130</v>
      </c>
      <c r="CN2237" s="0" t="s">
        <v>130</v>
      </c>
      <c r="CO2237" s="0" t="s">
        <v>130</v>
      </c>
      <c r="CP2237" s="0" t="s">
        <v>130</v>
      </c>
      <c r="CQ2237" s="0" t="s">
        <v>130</v>
      </c>
      <c r="CR2237" s="0" t="s">
        <v>130</v>
      </c>
      <c r="CS2237" s="0" t="s">
        <v>130</v>
      </c>
      <c r="CT2237" s="0" t="s">
        <v>6205</v>
      </c>
    </row>
    <row r="2238">
      <c r="A2238" s="14">
        <v>61564243</v>
      </c>
      <c r="B2238" s="0" t="s">
        <v>4788</v>
      </c>
      <c r="C2238" s="16">
        <f>HYPERLINK("https://eosportal.federatedhermes.com/companies/Q29tcGFueQppNTIxNzk=", "Nordea Bank Abp")</f>
      </c>
      <c r="D2238" s="0" t="s">
        <v>23</v>
      </c>
      <c r="E2238" s="0" t="s">
        <v>6058</v>
      </c>
      <c r="F2238" s="16">
        <f>HYPERLINK("https://eosportal.federatedhermes.com/engagements/RW5nYWdlbWVudAppMzI5NzY=", "Client engagement on transition plans")</f>
      </c>
      <c r="G2238" s="14" t="s">
        <v>6206</v>
      </c>
      <c r="H2238" s="0" t="s">
        <v>141</v>
      </c>
      <c r="I2238" s="14" t="s">
        <v>131</v>
      </c>
      <c r="J2238" s="0" t="s">
        <v>197</v>
      </c>
      <c r="K2238" s="0" t="s">
        <v>198</v>
      </c>
      <c r="L2238" s="0" t="s">
        <v>216</v>
      </c>
      <c r="M2238" s="0" t="s">
        <v>378</v>
      </c>
      <c r="N2238" s="0" t="s">
        <v>3657</v>
      </c>
      <c r="O2238" s="0" t="s">
        <v>238</v>
      </c>
      <c r="Q2238" s="0" t="s">
        <v>130</v>
      </c>
      <c r="R2238" s="0" t="s">
        <v>130</v>
      </c>
      <c r="S2238" s="14">
        <v>0</v>
      </c>
      <c r="T2238" s="0" t="s">
        <v>222</v>
      </c>
      <c r="U2238" s="0" t="s">
        <v>221</v>
      </c>
      <c r="V2238" s="14" t="s">
        <v>222</v>
      </c>
      <c r="W2238" s="0" t="s">
        <v>221</v>
      </c>
      <c r="X2238" s="14" t="s">
        <v>360</v>
      </c>
      <c r="Y2238" s="0" t="s">
        <v>221</v>
      </c>
      <c r="Z2238" s="14" t="s">
        <v>446</v>
      </c>
      <c r="AA2238" s="0" t="s">
        <v>223</v>
      </c>
      <c r="AB2238" s="14" t="s">
        <v>138</v>
      </c>
      <c r="AD2238" s="0" t="s">
        <v>20</v>
      </c>
      <c r="AF2238" s="0">
        <v>0</v>
      </c>
      <c r="AG2238" s="0">
        <v>0</v>
      </c>
      <c r="AH2238" s="0" t="s">
        <v>140</v>
      </c>
      <c r="AI2238" s="0" t="s">
        <v>598</v>
      </c>
      <c r="AL2238" s="14"/>
      <c r="AN2238" s="14"/>
      <c r="AQ2238" s="0" t="s">
        <v>130</v>
      </c>
      <c r="AR2238" s="0" t="s">
        <v>130</v>
      </c>
      <c r="AS2238" s="0" t="s">
        <v>130</v>
      </c>
      <c r="AT2238" s="0" t="s">
        <v>130</v>
      </c>
      <c r="AU2238" s="0" t="s">
        <v>130</v>
      </c>
      <c r="AV2238" s="0" t="s">
        <v>130</v>
      </c>
      <c r="AW2238" s="0" t="s">
        <v>141</v>
      </c>
      <c r="AX2238" s="0" t="s">
        <v>130</v>
      </c>
      <c r="AY2238" s="0" t="s">
        <v>130</v>
      </c>
      <c r="AZ2238" s="0" t="s">
        <v>130</v>
      </c>
      <c r="BA2238" s="0" t="s">
        <v>130</v>
      </c>
      <c r="BB2238" s="0" t="s">
        <v>130</v>
      </c>
      <c r="BC2238" s="0" t="s">
        <v>141</v>
      </c>
      <c r="BD2238" s="0" t="s">
        <v>130</v>
      </c>
      <c r="BE2238" s="0" t="s">
        <v>130</v>
      </c>
      <c r="BF2238" s="0" t="s">
        <v>130</v>
      </c>
      <c r="BG2238" s="0" t="s">
        <v>130</v>
      </c>
      <c r="BH2238" s="0" t="s">
        <v>141</v>
      </c>
      <c r="BI2238" s="0" t="s">
        <v>141</v>
      </c>
      <c r="BJ2238" s="0" t="s">
        <v>141</v>
      </c>
      <c r="BK2238" s="0" t="s">
        <v>130</v>
      </c>
      <c r="BL2238" s="0" t="s">
        <v>130</v>
      </c>
      <c r="BM2238" s="0" t="s">
        <v>130</v>
      </c>
      <c r="BN2238" s="0" t="s">
        <v>130</v>
      </c>
      <c r="BO2238" s="0" t="s">
        <v>130</v>
      </c>
      <c r="BP2238" s="0" t="s">
        <v>130</v>
      </c>
      <c r="BQ2238" s="0" t="s">
        <v>130</v>
      </c>
      <c r="BR2238" s="0" t="s">
        <v>130</v>
      </c>
      <c r="BS2238" s="0" t="s">
        <v>130</v>
      </c>
      <c r="BT2238" s="0" t="s">
        <v>130</v>
      </c>
      <c r="BU2238" s="0" t="s">
        <v>130</v>
      </c>
      <c r="BV2238" s="0" t="s">
        <v>141</v>
      </c>
      <c r="BW2238" s="0" t="s">
        <v>141</v>
      </c>
      <c r="BX2238" s="0" t="s">
        <v>130</v>
      </c>
      <c r="BY2238" s="0" t="s">
        <v>130</v>
      </c>
      <c r="BZ2238" s="0" t="s">
        <v>130</v>
      </c>
      <c r="CA2238" s="0" t="s">
        <v>130</v>
      </c>
      <c r="CB2238" s="0" t="s">
        <v>130</v>
      </c>
      <c r="CC2238" s="0" t="s">
        <v>130</v>
      </c>
      <c r="CD2238" s="0" t="s">
        <v>130</v>
      </c>
      <c r="CE2238" s="0" t="s">
        <v>130</v>
      </c>
      <c r="CF2238" s="0" t="s">
        <v>130</v>
      </c>
      <c r="CG2238" s="0" t="s">
        <v>130</v>
      </c>
      <c r="CH2238" s="0" t="s">
        <v>130</v>
      </c>
      <c r="CI2238" s="0" t="s">
        <v>130</v>
      </c>
      <c r="CJ2238" s="0" t="s">
        <v>130</v>
      </c>
      <c r="CK2238" s="0" t="s">
        <v>130</v>
      </c>
      <c r="CL2238" s="0" t="s">
        <v>130</v>
      </c>
      <c r="CM2238" s="0" t="s">
        <v>130</v>
      </c>
      <c r="CN2238" s="0" t="s">
        <v>130</v>
      </c>
      <c r="CO2238" s="0" t="s">
        <v>130</v>
      </c>
      <c r="CP2238" s="0" t="s">
        <v>130</v>
      </c>
      <c r="CQ2238" s="0" t="s">
        <v>130</v>
      </c>
      <c r="CR2238" s="0" t="s">
        <v>130</v>
      </c>
      <c r="CS2238" s="0" t="s">
        <v>130</v>
      </c>
      <c r="CT2238" s="0" t="s">
        <v>6207</v>
      </c>
    </row>
    <row r="2239">
      <c r="A2239" s="14">
        <v>100602</v>
      </c>
      <c r="B2239" s="0" t="s">
        <v>827</v>
      </c>
      <c r="C2239" s="16">
        <f>HYPERLINK("https://eosportal.federatedhermes.com/companies/Q29tcGFueQppNTQxNzY=", "Ford Motor Co")</f>
      </c>
      <c r="D2239" s="0" t="s">
        <v>25</v>
      </c>
      <c r="E2239" s="0" t="s">
        <v>1922</v>
      </c>
      <c r="F2239" s="16">
        <f>HYPERLINK("https://eosportal.federatedhermes.com/engagements/RW5nYWdlbWVudAppMzI5ODQ=", "Tax")</f>
      </c>
      <c r="G2239" s="14" t="s">
        <v>6208</v>
      </c>
      <c r="H2239" s="0" t="s">
        <v>141</v>
      </c>
      <c r="I2239" s="14" t="s">
        <v>191</v>
      </c>
      <c r="J2239" s="0" t="s">
        <v>153</v>
      </c>
      <c r="K2239" s="0" t="s">
        <v>185</v>
      </c>
      <c r="L2239" s="0" t="s">
        <v>548</v>
      </c>
      <c r="M2239" s="0" t="s">
        <v>135</v>
      </c>
      <c r="N2239" s="0" t="s">
        <v>136</v>
      </c>
      <c r="O2239" s="0" t="s">
        <v>425</v>
      </c>
      <c r="Q2239" s="0" t="s">
        <v>130</v>
      </c>
      <c r="R2239" s="0" t="s">
        <v>138</v>
      </c>
      <c r="S2239" s="14">
        <v>0</v>
      </c>
      <c r="T2239" s="0" t="s">
        <v>222</v>
      </c>
      <c r="U2239" s="0" t="s">
        <v>138</v>
      </c>
      <c r="V2239" s="14" t="s">
        <v>138</v>
      </c>
      <c r="W2239" s="0" t="s">
        <v>138</v>
      </c>
      <c r="X2239" s="14" t="s">
        <v>138</v>
      </c>
      <c r="Y2239" s="0" t="s">
        <v>138</v>
      </c>
      <c r="Z2239" s="14" t="s">
        <v>138</v>
      </c>
      <c r="AA2239" s="0" t="s">
        <v>138</v>
      </c>
      <c r="AB2239" s="14" t="s">
        <v>138</v>
      </c>
      <c r="AD2239" s="0" t="s">
        <v>138</v>
      </c>
      <c r="AF2239" s="0">
        <v>0</v>
      </c>
      <c r="AG2239" s="0">
        <v>0</v>
      </c>
      <c r="AH2239" s="0" t="s">
        <v>140</v>
      </c>
      <c r="AI2239" s="0" t="s">
        <v>138</v>
      </c>
      <c r="AL2239" s="14"/>
      <c r="AN2239" s="14"/>
      <c r="AQ2239" s="0" t="s">
        <v>130</v>
      </c>
      <c r="AR2239" s="0" t="s">
        <v>130</v>
      </c>
      <c r="AS2239" s="0" t="s">
        <v>130</v>
      </c>
      <c r="AT2239" s="0" t="s">
        <v>130</v>
      </c>
      <c r="AU2239" s="0" t="s">
        <v>130</v>
      </c>
      <c r="AV2239" s="0" t="s">
        <v>130</v>
      </c>
      <c r="AW2239" s="0" t="s">
        <v>130</v>
      </c>
      <c r="AX2239" s="0" t="s">
        <v>130</v>
      </c>
      <c r="AY2239" s="0" t="s">
        <v>130</v>
      </c>
      <c r="AZ2239" s="0" t="s">
        <v>130</v>
      </c>
      <c r="BA2239" s="0" t="s">
        <v>130</v>
      </c>
      <c r="BB2239" s="0" t="s">
        <v>130</v>
      </c>
      <c r="BC2239" s="0" t="s">
        <v>130</v>
      </c>
      <c r="BD2239" s="0" t="s">
        <v>130</v>
      </c>
      <c r="BE2239" s="0" t="s">
        <v>130</v>
      </c>
      <c r="BF2239" s="0" t="s">
        <v>130</v>
      </c>
      <c r="BG2239" s="0" t="s">
        <v>141</v>
      </c>
      <c r="BH2239" s="0" t="s">
        <v>130</v>
      </c>
      <c r="BI2239" s="0" t="s">
        <v>130</v>
      </c>
      <c r="BJ2239" s="0" t="s">
        <v>130</v>
      </c>
      <c r="BK2239" s="0" t="s">
        <v>130</v>
      </c>
      <c r="BL2239" s="0" t="s">
        <v>130</v>
      </c>
      <c r="BM2239" s="0" t="s">
        <v>130</v>
      </c>
      <c r="BN2239" s="0" t="s">
        <v>130</v>
      </c>
      <c r="BO2239" s="0" t="s">
        <v>130</v>
      </c>
      <c r="BP2239" s="0" t="s">
        <v>130</v>
      </c>
      <c r="BQ2239" s="0" t="s">
        <v>130</v>
      </c>
      <c r="BR2239" s="0" t="s">
        <v>130</v>
      </c>
      <c r="BS2239" s="0" t="s">
        <v>130</v>
      </c>
      <c r="BT2239" s="0" t="s">
        <v>130</v>
      </c>
      <c r="BU2239" s="0" t="s">
        <v>130</v>
      </c>
      <c r="BV2239" s="0" t="s">
        <v>130</v>
      </c>
      <c r="BW2239" s="0" t="s">
        <v>130</v>
      </c>
      <c r="BX2239" s="0" t="s">
        <v>130</v>
      </c>
      <c r="BY2239" s="0" t="s">
        <v>130</v>
      </c>
      <c r="BZ2239" s="0" t="s">
        <v>130</v>
      </c>
      <c r="CA2239" s="0" t="s">
        <v>130</v>
      </c>
      <c r="CB2239" s="0" t="s">
        <v>130</v>
      </c>
      <c r="CC2239" s="0" t="s">
        <v>130</v>
      </c>
      <c r="CD2239" s="0" t="s">
        <v>130</v>
      </c>
      <c r="CE2239" s="0" t="s">
        <v>130</v>
      </c>
      <c r="CF2239" s="0" t="s">
        <v>130</v>
      </c>
      <c r="CG2239" s="0" t="s">
        <v>130</v>
      </c>
      <c r="CH2239" s="0" t="s">
        <v>130</v>
      </c>
      <c r="CI2239" s="0" t="s">
        <v>130</v>
      </c>
      <c r="CJ2239" s="0" t="s">
        <v>130</v>
      </c>
      <c r="CK2239" s="0" t="s">
        <v>130</v>
      </c>
      <c r="CL2239" s="0" t="s">
        <v>130</v>
      </c>
      <c r="CM2239" s="0" t="s">
        <v>130</v>
      </c>
      <c r="CN2239" s="0" t="s">
        <v>130</v>
      </c>
      <c r="CO2239" s="0" t="s">
        <v>130</v>
      </c>
      <c r="CP2239" s="0" t="s">
        <v>130</v>
      </c>
      <c r="CQ2239" s="0" t="s">
        <v>130</v>
      </c>
      <c r="CR2239" s="0" t="s">
        <v>130</v>
      </c>
      <c r="CS2239" s="0" t="s">
        <v>130</v>
      </c>
      <c r="CT2239" s="0" t="s">
        <v>6209</v>
      </c>
    </row>
    <row r="2240">
      <c r="A2240" s="14">
        <v>16632863</v>
      </c>
      <c r="B2240" s="0" t="s">
        <v>4220</v>
      </c>
      <c r="C2240" s="16">
        <f>HYPERLINK("https://eosportal.federatedhermes.com/companies/Q29tcGFueQppNDQ5NjA=", "General Motors Co")</f>
      </c>
      <c r="D2240" s="0" t="s">
        <v>25</v>
      </c>
      <c r="E2240" s="0" t="s">
        <v>1922</v>
      </c>
      <c r="F2240" s="16">
        <f>HYPERLINK("https://eosportal.federatedhermes.com/engagements/RW5nYWdlbWVudAppMzI5ODU=", "Tax")</f>
      </c>
      <c r="G2240" s="14" t="s">
        <v>6208</v>
      </c>
      <c r="H2240" s="0" t="s">
        <v>141</v>
      </c>
      <c r="I2240" s="14" t="s">
        <v>191</v>
      </c>
      <c r="J2240" s="0" t="s">
        <v>153</v>
      </c>
      <c r="K2240" s="0" t="s">
        <v>185</v>
      </c>
      <c r="L2240" s="0" t="s">
        <v>548</v>
      </c>
      <c r="M2240" s="0" t="s">
        <v>135</v>
      </c>
      <c r="N2240" s="0" t="s">
        <v>136</v>
      </c>
      <c r="O2240" s="0" t="s">
        <v>425</v>
      </c>
      <c r="Q2240" s="0" t="s">
        <v>130</v>
      </c>
      <c r="R2240" s="0" t="s">
        <v>138</v>
      </c>
      <c r="S2240" s="14">
        <v>0</v>
      </c>
      <c r="T2240" s="0" t="s">
        <v>222</v>
      </c>
      <c r="U2240" s="0" t="s">
        <v>138</v>
      </c>
      <c r="V2240" s="14" t="s">
        <v>138</v>
      </c>
      <c r="W2240" s="0" t="s">
        <v>138</v>
      </c>
      <c r="X2240" s="14" t="s">
        <v>138</v>
      </c>
      <c r="Y2240" s="0" t="s">
        <v>138</v>
      </c>
      <c r="Z2240" s="14" t="s">
        <v>138</v>
      </c>
      <c r="AA2240" s="0" t="s">
        <v>138</v>
      </c>
      <c r="AB2240" s="14" t="s">
        <v>138</v>
      </c>
      <c r="AD2240" s="0" t="s">
        <v>138</v>
      </c>
      <c r="AF2240" s="0">
        <v>0</v>
      </c>
      <c r="AG2240" s="0">
        <v>0</v>
      </c>
      <c r="AH2240" s="0" t="s">
        <v>140</v>
      </c>
      <c r="AI2240" s="0" t="s">
        <v>138</v>
      </c>
      <c r="AL2240" s="14"/>
      <c r="AN2240" s="14"/>
      <c r="AQ2240" s="0" t="s">
        <v>130</v>
      </c>
      <c r="AR2240" s="0" t="s">
        <v>130</v>
      </c>
      <c r="AS2240" s="0" t="s">
        <v>130</v>
      </c>
      <c r="AT2240" s="0" t="s">
        <v>130</v>
      </c>
      <c r="AU2240" s="0" t="s">
        <v>130</v>
      </c>
      <c r="AV2240" s="0" t="s">
        <v>130</v>
      </c>
      <c r="AW2240" s="0" t="s">
        <v>130</v>
      </c>
      <c r="AX2240" s="0" t="s">
        <v>130</v>
      </c>
      <c r="AY2240" s="0" t="s">
        <v>130</v>
      </c>
      <c r="AZ2240" s="0" t="s">
        <v>130</v>
      </c>
      <c r="BA2240" s="0" t="s">
        <v>130</v>
      </c>
      <c r="BB2240" s="0" t="s">
        <v>130</v>
      </c>
      <c r="BC2240" s="0" t="s">
        <v>130</v>
      </c>
      <c r="BD2240" s="0" t="s">
        <v>130</v>
      </c>
      <c r="BE2240" s="0" t="s">
        <v>130</v>
      </c>
      <c r="BF2240" s="0" t="s">
        <v>130</v>
      </c>
      <c r="BG2240" s="0" t="s">
        <v>141</v>
      </c>
      <c r="BH2240" s="0" t="s">
        <v>130</v>
      </c>
      <c r="BI2240" s="0" t="s">
        <v>130</v>
      </c>
      <c r="BJ2240" s="0" t="s">
        <v>130</v>
      </c>
      <c r="BK2240" s="0" t="s">
        <v>130</v>
      </c>
      <c r="BL2240" s="0" t="s">
        <v>130</v>
      </c>
      <c r="BM2240" s="0" t="s">
        <v>130</v>
      </c>
      <c r="BN2240" s="0" t="s">
        <v>130</v>
      </c>
      <c r="BO2240" s="0" t="s">
        <v>130</v>
      </c>
      <c r="BP2240" s="0" t="s">
        <v>130</v>
      </c>
      <c r="BQ2240" s="0" t="s">
        <v>130</v>
      </c>
      <c r="BR2240" s="0" t="s">
        <v>130</v>
      </c>
      <c r="BS2240" s="0" t="s">
        <v>130</v>
      </c>
      <c r="BT2240" s="0" t="s">
        <v>130</v>
      </c>
      <c r="BU2240" s="0" t="s">
        <v>130</v>
      </c>
      <c r="BV2240" s="0" t="s">
        <v>130</v>
      </c>
      <c r="BW2240" s="0" t="s">
        <v>130</v>
      </c>
      <c r="BX2240" s="0" t="s">
        <v>130</v>
      </c>
      <c r="BY2240" s="0" t="s">
        <v>130</v>
      </c>
      <c r="BZ2240" s="0" t="s">
        <v>130</v>
      </c>
      <c r="CA2240" s="0" t="s">
        <v>130</v>
      </c>
      <c r="CB2240" s="0" t="s">
        <v>130</v>
      </c>
      <c r="CC2240" s="0" t="s">
        <v>130</v>
      </c>
      <c r="CD2240" s="0" t="s">
        <v>130</v>
      </c>
      <c r="CE2240" s="0" t="s">
        <v>130</v>
      </c>
      <c r="CF2240" s="0" t="s">
        <v>130</v>
      </c>
      <c r="CG2240" s="0" t="s">
        <v>130</v>
      </c>
      <c r="CH2240" s="0" t="s">
        <v>130</v>
      </c>
      <c r="CI2240" s="0" t="s">
        <v>130</v>
      </c>
      <c r="CJ2240" s="0" t="s">
        <v>130</v>
      </c>
      <c r="CK2240" s="0" t="s">
        <v>130</v>
      </c>
      <c r="CL2240" s="0" t="s">
        <v>130</v>
      </c>
      <c r="CM2240" s="0" t="s">
        <v>130</v>
      </c>
      <c r="CN2240" s="0" t="s">
        <v>130</v>
      </c>
      <c r="CO2240" s="0" t="s">
        <v>130</v>
      </c>
      <c r="CP2240" s="0" t="s">
        <v>130</v>
      </c>
      <c r="CQ2240" s="0" t="s">
        <v>130</v>
      </c>
      <c r="CR2240" s="0" t="s">
        <v>130</v>
      </c>
      <c r="CS2240" s="0" t="s">
        <v>130</v>
      </c>
      <c r="CT2240" s="0" t="s">
        <v>6210</v>
      </c>
    </row>
    <row r="2241">
      <c r="A2241" s="14">
        <v>37513441</v>
      </c>
      <c r="B2241" s="0" t="s">
        <v>5995</v>
      </c>
      <c r="C2241" s="16">
        <f>HYPERLINK("https://eosportal.federatedhermes.com/companies/Q29tcGFueQppNjUwMTI=", "DoorDash Inc")</f>
      </c>
      <c r="D2241" s="0" t="s">
        <v>23</v>
      </c>
      <c r="E2241" s="0" t="s">
        <v>6211</v>
      </c>
      <c r="F2241" s="16">
        <f>HYPERLINK("https://eosportal.federatedhermes.com/engagements/RW5nYWdlbWVudAppMzI5ODc=", "Introduce and disclose benefits")</f>
      </c>
      <c r="G2241" s="14" t="s">
        <v>6212</v>
      </c>
      <c r="H2241" s="0" t="s">
        <v>130</v>
      </c>
      <c r="I2241" s="14" t="s">
        <v>319</v>
      </c>
      <c r="J2241" s="0" t="s">
        <v>153</v>
      </c>
      <c r="K2241" s="0" t="s">
        <v>154</v>
      </c>
      <c r="L2241" s="0" t="s">
        <v>306</v>
      </c>
      <c r="M2241" s="0" t="s">
        <v>135</v>
      </c>
      <c r="N2241" s="0" t="s">
        <v>136</v>
      </c>
      <c r="O2241" s="0" t="s">
        <v>643</v>
      </c>
      <c r="Q2241" s="0" t="s">
        <v>141</v>
      </c>
      <c r="R2241" s="0" t="s">
        <v>130</v>
      </c>
      <c r="S2241" s="14">
        <v>1</v>
      </c>
      <c r="T2241" s="0" t="s">
        <v>222</v>
      </c>
      <c r="U2241" s="0" t="s">
        <v>221</v>
      </c>
      <c r="V2241" s="14" t="s">
        <v>222</v>
      </c>
      <c r="W2241" s="0" t="s">
        <v>221</v>
      </c>
      <c r="X2241" s="14" t="s">
        <v>4412</v>
      </c>
      <c r="Y2241" s="0" t="s">
        <v>223</v>
      </c>
      <c r="Z2241" s="14" t="s">
        <v>138</v>
      </c>
      <c r="AA2241" s="0" t="s">
        <v>224</v>
      </c>
      <c r="AB2241" s="14" t="s">
        <v>138</v>
      </c>
      <c r="AD2241" s="0" t="s">
        <v>17</v>
      </c>
      <c r="AF2241" s="0">
        <v>0</v>
      </c>
      <c r="AG2241" s="0">
        <v>0</v>
      </c>
      <c r="AH2241" s="0" t="s">
        <v>140</v>
      </c>
      <c r="AI2241" s="0" t="s">
        <v>598</v>
      </c>
      <c r="AK2241" s="0" t="s">
        <v>2263</v>
      </c>
      <c r="AL2241" s="14"/>
      <c r="AN2241" s="14"/>
      <c r="AQ2241" s="0" t="s">
        <v>130</v>
      </c>
      <c r="AR2241" s="0" t="s">
        <v>130</v>
      </c>
      <c r="AS2241" s="0" t="s">
        <v>130</v>
      </c>
      <c r="AT2241" s="0" t="s">
        <v>130</v>
      </c>
      <c r="AU2241" s="0" t="s">
        <v>130</v>
      </c>
      <c r="AV2241" s="0" t="s">
        <v>130</v>
      </c>
      <c r="AW2241" s="0" t="s">
        <v>130</v>
      </c>
      <c r="AX2241" s="0" t="s">
        <v>141</v>
      </c>
      <c r="AY2241" s="0" t="s">
        <v>130</v>
      </c>
      <c r="AZ2241" s="0" t="s">
        <v>141</v>
      </c>
      <c r="BA2241" s="0" t="s">
        <v>130</v>
      </c>
      <c r="BB2241" s="0" t="s">
        <v>130</v>
      </c>
      <c r="BC2241" s="0" t="s">
        <v>130</v>
      </c>
      <c r="BD2241" s="0" t="s">
        <v>130</v>
      </c>
      <c r="BE2241" s="0" t="s">
        <v>130</v>
      </c>
      <c r="BF2241" s="0" t="s">
        <v>130</v>
      </c>
      <c r="BG2241" s="0" t="s">
        <v>130</v>
      </c>
      <c r="BH2241" s="0" t="s">
        <v>130</v>
      </c>
      <c r="BI2241" s="0" t="s">
        <v>130</v>
      </c>
      <c r="BJ2241" s="0" t="s">
        <v>130</v>
      </c>
      <c r="BK2241" s="0" t="s">
        <v>130</v>
      </c>
      <c r="BL2241" s="0" t="s">
        <v>130</v>
      </c>
      <c r="BM2241" s="0" t="s">
        <v>130</v>
      </c>
      <c r="BN2241" s="0" t="s">
        <v>130</v>
      </c>
      <c r="BO2241" s="0" t="s">
        <v>130</v>
      </c>
      <c r="BP2241" s="0" t="s">
        <v>130</v>
      </c>
      <c r="BQ2241" s="0" t="s">
        <v>130</v>
      </c>
      <c r="BR2241" s="0" t="s">
        <v>130</v>
      </c>
      <c r="BS2241" s="0" t="s">
        <v>130</v>
      </c>
      <c r="BT2241" s="0" t="s">
        <v>130</v>
      </c>
      <c r="BU2241" s="0" t="s">
        <v>130</v>
      </c>
      <c r="BV2241" s="0" t="s">
        <v>130</v>
      </c>
      <c r="BW2241" s="0" t="s">
        <v>130</v>
      </c>
      <c r="BX2241" s="0" t="s">
        <v>130</v>
      </c>
      <c r="BY2241" s="0" t="s">
        <v>130</v>
      </c>
      <c r="BZ2241" s="0" t="s">
        <v>130</v>
      </c>
      <c r="CA2241" s="0" t="s">
        <v>130</v>
      </c>
      <c r="CB2241" s="0" t="s">
        <v>130</v>
      </c>
      <c r="CC2241" s="0" t="s">
        <v>130</v>
      </c>
      <c r="CD2241" s="0" t="s">
        <v>130</v>
      </c>
      <c r="CE2241" s="0" t="s">
        <v>130</v>
      </c>
      <c r="CF2241" s="0" t="s">
        <v>130</v>
      </c>
      <c r="CG2241" s="0" t="s">
        <v>130</v>
      </c>
      <c r="CH2241" s="0" t="s">
        <v>130</v>
      </c>
      <c r="CI2241" s="0" t="s">
        <v>130</v>
      </c>
      <c r="CJ2241" s="0" t="s">
        <v>130</v>
      </c>
      <c r="CK2241" s="0" t="s">
        <v>130</v>
      </c>
      <c r="CL2241" s="0" t="s">
        <v>130</v>
      </c>
      <c r="CM2241" s="0" t="s">
        <v>130</v>
      </c>
      <c r="CN2241" s="0" t="s">
        <v>130</v>
      </c>
      <c r="CO2241" s="0" t="s">
        <v>130</v>
      </c>
      <c r="CP2241" s="0" t="s">
        <v>130</v>
      </c>
      <c r="CQ2241" s="0" t="s">
        <v>130</v>
      </c>
      <c r="CR2241" s="0" t="s">
        <v>130</v>
      </c>
      <c r="CS2241" s="0" t="s">
        <v>130</v>
      </c>
      <c r="CT2241" s="0" t="s">
        <v>6213</v>
      </c>
    </row>
    <row r="2242">
      <c r="A2242" s="14">
        <v>100043</v>
      </c>
      <c r="B2242" s="0" t="s">
        <v>173</v>
      </c>
      <c r="C2242" s="16">
        <f>HYPERLINK("https://eosportal.federatedhermes.com/companies/Q29tcGFueQppNDgxNjg=", "Honeywell International Inc")</f>
      </c>
      <c r="D2242" s="0" t="s">
        <v>25</v>
      </c>
      <c r="E2242" s="0" t="s">
        <v>712</v>
      </c>
      <c r="F2242" s="16">
        <f>HYPERLINK("https://eosportal.federatedhermes.com/engagements/RW5nYWdlbWVudAppMzI5OTM=", "Hazardous chemicals management")</f>
      </c>
      <c r="G2242" s="14" t="s">
        <v>6214</v>
      </c>
      <c r="H2242" s="0" t="s">
        <v>130</v>
      </c>
      <c r="I2242" s="14" t="s">
        <v>131</v>
      </c>
      <c r="J2242" s="0" t="s">
        <v>197</v>
      </c>
      <c r="K2242" s="0" t="s">
        <v>348</v>
      </c>
      <c r="L2242" s="0" t="s">
        <v>650</v>
      </c>
      <c r="M2242" s="0" t="s">
        <v>135</v>
      </c>
      <c r="N2242" s="0" t="s">
        <v>136</v>
      </c>
      <c r="O2242" s="0" t="s">
        <v>176</v>
      </c>
      <c r="Q2242" s="0" t="s">
        <v>141</v>
      </c>
      <c r="R2242" s="0" t="s">
        <v>138</v>
      </c>
      <c r="S2242" s="14">
        <v>1</v>
      </c>
      <c r="T2242" s="0" t="s">
        <v>222</v>
      </c>
      <c r="U2242" s="0" t="s">
        <v>138</v>
      </c>
      <c r="V2242" s="14" t="s">
        <v>138</v>
      </c>
      <c r="W2242" s="0" t="s">
        <v>138</v>
      </c>
      <c r="X2242" s="14" t="s">
        <v>138</v>
      </c>
      <c r="Y2242" s="0" t="s">
        <v>138</v>
      </c>
      <c r="Z2242" s="14" t="s">
        <v>138</v>
      </c>
      <c r="AA2242" s="0" t="s">
        <v>138</v>
      </c>
      <c r="AB2242" s="14" t="s">
        <v>138</v>
      </c>
      <c r="AD2242" s="0" t="s">
        <v>138</v>
      </c>
      <c r="AF2242" s="0">
        <v>0</v>
      </c>
      <c r="AG2242" s="0">
        <v>0</v>
      </c>
      <c r="AH2242" s="0" t="s">
        <v>140</v>
      </c>
      <c r="AI2242" s="0" t="s">
        <v>138</v>
      </c>
      <c r="AK2242" s="0" t="s">
        <v>714</v>
      </c>
      <c r="AL2242" s="14"/>
      <c r="AN2242" s="14"/>
      <c r="AQ2242" s="0" t="s">
        <v>130</v>
      </c>
      <c r="AR2242" s="0" t="s">
        <v>130</v>
      </c>
      <c r="AS2242" s="0" t="s">
        <v>141</v>
      </c>
      <c r="AT2242" s="0" t="s">
        <v>130</v>
      </c>
      <c r="AU2242" s="0" t="s">
        <v>130</v>
      </c>
      <c r="AV2242" s="0" t="s">
        <v>130</v>
      </c>
      <c r="AW2242" s="0" t="s">
        <v>130</v>
      </c>
      <c r="AX2242" s="0" t="s">
        <v>130</v>
      </c>
      <c r="AY2242" s="0" t="s">
        <v>130</v>
      </c>
      <c r="AZ2242" s="0" t="s">
        <v>130</v>
      </c>
      <c r="BA2242" s="0" t="s">
        <v>130</v>
      </c>
      <c r="BB2242" s="0" t="s">
        <v>141</v>
      </c>
      <c r="BC2242" s="0" t="s">
        <v>130</v>
      </c>
      <c r="BD2242" s="0" t="s">
        <v>130</v>
      </c>
      <c r="BE2242" s="0" t="s">
        <v>130</v>
      </c>
      <c r="BF2242" s="0" t="s">
        <v>130</v>
      </c>
      <c r="BG2242" s="0" t="s">
        <v>130</v>
      </c>
      <c r="BH2242" s="0" t="s">
        <v>130</v>
      </c>
      <c r="BI2242" s="0" t="s">
        <v>130</v>
      </c>
      <c r="BJ2242" s="0" t="s">
        <v>130</v>
      </c>
      <c r="BK2242" s="0" t="s">
        <v>130</v>
      </c>
      <c r="BL2242" s="0" t="s">
        <v>130</v>
      </c>
      <c r="BM2242" s="0" t="s">
        <v>130</v>
      </c>
      <c r="BN2242" s="0" t="s">
        <v>130</v>
      </c>
      <c r="BO2242" s="0" t="s">
        <v>130</v>
      </c>
      <c r="BP2242" s="0" t="s">
        <v>130</v>
      </c>
      <c r="BQ2242" s="0" t="s">
        <v>130</v>
      </c>
      <c r="BR2242" s="0" t="s">
        <v>130</v>
      </c>
      <c r="BS2242" s="0" t="s">
        <v>130</v>
      </c>
      <c r="BT2242" s="0" t="s">
        <v>130</v>
      </c>
      <c r="BU2242" s="0" t="s">
        <v>130</v>
      </c>
      <c r="BV2242" s="0" t="s">
        <v>130</v>
      </c>
      <c r="BW2242" s="0" t="s">
        <v>130</v>
      </c>
      <c r="BX2242" s="0" t="s">
        <v>130</v>
      </c>
      <c r="BY2242" s="0" t="s">
        <v>130</v>
      </c>
      <c r="BZ2242" s="0" t="s">
        <v>130</v>
      </c>
      <c r="CA2242" s="0" t="s">
        <v>130</v>
      </c>
      <c r="CB2242" s="0" t="s">
        <v>130</v>
      </c>
      <c r="CC2242" s="0" t="s">
        <v>130</v>
      </c>
      <c r="CD2242" s="0" t="s">
        <v>130</v>
      </c>
      <c r="CE2242" s="0" t="s">
        <v>130</v>
      </c>
      <c r="CF2242" s="0" t="s">
        <v>130</v>
      </c>
      <c r="CG2242" s="0" t="s">
        <v>130</v>
      </c>
      <c r="CH2242" s="0" t="s">
        <v>130</v>
      </c>
      <c r="CI2242" s="0" t="s">
        <v>130</v>
      </c>
      <c r="CJ2242" s="0" t="s">
        <v>130</v>
      </c>
      <c r="CK2242" s="0" t="s">
        <v>130</v>
      </c>
      <c r="CL2242" s="0" t="s">
        <v>130</v>
      </c>
      <c r="CM2242" s="0" t="s">
        <v>130</v>
      </c>
      <c r="CN2242" s="0" t="s">
        <v>130</v>
      </c>
      <c r="CO2242" s="0" t="s">
        <v>130</v>
      </c>
      <c r="CP2242" s="0" t="s">
        <v>130</v>
      </c>
      <c r="CQ2242" s="0" t="s">
        <v>130</v>
      </c>
      <c r="CR2242" s="0" t="s">
        <v>130</v>
      </c>
      <c r="CS2242" s="0" t="s">
        <v>130</v>
      </c>
      <c r="CT2242" s="0" t="s">
        <v>6215</v>
      </c>
    </row>
    <row r="2243">
      <c r="A2243" s="14">
        <v>113492</v>
      </c>
      <c r="B2243" s="0" t="s">
        <v>6216</v>
      </c>
      <c r="C2243" s="16">
        <f>HYPERLINK("https://eosportal.federatedhermes.com/companies/Q29tcGFueQppNTQ5NzU=", "Daikin Industries Ltd")</f>
      </c>
      <c r="D2243" s="0" t="s">
        <v>25</v>
      </c>
      <c r="E2243" s="0" t="s">
        <v>712</v>
      </c>
      <c r="F2243" s="16">
        <f>HYPERLINK("https://eosportal.federatedhermes.com/engagements/RW5nYWdlbWVudAppMzI5OTU=", "Hazardous chemicals management")</f>
      </c>
      <c r="G2243" s="14" t="s">
        <v>6217</v>
      </c>
      <c r="H2243" s="0" t="s">
        <v>130</v>
      </c>
      <c r="I2243" s="14" t="s">
        <v>319</v>
      </c>
      <c r="J2243" s="0" t="s">
        <v>197</v>
      </c>
      <c r="K2243" s="0" t="s">
        <v>348</v>
      </c>
      <c r="L2243" s="0" t="s">
        <v>650</v>
      </c>
      <c r="M2243" s="0" t="s">
        <v>802</v>
      </c>
      <c r="N2243" s="0" t="s">
        <v>952</v>
      </c>
      <c r="O2243" s="0" t="s">
        <v>176</v>
      </c>
      <c r="Q2243" s="0" t="s">
        <v>141</v>
      </c>
      <c r="R2243" s="0" t="s">
        <v>138</v>
      </c>
      <c r="S2243" s="14">
        <v>1</v>
      </c>
      <c r="T2243" s="0" t="s">
        <v>222</v>
      </c>
      <c r="U2243" s="0" t="s">
        <v>138</v>
      </c>
      <c r="V2243" s="14" t="s">
        <v>138</v>
      </c>
      <c r="W2243" s="0" t="s">
        <v>138</v>
      </c>
      <c r="X2243" s="14" t="s">
        <v>138</v>
      </c>
      <c r="Y2243" s="0" t="s">
        <v>138</v>
      </c>
      <c r="Z2243" s="14" t="s">
        <v>138</v>
      </c>
      <c r="AA2243" s="0" t="s">
        <v>138</v>
      </c>
      <c r="AB2243" s="14" t="s">
        <v>138</v>
      </c>
      <c r="AD2243" s="0" t="s">
        <v>138</v>
      </c>
      <c r="AF2243" s="0">
        <v>0</v>
      </c>
      <c r="AG2243" s="0">
        <v>0</v>
      </c>
      <c r="AH2243" s="0" t="s">
        <v>140</v>
      </c>
      <c r="AI2243" s="0" t="s">
        <v>138</v>
      </c>
      <c r="AK2243" s="0" t="s">
        <v>714</v>
      </c>
      <c r="AL2243" s="14"/>
      <c r="AN2243" s="14"/>
      <c r="AQ2243" s="0" t="s">
        <v>130</v>
      </c>
      <c r="AR2243" s="0" t="s">
        <v>130</v>
      </c>
      <c r="AS2243" s="0" t="s">
        <v>141</v>
      </c>
      <c r="AT2243" s="0" t="s">
        <v>130</v>
      </c>
      <c r="AU2243" s="0" t="s">
        <v>130</v>
      </c>
      <c r="AV2243" s="0" t="s">
        <v>130</v>
      </c>
      <c r="AW2243" s="0" t="s">
        <v>130</v>
      </c>
      <c r="AX2243" s="0" t="s">
        <v>130</v>
      </c>
      <c r="AY2243" s="0" t="s">
        <v>130</v>
      </c>
      <c r="AZ2243" s="0" t="s">
        <v>130</v>
      </c>
      <c r="BA2243" s="0" t="s">
        <v>130</v>
      </c>
      <c r="BB2243" s="0" t="s">
        <v>141</v>
      </c>
      <c r="BC2243" s="0" t="s">
        <v>130</v>
      </c>
      <c r="BD2243" s="0" t="s">
        <v>130</v>
      </c>
      <c r="BE2243" s="0" t="s">
        <v>130</v>
      </c>
      <c r="BF2243" s="0" t="s">
        <v>130</v>
      </c>
      <c r="BG2243" s="0" t="s">
        <v>130</v>
      </c>
      <c r="BH2243" s="0" t="s">
        <v>130</v>
      </c>
      <c r="BI2243" s="0" t="s">
        <v>130</v>
      </c>
      <c r="BJ2243" s="0" t="s">
        <v>130</v>
      </c>
      <c r="BK2243" s="0" t="s">
        <v>130</v>
      </c>
      <c r="BL2243" s="0" t="s">
        <v>130</v>
      </c>
      <c r="BM2243" s="0" t="s">
        <v>130</v>
      </c>
      <c r="BN2243" s="0" t="s">
        <v>130</v>
      </c>
      <c r="BO2243" s="0" t="s">
        <v>130</v>
      </c>
      <c r="BP2243" s="0" t="s">
        <v>130</v>
      </c>
      <c r="BQ2243" s="0" t="s">
        <v>130</v>
      </c>
      <c r="BR2243" s="0" t="s">
        <v>130</v>
      </c>
      <c r="BS2243" s="0" t="s">
        <v>130</v>
      </c>
      <c r="BT2243" s="0" t="s">
        <v>130</v>
      </c>
      <c r="BU2243" s="0" t="s">
        <v>130</v>
      </c>
      <c r="BV2243" s="0" t="s">
        <v>130</v>
      </c>
      <c r="BW2243" s="0" t="s">
        <v>130</v>
      </c>
      <c r="BX2243" s="0" t="s">
        <v>130</v>
      </c>
      <c r="BY2243" s="0" t="s">
        <v>130</v>
      </c>
      <c r="BZ2243" s="0" t="s">
        <v>130</v>
      </c>
      <c r="CA2243" s="0" t="s">
        <v>130</v>
      </c>
      <c r="CB2243" s="0" t="s">
        <v>130</v>
      </c>
      <c r="CC2243" s="0" t="s">
        <v>130</v>
      </c>
      <c r="CD2243" s="0" t="s">
        <v>130</v>
      </c>
      <c r="CE2243" s="0" t="s">
        <v>130</v>
      </c>
      <c r="CF2243" s="0" t="s">
        <v>130</v>
      </c>
      <c r="CG2243" s="0" t="s">
        <v>130</v>
      </c>
      <c r="CH2243" s="0" t="s">
        <v>130</v>
      </c>
      <c r="CI2243" s="0" t="s">
        <v>130</v>
      </c>
      <c r="CJ2243" s="0" t="s">
        <v>130</v>
      </c>
      <c r="CK2243" s="0" t="s">
        <v>130</v>
      </c>
      <c r="CL2243" s="0" t="s">
        <v>130</v>
      </c>
      <c r="CM2243" s="0" t="s">
        <v>130</v>
      </c>
      <c r="CN2243" s="0" t="s">
        <v>130</v>
      </c>
      <c r="CO2243" s="0" t="s">
        <v>130</v>
      </c>
      <c r="CP2243" s="0" t="s">
        <v>130</v>
      </c>
      <c r="CQ2243" s="0" t="s">
        <v>130</v>
      </c>
      <c r="CR2243" s="0" t="s">
        <v>130</v>
      </c>
      <c r="CS2243" s="0" t="s">
        <v>130</v>
      </c>
      <c r="CT2243" s="0" t="s">
        <v>6218</v>
      </c>
    </row>
    <row r="2244">
      <c r="A2244" s="14">
        <v>37755840</v>
      </c>
      <c r="B2244" s="0" t="s">
        <v>6219</v>
      </c>
      <c r="C2244" s="16">
        <f>HYPERLINK("https://eosportal.federatedhermes.com/companies/Q29tcGFueQppNzk1MzA=", "Chemours Co/The")</f>
      </c>
      <c r="D2244" s="0" t="s">
        <v>25</v>
      </c>
      <c r="E2244" s="0" t="s">
        <v>712</v>
      </c>
      <c r="F2244" s="16">
        <f>HYPERLINK("https://eosportal.federatedhermes.com/engagements/RW5nYWdlbWVudAppMzMwMDY=", "Hazardous chemicals management")</f>
      </c>
      <c r="G2244" s="14" t="s">
        <v>6214</v>
      </c>
      <c r="H2244" s="0" t="s">
        <v>130</v>
      </c>
      <c r="I2244" s="14" t="s">
        <v>319</v>
      </c>
      <c r="J2244" s="0" t="s">
        <v>197</v>
      </c>
      <c r="K2244" s="0" t="s">
        <v>348</v>
      </c>
      <c r="L2244" s="0" t="s">
        <v>650</v>
      </c>
      <c r="M2244" s="0" t="s">
        <v>135</v>
      </c>
      <c r="N2244" s="0" t="s">
        <v>136</v>
      </c>
      <c r="O2244" s="0" t="s">
        <v>706</v>
      </c>
      <c r="Q2244" s="0" t="s">
        <v>141</v>
      </c>
      <c r="R2244" s="0" t="s">
        <v>138</v>
      </c>
      <c r="S2244" s="14">
        <v>1</v>
      </c>
      <c r="T2244" s="0" t="s">
        <v>222</v>
      </c>
      <c r="U2244" s="0" t="s">
        <v>138</v>
      </c>
      <c r="V2244" s="14" t="s">
        <v>138</v>
      </c>
      <c r="W2244" s="0" t="s">
        <v>138</v>
      </c>
      <c r="X2244" s="14" t="s">
        <v>138</v>
      </c>
      <c r="Y2244" s="0" t="s">
        <v>138</v>
      </c>
      <c r="Z2244" s="14" t="s">
        <v>138</v>
      </c>
      <c r="AA2244" s="0" t="s">
        <v>138</v>
      </c>
      <c r="AB2244" s="14" t="s">
        <v>138</v>
      </c>
      <c r="AD2244" s="0" t="s">
        <v>138</v>
      </c>
      <c r="AF2244" s="0">
        <v>0</v>
      </c>
      <c r="AG2244" s="0">
        <v>0</v>
      </c>
      <c r="AH2244" s="0" t="s">
        <v>140</v>
      </c>
      <c r="AI2244" s="0" t="s">
        <v>138</v>
      </c>
      <c r="AK2244" s="0" t="s">
        <v>714</v>
      </c>
      <c r="AL2244" s="14"/>
      <c r="AN2244" s="14"/>
      <c r="AQ2244" s="0" t="s">
        <v>130</v>
      </c>
      <c r="AR2244" s="0" t="s">
        <v>130</v>
      </c>
      <c r="AS2244" s="0" t="s">
        <v>141</v>
      </c>
      <c r="AT2244" s="0" t="s">
        <v>130</v>
      </c>
      <c r="AU2244" s="0" t="s">
        <v>130</v>
      </c>
      <c r="AV2244" s="0" t="s">
        <v>130</v>
      </c>
      <c r="AW2244" s="0" t="s">
        <v>130</v>
      </c>
      <c r="AX2244" s="0" t="s">
        <v>130</v>
      </c>
      <c r="AY2244" s="0" t="s">
        <v>130</v>
      </c>
      <c r="AZ2244" s="0" t="s">
        <v>130</v>
      </c>
      <c r="BA2244" s="0" t="s">
        <v>130</v>
      </c>
      <c r="BB2244" s="0" t="s">
        <v>141</v>
      </c>
      <c r="BC2244" s="0" t="s">
        <v>130</v>
      </c>
      <c r="BD2244" s="0" t="s">
        <v>130</v>
      </c>
      <c r="BE2244" s="0" t="s">
        <v>130</v>
      </c>
      <c r="BF2244" s="0" t="s">
        <v>130</v>
      </c>
      <c r="BG2244" s="0" t="s">
        <v>130</v>
      </c>
      <c r="BH2244" s="0" t="s">
        <v>130</v>
      </c>
      <c r="BI2244" s="0" t="s">
        <v>130</v>
      </c>
      <c r="BJ2244" s="0" t="s">
        <v>130</v>
      </c>
      <c r="BK2244" s="0" t="s">
        <v>130</v>
      </c>
      <c r="BL2244" s="0" t="s">
        <v>130</v>
      </c>
      <c r="BM2244" s="0" t="s">
        <v>130</v>
      </c>
      <c r="BN2244" s="0" t="s">
        <v>130</v>
      </c>
      <c r="BO2244" s="0" t="s">
        <v>130</v>
      </c>
      <c r="BP2244" s="0" t="s">
        <v>130</v>
      </c>
      <c r="BQ2244" s="0" t="s">
        <v>130</v>
      </c>
      <c r="BR2244" s="0" t="s">
        <v>130</v>
      </c>
      <c r="BS2244" s="0" t="s">
        <v>130</v>
      </c>
      <c r="BT2244" s="0" t="s">
        <v>130</v>
      </c>
      <c r="BU2244" s="0" t="s">
        <v>130</v>
      </c>
      <c r="BV2244" s="0" t="s">
        <v>130</v>
      </c>
      <c r="BW2244" s="0" t="s">
        <v>130</v>
      </c>
      <c r="BX2244" s="0" t="s">
        <v>130</v>
      </c>
      <c r="BY2244" s="0" t="s">
        <v>130</v>
      </c>
      <c r="BZ2244" s="0" t="s">
        <v>130</v>
      </c>
      <c r="CA2244" s="0" t="s">
        <v>130</v>
      </c>
      <c r="CB2244" s="0" t="s">
        <v>130</v>
      </c>
      <c r="CC2244" s="0" t="s">
        <v>130</v>
      </c>
      <c r="CD2244" s="0" t="s">
        <v>130</v>
      </c>
      <c r="CE2244" s="0" t="s">
        <v>130</v>
      </c>
      <c r="CF2244" s="0" t="s">
        <v>130</v>
      </c>
      <c r="CG2244" s="0" t="s">
        <v>130</v>
      </c>
      <c r="CH2244" s="0" t="s">
        <v>130</v>
      </c>
      <c r="CI2244" s="0" t="s">
        <v>130</v>
      </c>
      <c r="CJ2244" s="0" t="s">
        <v>130</v>
      </c>
      <c r="CK2244" s="0" t="s">
        <v>130</v>
      </c>
      <c r="CL2244" s="0" t="s">
        <v>130</v>
      </c>
      <c r="CM2244" s="0" t="s">
        <v>130</v>
      </c>
      <c r="CN2244" s="0" t="s">
        <v>130</v>
      </c>
      <c r="CO2244" s="0" t="s">
        <v>130</v>
      </c>
      <c r="CP2244" s="0" t="s">
        <v>130</v>
      </c>
      <c r="CQ2244" s="0" t="s">
        <v>130</v>
      </c>
      <c r="CR2244" s="0" t="s">
        <v>130</v>
      </c>
      <c r="CS2244" s="0" t="s">
        <v>130</v>
      </c>
      <c r="CT2244" s="0" t="s">
        <v>6220</v>
      </c>
    </row>
    <row r="2245">
      <c r="A2245" s="14">
        <v>101166</v>
      </c>
      <c r="B2245" s="0" t="s">
        <v>1275</v>
      </c>
      <c r="C2245" s="16">
        <f>HYPERLINK("https://eosportal.federatedhermes.com/companies/Q29tcGFueQppODU4OTI=", "Pfizer Inc")</f>
      </c>
      <c r="D2245" s="0" t="s">
        <v>25</v>
      </c>
      <c r="E2245" s="0" t="s">
        <v>2237</v>
      </c>
      <c r="F2245" s="16">
        <f>HYPERLINK("https://eosportal.federatedhermes.com/engagements/RW5nYWdlbWVudAppMzMwMDg=", "Artificial Intelligence")</f>
      </c>
      <c r="G2245" s="14" t="s">
        <v>6221</v>
      </c>
      <c r="H2245" s="0" t="s">
        <v>141</v>
      </c>
      <c r="I2245" s="14" t="s">
        <v>636</v>
      </c>
      <c r="J2245" s="0" t="s">
        <v>153</v>
      </c>
      <c r="K2245" s="0" t="s">
        <v>243</v>
      </c>
      <c r="L2245" s="0" t="s">
        <v>537</v>
      </c>
      <c r="M2245" s="0" t="s">
        <v>135</v>
      </c>
      <c r="N2245" s="0" t="s">
        <v>136</v>
      </c>
      <c r="O2245" s="0" t="s">
        <v>274</v>
      </c>
      <c r="Q2245" s="0" t="s">
        <v>141</v>
      </c>
      <c r="R2245" s="0" t="s">
        <v>138</v>
      </c>
      <c r="S2245" s="14">
        <v>1</v>
      </c>
      <c r="T2245" s="0" t="s">
        <v>222</v>
      </c>
      <c r="U2245" s="0" t="s">
        <v>138</v>
      </c>
      <c r="V2245" s="14" t="s">
        <v>138</v>
      </c>
      <c r="W2245" s="0" t="s">
        <v>138</v>
      </c>
      <c r="X2245" s="14" t="s">
        <v>138</v>
      </c>
      <c r="Y2245" s="0" t="s">
        <v>138</v>
      </c>
      <c r="Z2245" s="14" t="s">
        <v>138</v>
      </c>
      <c r="AA2245" s="0" t="s">
        <v>138</v>
      </c>
      <c r="AB2245" s="14" t="s">
        <v>138</v>
      </c>
      <c r="AD2245" s="0" t="s">
        <v>138</v>
      </c>
      <c r="AF2245" s="0">
        <v>0</v>
      </c>
      <c r="AG2245" s="0">
        <v>0</v>
      </c>
      <c r="AH2245" s="0" t="s">
        <v>140</v>
      </c>
      <c r="AI2245" s="0" t="s">
        <v>138</v>
      </c>
      <c r="AK2245" s="0" t="s">
        <v>1289</v>
      </c>
      <c r="AL2245" s="14"/>
      <c r="AN2245" s="14"/>
      <c r="AQ2245" s="0" t="s">
        <v>130</v>
      </c>
      <c r="AR2245" s="0" t="s">
        <v>130</v>
      </c>
      <c r="AS2245" s="0" t="s">
        <v>130</v>
      </c>
      <c r="AT2245" s="0" t="s">
        <v>130</v>
      </c>
      <c r="AU2245" s="0" t="s">
        <v>130</v>
      </c>
      <c r="AV2245" s="0" t="s">
        <v>130</v>
      </c>
      <c r="AW2245" s="0" t="s">
        <v>130</v>
      </c>
      <c r="AX2245" s="0" t="s">
        <v>130</v>
      </c>
      <c r="AY2245" s="0" t="s">
        <v>130</v>
      </c>
      <c r="AZ2245" s="0" t="s">
        <v>130</v>
      </c>
      <c r="BA2245" s="0" t="s">
        <v>130</v>
      </c>
      <c r="BB2245" s="0" t="s">
        <v>130</v>
      </c>
      <c r="BC2245" s="0" t="s">
        <v>130</v>
      </c>
      <c r="BD2245" s="0" t="s">
        <v>130</v>
      </c>
      <c r="BE2245" s="0" t="s">
        <v>130</v>
      </c>
      <c r="BF2245" s="0" t="s">
        <v>141</v>
      </c>
      <c r="BG2245" s="0" t="s">
        <v>130</v>
      </c>
      <c r="BH2245" s="0" t="s">
        <v>130</v>
      </c>
      <c r="BI2245" s="0" t="s">
        <v>130</v>
      </c>
      <c r="BJ2245" s="0" t="s">
        <v>130</v>
      </c>
      <c r="BK2245" s="0" t="s">
        <v>130</v>
      </c>
      <c r="BL2245" s="0" t="s">
        <v>130</v>
      </c>
      <c r="BM2245" s="0" t="s">
        <v>130</v>
      </c>
      <c r="BN2245" s="0" t="s">
        <v>130</v>
      </c>
      <c r="BO2245" s="0" t="s">
        <v>130</v>
      </c>
      <c r="BP2245" s="0" t="s">
        <v>130</v>
      </c>
      <c r="BQ2245" s="0" t="s">
        <v>130</v>
      </c>
      <c r="BR2245" s="0" t="s">
        <v>130</v>
      </c>
      <c r="BS2245" s="0" t="s">
        <v>130</v>
      </c>
      <c r="BT2245" s="0" t="s">
        <v>130</v>
      </c>
      <c r="BU2245" s="0" t="s">
        <v>130</v>
      </c>
      <c r="BV2245" s="0" t="s">
        <v>130</v>
      </c>
      <c r="BW2245" s="0" t="s">
        <v>130</v>
      </c>
      <c r="BX2245" s="0" t="s">
        <v>130</v>
      </c>
      <c r="BY2245" s="0" t="s">
        <v>130</v>
      </c>
      <c r="BZ2245" s="0" t="s">
        <v>130</v>
      </c>
      <c r="CA2245" s="0" t="s">
        <v>130</v>
      </c>
      <c r="CB2245" s="0" t="s">
        <v>130</v>
      </c>
      <c r="CC2245" s="0" t="s">
        <v>130</v>
      </c>
      <c r="CD2245" s="0" t="s">
        <v>130</v>
      </c>
      <c r="CE2245" s="0" t="s">
        <v>130</v>
      </c>
      <c r="CF2245" s="0" t="s">
        <v>130</v>
      </c>
      <c r="CG2245" s="0" t="s">
        <v>130</v>
      </c>
      <c r="CH2245" s="0" t="s">
        <v>130</v>
      </c>
      <c r="CI2245" s="0" t="s">
        <v>130</v>
      </c>
      <c r="CJ2245" s="0" t="s">
        <v>130</v>
      </c>
      <c r="CK2245" s="0" t="s">
        <v>130</v>
      </c>
      <c r="CL2245" s="0" t="s">
        <v>130</v>
      </c>
      <c r="CM2245" s="0" t="s">
        <v>130</v>
      </c>
      <c r="CN2245" s="0" t="s">
        <v>130</v>
      </c>
      <c r="CO2245" s="0" t="s">
        <v>130</v>
      </c>
      <c r="CP2245" s="0" t="s">
        <v>130</v>
      </c>
      <c r="CQ2245" s="0" t="s">
        <v>130</v>
      </c>
      <c r="CR2245" s="0" t="s">
        <v>130</v>
      </c>
      <c r="CS2245" s="0" t="s">
        <v>130</v>
      </c>
      <c r="CT2245" s="0" t="s">
        <v>6222</v>
      </c>
    </row>
    <row r="2246">
      <c r="A2246" s="14">
        <v>876285</v>
      </c>
      <c r="B2246" s="0" t="s">
        <v>3407</v>
      </c>
      <c r="C2246" s="16">
        <f>HYPERLINK("https://eosportal.federatedhermes.com/companies/Q29tcGFueQppNDc0MDQ=", "Airbus SE")</f>
      </c>
      <c r="D2246" s="0" t="s">
        <v>23</v>
      </c>
      <c r="E2246" s="0" t="s">
        <v>6223</v>
      </c>
      <c r="F2246" s="16">
        <f>HYPERLINK("https://eosportal.federatedhermes.com/engagements/RW5nYWdlbWVudAppMzMwMDk=", "Decarbonisation Strategy")</f>
      </c>
      <c r="G2246" s="14" t="s">
        <v>6224</v>
      </c>
      <c r="H2246" s="0" t="s">
        <v>141</v>
      </c>
      <c r="I2246" s="14" t="s">
        <v>131</v>
      </c>
      <c r="J2246" s="0" t="s">
        <v>197</v>
      </c>
      <c r="K2246" s="0" t="s">
        <v>198</v>
      </c>
      <c r="L2246" s="0" t="s">
        <v>216</v>
      </c>
      <c r="M2246" s="0" t="s">
        <v>378</v>
      </c>
      <c r="N2246" s="0" t="s">
        <v>1646</v>
      </c>
      <c r="O2246" s="0" t="s">
        <v>176</v>
      </c>
      <c r="Q2246" s="0" t="s">
        <v>130</v>
      </c>
      <c r="R2246" s="0" t="s">
        <v>130</v>
      </c>
      <c r="S2246" s="14">
        <v>0</v>
      </c>
      <c r="T2246" s="0" t="s">
        <v>222</v>
      </c>
      <c r="U2246" s="0" t="s">
        <v>221</v>
      </c>
      <c r="V2246" s="14" t="s">
        <v>222</v>
      </c>
      <c r="W2246" s="0" t="s">
        <v>221</v>
      </c>
      <c r="X2246" s="14" t="s">
        <v>222</v>
      </c>
      <c r="Y2246" s="0" t="s">
        <v>223</v>
      </c>
      <c r="Z2246" s="14" t="s">
        <v>138</v>
      </c>
      <c r="AA2246" s="0" t="s">
        <v>224</v>
      </c>
      <c r="AB2246" s="14" t="s">
        <v>138</v>
      </c>
      <c r="AD2246" s="0" t="s">
        <v>17</v>
      </c>
      <c r="AF2246" s="0">
        <v>0</v>
      </c>
      <c r="AG2246" s="0">
        <v>0</v>
      </c>
      <c r="AH2246" s="0" t="s">
        <v>140</v>
      </c>
      <c r="AI2246" s="0" t="s">
        <v>598</v>
      </c>
      <c r="AL2246" s="14"/>
      <c r="AN2246" s="14"/>
      <c r="AQ2246" s="0" t="s">
        <v>130</v>
      </c>
      <c r="AR2246" s="0" t="s">
        <v>130</v>
      </c>
      <c r="AS2246" s="0" t="s">
        <v>130</v>
      </c>
      <c r="AT2246" s="0" t="s">
        <v>130</v>
      </c>
      <c r="AU2246" s="0" t="s">
        <v>130</v>
      </c>
      <c r="AV2246" s="0" t="s">
        <v>130</v>
      </c>
      <c r="AW2246" s="0" t="s">
        <v>141</v>
      </c>
      <c r="AX2246" s="0" t="s">
        <v>130</v>
      </c>
      <c r="AY2246" s="0" t="s">
        <v>130</v>
      </c>
      <c r="AZ2246" s="0" t="s">
        <v>130</v>
      </c>
      <c r="BA2246" s="0" t="s">
        <v>130</v>
      </c>
      <c r="BB2246" s="0" t="s">
        <v>130</v>
      </c>
      <c r="BC2246" s="0" t="s">
        <v>141</v>
      </c>
      <c r="BD2246" s="0" t="s">
        <v>130</v>
      </c>
      <c r="BE2246" s="0" t="s">
        <v>130</v>
      </c>
      <c r="BF2246" s="0" t="s">
        <v>130</v>
      </c>
      <c r="BG2246" s="0" t="s">
        <v>130</v>
      </c>
      <c r="BH2246" s="0" t="s">
        <v>141</v>
      </c>
      <c r="BI2246" s="0" t="s">
        <v>141</v>
      </c>
      <c r="BJ2246" s="0" t="s">
        <v>141</v>
      </c>
      <c r="BK2246" s="0" t="s">
        <v>130</v>
      </c>
      <c r="BL2246" s="0" t="s">
        <v>130</v>
      </c>
      <c r="BM2246" s="0" t="s">
        <v>130</v>
      </c>
      <c r="BN2246" s="0" t="s">
        <v>130</v>
      </c>
      <c r="BO2246" s="0" t="s">
        <v>130</v>
      </c>
      <c r="BP2246" s="0" t="s">
        <v>130</v>
      </c>
      <c r="BQ2246" s="0" t="s">
        <v>130</v>
      </c>
      <c r="BR2246" s="0" t="s">
        <v>130</v>
      </c>
      <c r="BS2246" s="0" t="s">
        <v>130</v>
      </c>
      <c r="BT2246" s="0" t="s">
        <v>130</v>
      </c>
      <c r="BU2246" s="0" t="s">
        <v>130</v>
      </c>
      <c r="BV2246" s="0" t="s">
        <v>141</v>
      </c>
      <c r="BW2246" s="0" t="s">
        <v>141</v>
      </c>
      <c r="BX2246" s="0" t="s">
        <v>130</v>
      </c>
      <c r="BY2246" s="0" t="s">
        <v>130</v>
      </c>
      <c r="BZ2246" s="0" t="s">
        <v>130</v>
      </c>
      <c r="CA2246" s="0" t="s">
        <v>130</v>
      </c>
      <c r="CB2246" s="0" t="s">
        <v>130</v>
      </c>
      <c r="CC2246" s="0" t="s">
        <v>130</v>
      </c>
      <c r="CD2246" s="0" t="s">
        <v>130</v>
      </c>
      <c r="CE2246" s="0" t="s">
        <v>130</v>
      </c>
      <c r="CF2246" s="0" t="s">
        <v>130</v>
      </c>
      <c r="CG2246" s="0" t="s">
        <v>130</v>
      </c>
      <c r="CH2246" s="0" t="s">
        <v>130</v>
      </c>
      <c r="CI2246" s="0" t="s">
        <v>130</v>
      </c>
      <c r="CJ2246" s="0" t="s">
        <v>130</v>
      </c>
      <c r="CK2246" s="0" t="s">
        <v>130</v>
      </c>
      <c r="CL2246" s="0" t="s">
        <v>130</v>
      </c>
      <c r="CM2246" s="0" t="s">
        <v>130</v>
      </c>
      <c r="CN2246" s="0" t="s">
        <v>130</v>
      </c>
      <c r="CO2246" s="0" t="s">
        <v>130</v>
      </c>
      <c r="CP2246" s="0" t="s">
        <v>130</v>
      </c>
      <c r="CQ2246" s="0" t="s">
        <v>130</v>
      </c>
      <c r="CR2246" s="0" t="s">
        <v>130</v>
      </c>
      <c r="CS2246" s="0" t="s">
        <v>130</v>
      </c>
      <c r="CT2246" s="0" t="s">
        <v>6225</v>
      </c>
    </row>
    <row r="2247">
      <c r="A2247" s="14">
        <v>876285</v>
      </c>
      <c r="B2247" s="0" t="s">
        <v>3407</v>
      </c>
      <c r="C2247" s="16">
        <f>HYPERLINK("https://eosportal.federatedhermes.com/companies/Q29tcGFueQppNDc0MDQ=", "Airbus SE")</f>
      </c>
      <c r="D2247" s="0" t="s">
        <v>23</v>
      </c>
      <c r="E2247" s="0" t="s">
        <v>5737</v>
      </c>
      <c r="F2247" s="16">
        <f>HYPERLINK("https://eosportal.federatedhermes.com/engagements/RW5nYWdlbWVudAppMzMwMTA=", "Climate-aligned accounting")</f>
      </c>
      <c r="G2247" s="14" t="s">
        <v>6226</v>
      </c>
      <c r="H2247" s="0" t="s">
        <v>141</v>
      </c>
      <c r="I2247" s="14" t="s">
        <v>131</v>
      </c>
      <c r="J2247" s="0" t="s">
        <v>197</v>
      </c>
      <c r="K2247" s="0" t="s">
        <v>198</v>
      </c>
      <c r="L2247" s="0" t="s">
        <v>199</v>
      </c>
      <c r="M2247" s="0" t="s">
        <v>378</v>
      </c>
      <c r="N2247" s="0" t="s">
        <v>1646</v>
      </c>
      <c r="O2247" s="0" t="s">
        <v>176</v>
      </c>
      <c r="Q2247" s="0" t="s">
        <v>141</v>
      </c>
      <c r="R2247" s="0" t="s">
        <v>130</v>
      </c>
      <c r="S2247" s="14">
        <v>1</v>
      </c>
      <c r="T2247" s="0" t="s">
        <v>2629</v>
      </c>
      <c r="U2247" s="0" t="s">
        <v>221</v>
      </c>
      <c r="V2247" s="14" t="s">
        <v>2629</v>
      </c>
      <c r="W2247" s="0" t="s">
        <v>221</v>
      </c>
      <c r="X2247" s="14" t="s">
        <v>222</v>
      </c>
      <c r="Y2247" s="0" t="s">
        <v>223</v>
      </c>
      <c r="Z2247" s="14" t="s">
        <v>138</v>
      </c>
      <c r="AA2247" s="0" t="s">
        <v>224</v>
      </c>
      <c r="AB2247" s="14" t="s">
        <v>138</v>
      </c>
      <c r="AD2247" s="0" t="s">
        <v>17</v>
      </c>
      <c r="AF2247" s="0">
        <v>0</v>
      </c>
      <c r="AG2247" s="0">
        <v>0</v>
      </c>
      <c r="AH2247" s="0" t="s">
        <v>140</v>
      </c>
      <c r="AI2247" s="0" t="s">
        <v>479</v>
      </c>
      <c r="AK2247" s="0" t="s">
        <v>3626</v>
      </c>
      <c r="AL2247" s="14"/>
      <c r="AN2247" s="14"/>
      <c r="AQ2247" s="0" t="s">
        <v>130</v>
      </c>
      <c r="AR2247" s="0" t="s">
        <v>130</v>
      </c>
      <c r="AS2247" s="0" t="s">
        <v>130</v>
      </c>
      <c r="AT2247" s="0" t="s">
        <v>130</v>
      </c>
      <c r="AU2247" s="0" t="s">
        <v>130</v>
      </c>
      <c r="AV2247" s="0" t="s">
        <v>130</v>
      </c>
      <c r="AW2247" s="0" t="s">
        <v>130</v>
      </c>
      <c r="AX2247" s="0" t="s">
        <v>130</v>
      </c>
      <c r="AY2247" s="0" t="s">
        <v>130</v>
      </c>
      <c r="AZ2247" s="0" t="s">
        <v>130</v>
      </c>
      <c r="BA2247" s="0" t="s">
        <v>130</v>
      </c>
      <c r="BB2247" s="0" t="s">
        <v>141</v>
      </c>
      <c r="BC2247" s="0" t="s">
        <v>130</v>
      </c>
      <c r="BD2247" s="0" t="s">
        <v>130</v>
      </c>
      <c r="BE2247" s="0" t="s">
        <v>130</v>
      </c>
      <c r="BF2247" s="0" t="s">
        <v>130</v>
      </c>
      <c r="BG2247" s="0" t="s">
        <v>130</v>
      </c>
      <c r="BH2247" s="0" t="s">
        <v>130</v>
      </c>
      <c r="BI2247" s="0" t="s">
        <v>130</v>
      </c>
      <c r="BJ2247" s="0" t="s">
        <v>130</v>
      </c>
      <c r="BK2247" s="0" t="s">
        <v>130</v>
      </c>
      <c r="BL2247" s="0" t="s">
        <v>130</v>
      </c>
      <c r="BM2247" s="0" t="s">
        <v>130</v>
      </c>
      <c r="BN2247" s="0" t="s">
        <v>130</v>
      </c>
      <c r="BO2247" s="0" t="s">
        <v>130</v>
      </c>
      <c r="BP2247" s="0" t="s">
        <v>130</v>
      </c>
      <c r="BQ2247" s="0" t="s">
        <v>130</v>
      </c>
      <c r="BR2247" s="0" t="s">
        <v>130</v>
      </c>
      <c r="BS2247" s="0" t="s">
        <v>130</v>
      </c>
      <c r="BT2247" s="0" t="s">
        <v>130</v>
      </c>
      <c r="BU2247" s="0" t="s">
        <v>130</v>
      </c>
      <c r="BV2247" s="0" t="s">
        <v>130</v>
      </c>
      <c r="BW2247" s="0" t="s">
        <v>130</v>
      </c>
      <c r="BX2247" s="0" t="s">
        <v>130</v>
      </c>
      <c r="BY2247" s="0" t="s">
        <v>130</v>
      </c>
      <c r="BZ2247" s="0" t="s">
        <v>130</v>
      </c>
      <c r="CA2247" s="0" t="s">
        <v>130</v>
      </c>
      <c r="CB2247" s="0" t="s">
        <v>130</v>
      </c>
      <c r="CC2247" s="0" t="s">
        <v>130</v>
      </c>
      <c r="CD2247" s="0" t="s">
        <v>130</v>
      </c>
      <c r="CE2247" s="0" t="s">
        <v>130</v>
      </c>
      <c r="CF2247" s="0" t="s">
        <v>130</v>
      </c>
      <c r="CG2247" s="0" t="s">
        <v>130</v>
      </c>
      <c r="CH2247" s="0" t="s">
        <v>130</v>
      </c>
      <c r="CI2247" s="0" t="s">
        <v>130</v>
      </c>
      <c r="CJ2247" s="0" t="s">
        <v>130</v>
      </c>
      <c r="CK2247" s="0" t="s">
        <v>130</v>
      </c>
      <c r="CL2247" s="0" t="s">
        <v>130</v>
      </c>
      <c r="CM2247" s="0" t="s">
        <v>130</v>
      </c>
      <c r="CN2247" s="0" t="s">
        <v>130</v>
      </c>
      <c r="CO2247" s="0" t="s">
        <v>130</v>
      </c>
      <c r="CP2247" s="0" t="s">
        <v>130</v>
      </c>
      <c r="CQ2247" s="0" t="s">
        <v>130</v>
      </c>
      <c r="CR2247" s="0" t="s">
        <v>130</v>
      </c>
      <c r="CS2247" s="0" t="s">
        <v>130</v>
      </c>
      <c r="CT2247" s="0" t="s">
        <v>6227</v>
      </c>
    </row>
    <row r="2248">
      <c r="A2248" s="14">
        <v>117222</v>
      </c>
      <c r="B2248" s="0" t="s">
        <v>2797</v>
      </c>
      <c r="C2248" s="16">
        <f>HYPERLINK("https://eosportal.federatedhermes.com/companies/Q29tcGFueQppNTkyMTc=", "Samsung Fire &amp; Marine Insurance Co Ltd")</f>
      </c>
      <c r="D2248" s="0" t="s">
        <v>23</v>
      </c>
      <c r="E2248" s="0" t="s">
        <v>6228</v>
      </c>
      <c r="F2248" s="16">
        <f>HYPERLINK("https://eosportal.federatedhermes.com/engagements/RW5nYWdlbWVudAppMzMwMTI=", "Paris-aligned emission reduction targets for financed emissions")</f>
      </c>
      <c r="G2248" s="14" t="s">
        <v>6229</v>
      </c>
      <c r="H2248" s="0" t="s">
        <v>130</v>
      </c>
      <c r="I2248" s="14" t="s">
        <v>319</v>
      </c>
      <c r="J2248" s="0" t="s">
        <v>197</v>
      </c>
      <c r="K2248" s="0" t="s">
        <v>198</v>
      </c>
      <c r="L2248" s="0" t="s">
        <v>216</v>
      </c>
      <c r="M2248" s="0" t="s">
        <v>802</v>
      </c>
      <c r="N2248" s="0" t="s">
        <v>2800</v>
      </c>
      <c r="O2248" s="0" t="s">
        <v>238</v>
      </c>
      <c r="Q2248" s="0" t="s">
        <v>130</v>
      </c>
      <c r="R2248" s="0" t="s">
        <v>130</v>
      </c>
      <c r="S2248" s="14">
        <v>0</v>
      </c>
      <c r="T2248" s="0" t="s">
        <v>2629</v>
      </c>
      <c r="U2248" s="0" t="s">
        <v>221</v>
      </c>
      <c r="V2248" s="14" t="s">
        <v>2629</v>
      </c>
      <c r="W2248" s="0" t="s">
        <v>223</v>
      </c>
      <c r="X2248" s="14" t="s">
        <v>138</v>
      </c>
      <c r="Y2248" s="0" t="s">
        <v>224</v>
      </c>
      <c r="Z2248" s="14" t="s">
        <v>138</v>
      </c>
      <c r="AA2248" s="0" t="s">
        <v>224</v>
      </c>
      <c r="AB2248" s="14" t="s">
        <v>138</v>
      </c>
      <c r="AD2248" s="0" t="s">
        <v>14</v>
      </c>
      <c r="AF2248" s="0">
        <v>0</v>
      </c>
      <c r="AG2248" s="0">
        <v>0</v>
      </c>
      <c r="AH2248" s="0" t="s">
        <v>140</v>
      </c>
      <c r="AI2248" s="0" t="s">
        <v>598</v>
      </c>
      <c r="AL2248" s="14"/>
      <c r="AN2248" s="14"/>
      <c r="AQ2248" s="0" t="s">
        <v>130</v>
      </c>
      <c r="AR2248" s="0" t="s">
        <v>130</v>
      </c>
      <c r="AS2248" s="0" t="s">
        <v>130</v>
      </c>
      <c r="AT2248" s="0" t="s">
        <v>130</v>
      </c>
      <c r="AU2248" s="0" t="s">
        <v>130</v>
      </c>
      <c r="AV2248" s="0" t="s">
        <v>130</v>
      </c>
      <c r="AW2248" s="0" t="s">
        <v>141</v>
      </c>
      <c r="AX2248" s="0" t="s">
        <v>130</v>
      </c>
      <c r="AY2248" s="0" t="s">
        <v>130</v>
      </c>
      <c r="AZ2248" s="0" t="s">
        <v>130</v>
      </c>
      <c r="BA2248" s="0" t="s">
        <v>130</v>
      </c>
      <c r="BB2248" s="0" t="s">
        <v>130</v>
      </c>
      <c r="BC2248" s="0" t="s">
        <v>141</v>
      </c>
      <c r="BD2248" s="0" t="s">
        <v>130</v>
      </c>
      <c r="BE2248" s="0" t="s">
        <v>130</v>
      </c>
      <c r="BF2248" s="0" t="s">
        <v>130</v>
      </c>
      <c r="BG2248" s="0" t="s">
        <v>130</v>
      </c>
      <c r="BH2248" s="0" t="s">
        <v>141</v>
      </c>
      <c r="BI2248" s="0" t="s">
        <v>141</v>
      </c>
      <c r="BJ2248" s="0" t="s">
        <v>141</v>
      </c>
      <c r="BK2248" s="0" t="s">
        <v>130</v>
      </c>
      <c r="BL2248" s="0" t="s">
        <v>130</v>
      </c>
      <c r="BM2248" s="0" t="s">
        <v>130</v>
      </c>
      <c r="BN2248" s="0" t="s">
        <v>130</v>
      </c>
      <c r="BO2248" s="0" t="s">
        <v>130</v>
      </c>
      <c r="BP2248" s="0" t="s">
        <v>130</v>
      </c>
      <c r="BQ2248" s="0" t="s">
        <v>130</v>
      </c>
      <c r="BR2248" s="0" t="s">
        <v>130</v>
      </c>
      <c r="BS2248" s="0" t="s">
        <v>130</v>
      </c>
      <c r="BT2248" s="0" t="s">
        <v>130</v>
      </c>
      <c r="BU2248" s="0" t="s">
        <v>130</v>
      </c>
      <c r="BV2248" s="0" t="s">
        <v>141</v>
      </c>
      <c r="BW2248" s="0" t="s">
        <v>141</v>
      </c>
      <c r="BX2248" s="0" t="s">
        <v>130</v>
      </c>
      <c r="BY2248" s="0" t="s">
        <v>130</v>
      </c>
      <c r="BZ2248" s="0" t="s">
        <v>130</v>
      </c>
      <c r="CA2248" s="0" t="s">
        <v>130</v>
      </c>
      <c r="CB2248" s="0" t="s">
        <v>130</v>
      </c>
      <c r="CC2248" s="0" t="s">
        <v>130</v>
      </c>
      <c r="CD2248" s="0" t="s">
        <v>130</v>
      </c>
      <c r="CE2248" s="0" t="s">
        <v>130</v>
      </c>
      <c r="CF2248" s="0" t="s">
        <v>130</v>
      </c>
      <c r="CG2248" s="0" t="s">
        <v>130</v>
      </c>
      <c r="CH2248" s="0" t="s">
        <v>130</v>
      </c>
      <c r="CI2248" s="0" t="s">
        <v>130</v>
      </c>
      <c r="CJ2248" s="0" t="s">
        <v>130</v>
      </c>
      <c r="CK2248" s="0" t="s">
        <v>130</v>
      </c>
      <c r="CL2248" s="0" t="s">
        <v>130</v>
      </c>
      <c r="CM2248" s="0" t="s">
        <v>130</v>
      </c>
      <c r="CN2248" s="0" t="s">
        <v>130</v>
      </c>
      <c r="CO2248" s="0" t="s">
        <v>130</v>
      </c>
      <c r="CP2248" s="0" t="s">
        <v>130</v>
      </c>
      <c r="CQ2248" s="0" t="s">
        <v>130</v>
      </c>
      <c r="CR2248" s="0" t="s">
        <v>130</v>
      </c>
      <c r="CS2248" s="0" t="s">
        <v>130</v>
      </c>
      <c r="CT2248" s="0" t="s">
        <v>6230</v>
      </c>
    </row>
    <row r="2249">
      <c r="A2249" s="14">
        <v>14038385</v>
      </c>
      <c r="B2249" s="0" t="s">
        <v>4127</v>
      </c>
      <c r="C2249" s="16">
        <f>HYPERLINK("https://eosportal.federatedhermes.com/companies/Q29tcGFueQppNzU2Nzk=", "Charter Communications Inc")</f>
      </c>
      <c r="D2249" s="0" t="s">
        <v>23</v>
      </c>
      <c r="E2249" s="0" t="s">
        <v>1034</v>
      </c>
      <c r="F2249" s="16">
        <f>HYPERLINK("https://eosportal.federatedhermes.com/engagements/RW5nYWdlbWVudAppMzMwMTQ=", "Board composition")</f>
      </c>
      <c r="G2249" s="14" t="s">
        <v>6231</v>
      </c>
      <c r="H2249" s="0" t="s">
        <v>141</v>
      </c>
      <c r="I2249" s="14" t="s">
        <v>131</v>
      </c>
      <c r="J2249" s="0" t="s">
        <v>153</v>
      </c>
      <c r="K2249" s="0" t="s">
        <v>154</v>
      </c>
      <c r="L2249" s="0" t="s">
        <v>268</v>
      </c>
      <c r="M2249" s="0" t="s">
        <v>135</v>
      </c>
      <c r="N2249" s="0" t="s">
        <v>136</v>
      </c>
      <c r="O2249" s="0" t="s">
        <v>137</v>
      </c>
      <c r="Q2249" s="0" t="s">
        <v>130</v>
      </c>
      <c r="R2249" s="0" t="s">
        <v>130</v>
      </c>
      <c r="S2249" s="14">
        <v>0</v>
      </c>
      <c r="T2249" s="0" t="s">
        <v>478</v>
      </c>
      <c r="U2249" s="0" t="s">
        <v>221</v>
      </c>
      <c r="V2249" s="14" t="s">
        <v>478</v>
      </c>
      <c r="W2249" s="0" t="s">
        <v>221</v>
      </c>
      <c r="X2249" s="14" t="s">
        <v>478</v>
      </c>
      <c r="Y2249" s="0" t="s">
        <v>223</v>
      </c>
      <c r="Z2249" s="14" t="s">
        <v>138</v>
      </c>
      <c r="AA2249" s="0" t="s">
        <v>224</v>
      </c>
      <c r="AB2249" s="14" t="s">
        <v>138</v>
      </c>
      <c r="AD2249" s="0" t="s">
        <v>17</v>
      </c>
      <c r="AF2249" s="0">
        <v>0</v>
      </c>
      <c r="AG2249" s="0">
        <v>0</v>
      </c>
      <c r="AH2249" s="0" t="s">
        <v>140</v>
      </c>
      <c r="AI2249" s="0" t="s">
        <v>479</v>
      </c>
      <c r="AL2249" s="14"/>
      <c r="AN2249" s="14"/>
      <c r="AQ2249" s="0" t="s">
        <v>130</v>
      </c>
      <c r="AR2249" s="0" t="s">
        <v>130</v>
      </c>
      <c r="AS2249" s="0" t="s">
        <v>130</v>
      </c>
      <c r="AT2249" s="0" t="s">
        <v>130</v>
      </c>
      <c r="AU2249" s="0" t="s">
        <v>141</v>
      </c>
      <c r="AV2249" s="0" t="s">
        <v>130</v>
      </c>
      <c r="AW2249" s="0" t="s">
        <v>130</v>
      </c>
      <c r="AX2249" s="0" t="s">
        <v>130</v>
      </c>
      <c r="AY2249" s="0" t="s">
        <v>130</v>
      </c>
      <c r="AZ2249" s="0" t="s">
        <v>130</v>
      </c>
      <c r="BA2249" s="0" t="s">
        <v>130</v>
      </c>
      <c r="BB2249" s="0" t="s">
        <v>130</v>
      </c>
      <c r="BC2249" s="0" t="s">
        <v>130</v>
      </c>
      <c r="BD2249" s="0" t="s">
        <v>130</v>
      </c>
      <c r="BE2249" s="0" t="s">
        <v>130</v>
      </c>
      <c r="BF2249" s="0" t="s">
        <v>130</v>
      </c>
      <c r="BG2249" s="0" t="s">
        <v>130</v>
      </c>
      <c r="BH2249" s="0" t="s">
        <v>130</v>
      </c>
      <c r="BI2249" s="0" t="s">
        <v>130</v>
      </c>
      <c r="BJ2249" s="0" t="s">
        <v>130</v>
      </c>
      <c r="BK2249" s="0" t="s">
        <v>130</v>
      </c>
      <c r="BL2249" s="0" t="s">
        <v>130</v>
      </c>
      <c r="BM2249" s="0" t="s">
        <v>130</v>
      </c>
      <c r="BN2249" s="0" t="s">
        <v>130</v>
      </c>
      <c r="BO2249" s="0" t="s">
        <v>130</v>
      </c>
      <c r="BP2249" s="0" t="s">
        <v>130</v>
      </c>
      <c r="BQ2249" s="0" t="s">
        <v>130</v>
      </c>
      <c r="BR2249" s="0" t="s">
        <v>130</v>
      </c>
      <c r="BS2249" s="0" t="s">
        <v>130</v>
      </c>
      <c r="BT2249" s="0" t="s">
        <v>130</v>
      </c>
      <c r="BU2249" s="0" t="s">
        <v>130</v>
      </c>
      <c r="BV2249" s="0" t="s">
        <v>130</v>
      </c>
      <c r="BW2249" s="0" t="s">
        <v>130</v>
      </c>
      <c r="BX2249" s="0" t="s">
        <v>130</v>
      </c>
      <c r="BY2249" s="0" t="s">
        <v>130</v>
      </c>
      <c r="BZ2249" s="0" t="s">
        <v>130</v>
      </c>
      <c r="CA2249" s="0" t="s">
        <v>130</v>
      </c>
      <c r="CB2249" s="0" t="s">
        <v>130</v>
      </c>
      <c r="CC2249" s="0" t="s">
        <v>130</v>
      </c>
      <c r="CD2249" s="0" t="s">
        <v>130</v>
      </c>
      <c r="CE2249" s="0" t="s">
        <v>130</v>
      </c>
      <c r="CF2249" s="0" t="s">
        <v>130</v>
      </c>
      <c r="CG2249" s="0" t="s">
        <v>130</v>
      </c>
      <c r="CH2249" s="0" t="s">
        <v>130</v>
      </c>
      <c r="CI2249" s="0" t="s">
        <v>130</v>
      </c>
      <c r="CJ2249" s="0" t="s">
        <v>130</v>
      </c>
      <c r="CK2249" s="0" t="s">
        <v>141</v>
      </c>
      <c r="CL2249" s="0" t="s">
        <v>130</v>
      </c>
      <c r="CM2249" s="0" t="s">
        <v>130</v>
      </c>
      <c r="CN2249" s="0" t="s">
        <v>130</v>
      </c>
      <c r="CO2249" s="0" t="s">
        <v>130</v>
      </c>
      <c r="CP2249" s="0" t="s">
        <v>130</v>
      </c>
      <c r="CQ2249" s="0" t="s">
        <v>130</v>
      </c>
      <c r="CR2249" s="0" t="s">
        <v>130</v>
      </c>
      <c r="CS2249" s="0" t="s">
        <v>130</v>
      </c>
      <c r="CT2249" s="0" t="s">
        <v>6232</v>
      </c>
    </row>
    <row r="2250">
      <c r="A2250" s="14">
        <v>101650</v>
      </c>
      <c r="B2250" s="0" t="s">
        <v>1765</v>
      </c>
      <c r="C2250" s="16">
        <f>HYPERLINK("https://eosportal.federatedhermes.com/companies/Q29tcGFueQppNzU3MDM=", "Westpac Banking Corp")</f>
      </c>
      <c r="D2250" s="0" t="s">
        <v>23</v>
      </c>
      <c r="E2250" s="0" t="s">
        <v>6058</v>
      </c>
      <c r="F2250" s="16">
        <f>HYPERLINK("https://eosportal.federatedhermes.com/engagements/RW5nYWdlbWVudAppMzMwMTU=", "Client engagement on transition plans")</f>
      </c>
      <c r="G2250" s="14" t="s">
        <v>6233</v>
      </c>
      <c r="H2250" s="0" t="s">
        <v>141</v>
      </c>
      <c r="I2250" s="14" t="s">
        <v>191</v>
      </c>
      <c r="J2250" s="0" t="s">
        <v>197</v>
      </c>
      <c r="K2250" s="0" t="s">
        <v>198</v>
      </c>
      <c r="L2250" s="0" t="s">
        <v>216</v>
      </c>
      <c r="M2250" s="0" t="s">
        <v>371</v>
      </c>
      <c r="N2250" s="0" t="s">
        <v>372</v>
      </c>
      <c r="O2250" s="0" t="s">
        <v>238</v>
      </c>
      <c r="Q2250" s="0" t="s">
        <v>141</v>
      </c>
      <c r="R2250" s="0" t="s">
        <v>130</v>
      </c>
      <c r="S2250" s="14">
        <v>1</v>
      </c>
      <c r="T2250" s="0" t="s">
        <v>222</v>
      </c>
      <c r="U2250" s="0" t="s">
        <v>221</v>
      </c>
      <c r="V2250" s="14" t="s">
        <v>222</v>
      </c>
      <c r="W2250" s="0" t="s">
        <v>221</v>
      </c>
      <c r="X2250" s="14" t="s">
        <v>2842</v>
      </c>
      <c r="Y2250" s="0" t="s">
        <v>221</v>
      </c>
      <c r="Z2250" s="14" t="s">
        <v>449</v>
      </c>
      <c r="AA2250" s="0" t="s">
        <v>223</v>
      </c>
      <c r="AB2250" s="14" t="s">
        <v>138</v>
      </c>
      <c r="AD2250" s="0" t="s">
        <v>20</v>
      </c>
      <c r="AF2250" s="0">
        <v>0</v>
      </c>
      <c r="AG2250" s="0">
        <v>0</v>
      </c>
      <c r="AH2250" s="0" t="s">
        <v>140</v>
      </c>
      <c r="AI2250" s="0" t="s">
        <v>598</v>
      </c>
      <c r="AK2250" s="0" t="s">
        <v>1151</v>
      </c>
      <c r="AL2250" s="14"/>
      <c r="AN2250" s="14"/>
      <c r="AQ2250" s="0" t="s">
        <v>130</v>
      </c>
      <c r="AR2250" s="0" t="s">
        <v>130</v>
      </c>
      <c r="AS2250" s="0" t="s">
        <v>130</v>
      </c>
      <c r="AT2250" s="0" t="s">
        <v>130</v>
      </c>
      <c r="AU2250" s="0" t="s">
        <v>130</v>
      </c>
      <c r="AV2250" s="0" t="s">
        <v>130</v>
      </c>
      <c r="AW2250" s="0" t="s">
        <v>141</v>
      </c>
      <c r="AX2250" s="0" t="s">
        <v>130</v>
      </c>
      <c r="AY2250" s="0" t="s">
        <v>130</v>
      </c>
      <c r="AZ2250" s="0" t="s">
        <v>130</v>
      </c>
      <c r="BA2250" s="0" t="s">
        <v>130</v>
      </c>
      <c r="BB2250" s="0" t="s">
        <v>130</v>
      </c>
      <c r="BC2250" s="0" t="s">
        <v>141</v>
      </c>
      <c r="BD2250" s="0" t="s">
        <v>130</v>
      </c>
      <c r="BE2250" s="0" t="s">
        <v>130</v>
      </c>
      <c r="BF2250" s="0" t="s">
        <v>130</v>
      </c>
      <c r="BG2250" s="0" t="s">
        <v>130</v>
      </c>
      <c r="BH2250" s="0" t="s">
        <v>141</v>
      </c>
      <c r="BI2250" s="0" t="s">
        <v>141</v>
      </c>
      <c r="BJ2250" s="0" t="s">
        <v>141</v>
      </c>
      <c r="BK2250" s="0" t="s">
        <v>130</v>
      </c>
      <c r="BL2250" s="0" t="s">
        <v>130</v>
      </c>
      <c r="BM2250" s="0" t="s">
        <v>130</v>
      </c>
      <c r="BN2250" s="0" t="s">
        <v>130</v>
      </c>
      <c r="BO2250" s="0" t="s">
        <v>130</v>
      </c>
      <c r="BP2250" s="0" t="s">
        <v>130</v>
      </c>
      <c r="BQ2250" s="0" t="s">
        <v>130</v>
      </c>
      <c r="BR2250" s="0" t="s">
        <v>130</v>
      </c>
      <c r="BS2250" s="0" t="s">
        <v>130</v>
      </c>
      <c r="BT2250" s="0" t="s">
        <v>130</v>
      </c>
      <c r="BU2250" s="0" t="s">
        <v>130</v>
      </c>
      <c r="BV2250" s="0" t="s">
        <v>141</v>
      </c>
      <c r="BW2250" s="0" t="s">
        <v>141</v>
      </c>
      <c r="BX2250" s="0" t="s">
        <v>130</v>
      </c>
      <c r="BY2250" s="0" t="s">
        <v>130</v>
      </c>
      <c r="BZ2250" s="0" t="s">
        <v>130</v>
      </c>
      <c r="CA2250" s="0" t="s">
        <v>130</v>
      </c>
      <c r="CB2250" s="0" t="s">
        <v>130</v>
      </c>
      <c r="CC2250" s="0" t="s">
        <v>130</v>
      </c>
      <c r="CD2250" s="0" t="s">
        <v>130</v>
      </c>
      <c r="CE2250" s="0" t="s">
        <v>130</v>
      </c>
      <c r="CF2250" s="0" t="s">
        <v>130</v>
      </c>
      <c r="CG2250" s="0" t="s">
        <v>130</v>
      </c>
      <c r="CH2250" s="0" t="s">
        <v>130</v>
      </c>
      <c r="CI2250" s="0" t="s">
        <v>130</v>
      </c>
      <c r="CJ2250" s="0" t="s">
        <v>130</v>
      </c>
      <c r="CK2250" s="0" t="s">
        <v>130</v>
      </c>
      <c r="CL2250" s="0" t="s">
        <v>130</v>
      </c>
      <c r="CM2250" s="0" t="s">
        <v>130</v>
      </c>
      <c r="CN2250" s="0" t="s">
        <v>130</v>
      </c>
      <c r="CO2250" s="0" t="s">
        <v>130</v>
      </c>
      <c r="CP2250" s="0" t="s">
        <v>130</v>
      </c>
      <c r="CQ2250" s="0" t="s">
        <v>130</v>
      </c>
      <c r="CR2250" s="0" t="s">
        <v>130</v>
      </c>
      <c r="CS2250" s="0" t="s">
        <v>130</v>
      </c>
      <c r="CT2250" s="0" t="s">
        <v>6234</v>
      </c>
    </row>
    <row r="2251">
      <c r="A2251" s="14">
        <v>7791092</v>
      </c>
      <c r="B2251" s="0" t="s">
        <v>3851</v>
      </c>
      <c r="C2251" s="16">
        <f>HYPERLINK("https://eosportal.federatedhermes.com/companies/Q29tcGFueQppODMyNjU=", "BYD Co Ltd")</f>
      </c>
      <c r="D2251" s="0" t="s">
        <v>23</v>
      </c>
      <c r="E2251" s="0" t="s">
        <v>6235</v>
      </c>
      <c r="F2251" s="16">
        <f>HYPERLINK("https://eosportal.federatedhermes.com/engagements/RW5nYWdlbWVudAppMzMwMTg=", "Emissions reduction target")</f>
      </c>
      <c r="G2251" s="14" t="s">
        <v>6236</v>
      </c>
      <c r="H2251" s="0" t="s">
        <v>141</v>
      </c>
      <c r="I2251" s="14" t="s">
        <v>191</v>
      </c>
      <c r="J2251" s="0" t="s">
        <v>197</v>
      </c>
      <c r="K2251" s="0" t="s">
        <v>198</v>
      </c>
      <c r="L2251" s="0" t="s">
        <v>216</v>
      </c>
      <c r="M2251" s="0" t="s">
        <v>2807</v>
      </c>
      <c r="N2251" s="0" t="s">
        <v>3272</v>
      </c>
      <c r="O2251" s="0" t="s">
        <v>425</v>
      </c>
      <c r="Q2251" s="0" t="s">
        <v>141</v>
      </c>
      <c r="R2251" s="0" t="s">
        <v>130</v>
      </c>
      <c r="S2251" s="14">
        <v>2</v>
      </c>
      <c r="T2251" s="0" t="s">
        <v>222</v>
      </c>
      <c r="U2251" s="0" t="s">
        <v>221</v>
      </c>
      <c r="V2251" s="14" t="s">
        <v>222</v>
      </c>
      <c r="W2251" s="0" t="s">
        <v>223</v>
      </c>
      <c r="X2251" s="14" t="s">
        <v>138</v>
      </c>
      <c r="Y2251" s="0" t="s">
        <v>224</v>
      </c>
      <c r="Z2251" s="14" t="s">
        <v>138</v>
      </c>
      <c r="AA2251" s="0" t="s">
        <v>224</v>
      </c>
      <c r="AB2251" s="14" t="s">
        <v>138</v>
      </c>
      <c r="AD2251" s="0" t="s">
        <v>14</v>
      </c>
      <c r="AF2251" s="0">
        <v>0</v>
      </c>
      <c r="AG2251" s="0">
        <v>0</v>
      </c>
      <c r="AH2251" s="0" t="s">
        <v>140</v>
      </c>
      <c r="AI2251" s="0" t="s">
        <v>225</v>
      </c>
      <c r="AK2251" s="0" t="s">
        <v>1151</v>
      </c>
      <c r="AL2251" s="14"/>
      <c r="AN2251" s="14"/>
      <c r="AQ2251" s="0" t="s">
        <v>130</v>
      </c>
      <c r="AR2251" s="0" t="s">
        <v>130</v>
      </c>
      <c r="AS2251" s="0" t="s">
        <v>130</v>
      </c>
      <c r="AT2251" s="0" t="s">
        <v>130</v>
      </c>
      <c r="AU2251" s="0" t="s">
        <v>130</v>
      </c>
      <c r="AV2251" s="0" t="s">
        <v>130</v>
      </c>
      <c r="AW2251" s="0" t="s">
        <v>141</v>
      </c>
      <c r="AX2251" s="0" t="s">
        <v>130</v>
      </c>
      <c r="AY2251" s="0" t="s">
        <v>130</v>
      </c>
      <c r="AZ2251" s="0" t="s">
        <v>130</v>
      </c>
      <c r="BA2251" s="0" t="s">
        <v>130</v>
      </c>
      <c r="BB2251" s="0" t="s">
        <v>130</v>
      </c>
      <c r="BC2251" s="0" t="s">
        <v>141</v>
      </c>
      <c r="BD2251" s="0" t="s">
        <v>130</v>
      </c>
      <c r="BE2251" s="0" t="s">
        <v>130</v>
      </c>
      <c r="BF2251" s="0" t="s">
        <v>130</v>
      </c>
      <c r="BG2251" s="0" t="s">
        <v>130</v>
      </c>
      <c r="BH2251" s="0" t="s">
        <v>141</v>
      </c>
      <c r="BI2251" s="0" t="s">
        <v>141</v>
      </c>
      <c r="BJ2251" s="0" t="s">
        <v>141</v>
      </c>
      <c r="BK2251" s="0" t="s">
        <v>130</v>
      </c>
      <c r="BL2251" s="0" t="s">
        <v>130</v>
      </c>
      <c r="BM2251" s="0" t="s">
        <v>130</v>
      </c>
      <c r="BN2251" s="0" t="s">
        <v>130</v>
      </c>
      <c r="BO2251" s="0" t="s">
        <v>130</v>
      </c>
      <c r="BP2251" s="0" t="s">
        <v>130</v>
      </c>
      <c r="BQ2251" s="0" t="s">
        <v>130</v>
      </c>
      <c r="BR2251" s="0" t="s">
        <v>130</v>
      </c>
      <c r="BS2251" s="0" t="s">
        <v>130</v>
      </c>
      <c r="BT2251" s="0" t="s">
        <v>130</v>
      </c>
      <c r="BU2251" s="0" t="s">
        <v>130</v>
      </c>
      <c r="BV2251" s="0" t="s">
        <v>141</v>
      </c>
      <c r="BW2251" s="0" t="s">
        <v>141</v>
      </c>
      <c r="BX2251" s="0" t="s">
        <v>130</v>
      </c>
      <c r="BY2251" s="0" t="s">
        <v>130</v>
      </c>
      <c r="BZ2251" s="0" t="s">
        <v>130</v>
      </c>
      <c r="CA2251" s="0" t="s">
        <v>130</v>
      </c>
      <c r="CB2251" s="0" t="s">
        <v>130</v>
      </c>
      <c r="CC2251" s="0" t="s">
        <v>130</v>
      </c>
      <c r="CD2251" s="0" t="s">
        <v>130</v>
      </c>
      <c r="CE2251" s="0" t="s">
        <v>130</v>
      </c>
      <c r="CF2251" s="0" t="s">
        <v>130</v>
      </c>
      <c r="CG2251" s="0" t="s">
        <v>130</v>
      </c>
      <c r="CH2251" s="0" t="s">
        <v>130</v>
      </c>
      <c r="CI2251" s="0" t="s">
        <v>130</v>
      </c>
      <c r="CJ2251" s="0" t="s">
        <v>130</v>
      </c>
      <c r="CK2251" s="0" t="s">
        <v>130</v>
      </c>
      <c r="CL2251" s="0" t="s">
        <v>130</v>
      </c>
      <c r="CM2251" s="0" t="s">
        <v>130</v>
      </c>
      <c r="CN2251" s="0" t="s">
        <v>130</v>
      </c>
      <c r="CO2251" s="0" t="s">
        <v>130</v>
      </c>
      <c r="CP2251" s="0" t="s">
        <v>130</v>
      </c>
      <c r="CQ2251" s="0" t="s">
        <v>130</v>
      </c>
      <c r="CR2251" s="0" t="s">
        <v>130</v>
      </c>
      <c r="CS2251" s="0" t="s">
        <v>130</v>
      </c>
      <c r="CT2251" s="0" t="s">
        <v>6237</v>
      </c>
    </row>
    <row r="2252">
      <c r="A2252" s="14">
        <v>1475463</v>
      </c>
      <c r="B2252" s="0" t="s">
        <v>3694</v>
      </c>
      <c r="C2252" s="16">
        <f>HYPERLINK("https://eosportal.federatedhermes.com/companies/Q29tcGFueQppODU4OTA=", "Experian PLC")</f>
      </c>
      <c r="D2252" s="0" t="s">
        <v>25</v>
      </c>
      <c r="E2252" s="0" t="s">
        <v>6238</v>
      </c>
      <c r="F2252" s="16">
        <f>HYPERLINK("https://eosportal.federatedhermes.com/engagements/RW5nYWdlbWVudAppMzMwMjU=", "Carbon Offsetting")</f>
      </c>
      <c r="G2252" s="14" t="s">
        <v>6239</v>
      </c>
      <c r="H2252" s="0" t="s">
        <v>130</v>
      </c>
      <c r="I2252" s="14" t="s">
        <v>319</v>
      </c>
      <c r="J2252" s="0" t="s">
        <v>197</v>
      </c>
      <c r="K2252" s="0" t="s">
        <v>198</v>
      </c>
      <c r="L2252" s="0" t="s">
        <v>199</v>
      </c>
      <c r="M2252" s="0" t="s">
        <v>378</v>
      </c>
      <c r="N2252" s="0" t="s">
        <v>409</v>
      </c>
      <c r="O2252" s="0" t="s">
        <v>176</v>
      </c>
      <c r="Q2252" s="0" t="s">
        <v>130</v>
      </c>
      <c r="R2252" s="0" t="s">
        <v>138</v>
      </c>
      <c r="S2252" s="14">
        <v>0</v>
      </c>
      <c r="T2252" s="0" t="s">
        <v>222</v>
      </c>
      <c r="U2252" s="0" t="s">
        <v>138</v>
      </c>
      <c r="V2252" s="14" t="s">
        <v>138</v>
      </c>
      <c r="W2252" s="0" t="s">
        <v>138</v>
      </c>
      <c r="X2252" s="14" t="s">
        <v>138</v>
      </c>
      <c r="Y2252" s="0" t="s">
        <v>138</v>
      </c>
      <c r="Z2252" s="14" t="s">
        <v>138</v>
      </c>
      <c r="AA2252" s="0" t="s">
        <v>138</v>
      </c>
      <c r="AB2252" s="14" t="s">
        <v>138</v>
      </c>
      <c r="AD2252" s="0" t="s">
        <v>138</v>
      </c>
      <c r="AF2252" s="0">
        <v>0</v>
      </c>
      <c r="AG2252" s="0">
        <v>0</v>
      </c>
      <c r="AH2252" s="0" t="s">
        <v>140</v>
      </c>
      <c r="AI2252" s="0" t="s">
        <v>138</v>
      </c>
      <c r="AL2252" s="14"/>
      <c r="AN2252" s="14"/>
      <c r="AQ2252" s="0" t="s">
        <v>130</v>
      </c>
      <c r="AR2252" s="0" t="s">
        <v>130</v>
      </c>
      <c r="AS2252" s="0" t="s">
        <v>130</v>
      </c>
      <c r="AT2252" s="0" t="s">
        <v>130</v>
      </c>
      <c r="AU2252" s="0" t="s">
        <v>130</v>
      </c>
      <c r="AV2252" s="0" t="s">
        <v>130</v>
      </c>
      <c r="AW2252" s="0" t="s">
        <v>130</v>
      </c>
      <c r="AX2252" s="0" t="s">
        <v>130</v>
      </c>
      <c r="AY2252" s="0" t="s">
        <v>130</v>
      </c>
      <c r="AZ2252" s="0" t="s">
        <v>130</v>
      </c>
      <c r="BA2252" s="0" t="s">
        <v>130</v>
      </c>
      <c r="BB2252" s="0" t="s">
        <v>141</v>
      </c>
      <c r="BC2252" s="0" t="s">
        <v>130</v>
      </c>
      <c r="BD2252" s="0" t="s">
        <v>130</v>
      </c>
      <c r="BE2252" s="0" t="s">
        <v>130</v>
      </c>
      <c r="BF2252" s="0" t="s">
        <v>130</v>
      </c>
      <c r="BG2252" s="0" t="s">
        <v>130</v>
      </c>
      <c r="BH2252" s="0" t="s">
        <v>130</v>
      </c>
      <c r="BI2252" s="0" t="s">
        <v>130</v>
      </c>
      <c r="BJ2252" s="0" t="s">
        <v>130</v>
      </c>
      <c r="BK2252" s="0" t="s">
        <v>130</v>
      </c>
      <c r="BL2252" s="0" t="s">
        <v>130</v>
      </c>
      <c r="BM2252" s="0" t="s">
        <v>130</v>
      </c>
      <c r="BN2252" s="0" t="s">
        <v>130</v>
      </c>
      <c r="BO2252" s="0" t="s">
        <v>130</v>
      </c>
      <c r="BP2252" s="0" t="s">
        <v>130</v>
      </c>
      <c r="BQ2252" s="0" t="s">
        <v>130</v>
      </c>
      <c r="BR2252" s="0" t="s">
        <v>130</v>
      </c>
      <c r="BS2252" s="0" t="s">
        <v>130</v>
      </c>
      <c r="BT2252" s="0" t="s">
        <v>130</v>
      </c>
      <c r="BU2252" s="0" t="s">
        <v>130</v>
      </c>
      <c r="BV2252" s="0" t="s">
        <v>130</v>
      </c>
      <c r="BW2252" s="0" t="s">
        <v>130</v>
      </c>
      <c r="BX2252" s="0" t="s">
        <v>130</v>
      </c>
      <c r="BY2252" s="0" t="s">
        <v>130</v>
      </c>
      <c r="BZ2252" s="0" t="s">
        <v>130</v>
      </c>
      <c r="CA2252" s="0" t="s">
        <v>130</v>
      </c>
      <c r="CB2252" s="0" t="s">
        <v>130</v>
      </c>
      <c r="CC2252" s="0" t="s">
        <v>130</v>
      </c>
      <c r="CD2252" s="0" t="s">
        <v>130</v>
      </c>
      <c r="CE2252" s="0" t="s">
        <v>130</v>
      </c>
      <c r="CF2252" s="0" t="s">
        <v>130</v>
      </c>
      <c r="CG2252" s="0" t="s">
        <v>130</v>
      </c>
      <c r="CH2252" s="0" t="s">
        <v>130</v>
      </c>
      <c r="CI2252" s="0" t="s">
        <v>130</v>
      </c>
      <c r="CJ2252" s="0" t="s">
        <v>130</v>
      </c>
      <c r="CK2252" s="0" t="s">
        <v>130</v>
      </c>
      <c r="CL2252" s="0" t="s">
        <v>130</v>
      </c>
      <c r="CM2252" s="0" t="s">
        <v>130</v>
      </c>
      <c r="CN2252" s="0" t="s">
        <v>130</v>
      </c>
      <c r="CO2252" s="0" t="s">
        <v>130</v>
      </c>
      <c r="CP2252" s="0" t="s">
        <v>130</v>
      </c>
      <c r="CQ2252" s="0" t="s">
        <v>130</v>
      </c>
      <c r="CR2252" s="0" t="s">
        <v>130</v>
      </c>
      <c r="CS2252" s="0" t="s">
        <v>130</v>
      </c>
      <c r="CT2252" s="0" t="s">
        <v>6240</v>
      </c>
    </row>
    <row r="2253">
      <c r="A2253" s="14">
        <v>119133</v>
      </c>
      <c r="B2253" s="0" t="s">
        <v>2973</v>
      </c>
      <c r="C2253" s="16">
        <f>HYPERLINK("https://eosportal.federatedhermes.com/companies/Q29tcGFueQppNzU2NjY=", "Hon Hai Precision Industry Co Ltd")</f>
      </c>
      <c r="D2253" s="0" t="s">
        <v>23</v>
      </c>
      <c r="E2253" s="0" t="s">
        <v>6241</v>
      </c>
      <c r="F2253" s="16">
        <f>HYPERLINK("https://eosportal.federatedhermes.com/engagements/RW5nYWdlbWVudAppMzMwMjY=", "Working condition disclosure in accordance with the WDI framework")</f>
      </c>
      <c r="G2253" s="14" t="s">
        <v>6242</v>
      </c>
      <c r="H2253" s="0" t="s">
        <v>141</v>
      </c>
      <c r="I2253" s="14" t="s">
        <v>191</v>
      </c>
      <c r="J2253" s="0" t="s">
        <v>153</v>
      </c>
      <c r="K2253" s="0" t="s">
        <v>243</v>
      </c>
      <c r="L2253" s="0" t="s">
        <v>244</v>
      </c>
      <c r="M2253" s="0" t="s">
        <v>802</v>
      </c>
      <c r="N2253" s="0" t="s">
        <v>2941</v>
      </c>
      <c r="O2253" s="0" t="s">
        <v>1125</v>
      </c>
      <c r="Q2253" s="0" t="s">
        <v>130</v>
      </c>
      <c r="R2253" s="0" t="s">
        <v>130</v>
      </c>
      <c r="S2253" s="14">
        <v>0</v>
      </c>
      <c r="T2253" s="0" t="s">
        <v>2629</v>
      </c>
      <c r="U2253" s="0" t="s">
        <v>221</v>
      </c>
      <c r="V2253" s="14" t="s">
        <v>2629</v>
      </c>
      <c r="W2253" s="0" t="s">
        <v>221</v>
      </c>
      <c r="X2253" s="14" t="s">
        <v>2629</v>
      </c>
      <c r="Y2253" s="0" t="s">
        <v>223</v>
      </c>
      <c r="Z2253" s="14" t="s">
        <v>138</v>
      </c>
      <c r="AA2253" s="0" t="s">
        <v>224</v>
      </c>
      <c r="AB2253" s="14" t="s">
        <v>138</v>
      </c>
      <c r="AD2253" s="0" t="s">
        <v>17</v>
      </c>
      <c r="AF2253" s="0">
        <v>0</v>
      </c>
      <c r="AG2253" s="0">
        <v>0</v>
      </c>
      <c r="AH2253" s="0" t="s">
        <v>140</v>
      </c>
      <c r="AI2253" s="0" t="s">
        <v>479</v>
      </c>
      <c r="AL2253" s="14"/>
      <c r="AN2253" s="14"/>
      <c r="AQ2253" s="0" t="s">
        <v>130</v>
      </c>
      <c r="AR2253" s="0" t="s">
        <v>130</v>
      </c>
      <c r="AS2253" s="0" t="s">
        <v>130</v>
      </c>
      <c r="AT2253" s="0" t="s">
        <v>130</v>
      </c>
      <c r="AU2253" s="0" t="s">
        <v>130</v>
      </c>
      <c r="AV2253" s="0" t="s">
        <v>130</v>
      </c>
      <c r="AW2253" s="0" t="s">
        <v>130</v>
      </c>
      <c r="AX2253" s="0" t="s">
        <v>141</v>
      </c>
      <c r="AY2253" s="0" t="s">
        <v>130</v>
      </c>
      <c r="AZ2253" s="0" t="s">
        <v>130</v>
      </c>
      <c r="BA2253" s="0" t="s">
        <v>130</v>
      </c>
      <c r="BB2253" s="0" t="s">
        <v>130</v>
      </c>
      <c r="BC2253" s="0" t="s">
        <v>130</v>
      </c>
      <c r="BD2253" s="0" t="s">
        <v>130</v>
      </c>
      <c r="BE2253" s="0" t="s">
        <v>130</v>
      </c>
      <c r="BF2253" s="0" t="s">
        <v>130</v>
      </c>
      <c r="BG2253" s="0" t="s">
        <v>130</v>
      </c>
      <c r="BH2253" s="0" t="s">
        <v>130</v>
      </c>
      <c r="BI2253" s="0" t="s">
        <v>130</v>
      </c>
      <c r="BJ2253" s="0" t="s">
        <v>130</v>
      </c>
      <c r="BK2253" s="0" t="s">
        <v>130</v>
      </c>
      <c r="BL2253" s="0" t="s">
        <v>130</v>
      </c>
      <c r="BM2253" s="0" t="s">
        <v>130</v>
      </c>
      <c r="BN2253" s="0" t="s">
        <v>130</v>
      </c>
      <c r="BO2253" s="0" t="s">
        <v>130</v>
      </c>
      <c r="BP2253" s="0" t="s">
        <v>130</v>
      </c>
      <c r="BQ2253" s="0" t="s">
        <v>130</v>
      </c>
      <c r="BR2253" s="0" t="s">
        <v>130</v>
      </c>
      <c r="BS2253" s="0" t="s">
        <v>130</v>
      </c>
      <c r="BT2253" s="0" t="s">
        <v>130</v>
      </c>
      <c r="BU2253" s="0" t="s">
        <v>130</v>
      </c>
      <c r="BV2253" s="0" t="s">
        <v>130</v>
      </c>
      <c r="BW2253" s="0" t="s">
        <v>130</v>
      </c>
      <c r="BX2253" s="0" t="s">
        <v>130</v>
      </c>
      <c r="BY2253" s="0" t="s">
        <v>130</v>
      </c>
      <c r="BZ2253" s="0" t="s">
        <v>130</v>
      </c>
      <c r="CA2253" s="0" t="s">
        <v>130</v>
      </c>
      <c r="CB2253" s="0" t="s">
        <v>130</v>
      </c>
      <c r="CC2253" s="0" t="s">
        <v>130</v>
      </c>
      <c r="CD2253" s="0" t="s">
        <v>130</v>
      </c>
      <c r="CE2253" s="0" t="s">
        <v>130</v>
      </c>
      <c r="CF2253" s="0" t="s">
        <v>130</v>
      </c>
      <c r="CG2253" s="0" t="s">
        <v>130</v>
      </c>
      <c r="CH2253" s="0" t="s">
        <v>130</v>
      </c>
      <c r="CI2253" s="0" t="s">
        <v>130</v>
      </c>
      <c r="CJ2253" s="0" t="s">
        <v>130</v>
      </c>
      <c r="CK2253" s="0" t="s">
        <v>130</v>
      </c>
      <c r="CL2253" s="0" t="s">
        <v>130</v>
      </c>
      <c r="CM2253" s="0" t="s">
        <v>130</v>
      </c>
      <c r="CN2253" s="0" t="s">
        <v>130</v>
      </c>
      <c r="CO2253" s="0" t="s">
        <v>130</v>
      </c>
      <c r="CP2253" s="0" t="s">
        <v>130</v>
      </c>
      <c r="CQ2253" s="0" t="s">
        <v>130</v>
      </c>
      <c r="CR2253" s="0" t="s">
        <v>130</v>
      </c>
      <c r="CS2253" s="0" t="s">
        <v>130</v>
      </c>
      <c r="CT2253" s="0" t="s">
        <v>6243</v>
      </c>
    </row>
    <row r="2254">
      <c r="A2254" s="14">
        <v>100995</v>
      </c>
      <c r="B2254" s="0" t="s">
        <v>1122</v>
      </c>
      <c r="C2254" s="16">
        <f>HYPERLINK("https://eosportal.federatedhermes.com/companies/Q29tcGFueQppNDQ3Mjc=", "Micron Technology Inc")</f>
      </c>
      <c r="D2254" s="0" t="s">
        <v>23</v>
      </c>
      <c r="E2254" s="0" t="s">
        <v>6105</v>
      </c>
      <c r="F2254" s="16">
        <f>HYPERLINK("https://eosportal.federatedhermes.com/engagements/RW5nYWdlbWVudAppMzMwMjk=", "Ethical AI Principles")</f>
      </c>
      <c r="G2254" s="14" t="s">
        <v>6244</v>
      </c>
      <c r="H2254" s="0" t="s">
        <v>141</v>
      </c>
      <c r="I2254" s="14" t="s">
        <v>191</v>
      </c>
      <c r="J2254" s="0" t="s">
        <v>153</v>
      </c>
      <c r="K2254" s="0" t="s">
        <v>243</v>
      </c>
      <c r="L2254" s="0" t="s">
        <v>537</v>
      </c>
      <c r="M2254" s="0" t="s">
        <v>135</v>
      </c>
      <c r="N2254" s="0" t="s">
        <v>136</v>
      </c>
      <c r="O2254" s="0" t="s">
        <v>1125</v>
      </c>
      <c r="Q2254" s="0" t="s">
        <v>141</v>
      </c>
      <c r="R2254" s="0" t="s">
        <v>141</v>
      </c>
      <c r="S2254" s="14">
        <v>1</v>
      </c>
      <c r="T2254" s="0" t="s">
        <v>2629</v>
      </c>
      <c r="U2254" s="0" t="s">
        <v>221</v>
      </c>
      <c r="V2254" s="14" t="s">
        <v>2629</v>
      </c>
      <c r="W2254" s="0" t="s">
        <v>221</v>
      </c>
      <c r="X2254" s="14" t="s">
        <v>2629</v>
      </c>
      <c r="Y2254" s="0" t="s">
        <v>221</v>
      </c>
      <c r="Z2254" s="14" t="s">
        <v>361</v>
      </c>
      <c r="AA2254" s="0" t="s">
        <v>223</v>
      </c>
      <c r="AB2254" s="14" t="s">
        <v>138</v>
      </c>
      <c r="AC2254" s="0" t="s">
        <v>17</v>
      </c>
      <c r="AD2254" s="0" t="s">
        <v>20</v>
      </c>
      <c r="AE2254" s="0" t="s">
        <v>2266</v>
      </c>
      <c r="AF2254" s="0">
        <v>1</v>
      </c>
      <c r="AG2254" s="0">
        <v>0</v>
      </c>
      <c r="AH2254" s="0" t="s">
        <v>140</v>
      </c>
      <c r="AI2254" s="0" t="s">
        <v>598</v>
      </c>
      <c r="AK2254" s="0" t="s">
        <v>3042</v>
      </c>
      <c r="AL2254" s="14"/>
      <c r="AN2254" s="14"/>
      <c r="AQ2254" s="0" t="s">
        <v>130</v>
      </c>
      <c r="AR2254" s="0" t="s">
        <v>130</v>
      </c>
      <c r="AS2254" s="0" t="s">
        <v>130</v>
      </c>
      <c r="AT2254" s="0" t="s">
        <v>130</v>
      </c>
      <c r="AU2254" s="0" t="s">
        <v>130</v>
      </c>
      <c r="AV2254" s="0" t="s">
        <v>130</v>
      </c>
      <c r="AW2254" s="0" t="s">
        <v>130</v>
      </c>
      <c r="AX2254" s="0" t="s">
        <v>130</v>
      </c>
      <c r="AY2254" s="0" t="s">
        <v>130</v>
      </c>
      <c r="AZ2254" s="0" t="s">
        <v>130</v>
      </c>
      <c r="BA2254" s="0" t="s">
        <v>130</v>
      </c>
      <c r="BB2254" s="0" t="s">
        <v>130</v>
      </c>
      <c r="BC2254" s="0" t="s">
        <v>130</v>
      </c>
      <c r="BD2254" s="0" t="s">
        <v>130</v>
      </c>
      <c r="BE2254" s="0" t="s">
        <v>130</v>
      </c>
      <c r="BF2254" s="0" t="s">
        <v>141</v>
      </c>
      <c r="BG2254" s="0" t="s">
        <v>130</v>
      </c>
      <c r="BH2254" s="0" t="s">
        <v>130</v>
      </c>
      <c r="BI2254" s="0" t="s">
        <v>130</v>
      </c>
      <c r="BJ2254" s="0" t="s">
        <v>130</v>
      </c>
      <c r="BK2254" s="0" t="s">
        <v>130</v>
      </c>
      <c r="BL2254" s="0" t="s">
        <v>130</v>
      </c>
      <c r="BM2254" s="0" t="s">
        <v>130</v>
      </c>
      <c r="BN2254" s="0" t="s">
        <v>130</v>
      </c>
      <c r="BO2254" s="0" t="s">
        <v>130</v>
      </c>
      <c r="BP2254" s="0" t="s">
        <v>130</v>
      </c>
      <c r="BQ2254" s="0" t="s">
        <v>130</v>
      </c>
      <c r="BR2254" s="0" t="s">
        <v>130</v>
      </c>
      <c r="BS2254" s="0" t="s">
        <v>130</v>
      </c>
      <c r="BT2254" s="0" t="s">
        <v>130</v>
      </c>
      <c r="BU2254" s="0" t="s">
        <v>130</v>
      </c>
      <c r="BV2254" s="0" t="s">
        <v>130</v>
      </c>
      <c r="BW2254" s="0" t="s">
        <v>130</v>
      </c>
      <c r="BX2254" s="0" t="s">
        <v>130</v>
      </c>
      <c r="BY2254" s="0" t="s">
        <v>130</v>
      </c>
      <c r="BZ2254" s="0" t="s">
        <v>130</v>
      </c>
      <c r="CA2254" s="0" t="s">
        <v>130</v>
      </c>
      <c r="CB2254" s="0" t="s">
        <v>130</v>
      </c>
      <c r="CC2254" s="0" t="s">
        <v>130</v>
      </c>
      <c r="CD2254" s="0" t="s">
        <v>130</v>
      </c>
      <c r="CE2254" s="0" t="s">
        <v>130</v>
      </c>
      <c r="CF2254" s="0" t="s">
        <v>130</v>
      </c>
      <c r="CG2254" s="0" t="s">
        <v>130</v>
      </c>
      <c r="CH2254" s="0" t="s">
        <v>130</v>
      </c>
      <c r="CI2254" s="0" t="s">
        <v>130</v>
      </c>
      <c r="CJ2254" s="0" t="s">
        <v>130</v>
      </c>
      <c r="CK2254" s="0" t="s">
        <v>130</v>
      </c>
      <c r="CL2254" s="0" t="s">
        <v>130</v>
      </c>
      <c r="CM2254" s="0" t="s">
        <v>130</v>
      </c>
      <c r="CN2254" s="0" t="s">
        <v>130</v>
      </c>
      <c r="CO2254" s="0" t="s">
        <v>130</v>
      </c>
      <c r="CP2254" s="0" t="s">
        <v>130</v>
      </c>
      <c r="CQ2254" s="0" t="s">
        <v>130</v>
      </c>
      <c r="CR2254" s="0" t="s">
        <v>130</v>
      </c>
      <c r="CS2254" s="0" t="s">
        <v>130</v>
      </c>
      <c r="CT2254" s="0" t="s">
        <v>6245</v>
      </c>
    </row>
    <row r="2255">
      <c r="A2255" s="14">
        <v>239787</v>
      </c>
      <c r="B2255" s="0" t="s">
        <v>3523</v>
      </c>
      <c r="C2255" s="16">
        <f>HYPERLINK("https://eosportal.federatedhermes.com/companies/Q29tcGFueQppODU4NzI=", "Eurofins Scientific SE")</f>
      </c>
      <c r="D2255" s="0" t="s">
        <v>23</v>
      </c>
      <c r="E2255" s="0" t="s">
        <v>6246</v>
      </c>
      <c r="F2255" s="16">
        <f>HYPERLINK("https://eosportal.federatedhermes.com/engagements/RW5nYWdlbWVudAppMzMwMzY=", "Introduce and monitor human capital management metrics")</f>
      </c>
      <c r="G2255" s="14" t="s">
        <v>6247</v>
      </c>
      <c r="H2255" s="0" t="s">
        <v>130</v>
      </c>
      <c r="I2255" s="14" t="s">
        <v>131</v>
      </c>
      <c r="J2255" s="0" t="s">
        <v>153</v>
      </c>
      <c r="K2255" s="0" t="s">
        <v>154</v>
      </c>
      <c r="L2255" s="0" t="s">
        <v>268</v>
      </c>
      <c r="M2255" s="0" t="s">
        <v>378</v>
      </c>
      <c r="N2255" s="0" t="s">
        <v>3435</v>
      </c>
      <c r="O2255" s="0" t="s">
        <v>274</v>
      </c>
      <c r="Q2255" s="0" t="s">
        <v>141</v>
      </c>
      <c r="R2255" s="0" t="s">
        <v>141</v>
      </c>
      <c r="S2255" s="14">
        <v>1</v>
      </c>
      <c r="T2255" s="0" t="s">
        <v>222</v>
      </c>
      <c r="U2255" s="0" t="s">
        <v>221</v>
      </c>
      <c r="V2255" s="14" t="s">
        <v>222</v>
      </c>
      <c r="W2255" s="0" t="s">
        <v>221</v>
      </c>
      <c r="X2255" s="14" t="s">
        <v>222</v>
      </c>
      <c r="Y2255" s="0" t="s">
        <v>221</v>
      </c>
      <c r="Z2255" s="14" t="s">
        <v>361</v>
      </c>
      <c r="AA2255" s="0" t="s">
        <v>223</v>
      </c>
      <c r="AB2255" s="14" t="s">
        <v>138</v>
      </c>
      <c r="AC2255" s="0" t="s">
        <v>17</v>
      </c>
      <c r="AD2255" s="0" t="s">
        <v>20</v>
      </c>
      <c r="AE2255" s="0" t="s">
        <v>2266</v>
      </c>
      <c r="AF2255" s="0">
        <v>1</v>
      </c>
      <c r="AG2255" s="0">
        <v>0</v>
      </c>
      <c r="AH2255" s="0" t="s">
        <v>140</v>
      </c>
      <c r="AI2255" s="0" t="s">
        <v>598</v>
      </c>
      <c r="AK2255" s="0" t="s">
        <v>2290</v>
      </c>
      <c r="AL2255" s="14"/>
      <c r="AN2255" s="14"/>
      <c r="AQ2255" s="0" t="s">
        <v>130</v>
      </c>
      <c r="AR2255" s="0" t="s">
        <v>130</v>
      </c>
      <c r="AS2255" s="0" t="s">
        <v>130</v>
      </c>
      <c r="AT2255" s="0" t="s">
        <v>130</v>
      </c>
      <c r="AU2255" s="0" t="s">
        <v>130</v>
      </c>
      <c r="AV2255" s="0" t="s">
        <v>130</v>
      </c>
      <c r="AW2255" s="0" t="s">
        <v>130</v>
      </c>
      <c r="AX2255" s="0" t="s">
        <v>141</v>
      </c>
      <c r="AY2255" s="0" t="s">
        <v>130</v>
      </c>
      <c r="AZ2255" s="0" t="s">
        <v>130</v>
      </c>
      <c r="BA2255" s="0" t="s">
        <v>130</v>
      </c>
      <c r="BB2255" s="0" t="s">
        <v>130</v>
      </c>
      <c r="BC2255" s="0" t="s">
        <v>130</v>
      </c>
      <c r="BD2255" s="0" t="s">
        <v>130</v>
      </c>
      <c r="BE2255" s="0" t="s">
        <v>130</v>
      </c>
      <c r="BF2255" s="0" t="s">
        <v>130</v>
      </c>
      <c r="BG2255" s="0" t="s">
        <v>130</v>
      </c>
      <c r="BH2255" s="0" t="s">
        <v>130</v>
      </c>
      <c r="BI2255" s="0" t="s">
        <v>130</v>
      </c>
      <c r="BJ2255" s="0" t="s">
        <v>130</v>
      </c>
      <c r="BK2255" s="0" t="s">
        <v>130</v>
      </c>
      <c r="BL2255" s="0" t="s">
        <v>130</v>
      </c>
      <c r="BM2255" s="0" t="s">
        <v>130</v>
      </c>
      <c r="BN2255" s="0" t="s">
        <v>130</v>
      </c>
      <c r="BO2255" s="0" t="s">
        <v>130</v>
      </c>
      <c r="BP2255" s="0" t="s">
        <v>130</v>
      </c>
      <c r="BQ2255" s="0" t="s">
        <v>130</v>
      </c>
      <c r="BR2255" s="0" t="s">
        <v>130</v>
      </c>
      <c r="BS2255" s="0" t="s">
        <v>130</v>
      </c>
      <c r="BT2255" s="0" t="s">
        <v>130</v>
      </c>
      <c r="BU2255" s="0" t="s">
        <v>130</v>
      </c>
      <c r="BV2255" s="0" t="s">
        <v>130</v>
      </c>
      <c r="BW2255" s="0" t="s">
        <v>130</v>
      </c>
      <c r="BX2255" s="0" t="s">
        <v>130</v>
      </c>
      <c r="BY2255" s="0" t="s">
        <v>130</v>
      </c>
      <c r="BZ2255" s="0" t="s">
        <v>130</v>
      </c>
      <c r="CA2255" s="0" t="s">
        <v>130</v>
      </c>
      <c r="CB2255" s="0" t="s">
        <v>130</v>
      </c>
      <c r="CC2255" s="0" t="s">
        <v>130</v>
      </c>
      <c r="CD2255" s="0" t="s">
        <v>130</v>
      </c>
      <c r="CE2255" s="0" t="s">
        <v>130</v>
      </c>
      <c r="CF2255" s="0" t="s">
        <v>130</v>
      </c>
      <c r="CG2255" s="0" t="s">
        <v>130</v>
      </c>
      <c r="CH2255" s="0" t="s">
        <v>130</v>
      </c>
      <c r="CI2255" s="0" t="s">
        <v>130</v>
      </c>
      <c r="CJ2255" s="0" t="s">
        <v>130</v>
      </c>
      <c r="CK2255" s="0" t="s">
        <v>141</v>
      </c>
      <c r="CL2255" s="0" t="s">
        <v>130</v>
      </c>
      <c r="CM2255" s="0" t="s">
        <v>130</v>
      </c>
      <c r="CN2255" s="0" t="s">
        <v>130</v>
      </c>
      <c r="CO2255" s="0" t="s">
        <v>130</v>
      </c>
      <c r="CP2255" s="0" t="s">
        <v>130</v>
      </c>
      <c r="CQ2255" s="0" t="s">
        <v>130</v>
      </c>
      <c r="CR2255" s="0" t="s">
        <v>130</v>
      </c>
      <c r="CS2255" s="0" t="s">
        <v>130</v>
      </c>
      <c r="CT2255" s="0" t="s">
        <v>6248</v>
      </c>
    </row>
    <row r="2256">
      <c r="A2256" s="14">
        <v>113148</v>
      </c>
      <c r="B2256" s="0" t="s">
        <v>1270</v>
      </c>
      <c r="C2256" s="16">
        <f>HYPERLINK("https://eosportal.federatedhermes.com/companies/Q29tcGFueQppNTIyNjI=", "Woolworths Group Ltd")</f>
      </c>
      <c r="D2256" s="0" t="s">
        <v>25</v>
      </c>
      <c r="E2256" s="0" t="s">
        <v>6249</v>
      </c>
      <c r="F2256" s="16">
        <f>HYPERLINK("https://eosportal.federatedhermes.com/engagements/RW5nYWdlbWVudAppMzMwNTA=", "Climate Change Vote Policy (Laggard)")</f>
      </c>
      <c r="G2256" s="14" t="s">
        <v>6125</v>
      </c>
      <c r="H2256" s="0" t="s">
        <v>130</v>
      </c>
      <c r="I2256" s="14" t="s">
        <v>319</v>
      </c>
      <c r="J2256" s="0" t="s">
        <v>197</v>
      </c>
      <c r="K2256" s="0" t="s">
        <v>198</v>
      </c>
      <c r="L2256" s="0" t="s">
        <v>199</v>
      </c>
      <c r="M2256" s="0" t="s">
        <v>371</v>
      </c>
      <c r="N2256" s="0" t="s">
        <v>372</v>
      </c>
      <c r="O2256" s="0" t="s">
        <v>643</v>
      </c>
      <c r="Q2256" s="0" t="s">
        <v>130</v>
      </c>
      <c r="R2256" s="0" t="s">
        <v>138</v>
      </c>
      <c r="S2256" s="14">
        <v>0</v>
      </c>
      <c r="T2256" s="0" t="s">
        <v>478</v>
      </c>
      <c r="U2256" s="0" t="s">
        <v>138</v>
      </c>
      <c r="V2256" s="14" t="s">
        <v>138</v>
      </c>
      <c r="W2256" s="0" t="s">
        <v>138</v>
      </c>
      <c r="X2256" s="14" t="s">
        <v>138</v>
      </c>
      <c r="Y2256" s="0" t="s">
        <v>138</v>
      </c>
      <c r="Z2256" s="14" t="s">
        <v>138</v>
      </c>
      <c r="AA2256" s="0" t="s">
        <v>138</v>
      </c>
      <c r="AB2256" s="14" t="s">
        <v>138</v>
      </c>
      <c r="AD2256" s="0" t="s">
        <v>138</v>
      </c>
      <c r="AF2256" s="0">
        <v>0</v>
      </c>
      <c r="AG2256" s="0">
        <v>0</v>
      </c>
      <c r="AH2256" s="0" t="s">
        <v>140</v>
      </c>
      <c r="AI2256" s="0" t="s">
        <v>138</v>
      </c>
      <c r="AL2256" s="14"/>
      <c r="AN2256" s="14"/>
      <c r="AQ2256" s="0" t="s">
        <v>130</v>
      </c>
      <c r="AR2256" s="0" t="s">
        <v>130</v>
      </c>
      <c r="AS2256" s="0" t="s">
        <v>130</v>
      </c>
      <c r="AT2256" s="0" t="s">
        <v>130</v>
      </c>
      <c r="AU2256" s="0" t="s">
        <v>130</v>
      </c>
      <c r="AV2256" s="0" t="s">
        <v>130</v>
      </c>
      <c r="AW2256" s="0" t="s">
        <v>130</v>
      </c>
      <c r="AX2256" s="0" t="s">
        <v>130</v>
      </c>
      <c r="AY2256" s="0" t="s">
        <v>130</v>
      </c>
      <c r="AZ2256" s="0" t="s">
        <v>130</v>
      </c>
      <c r="BA2256" s="0" t="s">
        <v>130</v>
      </c>
      <c r="BB2256" s="0" t="s">
        <v>141</v>
      </c>
      <c r="BC2256" s="0" t="s">
        <v>130</v>
      </c>
      <c r="BD2256" s="0" t="s">
        <v>130</v>
      </c>
      <c r="BE2256" s="0" t="s">
        <v>130</v>
      </c>
      <c r="BF2256" s="0" t="s">
        <v>130</v>
      </c>
      <c r="BG2256" s="0" t="s">
        <v>130</v>
      </c>
      <c r="BH2256" s="0" t="s">
        <v>130</v>
      </c>
      <c r="BI2256" s="0" t="s">
        <v>130</v>
      </c>
      <c r="BJ2256" s="0" t="s">
        <v>130</v>
      </c>
      <c r="BK2256" s="0" t="s">
        <v>130</v>
      </c>
      <c r="BL2256" s="0" t="s">
        <v>130</v>
      </c>
      <c r="BM2256" s="0" t="s">
        <v>130</v>
      </c>
      <c r="BN2256" s="0" t="s">
        <v>130</v>
      </c>
      <c r="BO2256" s="0" t="s">
        <v>130</v>
      </c>
      <c r="BP2256" s="0" t="s">
        <v>130</v>
      </c>
      <c r="BQ2256" s="0" t="s">
        <v>130</v>
      </c>
      <c r="BR2256" s="0" t="s">
        <v>130</v>
      </c>
      <c r="BS2256" s="0" t="s">
        <v>130</v>
      </c>
      <c r="BT2256" s="0" t="s">
        <v>130</v>
      </c>
      <c r="BU2256" s="0" t="s">
        <v>130</v>
      </c>
      <c r="BV2256" s="0" t="s">
        <v>130</v>
      </c>
      <c r="BW2256" s="0" t="s">
        <v>130</v>
      </c>
      <c r="BX2256" s="0" t="s">
        <v>130</v>
      </c>
      <c r="BY2256" s="0" t="s">
        <v>130</v>
      </c>
      <c r="BZ2256" s="0" t="s">
        <v>130</v>
      </c>
      <c r="CA2256" s="0" t="s">
        <v>130</v>
      </c>
      <c r="CB2256" s="0" t="s">
        <v>130</v>
      </c>
      <c r="CC2256" s="0" t="s">
        <v>130</v>
      </c>
      <c r="CD2256" s="0" t="s">
        <v>130</v>
      </c>
      <c r="CE2256" s="0" t="s">
        <v>130</v>
      </c>
      <c r="CF2256" s="0" t="s">
        <v>130</v>
      </c>
      <c r="CG2256" s="0" t="s">
        <v>130</v>
      </c>
      <c r="CH2256" s="0" t="s">
        <v>130</v>
      </c>
      <c r="CI2256" s="0" t="s">
        <v>130</v>
      </c>
      <c r="CJ2256" s="0" t="s">
        <v>130</v>
      </c>
      <c r="CK2256" s="0" t="s">
        <v>130</v>
      </c>
      <c r="CL2256" s="0" t="s">
        <v>130</v>
      </c>
      <c r="CM2256" s="0" t="s">
        <v>130</v>
      </c>
      <c r="CN2256" s="0" t="s">
        <v>130</v>
      </c>
      <c r="CO2256" s="0" t="s">
        <v>130</v>
      </c>
      <c r="CP2256" s="0" t="s">
        <v>130</v>
      </c>
      <c r="CQ2256" s="0" t="s">
        <v>130</v>
      </c>
      <c r="CR2256" s="0" t="s">
        <v>130</v>
      </c>
      <c r="CS2256" s="0" t="s">
        <v>130</v>
      </c>
      <c r="CT2256" s="0" t="s">
        <v>6250</v>
      </c>
    </row>
    <row r="2257">
      <c r="A2257" s="14">
        <v>115675</v>
      </c>
      <c r="B2257" s="0" t="s">
        <v>2585</v>
      </c>
      <c r="C2257" s="16">
        <f>HYPERLINK("https://eosportal.federatedhermes.com/companies/Q29tcGFueQppNjI0NzI=", "RWE AG")</f>
      </c>
      <c r="D2257" s="0" t="s">
        <v>25</v>
      </c>
      <c r="E2257" s="0" t="s">
        <v>6251</v>
      </c>
      <c r="F2257" s="16">
        <f>HYPERLINK("https://eosportal.federatedhermes.com/engagements/RW5nYWdlbWVudAppMzMwNjA=", "Human rights progress")</f>
      </c>
      <c r="G2257" s="14" t="s">
        <v>6252</v>
      </c>
      <c r="H2257" s="0" t="s">
        <v>141</v>
      </c>
      <c r="I2257" s="14" t="s">
        <v>191</v>
      </c>
      <c r="J2257" s="0" t="s">
        <v>153</v>
      </c>
      <c r="K2257" s="0" t="s">
        <v>243</v>
      </c>
      <c r="L2257" s="0" t="s">
        <v>244</v>
      </c>
      <c r="M2257" s="0" t="s">
        <v>378</v>
      </c>
      <c r="N2257" s="0" t="s">
        <v>2485</v>
      </c>
      <c r="O2257" s="0" t="s">
        <v>192</v>
      </c>
      <c r="Q2257" s="0" t="s">
        <v>130</v>
      </c>
      <c r="R2257" s="0" t="s">
        <v>138</v>
      </c>
      <c r="S2257" s="14">
        <v>0</v>
      </c>
      <c r="T2257" s="0" t="s">
        <v>478</v>
      </c>
      <c r="U2257" s="0" t="s">
        <v>138</v>
      </c>
      <c r="V2257" s="14" t="s">
        <v>138</v>
      </c>
      <c r="W2257" s="0" t="s">
        <v>138</v>
      </c>
      <c r="X2257" s="14" t="s">
        <v>138</v>
      </c>
      <c r="Y2257" s="0" t="s">
        <v>138</v>
      </c>
      <c r="Z2257" s="14" t="s">
        <v>138</v>
      </c>
      <c r="AA2257" s="0" t="s">
        <v>138</v>
      </c>
      <c r="AB2257" s="14" t="s">
        <v>138</v>
      </c>
      <c r="AD2257" s="0" t="s">
        <v>138</v>
      </c>
      <c r="AF2257" s="0">
        <v>0</v>
      </c>
      <c r="AG2257" s="0">
        <v>0</v>
      </c>
      <c r="AH2257" s="0" t="s">
        <v>140</v>
      </c>
      <c r="AI2257" s="0" t="s">
        <v>138</v>
      </c>
      <c r="AL2257" s="14"/>
      <c r="AN2257" s="14"/>
      <c r="AQ2257" s="0" t="s">
        <v>130</v>
      </c>
      <c r="AR2257" s="0" t="s">
        <v>130</v>
      </c>
      <c r="AS2257" s="0" t="s">
        <v>130</v>
      </c>
      <c r="AT2257" s="0" t="s">
        <v>130</v>
      </c>
      <c r="AU2257" s="0" t="s">
        <v>130</v>
      </c>
      <c r="AV2257" s="0" t="s">
        <v>130</v>
      </c>
      <c r="AW2257" s="0" t="s">
        <v>130</v>
      </c>
      <c r="AX2257" s="0" t="s">
        <v>141</v>
      </c>
      <c r="AY2257" s="0" t="s">
        <v>130</v>
      </c>
      <c r="AZ2257" s="0" t="s">
        <v>130</v>
      </c>
      <c r="BA2257" s="0" t="s">
        <v>130</v>
      </c>
      <c r="BB2257" s="0" t="s">
        <v>130</v>
      </c>
      <c r="BC2257" s="0" t="s">
        <v>130</v>
      </c>
      <c r="BD2257" s="0" t="s">
        <v>130</v>
      </c>
      <c r="BE2257" s="0" t="s">
        <v>130</v>
      </c>
      <c r="BF2257" s="0" t="s">
        <v>130</v>
      </c>
      <c r="BG2257" s="0" t="s">
        <v>130</v>
      </c>
      <c r="BH2257" s="0" t="s">
        <v>130</v>
      </c>
      <c r="BI2257" s="0" t="s">
        <v>130</v>
      </c>
      <c r="BJ2257" s="0" t="s">
        <v>130</v>
      </c>
      <c r="BK2257" s="0" t="s">
        <v>130</v>
      </c>
      <c r="BL2257" s="0" t="s">
        <v>130</v>
      </c>
      <c r="BM2257" s="0" t="s">
        <v>130</v>
      </c>
      <c r="BN2257" s="0" t="s">
        <v>130</v>
      </c>
      <c r="BO2257" s="0" t="s">
        <v>130</v>
      </c>
      <c r="BP2257" s="0" t="s">
        <v>130</v>
      </c>
      <c r="BQ2257" s="0" t="s">
        <v>130</v>
      </c>
      <c r="BR2257" s="0" t="s">
        <v>130</v>
      </c>
      <c r="BS2257" s="0" t="s">
        <v>130</v>
      </c>
      <c r="BT2257" s="0" t="s">
        <v>130</v>
      </c>
      <c r="BU2257" s="0" t="s">
        <v>130</v>
      </c>
      <c r="BV2257" s="0" t="s">
        <v>130</v>
      </c>
      <c r="BW2257" s="0" t="s">
        <v>130</v>
      </c>
      <c r="BX2257" s="0" t="s">
        <v>130</v>
      </c>
      <c r="BY2257" s="0" t="s">
        <v>130</v>
      </c>
      <c r="BZ2257" s="0" t="s">
        <v>130</v>
      </c>
      <c r="CA2257" s="0" t="s">
        <v>130</v>
      </c>
      <c r="CB2257" s="0" t="s">
        <v>130</v>
      </c>
      <c r="CC2257" s="0" t="s">
        <v>130</v>
      </c>
      <c r="CD2257" s="0" t="s">
        <v>130</v>
      </c>
      <c r="CE2257" s="0" t="s">
        <v>130</v>
      </c>
      <c r="CF2257" s="0" t="s">
        <v>130</v>
      </c>
      <c r="CG2257" s="0" t="s">
        <v>130</v>
      </c>
      <c r="CH2257" s="0" t="s">
        <v>130</v>
      </c>
      <c r="CI2257" s="0" t="s">
        <v>130</v>
      </c>
      <c r="CJ2257" s="0" t="s">
        <v>130</v>
      </c>
      <c r="CK2257" s="0" t="s">
        <v>130</v>
      </c>
      <c r="CL2257" s="0" t="s">
        <v>130</v>
      </c>
      <c r="CM2257" s="0" t="s">
        <v>130</v>
      </c>
      <c r="CN2257" s="0" t="s">
        <v>130</v>
      </c>
      <c r="CO2257" s="0" t="s">
        <v>130</v>
      </c>
      <c r="CP2257" s="0" t="s">
        <v>130</v>
      </c>
      <c r="CQ2257" s="0" t="s">
        <v>130</v>
      </c>
      <c r="CR2257" s="0" t="s">
        <v>130</v>
      </c>
      <c r="CS2257" s="0" t="s">
        <v>130</v>
      </c>
      <c r="CT2257" s="0" t="s">
        <v>6253</v>
      </c>
    </row>
    <row r="2258">
      <c r="A2258" s="14">
        <v>115518</v>
      </c>
      <c r="B2258" s="0" t="s">
        <v>2451</v>
      </c>
      <c r="C2258" s="16">
        <f>HYPERLINK("https://eosportal.federatedhermes.com/companies/Q29tcGFueQppNjMxNjU=", "Schneider Electric SE")</f>
      </c>
      <c r="D2258" s="0" t="s">
        <v>25</v>
      </c>
      <c r="E2258" s="0" t="s">
        <v>6133</v>
      </c>
      <c r="F2258" s="16">
        <f>HYPERLINK("https://eosportal.federatedhermes.com/engagements/RW5nYWdlbWVudAppMzMwNjY=", "Net Zero Transition Plan (NZEI)")</f>
      </c>
      <c r="G2258" s="14" t="s">
        <v>6134</v>
      </c>
      <c r="H2258" s="0" t="s">
        <v>141</v>
      </c>
      <c r="I2258" s="14" t="s">
        <v>131</v>
      </c>
      <c r="J2258" s="0" t="s">
        <v>197</v>
      </c>
      <c r="K2258" s="0" t="s">
        <v>198</v>
      </c>
      <c r="L2258" s="0" t="s">
        <v>216</v>
      </c>
      <c r="M2258" s="0" t="s">
        <v>378</v>
      </c>
      <c r="N2258" s="0" t="s">
        <v>1646</v>
      </c>
      <c r="O2258" s="0" t="s">
        <v>176</v>
      </c>
      <c r="Q2258" s="0" t="s">
        <v>130</v>
      </c>
      <c r="R2258" s="0" t="s">
        <v>138</v>
      </c>
      <c r="S2258" s="14">
        <v>0</v>
      </c>
      <c r="T2258" s="0" t="s">
        <v>2629</v>
      </c>
      <c r="U2258" s="0" t="s">
        <v>138</v>
      </c>
      <c r="V2258" s="14" t="s">
        <v>138</v>
      </c>
      <c r="W2258" s="0" t="s">
        <v>138</v>
      </c>
      <c r="X2258" s="14" t="s">
        <v>138</v>
      </c>
      <c r="Y2258" s="0" t="s">
        <v>138</v>
      </c>
      <c r="Z2258" s="14" t="s">
        <v>138</v>
      </c>
      <c r="AA2258" s="0" t="s">
        <v>138</v>
      </c>
      <c r="AB2258" s="14" t="s">
        <v>138</v>
      </c>
      <c r="AD2258" s="0" t="s">
        <v>138</v>
      </c>
      <c r="AF2258" s="0">
        <v>0</v>
      </c>
      <c r="AG2258" s="0">
        <v>0</v>
      </c>
      <c r="AH2258" s="0" t="s">
        <v>140</v>
      </c>
      <c r="AI2258" s="0" t="s">
        <v>138</v>
      </c>
      <c r="AL2258" s="14"/>
      <c r="AN2258" s="14"/>
      <c r="AQ2258" s="0" t="s">
        <v>130</v>
      </c>
      <c r="AR2258" s="0" t="s">
        <v>130</v>
      </c>
      <c r="AS2258" s="0" t="s">
        <v>130</v>
      </c>
      <c r="AT2258" s="0" t="s">
        <v>130</v>
      </c>
      <c r="AU2258" s="0" t="s">
        <v>130</v>
      </c>
      <c r="AV2258" s="0" t="s">
        <v>130</v>
      </c>
      <c r="AW2258" s="0" t="s">
        <v>141</v>
      </c>
      <c r="AX2258" s="0" t="s">
        <v>130</v>
      </c>
      <c r="AY2258" s="0" t="s">
        <v>130</v>
      </c>
      <c r="AZ2258" s="0" t="s">
        <v>130</v>
      </c>
      <c r="BA2258" s="0" t="s">
        <v>130</v>
      </c>
      <c r="BB2258" s="0" t="s">
        <v>130</v>
      </c>
      <c r="BC2258" s="0" t="s">
        <v>141</v>
      </c>
      <c r="BD2258" s="0" t="s">
        <v>130</v>
      </c>
      <c r="BE2258" s="0" t="s">
        <v>130</v>
      </c>
      <c r="BF2258" s="0" t="s">
        <v>130</v>
      </c>
      <c r="BG2258" s="0" t="s">
        <v>130</v>
      </c>
      <c r="BH2258" s="0" t="s">
        <v>141</v>
      </c>
      <c r="BI2258" s="0" t="s">
        <v>141</v>
      </c>
      <c r="BJ2258" s="0" t="s">
        <v>141</v>
      </c>
      <c r="BK2258" s="0" t="s">
        <v>130</v>
      </c>
      <c r="BL2258" s="0" t="s">
        <v>130</v>
      </c>
      <c r="BM2258" s="0" t="s">
        <v>130</v>
      </c>
      <c r="BN2258" s="0" t="s">
        <v>130</v>
      </c>
      <c r="BO2258" s="0" t="s">
        <v>130</v>
      </c>
      <c r="BP2258" s="0" t="s">
        <v>130</v>
      </c>
      <c r="BQ2258" s="0" t="s">
        <v>130</v>
      </c>
      <c r="BR2258" s="0" t="s">
        <v>130</v>
      </c>
      <c r="BS2258" s="0" t="s">
        <v>130</v>
      </c>
      <c r="BT2258" s="0" t="s">
        <v>130</v>
      </c>
      <c r="BU2258" s="0" t="s">
        <v>130</v>
      </c>
      <c r="BV2258" s="0" t="s">
        <v>141</v>
      </c>
      <c r="BW2258" s="0" t="s">
        <v>141</v>
      </c>
      <c r="BX2258" s="0" t="s">
        <v>130</v>
      </c>
      <c r="BY2258" s="0" t="s">
        <v>130</v>
      </c>
      <c r="BZ2258" s="0" t="s">
        <v>130</v>
      </c>
      <c r="CA2258" s="0" t="s">
        <v>130</v>
      </c>
      <c r="CB2258" s="0" t="s">
        <v>130</v>
      </c>
      <c r="CC2258" s="0" t="s">
        <v>130</v>
      </c>
      <c r="CD2258" s="0" t="s">
        <v>130</v>
      </c>
      <c r="CE2258" s="0" t="s">
        <v>130</v>
      </c>
      <c r="CF2258" s="0" t="s">
        <v>130</v>
      </c>
      <c r="CG2258" s="0" t="s">
        <v>130</v>
      </c>
      <c r="CH2258" s="0" t="s">
        <v>130</v>
      </c>
      <c r="CI2258" s="0" t="s">
        <v>130</v>
      </c>
      <c r="CJ2258" s="0" t="s">
        <v>130</v>
      </c>
      <c r="CK2258" s="0" t="s">
        <v>130</v>
      </c>
      <c r="CL2258" s="0" t="s">
        <v>130</v>
      </c>
      <c r="CM2258" s="0" t="s">
        <v>130</v>
      </c>
      <c r="CN2258" s="0" t="s">
        <v>130</v>
      </c>
      <c r="CO2258" s="0" t="s">
        <v>130</v>
      </c>
      <c r="CP2258" s="0" t="s">
        <v>130</v>
      </c>
      <c r="CQ2258" s="0" t="s">
        <v>130</v>
      </c>
      <c r="CR2258" s="0" t="s">
        <v>130</v>
      </c>
      <c r="CS2258" s="0" t="s">
        <v>130</v>
      </c>
      <c r="CT2258" s="0" t="s">
        <v>6254</v>
      </c>
    </row>
    <row r="2259">
      <c r="A2259" s="14">
        <v>11204665</v>
      </c>
      <c r="B2259" s="0" t="s">
        <v>3998</v>
      </c>
      <c r="C2259" s="16">
        <f>HYPERLINK("https://eosportal.federatedhermes.com/companies/Q29tcGFueQppNjQ2NDE=", "Brambles Ltd")</f>
      </c>
      <c r="D2259" s="0" t="s">
        <v>25</v>
      </c>
      <c r="E2259" s="0" t="s">
        <v>473</v>
      </c>
      <c r="F2259" s="16">
        <f>HYPERLINK("https://eosportal.federatedhermes.com/engagements/RW5nYWdlbWVudAppMzMwNzE=", "Auditor rotation")</f>
      </c>
      <c r="G2259" s="14" t="s">
        <v>6255</v>
      </c>
      <c r="H2259" s="0" t="s">
        <v>130</v>
      </c>
      <c r="I2259" s="14" t="s">
        <v>319</v>
      </c>
      <c r="J2259" s="0" t="s">
        <v>132</v>
      </c>
      <c r="K2259" s="0" t="s">
        <v>170</v>
      </c>
      <c r="L2259" s="0" t="s">
        <v>310</v>
      </c>
      <c r="M2259" s="0" t="s">
        <v>371</v>
      </c>
      <c r="N2259" s="0" t="s">
        <v>372</v>
      </c>
      <c r="O2259" s="0" t="s">
        <v>176</v>
      </c>
      <c r="Q2259" s="0" t="s">
        <v>130</v>
      </c>
      <c r="R2259" s="0" t="s">
        <v>138</v>
      </c>
      <c r="S2259" s="14">
        <v>0</v>
      </c>
      <c r="T2259" s="0" t="s">
        <v>222</v>
      </c>
      <c r="U2259" s="0" t="s">
        <v>138</v>
      </c>
      <c r="V2259" s="14" t="s">
        <v>138</v>
      </c>
      <c r="W2259" s="0" t="s">
        <v>138</v>
      </c>
      <c r="X2259" s="14" t="s">
        <v>138</v>
      </c>
      <c r="Y2259" s="0" t="s">
        <v>138</v>
      </c>
      <c r="Z2259" s="14" t="s">
        <v>138</v>
      </c>
      <c r="AA2259" s="0" t="s">
        <v>138</v>
      </c>
      <c r="AB2259" s="14" t="s">
        <v>138</v>
      </c>
      <c r="AD2259" s="0" t="s">
        <v>138</v>
      </c>
      <c r="AF2259" s="0">
        <v>0</v>
      </c>
      <c r="AG2259" s="0">
        <v>0</v>
      </c>
      <c r="AH2259" s="0" t="s">
        <v>140</v>
      </c>
      <c r="AI2259" s="0" t="s">
        <v>138</v>
      </c>
      <c r="AL2259" s="14"/>
      <c r="AN2259" s="14"/>
      <c r="AQ2259" s="0" t="s">
        <v>130</v>
      </c>
      <c r="AR2259" s="0" t="s">
        <v>130</v>
      </c>
      <c r="AS2259" s="0" t="s">
        <v>130</v>
      </c>
      <c r="AT2259" s="0" t="s">
        <v>130</v>
      </c>
      <c r="AU2259" s="0" t="s">
        <v>130</v>
      </c>
      <c r="AV2259" s="0" t="s">
        <v>130</v>
      </c>
      <c r="AW2259" s="0" t="s">
        <v>130</v>
      </c>
      <c r="AX2259" s="0" t="s">
        <v>130</v>
      </c>
      <c r="AY2259" s="0" t="s">
        <v>130</v>
      </c>
      <c r="AZ2259" s="0" t="s">
        <v>130</v>
      </c>
      <c r="BA2259" s="0" t="s">
        <v>130</v>
      </c>
      <c r="BB2259" s="0" t="s">
        <v>130</v>
      </c>
      <c r="BC2259" s="0" t="s">
        <v>130</v>
      </c>
      <c r="BD2259" s="0" t="s">
        <v>130</v>
      </c>
      <c r="BE2259" s="0" t="s">
        <v>130</v>
      </c>
      <c r="BF2259" s="0" t="s">
        <v>130</v>
      </c>
      <c r="BG2259" s="0" t="s">
        <v>130</v>
      </c>
      <c r="BH2259" s="0" t="s">
        <v>130</v>
      </c>
      <c r="BI2259" s="0" t="s">
        <v>130</v>
      </c>
      <c r="BJ2259" s="0" t="s">
        <v>130</v>
      </c>
      <c r="BK2259" s="0" t="s">
        <v>130</v>
      </c>
      <c r="BL2259" s="0" t="s">
        <v>130</v>
      </c>
      <c r="BM2259" s="0" t="s">
        <v>130</v>
      </c>
      <c r="BN2259" s="0" t="s">
        <v>130</v>
      </c>
      <c r="BO2259" s="0" t="s">
        <v>130</v>
      </c>
      <c r="BP2259" s="0" t="s">
        <v>130</v>
      </c>
      <c r="BQ2259" s="0" t="s">
        <v>130</v>
      </c>
      <c r="BR2259" s="0" t="s">
        <v>130</v>
      </c>
      <c r="BS2259" s="0" t="s">
        <v>130</v>
      </c>
      <c r="BT2259" s="0" t="s">
        <v>130</v>
      </c>
      <c r="BU2259" s="0" t="s">
        <v>130</v>
      </c>
      <c r="BV2259" s="0" t="s">
        <v>130</v>
      </c>
      <c r="BW2259" s="0" t="s">
        <v>130</v>
      </c>
      <c r="BX2259" s="0" t="s">
        <v>130</v>
      </c>
      <c r="BY2259" s="0" t="s">
        <v>130</v>
      </c>
      <c r="BZ2259" s="0" t="s">
        <v>130</v>
      </c>
      <c r="CA2259" s="0" t="s">
        <v>130</v>
      </c>
      <c r="CB2259" s="0" t="s">
        <v>130</v>
      </c>
      <c r="CC2259" s="0" t="s">
        <v>130</v>
      </c>
      <c r="CD2259" s="0" t="s">
        <v>130</v>
      </c>
      <c r="CE2259" s="0" t="s">
        <v>130</v>
      </c>
      <c r="CF2259" s="0" t="s">
        <v>130</v>
      </c>
      <c r="CG2259" s="0" t="s">
        <v>130</v>
      </c>
      <c r="CH2259" s="0" t="s">
        <v>130</v>
      </c>
      <c r="CI2259" s="0" t="s">
        <v>130</v>
      </c>
      <c r="CJ2259" s="0" t="s">
        <v>130</v>
      </c>
      <c r="CK2259" s="0" t="s">
        <v>130</v>
      </c>
      <c r="CL2259" s="0" t="s">
        <v>130</v>
      </c>
      <c r="CM2259" s="0" t="s">
        <v>130</v>
      </c>
      <c r="CN2259" s="0" t="s">
        <v>130</v>
      </c>
      <c r="CO2259" s="0" t="s">
        <v>130</v>
      </c>
      <c r="CP2259" s="0" t="s">
        <v>130</v>
      </c>
      <c r="CQ2259" s="0" t="s">
        <v>130</v>
      </c>
      <c r="CR2259" s="0" t="s">
        <v>130</v>
      </c>
      <c r="CS2259" s="0" t="s">
        <v>130</v>
      </c>
      <c r="CT2259" s="0" t="s">
        <v>6256</v>
      </c>
    </row>
    <row r="2260">
      <c r="A2260" s="14">
        <v>38799931</v>
      </c>
      <c r="B2260" s="0" t="s">
        <v>4492</v>
      </c>
      <c r="C2260" s="16">
        <f>HYPERLINK("https://eosportal.federatedhermes.com/companies/Q29tcGFueQppNzM3OTk=", "JD.com Inc")</f>
      </c>
      <c r="D2260" s="0" t="s">
        <v>25</v>
      </c>
      <c r="E2260" s="0" t="s">
        <v>6257</v>
      </c>
      <c r="F2260" s="16">
        <f>HYPERLINK("https://eosportal.federatedhermes.com/engagements/RW5nYWdlbWVudAppMzMwNzU=", "Setting science-based targets at the group level")</f>
      </c>
      <c r="G2260" s="14" t="s">
        <v>6258</v>
      </c>
      <c r="H2260" s="0" t="s">
        <v>141</v>
      </c>
      <c r="I2260" s="14" t="s">
        <v>191</v>
      </c>
      <c r="J2260" s="0" t="s">
        <v>197</v>
      </c>
      <c r="K2260" s="0" t="s">
        <v>198</v>
      </c>
      <c r="L2260" s="0" t="s">
        <v>216</v>
      </c>
      <c r="M2260" s="0" t="s">
        <v>2807</v>
      </c>
      <c r="N2260" s="0" t="s">
        <v>3272</v>
      </c>
      <c r="O2260" s="0" t="s">
        <v>643</v>
      </c>
      <c r="Q2260" s="0" t="s">
        <v>141</v>
      </c>
      <c r="R2260" s="0" t="s">
        <v>138</v>
      </c>
      <c r="S2260" s="14">
        <v>1</v>
      </c>
      <c r="T2260" s="0" t="s">
        <v>478</v>
      </c>
      <c r="U2260" s="0" t="s">
        <v>138</v>
      </c>
      <c r="V2260" s="14" t="s">
        <v>138</v>
      </c>
      <c r="W2260" s="0" t="s">
        <v>138</v>
      </c>
      <c r="X2260" s="14" t="s">
        <v>138</v>
      </c>
      <c r="Y2260" s="0" t="s">
        <v>138</v>
      </c>
      <c r="Z2260" s="14" t="s">
        <v>138</v>
      </c>
      <c r="AA2260" s="0" t="s">
        <v>138</v>
      </c>
      <c r="AB2260" s="14" t="s">
        <v>138</v>
      </c>
      <c r="AD2260" s="0" t="s">
        <v>138</v>
      </c>
      <c r="AF2260" s="0">
        <v>0</v>
      </c>
      <c r="AG2260" s="0">
        <v>0</v>
      </c>
      <c r="AH2260" s="0" t="s">
        <v>140</v>
      </c>
      <c r="AI2260" s="0" t="s">
        <v>138</v>
      </c>
      <c r="AK2260" s="0" t="s">
        <v>1347</v>
      </c>
      <c r="AL2260" s="14"/>
      <c r="AN2260" s="14"/>
      <c r="AQ2260" s="0" t="s">
        <v>130</v>
      </c>
      <c r="AR2260" s="0" t="s">
        <v>130</v>
      </c>
      <c r="AS2260" s="0" t="s">
        <v>130</v>
      </c>
      <c r="AT2260" s="0" t="s">
        <v>130</v>
      </c>
      <c r="AU2260" s="0" t="s">
        <v>130</v>
      </c>
      <c r="AV2260" s="0" t="s">
        <v>130</v>
      </c>
      <c r="AW2260" s="0" t="s">
        <v>141</v>
      </c>
      <c r="AX2260" s="0" t="s">
        <v>130</v>
      </c>
      <c r="AY2260" s="0" t="s">
        <v>130</v>
      </c>
      <c r="AZ2260" s="0" t="s">
        <v>130</v>
      </c>
      <c r="BA2260" s="0" t="s">
        <v>130</v>
      </c>
      <c r="BB2260" s="0" t="s">
        <v>130</v>
      </c>
      <c r="BC2260" s="0" t="s">
        <v>141</v>
      </c>
      <c r="BD2260" s="0" t="s">
        <v>130</v>
      </c>
      <c r="BE2260" s="0" t="s">
        <v>130</v>
      </c>
      <c r="BF2260" s="0" t="s">
        <v>130</v>
      </c>
      <c r="BG2260" s="0" t="s">
        <v>130</v>
      </c>
      <c r="BH2260" s="0" t="s">
        <v>141</v>
      </c>
      <c r="BI2260" s="0" t="s">
        <v>141</v>
      </c>
      <c r="BJ2260" s="0" t="s">
        <v>141</v>
      </c>
      <c r="BK2260" s="0" t="s">
        <v>130</v>
      </c>
      <c r="BL2260" s="0" t="s">
        <v>130</v>
      </c>
      <c r="BM2260" s="0" t="s">
        <v>130</v>
      </c>
      <c r="BN2260" s="0" t="s">
        <v>130</v>
      </c>
      <c r="BO2260" s="0" t="s">
        <v>130</v>
      </c>
      <c r="BP2260" s="0" t="s">
        <v>130</v>
      </c>
      <c r="BQ2260" s="0" t="s">
        <v>130</v>
      </c>
      <c r="BR2260" s="0" t="s">
        <v>130</v>
      </c>
      <c r="BS2260" s="0" t="s">
        <v>130</v>
      </c>
      <c r="BT2260" s="0" t="s">
        <v>130</v>
      </c>
      <c r="BU2260" s="0" t="s">
        <v>130</v>
      </c>
      <c r="BV2260" s="0" t="s">
        <v>141</v>
      </c>
      <c r="BW2260" s="0" t="s">
        <v>141</v>
      </c>
      <c r="BX2260" s="0" t="s">
        <v>130</v>
      </c>
      <c r="BY2260" s="0" t="s">
        <v>130</v>
      </c>
      <c r="BZ2260" s="0" t="s">
        <v>130</v>
      </c>
      <c r="CA2260" s="0" t="s">
        <v>130</v>
      </c>
      <c r="CB2260" s="0" t="s">
        <v>130</v>
      </c>
      <c r="CC2260" s="0" t="s">
        <v>130</v>
      </c>
      <c r="CD2260" s="0" t="s">
        <v>130</v>
      </c>
      <c r="CE2260" s="0" t="s">
        <v>130</v>
      </c>
      <c r="CF2260" s="0" t="s">
        <v>130</v>
      </c>
      <c r="CG2260" s="0" t="s">
        <v>130</v>
      </c>
      <c r="CH2260" s="0" t="s">
        <v>130</v>
      </c>
      <c r="CI2260" s="0" t="s">
        <v>130</v>
      </c>
      <c r="CJ2260" s="0" t="s">
        <v>130</v>
      </c>
      <c r="CK2260" s="0" t="s">
        <v>130</v>
      </c>
      <c r="CL2260" s="0" t="s">
        <v>130</v>
      </c>
      <c r="CM2260" s="0" t="s">
        <v>130</v>
      </c>
      <c r="CN2260" s="0" t="s">
        <v>130</v>
      </c>
      <c r="CO2260" s="0" t="s">
        <v>130</v>
      </c>
      <c r="CP2260" s="0" t="s">
        <v>130</v>
      </c>
      <c r="CQ2260" s="0" t="s">
        <v>130</v>
      </c>
      <c r="CR2260" s="0" t="s">
        <v>130</v>
      </c>
      <c r="CS2260" s="0" t="s">
        <v>130</v>
      </c>
      <c r="CT2260" s="0" t="s">
        <v>6259</v>
      </c>
    </row>
    <row r="2261">
      <c r="A2261" s="14">
        <v>183932</v>
      </c>
      <c r="B2261" s="0" t="s">
        <v>3222</v>
      </c>
      <c r="C2261" s="16">
        <f>HYPERLINK("https://eosportal.federatedhermes.com/companies/Q29tcGFueQppNzU5MzI=", "Orsted AS")</f>
      </c>
      <c r="D2261" s="0" t="s">
        <v>25</v>
      </c>
      <c r="E2261" s="0" t="s">
        <v>6133</v>
      </c>
      <c r="F2261" s="16">
        <f>HYPERLINK("https://eosportal.federatedhermes.com/engagements/RW5nYWdlbWVudAppMzMwNzg=", "Net Zero Transition Plan (NZEI)")</f>
      </c>
      <c r="G2261" s="14" t="s">
        <v>6134</v>
      </c>
      <c r="H2261" s="0" t="s">
        <v>130</v>
      </c>
      <c r="I2261" s="14" t="s">
        <v>131</v>
      </c>
      <c r="J2261" s="0" t="s">
        <v>197</v>
      </c>
      <c r="K2261" s="0" t="s">
        <v>198</v>
      </c>
      <c r="L2261" s="0" t="s">
        <v>216</v>
      </c>
      <c r="M2261" s="0" t="s">
        <v>378</v>
      </c>
      <c r="N2261" s="0" t="s">
        <v>1339</v>
      </c>
      <c r="O2261" s="0" t="s">
        <v>192</v>
      </c>
      <c r="Q2261" s="0" t="s">
        <v>141</v>
      </c>
      <c r="R2261" s="0" t="s">
        <v>138</v>
      </c>
      <c r="S2261" s="14">
        <v>1</v>
      </c>
      <c r="T2261" s="0" t="s">
        <v>2629</v>
      </c>
      <c r="U2261" s="0" t="s">
        <v>138</v>
      </c>
      <c r="V2261" s="14" t="s">
        <v>138</v>
      </c>
      <c r="W2261" s="0" t="s">
        <v>138</v>
      </c>
      <c r="X2261" s="14" t="s">
        <v>138</v>
      </c>
      <c r="Y2261" s="0" t="s">
        <v>138</v>
      </c>
      <c r="Z2261" s="14" t="s">
        <v>138</v>
      </c>
      <c r="AA2261" s="0" t="s">
        <v>138</v>
      </c>
      <c r="AB2261" s="14" t="s">
        <v>138</v>
      </c>
      <c r="AD2261" s="0" t="s">
        <v>138</v>
      </c>
      <c r="AF2261" s="0">
        <v>0</v>
      </c>
      <c r="AG2261" s="0">
        <v>0</v>
      </c>
      <c r="AH2261" s="0" t="s">
        <v>140</v>
      </c>
      <c r="AI2261" s="0" t="s">
        <v>138</v>
      </c>
      <c r="AK2261" s="0" t="s">
        <v>3207</v>
      </c>
      <c r="AL2261" s="14"/>
      <c r="AN2261" s="14"/>
      <c r="AQ2261" s="0" t="s">
        <v>130</v>
      </c>
      <c r="AR2261" s="0" t="s">
        <v>130</v>
      </c>
      <c r="AS2261" s="0" t="s">
        <v>130</v>
      </c>
      <c r="AT2261" s="0" t="s">
        <v>130</v>
      </c>
      <c r="AU2261" s="0" t="s">
        <v>130</v>
      </c>
      <c r="AV2261" s="0" t="s">
        <v>130</v>
      </c>
      <c r="AW2261" s="0" t="s">
        <v>141</v>
      </c>
      <c r="AX2261" s="0" t="s">
        <v>130</v>
      </c>
      <c r="AY2261" s="0" t="s">
        <v>130</v>
      </c>
      <c r="AZ2261" s="0" t="s">
        <v>130</v>
      </c>
      <c r="BA2261" s="0" t="s">
        <v>130</v>
      </c>
      <c r="BB2261" s="0" t="s">
        <v>130</v>
      </c>
      <c r="BC2261" s="0" t="s">
        <v>141</v>
      </c>
      <c r="BD2261" s="0" t="s">
        <v>130</v>
      </c>
      <c r="BE2261" s="0" t="s">
        <v>130</v>
      </c>
      <c r="BF2261" s="0" t="s">
        <v>130</v>
      </c>
      <c r="BG2261" s="0" t="s">
        <v>130</v>
      </c>
      <c r="BH2261" s="0" t="s">
        <v>141</v>
      </c>
      <c r="BI2261" s="0" t="s">
        <v>141</v>
      </c>
      <c r="BJ2261" s="0" t="s">
        <v>141</v>
      </c>
      <c r="BK2261" s="0" t="s">
        <v>130</v>
      </c>
      <c r="BL2261" s="0" t="s">
        <v>130</v>
      </c>
      <c r="BM2261" s="0" t="s">
        <v>130</v>
      </c>
      <c r="BN2261" s="0" t="s">
        <v>130</v>
      </c>
      <c r="BO2261" s="0" t="s">
        <v>130</v>
      </c>
      <c r="BP2261" s="0" t="s">
        <v>130</v>
      </c>
      <c r="BQ2261" s="0" t="s">
        <v>130</v>
      </c>
      <c r="BR2261" s="0" t="s">
        <v>130</v>
      </c>
      <c r="BS2261" s="0" t="s">
        <v>130</v>
      </c>
      <c r="BT2261" s="0" t="s">
        <v>130</v>
      </c>
      <c r="BU2261" s="0" t="s">
        <v>130</v>
      </c>
      <c r="BV2261" s="0" t="s">
        <v>141</v>
      </c>
      <c r="BW2261" s="0" t="s">
        <v>141</v>
      </c>
      <c r="BX2261" s="0" t="s">
        <v>130</v>
      </c>
      <c r="BY2261" s="0" t="s">
        <v>130</v>
      </c>
      <c r="BZ2261" s="0" t="s">
        <v>130</v>
      </c>
      <c r="CA2261" s="0" t="s">
        <v>130</v>
      </c>
      <c r="CB2261" s="0" t="s">
        <v>130</v>
      </c>
      <c r="CC2261" s="0" t="s">
        <v>130</v>
      </c>
      <c r="CD2261" s="0" t="s">
        <v>130</v>
      </c>
      <c r="CE2261" s="0" t="s">
        <v>130</v>
      </c>
      <c r="CF2261" s="0" t="s">
        <v>130</v>
      </c>
      <c r="CG2261" s="0" t="s">
        <v>130</v>
      </c>
      <c r="CH2261" s="0" t="s">
        <v>130</v>
      </c>
      <c r="CI2261" s="0" t="s">
        <v>130</v>
      </c>
      <c r="CJ2261" s="0" t="s">
        <v>130</v>
      </c>
      <c r="CK2261" s="0" t="s">
        <v>130</v>
      </c>
      <c r="CL2261" s="0" t="s">
        <v>130</v>
      </c>
      <c r="CM2261" s="0" t="s">
        <v>130</v>
      </c>
      <c r="CN2261" s="0" t="s">
        <v>130</v>
      </c>
      <c r="CO2261" s="0" t="s">
        <v>130</v>
      </c>
      <c r="CP2261" s="0" t="s">
        <v>130</v>
      </c>
      <c r="CQ2261" s="0" t="s">
        <v>130</v>
      </c>
      <c r="CR2261" s="0" t="s">
        <v>130</v>
      </c>
      <c r="CS2261" s="0" t="s">
        <v>130</v>
      </c>
      <c r="CT2261" s="0" t="s">
        <v>6260</v>
      </c>
    </row>
    <row r="2262">
      <c r="A2262" s="14">
        <v>8641755</v>
      </c>
      <c r="B2262" s="0" t="s">
        <v>3917</v>
      </c>
      <c r="C2262" s="16">
        <f>HYPERLINK("https://eosportal.federatedhermes.com/companies/Q29tcGFueQppODI2NzY=", "Yara International ASA")</f>
      </c>
      <c r="D2262" s="0" t="s">
        <v>25</v>
      </c>
      <c r="E2262" s="0" t="s">
        <v>6133</v>
      </c>
      <c r="F2262" s="16">
        <f>HYPERLINK("https://eosportal.federatedhermes.com/engagements/RW5nYWdlbWVudAppMzMwODc=", "Net Zero Transition Plan (NZEI)")</f>
      </c>
      <c r="G2262" s="14" t="s">
        <v>6261</v>
      </c>
      <c r="H2262" s="0" t="s">
        <v>141</v>
      </c>
      <c r="I2262" s="14" t="s">
        <v>636</v>
      </c>
      <c r="J2262" s="0" t="s">
        <v>197</v>
      </c>
      <c r="K2262" s="0" t="s">
        <v>198</v>
      </c>
      <c r="L2262" s="0" t="s">
        <v>216</v>
      </c>
      <c r="M2262" s="0" t="s">
        <v>378</v>
      </c>
      <c r="N2262" s="0" t="s">
        <v>3211</v>
      </c>
      <c r="O2262" s="0" t="s">
        <v>706</v>
      </c>
      <c r="Q2262" s="0" t="s">
        <v>130</v>
      </c>
      <c r="R2262" s="0" t="s">
        <v>138</v>
      </c>
      <c r="S2262" s="14">
        <v>0</v>
      </c>
      <c r="T2262" s="0" t="s">
        <v>2629</v>
      </c>
      <c r="U2262" s="0" t="s">
        <v>138</v>
      </c>
      <c r="V2262" s="14" t="s">
        <v>138</v>
      </c>
      <c r="W2262" s="0" t="s">
        <v>138</v>
      </c>
      <c r="X2262" s="14" t="s">
        <v>138</v>
      </c>
      <c r="Y2262" s="0" t="s">
        <v>138</v>
      </c>
      <c r="Z2262" s="14" t="s">
        <v>138</v>
      </c>
      <c r="AA2262" s="0" t="s">
        <v>138</v>
      </c>
      <c r="AB2262" s="14" t="s">
        <v>138</v>
      </c>
      <c r="AD2262" s="0" t="s">
        <v>138</v>
      </c>
      <c r="AF2262" s="0">
        <v>0</v>
      </c>
      <c r="AG2262" s="0">
        <v>0</v>
      </c>
      <c r="AH2262" s="0" t="s">
        <v>140</v>
      </c>
      <c r="AI2262" s="0" t="s">
        <v>138</v>
      </c>
      <c r="AL2262" s="14"/>
      <c r="AN2262" s="14"/>
      <c r="AQ2262" s="0" t="s">
        <v>130</v>
      </c>
      <c r="AR2262" s="0" t="s">
        <v>130</v>
      </c>
      <c r="AS2262" s="0" t="s">
        <v>130</v>
      </c>
      <c r="AT2262" s="0" t="s">
        <v>130</v>
      </c>
      <c r="AU2262" s="0" t="s">
        <v>130</v>
      </c>
      <c r="AV2262" s="0" t="s">
        <v>130</v>
      </c>
      <c r="AW2262" s="0" t="s">
        <v>141</v>
      </c>
      <c r="AX2262" s="0" t="s">
        <v>130</v>
      </c>
      <c r="AY2262" s="0" t="s">
        <v>130</v>
      </c>
      <c r="AZ2262" s="0" t="s">
        <v>130</v>
      </c>
      <c r="BA2262" s="0" t="s">
        <v>130</v>
      </c>
      <c r="BB2262" s="0" t="s">
        <v>130</v>
      </c>
      <c r="BC2262" s="0" t="s">
        <v>141</v>
      </c>
      <c r="BD2262" s="0" t="s">
        <v>130</v>
      </c>
      <c r="BE2262" s="0" t="s">
        <v>130</v>
      </c>
      <c r="BF2262" s="0" t="s">
        <v>130</v>
      </c>
      <c r="BG2262" s="0" t="s">
        <v>130</v>
      </c>
      <c r="BH2262" s="0" t="s">
        <v>141</v>
      </c>
      <c r="BI2262" s="0" t="s">
        <v>141</v>
      </c>
      <c r="BJ2262" s="0" t="s">
        <v>141</v>
      </c>
      <c r="BK2262" s="0" t="s">
        <v>130</v>
      </c>
      <c r="BL2262" s="0" t="s">
        <v>130</v>
      </c>
      <c r="BM2262" s="0" t="s">
        <v>130</v>
      </c>
      <c r="BN2262" s="0" t="s">
        <v>130</v>
      </c>
      <c r="BO2262" s="0" t="s">
        <v>130</v>
      </c>
      <c r="BP2262" s="0" t="s">
        <v>130</v>
      </c>
      <c r="BQ2262" s="0" t="s">
        <v>130</v>
      </c>
      <c r="BR2262" s="0" t="s">
        <v>130</v>
      </c>
      <c r="BS2262" s="0" t="s">
        <v>130</v>
      </c>
      <c r="BT2262" s="0" t="s">
        <v>130</v>
      </c>
      <c r="BU2262" s="0" t="s">
        <v>130</v>
      </c>
      <c r="BV2262" s="0" t="s">
        <v>141</v>
      </c>
      <c r="BW2262" s="0" t="s">
        <v>141</v>
      </c>
      <c r="BX2262" s="0" t="s">
        <v>130</v>
      </c>
      <c r="BY2262" s="0" t="s">
        <v>130</v>
      </c>
      <c r="BZ2262" s="0" t="s">
        <v>130</v>
      </c>
      <c r="CA2262" s="0" t="s">
        <v>130</v>
      </c>
      <c r="CB2262" s="0" t="s">
        <v>130</v>
      </c>
      <c r="CC2262" s="0" t="s">
        <v>130</v>
      </c>
      <c r="CD2262" s="0" t="s">
        <v>130</v>
      </c>
      <c r="CE2262" s="0" t="s">
        <v>130</v>
      </c>
      <c r="CF2262" s="0" t="s">
        <v>130</v>
      </c>
      <c r="CG2262" s="0" t="s">
        <v>130</v>
      </c>
      <c r="CH2262" s="0" t="s">
        <v>130</v>
      </c>
      <c r="CI2262" s="0" t="s">
        <v>130</v>
      </c>
      <c r="CJ2262" s="0" t="s">
        <v>130</v>
      </c>
      <c r="CK2262" s="0" t="s">
        <v>130</v>
      </c>
      <c r="CL2262" s="0" t="s">
        <v>130</v>
      </c>
      <c r="CM2262" s="0" t="s">
        <v>130</v>
      </c>
      <c r="CN2262" s="0" t="s">
        <v>130</v>
      </c>
      <c r="CO2262" s="0" t="s">
        <v>130</v>
      </c>
      <c r="CP2262" s="0" t="s">
        <v>130</v>
      </c>
      <c r="CQ2262" s="0" t="s">
        <v>130</v>
      </c>
      <c r="CR2262" s="0" t="s">
        <v>130</v>
      </c>
      <c r="CS2262" s="0" t="s">
        <v>130</v>
      </c>
      <c r="CT2262" s="0" t="s">
        <v>6262</v>
      </c>
    </row>
    <row r="2263">
      <c r="A2263" s="14">
        <v>115785</v>
      </c>
      <c r="B2263" s="0" t="s">
        <v>2695</v>
      </c>
      <c r="C2263" s="16">
        <f>HYPERLINK("https://eosportal.federatedhermes.com/companies/Q29tcGFueQppODU0NDE=", "Roche Holding AG")</f>
      </c>
      <c r="D2263" s="0" t="s">
        <v>25</v>
      </c>
      <c r="E2263" s="0" t="s">
        <v>6133</v>
      </c>
      <c r="F2263" s="16">
        <f>HYPERLINK("https://eosportal.federatedhermes.com/engagements/RW5nYWdlbWVudAppMzMwOTE=", "Net Zero Transition Plan (NZEI)")</f>
      </c>
      <c r="G2263" s="14" t="s">
        <v>6134</v>
      </c>
      <c r="H2263" s="0" t="s">
        <v>141</v>
      </c>
      <c r="I2263" s="14" t="s">
        <v>191</v>
      </c>
      <c r="J2263" s="0" t="s">
        <v>197</v>
      </c>
      <c r="K2263" s="0" t="s">
        <v>198</v>
      </c>
      <c r="L2263" s="0" t="s">
        <v>216</v>
      </c>
      <c r="M2263" s="0" t="s">
        <v>378</v>
      </c>
      <c r="N2263" s="0" t="s">
        <v>1059</v>
      </c>
      <c r="O2263" s="0" t="s">
        <v>274</v>
      </c>
      <c r="Q2263" s="0" t="s">
        <v>130</v>
      </c>
      <c r="R2263" s="0" t="s">
        <v>138</v>
      </c>
      <c r="S2263" s="14">
        <v>0</v>
      </c>
      <c r="T2263" s="0" t="s">
        <v>2629</v>
      </c>
      <c r="U2263" s="0" t="s">
        <v>138</v>
      </c>
      <c r="V2263" s="14" t="s">
        <v>138</v>
      </c>
      <c r="W2263" s="0" t="s">
        <v>138</v>
      </c>
      <c r="X2263" s="14" t="s">
        <v>138</v>
      </c>
      <c r="Y2263" s="0" t="s">
        <v>138</v>
      </c>
      <c r="Z2263" s="14" t="s">
        <v>138</v>
      </c>
      <c r="AA2263" s="0" t="s">
        <v>138</v>
      </c>
      <c r="AB2263" s="14" t="s">
        <v>138</v>
      </c>
      <c r="AD2263" s="0" t="s">
        <v>138</v>
      </c>
      <c r="AF2263" s="0">
        <v>0</v>
      </c>
      <c r="AG2263" s="0">
        <v>0</v>
      </c>
      <c r="AH2263" s="0" t="s">
        <v>140</v>
      </c>
      <c r="AI2263" s="0" t="s">
        <v>138</v>
      </c>
      <c r="AL2263" s="14"/>
      <c r="AN2263" s="14"/>
      <c r="AQ2263" s="0" t="s">
        <v>130</v>
      </c>
      <c r="AR2263" s="0" t="s">
        <v>130</v>
      </c>
      <c r="AS2263" s="0" t="s">
        <v>130</v>
      </c>
      <c r="AT2263" s="0" t="s">
        <v>130</v>
      </c>
      <c r="AU2263" s="0" t="s">
        <v>130</v>
      </c>
      <c r="AV2263" s="0" t="s">
        <v>130</v>
      </c>
      <c r="AW2263" s="0" t="s">
        <v>141</v>
      </c>
      <c r="AX2263" s="0" t="s">
        <v>130</v>
      </c>
      <c r="AY2263" s="0" t="s">
        <v>130</v>
      </c>
      <c r="AZ2263" s="0" t="s">
        <v>130</v>
      </c>
      <c r="BA2263" s="0" t="s">
        <v>130</v>
      </c>
      <c r="BB2263" s="0" t="s">
        <v>130</v>
      </c>
      <c r="BC2263" s="0" t="s">
        <v>141</v>
      </c>
      <c r="BD2263" s="0" t="s">
        <v>130</v>
      </c>
      <c r="BE2263" s="0" t="s">
        <v>130</v>
      </c>
      <c r="BF2263" s="0" t="s">
        <v>130</v>
      </c>
      <c r="BG2263" s="0" t="s">
        <v>130</v>
      </c>
      <c r="BH2263" s="0" t="s">
        <v>141</v>
      </c>
      <c r="BI2263" s="0" t="s">
        <v>141</v>
      </c>
      <c r="BJ2263" s="0" t="s">
        <v>141</v>
      </c>
      <c r="BK2263" s="0" t="s">
        <v>130</v>
      </c>
      <c r="BL2263" s="0" t="s">
        <v>130</v>
      </c>
      <c r="BM2263" s="0" t="s">
        <v>130</v>
      </c>
      <c r="BN2263" s="0" t="s">
        <v>130</v>
      </c>
      <c r="BO2263" s="0" t="s">
        <v>130</v>
      </c>
      <c r="BP2263" s="0" t="s">
        <v>130</v>
      </c>
      <c r="BQ2263" s="0" t="s">
        <v>130</v>
      </c>
      <c r="BR2263" s="0" t="s">
        <v>130</v>
      </c>
      <c r="BS2263" s="0" t="s">
        <v>130</v>
      </c>
      <c r="BT2263" s="0" t="s">
        <v>130</v>
      </c>
      <c r="BU2263" s="0" t="s">
        <v>130</v>
      </c>
      <c r="BV2263" s="0" t="s">
        <v>141</v>
      </c>
      <c r="BW2263" s="0" t="s">
        <v>141</v>
      </c>
      <c r="BX2263" s="0" t="s">
        <v>130</v>
      </c>
      <c r="BY2263" s="0" t="s">
        <v>130</v>
      </c>
      <c r="BZ2263" s="0" t="s">
        <v>130</v>
      </c>
      <c r="CA2263" s="0" t="s">
        <v>130</v>
      </c>
      <c r="CB2263" s="0" t="s">
        <v>130</v>
      </c>
      <c r="CC2263" s="0" t="s">
        <v>130</v>
      </c>
      <c r="CD2263" s="0" t="s">
        <v>130</v>
      </c>
      <c r="CE2263" s="0" t="s">
        <v>130</v>
      </c>
      <c r="CF2263" s="0" t="s">
        <v>130</v>
      </c>
      <c r="CG2263" s="0" t="s">
        <v>130</v>
      </c>
      <c r="CH2263" s="0" t="s">
        <v>130</v>
      </c>
      <c r="CI2263" s="0" t="s">
        <v>130</v>
      </c>
      <c r="CJ2263" s="0" t="s">
        <v>130</v>
      </c>
      <c r="CK2263" s="0" t="s">
        <v>130</v>
      </c>
      <c r="CL2263" s="0" t="s">
        <v>130</v>
      </c>
      <c r="CM2263" s="0" t="s">
        <v>130</v>
      </c>
      <c r="CN2263" s="0" t="s">
        <v>130</v>
      </c>
      <c r="CO2263" s="0" t="s">
        <v>130</v>
      </c>
      <c r="CP2263" s="0" t="s">
        <v>130</v>
      </c>
      <c r="CQ2263" s="0" t="s">
        <v>130</v>
      </c>
      <c r="CR2263" s="0" t="s">
        <v>130</v>
      </c>
      <c r="CS2263" s="0" t="s">
        <v>130</v>
      </c>
      <c r="CT2263" s="0" t="s">
        <v>6263</v>
      </c>
    </row>
    <row r="2264">
      <c r="A2264" s="14">
        <v>101174</v>
      </c>
      <c r="B2264" s="0" t="s">
        <v>1365</v>
      </c>
      <c r="C2264" s="16">
        <f>HYPERLINK("https://eosportal.federatedhermes.com/companies/Q29tcGFueQppNTg5ODc=", "ConocoPhillips")</f>
      </c>
      <c r="D2264" s="0" t="s">
        <v>23</v>
      </c>
      <c r="E2264" s="0" t="s">
        <v>6264</v>
      </c>
      <c r="F2264" s="16">
        <f>HYPERLINK("https://eosportal.federatedhermes.com/engagements/RW5nYWdlbWVudAppMzMwOTQ=", "Tax Transparency Disclosures")</f>
      </c>
      <c r="G2264" s="14" t="s">
        <v>6265</v>
      </c>
      <c r="H2264" s="0" t="s">
        <v>141</v>
      </c>
      <c r="I2264" s="14" t="s">
        <v>191</v>
      </c>
      <c r="J2264" s="0" t="s">
        <v>153</v>
      </c>
      <c r="K2264" s="0" t="s">
        <v>185</v>
      </c>
      <c r="L2264" s="0" t="s">
        <v>548</v>
      </c>
      <c r="M2264" s="0" t="s">
        <v>135</v>
      </c>
      <c r="N2264" s="0" t="s">
        <v>136</v>
      </c>
      <c r="O2264" s="0" t="s">
        <v>542</v>
      </c>
      <c r="Q2264" s="0" t="s">
        <v>130</v>
      </c>
      <c r="R2264" s="0" t="s">
        <v>130</v>
      </c>
      <c r="S2264" s="14">
        <v>0</v>
      </c>
      <c r="T2264" s="0" t="s">
        <v>222</v>
      </c>
      <c r="U2264" s="0" t="s">
        <v>221</v>
      </c>
      <c r="V2264" s="14" t="s">
        <v>222</v>
      </c>
      <c r="W2264" s="0" t="s">
        <v>221</v>
      </c>
      <c r="X2264" s="14" t="s">
        <v>222</v>
      </c>
      <c r="Y2264" s="0" t="s">
        <v>223</v>
      </c>
      <c r="Z2264" s="14" t="s">
        <v>138</v>
      </c>
      <c r="AA2264" s="0" t="s">
        <v>224</v>
      </c>
      <c r="AB2264" s="14" t="s">
        <v>138</v>
      </c>
      <c r="AD2264" s="0" t="s">
        <v>17</v>
      </c>
      <c r="AF2264" s="0">
        <v>0</v>
      </c>
      <c r="AG2264" s="0">
        <v>0</v>
      </c>
      <c r="AH2264" s="0" t="s">
        <v>140</v>
      </c>
      <c r="AI2264" s="0" t="s">
        <v>598</v>
      </c>
      <c r="AL2264" s="14"/>
      <c r="AN2264" s="14"/>
      <c r="AQ2264" s="0" t="s">
        <v>130</v>
      </c>
      <c r="AR2264" s="0" t="s">
        <v>130</v>
      </c>
      <c r="AS2264" s="0" t="s">
        <v>130</v>
      </c>
      <c r="AT2264" s="0" t="s">
        <v>130</v>
      </c>
      <c r="AU2264" s="0" t="s">
        <v>130</v>
      </c>
      <c r="AV2264" s="0" t="s">
        <v>130</v>
      </c>
      <c r="AW2264" s="0" t="s">
        <v>130</v>
      </c>
      <c r="AX2264" s="0" t="s">
        <v>130</v>
      </c>
      <c r="AY2264" s="0" t="s">
        <v>130</v>
      </c>
      <c r="AZ2264" s="0" t="s">
        <v>130</v>
      </c>
      <c r="BA2264" s="0" t="s">
        <v>130</v>
      </c>
      <c r="BB2264" s="0" t="s">
        <v>130</v>
      </c>
      <c r="BC2264" s="0" t="s">
        <v>130</v>
      </c>
      <c r="BD2264" s="0" t="s">
        <v>130</v>
      </c>
      <c r="BE2264" s="0" t="s">
        <v>130</v>
      </c>
      <c r="BF2264" s="0" t="s">
        <v>130</v>
      </c>
      <c r="BG2264" s="0" t="s">
        <v>141</v>
      </c>
      <c r="BH2264" s="0" t="s">
        <v>130</v>
      </c>
      <c r="BI2264" s="0" t="s">
        <v>130</v>
      </c>
      <c r="BJ2264" s="0" t="s">
        <v>130</v>
      </c>
      <c r="BK2264" s="0" t="s">
        <v>130</v>
      </c>
      <c r="BL2264" s="0" t="s">
        <v>130</v>
      </c>
      <c r="BM2264" s="0" t="s">
        <v>130</v>
      </c>
      <c r="BN2264" s="0" t="s">
        <v>130</v>
      </c>
      <c r="BO2264" s="0" t="s">
        <v>130</v>
      </c>
      <c r="BP2264" s="0" t="s">
        <v>130</v>
      </c>
      <c r="BQ2264" s="0" t="s">
        <v>130</v>
      </c>
      <c r="BR2264" s="0" t="s">
        <v>130</v>
      </c>
      <c r="BS2264" s="0" t="s">
        <v>130</v>
      </c>
      <c r="BT2264" s="0" t="s">
        <v>130</v>
      </c>
      <c r="BU2264" s="0" t="s">
        <v>130</v>
      </c>
      <c r="BV2264" s="0" t="s">
        <v>130</v>
      </c>
      <c r="BW2264" s="0" t="s">
        <v>130</v>
      </c>
      <c r="BX2264" s="0" t="s">
        <v>130</v>
      </c>
      <c r="BY2264" s="0" t="s">
        <v>130</v>
      </c>
      <c r="BZ2264" s="0" t="s">
        <v>130</v>
      </c>
      <c r="CA2264" s="0" t="s">
        <v>130</v>
      </c>
      <c r="CB2264" s="0" t="s">
        <v>130</v>
      </c>
      <c r="CC2264" s="0" t="s">
        <v>130</v>
      </c>
      <c r="CD2264" s="0" t="s">
        <v>130</v>
      </c>
      <c r="CE2264" s="0" t="s">
        <v>130</v>
      </c>
      <c r="CF2264" s="0" t="s">
        <v>130</v>
      </c>
      <c r="CG2264" s="0" t="s">
        <v>130</v>
      </c>
      <c r="CH2264" s="0" t="s">
        <v>130</v>
      </c>
      <c r="CI2264" s="0" t="s">
        <v>130</v>
      </c>
      <c r="CJ2264" s="0" t="s">
        <v>130</v>
      </c>
      <c r="CK2264" s="0" t="s">
        <v>130</v>
      </c>
      <c r="CL2264" s="0" t="s">
        <v>130</v>
      </c>
      <c r="CM2264" s="0" t="s">
        <v>130</v>
      </c>
      <c r="CN2264" s="0" t="s">
        <v>130</v>
      </c>
      <c r="CO2264" s="0" t="s">
        <v>130</v>
      </c>
      <c r="CP2264" s="0" t="s">
        <v>130</v>
      </c>
      <c r="CQ2264" s="0" t="s">
        <v>130</v>
      </c>
      <c r="CR2264" s="0" t="s">
        <v>130</v>
      </c>
      <c r="CS2264" s="0" t="s">
        <v>130</v>
      </c>
      <c r="CT2264" s="0" t="s">
        <v>6266</v>
      </c>
    </row>
    <row r="2265">
      <c r="A2265" s="14">
        <v>32348903</v>
      </c>
      <c r="B2265" s="0" t="s">
        <v>4458</v>
      </c>
      <c r="C2265" s="16">
        <f>HYPERLINK("https://eosportal.federatedhermes.com/companies/Q29tcGFueQppNTg5Njk=", "Zoetis Inc")</f>
      </c>
      <c r="D2265" s="0" t="s">
        <v>23</v>
      </c>
      <c r="E2265" s="0" t="s">
        <v>6267</v>
      </c>
      <c r="F2265" s="16">
        <f>HYPERLINK("https://eosportal.federatedhermes.com/engagements/RW5nYWdlbWVudAppMzMwOTc=", "Adopt TNFD recommendations")</f>
      </c>
      <c r="G2265" s="14" t="s">
        <v>6268</v>
      </c>
      <c r="H2265" s="0" t="s">
        <v>141</v>
      </c>
      <c r="I2265" s="14" t="s">
        <v>636</v>
      </c>
      <c r="J2265" s="0" t="s">
        <v>197</v>
      </c>
      <c r="K2265" s="0" t="s">
        <v>337</v>
      </c>
      <c r="L2265" s="0" t="s">
        <v>1222</v>
      </c>
      <c r="M2265" s="0" t="s">
        <v>135</v>
      </c>
      <c r="N2265" s="0" t="s">
        <v>136</v>
      </c>
      <c r="O2265" s="0" t="s">
        <v>274</v>
      </c>
      <c r="Q2265" s="0" t="s">
        <v>141</v>
      </c>
      <c r="R2265" s="0" t="s">
        <v>130</v>
      </c>
      <c r="S2265" s="14">
        <v>1</v>
      </c>
      <c r="T2265" s="0" t="s">
        <v>222</v>
      </c>
      <c r="U2265" s="0" t="s">
        <v>221</v>
      </c>
      <c r="V2265" s="14" t="s">
        <v>222</v>
      </c>
      <c r="W2265" s="0" t="s">
        <v>221</v>
      </c>
      <c r="X2265" s="14" t="s">
        <v>222</v>
      </c>
      <c r="Y2265" s="0" t="s">
        <v>221</v>
      </c>
      <c r="Z2265" s="14" t="s">
        <v>3265</v>
      </c>
      <c r="AA2265" s="0" t="s">
        <v>223</v>
      </c>
      <c r="AB2265" s="14" t="s">
        <v>138</v>
      </c>
      <c r="AD2265" s="0" t="s">
        <v>20</v>
      </c>
      <c r="AF2265" s="0">
        <v>0</v>
      </c>
      <c r="AG2265" s="0">
        <v>0</v>
      </c>
      <c r="AH2265" s="0" t="s">
        <v>140</v>
      </c>
      <c r="AI2265" s="0" t="s">
        <v>598</v>
      </c>
      <c r="AK2265" s="0" t="s">
        <v>1834</v>
      </c>
      <c r="AL2265" s="14"/>
      <c r="AN2265" s="14"/>
      <c r="AQ2265" s="0" t="s">
        <v>130</v>
      </c>
      <c r="AR2265" s="0" t="s">
        <v>130</v>
      </c>
      <c r="AS2265" s="0" t="s">
        <v>130</v>
      </c>
      <c r="AT2265" s="0" t="s">
        <v>130</v>
      </c>
      <c r="AU2265" s="0" t="s">
        <v>130</v>
      </c>
      <c r="AV2265" s="0" t="s">
        <v>130</v>
      </c>
      <c r="AW2265" s="0" t="s">
        <v>130</v>
      </c>
      <c r="AX2265" s="0" t="s">
        <v>130</v>
      </c>
      <c r="AY2265" s="0" t="s">
        <v>130</v>
      </c>
      <c r="AZ2265" s="0" t="s">
        <v>130</v>
      </c>
      <c r="BA2265" s="0" t="s">
        <v>130</v>
      </c>
      <c r="BB2265" s="0" t="s">
        <v>141</v>
      </c>
      <c r="BC2265" s="0" t="s">
        <v>130</v>
      </c>
      <c r="BD2265" s="0" t="s">
        <v>130</v>
      </c>
      <c r="BE2265" s="0" t="s">
        <v>130</v>
      </c>
      <c r="BF2265" s="0" t="s">
        <v>130</v>
      </c>
      <c r="BG2265" s="0" t="s">
        <v>130</v>
      </c>
      <c r="BH2265" s="0" t="s">
        <v>130</v>
      </c>
      <c r="BI2265" s="0" t="s">
        <v>130</v>
      </c>
      <c r="BJ2265" s="0" t="s">
        <v>130</v>
      </c>
      <c r="BK2265" s="0" t="s">
        <v>130</v>
      </c>
      <c r="BL2265" s="0" t="s">
        <v>130</v>
      </c>
      <c r="BM2265" s="0" t="s">
        <v>130</v>
      </c>
      <c r="BN2265" s="0" t="s">
        <v>130</v>
      </c>
      <c r="BO2265" s="0" t="s">
        <v>130</v>
      </c>
      <c r="BP2265" s="0" t="s">
        <v>130</v>
      </c>
      <c r="BQ2265" s="0" t="s">
        <v>130</v>
      </c>
      <c r="BR2265" s="0" t="s">
        <v>130</v>
      </c>
      <c r="BS2265" s="0" t="s">
        <v>130</v>
      </c>
      <c r="BT2265" s="0" t="s">
        <v>130</v>
      </c>
      <c r="BU2265" s="0" t="s">
        <v>130</v>
      </c>
      <c r="BV2265" s="0" t="s">
        <v>130</v>
      </c>
      <c r="BW2265" s="0" t="s">
        <v>130</v>
      </c>
      <c r="BX2265" s="0" t="s">
        <v>130</v>
      </c>
      <c r="BY2265" s="0" t="s">
        <v>130</v>
      </c>
      <c r="BZ2265" s="0" t="s">
        <v>130</v>
      </c>
      <c r="CA2265" s="0" t="s">
        <v>130</v>
      </c>
      <c r="CB2265" s="0" t="s">
        <v>130</v>
      </c>
      <c r="CC2265" s="0" t="s">
        <v>130</v>
      </c>
      <c r="CD2265" s="0" t="s">
        <v>130</v>
      </c>
      <c r="CE2265" s="0" t="s">
        <v>130</v>
      </c>
      <c r="CF2265" s="0" t="s">
        <v>130</v>
      </c>
      <c r="CG2265" s="0" t="s">
        <v>130</v>
      </c>
      <c r="CH2265" s="0" t="s">
        <v>130</v>
      </c>
      <c r="CI2265" s="0" t="s">
        <v>130</v>
      </c>
      <c r="CJ2265" s="0" t="s">
        <v>130</v>
      </c>
      <c r="CK2265" s="0" t="s">
        <v>130</v>
      </c>
      <c r="CL2265" s="0" t="s">
        <v>130</v>
      </c>
      <c r="CM2265" s="0" t="s">
        <v>130</v>
      </c>
      <c r="CN2265" s="0" t="s">
        <v>130</v>
      </c>
      <c r="CO2265" s="0" t="s">
        <v>130</v>
      </c>
      <c r="CP2265" s="0" t="s">
        <v>130</v>
      </c>
      <c r="CQ2265" s="0" t="s">
        <v>130</v>
      </c>
      <c r="CR2265" s="0" t="s">
        <v>130</v>
      </c>
      <c r="CS2265" s="0" t="s">
        <v>130</v>
      </c>
      <c r="CT2265" s="0" t="s">
        <v>6269</v>
      </c>
    </row>
    <row r="2266">
      <c r="A2266" s="14">
        <v>32348903</v>
      </c>
      <c r="B2266" s="0" t="s">
        <v>4458</v>
      </c>
      <c r="C2266" s="16">
        <f>HYPERLINK("https://eosportal.federatedhermes.com/companies/Q29tcGFueQppNTg5Njk=", "Zoetis Inc")</f>
      </c>
      <c r="D2266" s="0" t="s">
        <v>25</v>
      </c>
      <c r="E2266" s="0" t="s">
        <v>6270</v>
      </c>
      <c r="F2266" s="16">
        <f>HYPERLINK("https://eosportal.federatedhermes.com/engagements/RW5nYWdlbWVudAppMzMwOTk=", "Diversity, equity, and inclusion")</f>
      </c>
      <c r="G2266" s="14" t="s">
        <v>6271</v>
      </c>
      <c r="H2266" s="0" t="s">
        <v>141</v>
      </c>
      <c r="I2266" s="14" t="s">
        <v>636</v>
      </c>
      <c r="J2266" s="0" t="s">
        <v>153</v>
      </c>
      <c r="K2266" s="0" t="s">
        <v>154</v>
      </c>
      <c r="L2266" s="0" t="s">
        <v>268</v>
      </c>
      <c r="M2266" s="0" t="s">
        <v>135</v>
      </c>
      <c r="N2266" s="0" t="s">
        <v>136</v>
      </c>
      <c r="O2266" s="0" t="s">
        <v>274</v>
      </c>
      <c r="Q2266" s="0" t="s">
        <v>130</v>
      </c>
      <c r="R2266" s="0" t="s">
        <v>138</v>
      </c>
      <c r="S2266" s="14">
        <v>0</v>
      </c>
      <c r="T2266" s="0" t="s">
        <v>360</v>
      </c>
      <c r="U2266" s="0" t="s">
        <v>138</v>
      </c>
      <c r="V2266" s="14" t="s">
        <v>138</v>
      </c>
      <c r="W2266" s="0" t="s">
        <v>138</v>
      </c>
      <c r="X2266" s="14" t="s">
        <v>138</v>
      </c>
      <c r="Y2266" s="0" t="s">
        <v>138</v>
      </c>
      <c r="Z2266" s="14" t="s">
        <v>138</v>
      </c>
      <c r="AA2266" s="0" t="s">
        <v>138</v>
      </c>
      <c r="AB2266" s="14" t="s">
        <v>138</v>
      </c>
      <c r="AD2266" s="0" t="s">
        <v>138</v>
      </c>
      <c r="AF2266" s="0">
        <v>0</v>
      </c>
      <c r="AG2266" s="0">
        <v>0</v>
      </c>
      <c r="AH2266" s="0" t="s">
        <v>140</v>
      </c>
      <c r="AI2266" s="0" t="s">
        <v>138</v>
      </c>
      <c r="AL2266" s="14"/>
      <c r="AN2266" s="14"/>
      <c r="AQ2266" s="0" t="s">
        <v>130</v>
      </c>
      <c r="AR2266" s="0" t="s">
        <v>130</v>
      </c>
      <c r="AS2266" s="0" t="s">
        <v>130</v>
      </c>
      <c r="AT2266" s="0" t="s">
        <v>130</v>
      </c>
      <c r="AU2266" s="0" t="s">
        <v>130</v>
      </c>
      <c r="AV2266" s="0" t="s">
        <v>130</v>
      </c>
      <c r="AW2266" s="0" t="s">
        <v>130</v>
      </c>
      <c r="AX2266" s="0" t="s">
        <v>130</v>
      </c>
      <c r="AY2266" s="0" t="s">
        <v>130</v>
      </c>
      <c r="AZ2266" s="0" t="s">
        <v>130</v>
      </c>
      <c r="BA2266" s="0" t="s">
        <v>130</v>
      </c>
      <c r="BB2266" s="0" t="s">
        <v>130</v>
      </c>
      <c r="BC2266" s="0" t="s">
        <v>130</v>
      </c>
      <c r="BD2266" s="0" t="s">
        <v>130</v>
      </c>
      <c r="BE2266" s="0" t="s">
        <v>130</v>
      </c>
      <c r="BF2266" s="0" t="s">
        <v>130</v>
      </c>
      <c r="BG2266" s="0" t="s">
        <v>130</v>
      </c>
      <c r="BH2266" s="0" t="s">
        <v>130</v>
      </c>
      <c r="BI2266" s="0" t="s">
        <v>130</v>
      </c>
      <c r="BJ2266" s="0" t="s">
        <v>130</v>
      </c>
      <c r="BK2266" s="0" t="s">
        <v>130</v>
      </c>
      <c r="BL2266" s="0" t="s">
        <v>130</v>
      </c>
      <c r="BM2266" s="0" t="s">
        <v>130</v>
      </c>
      <c r="BN2266" s="0" t="s">
        <v>130</v>
      </c>
      <c r="BO2266" s="0" t="s">
        <v>130</v>
      </c>
      <c r="BP2266" s="0" t="s">
        <v>130</v>
      </c>
      <c r="BQ2266" s="0" t="s">
        <v>130</v>
      </c>
      <c r="BR2266" s="0" t="s">
        <v>130</v>
      </c>
      <c r="BS2266" s="0" t="s">
        <v>130</v>
      </c>
      <c r="BT2266" s="0" t="s">
        <v>130</v>
      </c>
      <c r="BU2266" s="0" t="s">
        <v>130</v>
      </c>
      <c r="BV2266" s="0" t="s">
        <v>130</v>
      </c>
      <c r="BW2266" s="0" t="s">
        <v>130</v>
      </c>
      <c r="BX2266" s="0" t="s">
        <v>130</v>
      </c>
      <c r="BY2266" s="0" t="s">
        <v>130</v>
      </c>
      <c r="BZ2266" s="0" t="s">
        <v>130</v>
      </c>
      <c r="CA2266" s="0" t="s">
        <v>130</v>
      </c>
      <c r="CB2266" s="0" t="s">
        <v>130</v>
      </c>
      <c r="CC2266" s="0" t="s">
        <v>130</v>
      </c>
      <c r="CD2266" s="0" t="s">
        <v>130</v>
      </c>
      <c r="CE2266" s="0" t="s">
        <v>130</v>
      </c>
      <c r="CF2266" s="0" t="s">
        <v>130</v>
      </c>
      <c r="CG2266" s="0" t="s">
        <v>130</v>
      </c>
      <c r="CH2266" s="0" t="s">
        <v>130</v>
      </c>
      <c r="CI2266" s="0" t="s">
        <v>130</v>
      </c>
      <c r="CJ2266" s="0" t="s">
        <v>130</v>
      </c>
      <c r="CK2266" s="0" t="s">
        <v>141</v>
      </c>
      <c r="CL2266" s="0" t="s">
        <v>130</v>
      </c>
      <c r="CM2266" s="0" t="s">
        <v>130</v>
      </c>
      <c r="CN2266" s="0" t="s">
        <v>130</v>
      </c>
      <c r="CO2266" s="0" t="s">
        <v>130</v>
      </c>
      <c r="CP2266" s="0" t="s">
        <v>130</v>
      </c>
      <c r="CQ2266" s="0" t="s">
        <v>130</v>
      </c>
      <c r="CR2266" s="0" t="s">
        <v>130</v>
      </c>
      <c r="CS2266" s="0" t="s">
        <v>130</v>
      </c>
      <c r="CT2266" s="0" t="s">
        <v>6272</v>
      </c>
    </row>
    <row r="2267">
      <c r="A2267" s="14">
        <v>825197</v>
      </c>
      <c r="B2267" s="0" t="s">
        <v>3349</v>
      </c>
      <c r="C2267" s="16">
        <f>HYPERLINK("https://eosportal.federatedhermes.com/companies/Q29tcGFueQppNTU3NDQ=", "ABB Ltd")</f>
      </c>
      <c r="D2267" s="0" t="s">
        <v>25</v>
      </c>
      <c r="E2267" s="0" t="s">
        <v>6133</v>
      </c>
      <c r="F2267" s="16">
        <f>HYPERLINK("https://eosportal.federatedhermes.com/engagements/RW5nYWdlbWVudAppMzMxMDM=", "Net Zero Transition Plan (NZEI)")</f>
      </c>
      <c r="G2267" s="14" t="s">
        <v>6273</v>
      </c>
      <c r="H2267" s="0" t="s">
        <v>141</v>
      </c>
      <c r="I2267" s="14" t="s">
        <v>191</v>
      </c>
      <c r="J2267" s="0" t="s">
        <v>197</v>
      </c>
      <c r="K2267" s="0" t="s">
        <v>198</v>
      </c>
      <c r="L2267" s="0" t="s">
        <v>216</v>
      </c>
      <c r="M2267" s="0" t="s">
        <v>378</v>
      </c>
      <c r="N2267" s="0" t="s">
        <v>1059</v>
      </c>
      <c r="O2267" s="0" t="s">
        <v>176</v>
      </c>
      <c r="Q2267" s="0" t="s">
        <v>130</v>
      </c>
      <c r="R2267" s="0" t="s">
        <v>138</v>
      </c>
      <c r="S2267" s="14">
        <v>0</v>
      </c>
      <c r="T2267" s="0" t="s">
        <v>2629</v>
      </c>
      <c r="U2267" s="0" t="s">
        <v>138</v>
      </c>
      <c r="V2267" s="14" t="s">
        <v>138</v>
      </c>
      <c r="W2267" s="0" t="s">
        <v>138</v>
      </c>
      <c r="X2267" s="14" t="s">
        <v>138</v>
      </c>
      <c r="Y2267" s="0" t="s">
        <v>138</v>
      </c>
      <c r="Z2267" s="14" t="s">
        <v>138</v>
      </c>
      <c r="AA2267" s="0" t="s">
        <v>138</v>
      </c>
      <c r="AB2267" s="14" t="s">
        <v>138</v>
      </c>
      <c r="AD2267" s="0" t="s">
        <v>138</v>
      </c>
      <c r="AF2267" s="0">
        <v>0</v>
      </c>
      <c r="AG2267" s="0">
        <v>0</v>
      </c>
      <c r="AH2267" s="0" t="s">
        <v>140</v>
      </c>
      <c r="AI2267" s="0" t="s">
        <v>138</v>
      </c>
      <c r="AL2267" s="14"/>
      <c r="AN2267" s="14"/>
      <c r="AQ2267" s="0" t="s">
        <v>130</v>
      </c>
      <c r="AR2267" s="0" t="s">
        <v>130</v>
      </c>
      <c r="AS2267" s="0" t="s">
        <v>130</v>
      </c>
      <c r="AT2267" s="0" t="s">
        <v>130</v>
      </c>
      <c r="AU2267" s="0" t="s">
        <v>130</v>
      </c>
      <c r="AV2267" s="0" t="s">
        <v>130</v>
      </c>
      <c r="AW2267" s="0" t="s">
        <v>141</v>
      </c>
      <c r="AX2267" s="0" t="s">
        <v>130</v>
      </c>
      <c r="AY2267" s="0" t="s">
        <v>130</v>
      </c>
      <c r="AZ2267" s="0" t="s">
        <v>130</v>
      </c>
      <c r="BA2267" s="0" t="s">
        <v>130</v>
      </c>
      <c r="BB2267" s="0" t="s">
        <v>130</v>
      </c>
      <c r="BC2267" s="0" t="s">
        <v>141</v>
      </c>
      <c r="BD2267" s="0" t="s">
        <v>130</v>
      </c>
      <c r="BE2267" s="0" t="s">
        <v>130</v>
      </c>
      <c r="BF2267" s="0" t="s">
        <v>130</v>
      </c>
      <c r="BG2267" s="0" t="s">
        <v>130</v>
      </c>
      <c r="BH2267" s="0" t="s">
        <v>141</v>
      </c>
      <c r="BI2267" s="0" t="s">
        <v>141</v>
      </c>
      <c r="BJ2267" s="0" t="s">
        <v>141</v>
      </c>
      <c r="BK2267" s="0" t="s">
        <v>130</v>
      </c>
      <c r="BL2267" s="0" t="s">
        <v>130</v>
      </c>
      <c r="BM2267" s="0" t="s">
        <v>130</v>
      </c>
      <c r="BN2267" s="0" t="s">
        <v>130</v>
      </c>
      <c r="BO2267" s="0" t="s">
        <v>130</v>
      </c>
      <c r="BP2267" s="0" t="s">
        <v>130</v>
      </c>
      <c r="BQ2267" s="0" t="s">
        <v>130</v>
      </c>
      <c r="BR2267" s="0" t="s">
        <v>130</v>
      </c>
      <c r="BS2267" s="0" t="s">
        <v>130</v>
      </c>
      <c r="BT2267" s="0" t="s">
        <v>130</v>
      </c>
      <c r="BU2267" s="0" t="s">
        <v>130</v>
      </c>
      <c r="BV2267" s="0" t="s">
        <v>141</v>
      </c>
      <c r="BW2267" s="0" t="s">
        <v>141</v>
      </c>
      <c r="BX2267" s="0" t="s">
        <v>130</v>
      </c>
      <c r="BY2267" s="0" t="s">
        <v>130</v>
      </c>
      <c r="BZ2267" s="0" t="s">
        <v>130</v>
      </c>
      <c r="CA2267" s="0" t="s">
        <v>130</v>
      </c>
      <c r="CB2267" s="0" t="s">
        <v>130</v>
      </c>
      <c r="CC2267" s="0" t="s">
        <v>130</v>
      </c>
      <c r="CD2267" s="0" t="s">
        <v>130</v>
      </c>
      <c r="CE2267" s="0" t="s">
        <v>130</v>
      </c>
      <c r="CF2267" s="0" t="s">
        <v>130</v>
      </c>
      <c r="CG2267" s="0" t="s">
        <v>130</v>
      </c>
      <c r="CH2267" s="0" t="s">
        <v>130</v>
      </c>
      <c r="CI2267" s="0" t="s">
        <v>130</v>
      </c>
      <c r="CJ2267" s="0" t="s">
        <v>130</v>
      </c>
      <c r="CK2267" s="0" t="s">
        <v>130</v>
      </c>
      <c r="CL2267" s="0" t="s">
        <v>130</v>
      </c>
      <c r="CM2267" s="0" t="s">
        <v>130</v>
      </c>
      <c r="CN2267" s="0" t="s">
        <v>130</v>
      </c>
      <c r="CO2267" s="0" t="s">
        <v>130</v>
      </c>
      <c r="CP2267" s="0" t="s">
        <v>130</v>
      </c>
      <c r="CQ2267" s="0" t="s">
        <v>130</v>
      </c>
      <c r="CR2267" s="0" t="s">
        <v>130</v>
      </c>
      <c r="CS2267" s="0" t="s">
        <v>130</v>
      </c>
      <c r="CT2267" s="0" t="s">
        <v>6274</v>
      </c>
    </row>
    <row r="2268">
      <c r="A2268" s="14">
        <v>115648</v>
      </c>
      <c r="B2268" s="0" t="s">
        <v>4930</v>
      </c>
      <c r="C2268" s="16">
        <f>HYPERLINK("https://eosportal.federatedhermes.com/companies/Q29tcGFueQppNzI3NTY=", "Akzo Nobel NV")</f>
      </c>
      <c r="D2268" s="0" t="s">
        <v>25</v>
      </c>
      <c r="E2268" s="0" t="s">
        <v>6133</v>
      </c>
      <c r="F2268" s="16">
        <f>HYPERLINK("https://eosportal.federatedhermes.com/engagements/RW5nYWdlbWVudAppMzMxMTE=", "Net Zero Transition Plan (NZEI)")</f>
      </c>
      <c r="G2268" s="14" t="s">
        <v>6273</v>
      </c>
      <c r="H2268" s="0" t="s">
        <v>130</v>
      </c>
      <c r="I2268" s="14" t="s">
        <v>319</v>
      </c>
      <c r="J2268" s="0" t="s">
        <v>197</v>
      </c>
      <c r="K2268" s="0" t="s">
        <v>198</v>
      </c>
      <c r="L2268" s="0" t="s">
        <v>216</v>
      </c>
      <c r="M2268" s="0" t="s">
        <v>378</v>
      </c>
      <c r="N2268" s="0" t="s">
        <v>2554</v>
      </c>
      <c r="O2268" s="0" t="s">
        <v>706</v>
      </c>
      <c r="Q2268" s="0" t="s">
        <v>130</v>
      </c>
      <c r="R2268" s="0" t="s">
        <v>138</v>
      </c>
      <c r="S2268" s="14">
        <v>0</v>
      </c>
      <c r="T2268" s="0" t="s">
        <v>2629</v>
      </c>
      <c r="U2268" s="0" t="s">
        <v>138</v>
      </c>
      <c r="V2268" s="14" t="s">
        <v>138</v>
      </c>
      <c r="W2268" s="0" t="s">
        <v>138</v>
      </c>
      <c r="X2268" s="14" t="s">
        <v>138</v>
      </c>
      <c r="Y2268" s="0" t="s">
        <v>138</v>
      </c>
      <c r="Z2268" s="14" t="s">
        <v>138</v>
      </c>
      <c r="AA2268" s="0" t="s">
        <v>138</v>
      </c>
      <c r="AB2268" s="14" t="s">
        <v>138</v>
      </c>
      <c r="AD2268" s="0" t="s">
        <v>138</v>
      </c>
      <c r="AF2268" s="0">
        <v>0</v>
      </c>
      <c r="AG2268" s="0">
        <v>0</v>
      </c>
      <c r="AH2268" s="0" t="s">
        <v>140</v>
      </c>
      <c r="AI2268" s="0" t="s">
        <v>138</v>
      </c>
      <c r="AL2268" s="14"/>
      <c r="AN2268" s="14"/>
      <c r="AQ2268" s="0" t="s">
        <v>130</v>
      </c>
      <c r="AR2268" s="0" t="s">
        <v>130</v>
      </c>
      <c r="AS2268" s="0" t="s">
        <v>130</v>
      </c>
      <c r="AT2268" s="0" t="s">
        <v>130</v>
      </c>
      <c r="AU2268" s="0" t="s">
        <v>130</v>
      </c>
      <c r="AV2268" s="0" t="s">
        <v>130</v>
      </c>
      <c r="AW2268" s="0" t="s">
        <v>141</v>
      </c>
      <c r="AX2268" s="0" t="s">
        <v>130</v>
      </c>
      <c r="AY2268" s="0" t="s">
        <v>130</v>
      </c>
      <c r="AZ2268" s="0" t="s">
        <v>130</v>
      </c>
      <c r="BA2268" s="0" t="s">
        <v>130</v>
      </c>
      <c r="BB2268" s="0" t="s">
        <v>130</v>
      </c>
      <c r="BC2268" s="0" t="s">
        <v>141</v>
      </c>
      <c r="BD2268" s="0" t="s">
        <v>130</v>
      </c>
      <c r="BE2268" s="0" t="s">
        <v>130</v>
      </c>
      <c r="BF2268" s="0" t="s">
        <v>130</v>
      </c>
      <c r="BG2268" s="0" t="s">
        <v>130</v>
      </c>
      <c r="BH2268" s="0" t="s">
        <v>141</v>
      </c>
      <c r="BI2268" s="0" t="s">
        <v>141</v>
      </c>
      <c r="BJ2268" s="0" t="s">
        <v>141</v>
      </c>
      <c r="BK2268" s="0" t="s">
        <v>130</v>
      </c>
      <c r="BL2268" s="0" t="s">
        <v>130</v>
      </c>
      <c r="BM2268" s="0" t="s">
        <v>130</v>
      </c>
      <c r="BN2268" s="0" t="s">
        <v>130</v>
      </c>
      <c r="BO2268" s="0" t="s">
        <v>130</v>
      </c>
      <c r="BP2268" s="0" t="s">
        <v>130</v>
      </c>
      <c r="BQ2268" s="0" t="s">
        <v>130</v>
      </c>
      <c r="BR2268" s="0" t="s">
        <v>130</v>
      </c>
      <c r="BS2268" s="0" t="s">
        <v>130</v>
      </c>
      <c r="BT2268" s="0" t="s">
        <v>130</v>
      </c>
      <c r="BU2268" s="0" t="s">
        <v>130</v>
      </c>
      <c r="BV2268" s="0" t="s">
        <v>141</v>
      </c>
      <c r="BW2268" s="0" t="s">
        <v>141</v>
      </c>
      <c r="BX2268" s="0" t="s">
        <v>130</v>
      </c>
      <c r="BY2268" s="0" t="s">
        <v>130</v>
      </c>
      <c r="BZ2268" s="0" t="s">
        <v>130</v>
      </c>
      <c r="CA2268" s="0" t="s">
        <v>130</v>
      </c>
      <c r="CB2268" s="0" t="s">
        <v>130</v>
      </c>
      <c r="CC2268" s="0" t="s">
        <v>130</v>
      </c>
      <c r="CD2268" s="0" t="s">
        <v>130</v>
      </c>
      <c r="CE2268" s="0" t="s">
        <v>130</v>
      </c>
      <c r="CF2268" s="0" t="s">
        <v>130</v>
      </c>
      <c r="CG2268" s="0" t="s">
        <v>130</v>
      </c>
      <c r="CH2268" s="0" t="s">
        <v>130</v>
      </c>
      <c r="CI2268" s="0" t="s">
        <v>130</v>
      </c>
      <c r="CJ2268" s="0" t="s">
        <v>130</v>
      </c>
      <c r="CK2268" s="0" t="s">
        <v>130</v>
      </c>
      <c r="CL2268" s="0" t="s">
        <v>130</v>
      </c>
      <c r="CM2268" s="0" t="s">
        <v>130</v>
      </c>
      <c r="CN2268" s="0" t="s">
        <v>130</v>
      </c>
      <c r="CO2268" s="0" t="s">
        <v>130</v>
      </c>
      <c r="CP2268" s="0" t="s">
        <v>130</v>
      </c>
      <c r="CQ2268" s="0" t="s">
        <v>130</v>
      </c>
      <c r="CR2268" s="0" t="s">
        <v>130</v>
      </c>
      <c r="CS2268" s="0" t="s">
        <v>130</v>
      </c>
      <c r="CT2268" s="0" t="s">
        <v>6275</v>
      </c>
    </row>
    <row r="2269">
      <c r="A2269" s="14">
        <v>111129</v>
      </c>
      <c r="B2269" s="0" t="s">
        <v>329</v>
      </c>
      <c r="C2269" s="16">
        <f>HYPERLINK("https://eosportal.federatedhermes.com/companies/Q29tcGFueQppNzU3MjA=", "Associated British Foods PLC")</f>
      </c>
      <c r="D2269" s="0" t="s">
        <v>25</v>
      </c>
      <c r="E2269" s="0" t="s">
        <v>6133</v>
      </c>
      <c r="F2269" s="16">
        <f>HYPERLINK("https://eosportal.federatedhermes.com/engagements/RW5nYWdlbWVudAppMzMxMTM=", "Net Zero Transition Plan (NZEI)")</f>
      </c>
      <c r="G2269" s="14" t="s">
        <v>6273</v>
      </c>
      <c r="H2269" s="0" t="s">
        <v>141</v>
      </c>
      <c r="I2269" s="14" t="s">
        <v>191</v>
      </c>
      <c r="J2269" s="0" t="s">
        <v>197</v>
      </c>
      <c r="K2269" s="0" t="s">
        <v>198</v>
      </c>
      <c r="L2269" s="0" t="s">
        <v>216</v>
      </c>
      <c r="M2269" s="0" t="s">
        <v>272</v>
      </c>
      <c r="N2269" s="0" t="s">
        <v>273</v>
      </c>
      <c r="O2269" s="0" t="s">
        <v>332</v>
      </c>
      <c r="Q2269" s="0" t="s">
        <v>130</v>
      </c>
      <c r="R2269" s="0" t="s">
        <v>138</v>
      </c>
      <c r="S2269" s="14">
        <v>0</v>
      </c>
      <c r="T2269" s="0" t="s">
        <v>2629</v>
      </c>
      <c r="U2269" s="0" t="s">
        <v>138</v>
      </c>
      <c r="V2269" s="14" t="s">
        <v>138</v>
      </c>
      <c r="W2269" s="0" t="s">
        <v>138</v>
      </c>
      <c r="X2269" s="14" t="s">
        <v>138</v>
      </c>
      <c r="Y2269" s="0" t="s">
        <v>138</v>
      </c>
      <c r="Z2269" s="14" t="s">
        <v>138</v>
      </c>
      <c r="AA2269" s="0" t="s">
        <v>138</v>
      </c>
      <c r="AB2269" s="14" t="s">
        <v>138</v>
      </c>
      <c r="AD2269" s="0" t="s">
        <v>138</v>
      </c>
      <c r="AF2269" s="0">
        <v>0</v>
      </c>
      <c r="AG2269" s="0">
        <v>0</v>
      </c>
      <c r="AH2269" s="0" t="s">
        <v>140</v>
      </c>
      <c r="AI2269" s="0" t="s">
        <v>138</v>
      </c>
      <c r="AL2269" s="14"/>
      <c r="AN2269" s="14"/>
      <c r="AQ2269" s="0" t="s">
        <v>130</v>
      </c>
      <c r="AR2269" s="0" t="s">
        <v>130</v>
      </c>
      <c r="AS2269" s="0" t="s">
        <v>130</v>
      </c>
      <c r="AT2269" s="0" t="s">
        <v>130</v>
      </c>
      <c r="AU2269" s="0" t="s">
        <v>130</v>
      </c>
      <c r="AV2269" s="0" t="s">
        <v>130</v>
      </c>
      <c r="AW2269" s="0" t="s">
        <v>141</v>
      </c>
      <c r="AX2269" s="0" t="s">
        <v>130</v>
      </c>
      <c r="AY2269" s="0" t="s">
        <v>130</v>
      </c>
      <c r="AZ2269" s="0" t="s">
        <v>130</v>
      </c>
      <c r="BA2269" s="0" t="s">
        <v>130</v>
      </c>
      <c r="BB2269" s="0" t="s">
        <v>130</v>
      </c>
      <c r="BC2269" s="0" t="s">
        <v>141</v>
      </c>
      <c r="BD2269" s="0" t="s">
        <v>130</v>
      </c>
      <c r="BE2269" s="0" t="s">
        <v>130</v>
      </c>
      <c r="BF2269" s="0" t="s">
        <v>130</v>
      </c>
      <c r="BG2269" s="0" t="s">
        <v>130</v>
      </c>
      <c r="BH2269" s="0" t="s">
        <v>141</v>
      </c>
      <c r="BI2269" s="0" t="s">
        <v>141</v>
      </c>
      <c r="BJ2269" s="0" t="s">
        <v>141</v>
      </c>
      <c r="BK2269" s="0" t="s">
        <v>130</v>
      </c>
      <c r="BL2269" s="0" t="s">
        <v>130</v>
      </c>
      <c r="BM2269" s="0" t="s">
        <v>130</v>
      </c>
      <c r="BN2269" s="0" t="s">
        <v>130</v>
      </c>
      <c r="BO2269" s="0" t="s">
        <v>130</v>
      </c>
      <c r="BP2269" s="0" t="s">
        <v>130</v>
      </c>
      <c r="BQ2269" s="0" t="s">
        <v>130</v>
      </c>
      <c r="BR2269" s="0" t="s">
        <v>130</v>
      </c>
      <c r="BS2269" s="0" t="s">
        <v>130</v>
      </c>
      <c r="BT2269" s="0" t="s">
        <v>130</v>
      </c>
      <c r="BU2269" s="0" t="s">
        <v>130</v>
      </c>
      <c r="BV2269" s="0" t="s">
        <v>141</v>
      </c>
      <c r="BW2269" s="0" t="s">
        <v>141</v>
      </c>
      <c r="BX2269" s="0" t="s">
        <v>130</v>
      </c>
      <c r="BY2269" s="0" t="s">
        <v>130</v>
      </c>
      <c r="BZ2269" s="0" t="s">
        <v>130</v>
      </c>
      <c r="CA2269" s="0" t="s">
        <v>130</v>
      </c>
      <c r="CB2269" s="0" t="s">
        <v>130</v>
      </c>
      <c r="CC2269" s="0" t="s">
        <v>130</v>
      </c>
      <c r="CD2269" s="0" t="s">
        <v>130</v>
      </c>
      <c r="CE2269" s="0" t="s">
        <v>130</v>
      </c>
      <c r="CF2269" s="0" t="s">
        <v>130</v>
      </c>
      <c r="CG2269" s="0" t="s">
        <v>130</v>
      </c>
      <c r="CH2269" s="0" t="s">
        <v>130</v>
      </c>
      <c r="CI2269" s="0" t="s">
        <v>130</v>
      </c>
      <c r="CJ2269" s="0" t="s">
        <v>130</v>
      </c>
      <c r="CK2269" s="0" t="s">
        <v>130</v>
      </c>
      <c r="CL2269" s="0" t="s">
        <v>130</v>
      </c>
      <c r="CM2269" s="0" t="s">
        <v>130</v>
      </c>
      <c r="CN2269" s="0" t="s">
        <v>130</v>
      </c>
      <c r="CO2269" s="0" t="s">
        <v>130</v>
      </c>
      <c r="CP2269" s="0" t="s">
        <v>130</v>
      </c>
      <c r="CQ2269" s="0" t="s">
        <v>130</v>
      </c>
      <c r="CR2269" s="0" t="s">
        <v>130</v>
      </c>
      <c r="CS2269" s="0" t="s">
        <v>130</v>
      </c>
      <c r="CT2269" s="0" t="s">
        <v>6276</v>
      </c>
    </row>
    <row r="2270">
      <c r="A2270" s="14">
        <v>69512787</v>
      </c>
      <c r="B2270" s="0" t="s">
        <v>4833</v>
      </c>
      <c r="C2270" s="16">
        <f>HYPERLINK("https://eosportal.federatedhermes.com/companies/Q29tcGFueQppODExMjQ=", "Seagate Technology Holdings PLC")</f>
      </c>
      <c r="D2270" s="0" t="s">
        <v>23</v>
      </c>
      <c r="E2270" s="0" t="s">
        <v>6277</v>
      </c>
      <c r="F2270" s="16">
        <f>HYPERLINK("https://eosportal.federatedhermes.com/engagements/RW5nYWdlbWVudAppMzMxMTc=", "Customer ethics policy")</f>
      </c>
      <c r="G2270" s="14" t="s">
        <v>6278</v>
      </c>
      <c r="H2270" s="0" t="s">
        <v>130</v>
      </c>
      <c r="I2270" s="14" t="s">
        <v>131</v>
      </c>
      <c r="J2270" s="0" t="s">
        <v>153</v>
      </c>
      <c r="K2270" s="0" t="s">
        <v>243</v>
      </c>
      <c r="L2270" s="0" t="s">
        <v>537</v>
      </c>
      <c r="M2270" s="0" t="s">
        <v>135</v>
      </c>
      <c r="N2270" s="0" t="s">
        <v>136</v>
      </c>
      <c r="O2270" s="0" t="s">
        <v>1125</v>
      </c>
      <c r="Q2270" s="0" t="s">
        <v>141</v>
      </c>
      <c r="R2270" s="0" t="s">
        <v>130</v>
      </c>
      <c r="S2270" s="14">
        <v>1</v>
      </c>
      <c r="T2270" s="0" t="s">
        <v>222</v>
      </c>
      <c r="U2270" s="0" t="s">
        <v>221</v>
      </c>
      <c r="V2270" s="14" t="s">
        <v>222</v>
      </c>
      <c r="W2270" s="0" t="s">
        <v>223</v>
      </c>
      <c r="X2270" s="14" t="s">
        <v>138</v>
      </c>
      <c r="Y2270" s="0" t="s">
        <v>224</v>
      </c>
      <c r="Z2270" s="14" t="s">
        <v>138</v>
      </c>
      <c r="AA2270" s="0" t="s">
        <v>224</v>
      </c>
      <c r="AB2270" s="14" t="s">
        <v>138</v>
      </c>
      <c r="AD2270" s="0" t="s">
        <v>14</v>
      </c>
      <c r="AF2270" s="0">
        <v>0</v>
      </c>
      <c r="AG2270" s="0">
        <v>0</v>
      </c>
      <c r="AH2270" s="0" t="s">
        <v>140</v>
      </c>
      <c r="AI2270" s="0" t="s">
        <v>479</v>
      </c>
      <c r="AK2270" s="0" t="s">
        <v>6279</v>
      </c>
      <c r="AL2270" s="14"/>
      <c r="AN2270" s="14"/>
      <c r="AQ2270" s="0" t="s">
        <v>130</v>
      </c>
      <c r="AR2270" s="0" t="s">
        <v>130</v>
      </c>
      <c r="AS2270" s="0" t="s">
        <v>130</v>
      </c>
      <c r="AT2270" s="0" t="s">
        <v>130</v>
      </c>
      <c r="AU2270" s="0" t="s">
        <v>130</v>
      </c>
      <c r="AV2270" s="0" t="s">
        <v>130</v>
      </c>
      <c r="AW2270" s="0" t="s">
        <v>130</v>
      </c>
      <c r="AX2270" s="0" t="s">
        <v>130</v>
      </c>
      <c r="AY2270" s="0" t="s">
        <v>130</v>
      </c>
      <c r="AZ2270" s="0" t="s">
        <v>130</v>
      </c>
      <c r="BA2270" s="0" t="s">
        <v>130</v>
      </c>
      <c r="BB2270" s="0" t="s">
        <v>141</v>
      </c>
      <c r="BC2270" s="0" t="s">
        <v>130</v>
      </c>
      <c r="BD2270" s="0" t="s">
        <v>130</v>
      </c>
      <c r="BE2270" s="0" t="s">
        <v>130</v>
      </c>
      <c r="BF2270" s="0" t="s">
        <v>141</v>
      </c>
      <c r="BG2270" s="0" t="s">
        <v>130</v>
      </c>
      <c r="BH2270" s="0" t="s">
        <v>130</v>
      </c>
      <c r="BI2270" s="0" t="s">
        <v>130</v>
      </c>
      <c r="BJ2270" s="0" t="s">
        <v>130</v>
      </c>
      <c r="BK2270" s="0" t="s">
        <v>130</v>
      </c>
      <c r="BL2270" s="0" t="s">
        <v>130</v>
      </c>
      <c r="BM2270" s="0" t="s">
        <v>130</v>
      </c>
      <c r="BN2270" s="0" t="s">
        <v>130</v>
      </c>
      <c r="BO2270" s="0" t="s">
        <v>130</v>
      </c>
      <c r="BP2270" s="0" t="s">
        <v>130</v>
      </c>
      <c r="BQ2270" s="0" t="s">
        <v>130</v>
      </c>
      <c r="BR2270" s="0" t="s">
        <v>130</v>
      </c>
      <c r="BS2270" s="0" t="s">
        <v>130</v>
      </c>
      <c r="BT2270" s="0" t="s">
        <v>130</v>
      </c>
      <c r="BU2270" s="0" t="s">
        <v>130</v>
      </c>
      <c r="BV2270" s="0" t="s">
        <v>130</v>
      </c>
      <c r="BW2270" s="0" t="s">
        <v>130</v>
      </c>
      <c r="BX2270" s="0" t="s">
        <v>130</v>
      </c>
      <c r="BY2270" s="0" t="s">
        <v>130</v>
      </c>
      <c r="BZ2270" s="0" t="s">
        <v>130</v>
      </c>
      <c r="CA2270" s="0" t="s">
        <v>130</v>
      </c>
      <c r="CB2270" s="0" t="s">
        <v>130</v>
      </c>
      <c r="CC2270" s="0" t="s">
        <v>130</v>
      </c>
      <c r="CD2270" s="0" t="s">
        <v>130</v>
      </c>
      <c r="CE2270" s="0" t="s">
        <v>130</v>
      </c>
      <c r="CF2270" s="0" t="s">
        <v>130</v>
      </c>
      <c r="CG2270" s="0" t="s">
        <v>130</v>
      </c>
      <c r="CH2270" s="0" t="s">
        <v>130</v>
      </c>
      <c r="CI2270" s="0" t="s">
        <v>130</v>
      </c>
      <c r="CJ2270" s="0" t="s">
        <v>130</v>
      </c>
      <c r="CK2270" s="0" t="s">
        <v>130</v>
      </c>
      <c r="CL2270" s="0" t="s">
        <v>130</v>
      </c>
      <c r="CM2270" s="0" t="s">
        <v>130</v>
      </c>
      <c r="CN2270" s="0" t="s">
        <v>130</v>
      </c>
      <c r="CO2270" s="0" t="s">
        <v>130</v>
      </c>
      <c r="CP2270" s="0" t="s">
        <v>130</v>
      </c>
      <c r="CQ2270" s="0" t="s">
        <v>130</v>
      </c>
      <c r="CR2270" s="0" t="s">
        <v>130</v>
      </c>
      <c r="CS2270" s="0" t="s">
        <v>130</v>
      </c>
      <c r="CT2270" s="0" t="s">
        <v>6280</v>
      </c>
    </row>
    <row r="2271">
      <c r="A2271" s="14">
        <v>7938107</v>
      </c>
      <c r="B2271" s="0" t="s">
        <v>6281</v>
      </c>
      <c r="C2271" s="16">
        <f>HYPERLINK("https://eosportal.federatedhermes.com/companies/Q29tcGFueQppNDY2ODY=", "Evonik Industries AG")</f>
      </c>
      <c r="D2271" s="0" t="s">
        <v>25</v>
      </c>
      <c r="E2271" s="0" t="s">
        <v>6133</v>
      </c>
      <c r="F2271" s="16">
        <f>HYPERLINK("https://eosportal.federatedhermes.com/engagements/RW5nYWdlbWVudAppMzMxMjM=", "Net Zero Transition Plan (NZEI)")</f>
      </c>
      <c r="G2271" s="14" t="s">
        <v>6273</v>
      </c>
      <c r="H2271" s="0" t="s">
        <v>130</v>
      </c>
      <c r="I2271" s="14" t="s">
        <v>319</v>
      </c>
      <c r="J2271" s="0" t="s">
        <v>197</v>
      </c>
      <c r="K2271" s="0" t="s">
        <v>198</v>
      </c>
      <c r="L2271" s="0" t="s">
        <v>216</v>
      </c>
      <c r="M2271" s="0" t="s">
        <v>378</v>
      </c>
      <c r="N2271" s="0" t="s">
        <v>2485</v>
      </c>
      <c r="O2271" s="0" t="s">
        <v>706</v>
      </c>
      <c r="Q2271" s="0" t="s">
        <v>130</v>
      </c>
      <c r="R2271" s="0" t="s">
        <v>138</v>
      </c>
      <c r="S2271" s="14">
        <v>0</v>
      </c>
      <c r="T2271" s="0" t="s">
        <v>2629</v>
      </c>
      <c r="U2271" s="0" t="s">
        <v>138</v>
      </c>
      <c r="V2271" s="14" t="s">
        <v>138</v>
      </c>
      <c r="W2271" s="0" t="s">
        <v>138</v>
      </c>
      <c r="X2271" s="14" t="s">
        <v>138</v>
      </c>
      <c r="Y2271" s="0" t="s">
        <v>138</v>
      </c>
      <c r="Z2271" s="14" t="s">
        <v>138</v>
      </c>
      <c r="AA2271" s="0" t="s">
        <v>138</v>
      </c>
      <c r="AB2271" s="14" t="s">
        <v>138</v>
      </c>
      <c r="AD2271" s="0" t="s">
        <v>138</v>
      </c>
      <c r="AF2271" s="0">
        <v>0</v>
      </c>
      <c r="AG2271" s="0">
        <v>0</v>
      </c>
      <c r="AH2271" s="0" t="s">
        <v>140</v>
      </c>
      <c r="AI2271" s="0" t="s">
        <v>138</v>
      </c>
      <c r="AL2271" s="14"/>
      <c r="AN2271" s="14"/>
      <c r="AQ2271" s="0" t="s">
        <v>130</v>
      </c>
      <c r="AR2271" s="0" t="s">
        <v>130</v>
      </c>
      <c r="AS2271" s="0" t="s">
        <v>130</v>
      </c>
      <c r="AT2271" s="0" t="s">
        <v>130</v>
      </c>
      <c r="AU2271" s="0" t="s">
        <v>130</v>
      </c>
      <c r="AV2271" s="0" t="s">
        <v>130</v>
      </c>
      <c r="AW2271" s="0" t="s">
        <v>141</v>
      </c>
      <c r="AX2271" s="0" t="s">
        <v>130</v>
      </c>
      <c r="AY2271" s="0" t="s">
        <v>130</v>
      </c>
      <c r="AZ2271" s="0" t="s">
        <v>130</v>
      </c>
      <c r="BA2271" s="0" t="s">
        <v>130</v>
      </c>
      <c r="BB2271" s="0" t="s">
        <v>130</v>
      </c>
      <c r="BC2271" s="0" t="s">
        <v>141</v>
      </c>
      <c r="BD2271" s="0" t="s">
        <v>130</v>
      </c>
      <c r="BE2271" s="0" t="s">
        <v>130</v>
      </c>
      <c r="BF2271" s="0" t="s">
        <v>130</v>
      </c>
      <c r="BG2271" s="0" t="s">
        <v>130</v>
      </c>
      <c r="BH2271" s="0" t="s">
        <v>141</v>
      </c>
      <c r="BI2271" s="0" t="s">
        <v>141</v>
      </c>
      <c r="BJ2271" s="0" t="s">
        <v>141</v>
      </c>
      <c r="BK2271" s="0" t="s">
        <v>130</v>
      </c>
      <c r="BL2271" s="0" t="s">
        <v>130</v>
      </c>
      <c r="BM2271" s="0" t="s">
        <v>130</v>
      </c>
      <c r="BN2271" s="0" t="s">
        <v>130</v>
      </c>
      <c r="BO2271" s="0" t="s">
        <v>130</v>
      </c>
      <c r="BP2271" s="0" t="s">
        <v>130</v>
      </c>
      <c r="BQ2271" s="0" t="s">
        <v>130</v>
      </c>
      <c r="BR2271" s="0" t="s">
        <v>130</v>
      </c>
      <c r="BS2271" s="0" t="s">
        <v>130</v>
      </c>
      <c r="BT2271" s="0" t="s">
        <v>130</v>
      </c>
      <c r="BU2271" s="0" t="s">
        <v>130</v>
      </c>
      <c r="BV2271" s="0" t="s">
        <v>141</v>
      </c>
      <c r="BW2271" s="0" t="s">
        <v>141</v>
      </c>
      <c r="BX2271" s="0" t="s">
        <v>130</v>
      </c>
      <c r="BY2271" s="0" t="s">
        <v>130</v>
      </c>
      <c r="BZ2271" s="0" t="s">
        <v>130</v>
      </c>
      <c r="CA2271" s="0" t="s">
        <v>130</v>
      </c>
      <c r="CB2271" s="0" t="s">
        <v>130</v>
      </c>
      <c r="CC2271" s="0" t="s">
        <v>130</v>
      </c>
      <c r="CD2271" s="0" t="s">
        <v>130</v>
      </c>
      <c r="CE2271" s="0" t="s">
        <v>130</v>
      </c>
      <c r="CF2271" s="0" t="s">
        <v>130</v>
      </c>
      <c r="CG2271" s="0" t="s">
        <v>130</v>
      </c>
      <c r="CH2271" s="0" t="s">
        <v>130</v>
      </c>
      <c r="CI2271" s="0" t="s">
        <v>130</v>
      </c>
      <c r="CJ2271" s="0" t="s">
        <v>130</v>
      </c>
      <c r="CK2271" s="0" t="s">
        <v>130</v>
      </c>
      <c r="CL2271" s="0" t="s">
        <v>130</v>
      </c>
      <c r="CM2271" s="0" t="s">
        <v>130</v>
      </c>
      <c r="CN2271" s="0" t="s">
        <v>130</v>
      </c>
      <c r="CO2271" s="0" t="s">
        <v>130</v>
      </c>
      <c r="CP2271" s="0" t="s">
        <v>130</v>
      </c>
      <c r="CQ2271" s="0" t="s">
        <v>130</v>
      </c>
      <c r="CR2271" s="0" t="s">
        <v>130</v>
      </c>
      <c r="CS2271" s="0" t="s">
        <v>130</v>
      </c>
      <c r="CT2271" s="0" t="s">
        <v>6282</v>
      </c>
    </row>
    <row r="2272">
      <c r="A2272" s="14">
        <v>100537</v>
      </c>
      <c r="B2272" s="0" t="s">
        <v>728</v>
      </c>
      <c r="C2272" s="16">
        <f>HYPERLINK("https://eosportal.federatedhermes.com/companies/Q29tcGFueQppNTQ1MDY=", "Equifax Inc")</f>
      </c>
      <c r="D2272" s="0" t="s">
        <v>25</v>
      </c>
      <c r="E2272" s="0" t="s">
        <v>6283</v>
      </c>
      <c r="F2272" s="16">
        <f>HYPERLINK("https://eosportal.federatedhermes.com/engagements/RW5nYWdlbWVudAppMzMxMjc=", "Responsible AI")</f>
      </c>
      <c r="G2272" s="14" t="s">
        <v>6284</v>
      </c>
      <c r="H2272" s="0" t="s">
        <v>130</v>
      </c>
      <c r="I2272" s="14" t="s">
        <v>131</v>
      </c>
      <c r="J2272" s="0" t="s">
        <v>132</v>
      </c>
      <c r="K2272" s="0" t="s">
        <v>260</v>
      </c>
      <c r="L2272" s="0" t="s">
        <v>743</v>
      </c>
      <c r="M2272" s="0" t="s">
        <v>135</v>
      </c>
      <c r="N2272" s="0" t="s">
        <v>136</v>
      </c>
      <c r="O2272" s="0" t="s">
        <v>176</v>
      </c>
      <c r="Q2272" s="0" t="s">
        <v>141</v>
      </c>
      <c r="R2272" s="0" t="s">
        <v>138</v>
      </c>
      <c r="S2272" s="14">
        <v>1</v>
      </c>
      <c r="T2272" s="0" t="s">
        <v>222</v>
      </c>
      <c r="U2272" s="0" t="s">
        <v>138</v>
      </c>
      <c r="V2272" s="14" t="s">
        <v>138</v>
      </c>
      <c r="W2272" s="0" t="s">
        <v>138</v>
      </c>
      <c r="X2272" s="14" t="s">
        <v>138</v>
      </c>
      <c r="Y2272" s="0" t="s">
        <v>138</v>
      </c>
      <c r="Z2272" s="14" t="s">
        <v>138</v>
      </c>
      <c r="AA2272" s="0" t="s">
        <v>138</v>
      </c>
      <c r="AB2272" s="14" t="s">
        <v>138</v>
      </c>
      <c r="AD2272" s="0" t="s">
        <v>138</v>
      </c>
      <c r="AF2272" s="0">
        <v>0</v>
      </c>
      <c r="AG2272" s="0">
        <v>0</v>
      </c>
      <c r="AH2272" s="0" t="s">
        <v>140</v>
      </c>
      <c r="AI2272" s="0" t="s">
        <v>138</v>
      </c>
      <c r="AK2272" s="0" t="s">
        <v>3996</v>
      </c>
      <c r="AL2272" s="14"/>
      <c r="AN2272" s="14"/>
      <c r="AQ2272" s="0" t="s">
        <v>130</v>
      </c>
      <c r="AR2272" s="0" t="s">
        <v>130</v>
      </c>
      <c r="AS2272" s="0" t="s">
        <v>130</v>
      </c>
      <c r="AT2272" s="0" t="s">
        <v>130</v>
      </c>
      <c r="AU2272" s="0" t="s">
        <v>130</v>
      </c>
      <c r="AV2272" s="0" t="s">
        <v>130</v>
      </c>
      <c r="AW2272" s="0" t="s">
        <v>130</v>
      </c>
      <c r="AX2272" s="0" t="s">
        <v>130</v>
      </c>
      <c r="AY2272" s="0" t="s">
        <v>130</v>
      </c>
      <c r="AZ2272" s="0" t="s">
        <v>130</v>
      </c>
      <c r="BA2272" s="0" t="s">
        <v>130</v>
      </c>
      <c r="BB2272" s="0" t="s">
        <v>130</v>
      </c>
      <c r="BC2272" s="0" t="s">
        <v>130</v>
      </c>
      <c r="BD2272" s="0" t="s">
        <v>130</v>
      </c>
      <c r="BE2272" s="0" t="s">
        <v>130</v>
      </c>
      <c r="BF2272" s="0" t="s">
        <v>130</v>
      </c>
      <c r="BG2272" s="0" t="s">
        <v>130</v>
      </c>
      <c r="BH2272" s="0" t="s">
        <v>130</v>
      </c>
      <c r="BI2272" s="0" t="s">
        <v>130</v>
      </c>
      <c r="BJ2272" s="0" t="s">
        <v>130</v>
      </c>
      <c r="BK2272" s="0" t="s">
        <v>130</v>
      </c>
      <c r="BL2272" s="0" t="s">
        <v>130</v>
      </c>
      <c r="BM2272" s="0" t="s">
        <v>130</v>
      </c>
      <c r="BN2272" s="0" t="s">
        <v>130</v>
      </c>
      <c r="BO2272" s="0" t="s">
        <v>130</v>
      </c>
      <c r="BP2272" s="0" t="s">
        <v>130</v>
      </c>
      <c r="BQ2272" s="0" t="s">
        <v>130</v>
      </c>
      <c r="BR2272" s="0" t="s">
        <v>130</v>
      </c>
      <c r="BS2272" s="0" t="s">
        <v>130</v>
      </c>
      <c r="BT2272" s="0" t="s">
        <v>130</v>
      </c>
      <c r="BU2272" s="0" t="s">
        <v>130</v>
      </c>
      <c r="BV2272" s="0" t="s">
        <v>130</v>
      </c>
      <c r="BW2272" s="0" t="s">
        <v>130</v>
      </c>
      <c r="BX2272" s="0" t="s">
        <v>130</v>
      </c>
      <c r="BY2272" s="0" t="s">
        <v>130</v>
      </c>
      <c r="BZ2272" s="0" t="s">
        <v>130</v>
      </c>
      <c r="CA2272" s="0" t="s">
        <v>130</v>
      </c>
      <c r="CB2272" s="0" t="s">
        <v>130</v>
      </c>
      <c r="CC2272" s="0" t="s">
        <v>130</v>
      </c>
      <c r="CD2272" s="0" t="s">
        <v>130</v>
      </c>
      <c r="CE2272" s="0" t="s">
        <v>130</v>
      </c>
      <c r="CF2272" s="0" t="s">
        <v>130</v>
      </c>
      <c r="CG2272" s="0" t="s">
        <v>130</v>
      </c>
      <c r="CH2272" s="0" t="s">
        <v>130</v>
      </c>
      <c r="CI2272" s="0" t="s">
        <v>130</v>
      </c>
      <c r="CJ2272" s="0" t="s">
        <v>130</v>
      </c>
      <c r="CK2272" s="0" t="s">
        <v>130</v>
      </c>
      <c r="CL2272" s="0" t="s">
        <v>130</v>
      </c>
      <c r="CM2272" s="0" t="s">
        <v>130</v>
      </c>
      <c r="CN2272" s="0" t="s">
        <v>130</v>
      </c>
      <c r="CO2272" s="0" t="s">
        <v>130</v>
      </c>
      <c r="CP2272" s="0" t="s">
        <v>130</v>
      </c>
      <c r="CQ2272" s="0" t="s">
        <v>130</v>
      </c>
      <c r="CR2272" s="0" t="s">
        <v>130</v>
      </c>
      <c r="CS2272" s="0" t="s">
        <v>130</v>
      </c>
      <c r="CT2272" s="0" t="s">
        <v>6285</v>
      </c>
    </row>
    <row r="2273">
      <c r="A2273" s="14">
        <v>100537</v>
      </c>
      <c r="B2273" s="0" t="s">
        <v>728</v>
      </c>
      <c r="C2273" s="16">
        <f>HYPERLINK("https://eosportal.federatedhermes.com/companies/Q29tcGFueQppNTQ1MDY=", "Equifax Inc")</f>
      </c>
      <c r="D2273" s="0" t="s">
        <v>25</v>
      </c>
      <c r="E2273" s="0" t="s">
        <v>2498</v>
      </c>
      <c r="F2273" s="16">
        <f>HYPERLINK("https://eosportal.federatedhermes.com/engagements/RW5nYWdlbWVudAppMzMxNTk=", "Chair succession")</f>
      </c>
      <c r="G2273" s="14" t="s">
        <v>6286</v>
      </c>
      <c r="H2273" s="0" t="s">
        <v>130</v>
      </c>
      <c r="I2273" s="14" t="s">
        <v>131</v>
      </c>
      <c r="J2273" s="0" t="s">
        <v>145</v>
      </c>
      <c r="K2273" s="0" t="s">
        <v>164</v>
      </c>
      <c r="L2273" s="0" t="s">
        <v>277</v>
      </c>
      <c r="M2273" s="0" t="s">
        <v>135</v>
      </c>
      <c r="N2273" s="0" t="s">
        <v>136</v>
      </c>
      <c r="O2273" s="0" t="s">
        <v>176</v>
      </c>
      <c r="Q2273" s="0" t="s">
        <v>141</v>
      </c>
      <c r="R2273" s="0" t="s">
        <v>138</v>
      </c>
      <c r="S2273" s="14">
        <v>1</v>
      </c>
      <c r="T2273" s="0" t="s">
        <v>360</v>
      </c>
      <c r="U2273" s="0" t="s">
        <v>138</v>
      </c>
      <c r="V2273" s="14" t="s">
        <v>138</v>
      </c>
      <c r="W2273" s="0" t="s">
        <v>138</v>
      </c>
      <c r="X2273" s="14" t="s">
        <v>138</v>
      </c>
      <c r="Y2273" s="0" t="s">
        <v>138</v>
      </c>
      <c r="Z2273" s="14" t="s">
        <v>138</v>
      </c>
      <c r="AA2273" s="0" t="s">
        <v>138</v>
      </c>
      <c r="AB2273" s="14" t="s">
        <v>138</v>
      </c>
      <c r="AD2273" s="0" t="s">
        <v>138</v>
      </c>
      <c r="AF2273" s="0">
        <v>0</v>
      </c>
      <c r="AG2273" s="0">
        <v>0</v>
      </c>
      <c r="AH2273" s="0" t="s">
        <v>140</v>
      </c>
      <c r="AI2273" s="0" t="s">
        <v>138</v>
      </c>
      <c r="AK2273" s="0" t="s">
        <v>3996</v>
      </c>
      <c r="AL2273" s="14"/>
      <c r="AN2273" s="14"/>
      <c r="AQ2273" s="0" t="s">
        <v>130</v>
      </c>
      <c r="AR2273" s="0" t="s">
        <v>130</v>
      </c>
      <c r="AS2273" s="0" t="s">
        <v>130</v>
      </c>
      <c r="AT2273" s="0" t="s">
        <v>130</v>
      </c>
      <c r="AU2273" s="0" t="s">
        <v>130</v>
      </c>
      <c r="AV2273" s="0" t="s">
        <v>130</v>
      </c>
      <c r="AW2273" s="0" t="s">
        <v>130</v>
      </c>
      <c r="AX2273" s="0" t="s">
        <v>130</v>
      </c>
      <c r="AY2273" s="0" t="s">
        <v>130</v>
      </c>
      <c r="AZ2273" s="0" t="s">
        <v>130</v>
      </c>
      <c r="BA2273" s="0" t="s">
        <v>130</v>
      </c>
      <c r="BB2273" s="0" t="s">
        <v>130</v>
      </c>
      <c r="BC2273" s="0" t="s">
        <v>130</v>
      </c>
      <c r="BD2273" s="0" t="s">
        <v>130</v>
      </c>
      <c r="BE2273" s="0" t="s">
        <v>130</v>
      </c>
      <c r="BF2273" s="0" t="s">
        <v>130</v>
      </c>
      <c r="BG2273" s="0" t="s">
        <v>130</v>
      </c>
      <c r="BH2273" s="0" t="s">
        <v>130</v>
      </c>
      <c r="BI2273" s="0" t="s">
        <v>130</v>
      </c>
      <c r="BJ2273" s="0" t="s">
        <v>130</v>
      </c>
      <c r="BK2273" s="0" t="s">
        <v>130</v>
      </c>
      <c r="BL2273" s="0" t="s">
        <v>130</v>
      </c>
      <c r="BM2273" s="0" t="s">
        <v>130</v>
      </c>
      <c r="BN2273" s="0" t="s">
        <v>130</v>
      </c>
      <c r="BO2273" s="0" t="s">
        <v>130</v>
      </c>
      <c r="BP2273" s="0" t="s">
        <v>130</v>
      </c>
      <c r="BQ2273" s="0" t="s">
        <v>130</v>
      </c>
      <c r="BR2273" s="0" t="s">
        <v>130</v>
      </c>
      <c r="BS2273" s="0" t="s">
        <v>130</v>
      </c>
      <c r="BT2273" s="0" t="s">
        <v>130</v>
      </c>
      <c r="BU2273" s="0" t="s">
        <v>130</v>
      </c>
      <c r="BV2273" s="0" t="s">
        <v>130</v>
      </c>
      <c r="BW2273" s="0" t="s">
        <v>130</v>
      </c>
      <c r="BX2273" s="0" t="s">
        <v>130</v>
      </c>
      <c r="BY2273" s="0" t="s">
        <v>130</v>
      </c>
      <c r="BZ2273" s="0" t="s">
        <v>130</v>
      </c>
      <c r="CA2273" s="0" t="s">
        <v>130</v>
      </c>
      <c r="CB2273" s="0" t="s">
        <v>130</v>
      </c>
      <c r="CC2273" s="0" t="s">
        <v>130</v>
      </c>
      <c r="CD2273" s="0" t="s">
        <v>130</v>
      </c>
      <c r="CE2273" s="0" t="s">
        <v>130</v>
      </c>
      <c r="CF2273" s="0" t="s">
        <v>130</v>
      </c>
      <c r="CG2273" s="0" t="s">
        <v>130</v>
      </c>
      <c r="CH2273" s="0" t="s">
        <v>130</v>
      </c>
      <c r="CI2273" s="0" t="s">
        <v>130</v>
      </c>
      <c r="CJ2273" s="0" t="s">
        <v>130</v>
      </c>
      <c r="CK2273" s="0" t="s">
        <v>130</v>
      </c>
      <c r="CL2273" s="0" t="s">
        <v>130</v>
      </c>
      <c r="CM2273" s="0" t="s">
        <v>130</v>
      </c>
      <c r="CN2273" s="0" t="s">
        <v>130</v>
      </c>
      <c r="CO2273" s="0" t="s">
        <v>130</v>
      </c>
      <c r="CP2273" s="0" t="s">
        <v>130</v>
      </c>
      <c r="CQ2273" s="0" t="s">
        <v>130</v>
      </c>
      <c r="CR2273" s="0" t="s">
        <v>130</v>
      </c>
      <c r="CS2273" s="0" t="s">
        <v>130</v>
      </c>
      <c r="CT2273" s="0" t="s">
        <v>6287</v>
      </c>
    </row>
    <row r="2274">
      <c r="A2274" s="14">
        <v>100355</v>
      </c>
      <c r="B2274" s="0" t="s">
        <v>604</v>
      </c>
      <c r="C2274" s="16">
        <f>HYPERLINK("https://eosportal.federatedhermes.com/companies/Q29tcGFueQppNDgyOTA=", "Coca-Cola Co/The")</f>
      </c>
      <c r="D2274" s="0" t="s">
        <v>25</v>
      </c>
      <c r="E2274" s="0" t="s">
        <v>6288</v>
      </c>
      <c r="F2274" s="16">
        <f>HYPERLINK("https://eosportal.federatedhermes.com/engagements/RW5nYWdlbWVudAppMzMxNjA=", "LGBTQ+ representation and disclosure")</f>
      </c>
      <c r="G2274" s="14" t="s">
        <v>6289</v>
      </c>
      <c r="H2274" s="0" t="s">
        <v>141</v>
      </c>
      <c r="I2274" s="14" t="s">
        <v>191</v>
      </c>
      <c r="J2274" s="0" t="s">
        <v>153</v>
      </c>
      <c r="K2274" s="0" t="s">
        <v>154</v>
      </c>
      <c r="L2274" s="0" t="s">
        <v>268</v>
      </c>
      <c r="M2274" s="0" t="s">
        <v>135</v>
      </c>
      <c r="N2274" s="0" t="s">
        <v>136</v>
      </c>
      <c r="O2274" s="0" t="s">
        <v>332</v>
      </c>
      <c r="Q2274" s="0" t="s">
        <v>130</v>
      </c>
      <c r="R2274" s="0" t="s">
        <v>138</v>
      </c>
      <c r="S2274" s="14">
        <v>0</v>
      </c>
      <c r="T2274" s="0" t="s">
        <v>360</v>
      </c>
      <c r="U2274" s="0" t="s">
        <v>138</v>
      </c>
      <c r="V2274" s="14" t="s">
        <v>138</v>
      </c>
      <c r="W2274" s="0" t="s">
        <v>138</v>
      </c>
      <c r="X2274" s="14" t="s">
        <v>138</v>
      </c>
      <c r="Y2274" s="0" t="s">
        <v>138</v>
      </c>
      <c r="Z2274" s="14" t="s">
        <v>138</v>
      </c>
      <c r="AA2274" s="0" t="s">
        <v>138</v>
      </c>
      <c r="AB2274" s="14" t="s">
        <v>138</v>
      </c>
      <c r="AD2274" s="0" t="s">
        <v>138</v>
      </c>
      <c r="AF2274" s="0">
        <v>0</v>
      </c>
      <c r="AG2274" s="0">
        <v>0</v>
      </c>
      <c r="AH2274" s="0" t="s">
        <v>140</v>
      </c>
      <c r="AI2274" s="0" t="s">
        <v>138</v>
      </c>
      <c r="AL2274" s="14"/>
      <c r="AN2274" s="14"/>
      <c r="AQ2274" s="0" t="s">
        <v>130</v>
      </c>
      <c r="AR2274" s="0" t="s">
        <v>130</v>
      </c>
      <c r="AS2274" s="0" t="s">
        <v>130</v>
      </c>
      <c r="AT2274" s="0" t="s">
        <v>130</v>
      </c>
      <c r="AU2274" s="0" t="s">
        <v>141</v>
      </c>
      <c r="AV2274" s="0" t="s">
        <v>130</v>
      </c>
      <c r="AW2274" s="0" t="s">
        <v>130</v>
      </c>
      <c r="AX2274" s="0" t="s">
        <v>130</v>
      </c>
      <c r="AY2274" s="0" t="s">
        <v>130</v>
      </c>
      <c r="AZ2274" s="0" t="s">
        <v>130</v>
      </c>
      <c r="BA2274" s="0" t="s">
        <v>130</v>
      </c>
      <c r="BB2274" s="0" t="s">
        <v>130</v>
      </c>
      <c r="BC2274" s="0" t="s">
        <v>130</v>
      </c>
      <c r="BD2274" s="0" t="s">
        <v>130</v>
      </c>
      <c r="BE2274" s="0" t="s">
        <v>130</v>
      </c>
      <c r="BF2274" s="0" t="s">
        <v>130</v>
      </c>
      <c r="BG2274" s="0" t="s">
        <v>130</v>
      </c>
      <c r="BH2274" s="0" t="s">
        <v>130</v>
      </c>
      <c r="BI2274" s="0" t="s">
        <v>130</v>
      </c>
      <c r="BJ2274" s="0" t="s">
        <v>130</v>
      </c>
      <c r="BK2274" s="0" t="s">
        <v>130</v>
      </c>
      <c r="BL2274" s="0" t="s">
        <v>130</v>
      </c>
      <c r="BM2274" s="0" t="s">
        <v>130</v>
      </c>
      <c r="BN2274" s="0" t="s">
        <v>130</v>
      </c>
      <c r="BO2274" s="0" t="s">
        <v>130</v>
      </c>
      <c r="BP2274" s="0" t="s">
        <v>130</v>
      </c>
      <c r="BQ2274" s="0" t="s">
        <v>130</v>
      </c>
      <c r="BR2274" s="0" t="s">
        <v>130</v>
      </c>
      <c r="BS2274" s="0" t="s">
        <v>130</v>
      </c>
      <c r="BT2274" s="0" t="s">
        <v>130</v>
      </c>
      <c r="BU2274" s="0" t="s">
        <v>130</v>
      </c>
      <c r="BV2274" s="0" t="s">
        <v>130</v>
      </c>
      <c r="BW2274" s="0" t="s">
        <v>130</v>
      </c>
      <c r="BX2274" s="0" t="s">
        <v>130</v>
      </c>
      <c r="BY2274" s="0" t="s">
        <v>130</v>
      </c>
      <c r="BZ2274" s="0" t="s">
        <v>130</v>
      </c>
      <c r="CA2274" s="0" t="s">
        <v>130</v>
      </c>
      <c r="CB2274" s="0" t="s">
        <v>130</v>
      </c>
      <c r="CC2274" s="0" t="s">
        <v>130</v>
      </c>
      <c r="CD2274" s="0" t="s">
        <v>130</v>
      </c>
      <c r="CE2274" s="0" t="s">
        <v>130</v>
      </c>
      <c r="CF2274" s="0" t="s">
        <v>130</v>
      </c>
      <c r="CG2274" s="0" t="s">
        <v>130</v>
      </c>
      <c r="CH2274" s="0" t="s">
        <v>130</v>
      </c>
      <c r="CI2274" s="0" t="s">
        <v>130</v>
      </c>
      <c r="CJ2274" s="0" t="s">
        <v>130</v>
      </c>
      <c r="CK2274" s="0" t="s">
        <v>141</v>
      </c>
      <c r="CL2274" s="0" t="s">
        <v>130</v>
      </c>
      <c r="CM2274" s="0" t="s">
        <v>130</v>
      </c>
      <c r="CN2274" s="0" t="s">
        <v>130</v>
      </c>
      <c r="CO2274" s="0" t="s">
        <v>130</v>
      </c>
      <c r="CP2274" s="0" t="s">
        <v>130</v>
      </c>
      <c r="CQ2274" s="0" t="s">
        <v>130</v>
      </c>
      <c r="CR2274" s="0" t="s">
        <v>130</v>
      </c>
      <c r="CS2274" s="0" t="s">
        <v>130</v>
      </c>
      <c r="CT2274" s="0" t="s">
        <v>6290</v>
      </c>
    </row>
    <row r="2275">
      <c r="A2275" s="14">
        <v>100355</v>
      </c>
      <c r="B2275" s="0" t="s">
        <v>604</v>
      </c>
      <c r="C2275" s="16">
        <f>HYPERLINK("https://eosportal.federatedhermes.com/companies/Q29tcGFueQppNDgyOTA=", "Coca-Cola Co/The")</f>
      </c>
      <c r="D2275" s="0" t="s">
        <v>25</v>
      </c>
      <c r="E2275" s="0" t="s">
        <v>1811</v>
      </c>
      <c r="F2275" s="16">
        <f>HYPERLINK("https://eosportal.federatedhermes.com/engagements/RW5nYWdlbWVudAppMzMxNjE=", "Living wage")</f>
      </c>
      <c r="G2275" s="14" t="s">
        <v>6291</v>
      </c>
      <c r="H2275" s="0" t="s">
        <v>141</v>
      </c>
      <c r="I2275" s="14" t="s">
        <v>191</v>
      </c>
      <c r="J2275" s="0" t="s">
        <v>153</v>
      </c>
      <c r="K2275" s="0" t="s">
        <v>154</v>
      </c>
      <c r="L2275" s="0" t="s">
        <v>306</v>
      </c>
      <c r="M2275" s="0" t="s">
        <v>135</v>
      </c>
      <c r="N2275" s="0" t="s">
        <v>136</v>
      </c>
      <c r="O2275" s="0" t="s">
        <v>332</v>
      </c>
      <c r="Q2275" s="0" t="s">
        <v>130</v>
      </c>
      <c r="R2275" s="0" t="s">
        <v>138</v>
      </c>
      <c r="S2275" s="14">
        <v>0</v>
      </c>
      <c r="T2275" s="0" t="s">
        <v>360</v>
      </c>
      <c r="U2275" s="0" t="s">
        <v>138</v>
      </c>
      <c r="V2275" s="14" t="s">
        <v>138</v>
      </c>
      <c r="W2275" s="0" t="s">
        <v>138</v>
      </c>
      <c r="X2275" s="14" t="s">
        <v>138</v>
      </c>
      <c r="Y2275" s="0" t="s">
        <v>138</v>
      </c>
      <c r="Z2275" s="14" t="s">
        <v>138</v>
      </c>
      <c r="AA2275" s="0" t="s">
        <v>138</v>
      </c>
      <c r="AB2275" s="14" t="s">
        <v>138</v>
      </c>
      <c r="AD2275" s="0" t="s">
        <v>138</v>
      </c>
      <c r="AF2275" s="0">
        <v>0</v>
      </c>
      <c r="AG2275" s="0">
        <v>0</v>
      </c>
      <c r="AH2275" s="0" t="s">
        <v>140</v>
      </c>
      <c r="AI2275" s="0" t="s">
        <v>138</v>
      </c>
      <c r="AL2275" s="14"/>
      <c r="AN2275" s="14"/>
      <c r="AQ2275" s="0" t="s">
        <v>141</v>
      </c>
      <c r="AR2275" s="0" t="s">
        <v>130</v>
      </c>
      <c r="AS2275" s="0" t="s">
        <v>130</v>
      </c>
      <c r="AT2275" s="0" t="s">
        <v>130</v>
      </c>
      <c r="AU2275" s="0" t="s">
        <v>130</v>
      </c>
      <c r="AV2275" s="0" t="s">
        <v>130</v>
      </c>
      <c r="AW2275" s="0" t="s">
        <v>130</v>
      </c>
      <c r="AX2275" s="0" t="s">
        <v>141</v>
      </c>
      <c r="AY2275" s="0" t="s">
        <v>130</v>
      </c>
      <c r="AZ2275" s="0" t="s">
        <v>141</v>
      </c>
      <c r="BA2275" s="0" t="s">
        <v>130</v>
      </c>
      <c r="BB2275" s="0" t="s">
        <v>130</v>
      </c>
      <c r="BC2275" s="0" t="s">
        <v>130</v>
      </c>
      <c r="BD2275" s="0" t="s">
        <v>130</v>
      </c>
      <c r="BE2275" s="0" t="s">
        <v>130</v>
      </c>
      <c r="BF2275" s="0" t="s">
        <v>130</v>
      </c>
      <c r="BG2275" s="0" t="s">
        <v>130</v>
      </c>
      <c r="BH2275" s="0" t="s">
        <v>130</v>
      </c>
      <c r="BI2275" s="0" t="s">
        <v>130</v>
      </c>
      <c r="BJ2275" s="0" t="s">
        <v>130</v>
      </c>
      <c r="BK2275" s="0" t="s">
        <v>130</v>
      </c>
      <c r="BL2275" s="0" t="s">
        <v>130</v>
      </c>
      <c r="BM2275" s="0" t="s">
        <v>130</v>
      </c>
      <c r="BN2275" s="0" t="s">
        <v>130</v>
      </c>
      <c r="BO2275" s="0" t="s">
        <v>130</v>
      </c>
      <c r="BP2275" s="0" t="s">
        <v>130</v>
      </c>
      <c r="BQ2275" s="0" t="s">
        <v>130</v>
      </c>
      <c r="BR2275" s="0" t="s">
        <v>130</v>
      </c>
      <c r="BS2275" s="0" t="s">
        <v>130</v>
      </c>
      <c r="BT2275" s="0" t="s">
        <v>130</v>
      </c>
      <c r="BU2275" s="0" t="s">
        <v>130</v>
      </c>
      <c r="BV2275" s="0" t="s">
        <v>130</v>
      </c>
      <c r="BW2275" s="0" t="s">
        <v>130</v>
      </c>
      <c r="BX2275" s="0" t="s">
        <v>130</v>
      </c>
      <c r="BY2275" s="0" t="s">
        <v>130</v>
      </c>
      <c r="BZ2275" s="0" t="s">
        <v>130</v>
      </c>
      <c r="CA2275" s="0" t="s">
        <v>130</v>
      </c>
      <c r="CB2275" s="0" t="s">
        <v>130</v>
      </c>
      <c r="CC2275" s="0" t="s">
        <v>130</v>
      </c>
      <c r="CD2275" s="0" t="s">
        <v>130</v>
      </c>
      <c r="CE2275" s="0" t="s">
        <v>130</v>
      </c>
      <c r="CF2275" s="0" t="s">
        <v>130</v>
      </c>
      <c r="CG2275" s="0" t="s">
        <v>130</v>
      </c>
      <c r="CH2275" s="0" t="s">
        <v>130</v>
      </c>
      <c r="CI2275" s="0" t="s">
        <v>130</v>
      </c>
      <c r="CJ2275" s="0" t="s">
        <v>130</v>
      </c>
      <c r="CK2275" s="0" t="s">
        <v>130</v>
      </c>
      <c r="CL2275" s="0" t="s">
        <v>130</v>
      </c>
      <c r="CM2275" s="0" t="s">
        <v>130</v>
      </c>
      <c r="CN2275" s="0" t="s">
        <v>130</v>
      </c>
      <c r="CO2275" s="0" t="s">
        <v>130</v>
      </c>
      <c r="CP2275" s="0" t="s">
        <v>130</v>
      </c>
      <c r="CQ2275" s="0" t="s">
        <v>130</v>
      </c>
      <c r="CR2275" s="0" t="s">
        <v>130</v>
      </c>
      <c r="CS2275" s="0" t="s">
        <v>130</v>
      </c>
      <c r="CT2275" s="0" t="s">
        <v>6292</v>
      </c>
    </row>
    <row r="2276">
      <c r="A2276" s="14">
        <v>41633927</v>
      </c>
      <c r="B2276" s="0" t="s">
        <v>4569</v>
      </c>
      <c r="C2276" s="16">
        <f>HYPERLINK("https://eosportal.federatedhermes.com/companies/Q29tcGFueQppNTIxODI=", "Stellantis NV")</f>
      </c>
      <c r="D2276" s="0" t="s">
        <v>25</v>
      </c>
      <c r="E2276" s="0" t="s">
        <v>6293</v>
      </c>
      <c r="F2276" s="16">
        <f>HYPERLINK("https://eosportal.federatedhermes.com/engagements/RW5nYWdlbWVudAppMzMxNjI=", "Reporting Disclosures")</f>
      </c>
      <c r="G2276" s="14" t="s">
        <v>6294</v>
      </c>
      <c r="H2276" s="0" t="s">
        <v>141</v>
      </c>
      <c r="I2276" s="14" t="s">
        <v>1645</v>
      </c>
      <c r="J2276" s="0" t="s">
        <v>132</v>
      </c>
      <c r="K2276" s="0" t="s">
        <v>170</v>
      </c>
      <c r="L2276" s="0" t="s">
        <v>171</v>
      </c>
      <c r="M2276" s="0" t="s">
        <v>378</v>
      </c>
      <c r="N2276" s="0" t="s">
        <v>2554</v>
      </c>
      <c r="O2276" s="0" t="s">
        <v>425</v>
      </c>
      <c r="Q2276" s="0" t="s">
        <v>130</v>
      </c>
      <c r="R2276" s="0" t="s">
        <v>138</v>
      </c>
      <c r="S2276" s="14">
        <v>0</v>
      </c>
      <c r="T2276" s="0" t="s">
        <v>360</v>
      </c>
      <c r="U2276" s="0" t="s">
        <v>138</v>
      </c>
      <c r="V2276" s="14" t="s">
        <v>138</v>
      </c>
      <c r="W2276" s="0" t="s">
        <v>138</v>
      </c>
      <c r="X2276" s="14" t="s">
        <v>138</v>
      </c>
      <c r="Y2276" s="0" t="s">
        <v>138</v>
      </c>
      <c r="Z2276" s="14" t="s">
        <v>138</v>
      </c>
      <c r="AA2276" s="0" t="s">
        <v>138</v>
      </c>
      <c r="AB2276" s="14" t="s">
        <v>138</v>
      </c>
      <c r="AD2276" s="0" t="s">
        <v>138</v>
      </c>
      <c r="AF2276" s="0">
        <v>0</v>
      </c>
      <c r="AG2276" s="0">
        <v>0</v>
      </c>
      <c r="AH2276" s="0" t="s">
        <v>140</v>
      </c>
      <c r="AI2276" s="0" t="s">
        <v>138</v>
      </c>
      <c r="AL2276" s="14"/>
      <c r="AN2276" s="14"/>
      <c r="AQ2276" s="0" t="s">
        <v>130</v>
      </c>
      <c r="AR2276" s="0" t="s">
        <v>130</v>
      </c>
      <c r="AS2276" s="0" t="s">
        <v>130</v>
      </c>
      <c r="AT2276" s="0" t="s">
        <v>130</v>
      </c>
      <c r="AU2276" s="0" t="s">
        <v>130</v>
      </c>
      <c r="AV2276" s="0" t="s">
        <v>130</v>
      </c>
      <c r="AW2276" s="0" t="s">
        <v>130</v>
      </c>
      <c r="AX2276" s="0" t="s">
        <v>130</v>
      </c>
      <c r="AY2276" s="0" t="s">
        <v>130</v>
      </c>
      <c r="AZ2276" s="0" t="s">
        <v>130</v>
      </c>
      <c r="BA2276" s="0" t="s">
        <v>130</v>
      </c>
      <c r="BB2276" s="0" t="s">
        <v>130</v>
      </c>
      <c r="BC2276" s="0" t="s">
        <v>130</v>
      </c>
      <c r="BD2276" s="0" t="s">
        <v>130</v>
      </c>
      <c r="BE2276" s="0" t="s">
        <v>130</v>
      </c>
      <c r="BF2276" s="0" t="s">
        <v>130</v>
      </c>
      <c r="BG2276" s="0" t="s">
        <v>130</v>
      </c>
      <c r="BH2276" s="0" t="s">
        <v>130</v>
      </c>
      <c r="BI2276" s="0" t="s">
        <v>130</v>
      </c>
      <c r="BJ2276" s="0" t="s">
        <v>130</v>
      </c>
      <c r="BK2276" s="0" t="s">
        <v>130</v>
      </c>
      <c r="BL2276" s="0" t="s">
        <v>130</v>
      </c>
      <c r="BM2276" s="0" t="s">
        <v>130</v>
      </c>
      <c r="BN2276" s="0" t="s">
        <v>130</v>
      </c>
      <c r="BO2276" s="0" t="s">
        <v>130</v>
      </c>
      <c r="BP2276" s="0" t="s">
        <v>130</v>
      </c>
      <c r="BQ2276" s="0" t="s">
        <v>130</v>
      </c>
      <c r="BR2276" s="0" t="s">
        <v>130</v>
      </c>
      <c r="BS2276" s="0" t="s">
        <v>130</v>
      </c>
      <c r="BT2276" s="0" t="s">
        <v>130</v>
      </c>
      <c r="BU2276" s="0" t="s">
        <v>130</v>
      </c>
      <c r="BV2276" s="0" t="s">
        <v>130</v>
      </c>
      <c r="BW2276" s="0" t="s">
        <v>130</v>
      </c>
      <c r="BX2276" s="0" t="s">
        <v>130</v>
      </c>
      <c r="BY2276" s="0" t="s">
        <v>130</v>
      </c>
      <c r="BZ2276" s="0" t="s">
        <v>130</v>
      </c>
      <c r="CA2276" s="0" t="s">
        <v>130</v>
      </c>
      <c r="CB2276" s="0" t="s">
        <v>130</v>
      </c>
      <c r="CC2276" s="0" t="s">
        <v>130</v>
      </c>
      <c r="CD2276" s="0" t="s">
        <v>130</v>
      </c>
      <c r="CE2276" s="0" t="s">
        <v>130</v>
      </c>
      <c r="CF2276" s="0" t="s">
        <v>130</v>
      </c>
      <c r="CG2276" s="0" t="s">
        <v>130</v>
      </c>
      <c r="CH2276" s="0" t="s">
        <v>130</v>
      </c>
      <c r="CI2276" s="0" t="s">
        <v>130</v>
      </c>
      <c r="CJ2276" s="0" t="s">
        <v>130</v>
      </c>
      <c r="CK2276" s="0" t="s">
        <v>130</v>
      </c>
      <c r="CL2276" s="0" t="s">
        <v>130</v>
      </c>
      <c r="CM2276" s="0" t="s">
        <v>130</v>
      </c>
      <c r="CN2276" s="0" t="s">
        <v>130</v>
      </c>
      <c r="CO2276" s="0" t="s">
        <v>130</v>
      </c>
      <c r="CP2276" s="0" t="s">
        <v>130</v>
      </c>
      <c r="CQ2276" s="0" t="s">
        <v>130</v>
      </c>
      <c r="CR2276" s="0" t="s">
        <v>130</v>
      </c>
      <c r="CS2276" s="0" t="s">
        <v>130</v>
      </c>
      <c r="CT2276" s="0" t="s">
        <v>6295</v>
      </c>
    </row>
    <row r="2277">
      <c r="A2277" s="14">
        <v>118130</v>
      </c>
      <c r="B2277" s="0" t="s">
        <v>2895</v>
      </c>
      <c r="C2277" s="16">
        <f>HYPERLINK("https://eosportal.federatedhermes.com/companies/Q29tcGFueQppNjI0ODA=", "Unipol Assicurazioni SPA")</f>
      </c>
      <c r="D2277" s="0" t="s">
        <v>23</v>
      </c>
      <c r="E2277" s="0" t="s">
        <v>6296</v>
      </c>
      <c r="F2277" s="16">
        <f>HYPERLINK("https://eosportal.federatedhermes.com/engagements/RW5nYWdlbWVudAppMzMxNzU=", "Publication of just transition strategy and goals")</f>
      </c>
      <c r="G2277" s="14" t="s">
        <v>6297</v>
      </c>
      <c r="H2277" s="0" t="s">
        <v>130</v>
      </c>
      <c r="I2277" s="14" t="s">
        <v>131</v>
      </c>
      <c r="J2277" s="0" t="s">
        <v>153</v>
      </c>
      <c r="K2277" s="0" t="s">
        <v>154</v>
      </c>
      <c r="L2277" s="0" t="s">
        <v>306</v>
      </c>
      <c r="M2277" s="0" t="s">
        <v>378</v>
      </c>
      <c r="N2277" s="0" t="s">
        <v>2898</v>
      </c>
      <c r="O2277" s="0" t="s">
        <v>238</v>
      </c>
      <c r="Q2277" s="0" t="s">
        <v>141</v>
      </c>
      <c r="R2277" s="0" t="s">
        <v>130</v>
      </c>
      <c r="S2277" s="14">
        <v>1</v>
      </c>
      <c r="T2277" s="0" t="s">
        <v>360</v>
      </c>
      <c r="U2277" s="0" t="s">
        <v>221</v>
      </c>
      <c r="V2277" s="14" t="s">
        <v>360</v>
      </c>
      <c r="W2277" s="0" t="s">
        <v>221</v>
      </c>
      <c r="X2277" s="14" t="s">
        <v>360</v>
      </c>
      <c r="Y2277" s="0" t="s">
        <v>221</v>
      </c>
      <c r="Z2277" s="14" t="s">
        <v>4412</v>
      </c>
      <c r="AA2277" s="0" t="s">
        <v>223</v>
      </c>
      <c r="AB2277" s="14" t="s">
        <v>138</v>
      </c>
      <c r="AD2277" s="0" t="s">
        <v>20</v>
      </c>
      <c r="AF2277" s="0">
        <v>0</v>
      </c>
      <c r="AG2277" s="0">
        <v>0</v>
      </c>
      <c r="AH2277" s="0" t="s">
        <v>140</v>
      </c>
      <c r="AI2277" s="0" t="s">
        <v>598</v>
      </c>
      <c r="AK2277" s="0" t="s">
        <v>436</v>
      </c>
      <c r="AL2277" s="14"/>
      <c r="AN2277" s="14"/>
      <c r="AQ2277" s="0" t="s">
        <v>130</v>
      </c>
      <c r="AR2277" s="0" t="s">
        <v>130</v>
      </c>
      <c r="AS2277" s="0" t="s">
        <v>130</v>
      </c>
      <c r="AT2277" s="0" t="s">
        <v>130</v>
      </c>
      <c r="AU2277" s="0" t="s">
        <v>130</v>
      </c>
      <c r="AV2277" s="0" t="s">
        <v>130</v>
      </c>
      <c r="AW2277" s="0" t="s">
        <v>130</v>
      </c>
      <c r="AX2277" s="0" t="s">
        <v>141</v>
      </c>
      <c r="AY2277" s="0" t="s">
        <v>130</v>
      </c>
      <c r="AZ2277" s="0" t="s">
        <v>141</v>
      </c>
      <c r="BA2277" s="0" t="s">
        <v>130</v>
      </c>
      <c r="BB2277" s="0" t="s">
        <v>130</v>
      </c>
      <c r="BC2277" s="0" t="s">
        <v>130</v>
      </c>
      <c r="BD2277" s="0" t="s">
        <v>130</v>
      </c>
      <c r="BE2277" s="0" t="s">
        <v>130</v>
      </c>
      <c r="BF2277" s="0" t="s">
        <v>130</v>
      </c>
      <c r="BG2277" s="0" t="s">
        <v>130</v>
      </c>
      <c r="BH2277" s="0" t="s">
        <v>130</v>
      </c>
      <c r="BI2277" s="0" t="s">
        <v>130</v>
      </c>
      <c r="BJ2277" s="0" t="s">
        <v>130</v>
      </c>
      <c r="BK2277" s="0" t="s">
        <v>130</v>
      </c>
      <c r="BL2277" s="0" t="s">
        <v>130</v>
      </c>
      <c r="BM2277" s="0" t="s">
        <v>130</v>
      </c>
      <c r="BN2277" s="0" t="s">
        <v>130</v>
      </c>
      <c r="BO2277" s="0" t="s">
        <v>130</v>
      </c>
      <c r="BP2277" s="0" t="s">
        <v>130</v>
      </c>
      <c r="BQ2277" s="0" t="s">
        <v>130</v>
      </c>
      <c r="BR2277" s="0" t="s">
        <v>130</v>
      </c>
      <c r="BS2277" s="0" t="s">
        <v>130</v>
      </c>
      <c r="BT2277" s="0" t="s">
        <v>130</v>
      </c>
      <c r="BU2277" s="0" t="s">
        <v>130</v>
      </c>
      <c r="BV2277" s="0" t="s">
        <v>130</v>
      </c>
      <c r="BW2277" s="0" t="s">
        <v>130</v>
      </c>
      <c r="BX2277" s="0" t="s">
        <v>130</v>
      </c>
      <c r="BY2277" s="0" t="s">
        <v>130</v>
      </c>
      <c r="BZ2277" s="0" t="s">
        <v>130</v>
      </c>
      <c r="CA2277" s="0" t="s">
        <v>130</v>
      </c>
      <c r="CB2277" s="0" t="s">
        <v>130</v>
      </c>
      <c r="CC2277" s="0" t="s">
        <v>130</v>
      </c>
      <c r="CD2277" s="0" t="s">
        <v>130</v>
      </c>
      <c r="CE2277" s="0" t="s">
        <v>130</v>
      </c>
      <c r="CF2277" s="0" t="s">
        <v>130</v>
      </c>
      <c r="CG2277" s="0" t="s">
        <v>130</v>
      </c>
      <c r="CH2277" s="0" t="s">
        <v>130</v>
      </c>
      <c r="CI2277" s="0" t="s">
        <v>130</v>
      </c>
      <c r="CJ2277" s="0" t="s">
        <v>130</v>
      </c>
      <c r="CK2277" s="0" t="s">
        <v>130</v>
      </c>
      <c r="CL2277" s="0" t="s">
        <v>130</v>
      </c>
      <c r="CM2277" s="0" t="s">
        <v>130</v>
      </c>
      <c r="CN2277" s="0" t="s">
        <v>130</v>
      </c>
      <c r="CO2277" s="0" t="s">
        <v>130</v>
      </c>
      <c r="CP2277" s="0" t="s">
        <v>130</v>
      </c>
      <c r="CQ2277" s="0" t="s">
        <v>130</v>
      </c>
      <c r="CR2277" s="0" t="s">
        <v>130</v>
      </c>
      <c r="CS2277" s="0" t="s">
        <v>130</v>
      </c>
      <c r="CT2277" s="0" t="s">
        <v>6298</v>
      </c>
    </row>
    <row r="2278">
      <c r="A2278" s="14">
        <v>61564243</v>
      </c>
      <c r="B2278" s="0" t="s">
        <v>4788</v>
      </c>
      <c r="C2278" s="16">
        <f>HYPERLINK("https://eosportal.federatedhermes.com/companies/Q29tcGFueQppNTIxNzk=", "Nordea Bank Abp")</f>
      </c>
      <c r="D2278" s="0" t="s">
        <v>23</v>
      </c>
      <c r="E2278" s="0" t="s">
        <v>5531</v>
      </c>
      <c r="F2278" s="16">
        <f>HYPERLINK("https://eosportal.federatedhermes.com/engagements/RW5nYWdlbWVudAppMzMxNzY=", "TNFD reporting")</f>
      </c>
      <c r="G2278" s="14" t="s">
        <v>6299</v>
      </c>
      <c r="H2278" s="0" t="s">
        <v>141</v>
      </c>
      <c r="I2278" s="14" t="s">
        <v>131</v>
      </c>
      <c r="J2278" s="0" t="s">
        <v>197</v>
      </c>
      <c r="K2278" s="0" t="s">
        <v>337</v>
      </c>
      <c r="L2278" s="0" t="s">
        <v>576</v>
      </c>
      <c r="M2278" s="0" t="s">
        <v>378</v>
      </c>
      <c r="N2278" s="0" t="s">
        <v>3657</v>
      </c>
      <c r="O2278" s="0" t="s">
        <v>238</v>
      </c>
      <c r="Q2278" s="0" t="s">
        <v>130</v>
      </c>
      <c r="R2278" s="0" t="s">
        <v>130</v>
      </c>
      <c r="S2278" s="14">
        <v>0</v>
      </c>
      <c r="T2278" s="0" t="s">
        <v>360</v>
      </c>
      <c r="U2278" s="0" t="s">
        <v>221</v>
      </c>
      <c r="V2278" s="14" t="s">
        <v>360</v>
      </c>
      <c r="W2278" s="0" t="s">
        <v>221</v>
      </c>
      <c r="X2278" s="14" t="s">
        <v>360</v>
      </c>
      <c r="Y2278" s="0" t="s">
        <v>223</v>
      </c>
      <c r="Z2278" s="14" t="s">
        <v>138</v>
      </c>
      <c r="AA2278" s="0" t="s">
        <v>224</v>
      </c>
      <c r="AB2278" s="14" t="s">
        <v>138</v>
      </c>
      <c r="AD2278" s="0" t="s">
        <v>17</v>
      </c>
      <c r="AF2278" s="0">
        <v>0</v>
      </c>
      <c r="AG2278" s="0">
        <v>0</v>
      </c>
      <c r="AH2278" s="0" t="s">
        <v>140</v>
      </c>
      <c r="AI2278" s="0" t="s">
        <v>598</v>
      </c>
      <c r="AL2278" s="14"/>
      <c r="AN2278" s="14"/>
      <c r="AQ2278" s="0" t="s">
        <v>130</v>
      </c>
      <c r="AR2278" s="0" t="s">
        <v>141</v>
      </c>
      <c r="AS2278" s="0" t="s">
        <v>130</v>
      </c>
      <c r="AT2278" s="0" t="s">
        <v>130</v>
      </c>
      <c r="AU2278" s="0" t="s">
        <v>130</v>
      </c>
      <c r="AV2278" s="0" t="s">
        <v>141</v>
      </c>
      <c r="AW2278" s="0" t="s">
        <v>130</v>
      </c>
      <c r="AX2278" s="0" t="s">
        <v>130</v>
      </c>
      <c r="AY2278" s="0" t="s">
        <v>130</v>
      </c>
      <c r="AZ2278" s="0" t="s">
        <v>130</v>
      </c>
      <c r="BA2278" s="0" t="s">
        <v>141</v>
      </c>
      <c r="BB2278" s="0" t="s">
        <v>141</v>
      </c>
      <c r="BC2278" s="0" t="s">
        <v>130</v>
      </c>
      <c r="BD2278" s="0" t="s">
        <v>141</v>
      </c>
      <c r="BE2278" s="0" t="s">
        <v>141</v>
      </c>
      <c r="BF2278" s="0" t="s">
        <v>130</v>
      </c>
      <c r="BG2278" s="0" t="s">
        <v>130</v>
      </c>
      <c r="BH2278" s="0" t="s">
        <v>130</v>
      </c>
      <c r="BI2278" s="0" t="s">
        <v>130</v>
      </c>
      <c r="BJ2278" s="0" t="s">
        <v>130</v>
      </c>
      <c r="BK2278" s="0" t="s">
        <v>130</v>
      </c>
      <c r="BL2278" s="0" t="s">
        <v>130</v>
      </c>
      <c r="BM2278" s="0" t="s">
        <v>130</v>
      </c>
      <c r="BN2278" s="0" t="s">
        <v>130</v>
      </c>
      <c r="BO2278" s="0" t="s">
        <v>130</v>
      </c>
      <c r="BP2278" s="0" t="s">
        <v>130</v>
      </c>
      <c r="BQ2278" s="0" t="s">
        <v>130</v>
      </c>
      <c r="BR2278" s="0" t="s">
        <v>130</v>
      </c>
      <c r="BS2278" s="0" t="s">
        <v>130</v>
      </c>
      <c r="BT2278" s="0" t="s">
        <v>130</v>
      </c>
      <c r="BU2278" s="0" t="s">
        <v>130</v>
      </c>
      <c r="BV2278" s="0" t="s">
        <v>130</v>
      </c>
      <c r="BW2278" s="0" t="s">
        <v>130</v>
      </c>
      <c r="BX2278" s="0" t="s">
        <v>130</v>
      </c>
      <c r="BY2278" s="0" t="s">
        <v>130</v>
      </c>
      <c r="BZ2278" s="0" t="s">
        <v>130</v>
      </c>
      <c r="CA2278" s="0" t="s">
        <v>130</v>
      </c>
      <c r="CB2278" s="0" t="s">
        <v>130</v>
      </c>
      <c r="CC2278" s="0" t="s">
        <v>130</v>
      </c>
      <c r="CD2278" s="0" t="s">
        <v>130</v>
      </c>
      <c r="CE2278" s="0" t="s">
        <v>130</v>
      </c>
      <c r="CF2278" s="0" t="s">
        <v>130</v>
      </c>
      <c r="CG2278" s="0" t="s">
        <v>130</v>
      </c>
      <c r="CH2278" s="0" t="s">
        <v>130</v>
      </c>
      <c r="CI2278" s="0" t="s">
        <v>130</v>
      </c>
      <c r="CJ2278" s="0" t="s">
        <v>130</v>
      </c>
      <c r="CK2278" s="0" t="s">
        <v>130</v>
      </c>
      <c r="CL2278" s="0" t="s">
        <v>130</v>
      </c>
      <c r="CM2278" s="0" t="s">
        <v>130</v>
      </c>
      <c r="CN2278" s="0" t="s">
        <v>130</v>
      </c>
      <c r="CO2278" s="0" t="s">
        <v>130</v>
      </c>
      <c r="CP2278" s="0" t="s">
        <v>130</v>
      </c>
      <c r="CQ2278" s="0" t="s">
        <v>130</v>
      </c>
      <c r="CR2278" s="0" t="s">
        <v>130</v>
      </c>
      <c r="CS2278" s="0" t="s">
        <v>130</v>
      </c>
      <c r="CT2278" s="0" t="s">
        <v>6300</v>
      </c>
    </row>
    <row r="2279">
      <c r="A2279" s="14">
        <v>101254</v>
      </c>
      <c r="B2279" s="0" t="s">
        <v>1531</v>
      </c>
      <c r="C2279" s="16">
        <f>HYPERLINK("https://eosportal.federatedhermes.com/companies/Q29tcGFueQppNTg5NjY=", "Repsol SA")</f>
      </c>
      <c r="D2279" s="0" t="s">
        <v>25</v>
      </c>
      <c r="E2279" s="0" t="s">
        <v>6301</v>
      </c>
      <c r="F2279" s="16">
        <f>HYPERLINK("https://eosportal.federatedhermes.com/engagements/RW5nYWdlbWVudAppMzMxNzg=", "Board Delegate Committee")</f>
      </c>
      <c r="G2279" s="14" t="s">
        <v>6302</v>
      </c>
      <c r="H2279" s="0" t="s">
        <v>141</v>
      </c>
      <c r="I2279" s="14" t="s">
        <v>191</v>
      </c>
      <c r="J2279" s="0" t="s">
        <v>145</v>
      </c>
      <c r="K2279" s="0" t="s">
        <v>164</v>
      </c>
      <c r="L2279" s="0" t="s">
        <v>165</v>
      </c>
      <c r="M2279" s="0" t="s">
        <v>378</v>
      </c>
      <c r="N2279" s="0" t="s">
        <v>379</v>
      </c>
      <c r="O2279" s="0" t="s">
        <v>542</v>
      </c>
      <c r="Q2279" s="0" t="s">
        <v>130</v>
      </c>
      <c r="R2279" s="0" t="s">
        <v>138</v>
      </c>
      <c r="S2279" s="14">
        <v>0</v>
      </c>
      <c r="T2279" s="0" t="s">
        <v>478</v>
      </c>
      <c r="U2279" s="0" t="s">
        <v>138</v>
      </c>
      <c r="V2279" s="14" t="s">
        <v>138</v>
      </c>
      <c r="W2279" s="0" t="s">
        <v>138</v>
      </c>
      <c r="X2279" s="14" t="s">
        <v>138</v>
      </c>
      <c r="Y2279" s="0" t="s">
        <v>138</v>
      </c>
      <c r="Z2279" s="14" t="s">
        <v>138</v>
      </c>
      <c r="AA2279" s="0" t="s">
        <v>138</v>
      </c>
      <c r="AB2279" s="14" t="s">
        <v>138</v>
      </c>
      <c r="AD2279" s="0" t="s">
        <v>138</v>
      </c>
      <c r="AF2279" s="0">
        <v>0</v>
      </c>
      <c r="AG2279" s="0">
        <v>0</v>
      </c>
      <c r="AH2279" s="0" t="s">
        <v>140</v>
      </c>
      <c r="AI2279" s="0" t="s">
        <v>138</v>
      </c>
      <c r="AL2279" s="14"/>
      <c r="AN2279" s="14"/>
      <c r="AQ2279" s="0" t="s">
        <v>130</v>
      </c>
      <c r="AR2279" s="0" t="s">
        <v>130</v>
      </c>
      <c r="AS2279" s="0" t="s">
        <v>130</v>
      </c>
      <c r="AT2279" s="0" t="s">
        <v>130</v>
      </c>
      <c r="AU2279" s="0" t="s">
        <v>130</v>
      </c>
      <c r="AV2279" s="0" t="s">
        <v>130</v>
      </c>
      <c r="AW2279" s="0" t="s">
        <v>130</v>
      </c>
      <c r="AX2279" s="0" t="s">
        <v>130</v>
      </c>
      <c r="AY2279" s="0" t="s">
        <v>130</v>
      </c>
      <c r="AZ2279" s="0" t="s">
        <v>130</v>
      </c>
      <c r="BA2279" s="0" t="s">
        <v>130</v>
      </c>
      <c r="BB2279" s="0" t="s">
        <v>130</v>
      </c>
      <c r="BC2279" s="0" t="s">
        <v>130</v>
      </c>
      <c r="BD2279" s="0" t="s">
        <v>130</v>
      </c>
      <c r="BE2279" s="0" t="s">
        <v>130</v>
      </c>
      <c r="BF2279" s="0" t="s">
        <v>130</v>
      </c>
      <c r="BG2279" s="0" t="s">
        <v>130</v>
      </c>
      <c r="BH2279" s="0" t="s">
        <v>130</v>
      </c>
      <c r="BI2279" s="0" t="s">
        <v>130</v>
      </c>
      <c r="BJ2279" s="0" t="s">
        <v>130</v>
      </c>
      <c r="BK2279" s="0" t="s">
        <v>130</v>
      </c>
      <c r="BL2279" s="0" t="s">
        <v>130</v>
      </c>
      <c r="BM2279" s="0" t="s">
        <v>130</v>
      </c>
      <c r="BN2279" s="0" t="s">
        <v>130</v>
      </c>
      <c r="BO2279" s="0" t="s">
        <v>130</v>
      </c>
      <c r="BP2279" s="0" t="s">
        <v>130</v>
      </c>
      <c r="BQ2279" s="0" t="s">
        <v>130</v>
      </c>
      <c r="BR2279" s="0" t="s">
        <v>130</v>
      </c>
      <c r="BS2279" s="0" t="s">
        <v>130</v>
      </c>
      <c r="BT2279" s="0" t="s">
        <v>130</v>
      </c>
      <c r="BU2279" s="0" t="s">
        <v>130</v>
      </c>
      <c r="BV2279" s="0" t="s">
        <v>130</v>
      </c>
      <c r="BW2279" s="0" t="s">
        <v>130</v>
      </c>
      <c r="BX2279" s="0" t="s">
        <v>130</v>
      </c>
      <c r="BY2279" s="0" t="s">
        <v>130</v>
      </c>
      <c r="BZ2279" s="0" t="s">
        <v>130</v>
      </c>
      <c r="CA2279" s="0" t="s">
        <v>130</v>
      </c>
      <c r="CB2279" s="0" t="s">
        <v>130</v>
      </c>
      <c r="CC2279" s="0" t="s">
        <v>130</v>
      </c>
      <c r="CD2279" s="0" t="s">
        <v>130</v>
      </c>
      <c r="CE2279" s="0" t="s">
        <v>130</v>
      </c>
      <c r="CF2279" s="0" t="s">
        <v>130</v>
      </c>
      <c r="CG2279" s="0" t="s">
        <v>130</v>
      </c>
      <c r="CH2279" s="0" t="s">
        <v>130</v>
      </c>
      <c r="CI2279" s="0" t="s">
        <v>130</v>
      </c>
      <c r="CJ2279" s="0" t="s">
        <v>130</v>
      </c>
      <c r="CK2279" s="0" t="s">
        <v>130</v>
      </c>
      <c r="CL2279" s="0" t="s">
        <v>130</v>
      </c>
      <c r="CM2279" s="0" t="s">
        <v>130</v>
      </c>
      <c r="CN2279" s="0" t="s">
        <v>130</v>
      </c>
      <c r="CO2279" s="0" t="s">
        <v>130</v>
      </c>
      <c r="CP2279" s="0" t="s">
        <v>130</v>
      </c>
      <c r="CQ2279" s="0" t="s">
        <v>130</v>
      </c>
      <c r="CR2279" s="0" t="s">
        <v>130</v>
      </c>
      <c r="CS2279" s="0" t="s">
        <v>130</v>
      </c>
      <c r="CT2279" s="0" t="s">
        <v>6303</v>
      </c>
    </row>
    <row r="2280">
      <c r="A2280" s="14">
        <v>100355</v>
      </c>
      <c r="B2280" s="0" t="s">
        <v>604</v>
      </c>
      <c r="C2280" s="16">
        <f>HYPERLINK("https://eosportal.federatedhermes.com/companies/Q29tcGFueQppNDgyOTA=", "Coca-Cola Co/The")</f>
      </c>
      <c r="D2280" s="0" t="s">
        <v>23</v>
      </c>
      <c r="E2280" s="0" t="s">
        <v>6304</v>
      </c>
      <c r="F2280" s="16">
        <f>HYPERLINK("https://eosportal.federatedhermes.com/engagements/RW5nYWdlbWVudAppMzMxODI=", "Human rights in the supply chain - access to remedy")</f>
      </c>
      <c r="G2280" s="14" t="s">
        <v>6305</v>
      </c>
      <c r="H2280" s="0" t="s">
        <v>141</v>
      </c>
      <c r="I2280" s="14" t="s">
        <v>191</v>
      </c>
      <c r="J2280" s="0" t="s">
        <v>153</v>
      </c>
      <c r="K2280" s="0" t="s">
        <v>243</v>
      </c>
      <c r="L2280" s="0" t="s">
        <v>244</v>
      </c>
      <c r="M2280" s="0" t="s">
        <v>135</v>
      </c>
      <c r="N2280" s="0" t="s">
        <v>136</v>
      </c>
      <c r="O2280" s="0" t="s">
        <v>332</v>
      </c>
      <c r="Q2280" s="0" t="s">
        <v>141</v>
      </c>
      <c r="R2280" s="0" t="s">
        <v>130</v>
      </c>
      <c r="S2280" s="14">
        <v>1</v>
      </c>
      <c r="T2280" s="0" t="s">
        <v>360</v>
      </c>
      <c r="U2280" s="0" t="s">
        <v>221</v>
      </c>
      <c r="V2280" s="14" t="s">
        <v>360</v>
      </c>
      <c r="W2280" s="0" t="s">
        <v>221</v>
      </c>
      <c r="X2280" s="14" t="s">
        <v>360</v>
      </c>
      <c r="Y2280" s="0" t="s">
        <v>221</v>
      </c>
      <c r="Z2280" s="14" t="s">
        <v>3562</v>
      </c>
      <c r="AA2280" s="0" t="s">
        <v>223</v>
      </c>
      <c r="AB2280" s="14" t="s">
        <v>138</v>
      </c>
      <c r="AD2280" s="0" t="s">
        <v>20</v>
      </c>
      <c r="AF2280" s="0">
        <v>0</v>
      </c>
      <c r="AG2280" s="0">
        <v>0</v>
      </c>
      <c r="AH2280" s="0" t="s">
        <v>140</v>
      </c>
      <c r="AI2280" s="0" t="s">
        <v>598</v>
      </c>
      <c r="AK2280" s="0" t="s">
        <v>149</v>
      </c>
      <c r="AL2280" s="14"/>
      <c r="AN2280" s="14"/>
      <c r="AQ2280" s="0" t="s">
        <v>130</v>
      </c>
      <c r="AR2280" s="0" t="s">
        <v>130</v>
      </c>
      <c r="AS2280" s="0" t="s">
        <v>130</v>
      </c>
      <c r="AT2280" s="0" t="s">
        <v>130</v>
      </c>
      <c r="AU2280" s="0" t="s">
        <v>130</v>
      </c>
      <c r="AV2280" s="0" t="s">
        <v>130</v>
      </c>
      <c r="AW2280" s="0" t="s">
        <v>130</v>
      </c>
      <c r="AX2280" s="0" t="s">
        <v>141</v>
      </c>
      <c r="AY2280" s="0" t="s">
        <v>130</v>
      </c>
      <c r="AZ2280" s="0" t="s">
        <v>130</v>
      </c>
      <c r="BA2280" s="0" t="s">
        <v>130</v>
      </c>
      <c r="BB2280" s="0" t="s">
        <v>130</v>
      </c>
      <c r="BC2280" s="0" t="s">
        <v>130</v>
      </c>
      <c r="BD2280" s="0" t="s">
        <v>130</v>
      </c>
      <c r="BE2280" s="0" t="s">
        <v>130</v>
      </c>
      <c r="BF2280" s="0" t="s">
        <v>130</v>
      </c>
      <c r="BG2280" s="0" t="s">
        <v>130</v>
      </c>
      <c r="BH2280" s="0" t="s">
        <v>130</v>
      </c>
      <c r="BI2280" s="0" t="s">
        <v>130</v>
      </c>
      <c r="BJ2280" s="0" t="s">
        <v>130</v>
      </c>
      <c r="BK2280" s="0" t="s">
        <v>130</v>
      </c>
      <c r="BL2280" s="0" t="s">
        <v>130</v>
      </c>
      <c r="BM2280" s="0" t="s">
        <v>130</v>
      </c>
      <c r="BN2280" s="0" t="s">
        <v>130</v>
      </c>
      <c r="BO2280" s="0" t="s">
        <v>130</v>
      </c>
      <c r="BP2280" s="0" t="s">
        <v>130</v>
      </c>
      <c r="BQ2280" s="0" t="s">
        <v>130</v>
      </c>
      <c r="BR2280" s="0" t="s">
        <v>130</v>
      </c>
      <c r="BS2280" s="0" t="s">
        <v>130</v>
      </c>
      <c r="BT2280" s="0" t="s">
        <v>130</v>
      </c>
      <c r="BU2280" s="0" t="s">
        <v>130</v>
      </c>
      <c r="BV2280" s="0" t="s">
        <v>130</v>
      </c>
      <c r="BW2280" s="0" t="s">
        <v>130</v>
      </c>
      <c r="BX2280" s="0" t="s">
        <v>130</v>
      </c>
      <c r="BY2280" s="0" t="s">
        <v>130</v>
      </c>
      <c r="BZ2280" s="0" t="s">
        <v>130</v>
      </c>
      <c r="CA2280" s="0" t="s">
        <v>130</v>
      </c>
      <c r="CB2280" s="0" t="s">
        <v>130</v>
      </c>
      <c r="CC2280" s="0" t="s">
        <v>130</v>
      </c>
      <c r="CD2280" s="0" t="s">
        <v>130</v>
      </c>
      <c r="CE2280" s="0" t="s">
        <v>130</v>
      </c>
      <c r="CF2280" s="0" t="s">
        <v>130</v>
      </c>
      <c r="CG2280" s="0" t="s">
        <v>130</v>
      </c>
      <c r="CH2280" s="0" t="s">
        <v>130</v>
      </c>
      <c r="CI2280" s="0" t="s">
        <v>130</v>
      </c>
      <c r="CJ2280" s="0" t="s">
        <v>130</v>
      </c>
      <c r="CK2280" s="0" t="s">
        <v>130</v>
      </c>
      <c r="CL2280" s="0" t="s">
        <v>130</v>
      </c>
      <c r="CM2280" s="0" t="s">
        <v>130</v>
      </c>
      <c r="CN2280" s="0" t="s">
        <v>130</v>
      </c>
      <c r="CO2280" s="0" t="s">
        <v>130</v>
      </c>
      <c r="CP2280" s="0" t="s">
        <v>130</v>
      </c>
      <c r="CQ2280" s="0" t="s">
        <v>130</v>
      </c>
      <c r="CR2280" s="0" t="s">
        <v>130</v>
      </c>
      <c r="CS2280" s="0" t="s">
        <v>130</v>
      </c>
      <c r="CT2280" s="0" t="s">
        <v>6306</v>
      </c>
    </row>
    <row r="2281">
      <c r="A2281" s="14">
        <v>115757</v>
      </c>
      <c r="B2281" s="0" t="s">
        <v>2655</v>
      </c>
      <c r="C2281" s="16">
        <f>HYPERLINK("https://eosportal.federatedhermes.com/companies/Q29tcGFueQppNTg5Mjc=", "Volkswagen AG")</f>
      </c>
      <c r="D2281" s="0" t="s">
        <v>23</v>
      </c>
      <c r="E2281" s="0" t="s">
        <v>6307</v>
      </c>
      <c r="F2281" s="16">
        <f>HYPERLINK("https://eosportal.federatedhermes.com/engagements/RW5nYWdlbWVudAppMzMxODM=", "Remuneration Policy Enhancements")</f>
      </c>
      <c r="G2281" s="14" t="s">
        <v>6308</v>
      </c>
      <c r="H2281" s="0" t="s">
        <v>141</v>
      </c>
      <c r="I2281" s="14" t="s">
        <v>1645</v>
      </c>
      <c r="J2281" s="0" t="s">
        <v>145</v>
      </c>
      <c r="K2281" s="0" t="s">
        <v>146</v>
      </c>
      <c r="L2281" s="0" t="s">
        <v>147</v>
      </c>
      <c r="M2281" s="0" t="s">
        <v>378</v>
      </c>
      <c r="N2281" s="0" t="s">
        <v>2485</v>
      </c>
      <c r="O2281" s="0" t="s">
        <v>425</v>
      </c>
      <c r="Q2281" s="0" t="s">
        <v>141</v>
      </c>
      <c r="R2281" s="0" t="s">
        <v>130</v>
      </c>
      <c r="S2281" s="14">
        <v>1</v>
      </c>
      <c r="T2281" s="0" t="s">
        <v>478</v>
      </c>
      <c r="U2281" s="0" t="s">
        <v>221</v>
      </c>
      <c r="V2281" s="14" t="s">
        <v>478</v>
      </c>
      <c r="W2281" s="0" t="s">
        <v>221</v>
      </c>
      <c r="X2281" s="14" t="s">
        <v>478</v>
      </c>
      <c r="Y2281" s="0" t="s">
        <v>223</v>
      </c>
      <c r="Z2281" s="14" t="s">
        <v>138</v>
      </c>
      <c r="AA2281" s="0" t="s">
        <v>224</v>
      </c>
      <c r="AB2281" s="14" t="s">
        <v>138</v>
      </c>
      <c r="AD2281" s="0" t="s">
        <v>17</v>
      </c>
      <c r="AF2281" s="0">
        <v>0</v>
      </c>
      <c r="AG2281" s="0">
        <v>0</v>
      </c>
      <c r="AH2281" s="0" t="s">
        <v>140</v>
      </c>
      <c r="AI2281" s="0" t="s">
        <v>479</v>
      </c>
      <c r="AK2281" s="0" t="s">
        <v>2658</v>
      </c>
      <c r="AL2281" s="14"/>
      <c r="AN2281" s="14"/>
      <c r="AQ2281" s="0" t="s">
        <v>130</v>
      </c>
      <c r="AR2281" s="0" t="s">
        <v>130</v>
      </c>
      <c r="AS2281" s="0" t="s">
        <v>130</v>
      </c>
      <c r="AT2281" s="0" t="s">
        <v>130</v>
      </c>
      <c r="AU2281" s="0" t="s">
        <v>130</v>
      </c>
      <c r="AV2281" s="0" t="s">
        <v>130</v>
      </c>
      <c r="AW2281" s="0" t="s">
        <v>130</v>
      </c>
      <c r="AX2281" s="0" t="s">
        <v>130</v>
      </c>
      <c r="AY2281" s="0" t="s">
        <v>130</v>
      </c>
      <c r="AZ2281" s="0" t="s">
        <v>130</v>
      </c>
      <c r="BA2281" s="0" t="s">
        <v>130</v>
      </c>
      <c r="BB2281" s="0" t="s">
        <v>130</v>
      </c>
      <c r="BC2281" s="0" t="s">
        <v>130</v>
      </c>
      <c r="BD2281" s="0" t="s">
        <v>130</v>
      </c>
      <c r="BE2281" s="0" t="s">
        <v>130</v>
      </c>
      <c r="BF2281" s="0" t="s">
        <v>130</v>
      </c>
      <c r="BG2281" s="0" t="s">
        <v>130</v>
      </c>
      <c r="BH2281" s="0" t="s">
        <v>130</v>
      </c>
      <c r="BI2281" s="0" t="s">
        <v>130</v>
      </c>
      <c r="BJ2281" s="0" t="s">
        <v>130</v>
      </c>
      <c r="BK2281" s="0" t="s">
        <v>130</v>
      </c>
      <c r="BL2281" s="0" t="s">
        <v>130</v>
      </c>
      <c r="BM2281" s="0" t="s">
        <v>130</v>
      </c>
      <c r="BN2281" s="0" t="s">
        <v>130</v>
      </c>
      <c r="BO2281" s="0" t="s">
        <v>130</v>
      </c>
      <c r="BP2281" s="0" t="s">
        <v>130</v>
      </c>
      <c r="BQ2281" s="0" t="s">
        <v>130</v>
      </c>
      <c r="BR2281" s="0" t="s">
        <v>130</v>
      </c>
      <c r="BS2281" s="0" t="s">
        <v>130</v>
      </c>
      <c r="BT2281" s="0" t="s">
        <v>130</v>
      </c>
      <c r="BU2281" s="0" t="s">
        <v>130</v>
      </c>
      <c r="BV2281" s="0" t="s">
        <v>130</v>
      </c>
      <c r="BW2281" s="0" t="s">
        <v>130</v>
      </c>
      <c r="BX2281" s="0" t="s">
        <v>130</v>
      </c>
      <c r="BY2281" s="0" t="s">
        <v>130</v>
      </c>
      <c r="BZ2281" s="0" t="s">
        <v>130</v>
      </c>
      <c r="CA2281" s="0" t="s">
        <v>130</v>
      </c>
      <c r="CB2281" s="0" t="s">
        <v>130</v>
      </c>
      <c r="CC2281" s="0" t="s">
        <v>130</v>
      </c>
      <c r="CD2281" s="0" t="s">
        <v>130</v>
      </c>
      <c r="CE2281" s="0" t="s">
        <v>130</v>
      </c>
      <c r="CF2281" s="0" t="s">
        <v>130</v>
      </c>
      <c r="CG2281" s="0" t="s">
        <v>130</v>
      </c>
      <c r="CH2281" s="0" t="s">
        <v>130</v>
      </c>
      <c r="CI2281" s="0" t="s">
        <v>130</v>
      </c>
      <c r="CJ2281" s="0" t="s">
        <v>130</v>
      </c>
      <c r="CK2281" s="0" t="s">
        <v>130</v>
      </c>
      <c r="CL2281" s="0" t="s">
        <v>130</v>
      </c>
      <c r="CM2281" s="0" t="s">
        <v>130</v>
      </c>
      <c r="CN2281" s="0" t="s">
        <v>130</v>
      </c>
      <c r="CO2281" s="0" t="s">
        <v>130</v>
      </c>
      <c r="CP2281" s="0" t="s">
        <v>130</v>
      </c>
      <c r="CQ2281" s="0" t="s">
        <v>130</v>
      </c>
      <c r="CR2281" s="0" t="s">
        <v>130</v>
      </c>
      <c r="CS2281" s="0" t="s">
        <v>130</v>
      </c>
      <c r="CT2281" s="0" t="s">
        <v>6309</v>
      </c>
    </row>
    <row r="2282">
      <c r="A2282" s="14">
        <v>115643</v>
      </c>
      <c r="B2282" s="0" t="s">
        <v>2552</v>
      </c>
      <c r="C2282" s="16">
        <f>HYPERLINK("https://eosportal.federatedhermes.com/companies/Q29tcGFueQppNjk2MzA=", "Koninklijke Ahold Delhaize NV")</f>
      </c>
      <c r="D2282" s="0" t="s">
        <v>23</v>
      </c>
      <c r="E2282" s="0" t="s">
        <v>6310</v>
      </c>
      <c r="F2282" s="16">
        <f>HYPERLINK("https://eosportal.federatedhermes.com/engagements/RW5nYWdlbWVudAppMzMxODg=", "Lobbying activities aligned with a 1.5°C pathway")</f>
      </c>
      <c r="G2282" s="14" t="s">
        <v>6311</v>
      </c>
      <c r="H2282" s="0" t="s">
        <v>141</v>
      </c>
      <c r="I2282" s="14" t="s">
        <v>1645</v>
      </c>
      <c r="J2282" s="0" t="s">
        <v>197</v>
      </c>
      <c r="K2282" s="0" t="s">
        <v>198</v>
      </c>
      <c r="L2282" s="0" t="s">
        <v>199</v>
      </c>
      <c r="M2282" s="0" t="s">
        <v>378</v>
      </c>
      <c r="N2282" s="0" t="s">
        <v>2554</v>
      </c>
      <c r="O2282" s="0" t="s">
        <v>643</v>
      </c>
      <c r="Q2282" s="0" t="s">
        <v>141</v>
      </c>
      <c r="R2282" s="0" t="s">
        <v>130</v>
      </c>
      <c r="S2282" s="14">
        <v>2</v>
      </c>
      <c r="T2282" s="0" t="s">
        <v>222</v>
      </c>
      <c r="U2282" s="0" t="s">
        <v>221</v>
      </c>
      <c r="V2282" s="14" t="s">
        <v>222</v>
      </c>
      <c r="W2282" s="0" t="s">
        <v>221</v>
      </c>
      <c r="X2282" s="14" t="s">
        <v>222</v>
      </c>
      <c r="Y2282" s="0" t="s">
        <v>221</v>
      </c>
      <c r="Z2282" s="14" t="s">
        <v>3562</v>
      </c>
      <c r="AA2282" s="0" t="s">
        <v>223</v>
      </c>
      <c r="AB2282" s="14" t="s">
        <v>138</v>
      </c>
      <c r="AD2282" s="0" t="s">
        <v>20</v>
      </c>
      <c r="AF2282" s="0">
        <v>0</v>
      </c>
      <c r="AG2282" s="0">
        <v>0</v>
      </c>
      <c r="AH2282" s="0" t="s">
        <v>140</v>
      </c>
      <c r="AI2282" s="0" t="s">
        <v>598</v>
      </c>
      <c r="AK2282" s="0" t="s">
        <v>2569</v>
      </c>
      <c r="AL2282" s="14"/>
      <c r="AN2282" s="14"/>
      <c r="AQ2282" s="0" t="s">
        <v>130</v>
      </c>
      <c r="AR2282" s="0" t="s">
        <v>130</v>
      </c>
      <c r="AS2282" s="0" t="s">
        <v>130</v>
      </c>
      <c r="AT2282" s="0" t="s">
        <v>130</v>
      </c>
      <c r="AU2282" s="0" t="s">
        <v>130</v>
      </c>
      <c r="AV2282" s="0" t="s">
        <v>130</v>
      </c>
      <c r="AW2282" s="0" t="s">
        <v>130</v>
      </c>
      <c r="AX2282" s="0" t="s">
        <v>130</v>
      </c>
      <c r="AY2282" s="0" t="s">
        <v>130</v>
      </c>
      <c r="AZ2282" s="0" t="s">
        <v>130</v>
      </c>
      <c r="BA2282" s="0" t="s">
        <v>130</v>
      </c>
      <c r="BB2282" s="0" t="s">
        <v>141</v>
      </c>
      <c r="BC2282" s="0" t="s">
        <v>141</v>
      </c>
      <c r="BD2282" s="0" t="s">
        <v>130</v>
      </c>
      <c r="BE2282" s="0" t="s">
        <v>130</v>
      </c>
      <c r="BF2282" s="0" t="s">
        <v>130</v>
      </c>
      <c r="BG2282" s="0" t="s">
        <v>130</v>
      </c>
      <c r="BH2282" s="0" t="s">
        <v>130</v>
      </c>
      <c r="BI2282" s="0" t="s">
        <v>130</v>
      </c>
      <c r="BJ2282" s="0" t="s">
        <v>130</v>
      </c>
      <c r="BK2282" s="0" t="s">
        <v>130</v>
      </c>
      <c r="BL2282" s="0" t="s">
        <v>130</v>
      </c>
      <c r="BM2282" s="0" t="s">
        <v>130</v>
      </c>
      <c r="BN2282" s="0" t="s">
        <v>130</v>
      </c>
      <c r="BO2282" s="0" t="s">
        <v>130</v>
      </c>
      <c r="BP2282" s="0" t="s">
        <v>130</v>
      </c>
      <c r="BQ2282" s="0" t="s">
        <v>130</v>
      </c>
      <c r="BR2282" s="0" t="s">
        <v>130</v>
      </c>
      <c r="BS2282" s="0" t="s">
        <v>130</v>
      </c>
      <c r="BT2282" s="0" t="s">
        <v>130</v>
      </c>
      <c r="BU2282" s="0" t="s">
        <v>130</v>
      </c>
      <c r="BV2282" s="0" t="s">
        <v>130</v>
      </c>
      <c r="BW2282" s="0" t="s">
        <v>130</v>
      </c>
      <c r="BX2282" s="0" t="s">
        <v>130</v>
      </c>
      <c r="BY2282" s="0" t="s">
        <v>130</v>
      </c>
      <c r="BZ2282" s="0" t="s">
        <v>130</v>
      </c>
      <c r="CA2282" s="0" t="s">
        <v>130</v>
      </c>
      <c r="CB2282" s="0" t="s">
        <v>130</v>
      </c>
      <c r="CC2282" s="0" t="s">
        <v>130</v>
      </c>
      <c r="CD2282" s="0" t="s">
        <v>130</v>
      </c>
      <c r="CE2282" s="0" t="s">
        <v>130</v>
      </c>
      <c r="CF2282" s="0" t="s">
        <v>130</v>
      </c>
      <c r="CG2282" s="0" t="s">
        <v>130</v>
      </c>
      <c r="CH2282" s="0" t="s">
        <v>130</v>
      </c>
      <c r="CI2282" s="0" t="s">
        <v>130</v>
      </c>
      <c r="CJ2282" s="0" t="s">
        <v>130</v>
      </c>
      <c r="CK2282" s="0" t="s">
        <v>130</v>
      </c>
      <c r="CL2282" s="0" t="s">
        <v>130</v>
      </c>
      <c r="CM2282" s="0" t="s">
        <v>130</v>
      </c>
      <c r="CN2282" s="0" t="s">
        <v>130</v>
      </c>
      <c r="CO2282" s="0" t="s">
        <v>130</v>
      </c>
      <c r="CP2282" s="0" t="s">
        <v>130</v>
      </c>
      <c r="CQ2282" s="0" t="s">
        <v>130</v>
      </c>
      <c r="CR2282" s="0" t="s">
        <v>130</v>
      </c>
      <c r="CS2282" s="0" t="s">
        <v>130</v>
      </c>
      <c r="CT2282" s="0" t="s">
        <v>6312</v>
      </c>
    </row>
    <row r="2283">
      <c r="A2283" s="14">
        <v>119133</v>
      </c>
      <c r="B2283" s="0" t="s">
        <v>2973</v>
      </c>
      <c r="C2283" s="16">
        <f>HYPERLINK("https://eosportal.federatedhermes.com/companies/Q29tcGFueQppNzU2NjY=", "Hon Hai Precision Industry Co Ltd")</f>
      </c>
      <c r="D2283" s="0" t="s">
        <v>23</v>
      </c>
      <c r="E2283" s="0" t="s">
        <v>6313</v>
      </c>
      <c r="F2283" s="16">
        <f>HYPERLINK("https://eosportal.federatedhermes.com/engagements/RW5nYWdlbWVudAppMzMxOTE=", "To incorporate climate change KPI to senior executive remuneration")</f>
      </c>
      <c r="G2283" s="14" t="s">
        <v>6314</v>
      </c>
      <c r="H2283" s="0" t="s">
        <v>141</v>
      </c>
      <c r="I2283" s="14" t="s">
        <v>191</v>
      </c>
      <c r="J2283" s="0" t="s">
        <v>197</v>
      </c>
      <c r="K2283" s="0" t="s">
        <v>198</v>
      </c>
      <c r="L2283" s="0" t="s">
        <v>199</v>
      </c>
      <c r="M2283" s="0" t="s">
        <v>802</v>
      </c>
      <c r="N2283" s="0" t="s">
        <v>2941</v>
      </c>
      <c r="O2283" s="0" t="s">
        <v>1125</v>
      </c>
      <c r="P2283" s="0" t="s">
        <v>6315</v>
      </c>
      <c r="Q2283" s="0" t="s">
        <v>141</v>
      </c>
      <c r="R2283" s="0" t="s">
        <v>130</v>
      </c>
      <c r="S2283" s="14">
        <v>1</v>
      </c>
      <c r="T2283" s="0" t="s">
        <v>360</v>
      </c>
      <c r="U2283" s="0" t="s">
        <v>221</v>
      </c>
      <c r="V2283" s="14" t="s">
        <v>360</v>
      </c>
      <c r="W2283" s="0" t="s">
        <v>221</v>
      </c>
      <c r="X2283" s="14" t="s">
        <v>446</v>
      </c>
      <c r="Y2283" s="0" t="s">
        <v>221</v>
      </c>
      <c r="Z2283" s="14" t="s">
        <v>446</v>
      </c>
      <c r="AA2283" s="0" t="s">
        <v>223</v>
      </c>
      <c r="AB2283" s="14" t="s">
        <v>138</v>
      </c>
      <c r="AD2283" s="0" t="s">
        <v>20</v>
      </c>
      <c r="AF2283" s="0">
        <v>0</v>
      </c>
      <c r="AG2283" s="0">
        <v>0</v>
      </c>
      <c r="AH2283" s="0" t="s">
        <v>140</v>
      </c>
      <c r="AI2283" s="0" t="s">
        <v>598</v>
      </c>
      <c r="AK2283" s="0" t="s">
        <v>233</v>
      </c>
      <c r="AL2283" s="14"/>
      <c r="AN2283" s="14"/>
      <c r="AQ2283" s="0" t="s">
        <v>130</v>
      </c>
      <c r="AR2283" s="0" t="s">
        <v>130</v>
      </c>
      <c r="AS2283" s="0" t="s">
        <v>130</v>
      </c>
      <c r="AT2283" s="0" t="s">
        <v>130</v>
      </c>
      <c r="AU2283" s="0" t="s">
        <v>130</v>
      </c>
      <c r="AV2283" s="0" t="s">
        <v>130</v>
      </c>
      <c r="AW2283" s="0" t="s">
        <v>130</v>
      </c>
      <c r="AX2283" s="0" t="s">
        <v>130</v>
      </c>
      <c r="AY2283" s="0" t="s">
        <v>130</v>
      </c>
      <c r="AZ2283" s="0" t="s">
        <v>130</v>
      </c>
      <c r="BA2283" s="0" t="s">
        <v>130</v>
      </c>
      <c r="BB2283" s="0" t="s">
        <v>141</v>
      </c>
      <c r="BC2283" s="0" t="s">
        <v>130</v>
      </c>
      <c r="BD2283" s="0" t="s">
        <v>130</v>
      </c>
      <c r="BE2283" s="0" t="s">
        <v>130</v>
      </c>
      <c r="BF2283" s="0" t="s">
        <v>130</v>
      </c>
      <c r="BG2283" s="0" t="s">
        <v>130</v>
      </c>
      <c r="BH2283" s="0" t="s">
        <v>130</v>
      </c>
      <c r="BI2283" s="0" t="s">
        <v>130</v>
      </c>
      <c r="BJ2283" s="0" t="s">
        <v>130</v>
      </c>
      <c r="BK2283" s="0" t="s">
        <v>130</v>
      </c>
      <c r="BL2283" s="0" t="s">
        <v>130</v>
      </c>
      <c r="BM2283" s="0" t="s">
        <v>130</v>
      </c>
      <c r="BN2283" s="0" t="s">
        <v>130</v>
      </c>
      <c r="BO2283" s="0" t="s">
        <v>130</v>
      </c>
      <c r="BP2283" s="0" t="s">
        <v>130</v>
      </c>
      <c r="BQ2283" s="0" t="s">
        <v>130</v>
      </c>
      <c r="BR2283" s="0" t="s">
        <v>130</v>
      </c>
      <c r="BS2283" s="0" t="s">
        <v>130</v>
      </c>
      <c r="BT2283" s="0" t="s">
        <v>130</v>
      </c>
      <c r="BU2283" s="0" t="s">
        <v>130</v>
      </c>
      <c r="BV2283" s="0" t="s">
        <v>130</v>
      </c>
      <c r="BW2283" s="0" t="s">
        <v>130</v>
      </c>
      <c r="BX2283" s="0" t="s">
        <v>130</v>
      </c>
      <c r="BY2283" s="0" t="s">
        <v>130</v>
      </c>
      <c r="BZ2283" s="0" t="s">
        <v>130</v>
      </c>
      <c r="CA2283" s="0" t="s">
        <v>130</v>
      </c>
      <c r="CB2283" s="0" t="s">
        <v>130</v>
      </c>
      <c r="CC2283" s="0" t="s">
        <v>130</v>
      </c>
      <c r="CD2283" s="0" t="s">
        <v>130</v>
      </c>
      <c r="CE2283" s="0" t="s">
        <v>130</v>
      </c>
      <c r="CF2283" s="0" t="s">
        <v>130</v>
      </c>
      <c r="CG2283" s="0" t="s">
        <v>130</v>
      </c>
      <c r="CH2283" s="0" t="s">
        <v>130</v>
      </c>
      <c r="CI2283" s="0" t="s">
        <v>130</v>
      </c>
      <c r="CJ2283" s="0" t="s">
        <v>130</v>
      </c>
      <c r="CK2283" s="0" t="s">
        <v>130</v>
      </c>
      <c r="CL2283" s="0" t="s">
        <v>130</v>
      </c>
      <c r="CM2283" s="0" t="s">
        <v>130</v>
      </c>
      <c r="CN2283" s="0" t="s">
        <v>130</v>
      </c>
      <c r="CO2283" s="0" t="s">
        <v>130</v>
      </c>
      <c r="CP2283" s="0" t="s">
        <v>130</v>
      </c>
      <c r="CQ2283" s="0" t="s">
        <v>130</v>
      </c>
      <c r="CR2283" s="0" t="s">
        <v>130</v>
      </c>
      <c r="CS2283" s="0" t="s">
        <v>130</v>
      </c>
      <c r="CT2283" s="0" t="s">
        <v>6316</v>
      </c>
    </row>
    <row r="2284">
      <c r="A2284" s="14">
        <v>119133</v>
      </c>
      <c r="B2284" s="0" t="s">
        <v>2973</v>
      </c>
      <c r="C2284" s="16">
        <f>HYPERLINK("https://eosportal.federatedhermes.com/companies/Q29tcGFueQppNzU2NjY=", "Hon Hai Precision Industry Co Ltd")</f>
      </c>
      <c r="D2284" s="0" t="s">
        <v>23</v>
      </c>
      <c r="E2284" s="0" t="s">
        <v>6130</v>
      </c>
      <c r="F2284" s="16">
        <f>HYPERLINK("https://eosportal.federatedhermes.com/engagements/RW5nYWdlbWVudAppMzMxOTI=", "Climate strategy delivery")</f>
      </c>
      <c r="G2284" s="14" t="s">
        <v>6317</v>
      </c>
      <c r="H2284" s="0" t="s">
        <v>141</v>
      </c>
      <c r="I2284" s="14" t="s">
        <v>191</v>
      </c>
      <c r="J2284" s="0" t="s">
        <v>197</v>
      </c>
      <c r="K2284" s="0" t="s">
        <v>198</v>
      </c>
      <c r="L2284" s="0" t="s">
        <v>216</v>
      </c>
      <c r="M2284" s="0" t="s">
        <v>802</v>
      </c>
      <c r="N2284" s="0" t="s">
        <v>2941</v>
      </c>
      <c r="O2284" s="0" t="s">
        <v>1125</v>
      </c>
      <c r="P2284" s="0" t="s">
        <v>6315</v>
      </c>
      <c r="Q2284" s="0" t="s">
        <v>141</v>
      </c>
      <c r="R2284" s="0" t="s">
        <v>130</v>
      </c>
      <c r="S2284" s="14">
        <v>3</v>
      </c>
      <c r="T2284" s="0" t="s">
        <v>360</v>
      </c>
      <c r="U2284" s="0" t="s">
        <v>221</v>
      </c>
      <c r="V2284" s="14" t="s">
        <v>360</v>
      </c>
      <c r="W2284" s="0" t="s">
        <v>223</v>
      </c>
      <c r="X2284" s="14" t="s">
        <v>138</v>
      </c>
      <c r="Y2284" s="0" t="s">
        <v>224</v>
      </c>
      <c r="Z2284" s="14" t="s">
        <v>138</v>
      </c>
      <c r="AA2284" s="0" t="s">
        <v>224</v>
      </c>
      <c r="AB2284" s="14" t="s">
        <v>138</v>
      </c>
      <c r="AD2284" s="0" t="s">
        <v>14</v>
      </c>
      <c r="AF2284" s="0">
        <v>0</v>
      </c>
      <c r="AG2284" s="0">
        <v>0</v>
      </c>
      <c r="AH2284" s="0" t="s">
        <v>140</v>
      </c>
      <c r="AI2284" s="0" t="s">
        <v>225</v>
      </c>
      <c r="AK2284" s="0" t="s">
        <v>233</v>
      </c>
      <c r="AL2284" s="14"/>
      <c r="AN2284" s="14"/>
      <c r="AQ2284" s="0" t="s">
        <v>130</v>
      </c>
      <c r="AR2284" s="0" t="s">
        <v>130</v>
      </c>
      <c r="AS2284" s="0" t="s">
        <v>130</v>
      </c>
      <c r="AT2284" s="0" t="s">
        <v>130</v>
      </c>
      <c r="AU2284" s="0" t="s">
        <v>130</v>
      </c>
      <c r="AV2284" s="0" t="s">
        <v>130</v>
      </c>
      <c r="AW2284" s="0" t="s">
        <v>141</v>
      </c>
      <c r="AX2284" s="0" t="s">
        <v>130</v>
      </c>
      <c r="AY2284" s="0" t="s">
        <v>141</v>
      </c>
      <c r="AZ2284" s="0" t="s">
        <v>130</v>
      </c>
      <c r="BA2284" s="0" t="s">
        <v>130</v>
      </c>
      <c r="BB2284" s="0" t="s">
        <v>130</v>
      </c>
      <c r="BC2284" s="0" t="s">
        <v>141</v>
      </c>
      <c r="BD2284" s="0" t="s">
        <v>130</v>
      </c>
      <c r="BE2284" s="0" t="s">
        <v>130</v>
      </c>
      <c r="BF2284" s="0" t="s">
        <v>130</v>
      </c>
      <c r="BG2284" s="0" t="s">
        <v>130</v>
      </c>
      <c r="BH2284" s="0" t="s">
        <v>141</v>
      </c>
      <c r="BI2284" s="0" t="s">
        <v>141</v>
      </c>
      <c r="BJ2284" s="0" t="s">
        <v>141</v>
      </c>
      <c r="BK2284" s="0" t="s">
        <v>130</v>
      </c>
      <c r="BL2284" s="0" t="s">
        <v>130</v>
      </c>
      <c r="BM2284" s="0" t="s">
        <v>130</v>
      </c>
      <c r="BN2284" s="0" t="s">
        <v>130</v>
      </c>
      <c r="BO2284" s="0" t="s">
        <v>130</v>
      </c>
      <c r="BP2284" s="0" t="s">
        <v>130</v>
      </c>
      <c r="BQ2284" s="0" t="s">
        <v>130</v>
      </c>
      <c r="BR2284" s="0" t="s">
        <v>130</v>
      </c>
      <c r="BS2284" s="0" t="s">
        <v>130</v>
      </c>
      <c r="BT2284" s="0" t="s">
        <v>130</v>
      </c>
      <c r="BU2284" s="0" t="s">
        <v>130</v>
      </c>
      <c r="BV2284" s="0" t="s">
        <v>141</v>
      </c>
      <c r="BW2284" s="0" t="s">
        <v>141</v>
      </c>
      <c r="BX2284" s="0" t="s">
        <v>130</v>
      </c>
      <c r="BY2284" s="0" t="s">
        <v>130</v>
      </c>
      <c r="BZ2284" s="0" t="s">
        <v>130</v>
      </c>
      <c r="CA2284" s="0" t="s">
        <v>130</v>
      </c>
      <c r="CB2284" s="0" t="s">
        <v>130</v>
      </c>
      <c r="CC2284" s="0" t="s">
        <v>130</v>
      </c>
      <c r="CD2284" s="0" t="s">
        <v>130</v>
      </c>
      <c r="CE2284" s="0" t="s">
        <v>130</v>
      </c>
      <c r="CF2284" s="0" t="s">
        <v>130</v>
      </c>
      <c r="CG2284" s="0" t="s">
        <v>130</v>
      </c>
      <c r="CH2284" s="0" t="s">
        <v>130</v>
      </c>
      <c r="CI2284" s="0" t="s">
        <v>130</v>
      </c>
      <c r="CJ2284" s="0" t="s">
        <v>130</v>
      </c>
      <c r="CK2284" s="0" t="s">
        <v>130</v>
      </c>
      <c r="CL2284" s="0" t="s">
        <v>130</v>
      </c>
      <c r="CM2284" s="0" t="s">
        <v>130</v>
      </c>
      <c r="CN2284" s="0" t="s">
        <v>130</v>
      </c>
      <c r="CO2284" s="0" t="s">
        <v>130</v>
      </c>
      <c r="CP2284" s="0" t="s">
        <v>130</v>
      </c>
      <c r="CQ2284" s="0" t="s">
        <v>130</v>
      </c>
      <c r="CR2284" s="0" t="s">
        <v>130</v>
      </c>
      <c r="CS2284" s="0" t="s">
        <v>130</v>
      </c>
      <c r="CT2284" s="0" t="s">
        <v>6318</v>
      </c>
    </row>
    <row r="2285">
      <c r="A2285" s="14">
        <v>9268711</v>
      </c>
      <c r="B2285" s="0" t="s">
        <v>4005</v>
      </c>
      <c r="C2285" s="16">
        <f>HYPERLINK("https://eosportal.federatedhermes.com/companies/Q29tcGFueQppODU0MTQ=", "Shell PLC")</f>
      </c>
      <c r="D2285" s="0" t="s">
        <v>25</v>
      </c>
      <c r="E2285" s="0" t="s">
        <v>6319</v>
      </c>
      <c r="F2285" s="16">
        <f>HYPERLINK("https://eosportal.federatedhermes.com/engagements/RW5nYWdlbWVudAppMzMxOTY=", "AGM format")</f>
      </c>
      <c r="G2285" s="14" t="s">
        <v>6320</v>
      </c>
      <c r="H2285" s="0" t="s">
        <v>141</v>
      </c>
      <c r="I2285" s="14" t="s">
        <v>191</v>
      </c>
      <c r="J2285" s="0" t="s">
        <v>145</v>
      </c>
      <c r="K2285" s="0" t="s">
        <v>400</v>
      </c>
      <c r="L2285" s="0" t="s">
        <v>401</v>
      </c>
      <c r="M2285" s="0" t="s">
        <v>272</v>
      </c>
      <c r="N2285" s="0" t="s">
        <v>273</v>
      </c>
      <c r="O2285" s="0" t="s">
        <v>542</v>
      </c>
      <c r="Q2285" s="0" t="s">
        <v>130</v>
      </c>
      <c r="R2285" s="0" t="s">
        <v>138</v>
      </c>
      <c r="S2285" s="14">
        <v>0</v>
      </c>
      <c r="T2285" s="0" t="s">
        <v>360</v>
      </c>
      <c r="U2285" s="0" t="s">
        <v>138</v>
      </c>
      <c r="V2285" s="14" t="s">
        <v>138</v>
      </c>
      <c r="W2285" s="0" t="s">
        <v>138</v>
      </c>
      <c r="X2285" s="14" t="s">
        <v>138</v>
      </c>
      <c r="Y2285" s="0" t="s">
        <v>138</v>
      </c>
      <c r="Z2285" s="14" t="s">
        <v>138</v>
      </c>
      <c r="AA2285" s="0" t="s">
        <v>138</v>
      </c>
      <c r="AB2285" s="14" t="s">
        <v>138</v>
      </c>
      <c r="AD2285" s="0" t="s">
        <v>138</v>
      </c>
      <c r="AF2285" s="0">
        <v>0</v>
      </c>
      <c r="AG2285" s="0">
        <v>0</v>
      </c>
      <c r="AH2285" s="0" t="s">
        <v>140</v>
      </c>
      <c r="AI2285" s="0" t="s">
        <v>138</v>
      </c>
      <c r="AL2285" s="14"/>
      <c r="AN2285" s="14"/>
      <c r="AQ2285" s="0" t="s">
        <v>130</v>
      </c>
      <c r="AR2285" s="0" t="s">
        <v>130</v>
      </c>
      <c r="AS2285" s="0" t="s">
        <v>130</v>
      </c>
      <c r="AT2285" s="0" t="s">
        <v>130</v>
      </c>
      <c r="AU2285" s="0" t="s">
        <v>130</v>
      </c>
      <c r="AV2285" s="0" t="s">
        <v>130</v>
      </c>
      <c r="AW2285" s="0" t="s">
        <v>130</v>
      </c>
      <c r="AX2285" s="0" t="s">
        <v>130</v>
      </c>
      <c r="AY2285" s="0" t="s">
        <v>130</v>
      </c>
      <c r="AZ2285" s="0" t="s">
        <v>130</v>
      </c>
      <c r="BA2285" s="0" t="s">
        <v>130</v>
      </c>
      <c r="BB2285" s="0" t="s">
        <v>130</v>
      </c>
      <c r="BC2285" s="0" t="s">
        <v>130</v>
      </c>
      <c r="BD2285" s="0" t="s">
        <v>130</v>
      </c>
      <c r="BE2285" s="0" t="s">
        <v>130</v>
      </c>
      <c r="BF2285" s="0" t="s">
        <v>130</v>
      </c>
      <c r="BG2285" s="0" t="s">
        <v>130</v>
      </c>
      <c r="BH2285" s="0" t="s">
        <v>130</v>
      </c>
      <c r="BI2285" s="0" t="s">
        <v>130</v>
      </c>
      <c r="BJ2285" s="0" t="s">
        <v>130</v>
      </c>
      <c r="BK2285" s="0" t="s">
        <v>130</v>
      </c>
      <c r="BL2285" s="0" t="s">
        <v>130</v>
      </c>
      <c r="BM2285" s="0" t="s">
        <v>130</v>
      </c>
      <c r="BN2285" s="0" t="s">
        <v>130</v>
      </c>
      <c r="BO2285" s="0" t="s">
        <v>130</v>
      </c>
      <c r="BP2285" s="0" t="s">
        <v>130</v>
      </c>
      <c r="BQ2285" s="0" t="s">
        <v>130</v>
      </c>
      <c r="BR2285" s="0" t="s">
        <v>130</v>
      </c>
      <c r="BS2285" s="0" t="s">
        <v>130</v>
      </c>
      <c r="BT2285" s="0" t="s">
        <v>130</v>
      </c>
      <c r="BU2285" s="0" t="s">
        <v>130</v>
      </c>
      <c r="BV2285" s="0" t="s">
        <v>130</v>
      </c>
      <c r="BW2285" s="0" t="s">
        <v>130</v>
      </c>
      <c r="BX2285" s="0" t="s">
        <v>130</v>
      </c>
      <c r="BY2285" s="0" t="s">
        <v>130</v>
      </c>
      <c r="BZ2285" s="0" t="s">
        <v>130</v>
      </c>
      <c r="CA2285" s="0" t="s">
        <v>130</v>
      </c>
      <c r="CB2285" s="0" t="s">
        <v>130</v>
      </c>
      <c r="CC2285" s="0" t="s">
        <v>130</v>
      </c>
      <c r="CD2285" s="0" t="s">
        <v>130</v>
      </c>
      <c r="CE2285" s="0" t="s">
        <v>130</v>
      </c>
      <c r="CF2285" s="0" t="s">
        <v>130</v>
      </c>
      <c r="CG2285" s="0" t="s">
        <v>130</v>
      </c>
      <c r="CH2285" s="0" t="s">
        <v>130</v>
      </c>
      <c r="CI2285" s="0" t="s">
        <v>130</v>
      </c>
      <c r="CJ2285" s="0" t="s">
        <v>130</v>
      </c>
      <c r="CK2285" s="0" t="s">
        <v>130</v>
      </c>
      <c r="CL2285" s="0" t="s">
        <v>130</v>
      </c>
      <c r="CM2285" s="0" t="s">
        <v>130</v>
      </c>
      <c r="CN2285" s="0" t="s">
        <v>130</v>
      </c>
      <c r="CO2285" s="0" t="s">
        <v>130</v>
      </c>
      <c r="CP2285" s="0" t="s">
        <v>130</v>
      </c>
      <c r="CQ2285" s="0" t="s">
        <v>130</v>
      </c>
      <c r="CR2285" s="0" t="s">
        <v>130</v>
      </c>
      <c r="CS2285" s="0" t="s">
        <v>130</v>
      </c>
      <c r="CT2285" s="0" t="s">
        <v>6321</v>
      </c>
    </row>
    <row r="2286">
      <c r="A2286" s="14">
        <v>18154628</v>
      </c>
      <c r="B2286" s="0" t="s">
        <v>4393</v>
      </c>
      <c r="C2286" s="16">
        <f>HYPERLINK("https://eosportal.federatedhermes.com/companies/Q29tcGFueQppODUyMTU=", "AIA Group Ltd")</f>
      </c>
      <c r="D2286" s="0" t="s">
        <v>23</v>
      </c>
      <c r="E2286" s="0" t="s">
        <v>6322</v>
      </c>
      <c r="F2286" s="16">
        <f>HYPERLINK("https://eosportal.federatedhermes.com/engagements/RW5nYWdlbWVudAppMzMyMDA=", "Biodiversity risk, impact and dependence assessment (TNFD)")</f>
      </c>
      <c r="G2286" s="14" t="s">
        <v>6323</v>
      </c>
      <c r="H2286" s="0" t="s">
        <v>141</v>
      </c>
      <c r="I2286" s="14" t="s">
        <v>131</v>
      </c>
      <c r="J2286" s="0" t="s">
        <v>197</v>
      </c>
      <c r="K2286" s="0" t="s">
        <v>337</v>
      </c>
      <c r="L2286" s="0" t="s">
        <v>576</v>
      </c>
      <c r="M2286" s="0" t="s">
        <v>802</v>
      </c>
      <c r="N2286" s="0" t="s">
        <v>803</v>
      </c>
      <c r="O2286" s="0" t="s">
        <v>238</v>
      </c>
      <c r="Q2286" s="0" t="s">
        <v>130</v>
      </c>
      <c r="R2286" s="0" t="s">
        <v>130</v>
      </c>
      <c r="S2286" s="14">
        <v>0</v>
      </c>
      <c r="T2286" s="0" t="s">
        <v>360</v>
      </c>
      <c r="U2286" s="0" t="s">
        <v>221</v>
      </c>
      <c r="V2286" s="14" t="s">
        <v>360</v>
      </c>
      <c r="W2286" s="0" t="s">
        <v>221</v>
      </c>
      <c r="X2286" s="14" t="s">
        <v>360</v>
      </c>
      <c r="Y2286" s="0" t="s">
        <v>223</v>
      </c>
      <c r="Z2286" s="14" t="s">
        <v>138</v>
      </c>
      <c r="AA2286" s="0" t="s">
        <v>224</v>
      </c>
      <c r="AB2286" s="14" t="s">
        <v>138</v>
      </c>
      <c r="AD2286" s="0" t="s">
        <v>17</v>
      </c>
      <c r="AF2286" s="0">
        <v>0</v>
      </c>
      <c r="AG2286" s="0">
        <v>0</v>
      </c>
      <c r="AH2286" s="0" t="s">
        <v>140</v>
      </c>
      <c r="AI2286" s="0" t="s">
        <v>598</v>
      </c>
      <c r="AL2286" s="14"/>
      <c r="AN2286" s="14"/>
      <c r="AQ2286" s="0" t="s">
        <v>130</v>
      </c>
      <c r="AR2286" s="0" t="s">
        <v>141</v>
      </c>
      <c r="AS2286" s="0" t="s">
        <v>130</v>
      </c>
      <c r="AT2286" s="0" t="s">
        <v>130</v>
      </c>
      <c r="AU2286" s="0" t="s">
        <v>130</v>
      </c>
      <c r="AV2286" s="0" t="s">
        <v>141</v>
      </c>
      <c r="AW2286" s="0" t="s">
        <v>130</v>
      </c>
      <c r="AX2286" s="0" t="s">
        <v>130</v>
      </c>
      <c r="AY2286" s="0" t="s">
        <v>130</v>
      </c>
      <c r="AZ2286" s="0" t="s">
        <v>130</v>
      </c>
      <c r="BA2286" s="0" t="s">
        <v>141</v>
      </c>
      <c r="BB2286" s="0" t="s">
        <v>141</v>
      </c>
      <c r="BC2286" s="0" t="s">
        <v>130</v>
      </c>
      <c r="BD2286" s="0" t="s">
        <v>141</v>
      </c>
      <c r="BE2286" s="0" t="s">
        <v>141</v>
      </c>
      <c r="BF2286" s="0" t="s">
        <v>130</v>
      </c>
      <c r="BG2286" s="0" t="s">
        <v>130</v>
      </c>
      <c r="BH2286" s="0" t="s">
        <v>130</v>
      </c>
      <c r="BI2286" s="0" t="s">
        <v>130</v>
      </c>
      <c r="BJ2286" s="0" t="s">
        <v>130</v>
      </c>
      <c r="BK2286" s="0" t="s">
        <v>130</v>
      </c>
      <c r="BL2286" s="0" t="s">
        <v>130</v>
      </c>
      <c r="BM2286" s="0" t="s">
        <v>130</v>
      </c>
      <c r="BN2286" s="0" t="s">
        <v>130</v>
      </c>
      <c r="BO2286" s="0" t="s">
        <v>130</v>
      </c>
      <c r="BP2286" s="0" t="s">
        <v>130</v>
      </c>
      <c r="BQ2286" s="0" t="s">
        <v>130</v>
      </c>
      <c r="BR2286" s="0" t="s">
        <v>130</v>
      </c>
      <c r="BS2286" s="0" t="s">
        <v>130</v>
      </c>
      <c r="BT2286" s="0" t="s">
        <v>130</v>
      </c>
      <c r="BU2286" s="0" t="s">
        <v>130</v>
      </c>
      <c r="BV2286" s="0" t="s">
        <v>130</v>
      </c>
      <c r="BW2286" s="0" t="s">
        <v>130</v>
      </c>
      <c r="BX2286" s="0" t="s">
        <v>130</v>
      </c>
      <c r="BY2286" s="0" t="s">
        <v>130</v>
      </c>
      <c r="BZ2286" s="0" t="s">
        <v>130</v>
      </c>
      <c r="CA2286" s="0" t="s">
        <v>130</v>
      </c>
      <c r="CB2286" s="0" t="s">
        <v>130</v>
      </c>
      <c r="CC2286" s="0" t="s">
        <v>130</v>
      </c>
      <c r="CD2286" s="0" t="s">
        <v>130</v>
      </c>
      <c r="CE2286" s="0" t="s">
        <v>130</v>
      </c>
      <c r="CF2286" s="0" t="s">
        <v>130</v>
      </c>
      <c r="CG2286" s="0" t="s">
        <v>130</v>
      </c>
      <c r="CH2286" s="0" t="s">
        <v>130</v>
      </c>
      <c r="CI2286" s="0" t="s">
        <v>130</v>
      </c>
      <c r="CJ2286" s="0" t="s">
        <v>130</v>
      </c>
      <c r="CK2286" s="0" t="s">
        <v>130</v>
      </c>
      <c r="CL2286" s="0" t="s">
        <v>130</v>
      </c>
      <c r="CM2286" s="0" t="s">
        <v>130</v>
      </c>
      <c r="CN2286" s="0" t="s">
        <v>130</v>
      </c>
      <c r="CO2286" s="0" t="s">
        <v>130</v>
      </c>
      <c r="CP2286" s="0" t="s">
        <v>130</v>
      </c>
      <c r="CQ2286" s="0" t="s">
        <v>130</v>
      </c>
      <c r="CR2286" s="0" t="s">
        <v>130</v>
      </c>
      <c r="CS2286" s="0" t="s">
        <v>130</v>
      </c>
      <c r="CT2286" s="0" t="s">
        <v>6324</v>
      </c>
    </row>
    <row r="2287">
      <c r="A2287" s="14">
        <v>7246335</v>
      </c>
      <c r="B2287" s="0" t="s">
        <v>6325</v>
      </c>
      <c r="C2287" s="16">
        <f>HYPERLINK("https://eosportal.federatedhermes.com/companies/Q29tcGFueQppODQyOTc=", "JB Hi-Fi Ltd")</f>
      </c>
      <c r="D2287" s="0" t="s">
        <v>25</v>
      </c>
      <c r="E2287" s="0" t="s">
        <v>5038</v>
      </c>
      <c r="F2287" s="16">
        <f>HYPERLINK("https://eosportal.federatedhermes.com/engagements/RW5nYWdlbWVudAppMzMyMDg=", "Auditor Tenure")</f>
      </c>
      <c r="G2287" s="14" t="s">
        <v>6326</v>
      </c>
      <c r="H2287" s="0" t="s">
        <v>130</v>
      </c>
      <c r="I2287" s="14" t="s">
        <v>319</v>
      </c>
      <c r="J2287" s="0" t="s">
        <v>132</v>
      </c>
      <c r="K2287" s="0" t="s">
        <v>170</v>
      </c>
      <c r="L2287" s="0" t="s">
        <v>310</v>
      </c>
      <c r="M2287" s="0" t="s">
        <v>371</v>
      </c>
      <c r="N2287" s="0" t="s">
        <v>372</v>
      </c>
      <c r="O2287" s="0" t="s">
        <v>643</v>
      </c>
      <c r="Q2287" s="0" t="s">
        <v>130</v>
      </c>
      <c r="R2287" s="0" t="s">
        <v>138</v>
      </c>
      <c r="S2287" s="14">
        <v>0</v>
      </c>
      <c r="T2287" s="0" t="s">
        <v>360</v>
      </c>
      <c r="U2287" s="0" t="s">
        <v>138</v>
      </c>
      <c r="V2287" s="14" t="s">
        <v>138</v>
      </c>
      <c r="W2287" s="0" t="s">
        <v>138</v>
      </c>
      <c r="X2287" s="14" t="s">
        <v>138</v>
      </c>
      <c r="Y2287" s="0" t="s">
        <v>138</v>
      </c>
      <c r="Z2287" s="14" t="s">
        <v>138</v>
      </c>
      <c r="AA2287" s="0" t="s">
        <v>138</v>
      </c>
      <c r="AB2287" s="14" t="s">
        <v>138</v>
      </c>
      <c r="AD2287" s="0" t="s">
        <v>138</v>
      </c>
      <c r="AF2287" s="0">
        <v>0</v>
      </c>
      <c r="AG2287" s="0">
        <v>0</v>
      </c>
      <c r="AH2287" s="0" t="s">
        <v>140</v>
      </c>
      <c r="AI2287" s="0" t="s">
        <v>138</v>
      </c>
      <c r="AL2287" s="14"/>
      <c r="AN2287" s="14"/>
      <c r="AQ2287" s="0" t="s">
        <v>130</v>
      </c>
      <c r="AR2287" s="0" t="s">
        <v>130</v>
      </c>
      <c r="AS2287" s="0" t="s">
        <v>130</v>
      </c>
      <c r="AT2287" s="0" t="s">
        <v>130</v>
      </c>
      <c r="AU2287" s="0" t="s">
        <v>130</v>
      </c>
      <c r="AV2287" s="0" t="s">
        <v>130</v>
      </c>
      <c r="AW2287" s="0" t="s">
        <v>130</v>
      </c>
      <c r="AX2287" s="0" t="s">
        <v>130</v>
      </c>
      <c r="AY2287" s="0" t="s">
        <v>130</v>
      </c>
      <c r="AZ2287" s="0" t="s">
        <v>130</v>
      </c>
      <c r="BA2287" s="0" t="s">
        <v>130</v>
      </c>
      <c r="BB2287" s="0" t="s">
        <v>130</v>
      </c>
      <c r="BC2287" s="0" t="s">
        <v>130</v>
      </c>
      <c r="BD2287" s="0" t="s">
        <v>130</v>
      </c>
      <c r="BE2287" s="0" t="s">
        <v>130</v>
      </c>
      <c r="BF2287" s="0" t="s">
        <v>130</v>
      </c>
      <c r="BG2287" s="0" t="s">
        <v>130</v>
      </c>
      <c r="BH2287" s="0" t="s">
        <v>130</v>
      </c>
      <c r="BI2287" s="0" t="s">
        <v>130</v>
      </c>
      <c r="BJ2287" s="0" t="s">
        <v>130</v>
      </c>
      <c r="BK2287" s="0" t="s">
        <v>130</v>
      </c>
      <c r="BL2287" s="0" t="s">
        <v>130</v>
      </c>
      <c r="BM2287" s="0" t="s">
        <v>130</v>
      </c>
      <c r="BN2287" s="0" t="s">
        <v>130</v>
      </c>
      <c r="BO2287" s="0" t="s">
        <v>130</v>
      </c>
      <c r="BP2287" s="0" t="s">
        <v>130</v>
      </c>
      <c r="BQ2287" s="0" t="s">
        <v>130</v>
      </c>
      <c r="BR2287" s="0" t="s">
        <v>130</v>
      </c>
      <c r="BS2287" s="0" t="s">
        <v>130</v>
      </c>
      <c r="BT2287" s="0" t="s">
        <v>130</v>
      </c>
      <c r="BU2287" s="0" t="s">
        <v>130</v>
      </c>
      <c r="BV2287" s="0" t="s">
        <v>130</v>
      </c>
      <c r="BW2287" s="0" t="s">
        <v>130</v>
      </c>
      <c r="BX2287" s="0" t="s">
        <v>130</v>
      </c>
      <c r="BY2287" s="0" t="s">
        <v>130</v>
      </c>
      <c r="BZ2287" s="0" t="s">
        <v>130</v>
      </c>
      <c r="CA2287" s="0" t="s">
        <v>130</v>
      </c>
      <c r="CB2287" s="0" t="s">
        <v>130</v>
      </c>
      <c r="CC2287" s="0" t="s">
        <v>130</v>
      </c>
      <c r="CD2287" s="0" t="s">
        <v>130</v>
      </c>
      <c r="CE2287" s="0" t="s">
        <v>130</v>
      </c>
      <c r="CF2287" s="0" t="s">
        <v>130</v>
      </c>
      <c r="CG2287" s="0" t="s">
        <v>130</v>
      </c>
      <c r="CH2287" s="0" t="s">
        <v>130</v>
      </c>
      <c r="CI2287" s="0" t="s">
        <v>130</v>
      </c>
      <c r="CJ2287" s="0" t="s">
        <v>130</v>
      </c>
      <c r="CK2287" s="0" t="s">
        <v>130</v>
      </c>
      <c r="CL2287" s="0" t="s">
        <v>130</v>
      </c>
      <c r="CM2287" s="0" t="s">
        <v>130</v>
      </c>
      <c r="CN2287" s="0" t="s">
        <v>130</v>
      </c>
      <c r="CO2287" s="0" t="s">
        <v>130</v>
      </c>
      <c r="CP2287" s="0" t="s">
        <v>130</v>
      </c>
      <c r="CQ2287" s="0" t="s">
        <v>130</v>
      </c>
      <c r="CR2287" s="0" t="s">
        <v>130</v>
      </c>
      <c r="CS2287" s="0" t="s">
        <v>130</v>
      </c>
      <c r="CT2287" s="0" t="s">
        <v>6327</v>
      </c>
    </row>
    <row r="2288">
      <c r="A2288" s="14">
        <v>7246335</v>
      </c>
      <c r="B2288" s="0" t="s">
        <v>6325</v>
      </c>
      <c r="C2288" s="16">
        <f>HYPERLINK("https://eosportal.federatedhermes.com/companies/Q29tcGFueQppODQyOTc=", "JB Hi-Fi Ltd")</f>
      </c>
      <c r="D2288" s="0" t="s">
        <v>25</v>
      </c>
      <c r="E2288" s="0" t="s">
        <v>146</v>
      </c>
      <c r="F2288" s="16">
        <f>HYPERLINK("https://eosportal.federatedhermes.com/engagements/RW5nYWdlbWVudAppMzMyMDk=", "Executive Remuneration")</f>
      </c>
      <c r="G2288" s="14" t="s">
        <v>6328</v>
      </c>
      <c r="H2288" s="0" t="s">
        <v>130</v>
      </c>
      <c r="I2288" s="14" t="s">
        <v>319</v>
      </c>
      <c r="J2288" s="0" t="s">
        <v>145</v>
      </c>
      <c r="K2288" s="0" t="s">
        <v>146</v>
      </c>
      <c r="L2288" s="0" t="s">
        <v>147</v>
      </c>
      <c r="M2288" s="0" t="s">
        <v>371</v>
      </c>
      <c r="N2288" s="0" t="s">
        <v>372</v>
      </c>
      <c r="O2288" s="0" t="s">
        <v>643</v>
      </c>
      <c r="Q2288" s="0" t="s">
        <v>141</v>
      </c>
      <c r="R2288" s="0" t="s">
        <v>138</v>
      </c>
      <c r="S2288" s="14">
        <v>1</v>
      </c>
      <c r="T2288" s="0" t="s">
        <v>360</v>
      </c>
      <c r="U2288" s="0" t="s">
        <v>138</v>
      </c>
      <c r="V2288" s="14" t="s">
        <v>138</v>
      </c>
      <c r="W2288" s="0" t="s">
        <v>138</v>
      </c>
      <c r="X2288" s="14" t="s">
        <v>138</v>
      </c>
      <c r="Y2288" s="0" t="s">
        <v>138</v>
      </c>
      <c r="Z2288" s="14" t="s">
        <v>138</v>
      </c>
      <c r="AA2288" s="0" t="s">
        <v>138</v>
      </c>
      <c r="AB2288" s="14" t="s">
        <v>138</v>
      </c>
      <c r="AD2288" s="0" t="s">
        <v>138</v>
      </c>
      <c r="AF2288" s="0">
        <v>0</v>
      </c>
      <c r="AG2288" s="0">
        <v>0</v>
      </c>
      <c r="AH2288" s="0" t="s">
        <v>140</v>
      </c>
      <c r="AI2288" s="0" t="s">
        <v>138</v>
      </c>
      <c r="AK2288" s="0" t="s">
        <v>1220</v>
      </c>
      <c r="AL2288" s="14"/>
      <c r="AN2288" s="14"/>
      <c r="AQ2288" s="0" t="s">
        <v>130</v>
      </c>
      <c r="AR2288" s="0" t="s">
        <v>130</v>
      </c>
      <c r="AS2288" s="0" t="s">
        <v>130</v>
      </c>
      <c r="AT2288" s="0" t="s">
        <v>130</v>
      </c>
      <c r="AU2288" s="0" t="s">
        <v>130</v>
      </c>
      <c r="AV2288" s="0" t="s">
        <v>130</v>
      </c>
      <c r="AW2288" s="0" t="s">
        <v>130</v>
      </c>
      <c r="AX2288" s="0" t="s">
        <v>130</v>
      </c>
      <c r="AY2288" s="0" t="s">
        <v>130</v>
      </c>
      <c r="AZ2288" s="0" t="s">
        <v>130</v>
      </c>
      <c r="BA2288" s="0" t="s">
        <v>130</v>
      </c>
      <c r="BB2288" s="0" t="s">
        <v>130</v>
      </c>
      <c r="BC2288" s="0" t="s">
        <v>130</v>
      </c>
      <c r="BD2288" s="0" t="s">
        <v>130</v>
      </c>
      <c r="BE2288" s="0" t="s">
        <v>130</v>
      </c>
      <c r="BF2288" s="0" t="s">
        <v>130</v>
      </c>
      <c r="BG2288" s="0" t="s">
        <v>130</v>
      </c>
      <c r="BH2288" s="0" t="s">
        <v>130</v>
      </c>
      <c r="BI2288" s="0" t="s">
        <v>130</v>
      </c>
      <c r="BJ2288" s="0" t="s">
        <v>130</v>
      </c>
      <c r="BK2288" s="0" t="s">
        <v>130</v>
      </c>
      <c r="BL2288" s="0" t="s">
        <v>130</v>
      </c>
      <c r="BM2288" s="0" t="s">
        <v>130</v>
      </c>
      <c r="BN2288" s="0" t="s">
        <v>130</v>
      </c>
      <c r="BO2288" s="0" t="s">
        <v>130</v>
      </c>
      <c r="BP2288" s="0" t="s">
        <v>130</v>
      </c>
      <c r="BQ2288" s="0" t="s">
        <v>130</v>
      </c>
      <c r="BR2288" s="0" t="s">
        <v>130</v>
      </c>
      <c r="BS2288" s="0" t="s">
        <v>130</v>
      </c>
      <c r="BT2288" s="0" t="s">
        <v>130</v>
      </c>
      <c r="BU2288" s="0" t="s">
        <v>130</v>
      </c>
      <c r="BV2288" s="0" t="s">
        <v>130</v>
      </c>
      <c r="BW2288" s="0" t="s">
        <v>130</v>
      </c>
      <c r="BX2288" s="0" t="s">
        <v>130</v>
      </c>
      <c r="BY2288" s="0" t="s">
        <v>130</v>
      </c>
      <c r="BZ2288" s="0" t="s">
        <v>130</v>
      </c>
      <c r="CA2288" s="0" t="s">
        <v>130</v>
      </c>
      <c r="CB2288" s="0" t="s">
        <v>130</v>
      </c>
      <c r="CC2288" s="0" t="s">
        <v>130</v>
      </c>
      <c r="CD2288" s="0" t="s">
        <v>130</v>
      </c>
      <c r="CE2288" s="0" t="s">
        <v>130</v>
      </c>
      <c r="CF2288" s="0" t="s">
        <v>130</v>
      </c>
      <c r="CG2288" s="0" t="s">
        <v>130</v>
      </c>
      <c r="CH2288" s="0" t="s">
        <v>130</v>
      </c>
      <c r="CI2288" s="0" t="s">
        <v>130</v>
      </c>
      <c r="CJ2288" s="0" t="s">
        <v>130</v>
      </c>
      <c r="CK2288" s="0" t="s">
        <v>130</v>
      </c>
      <c r="CL2288" s="0" t="s">
        <v>130</v>
      </c>
      <c r="CM2288" s="0" t="s">
        <v>130</v>
      </c>
      <c r="CN2288" s="0" t="s">
        <v>130</v>
      </c>
      <c r="CO2288" s="0" t="s">
        <v>130</v>
      </c>
      <c r="CP2288" s="0" t="s">
        <v>130</v>
      </c>
      <c r="CQ2288" s="0" t="s">
        <v>130</v>
      </c>
      <c r="CR2288" s="0" t="s">
        <v>130</v>
      </c>
      <c r="CS2288" s="0" t="s">
        <v>130</v>
      </c>
      <c r="CT2288" s="0" t="s">
        <v>6329</v>
      </c>
    </row>
    <row r="2289">
      <c r="A2289" s="14">
        <v>15951478</v>
      </c>
      <c r="B2289" s="0" t="s">
        <v>4197</v>
      </c>
      <c r="C2289" s="16">
        <f>HYPERLINK("https://eosportal.federatedhermes.com/companies/Q29tcGFueQppNTIyMzc=", "Dollarama Inc")</f>
      </c>
      <c r="D2289" s="0" t="s">
        <v>23</v>
      </c>
      <c r="E2289" s="0" t="s">
        <v>6330</v>
      </c>
      <c r="F2289" s="16">
        <f>HYPERLINK("https://eosportal.federatedhermes.com/engagements/RW5nYWdlbWVudAppMzMyMTE=", "Human rights policy and reporting")</f>
      </c>
      <c r="G2289" s="14" t="s">
        <v>6331</v>
      </c>
      <c r="H2289" s="0" t="s">
        <v>130</v>
      </c>
      <c r="I2289" s="14" t="s">
        <v>636</v>
      </c>
      <c r="J2289" s="0" t="s">
        <v>153</v>
      </c>
      <c r="K2289" s="0" t="s">
        <v>243</v>
      </c>
      <c r="L2289" s="0" t="s">
        <v>244</v>
      </c>
      <c r="M2289" s="0" t="s">
        <v>135</v>
      </c>
      <c r="N2289" s="0" t="s">
        <v>1678</v>
      </c>
      <c r="O2289" s="0" t="s">
        <v>643</v>
      </c>
      <c r="Q2289" s="0" t="s">
        <v>141</v>
      </c>
      <c r="R2289" s="0" t="s">
        <v>130</v>
      </c>
      <c r="S2289" s="14">
        <v>1</v>
      </c>
      <c r="T2289" s="0" t="s">
        <v>360</v>
      </c>
      <c r="U2289" s="0" t="s">
        <v>221</v>
      </c>
      <c r="V2289" s="14" t="s">
        <v>360</v>
      </c>
      <c r="W2289" s="0" t="s">
        <v>221</v>
      </c>
      <c r="X2289" s="14" t="s">
        <v>446</v>
      </c>
      <c r="Y2289" s="0" t="s">
        <v>223</v>
      </c>
      <c r="Z2289" s="14" t="s">
        <v>138</v>
      </c>
      <c r="AA2289" s="0" t="s">
        <v>224</v>
      </c>
      <c r="AB2289" s="14" t="s">
        <v>138</v>
      </c>
      <c r="AD2289" s="0" t="s">
        <v>17</v>
      </c>
      <c r="AF2289" s="0">
        <v>0</v>
      </c>
      <c r="AG2289" s="0">
        <v>0</v>
      </c>
      <c r="AH2289" s="0" t="s">
        <v>140</v>
      </c>
      <c r="AI2289" s="0" t="s">
        <v>598</v>
      </c>
      <c r="AK2289" s="0" t="s">
        <v>3626</v>
      </c>
      <c r="AL2289" s="14"/>
      <c r="AN2289" s="14"/>
      <c r="AQ2289" s="0" t="s">
        <v>130</v>
      </c>
      <c r="AR2289" s="0" t="s">
        <v>130</v>
      </c>
      <c r="AS2289" s="0" t="s">
        <v>130</v>
      </c>
      <c r="AT2289" s="0" t="s">
        <v>130</v>
      </c>
      <c r="AU2289" s="0" t="s">
        <v>130</v>
      </c>
      <c r="AV2289" s="0" t="s">
        <v>130</v>
      </c>
      <c r="AW2289" s="0" t="s">
        <v>130</v>
      </c>
      <c r="AX2289" s="0" t="s">
        <v>141</v>
      </c>
      <c r="AY2289" s="0" t="s">
        <v>130</v>
      </c>
      <c r="AZ2289" s="0" t="s">
        <v>130</v>
      </c>
      <c r="BA2289" s="0" t="s">
        <v>130</v>
      </c>
      <c r="BB2289" s="0" t="s">
        <v>130</v>
      </c>
      <c r="BC2289" s="0" t="s">
        <v>130</v>
      </c>
      <c r="BD2289" s="0" t="s">
        <v>130</v>
      </c>
      <c r="BE2289" s="0" t="s">
        <v>130</v>
      </c>
      <c r="BF2289" s="0" t="s">
        <v>130</v>
      </c>
      <c r="BG2289" s="0" t="s">
        <v>130</v>
      </c>
      <c r="BH2289" s="0" t="s">
        <v>130</v>
      </c>
      <c r="BI2289" s="0" t="s">
        <v>130</v>
      </c>
      <c r="BJ2289" s="0" t="s">
        <v>130</v>
      </c>
      <c r="BK2289" s="0" t="s">
        <v>130</v>
      </c>
      <c r="BL2289" s="0" t="s">
        <v>130</v>
      </c>
      <c r="BM2289" s="0" t="s">
        <v>130</v>
      </c>
      <c r="BN2289" s="0" t="s">
        <v>130</v>
      </c>
      <c r="BO2289" s="0" t="s">
        <v>130</v>
      </c>
      <c r="BP2289" s="0" t="s">
        <v>130</v>
      </c>
      <c r="BQ2289" s="0" t="s">
        <v>130</v>
      </c>
      <c r="BR2289" s="0" t="s">
        <v>130</v>
      </c>
      <c r="BS2289" s="0" t="s">
        <v>130</v>
      </c>
      <c r="BT2289" s="0" t="s">
        <v>130</v>
      </c>
      <c r="BU2289" s="0" t="s">
        <v>130</v>
      </c>
      <c r="BV2289" s="0" t="s">
        <v>130</v>
      </c>
      <c r="BW2289" s="0" t="s">
        <v>130</v>
      </c>
      <c r="BX2289" s="0" t="s">
        <v>130</v>
      </c>
      <c r="BY2289" s="0" t="s">
        <v>130</v>
      </c>
      <c r="BZ2289" s="0" t="s">
        <v>130</v>
      </c>
      <c r="CA2289" s="0" t="s">
        <v>130</v>
      </c>
      <c r="CB2289" s="0" t="s">
        <v>130</v>
      </c>
      <c r="CC2289" s="0" t="s">
        <v>130</v>
      </c>
      <c r="CD2289" s="0" t="s">
        <v>130</v>
      </c>
      <c r="CE2289" s="0" t="s">
        <v>130</v>
      </c>
      <c r="CF2289" s="0" t="s">
        <v>130</v>
      </c>
      <c r="CG2289" s="0" t="s">
        <v>130</v>
      </c>
      <c r="CH2289" s="0" t="s">
        <v>130</v>
      </c>
      <c r="CI2289" s="0" t="s">
        <v>130</v>
      </c>
      <c r="CJ2289" s="0" t="s">
        <v>130</v>
      </c>
      <c r="CK2289" s="0" t="s">
        <v>130</v>
      </c>
      <c r="CL2289" s="0" t="s">
        <v>130</v>
      </c>
      <c r="CM2289" s="0" t="s">
        <v>130</v>
      </c>
      <c r="CN2289" s="0" t="s">
        <v>130</v>
      </c>
      <c r="CO2289" s="0" t="s">
        <v>130</v>
      </c>
      <c r="CP2289" s="0" t="s">
        <v>130</v>
      </c>
      <c r="CQ2289" s="0" t="s">
        <v>130</v>
      </c>
      <c r="CR2289" s="0" t="s">
        <v>130</v>
      </c>
      <c r="CS2289" s="0" t="s">
        <v>130</v>
      </c>
      <c r="CT2289" s="0" t="s">
        <v>6332</v>
      </c>
    </row>
    <row r="2290">
      <c r="A2290" s="14">
        <v>41234897</v>
      </c>
      <c r="B2290" s="0" t="s">
        <v>4547</v>
      </c>
      <c r="C2290" s="16">
        <f>HYPERLINK("https://eosportal.federatedhermes.com/companies/Q29tcGFueQppNzkwOTY=", "UBS Group AG")</f>
      </c>
      <c r="D2290" s="0" t="s">
        <v>23</v>
      </c>
      <c r="E2290" s="0" t="s">
        <v>1147</v>
      </c>
      <c r="F2290" s="16">
        <f>HYPERLINK("https://eosportal.federatedhermes.com/engagements/RW5nYWdlbWVudAppMzMyMTI=", "Climate resilient strategy - enhanced scope")</f>
      </c>
      <c r="G2290" s="14" t="s">
        <v>6333</v>
      </c>
      <c r="H2290" s="0" t="s">
        <v>141</v>
      </c>
      <c r="I2290" s="14" t="s">
        <v>131</v>
      </c>
      <c r="J2290" s="0" t="s">
        <v>197</v>
      </c>
      <c r="K2290" s="0" t="s">
        <v>198</v>
      </c>
      <c r="L2290" s="0" t="s">
        <v>220</v>
      </c>
      <c r="M2290" s="0" t="s">
        <v>378</v>
      </c>
      <c r="N2290" s="0" t="s">
        <v>1059</v>
      </c>
      <c r="O2290" s="0" t="s">
        <v>238</v>
      </c>
      <c r="Q2290" s="0" t="s">
        <v>130</v>
      </c>
      <c r="R2290" s="0" t="s">
        <v>130</v>
      </c>
      <c r="S2290" s="14">
        <v>0</v>
      </c>
      <c r="T2290" s="0" t="s">
        <v>360</v>
      </c>
      <c r="U2290" s="0" t="s">
        <v>221</v>
      </c>
      <c r="V2290" s="14" t="s">
        <v>360</v>
      </c>
      <c r="W2290" s="0" t="s">
        <v>221</v>
      </c>
      <c r="X2290" s="14" t="s">
        <v>360</v>
      </c>
      <c r="Y2290" s="0" t="s">
        <v>221</v>
      </c>
      <c r="Z2290" s="14" t="s">
        <v>446</v>
      </c>
      <c r="AA2290" s="0" t="s">
        <v>223</v>
      </c>
      <c r="AB2290" s="14" t="s">
        <v>138</v>
      </c>
      <c r="AD2290" s="0" t="s">
        <v>20</v>
      </c>
      <c r="AF2290" s="0">
        <v>0</v>
      </c>
      <c r="AG2290" s="0">
        <v>0</v>
      </c>
      <c r="AH2290" s="0" t="s">
        <v>140</v>
      </c>
      <c r="AI2290" s="0" t="s">
        <v>598</v>
      </c>
      <c r="AL2290" s="14"/>
      <c r="AN2290" s="14"/>
      <c r="AQ2290" s="0" t="s">
        <v>130</v>
      </c>
      <c r="AR2290" s="0" t="s">
        <v>130</v>
      </c>
      <c r="AS2290" s="0" t="s">
        <v>130</v>
      </c>
      <c r="AT2290" s="0" t="s">
        <v>130</v>
      </c>
      <c r="AU2290" s="0" t="s">
        <v>130</v>
      </c>
      <c r="AV2290" s="0" t="s">
        <v>130</v>
      </c>
      <c r="AW2290" s="0" t="s">
        <v>141</v>
      </c>
      <c r="AX2290" s="0" t="s">
        <v>130</v>
      </c>
      <c r="AY2290" s="0" t="s">
        <v>141</v>
      </c>
      <c r="AZ2290" s="0" t="s">
        <v>130</v>
      </c>
      <c r="BA2290" s="0" t="s">
        <v>130</v>
      </c>
      <c r="BB2290" s="0" t="s">
        <v>130</v>
      </c>
      <c r="BC2290" s="0" t="s">
        <v>141</v>
      </c>
      <c r="BD2290" s="0" t="s">
        <v>130</v>
      </c>
      <c r="BE2290" s="0" t="s">
        <v>130</v>
      </c>
      <c r="BF2290" s="0" t="s">
        <v>130</v>
      </c>
      <c r="BG2290" s="0" t="s">
        <v>130</v>
      </c>
      <c r="BH2290" s="0" t="s">
        <v>141</v>
      </c>
      <c r="BI2290" s="0" t="s">
        <v>141</v>
      </c>
      <c r="BJ2290" s="0" t="s">
        <v>141</v>
      </c>
      <c r="BK2290" s="0" t="s">
        <v>130</v>
      </c>
      <c r="BL2290" s="0" t="s">
        <v>130</v>
      </c>
      <c r="BM2290" s="0" t="s">
        <v>130</v>
      </c>
      <c r="BN2290" s="0" t="s">
        <v>130</v>
      </c>
      <c r="BO2290" s="0" t="s">
        <v>130</v>
      </c>
      <c r="BP2290" s="0" t="s">
        <v>130</v>
      </c>
      <c r="BQ2290" s="0" t="s">
        <v>130</v>
      </c>
      <c r="BR2290" s="0" t="s">
        <v>130</v>
      </c>
      <c r="BS2290" s="0" t="s">
        <v>130</v>
      </c>
      <c r="BT2290" s="0" t="s">
        <v>130</v>
      </c>
      <c r="BU2290" s="0" t="s">
        <v>130</v>
      </c>
      <c r="BV2290" s="0" t="s">
        <v>141</v>
      </c>
      <c r="BW2290" s="0" t="s">
        <v>141</v>
      </c>
      <c r="BX2290" s="0" t="s">
        <v>130</v>
      </c>
      <c r="BY2290" s="0" t="s">
        <v>130</v>
      </c>
      <c r="BZ2290" s="0" t="s">
        <v>130</v>
      </c>
      <c r="CA2290" s="0" t="s">
        <v>130</v>
      </c>
      <c r="CB2290" s="0" t="s">
        <v>130</v>
      </c>
      <c r="CC2290" s="0" t="s">
        <v>130</v>
      </c>
      <c r="CD2290" s="0" t="s">
        <v>130</v>
      </c>
      <c r="CE2290" s="0" t="s">
        <v>130</v>
      </c>
      <c r="CF2290" s="0" t="s">
        <v>130</v>
      </c>
      <c r="CG2290" s="0" t="s">
        <v>130</v>
      </c>
      <c r="CH2290" s="0" t="s">
        <v>130</v>
      </c>
      <c r="CI2290" s="0" t="s">
        <v>130</v>
      </c>
      <c r="CJ2290" s="0" t="s">
        <v>130</v>
      </c>
      <c r="CK2290" s="0" t="s">
        <v>130</v>
      </c>
      <c r="CL2290" s="0" t="s">
        <v>130</v>
      </c>
      <c r="CM2290" s="0" t="s">
        <v>130</v>
      </c>
      <c r="CN2290" s="0" t="s">
        <v>130</v>
      </c>
      <c r="CO2290" s="0" t="s">
        <v>130</v>
      </c>
      <c r="CP2290" s="0" t="s">
        <v>130</v>
      </c>
      <c r="CQ2290" s="0" t="s">
        <v>130</v>
      </c>
      <c r="CR2290" s="0" t="s">
        <v>130</v>
      </c>
      <c r="CS2290" s="0" t="s">
        <v>130</v>
      </c>
      <c r="CT2290" s="0" t="s">
        <v>6334</v>
      </c>
    </row>
    <row r="2291">
      <c r="A2291" s="14">
        <v>41234897</v>
      </c>
      <c r="B2291" s="0" t="s">
        <v>4547</v>
      </c>
      <c r="C2291" s="16">
        <f>HYPERLINK("https://eosportal.federatedhermes.com/companies/Q29tcGFueQppNzkwOTY=", "UBS Group AG")</f>
      </c>
      <c r="D2291" s="0" t="s">
        <v>23</v>
      </c>
      <c r="E2291" s="0" t="s">
        <v>6335</v>
      </c>
      <c r="F2291" s="16">
        <f>HYPERLINK("https://eosportal.federatedhermes.com/engagements/RW5nYWdlbWVudAppMzMyMTM=", "Climate strategy - disclosure on client engagement")</f>
      </c>
      <c r="G2291" s="14" t="s">
        <v>6336</v>
      </c>
      <c r="H2291" s="0" t="s">
        <v>141</v>
      </c>
      <c r="I2291" s="14" t="s">
        <v>131</v>
      </c>
      <c r="J2291" s="0" t="s">
        <v>197</v>
      </c>
      <c r="K2291" s="0" t="s">
        <v>198</v>
      </c>
      <c r="L2291" s="0" t="s">
        <v>220</v>
      </c>
      <c r="M2291" s="0" t="s">
        <v>378</v>
      </c>
      <c r="N2291" s="0" t="s">
        <v>1059</v>
      </c>
      <c r="O2291" s="0" t="s">
        <v>238</v>
      </c>
      <c r="Q2291" s="0" t="s">
        <v>141</v>
      </c>
      <c r="R2291" s="0" t="s">
        <v>130</v>
      </c>
      <c r="S2291" s="14">
        <v>1</v>
      </c>
      <c r="T2291" s="0" t="s">
        <v>360</v>
      </c>
      <c r="U2291" s="0" t="s">
        <v>221</v>
      </c>
      <c r="V2291" s="14" t="s">
        <v>360</v>
      </c>
      <c r="W2291" s="0" t="s">
        <v>221</v>
      </c>
      <c r="X2291" s="14" t="s">
        <v>446</v>
      </c>
      <c r="Y2291" s="0" t="s">
        <v>223</v>
      </c>
      <c r="Z2291" s="14" t="s">
        <v>138</v>
      </c>
      <c r="AA2291" s="0" t="s">
        <v>224</v>
      </c>
      <c r="AB2291" s="14" t="s">
        <v>138</v>
      </c>
      <c r="AD2291" s="0" t="s">
        <v>17</v>
      </c>
      <c r="AF2291" s="0">
        <v>0</v>
      </c>
      <c r="AG2291" s="0">
        <v>0</v>
      </c>
      <c r="AH2291" s="0" t="s">
        <v>140</v>
      </c>
      <c r="AI2291" s="0" t="s">
        <v>598</v>
      </c>
      <c r="AK2291" s="0" t="s">
        <v>1834</v>
      </c>
      <c r="AL2291" s="14"/>
      <c r="AN2291" s="14"/>
      <c r="AQ2291" s="0" t="s">
        <v>130</v>
      </c>
      <c r="AR2291" s="0" t="s">
        <v>130</v>
      </c>
      <c r="AS2291" s="0" t="s">
        <v>130</v>
      </c>
      <c r="AT2291" s="0" t="s">
        <v>130</v>
      </c>
      <c r="AU2291" s="0" t="s">
        <v>130</v>
      </c>
      <c r="AV2291" s="0" t="s">
        <v>130</v>
      </c>
      <c r="AW2291" s="0" t="s">
        <v>141</v>
      </c>
      <c r="AX2291" s="0" t="s">
        <v>130</v>
      </c>
      <c r="AY2291" s="0" t="s">
        <v>141</v>
      </c>
      <c r="AZ2291" s="0" t="s">
        <v>130</v>
      </c>
      <c r="BA2291" s="0" t="s">
        <v>130</v>
      </c>
      <c r="BB2291" s="0" t="s">
        <v>130</v>
      </c>
      <c r="BC2291" s="0" t="s">
        <v>141</v>
      </c>
      <c r="BD2291" s="0" t="s">
        <v>130</v>
      </c>
      <c r="BE2291" s="0" t="s">
        <v>130</v>
      </c>
      <c r="BF2291" s="0" t="s">
        <v>130</v>
      </c>
      <c r="BG2291" s="0" t="s">
        <v>130</v>
      </c>
      <c r="BH2291" s="0" t="s">
        <v>130</v>
      </c>
      <c r="BI2291" s="0" t="s">
        <v>130</v>
      </c>
      <c r="BJ2291" s="0" t="s">
        <v>130</v>
      </c>
      <c r="BK2291" s="0" t="s">
        <v>130</v>
      </c>
      <c r="BL2291" s="0" t="s">
        <v>130</v>
      </c>
      <c r="BM2291" s="0" t="s">
        <v>130</v>
      </c>
      <c r="BN2291" s="0" t="s">
        <v>130</v>
      </c>
      <c r="BO2291" s="0" t="s">
        <v>130</v>
      </c>
      <c r="BP2291" s="0" t="s">
        <v>130</v>
      </c>
      <c r="BQ2291" s="0" t="s">
        <v>130</v>
      </c>
      <c r="BR2291" s="0" t="s">
        <v>130</v>
      </c>
      <c r="BS2291" s="0" t="s">
        <v>130</v>
      </c>
      <c r="BT2291" s="0" t="s">
        <v>130</v>
      </c>
      <c r="BU2291" s="0" t="s">
        <v>130</v>
      </c>
      <c r="BV2291" s="0" t="s">
        <v>130</v>
      </c>
      <c r="BW2291" s="0" t="s">
        <v>130</v>
      </c>
      <c r="BX2291" s="0" t="s">
        <v>130</v>
      </c>
      <c r="BY2291" s="0" t="s">
        <v>130</v>
      </c>
      <c r="BZ2291" s="0" t="s">
        <v>130</v>
      </c>
      <c r="CA2291" s="0" t="s">
        <v>130</v>
      </c>
      <c r="CB2291" s="0" t="s">
        <v>130</v>
      </c>
      <c r="CC2291" s="0" t="s">
        <v>130</v>
      </c>
      <c r="CD2291" s="0" t="s">
        <v>130</v>
      </c>
      <c r="CE2291" s="0" t="s">
        <v>130</v>
      </c>
      <c r="CF2291" s="0" t="s">
        <v>130</v>
      </c>
      <c r="CG2291" s="0" t="s">
        <v>130</v>
      </c>
      <c r="CH2291" s="0" t="s">
        <v>130</v>
      </c>
      <c r="CI2291" s="0" t="s">
        <v>130</v>
      </c>
      <c r="CJ2291" s="0" t="s">
        <v>130</v>
      </c>
      <c r="CK2291" s="0" t="s">
        <v>130</v>
      </c>
      <c r="CL2291" s="0" t="s">
        <v>130</v>
      </c>
      <c r="CM2291" s="0" t="s">
        <v>130</v>
      </c>
      <c r="CN2291" s="0" t="s">
        <v>130</v>
      </c>
      <c r="CO2291" s="0" t="s">
        <v>130</v>
      </c>
      <c r="CP2291" s="0" t="s">
        <v>130</v>
      </c>
      <c r="CQ2291" s="0" t="s">
        <v>130</v>
      </c>
      <c r="CR2291" s="0" t="s">
        <v>130</v>
      </c>
      <c r="CS2291" s="0" t="s">
        <v>130</v>
      </c>
      <c r="CT2291" s="0" t="s">
        <v>6337</v>
      </c>
    </row>
    <row r="2292">
      <c r="A2292" s="14">
        <v>15951478</v>
      </c>
      <c r="B2292" s="0" t="s">
        <v>4197</v>
      </c>
      <c r="C2292" s="16">
        <f>HYPERLINK("https://eosportal.federatedhermes.com/companies/Q29tcGFueQppNTIyMzc=", "Dollarama Inc")</f>
      </c>
      <c r="D2292" s="0" t="s">
        <v>25</v>
      </c>
      <c r="E2292" s="0" t="s">
        <v>4664</v>
      </c>
      <c r="F2292" s="16">
        <f>HYPERLINK("https://eosportal.federatedhermes.com/engagements/RW5nYWdlbWVudAppMzMyMTU=", "Climate")</f>
      </c>
      <c r="G2292" s="14" t="s">
        <v>6338</v>
      </c>
      <c r="H2292" s="0" t="s">
        <v>130</v>
      </c>
      <c r="I2292" s="14" t="s">
        <v>636</v>
      </c>
      <c r="J2292" s="0" t="s">
        <v>197</v>
      </c>
      <c r="K2292" s="0" t="s">
        <v>198</v>
      </c>
      <c r="L2292" s="0" t="s">
        <v>216</v>
      </c>
      <c r="M2292" s="0" t="s">
        <v>135</v>
      </c>
      <c r="N2292" s="0" t="s">
        <v>1678</v>
      </c>
      <c r="O2292" s="0" t="s">
        <v>643</v>
      </c>
      <c r="Q2292" s="0" t="s">
        <v>130</v>
      </c>
      <c r="R2292" s="0" t="s">
        <v>138</v>
      </c>
      <c r="S2292" s="14">
        <v>0</v>
      </c>
      <c r="T2292" s="0" t="s">
        <v>360</v>
      </c>
      <c r="U2292" s="0" t="s">
        <v>138</v>
      </c>
      <c r="V2292" s="14" t="s">
        <v>138</v>
      </c>
      <c r="W2292" s="0" t="s">
        <v>138</v>
      </c>
      <c r="X2292" s="14" t="s">
        <v>138</v>
      </c>
      <c r="Y2292" s="0" t="s">
        <v>138</v>
      </c>
      <c r="Z2292" s="14" t="s">
        <v>138</v>
      </c>
      <c r="AA2292" s="0" t="s">
        <v>138</v>
      </c>
      <c r="AB2292" s="14" t="s">
        <v>138</v>
      </c>
      <c r="AD2292" s="0" t="s">
        <v>138</v>
      </c>
      <c r="AF2292" s="0">
        <v>0</v>
      </c>
      <c r="AG2292" s="0">
        <v>0</v>
      </c>
      <c r="AH2292" s="0" t="s">
        <v>140</v>
      </c>
      <c r="AI2292" s="0" t="s">
        <v>138</v>
      </c>
      <c r="AL2292" s="14"/>
      <c r="AN2292" s="14"/>
      <c r="AQ2292" s="0" t="s">
        <v>130</v>
      </c>
      <c r="AR2292" s="0" t="s">
        <v>130</v>
      </c>
      <c r="AS2292" s="0" t="s">
        <v>130</v>
      </c>
      <c r="AT2292" s="0" t="s">
        <v>130</v>
      </c>
      <c r="AU2292" s="0" t="s">
        <v>130</v>
      </c>
      <c r="AV2292" s="0" t="s">
        <v>130</v>
      </c>
      <c r="AW2292" s="0" t="s">
        <v>141</v>
      </c>
      <c r="AX2292" s="0" t="s">
        <v>130</v>
      </c>
      <c r="AY2292" s="0" t="s">
        <v>130</v>
      </c>
      <c r="AZ2292" s="0" t="s">
        <v>130</v>
      </c>
      <c r="BA2292" s="0" t="s">
        <v>130</v>
      </c>
      <c r="BB2292" s="0" t="s">
        <v>130</v>
      </c>
      <c r="BC2292" s="0" t="s">
        <v>141</v>
      </c>
      <c r="BD2292" s="0" t="s">
        <v>130</v>
      </c>
      <c r="BE2292" s="0" t="s">
        <v>130</v>
      </c>
      <c r="BF2292" s="0" t="s">
        <v>130</v>
      </c>
      <c r="BG2292" s="0" t="s">
        <v>130</v>
      </c>
      <c r="BH2292" s="0" t="s">
        <v>141</v>
      </c>
      <c r="BI2292" s="0" t="s">
        <v>141</v>
      </c>
      <c r="BJ2292" s="0" t="s">
        <v>141</v>
      </c>
      <c r="BK2292" s="0" t="s">
        <v>130</v>
      </c>
      <c r="BL2292" s="0" t="s">
        <v>130</v>
      </c>
      <c r="BM2292" s="0" t="s">
        <v>130</v>
      </c>
      <c r="BN2292" s="0" t="s">
        <v>130</v>
      </c>
      <c r="BO2292" s="0" t="s">
        <v>130</v>
      </c>
      <c r="BP2292" s="0" t="s">
        <v>130</v>
      </c>
      <c r="BQ2292" s="0" t="s">
        <v>130</v>
      </c>
      <c r="BR2292" s="0" t="s">
        <v>130</v>
      </c>
      <c r="BS2292" s="0" t="s">
        <v>130</v>
      </c>
      <c r="BT2292" s="0" t="s">
        <v>130</v>
      </c>
      <c r="BU2292" s="0" t="s">
        <v>130</v>
      </c>
      <c r="BV2292" s="0" t="s">
        <v>141</v>
      </c>
      <c r="BW2292" s="0" t="s">
        <v>141</v>
      </c>
      <c r="BX2292" s="0" t="s">
        <v>130</v>
      </c>
      <c r="BY2292" s="0" t="s">
        <v>130</v>
      </c>
      <c r="BZ2292" s="0" t="s">
        <v>130</v>
      </c>
      <c r="CA2292" s="0" t="s">
        <v>130</v>
      </c>
      <c r="CB2292" s="0" t="s">
        <v>130</v>
      </c>
      <c r="CC2292" s="0" t="s">
        <v>130</v>
      </c>
      <c r="CD2292" s="0" t="s">
        <v>130</v>
      </c>
      <c r="CE2292" s="0" t="s">
        <v>130</v>
      </c>
      <c r="CF2292" s="0" t="s">
        <v>130</v>
      </c>
      <c r="CG2292" s="0" t="s">
        <v>130</v>
      </c>
      <c r="CH2292" s="0" t="s">
        <v>130</v>
      </c>
      <c r="CI2292" s="0" t="s">
        <v>130</v>
      </c>
      <c r="CJ2292" s="0" t="s">
        <v>130</v>
      </c>
      <c r="CK2292" s="0" t="s">
        <v>130</v>
      </c>
      <c r="CL2292" s="0" t="s">
        <v>130</v>
      </c>
      <c r="CM2292" s="0" t="s">
        <v>130</v>
      </c>
      <c r="CN2292" s="0" t="s">
        <v>130</v>
      </c>
      <c r="CO2292" s="0" t="s">
        <v>130</v>
      </c>
      <c r="CP2292" s="0" t="s">
        <v>130</v>
      </c>
      <c r="CQ2292" s="0" t="s">
        <v>130</v>
      </c>
      <c r="CR2292" s="0" t="s">
        <v>130</v>
      </c>
      <c r="CS2292" s="0" t="s">
        <v>130</v>
      </c>
      <c r="CT2292" s="0" t="s">
        <v>6339</v>
      </c>
    </row>
    <row r="2293">
      <c r="A2293" s="14">
        <v>8502156</v>
      </c>
      <c r="B2293" s="0" t="s">
        <v>3910</v>
      </c>
      <c r="C2293" s="16">
        <f>HYPERLINK("https://eosportal.federatedhermes.com/companies/Q29tcGFueQppODYyODc=", "NRG Energy Inc")</f>
      </c>
      <c r="D2293" s="0" t="s">
        <v>23</v>
      </c>
      <c r="E2293" s="0" t="s">
        <v>6340</v>
      </c>
      <c r="F2293" s="16">
        <f>HYPERLINK("https://eosportal.federatedhermes.com/engagements/RW5nYWdlbWVudAppMzMyMTg=", "Physical risks strategy")</f>
      </c>
      <c r="G2293" s="14" t="s">
        <v>6341</v>
      </c>
      <c r="H2293" s="0" t="s">
        <v>141</v>
      </c>
      <c r="I2293" s="14" t="s">
        <v>191</v>
      </c>
      <c r="J2293" s="0" t="s">
        <v>197</v>
      </c>
      <c r="K2293" s="0" t="s">
        <v>198</v>
      </c>
      <c r="L2293" s="0" t="s">
        <v>682</v>
      </c>
      <c r="M2293" s="0" t="s">
        <v>135</v>
      </c>
      <c r="N2293" s="0" t="s">
        <v>136</v>
      </c>
      <c r="O2293" s="0" t="s">
        <v>192</v>
      </c>
      <c r="Q2293" s="0" t="s">
        <v>141</v>
      </c>
      <c r="R2293" s="0" t="s">
        <v>130</v>
      </c>
      <c r="S2293" s="14">
        <v>1</v>
      </c>
      <c r="T2293" s="0" t="s">
        <v>360</v>
      </c>
      <c r="U2293" s="0" t="s">
        <v>221</v>
      </c>
      <c r="V2293" s="14" t="s">
        <v>360</v>
      </c>
      <c r="W2293" s="0" t="s">
        <v>221</v>
      </c>
      <c r="X2293" s="14" t="s">
        <v>360</v>
      </c>
      <c r="Y2293" s="0" t="s">
        <v>223</v>
      </c>
      <c r="Z2293" s="14" t="s">
        <v>138</v>
      </c>
      <c r="AA2293" s="0" t="s">
        <v>224</v>
      </c>
      <c r="AB2293" s="14" t="s">
        <v>138</v>
      </c>
      <c r="AD2293" s="0" t="s">
        <v>17</v>
      </c>
      <c r="AF2293" s="0">
        <v>0</v>
      </c>
      <c r="AG2293" s="0">
        <v>0</v>
      </c>
      <c r="AH2293" s="0" t="s">
        <v>140</v>
      </c>
      <c r="AI2293" s="0" t="s">
        <v>598</v>
      </c>
      <c r="AK2293" s="0" t="s">
        <v>2569</v>
      </c>
      <c r="AL2293" s="14"/>
      <c r="AN2293" s="14"/>
      <c r="AQ2293" s="0" t="s">
        <v>130</v>
      </c>
      <c r="AR2293" s="0" t="s">
        <v>130</v>
      </c>
      <c r="AS2293" s="0" t="s">
        <v>130</v>
      </c>
      <c r="AT2293" s="0" t="s">
        <v>130</v>
      </c>
      <c r="AU2293" s="0" t="s">
        <v>130</v>
      </c>
      <c r="AV2293" s="0" t="s">
        <v>130</v>
      </c>
      <c r="AW2293" s="0" t="s">
        <v>130</v>
      </c>
      <c r="AX2293" s="0" t="s">
        <v>130</v>
      </c>
      <c r="AY2293" s="0" t="s">
        <v>130</v>
      </c>
      <c r="AZ2293" s="0" t="s">
        <v>130</v>
      </c>
      <c r="BA2293" s="0" t="s">
        <v>130</v>
      </c>
      <c r="BB2293" s="0" t="s">
        <v>130</v>
      </c>
      <c r="BC2293" s="0" t="s">
        <v>141</v>
      </c>
      <c r="BD2293" s="0" t="s">
        <v>130</v>
      </c>
      <c r="BE2293" s="0" t="s">
        <v>130</v>
      </c>
      <c r="BF2293" s="0" t="s">
        <v>130</v>
      </c>
      <c r="BG2293" s="0" t="s">
        <v>130</v>
      </c>
      <c r="BH2293" s="0" t="s">
        <v>130</v>
      </c>
      <c r="BI2293" s="0" t="s">
        <v>130</v>
      </c>
      <c r="BJ2293" s="0" t="s">
        <v>130</v>
      </c>
      <c r="BK2293" s="0" t="s">
        <v>130</v>
      </c>
      <c r="BL2293" s="0" t="s">
        <v>130</v>
      </c>
      <c r="BM2293" s="0" t="s">
        <v>130</v>
      </c>
      <c r="BN2293" s="0" t="s">
        <v>130</v>
      </c>
      <c r="BO2293" s="0" t="s">
        <v>130</v>
      </c>
      <c r="BP2293" s="0" t="s">
        <v>130</v>
      </c>
      <c r="BQ2293" s="0" t="s">
        <v>130</v>
      </c>
      <c r="BR2293" s="0" t="s">
        <v>130</v>
      </c>
      <c r="BS2293" s="0" t="s">
        <v>130</v>
      </c>
      <c r="BT2293" s="0" t="s">
        <v>130</v>
      </c>
      <c r="BU2293" s="0" t="s">
        <v>130</v>
      </c>
      <c r="BV2293" s="0" t="s">
        <v>130</v>
      </c>
      <c r="BW2293" s="0" t="s">
        <v>130</v>
      </c>
      <c r="BX2293" s="0" t="s">
        <v>130</v>
      </c>
      <c r="BY2293" s="0" t="s">
        <v>130</v>
      </c>
      <c r="BZ2293" s="0" t="s">
        <v>130</v>
      </c>
      <c r="CA2293" s="0" t="s">
        <v>130</v>
      </c>
      <c r="CB2293" s="0" t="s">
        <v>130</v>
      </c>
      <c r="CC2293" s="0" t="s">
        <v>130</v>
      </c>
      <c r="CD2293" s="0" t="s">
        <v>130</v>
      </c>
      <c r="CE2293" s="0" t="s">
        <v>130</v>
      </c>
      <c r="CF2293" s="0" t="s">
        <v>130</v>
      </c>
      <c r="CG2293" s="0" t="s">
        <v>130</v>
      </c>
      <c r="CH2293" s="0" t="s">
        <v>130</v>
      </c>
      <c r="CI2293" s="0" t="s">
        <v>130</v>
      </c>
      <c r="CJ2293" s="0" t="s">
        <v>130</v>
      </c>
      <c r="CK2293" s="0" t="s">
        <v>130</v>
      </c>
      <c r="CL2293" s="0" t="s">
        <v>130</v>
      </c>
      <c r="CM2293" s="0" t="s">
        <v>130</v>
      </c>
      <c r="CN2293" s="0" t="s">
        <v>130</v>
      </c>
      <c r="CO2293" s="0" t="s">
        <v>130</v>
      </c>
      <c r="CP2293" s="0" t="s">
        <v>130</v>
      </c>
      <c r="CQ2293" s="0" t="s">
        <v>130</v>
      </c>
      <c r="CR2293" s="0" t="s">
        <v>130</v>
      </c>
      <c r="CS2293" s="0" t="s">
        <v>130</v>
      </c>
      <c r="CT2293" s="0" t="s">
        <v>6342</v>
      </c>
    </row>
    <row r="2294">
      <c r="A2294" s="14">
        <v>8502156</v>
      </c>
      <c r="B2294" s="0" t="s">
        <v>3910</v>
      </c>
      <c r="C2294" s="16">
        <f>HYPERLINK("https://eosportal.federatedhermes.com/companies/Q29tcGFueQppODYyODc=", "NRG Energy Inc")</f>
      </c>
      <c r="D2294" s="0" t="s">
        <v>23</v>
      </c>
      <c r="E2294" s="0" t="s">
        <v>6343</v>
      </c>
      <c r="F2294" s="16">
        <f>HYPERLINK("https://eosportal.federatedhermes.com/engagements/RW5nYWdlbWVudAppMzMyMTk=", "Increased transparency on tax practices")</f>
      </c>
      <c r="G2294" s="14" t="s">
        <v>6344</v>
      </c>
      <c r="H2294" s="0" t="s">
        <v>141</v>
      </c>
      <c r="I2294" s="14" t="s">
        <v>191</v>
      </c>
      <c r="J2294" s="0" t="s">
        <v>153</v>
      </c>
      <c r="K2294" s="0" t="s">
        <v>185</v>
      </c>
      <c r="L2294" s="0" t="s">
        <v>548</v>
      </c>
      <c r="M2294" s="0" t="s">
        <v>135</v>
      </c>
      <c r="N2294" s="0" t="s">
        <v>136</v>
      </c>
      <c r="O2294" s="0" t="s">
        <v>192</v>
      </c>
      <c r="Q2294" s="0" t="s">
        <v>130</v>
      </c>
      <c r="R2294" s="0" t="s">
        <v>130</v>
      </c>
      <c r="S2294" s="14">
        <v>0</v>
      </c>
      <c r="T2294" s="0" t="s">
        <v>360</v>
      </c>
      <c r="U2294" s="0" t="s">
        <v>221</v>
      </c>
      <c r="V2294" s="14" t="s">
        <v>360</v>
      </c>
      <c r="W2294" s="0" t="s">
        <v>221</v>
      </c>
      <c r="X2294" s="14" t="s">
        <v>3562</v>
      </c>
      <c r="Y2294" s="0" t="s">
        <v>223</v>
      </c>
      <c r="Z2294" s="14" t="s">
        <v>138</v>
      </c>
      <c r="AA2294" s="0" t="s">
        <v>224</v>
      </c>
      <c r="AB2294" s="14" t="s">
        <v>138</v>
      </c>
      <c r="AD2294" s="0" t="s">
        <v>17</v>
      </c>
      <c r="AF2294" s="0">
        <v>0</v>
      </c>
      <c r="AG2294" s="0">
        <v>0</v>
      </c>
      <c r="AH2294" s="0" t="s">
        <v>140</v>
      </c>
      <c r="AI2294" s="0" t="s">
        <v>598</v>
      </c>
      <c r="AL2294" s="14"/>
      <c r="AN2294" s="14"/>
      <c r="AQ2294" s="0" t="s">
        <v>130</v>
      </c>
      <c r="AR2294" s="0" t="s">
        <v>130</v>
      </c>
      <c r="AS2294" s="0" t="s">
        <v>130</v>
      </c>
      <c r="AT2294" s="0" t="s">
        <v>130</v>
      </c>
      <c r="AU2294" s="0" t="s">
        <v>130</v>
      </c>
      <c r="AV2294" s="0" t="s">
        <v>130</v>
      </c>
      <c r="AW2294" s="0" t="s">
        <v>130</v>
      </c>
      <c r="AX2294" s="0" t="s">
        <v>130</v>
      </c>
      <c r="AY2294" s="0" t="s">
        <v>130</v>
      </c>
      <c r="AZ2294" s="0" t="s">
        <v>130</v>
      </c>
      <c r="BA2294" s="0" t="s">
        <v>130</v>
      </c>
      <c r="BB2294" s="0" t="s">
        <v>130</v>
      </c>
      <c r="BC2294" s="0" t="s">
        <v>130</v>
      </c>
      <c r="BD2294" s="0" t="s">
        <v>130</v>
      </c>
      <c r="BE2294" s="0" t="s">
        <v>130</v>
      </c>
      <c r="BF2294" s="0" t="s">
        <v>130</v>
      </c>
      <c r="BG2294" s="0" t="s">
        <v>141</v>
      </c>
      <c r="BH2294" s="0" t="s">
        <v>130</v>
      </c>
      <c r="BI2294" s="0" t="s">
        <v>130</v>
      </c>
      <c r="BJ2294" s="0" t="s">
        <v>130</v>
      </c>
      <c r="BK2294" s="0" t="s">
        <v>130</v>
      </c>
      <c r="BL2294" s="0" t="s">
        <v>130</v>
      </c>
      <c r="BM2294" s="0" t="s">
        <v>130</v>
      </c>
      <c r="BN2294" s="0" t="s">
        <v>130</v>
      </c>
      <c r="BO2294" s="0" t="s">
        <v>130</v>
      </c>
      <c r="BP2294" s="0" t="s">
        <v>130</v>
      </c>
      <c r="BQ2294" s="0" t="s">
        <v>130</v>
      </c>
      <c r="BR2294" s="0" t="s">
        <v>130</v>
      </c>
      <c r="BS2294" s="0" t="s">
        <v>130</v>
      </c>
      <c r="BT2294" s="0" t="s">
        <v>130</v>
      </c>
      <c r="BU2294" s="0" t="s">
        <v>130</v>
      </c>
      <c r="BV2294" s="0" t="s">
        <v>130</v>
      </c>
      <c r="BW2294" s="0" t="s">
        <v>130</v>
      </c>
      <c r="BX2294" s="0" t="s">
        <v>130</v>
      </c>
      <c r="BY2294" s="0" t="s">
        <v>130</v>
      </c>
      <c r="BZ2294" s="0" t="s">
        <v>130</v>
      </c>
      <c r="CA2294" s="0" t="s">
        <v>130</v>
      </c>
      <c r="CB2294" s="0" t="s">
        <v>130</v>
      </c>
      <c r="CC2294" s="0" t="s">
        <v>130</v>
      </c>
      <c r="CD2294" s="0" t="s">
        <v>130</v>
      </c>
      <c r="CE2294" s="0" t="s">
        <v>130</v>
      </c>
      <c r="CF2294" s="0" t="s">
        <v>130</v>
      </c>
      <c r="CG2294" s="0" t="s">
        <v>130</v>
      </c>
      <c r="CH2294" s="0" t="s">
        <v>130</v>
      </c>
      <c r="CI2294" s="0" t="s">
        <v>130</v>
      </c>
      <c r="CJ2294" s="0" t="s">
        <v>130</v>
      </c>
      <c r="CK2294" s="0" t="s">
        <v>130</v>
      </c>
      <c r="CL2294" s="0" t="s">
        <v>130</v>
      </c>
      <c r="CM2294" s="0" t="s">
        <v>130</v>
      </c>
      <c r="CN2294" s="0" t="s">
        <v>130</v>
      </c>
      <c r="CO2294" s="0" t="s">
        <v>130</v>
      </c>
      <c r="CP2294" s="0" t="s">
        <v>130</v>
      </c>
      <c r="CQ2294" s="0" t="s">
        <v>130</v>
      </c>
      <c r="CR2294" s="0" t="s">
        <v>130</v>
      </c>
      <c r="CS2294" s="0" t="s">
        <v>130</v>
      </c>
      <c r="CT2294" s="0" t="s">
        <v>6345</v>
      </c>
    </row>
    <row r="2295">
      <c r="A2295" s="14">
        <v>115259</v>
      </c>
      <c r="B2295" s="0" t="s">
        <v>2384</v>
      </c>
      <c r="C2295" s="16">
        <f>HYPERLINK("https://eosportal.federatedhermes.com/companies/Q29tcGFueQppNjc3NTU=", "Danone SA")</f>
      </c>
      <c r="D2295" s="0" t="s">
        <v>25</v>
      </c>
      <c r="E2295" s="0" t="s">
        <v>2508</v>
      </c>
      <c r="F2295" s="16">
        <f>HYPERLINK("https://eosportal.federatedhermes.com/engagements/RW5nYWdlbWVudAppMzMyMjk=", "Capital allocation")</f>
      </c>
      <c r="G2295" s="14" t="s">
        <v>6346</v>
      </c>
      <c r="H2295" s="0" t="s">
        <v>141</v>
      </c>
      <c r="I2295" s="14" t="s">
        <v>191</v>
      </c>
      <c r="J2295" s="0" t="s">
        <v>132</v>
      </c>
      <c r="K2295" s="0" t="s">
        <v>133</v>
      </c>
      <c r="L2295" s="0" t="s">
        <v>753</v>
      </c>
      <c r="M2295" s="0" t="s">
        <v>378</v>
      </c>
      <c r="N2295" s="0" t="s">
        <v>1646</v>
      </c>
      <c r="O2295" s="0" t="s">
        <v>332</v>
      </c>
      <c r="Q2295" s="0" t="s">
        <v>130</v>
      </c>
      <c r="R2295" s="0" t="s">
        <v>138</v>
      </c>
      <c r="S2295" s="14">
        <v>0</v>
      </c>
      <c r="T2295" s="0" t="s">
        <v>360</v>
      </c>
      <c r="U2295" s="0" t="s">
        <v>138</v>
      </c>
      <c r="V2295" s="14" t="s">
        <v>138</v>
      </c>
      <c r="W2295" s="0" t="s">
        <v>138</v>
      </c>
      <c r="X2295" s="14" t="s">
        <v>138</v>
      </c>
      <c r="Y2295" s="0" t="s">
        <v>138</v>
      </c>
      <c r="Z2295" s="14" t="s">
        <v>138</v>
      </c>
      <c r="AA2295" s="0" t="s">
        <v>138</v>
      </c>
      <c r="AB2295" s="14" t="s">
        <v>138</v>
      </c>
      <c r="AD2295" s="0" t="s">
        <v>138</v>
      </c>
      <c r="AF2295" s="0">
        <v>0</v>
      </c>
      <c r="AG2295" s="0">
        <v>0</v>
      </c>
      <c r="AH2295" s="0" t="s">
        <v>140</v>
      </c>
      <c r="AI2295" s="0" t="s">
        <v>138</v>
      </c>
      <c r="AL2295" s="14"/>
      <c r="AN2295" s="14"/>
      <c r="AQ2295" s="0" t="s">
        <v>130</v>
      </c>
      <c r="AR2295" s="0" t="s">
        <v>130</v>
      </c>
      <c r="AS2295" s="0" t="s">
        <v>130</v>
      </c>
      <c r="AT2295" s="0" t="s">
        <v>130</v>
      </c>
      <c r="AU2295" s="0" t="s">
        <v>130</v>
      </c>
      <c r="AV2295" s="0" t="s">
        <v>130</v>
      </c>
      <c r="AW2295" s="0" t="s">
        <v>130</v>
      </c>
      <c r="AX2295" s="0" t="s">
        <v>130</v>
      </c>
      <c r="AY2295" s="0" t="s">
        <v>130</v>
      </c>
      <c r="AZ2295" s="0" t="s">
        <v>130</v>
      </c>
      <c r="BA2295" s="0" t="s">
        <v>130</v>
      </c>
      <c r="BB2295" s="0" t="s">
        <v>130</v>
      </c>
      <c r="BC2295" s="0" t="s">
        <v>130</v>
      </c>
      <c r="BD2295" s="0" t="s">
        <v>130</v>
      </c>
      <c r="BE2295" s="0" t="s">
        <v>130</v>
      </c>
      <c r="BF2295" s="0" t="s">
        <v>130</v>
      </c>
      <c r="BG2295" s="0" t="s">
        <v>130</v>
      </c>
      <c r="BH2295" s="0" t="s">
        <v>130</v>
      </c>
      <c r="BI2295" s="0" t="s">
        <v>130</v>
      </c>
      <c r="BJ2295" s="0" t="s">
        <v>130</v>
      </c>
      <c r="BK2295" s="0" t="s">
        <v>130</v>
      </c>
      <c r="BL2295" s="0" t="s">
        <v>130</v>
      </c>
      <c r="BM2295" s="0" t="s">
        <v>130</v>
      </c>
      <c r="BN2295" s="0" t="s">
        <v>130</v>
      </c>
      <c r="BO2295" s="0" t="s">
        <v>130</v>
      </c>
      <c r="BP2295" s="0" t="s">
        <v>130</v>
      </c>
      <c r="BQ2295" s="0" t="s">
        <v>130</v>
      </c>
      <c r="BR2295" s="0" t="s">
        <v>130</v>
      </c>
      <c r="BS2295" s="0" t="s">
        <v>130</v>
      </c>
      <c r="BT2295" s="0" t="s">
        <v>130</v>
      </c>
      <c r="BU2295" s="0" t="s">
        <v>130</v>
      </c>
      <c r="BV2295" s="0" t="s">
        <v>130</v>
      </c>
      <c r="BW2295" s="0" t="s">
        <v>130</v>
      </c>
      <c r="BX2295" s="0" t="s">
        <v>130</v>
      </c>
      <c r="BY2295" s="0" t="s">
        <v>130</v>
      </c>
      <c r="BZ2295" s="0" t="s">
        <v>130</v>
      </c>
      <c r="CA2295" s="0" t="s">
        <v>130</v>
      </c>
      <c r="CB2295" s="0" t="s">
        <v>130</v>
      </c>
      <c r="CC2295" s="0" t="s">
        <v>130</v>
      </c>
      <c r="CD2295" s="0" t="s">
        <v>130</v>
      </c>
      <c r="CE2295" s="0" t="s">
        <v>130</v>
      </c>
      <c r="CF2295" s="0" t="s">
        <v>130</v>
      </c>
      <c r="CG2295" s="0" t="s">
        <v>130</v>
      </c>
      <c r="CH2295" s="0" t="s">
        <v>130</v>
      </c>
      <c r="CI2295" s="0" t="s">
        <v>130</v>
      </c>
      <c r="CJ2295" s="0" t="s">
        <v>130</v>
      </c>
      <c r="CK2295" s="0" t="s">
        <v>130</v>
      </c>
      <c r="CL2295" s="0" t="s">
        <v>130</v>
      </c>
      <c r="CM2295" s="0" t="s">
        <v>130</v>
      </c>
      <c r="CN2295" s="0" t="s">
        <v>130</v>
      </c>
      <c r="CO2295" s="0" t="s">
        <v>130</v>
      </c>
      <c r="CP2295" s="0" t="s">
        <v>130</v>
      </c>
      <c r="CQ2295" s="0" t="s">
        <v>130</v>
      </c>
      <c r="CR2295" s="0" t="s">
        <v>130</v>
      </c>
      <c r="CS2295" s="0" t="s">
        <v>130</v>
      </c>
      <c r="CT2295" s="0" t="s">
        <v>6347</v>
      </c>
    </row>
    <row r="2296">
      <c r="A2296" s="14">
        <v>18302043</v>
      </c>
      <c r="B2296" s="0" t="s">
        <v>4424</v>
      </c>
      <c r="C2296" s="16">
        <f>HYPERLINK("https://eosportal.federatedhermes.com/companies/Q29tcGFueQppNTg5ODI=", "Kinder Morgan Inc")</f>
      </c>
      <c r="D2296" s="0" t="s">
        <v>25</v>
      </c>
      <c r="E2296" s="0" t="s">
        <v>441</v>
      </c>
      <c r="F2296" s="16">
        <f>HYPERLINK("https://eosportal.federatedhermes.com/engagements/RW5nYWdlbWVudAppMzMyMzA=", "Auditor tenure")</f>
      </c>
      <c r="G2296" s="14" t="s">
        <v>6348</v>
      </c>
      <c r="H2296" s="0" t="s">
        <v>141</v>
      </c>
      <c r="I2296" s="14" t="s">
        <v>191</v>
      </c>
      <c r="J2296" s="0" t="s">
        <v>132</v>
      </c>
      <c r="K2296" s="0" t="s">
        <v>170</v>
      </c>
      <c r="L2296" s="0" t="s">
        <v>310</v>
      </c>
      <c r="M2296" s="0" t="s">
        <v>135</v>
      </c>
      <c r="N2296" s="0" t="s">
        <v>136</v>
      </c>
      <c r="O2296" s="0" t="s">
        <v>542</v>
      </c>
      <c r="Q2296" s="0" t="s">
        <v>130</v>
      </c>
      <c r="R2296" s="0" t="s">
        <v>138</v>
      </c>
      <c r="S2296" s="14">
        <v>0</v>
      </c>
      <c r="T2296" s="0" t="s">
        <v>231</v>
      </c>
      <c r="U2296" s="0" t="s">
        <v>138</v>
      </c>
      <c r="V2296" s="14" t="s">
        <v>138</v>
      </c>
      <c r="W2296" s="0" t="s">
        <v>138</v>
      </c>
      <c r="X2296" s="14" t="s">
        <v>138</v>
      </c>
      <c r="Y2296" s="0" t="s">
        <v>138</v>
      </c>
      <c r="Z2296" s="14" t="s">
        <v>138</v>
      </c>
      <c r="AA2296" s="0" t="s">
        <v>138</v>
      </c>
      <c r="AB2296" s="14" t="s">
        <v>138</v>
      </c>
      <c r="AD2296" s="0" t="s">
        <v>138</v>
      </c>
      <c r="AF2296" s="0">
        <v>0</v>
      </c>
      <c r="AG2296" s="0">
        <v>0</v>
      </c>
      <c r="AH2296" s="0" t="s">
        <v>140</v>
      </c>
      <c r="AI2296" s="0" t="s">
        <v>138</v>
      </c>
      <c r="AL2296" s="14"/>
      <c r="AN2296" s="14"/>
      <c r="AQ2296" s="0" t="s">
        <v>130</v>
      </c>
      <c r="AR2296" s="0" t="s">
        <v>130</v>
      </c>
      <c r="AS2296" s="0" t="s">
        <v>130</v>
      </c>
      <c r="AT2296" s="0" t="s">
        <v>130</v>
      </c>
      <c r="AU2296" s="0" t="s">
        <v>130</v>
      </c>
      <c r="AV2296" s="0" t="s">
        <v>130</v>
      </c>
      <c r="AW2296" s="0" t="s">
        <v>130</v>
      </c>
      <c r="AX2296" s="0" t="s">
        <v>130</v>
      </c>
      <c r="AY2296" s="0" t="s">
        <v>130</v>
      </c>
      <c r="AZ2296" s="0" t="s">
        <v>130</v>
      </c>
      <c r="BA2296" s="0" t="s">
        <v>130</v>
      </c>
      <c r="BB2296" s="0" t="s">
        <v>130</v>
      </c>
      <c r="BC2296" s="0" t="s">
        <v>130</v>
      </c>
      <c r="BD2296" s="0" t="s">
        <v>130</v>
      </c>
      <c r="BE2296" s="0" t="s">
        <v>130</v>
      </c>
      <c r="BF2296" s="0" t="s">
        <v>130</v>
      </c>
      <c r="BG2296" s="0" t="s">
        <v>130</v>
      </c>
      <c r="BH2296" s="0" t="s">
        <v>130</v>
      </c>
      <c r="BI2296" s="0" t="s">
        <v>130</v>
      </c>
      <c r="BJ2296" s="0" t="s">
        <v>130</v>
      </c>
      <c r="BK2296" s="0" t="s">
        <v>130</v>
      </c>
      <c r="BL2296" s="0" t="s">
        <v>130</v>
      </c>
      <c r="BM2296" s="0" t="s">
        <v>130</v>
      </c>
      <c r="BN2296" s="0" t="s">
        <v>130</v>
      </c>
      <c r="BO2296" s="0" t="s">
        <v>130</v>
      </c>
      <c r="BP2296" s="0" t="s">
        <v>130</v>
      </c>
      <c r="BQ2296" s="0" t="s">
        <v>130</v>
      </c>
      <c r="BR2296" s="0" t="s">
        <v>130</v>
      </c>
      <c r="BS2296" s="0" t="s">
        <v>130</v>
      </c>
      <c r="BT2296" s="0" t="s">
        <v>130</v>
      </c>
      <c r="BU2296" s="0" t="s">
        <v>130</v>
      </c>
      <c r="BV2296" s="0" t="s">
        <v>130</v>
      </c>
      <c r="BW2296" s="0" t="s">
        <v>130</v>
      </c>
      <c r="BX2296" s="0" t="s">
        <v>130</v>
      </c>
      <c r="BY2296" s="0" t="s">
        <v>130</v>
      </c>
      <c r="BZ2296" s="0" t="s">
        <v>130</v>
      </c>
      <c r="CA2296" s="0" t="s">
        <v>130</v>
      </c>
      <c r="CB2296" s="0" t="s">
        <v>130</v>
      </c>
      <c r="CC2296" s="0" t="s">
        <v>130</v>
      </c>
      <c r="CD2296" s="0" t="s">
        <v>130</v>
      </c>
      <c r="CE2296" s="0" t="s">
        <v>130</v>
      </c>
      <c r="CF2296" s="0" t="s">
        <v>130</v>
      </c>
      <c r="CG2296" s="0" t="s">
        <v>130</v>
      </c>
      <c r="CH2296" s="0" t="s">
        <v>130</v>
      </c>
      <c r="CI2296" s="0" t="s">
        <v>130</v>
      </c>
      <c r="CJ2296" s="0" t="s">
        <v>130</v>
      </c>
      <c r="CK2296" s="0" t="s">
        <v>130</v>
      </c>
      <c r="CL2296" s="0" t="s">
        <v>130</v>
      </c>
      <c r="CM2296" s="0" t="s">
        <v>130</v>
      </c>
      <c r="CN2296" s="0" t="s">
        <v>130</v>
      </c>
      <c r="CO2296" s="0" t="s">
        <v>130</v>
      </c>
      <c r="CP2296" s="0" t="s">
        <v>130</v>
      </c>
      <c r="CQ2296" s="0" t="s">
        <v>130</v>
      </c>
      <c r="CR2296" s="0" t="s">
        <v>130</v>
      </c>
      <c r="CS2296" s="0" t="s">
        <v>130</v>
      </c>
      <c r="CT2296" s="0" t="s">
        <v>6349</v>
      </c>
    </row>
    <row r="2297">
      <c r="A2297" s="14">
        <v>11583006</v>
      </c>
      <c r="B2297" s="0" t="s">
        <v>4054</v>
      </c>
      <c r="C2297" s="16">
        <f>HYPERLINK("https://eosportal.federatedhermes.com/companies/Q29tcGFueQppODUyMTc=", "Rexel SA")</f>
      </c>
      <c r="D2297" s="0" t="s">
        <v>23</v>
      </c>
      <c r="E2297" s="0" t="s">
        <v>6350</v>
      </c>
      <c r="F2297" s="16">
        <f>HYPERLINK("https://eosportal.federatedhermes.com/engagements/RW5nYWdlbWVudAppMzMyMzc=", "Circular economy strategy; metrics and targets")</f>
      </c>
      <c r="G2297" s="14" t="s">
        <v>6351</v>
      </c>
      <c r="H2297" s="0" t="s">
        <v>130</v>
      </c>
      <c r="I2297" s="14" t="s">
        <v>131</v>
      </c>
      <c r="J2297" s="0" t="s">
        <v>197</v>
      </c>
      <c r="K2297" s="0" t="s">
        <v>348</v>
      </c>
      <c r="L2297" s="0" t="s">
        <v>349</v>
      </c>
      <c r="M2297" s="0" t="s">
        <v>378</v>
      </c>
      <c r="N2297" s="0" t="s">
        <v>1646</v>
      </c>
      <c r="O2297" s="0" t="s">
        <v>176</v>
      </c>
      <c r="Q2297" s="0" t="s">
        <v>141</v>
      </c>
      <c r="R2297" s="0" t="s">
        <v>130</v>
      </c>
      <c r="S2297" s="14">
        <v>1</v>
      </c>
      <c r="T2297" s="0" t="s">
        <v>597</v>
      </c>
      <c r="U2297" s="0" t="s">
        <v>221</v>
      </c>
      <c r="V2297" s="14" t="s">
        <v>597</v>
      </c>
      <c r="W2297" s="0" t="s">
        <v>221</v>
      </c>
      <c r="X2297" s="14" t="s">
        <v>360</v>
      </c>
      <c r="Y2297" s="0" t="s">
        <v>223</v>
      </c>
      <c r="Z2297" s="14" t="s">
        <v>138</v>
      </c>
      <c r="AA2297" s="0" t="s">
        <v>224</v>
      </c>
      <c r="AB2297" s="14" t="s">
        <v>138</v>
      </c>
      <c r="AD2297" s="0" t="s">
        <v>17</v>
      </c>
      <c r="AF2297" s="0">
        <v>0</v>
      </c>
      <c r="AG2297" s="0">
        <v>0</v>
      </c>
      <c r="AH2297" s="0" t="s">
        <v>140</v>
      </c>
      <c r="AI2297" s="0" t="s">
        <v>479</v>
      </c>
      <c r="AK2297" s="0" t="s">
        <v>1151</v>
      </c>
      <c r="AL2297" s="14"/>
      <c r="AN2297" s="14"/>
      <c r="AQ2297" s="0" t="s">
        <v>130</v>
      </c>
      <c r="AR2297" s="0" t="s">
        <v>130</v>
      </c>
      <c r="AS2297" s="0" t="s">
        <v>130</v>
      </c>
      <c r="AT2297" s="0" t="s">
        <v>130</v>
      </c>
      <c r="AU2297" s="0" t="s">
        <v>130</v>
      </c>
      <c r="AV2297" s="0" t="s">
        <v>130</v>
      </c>
      <c r="AW2297" s="0" t="s">
        <v>130</v>
      </c>
      <c r="AX2297" s="0" t="s">
        <v>130</v>
      </c>
      <c r="AY2297" s="0" t="s">
        <v>130</v>
      </c>
      <c r="AZ2297" s="0" t="s">
        <v>130</v>
      </c>
      <c r="BA2297" s="0" t="s">
        <v>141</v>
      </c>
      <c r="BB2297" s="0" t="s">
        <v>141</v>
      </c>
      <c r="BC2297" s="0" t="s">
        <v>130</v>
      </c>
      <c r="BD2297" s="0" t="s">
        <v>130</v>
      </c>
      <c r="BE2297" s="0" t="s">
        <v>130</v>
      </c>
      <c r="BF2297" s="0" t="s">
        <v>130</v>
      </c>
      <c r="BG2297" s="0" t="s">
        <v>130</v>
      </c>
      <c r="BH2297" s="0" t="s">
        <v>130</v>
      </c>
      <c r="BI2297" s="0" t="s">
        <v>130</v>
      </c>
      <c r="BJ2297" s="0" t="s">
        <v>130</v>
      </c>
      <c r="BK2297" s="0" t="s">
        <v>130</v>
      </c>
      <c r="BL2297" s="0" t="s">
        <v>130</v>
      </c>
      <c r="BM2297" s="0" t="s">
        <v>130</v>
      </c>
      <c r="BN2297" s="0" t="s">
        <v>130</v>
      </c>
      <c r="BO2297" s="0" t="s">
        <v>130</v>
      </c>
      <c r="BP2297" s="0" t="s">
        <v>130</v>
      </c>
      <c r="BQ2297" s="0" t="s">
        <v>130</v>
      </c>
      <c r="BR2297" s="0" t="s">
        <v>130</v>
      </c>
      <c r="BS2297" s="0" t="s">
        <v>130</v>
      </c>
      <c r="BT2297" s="0" t="s">
        <v>130</v>
      </c>
      <c r="BU2297" s="0" t="s">
        <v>130</v>
      </c>
      <c r="BV2297" s="0" t="s">
        <v>130</v>
      </c>
      <c r="BW2297" s="0" t="s">
        <v>130</v>
      </c>
      <c r="BX2297" s="0" t="s">
        <v>130</v>
      </c>
      <c r="BY2297" s="0" t="s">
        <v>130</v>
      </c>
      <c r="BZ2297" s="0" t="s">
        <v>130</v>
      </c>
      <c r="CA2297" s="0" t="s">
        <v>130</v>
      </c>
      <c r="CB2297" s="0" t="s">
        <v>130</v>
      </c>
      <c r="CC2297" s="0" t="s">
        <v>130</v>
      </c>
      <c r="CD2297" s="0" t="s">
        <v>141</v>
      </c>
      <c r="CE2297" s="0" t="s">
        <v>130</v>
      </c>
      <c r="CF2297" s="0" t="s">
        <v>130</v>
      </c>
      <c r="CG2297" s="0" t="s">
        <v>130</v>
      </c>
      <c r="CH2297" s="0" t="s">
        <v>130</v>
      </c>
      <c r="CI2297" s="0" t="s">
        <v>130</v>
      </c>
      <c r="CJ2297" s="0" t="s">
        <v>130</v>
      </c>
      <c r="CK2297" s="0" t="s">
        <v>130</v>
      </c>
      <c r="CL2297" s="0" t="s">
        <v>130</v>
      </c>
      <c r="CM2297" s="0" t="s">
        <v>130</v>
      </c>
      <c r="CN2297" s="0" t="s">
        <v>130</v>
      </c>
      <c r="CO2297" s="0" t="s">
        <v>130</v>
      </c>
      <c r="CP2297" s="0" t="s">
        <v>130</v>
      </c>
      <c r="CQ2297" s="0" t="s">
        <v>130</v>
      </c>
      <c r="CR2297" s="0" t="s">
        <v>130</v>
      </c>
      <c r="CS2297" s="0" t="s">
        <v>130</v>
      </c>
      <c r="CT2297" s="0" t="s">
        <v>6352</v>
      </c>
    </row>
    <row r="2298">
      <c r="A2298" s="14">
        <v>117976</v>
      </c>
      <c r="B2298" s="0" t="s">
        <v>4944</v>
      </c>
      <c r="C2298" s="16">
        <f>HYPERLINK("https://eosportal.federatedhermes.com/companies/Q29tcGFueQppNTg5MTU=", "Sika AG")</f>
      </c>
      <c r="D2298" s="0" t="s">
        <v>23</v>
      </c>
      <c r="E2298" s="0" t="s">
        <v>6353</v>
      </c>
      <c r="F2298" s="16">
        <f>HYPERLINK("https://eosportal.federatedhermes.com/engagements/RW5nYWdlbWVudAppMzMyMzk=", "Credible transition roadmap")</f>
      </c>
      <c r="G2298" s="14" t="s">
        <v>6354</v>
      </c>
      <c r="H2298" s="0" t="s">
        <v>141</v>
      </c>
      <c r="I2298" s="14" t="s">
        <v>191</v>
      </c>
      <c r="J2298" s="0" t="s">
        <v>197</v>
      </c>
      <c r="K2298" s="0" t="s">
        <v>198</v>
      </c>
      <c r="L2298" s="0" t="s">
        <v>216</v>
      </c>
      <c r="M2298" s="0" t="s">
        <v>378</v>
      </c>
      <c r="N2298" s="0" t="s">
        <v>1059</v>
      </c>
      <c r="O2298" s="0" t="s">
        <v>706</v>
      </c>
      <c r="Q2298" s="0" t="s">
        <v>130</v>
      </c>
      <c r="R2298" s="0" t="s">
        <v>130</v>
      </c>
      <c r="S2298" s="14">
        <v>0</v>
      </c>
      <c r="T2298" s="0" t="s">
        <v>360</v>
      </c>
      <c r="U2298" s="0" t="s">
        <v>221</v>
      </c>
      <c r="V2298" s="14" t="s">
        <v>360</v>
      </c>
      <c r="W2298" s="0" t="s">
        <v>221</v>
      </c>
      <c r="X2298" s="14" t="s">
        <v>360</v>
      </c>
      <c r="Y2298" s="0" t="s">
        <v>221</v>
      </c>
      <c r="Z2298" s="14" t="s">
        <v>3562</v>
      </c>
      <c r="AA2298" s="0" t="s">
        <v>223</v>
      </c>
      <c r="AB2298" s="14" t="s">
        <v>138</v>
      </c>
      <c r="AD2298" s="0" t="s">
        <v>20</v>
      </c>
      <c r="AF2298" s="0">
        <v>0</v>
      </c>
      <c r="AG2298" s="0">
        <v>0</v>
      </c>
      <c r="AH2298" s="0" t="s">
        <v>140</v>
      </c>
      <c r="AI2298" s="0" t="s">
        <v>598</v>
      </c>
      <c r="AL2298" s="14"/>
      <c r="AN2298" s="14"/>
      <c r="AQ2298" s="0" t="s">
        <v>130</v>
      </c>
      <c r="AR2298" s="0" t="s">
        <v>130</v>
      </c>
      <c r="AS2298" s="0" t="s">
        <v>130</v>
      </c>
      <c r="AT2298" s="0" t="s">
        <v>130</v>
      </c>
      <c r="AU2298" s="0" t="s">
        <v>130</v>
      </c>
      <c r="AV2298" s="0" t="s">
        <v>130</v>
      </c>
      <c r="AW2298" s="0" t="s">
        <v>141</v>
      </c>
      <c r="AX2298" s="0" t="s">
        <v>130</v>
      </c>
      <c r="AY2298" s="0" t="s">
        <v>130</v>
      </c>
      <c r="AZ2298" s="0" t="s">
        <v>130</v>
      </c>
      <c r="BA2298" s="0" t="s">
        <v>130</v>
      </c>
      <c r="BB2298" s="0" t="s">
        <v>130</v>
      </c>
      <c r="BC2298" s="0" t="s">
        <v>141</v>
      </c>
      <c r="BD2298" s="0" t="s">
        <v>130</v>
      </c>
      <c r="BE2298" s="0" t="s">
        <v>130</v>
      </c>
      <c r="BF2298" s="0" t="s">
        <v>130</v>
      </c>
      <c r="BG2298" s="0" t="s">
        <v>130</v>
      </c>
      <c r="BH2298" s="0" t="s">
        <v>141</v>
      </c>
      <c r="BI2298" s="0" t="s">
        <v>141</v>
      </c>
      <c r="BJ2298" s="0" t="s">
        <v>141</v>
      </c>
      <c r="BK2298" s="0" t="s">
        <v>130</v>
      </c>
      <c r="BL2298" s="0" t="s">
        <v>130</v>
      </c>
      <c r="BM2298" s="0" t="s">
        <v>130</v>
      </c>
      <c r="BN2298" s="0" t="s">
        <v>130</v>
      </c>
      <c r="BO2298" s="0" t="s">
        <v>130</v>
      </c>
      <c r="BP2298" s="0" t="s">
        <v>130</v>
      </c>
      <c r="BQ2298" s="0" t="s">
        <v>130</v>
      </c>
      <c r="BR2298" s="0" t="s">
        <v>130</v>
      </c>
      <c r="BS2298" s="0" t="s">
        <v>130</v>
      </c>
      <c r="BT2298" s="0" t="s">
        <v>130</v>
      </c>
      <c r="BU2298" s="0" t="s">
        <v>130</v>
      </c>
      <c r="BV2298" s="0" t="s">
        <v>141</v>
      </c>
      <c r="BW2298" s="0" t="s">
        <v>141</v>
      </c>
      <c r="BX2298" s="0" t="s">
        <v>130</v>
      </c>
      <c r="BY2298" s="0" t="s">
        <v>130</v>
      </c>
      <c r="BZ2298" s="0" t="s">
        <v>130</v>
      </c>
      <c r="CA2298" s="0" t="s">
        <v>130</v>
      </c>
      <c r="CB2298" s="0" t="s">
        <v>130</v>
      </c>
      <c r="CC2298" s="0" t="s">
        <v>130</v>
      </c>
      <c r="CD2298" s="0" t="s">
        <v>130</v>
      </c>
      <c r="CE2298" s="0" t="s">
        <v>130</v>
      </c>
      <c r="CF2298" s="0" t="s">
        <v>130</v>
      </c>
      <c r="CG2298" s="0" t="s">
        <v>130</v>
      </c>
      <c r="CH2298" s="0" t="s">
        <v>130</v>
      </c>
      <c r="CI2298" s="0" t="s">
        <v>130</v>
      </c>
      <c r="CJ2298" s="0" t="s">
        <v>130</v>
      </c>
      <c r="CK2298" s="0" t="s">
        <v>130</v>
      </c>
      <c r="CL2298" s="0" t="s">
        <v>130</v>
      </c>
      <c r="CM2298" s="0" t="s">
        <v>130</v>
      </c>
      <c r="CN2298" s="0" t="s">
        <v>130</v>
      </c>
      <c r="CO2298" s="0" t="s">
        <v>130</v>
      </c>
      <c r="CP2298" s="0" t="s">
        <v>130</v>
      </c>
      <c r="CQ2298" s="0" t="s">
        <v>130</v>
      </c>
      <c r="CR2298" s="0" t="s">
        <v>130</v>
      </c>
      <c r="CS2298" s="0" t="s">
        <v>130</v>
      </c>
      <c r="CT2298" s="0" t="s">
        <v>6355</v>
      </c>
    </row>
    <row r="2299">
      <c r="A2299" s="14">
        <v>101616</v>
      </c>
      <c r="B2299" s="0" t="s">
        <v>1818</v>
      </c>
      <c r="C2299" s="16">
        <f>HYPERLINK("https://eosportal.federatedhermes.com/companies/Q29tcGFueQppNjgxNjU=", "Walmart Inc")</f>
      </c>
      <c r="D2299" s="0" t="s">
        <v>23</v>
      </c>
      <c r="E2299" s="0" t="s">
        <v>3350</v>
      </c>
      <c r="F2299" s="16">
        <f>HYPERLINK("https://eosportal.federatedhermes.com/engagements/RW5nYWdlbWVudAppMzMyNDE=", "Human Rights")</f>
      </c>
      <c r="G2299" s="14" t="s">
        <v>6356</v>
      </c>
      <c r="H2299" s="0" t="s">
        <v>141</v>
      </c>
      <c r="I2299" s="14" t="s">
        <v>191</v>
      </c>
      <c r="J2299" s="0" t="s">
        <v>153</v>
      </c>
      <c r="K2299" s="0" t="s">
        <v>243</v>
      </c>
      <c r="L2299" s="0" t="s">
        <v>244</v>
      </c>
      <c r="M2299" s="0" t="s">
        <v>135</v>
      </c>
      <c r="N2299" s="0" t="s">
        <v>136</v>
      </c>
      <c r="O2299" s="0" t="s">
        <v>643</v>
      </c>
      <c r="Q2299" s="0" t="s">
        <v>141</v>
      </c>
      <c r="R2299" s="0" t="s">
        <v>130</v>
      </c>
      <c r="S2299" s="14">
        <v>1</v>
      </c>
      <c r="T2299" s="0" t="s">
        <v>360</v>
      </c>
      <c r="U2299" s="0" t="s">
        <v>221</v>
      </c>
      <c r="V2299" s="14" t="s">
        <v>360</v>
      </c>
      <c r="W2299" s="0" t="s">
        <v>223</v>
      </c>
      <c r="X2299" s="14" t="s">
        <v>138</v>
      </c>
      <c r="Y2299" s="0" t="s">
        <v>224</v>
      </c>
      <c r="Z2299" s="14" t="s">
        <v>138</v>
      </c>
      <c r="AA2299" s="0" t="s">
        <v>224</v>
      </c>
      <c r="AB2299" s="14" t="s">
        <v>138</v>
      </c>
      <c r="AD2299" s="0" t="s">
        <v>14</v>
      </c>
      <c r="AF2299" s="0">
        <v>0</v>
      </c>
      <c r="AG2299" s="0">
        <v>0</v>
      </c>
      <c r="AH2299" s="0" t="s">
        <v>140</v>
      </c>
      <c r="AI2299" s="0" t="s">
        <v>225</v>
      </c>
      <c r="AK2299" s="0" t="s">
        <v>413</v>
      </c>
      <c r="AL2299" s="14"/>
      <c r="AN2299" s="14"/>
      <c r="AQ2299" s="0" t="s">
        <v>130</v>
      </c>
      <c r="AR2299" s="0" t="s">
        <v>130</v>
      </c>
      <c r="AS2299" s="0" t="s">
        <v>130</v>
      </c>
      <c r="AT2299" s="0" t="s">
        <v>130</v>
      </c>
      <c r="AU2299" s="0" t="s">
        <v>130</v>
      </c>
      <c r="AV2299" s="0" t="s">
        <v>130</v>
      </c>
      <c r="AW2299" s="0" t="s">
        <v>130</v>
      </c>
      <c r="AX2299" s="0" t="s">
        <v>141</v>
      </c>
      <c r="AY2299" s="0" t="s">
        <v>130</v>
      </c>
      <c r="AZ2299" s="0" t="s">
        <v>130</v>
      </c>
      <c r="BA2299" s="0" t="s">
        <v>130</v>
      </c>
      <c r="BB2299" s="0" t="s">
        <v>130</v>
      </c>
      <c r="BC2299" s="0" t="s">
        <v>130</v>
      </c>
      <c r="BD2299" s="0" t="s">
        <v>130</v>
      </c>
      <c r="BE2299" s="0" t="s">
        <v>130</v>
      </c>
      <c r="BF2299" s="0" t="s">
        <v>130</v>
      </c>
      <c r="BG2299" s="0" t="s">
        <v>130</v>
      </c>
      <c r="BH2299" s="0" t="s">
        <v>130</v>
      </c>
      <c r="BI2299" s="0" t="s">
        <v>130</v>
      </c>
      <c r="BJ2299" s="0" t="s">
        <v>130</v>
      </c>
      <c r="BK2299" s="0" t="s">
        <v>130</v>
      </c>
      <c r="BL2299" s="0" t="s">
        <v>130</v>
      </c>
      <c r="BM2299" s="0" t="s">
        <v>130</v>
      </c>
      <c r="BN2299" s="0" t="s">
        <v>130</v>
      </c>
      <c r="BO2299" s="0" t="s">
        <v>130</v>
      </c>
      <c r="BP2299" s="0" t="s">
        <v>130</v>
      </c>
      <c r="BQ2299" s="0" t="s">
        <v>130</v>
      </c>
      <c r="BR2299" s="0" t="s">
        <v>130</v>
      </c>
      <c r="BS2299" s="0" t="s">
        <v>130</v>
      </c>
      <c r="BT2299" s="0" t="s">
        <v>130</v>
      </c>
      <c r="BU2299" s="0" t="s">
        <v>130</v>
      </c>
      <c r="BV2299" s="0" t="s">
        <v>130</v>
      </c>
      <c r="BW2299" s="0" t="s">
        <v>130</v>
      </c>
      <c r="BX2299" s="0" t="s">
        <v>130</v>
      </c>
      <c r="BY2299" s="0" t="s">
        <v>130</v>
      </c>
      <c r="BZ2299" s="0" t="s">
        <v>130</v>
      </c>
      <c r="CA2299" s="0" t="s">
        <v>130</v>
      </c>
      <c r="CB2299" s="0" t="s">
        <v>130</v>
      </c>
      <c r="CC2299" s="0" t="s">
        <v>130</v>
      </c>
      <c r="CD2299" s="0" t="s">
        <v>130</v>
      </c>
      <c r="CE2299" s="0" t="s">
        <v>130</v>
      </c>
      <c r="CF2299" s="0" t="s">
        <v>130</v>
      </c>
      <c r="CG2299" s="0" t="s">
        <v>130</v>
      </c>
      <c r="CH2299" s="0" t="s">
        <v>130</v>
      </c>
      <c r="CI2299" s="0" t="s">
        <v>130</v>
      </c>
      <c r="CJ2299" s="0" t="s">
        <v>130</v>
      </c>
      <c r="CK2299" s="0" t="s">
        <v>130</v>
      </c>
      <c r="CL2299" s="0" t="s">
        <v>130</v>
      </c>
      <c r="CM2299" s="0" t="s">
        <v>130</v>
      </c>
      <c r="CN2299" s="0" t="s">
        <v>130</v>
      </c>
      <c r="CO2299" s="0" t="s">
        <v>130</v>
      </c>
      <c r="CP2299" s="0" t="s">
        <v>130</v>
      </c>
      <c r="CQ2299" s="0" t="s">
        <v>130</v>
      </c>
      <c r="CR2299" s="0" t="s">
        <v>130</v>
      </c>
      <c r="CS2299" s="0" t="s">
        <v>130</v>
      </c>
      <c r="CT2299" s="0" t="s">
        <v>6357</v>
      </c>
    </row>
    <row r="2300">
      <c r="A2300" s="14">
        <v>359172</v>
      </c>
      <c r="B2300" s="0" t="s">
        <v>3759</v>
      </c>
      <c r="C2300" s="16">
        <f>HYPERLINK("https://eosportal.federatedhermes.com/companies/Q29tcGFueQppNjY5NTc=", "Moody's Corp")</f>
      </c>
      <c r="D2300" s="0" t="s">
        <v>25</v>
      </c>
      <c r="E2300" s="0" t="s">
        <v>145</v>
      </c>
      <c r="F2300" s="16">
        <f>HYPERLINK("https://eosportal.federatedhermes.com/engagements/RW5nYWdlbWVudAppMzMyNDg=", "Governance")</f>
      </c>
      <c r="G2300" s="14" t="s">
        <v>6358</v>
      </c>
      <c r="H2300" s="0" t="s">
        <v>130</v>
      </c>
      <c r="I2300" s="14" t="s">
        <v>319</v>
      </c>
      <c r="J2300" s="0" t="s">
        <v>145</v>
      </c>
      <c r="K2300" s="0" t="s">
        <v>146</v>
      </c>
      <c r="L2300" s="0" t="s">
        <v>147</v>
      </c>
      <c r="M2300" s="0" t="s">
        <v>135</v>
      </c>
      <c r="N2300" s="0" t="s">
        <v>136</v>
      </c>
      <c r="O2300" s="0" t="s">
        <v>238</v>
      </c>
      <c r="Q2300" s="0" t="s">
        <v>130</v>
      </c>
      <c r="R2300" s="0" t="s">
        <v>138</v>
      </c>
      <c r="S2300" s="14">
        <v>0</v>
      </c>
      <c r="T2300" s="0" t="s">
        <v>360</v>
      </c>
      <c r="U2300" s="0" t="s">
        <v>138</v>
      </c>
      <c r="V2300" s="14" t="s">
        <v>138</v>
      </c>
      <c r="W2300" s="0" t="s">
        <v>138</v>
      </c>
      <c r="X2300" s="14" t="s">
        <v>138</v>
      </c>
      <c r="Y2300" s="0" t="s">
        <v>138</v>
      </c>
      <c r="Z2300" s="14" t="s">
        <v>138</v>
      </c>
      <c r="AA2300" s="0" t="s">
        <v>138</v>
      </c>
      <c r="AB2300" s="14" t="s">
        <v>138</v>
      </c>
      <c r="AD2300" s="0" t="s">
        <v>138</v>
      </c>
      <c r="AF2300" s="0">
        <v>0</v>
      </c>
      <c r="AG2300" s="0">
        <v>0</v>
      </c>
      <c r="AH2300" s="0" t="s">
        <v>140</v>
      </c>
      <c r="AI2300" s="0" t="s">
        <v>138</v>
      </c>
      <c r="AL2300" s="14"/>
      <c r="AN2300" s="14"/>
      <c r="AQ2300" s="0" t="s">
        <v>130</v>
      </c>
      <c r="AR2300" s="0" t="s">
        <v>130</v>
      </c>
      <c r="AS2300" s="0" t="s">
        <v>130</v>
      </c>
      <c r="AT2300" s="0" t="s">
        <v>130</v>
      </c>
      <c r="AU2300" s="0" t="s">
        <v>130</v>
      </c>
      <c r="AV2300" s="0" t="s">
        <v>130</v>
      </c>
      <c r="AW2300" s="0" t="s">
        <v>130</v>
      </c>
      <c r="AX2300" s="0" t="s">
        <v>130</v>
      </c>
      <c r="AY2300" s="0" t="s">
        <v>130</v>
      </c>
      <c r="AZ2300" s="0" t="s">
        <v>130</v>
      </c>
      <c r="BA2300" s="0" t="s">
        <v>130</v>
      </c>
      <c r="BB2300" s="0" t="s">
        <v>130</v>
      </c>
      <c r="BC2300" s="0" t="s">
        <v>130</v>
      </c>
      <c r="BD2300" s="0" t="s">
        <v>130</v>
      </c>
      <c r="BE2300" s="0" t="s">
        <v>130</v>
      </c>
      <c r="BF2300" s="0" t="s">
        <v>130</v>
      </c>
      <c r="BG2300" s="0" t="s">
        <v>130</v>
      </c>
      <c r="BH2300" s="0" t="s">
        <v>130</v>
      </c>
      <c r="BI2300" s="0" t="s">
        <v>130</v>
      </c>
      <c r="BJ2300" s="0" t="s">
        <v>130</v>
      </c>
      <c r="BK2300" s="0" t="s">
        <v>130</v>
      </c>
      <c r="BL2300" s="0" t="s">
        <v>130</v>
      </c>
      <c r="BM2300" s="0" t="s">
        <v>130</v>
      </c>
      <c r="BN2300" s="0" t="s">
        <v>130</v>
      </c>
      <c r="BO2300" s="0" t="s">
        <v>130</v>
      </c>
      <c r="BP2300" s="0" t="s">
        <v>130</v>
      </c>
      <c r="BQ2300" s="0" t="s">
        <v>130</v>
      </c>
      <c r="BR2300" s="0" t="s">
        <v>130</v>
      </c>
      <c r="BS2300" s="0" t="s">
        <v>130</v>
      </c>
      <c r="BT2300" s="0" t="s">
        <v>130</v>
      </c>
      <c r="BU2300" s="0" t="s">
        <v>130</v>
      </c>
      <c r="BV2300" s="0" t="s">
        <v>130</v>
      </c>
      <c r="BW2300" s="0" t="s">
        <v>130</v>
      </c>
      <c r="BX2300" s="0" t="s">
        <v>130</v>
      </c>
      <c r="BY2300" s="0" t="s">
        <v>130</v>
      </c>
      <c r="BZ2300" s="0" t="s">
        <v>130</v>
      </c>
      <c r="CA2300" s="0" t="s">
        <v>130</v>
      </c>
      <c r="CB2300" s="0" t="s">
        <v>130</v>
      </c>
      <c r="CC2300" s="0" t="s">
        <v>130</v>
      </c>
      <c r="CD2300" s="0" t="s">
        <v>130</v>
      </c>
      <c r="CE2300" s="0" t="s">
        <v>130</v>
      </c>
      <c r="CF2300" s="0" t="s">
        <v>130</v>
      </c>
      <c r="CG2300" s="0" t="s">
        <v>130</v>
      </c>
      <c r="CH2300" s="0" t="s">
        <v>130</v>
      </c>
      <c r="CI2300" s="0" t="s">
        <v>130</v>
      </c>
      <c r="CJ2300" s="0" t="s">
        <v>130</v>
      </c>
      <c r="CK2300" s="0" t="s">
        <v>130</v>
      </c>
      <c r="CL2300" s="0" t="s">
        <v>130</v>
      </c>
      <c r="CM2300" s="0" t="s">
        <v>130</v>
      </c>
      <c r="CN2300" s="0" t="s">
        <v>130</v>
      </c>
      <c r="CO2300" s="0" t="s">
        <v>130</v>
      </c>
      <c r="CP2300" s="0" t="s">
        <v>130</v>
      </c>
      <c r="CQ2300" s="0" t="s">
        <v>130</v>
      </c>
      <c r="CR2300" s="0" t="s">
        <v>130</v>
      </c>
      <c r="CS2300" s="0" t="s">
        <v>130</v>
      </c>
      <c r="CT2300" s="0" t="s">
        <v>6359</v>
      </c>
    </row>
    <row r="2301">
      <c r="A2301" s="14">
        <v>117621</v>
      </c>
      <c r="B2301" s="0" t="s">
        <v>2862</v>
      </c>
      <c r="C2301" s="16">
        <f>HYPERLINK("https://eosportal.federatedhermes.com/companies/Q29tcGFueQppNjc3Mzc=", "Hyundai Motor Co")</f>
      </c>
      <c r="D2301" s="0" t="s">
        <v>23</v>
      </c>
      <c r="E2301" s="0" t="s">
        <v>6360</v>
      </c>
      <c r="F2301" s="16">
        <f>HYPERLINK("https://eosportal.federatedhermes.com/engagements/RW5nYWdlbWVudAppMzMyNTE=", "Nomination of Additional Independent Director")</f>
      </c>
      <c r="G2301" s="14" t="s">
        <v>6361</v>
      </c>
      <c r="H2301" s="0" t="s">
        <v>141</v>
      </c>
      <c r="I2301" s="14" t="s">
        <v>191</v>
      </c>
      <c r="J2301" s="0" t="s">
        <v>145</v>
      </c>
      <c r="K2301" s="0" t="s">
        <v>164</v>
      </c>
      <c r="L2301" s="0" t="s">
        <v>165</v>
      </c>
      <c r="M2301" s="0" t="s">
        <v>802</v>
      </c>
      <c r="N2301" s="0" t="s">
        <v>2800</v>
      </c>
      <c r="O2301" s="0" t="s">
        <v>425</v>
      </c>
      <c r="Q2301" s="0" t="s">
        <v>130</v>
      </c>
      <c r="R2301" s="0" t="s">
        <v>130</v>
      </c>
      <c r="S2301" s="14">
        <v>0</v>
      </c>
      <c r="T2301" s="0" t="s">
        <v>360</v>
      </c>
      <c r="U2301" s="0" t="s">
        <v>221</v>
      </c>
      <c r="V2301" s="14" t="s">
        <v>360</v>
      </c>
      <c r="W2301" s="0" t="s">
        <v>221</v>
      </c>
      <c r="X2301" s="14" t="s">
        <v>3562</v>
      </c>
      <c r="Y2301" s="0" t="s">
        <v>223</v>
      </c>
      <c r="Z2301" s="14" t="s">
        <v>138</v>
      </c>
      <c r="AA2301" s="0" t="s">
        <v>224</v>
      </c>
      <c r="AB2301" s="14" t="s">
        <v>138</v>
      </c>
      <c r="AD2301" s="0" t="s">
        <v>17</v>
      </c>
      <c r="AF2301" s="0">
        <v>0</v>
      </c>
      <c r="AG2301" s="0">
        <v>0</v>
      </c>
      <c r="AH2301" s="0" t="s">
        <v>140</v>
      </c>
      <c r="AI2301" s="0" t="s">
        <v>598</v>
      </c>
      <c r="AL2301" s="14"/>
      <c r="AN2301" s="14"/>
      <c r="AQ2301" s="0" t="s">
        <v>130</v>
      </c>
      <c r="AR2301" s="0" t="s">
        <v>130</v>
      </c>
      <c r="AS2301" s="0" t="s">
        <v>130</v>
      </c>
      <c r="AT2301" s="0" t="s">
        <v>130</v>
      </c>
      <c r="AU2301" s="0" t="s">
        <v>130</v>
      </c>
      <c r="AV2301" s="0" t="s">
        <v>130</v>
      </c>
      <c r="AW2301" s="0" t="s">
        <v>130</v>
      </c>
      <c r="AX2301" s="0" t="s">
        <v>130</v>
      </c>
      <c r="AY2301" s="0" t="s">
        <v>130</v>
      </c>
      <c r="AZ2301" s="0" t="s">
        <v>130</v>
      </c>
      <c r="BA2301" s="0" t="s">
        <v>130</v>
      </c>
      <c r="BB2301" s="0" t="s">
        <v>130</v>
      </c>
      <c r="BC2301" s="0" t="s">
        <v>130</v>
      </c>
      <c r="BD2301" s="0" t="s">
        <v>130</v>
      </c>
      <c r="BE2301" s="0" t="s">
        <v>130</v>
      </c>
      <c r="BF2301" s="0" t="s">
        <v>130</v>
      </c>
      <c r="BG2301" s="0" t="s">
        <v>130</v>
      </c>
      <c r="BH2301" s="0" t="s">
        <v>130</v>
      </c>
      <c r="BI2301" s="0" t="s">
        <v>130</v>
      </c>
      <c r="BJ2301" s="0" t="s">
        <v>130</v>
      </c>
      <c r="BK2301" s="0" t="s">
        <v>130</v>
      </c>
      <c r="BL2301" s="0" t="s">
        <v>130</v>
      </c>
      <c r="BM2301" s="0" t="s">
        <v>130</v>
      </c>
      <c r="BN2301" s="0" t="s">
        <v>130</v>
      </c>
      <c r="BO2301" s="0" t="s">
        <v>130</v>
      </c>
      <c r="BP2301" s="0" t="s">
        <v>130</v>
      </c>
      <c r="BQ2301" s="0" t="s">
        <v>130</v>
      </c>
      <c r="BR2301" s="0" t="s">
        <v>130</v>
      </c>
      <c r="BS2301" s="0" t="s">
        <v>130</v>
      </c>
      <c r="BT2301" s="0" t="s">
        <v>130</v>
      </c>
      <c r="BU2301" s="0" t="s">
        <v>130</v>
      </c>
      <c r="BV2301" s="0" t="s">
        <v>130</v>
      </c>
      <c r="BW2301" s="0" t="s">
        <v>130</v>
      </c>
      <c r="BX2301" s="0" t="s">
        <v>130</v>
      </c>
      <c r="BY2301" s="0" t="s">
        <v>130</v>
      </c>
      <c r="BZ2301" s="0" t="s">
        <v>130</v>
      </c>
      <c r="CA2301" s="0" t="s">
        <v>130</v>
      </c>
      <c r="CB2301" s="0" t="s">
        <v>130</v>
      </c>
      <c r="CC2301" s="0" t="s">
        <v>130</v>
      </c>
      <c r="CD2301" s="0" t="s">
        <v>130</v>
      </c>
      <c r="CE2301" s="0" t="s">
        <v>130</v>
      </c>
      <c r="CF2301" s="0" t="s">
        <v>130</v>
      </c>
      <c r="CG2301" s="0" t="s">
        <v>130</v>
      </c>
      <c r="CH2301" s="0" t="s">
        <v>130</v>
      </c>
      <c r="CI2301" s="0" t="s">
        <v>130</v>
      </c>
      <c r="CJ2301" s="0" t="s">
        <v>130</v>
      </c>
      <c r="CK2301" s="0" t="s">
        <v>130</v>
      </c>
      <c r="CL2301" s="0" t="s">
        <v>130</v>
      </c>
      <c r="CM2301" s="0" t="s">
        <v>130</v>
      </c>
      <c r="CN2301" s="0" t="s">
        <v>130</v>
      </c>
      <c r="CO2301" s="0" t="s">
        <v>130</v>
      </c>
      <c r="CP2301" s="0" t="s">
        <v>130</v>
      </c>
      <c r="CQ2301" s="0" t="s">
        <v>130</v>
      </c>
      <c r="CR2301" s="0" t="s">
        <v>130</v>
      </c>
      <c r="CS2301" s="0" t="s">
        <v>130</v>
      </c>
      <c r="CT2301" s="0" t="s">
        <v>6362</v>
      </c>
    </row>
    <row r="2302">
      <c r="A2302" s="14">
        <v>101616</v>
      </c>
      <c r="B2302" s="0" t="s">
        <v>1818</v>
      </c>
      <c r="C2302" s="16">
        <f>HYPERLINK("https://eosportal.federatedhermes.com/companies/Q29tcGFueQppNjgxNjU=", "Walmart Inc")</f>
      </c>
      <c r="D2302" s="0" t="s">
        <v>23</v>
      </c>
      <c r="E2302" s="0" t="s">
        <v>6363</v>
      </c>
      <c r="F2302" s="16">
        <f>HYPERLINK("https://eosportal.federatedhermes.com/engagements/RW5nYWdlbWVudAppMzMyNTI=", "Employee Sentiment Reporting")</f>
      </c>
      <c r="G2302" s="14" t="s">
        <v>6364</v>
      </c>
      <c r="H2302" s="0" t="s">
        <v>141</v>
      </c>
      <c r="I2302" s="14" t="s">
        <v>191</v>
      </c>
      <c r="J2302" s="0" t="s">
        <v>153</v>
      </c>
      <c r="K2302" s="0" t="s">
        <v>154</v>
      </c>
      <c r="L2302" s="0" t="s">
        <v>306</v>
      </c>
      <c r="M2302" s="0" t="s">
        <v>135</v>
      </c>
      <c r="N2302" s="0" t="s">
        <v>136</v>
      </c>
      <c r="O2302" s="0" t="s">
        <v>643</v>
      </c>
      <c r="Q2302" s="0" t="s">
        <v>141</v>
      </c>
      <c r="R2302" s="0" t="s">
        <v>130</v>
      </c>
      <c r="S2302" s="14">
        <v>2</v>
      </c>
      <c r="T2302" s="0" t="s">
        <v>360</v>
      </c>
      <c r="U2302" s="0" t="s">
        <v>221</v>
      </c>
      <c r="V2302" s="14" t="s">
        <v>360</v>
      </c>
      <c r="W2302" s="0" t="s">
        <v>221</v>
      </c>
      <c r="X2302" s="14" t="s">
        <v>360</v>
      </c>
      <c r="Y2302" s="0" t="s">
        <v>223</v>
      </c>
      <c r="Z2302" s="14" t="s">
        <v>138</v>
      </c>
      <c r="AA2302" s="0" t="s">
        <v>224</v>
      </c>
      <c r="AB2302" s="14" t="s">
        <v>138</v>
      </c>
      <c r="AD2302" s="0" t="s">
        <v>17</v>
      </c>
      <c r="AF2302" s="0">
        <v>0</v>
      </c>
      <c r="AG2302" s="0">
        <v>0</v>
      </c>
      <c r="AH2302" s="0" t="s">
        <v>140</v>
      </c>
      <c r="AI2302" s="0" t="s">
        <v>598</v>
      </c>
      <c r="AK2302" s="0" t="s">
        <v>1853</v>
      </c>
      <c r="AL2302" s="14"/>
      <c r="AN2302" s="14"/>
      <c r="AQ2302" s="0" t="s">
        <v>130</v>
      </c>
      <c r="AR2302" s="0" t="s">
        <v>130</v>
      </c>
      <c r="AS2302" s="0" t="s">
        <v>130</v>
      </c>
      <c r="AT2302" s="0" t="s">
        <v>130</v>
      </c>
      <c r="AU2302" s="0" t="s">
        <v>130</v>
      </c>
      <c r="AV2302" s="0" t="s">
        <v>130</v>
      </c>
      <c r="AW2302" s="0" t="s">
        <v>130</v>
      </c>
      <c r="AX2302" s="0" t="s">
        <v>141</v>
      </c>
      <c r="AY2302" s="0" t="s">
        <v>130</v>
      </c>
      <c r="AZ2302" s="0" t="s">
        <v>141</v>
      </c>
      <c r="BA2302" s="0" t="s">
        <v>130</v>
      </c>
      <c r="BB2302" s="0" t="s">
        <v>130</v>
      </c>
      <c r="BC2302" s="0" t="s">
        <v>130</v>
      </c>
      <c r="BD2302" s="0" t="s">
        <v>130</v>
      </c>
      <c r="BE2302" s="0" t="s">
        <v>130</v>
      </c>
      <c r="BF2302" s="0" t="s">
        <v>130</v>
      </c>
      <c r="BG2302" s="0" t="s">
        <v>130</v>
      </c>
      <c r="BH2302" s="0" t="s">
        <v>130</v>
      </c>
      <c r="BI2302" s="0" t="s">
        <v>130</v>
      </c>
      <c r="BJ2302" s="0" t="s">
        <v>130</v>
      </c>
      <c r="BK2302" s="0" t="s">
        <v>130</v>
      </c>
      <c r="BL2302" s="0" t="s">
        <v>130</v>
      </c>
      <c r="BM2302" s="0" t="s">
        <v>130</v>
      </c>
      <c r="BN2302" s="0" t="s">
        <v>130</v>
      </c>
      <c r="BO2302" s="0" t="s">
        <v>130</v>
      </c>
      <c r="BP2302" s="0" t="s">
        <v>130</v>
      </c>
      <c r="BQ2302" s="0" t="s">
        <v>130</v>
      </c>
      <c r="BR2302" s="0" t="s">
        <v>130</v>
      </c>
      <c r="BS2302" s="0" t="s">
        <v>130</v>
      </c>
      <c r="BT2302" s="0" t="s">
        <v>130</v>
      </c>
      <c r="BU2302" s="0" t="s">
        <v>130</v>
      </c>
      <c r="BV2302" s="0" t="s">
        <v>130</v>
      </c>
      <c r="BW2302" s="0" t="s">
        <v>130</v>
      </c>
      <c r="BX2302" s="0" t="s">
        <v>130</v>
      </c>
      <c r="BY2302" s="0" t="s">
        <v>130</v>
      </c>
      <c r="BZ2302" s="0" t="s">
        <v>130</v>
      </c>
      <c r="CA2302" s="0" t="s">
        <v>130</v>
      </c>
      <c r="CB2302" s="0" t="s">
        <v>130</v>
      </c>
      <c r="CC2302" s="0" t="s">
        <v>130</v>
      </c>
      <c r="CD2302" s="0" t="s">
        <v>130</v>
      </c>
      <c r="CE2302" s="0" t="s">
        <v>130</v>
      </c>
      <c r="CF2302" s="0" t="s">
        <v>130</v>
      </c>
      <c r="CG2302" s="0" t="s">
        <v>130</v>
      </c>
      <c r="CH2302" s="0" t="s">
        <v>130</v>
      </c>
      <c r="CI2302" s="0" t="s">
        <v>130</v>
      </c>
      <c r="CJ2302" s="0" t="s">
        <v>130</v>
      </c>
      <c r="CK2302" s="0" t="s">
        <v>130</v>
      </c>
      <c r="CL2302" s="0" t="s">
        <v>130</v>
      </c>
      <c r="CM2302" s="0" t="s">
        <v>130</v>
      </c>
      <c r="CN2302" s="0" t="s">
        <v>130</v>
      </c>
      <c r="CO2302" s="0" t="s">
        <v>130</v>
      </c>
      <c r="CP2302" s="0" t="s">
        <v>130</v>
      </c>
      <c r="CQ2302" s="0" t="s">
        <v>130</v>
      </c>
      <c r="CR2302" s="0" t="s">
        <v>130</v>
      </c>
      <c r="CS2302" s="0" t="s">
        <v>130</v>
      </c>
      <c r="CT2302" s="0" t="s">
        <v>6365</v>
      </c>
    </row>
    <row r="2303">
      <c r="A2303" s="14">
        <v>101616</v>
      </c>
      <c r="B2303" s="0" t="s">
        <v>1818</v>
      </c>
      <c r="C2303" s="16">
        <f>HYPERLINK("https://eosportal.federatedhermes.com/companies/Q29tcGFueQppNjgxNjU=", "Walmart Inc")</f>
      </c>
      <c r="D2303" s="0" t="s">
        <v>25</v>
      </c>
      <c r="E2303" s="0" t="s">
        <v>574</v>
      </c>
      <c r="F2303" s="16">
        <f>HYPERLINK("https://eosportal.federatedhermes.com/engagements/RW5nYWdlbWVudAppMzMyNTM=", "Biodiversity")</f>
      </c>
      <c r="G2303" s="14" t="s">
        <v>6366</v>
      </c>
      <c r="H2303" s="0" t="s">
        <v>141</v>
      </c>
      <c r="I2303" s="14" t="s">
        <v>191</v>
      </c>
      <c r="J2303" s="0" t="s">
        <v>197</v>
      </c>
      <c r="K2303" s="0" t="s">
        <v>337</v>
      </c>
      <c r="L2303" s="0" t="s">
        <v>576</v>
      </c>
      <c r="M2303" s="0" t="s">
        <v>135</v>
      </c>
      <c r="N2303" s="0" t="s">
        <v>136</v>
      </c>
      <c r="O2303" s="0" t="s">
        <v>643</v>
      </c>
      <c r="Q2303" s="0" t="s">
        <v>130</v>
      </c>
      <c r="R2303" s="0" t="s">
        <v>138</v>
      </c>
      <c r="S2303" s="14">
        <v>0</v>
      </c>
      <c r="T2303" s="0" t="s">
        <v>360</v>
      </c>
      <c r="U2303" s="0" t="s">
        <v>138</v>
      </c>
      <c r="V2303" s="14" t="s">
        <v>138</v>
      </c>
      <c r="W2303" s="0" t="s">
        <v>138</v>
      </c>
      <c r="X2303" s="14" t="s">
        <v>138</v>
      </c>
      <c r="Y2303" s="0" t="s">
        <v>138</v>
      </c>
      <c r="Z2303" s="14" t="s">
        <v>138</v>
      </c>
      <c r="AA2303" s="0" t="s">
        <v>138</v>
      </c>
      <c r="AB2303" s="14" t="s">
        <v>138</v>
      </c>
      <c r="AD2303" s="0" t="s">
        <v>138</v>
      </c>
      <c r="AF2303" s="0">
        <v>0</v>
      </c>
      <c r="AG2303" s="0">
        <v>0</v>
      </c>
      <c r="AH2303" s="0" t="s">
        <v>140</v>
      </c>
      <c r="AI2303" s="0" t="s">
        <v>138</v>
      </c>
      <c r="AL2303" s="14"/>
      <c r="AN2303" s="14"/>
      <c r="AQ2303" s="0" t="s">
        <v>130</v>
      </c>
      <c r="AR2303" s="0" t="s">
        <v>141</v>
      </c>
      <c r="AS2303" s="0" t="s">
        <v>130</v>
      </c>
      <c r="AT2303" s="0" t="s">
        <v>130</v>
      </c>
      <c r="AU2303" s="0" t="s">
        <v>130</v>
      </c>
      <c r="AV2303" s="0" t="s">
        <v>141</v>
      </c>
      <c r="AW2303" s="0" t="s">
        <v>130</v>
      </c>
      <c r="AX2303" s="0" t="s">
        <v>130</v>
      </c>
      <c r="AY2303" s="0" t="s">
        <v>130</v>
      </c>
      <c r="AZ2303" s="0" t="s">
        <v>130</v>
      </c>
      <c r="BA2303" s="0" t="s">
        <v>141</v>
      </c>
      <c r="BB2303" s="0" t="s">
        <v>141</v>
      </c>
      <c r="BC2303" s="0" t="s">
        <v>130</v>
      </c>
      <c r="BD2303" s="0" t="s">
        <v>141</v>
      </c>
      <c r="BE2303" s="0" t="s">
        <v>141</v>
      </c>
      <c r="BF2303" s="0" t="s">
        <v>130</v>
      </c>
      <c r="BG2303" s="0" t="s">
        <v>130</v>
      </c>
      <c r="BH2303" s="0" t="s">
        <v>130</v>
      </c>
      <c r="BI2303" s="0" t="s">
        <v>130</v>
      </c>
      <c r="BJ2303" s="0" t="s">
        <v>130</v>
      </c>
      <c r="BK2303" s="0" t="s">
        <v>130</v>
      </c>
      <c r="BL2303" s="0" t="s">
        <v>130</v>
      </c>
      <c r="BM2303" s="0" t="s">
        <v>130</v>
      </c>
      <c r="BN2303" s="0" t="s">
        <v>130</v>
      </c>
      <c r="BO2303" s="0" t="s">
        <v>130</v>
      </c>
      <c r="BP2303" s="0" t="s">
        <v>130</v>
      </c>
      <c r="BQ2303" s="0" t="s">
        <v>130</v>
      </c>
      <c r="BR2303" s="0" t="s">
        <v>130</v>
      </c>
      <c r="BS2303" s="0" t="s">
        <v>130</v>
      </c>
      <c r="BT2303" s="0" t="s">
        <v>130</v>
      </c>
      <c r="BU2303" s="0" t="s">
        <v>130</v>
      </c>
      <c r="BV2303" s="0" t="s">
        <v>130</v>
      </c>
      <c r="BW2303" s="0" t="s">
        <v>130</v>
      </c>
      <c r="BX2303" s="0" t="s">
        <v>130</v>
      </c>
      <c r="BY2303" s="0" t="s">
        <v>130</v>
      </c>
      <c r="BZ2303" s="0" t="s">
        <v>130</v>
      </c>
      <c r="CA2303" s="0" t="s">
        <v>130</v>
      </c>
      <c r="CB2303" s="0" t="s">
        <v>130</v>
      </c>
      <c r="CC2303" s="0" t="s">
        <v>130</v>
      </c>
      <c r="CD2303" s="0" t="s">
        <v>130</v>
      </c>
      <c r="CE2303" s="0" t="s">
        <v>130</v>
      </c>
      <c r="CF2303" s="0" t="s">
        <v>130</v>
      </c>
      <c r="CG2303" s="0" t="s">
        <v>130</v>
      </c>
      <c r="CH2303" s="0" t="s">
        <v>130</v>
      </c>
      <c r="CI2303" s="0" t="s">
        <v>130</v>
      </c>
      <c r="CJ2303" s="0" t="s">
        <v>130</v>
      </c>
      <c r="CK2303" s="0" t="s">
        <v>130</v>
      </c>
      <c r="CL2303" s="0" t="s">
        <v>130</v>
      </c>
      <c r="CM2303" s="0" t="s">
        <v>130</v>
      </c>
      <c r="CN2303" s="0" t="s">
        <v>130</v>
      </c>
      <c r="CO2303" s="0" t="s">
        <v>130</v>
      </c>
      <c r="CP2303" s="0" t="s">
        <v>130</v>
      </c>
      <c r="CQ2303" s="0" t="s">
        <v>130</v>
      </c>
      <c r="CR2303" s="0" t="s">
        <v>130</v>
      </c>
      <c r="CS2303" s="0" t="s">
        <v>130</v>
      </c>
      <c r="CT2303" s="0" t="s">
        <v>6367</v>
      </c>
    </row>
    <row r="2304">
      <c r="A2304" s="14">
        <v>108620</v>
      </c>
      <c r="B2304" s="0" t="s">
        <v>2194</v>
      </c>
      <c r="C2304" s="16">
        <f>HYPERLINK("https://eosportal.federatedhermes.com/companies/Q29tcGFueQppNzU3MjE=", "Canadian Imperial Bank of Commerce")</f>
      </c>
      <c r="D2304" s="0" t="s">
        <v>25</v>
      </c>
      <c r="E2304" s="0" t="s">
        <v>6368</v>
      </c>
      <c r="F2304" s="16">
        <f>HYPERLINK("https://eosportal.federatedhermes.com/engagements/RW5nYWdlbWVudAppMzMyNTg=", "Nature and biodiversity")</f>
      </c>
      <c r="G2304" s="14" t="s">
        <v>6369</v>
      </c>
      <c r="H2304" s="0" t="s">
        <v>141</v>
      </c>
      <c r="I2304" s="14" t="s">
        <v>191</v>
      </c>
      <c r="J2304" s="0" t="s">
        <v>197</v>
      </c>
      <c r="K2304" s="0" t="s">
        <v>337</v>
      </c>
      <c r="L2304" s="0" t="s">
        <v>576</v>
      </c>
      <c r="M2304" s="0" t="s">
        <v>135</v>
      </c>
      <c r="N2304" s="0" t="s">
        <v>1678</v>
      </c>
      <c r="O2304" s="0" t="s">
        <v>238</v>
      </c>
      <c r="Q2304" s="0" t="s">
        <v>130</v>
      </c>
      <c r="R2304" s="0" t="s">
        <v>138</v>
      </c>
      <c r="S2304" s="14">
        <v>0</v>
      </c>
      <c r="T2304" s="0" t="s">
        <v>360</v>
      </c>
      <c r="U2304" s="0" t="s">
        <v>138</v>
      </c>
      <c r="V2304" s="14" t="s">
        <v>138</v>
      </c>
      <c r="W2304" s="0" t="s">
        <v>138</v>
      </c>
      <c r="X2304" s="14" t="s">
        <v>138</v>
      </c>
      <c r="Y2304" s="0" t="s">
        <v>138</v>
      </c>
      <c r="Z2304" s="14" t="s">
        <v>138</v>
      </c>
      <c r="AA2304" s="0" t="s">
        <v>138</v>
      </c>
      <c r="AB2304" s="14" t="s">
        <v>138</v>
      </c>
      <c r="AD2304" s="0" t="s">
        <v>138</v>
      </c>
      <c r="AF2304" s="0">
        <v>0</v>
      </c>
      <c r="AG2304" s="0">
        <v>0</v>
      </c>
      <c r="AH2304" s="0" t="s">
        <v>140</v>
      </c>
      <c r="AI2304" s="0" t="s">
        <v>138</v>
      </c>
      <c r="AL2304" s="14"/>
      <c r="AN2304" s="14"/>
      <c r="AQ2304" s="0" t="s">
        <v>130</v>
      </c>
      <c r="AR2304" s="0" t="s">
        <v>141</v>
      </c>
      <c r="AS2304" s="0" t="s">
        <v>130</v>
      </c>
      <c r="AT2304" s="0" t="s">
        <v>130</v>
      </c>
      <c r="AU2304" s="0" t="s">
        <v>130</v>
      </c>
      <c r="AV2304" s="0" t="s">
        <v>141</v>
      </c>
      <c r="AW2304" s="0" t="s">
        <v>130</v>
      </c>
      <c r="AX2304" s="0" t="s">
        <v>130</v>
      </c>
      <c r="AY2304" s="0" t="s">
        <v>130</v>
      </c>
      <c r="AZ2304" s="0" t="s">
        <v>130</v>
      </c>
      <c r="BA2304" s="0" t="s">
        <v>141</v>
      </c>
      <c r="BB2304" s="0" t="s">
        <v>141</v>
      </c>
      <c r="BC2304" s="0" t="s">
        <v>130</v>
      </c>
      <c r="BD2304" s="0" t="s">
        <v>141</v>
      </c>
      <c r="BE2304" s="0" t="s">
        <v>141</v>
      </c>
      <c r="BF2304" s="0" t="s">
        <v>130</v>
      </c>
      <c r="BG2304" s="0" t="s">
        <v>130</v>
      </c>
      <c r="BH2304" s="0" t="s">
        <v>130</v>
      </c>
      <c r="BI2304" s="0" t="s">
        <v>130</v>
      </c>
      <c r="BJ2304" s="0" t="s">
        <v>130</v>
      </c>
      <c r="BK2304" s="0" t="s">
        <v>130</v>
      </c>
      <c r="BL2304" s="0" t="s">
        <v>130</v>
      </c>
      <c r="BM2304" s="0" t="s">
        <v>130</v>
      </c>
      <c r="BN2304" s="0" t="s">
        <v>130</v>
      </c>
      <c r="BO2304" s="0" t="s">
        <v>130</v>
      </c>
      <c r="BP2304" s="0" t="s">
        <v>130</v>
      </c>
      <c r="BQ2304" s="0" t="s">
        <v>130</v>
      </c>
      <c r="BR2304" s="0" t="s">
        <v>130</v>
      </c>
      <c r="BS2304" s="0" t="s">
        <v>130</v>
      </c>
      <c r="BT2304" s="0" t="s">
        <v>130</v>
      </c>
      <c r="BU2304" s="0" t="s">
        <v>130</v>
      </c>
      <c r="BV2304" s="0" t="s">
        <v>130</v>
      </c>
      <c r="BW2304" s="0" t="s">
        <v>130</v>
      </c>
      <c r="BX2304" s="0" t="s">
        <v>130</v>
      </c>
      <c r="BY2304" s="0" t="s">
        <v>130</v>
      </c>
      <c r="BZ2304" s="0" t="s">
        <v>130</v>
      </c>
      <c r="CA2304" s="0" t="s">
        <v>130</v>
      </c>
      <c r="CB2304" s="0" t="s">
        <v>130</v>
      </c>
      <c r="CC2304" s="0" t="s">
        <v>130</v>
      </c>
      <c r="CD2304" s="0" t="s">
        <v>130</v>
      </c>
      <c r="CE2304" s="0" t="s">
        <v>130</v>
      </c>
      <c r="CF2304" s="0" t="s">
        <v>130</v>
      </c>
      <c r="CG2304" s="0" t="s">
        <v>130</v>
      </c>
      <c r="CH2304" s="0" t="s">
        <v>130</v>
      </c>
      <c r="CI2304" s="0" t="s">
        <v>130</v>
      </c>
      <c r="CJ2304" s="0" t="s">
        <v>130</v>
      </c>
      <c r="CK2304" s="0" t="s">
        <v>130</v>
      </c>
      <c r="CL2304" s="0" t="s">
        <v>130</v>
      </c>
      <c r="CM2304" s="0" t="s">
        <v>130</v>
      </c>
      <c r="CN2304" s="0" t="s">
        <v>130</v>
      </c>
      <c r="CO2304" s="0" t="s">
        <v>130</v>
      </c>
      <c r="CP2304" s="0" t="s">
        <v>130</v>
      </c>
      <c r="CQ2304" s="0" t="s">
        <v>130</v>
      </c>
      <c r="CR2304" s="0" t="s">
        <v>130</v>
      </c>
      <c r="CS2304" s="0" t="s">
        <v>130</v>
      </c>
      <c r="CT2304" s="0" t="s">
        <v>6370</v>
      </c>
    </row>
    <row r="2305">
      <c r="A2305" s="14">
        <v>108620</v>
      </c>
      <c r="B2305" s="0" t="s">
        <v>2194</v>
      </c>
      <c r="C2305" s="16">
        <f>HYPERLINK("https://eosportal.federatedhermes.com/companies/Q29tcGFueQppNzU3MjE=", "Canadian Imperial Bank of Commerce")</f>
      </c>
      <c r="D2305" s="0" t="s">
        <v>25</v>
      </c>
      <c r="E2305" s="0" t="s">
        <v>6371</v>
      </c>
      <c r="F2305" s="16">
        <f>HYPERLINK("https://eosportal.federatedhermes.com/engagements/RW5nYWdlbWVudAppMzMyNTk=", "Climate change - methane")</f>
      </c>
      <c r="G2305" s="14" t="s">
        <v>6372</v>
      </c>
      <c r="H2305" s="0" t="s">
        <v>141</v>
      </c>
      <c r="I2305" s="14" t="s">
        <v>191</v>
      </c>
      <c r="J2305" s="0" t="s">
        <v>197</v>
      </c>
      <c r="K2305" s="0" t="s">
        <v>198</v>
      </c>
      <c r="L2305" s="0" t="s">
        <v>216</v>
      </c>
      <c r="M2305" s="0" t="s">
        <v>135</v>
      </c>
      <c r="N2305" s="0" t="s">
        <v>1678</v>
      </c>
      <c r="O2305" s="0" t="s">
        <v>238</v>
      </c>
      <c r="Q2305" s="0" t="s">
        <v>130</v>
      </c>
      <c r="R2305" s="0" t="s">
        <v>138</v>
      </c>
      <c r="S2305" s="14">
        <v>0</v>
      </c>
      <c r="T2305" s="0" t="s">
        <v>360</v>
      </c>
      <c r="U2305" s="0" t="s">
        <v>138</v>
      </c>
      <c r="V2305" s="14" t="s">
        <v>138</v>
      </c>
      <c r="W2305" s="0" t="s">
        <v>138</v>
      </c>
      <c r="X2305" s="14" t="s">
        <v>138</v>
      </c>
      <c r="Y2305" s="0" t="s">
        <v>138</v>
      </c>
      <c r="Z2305" s="14" t="s">
        <v>138</v>
      </c>
      <c r="AA2305" s="0" t="s">
        <v>138</v>
      </c>
      <c r="AB2305" s="14" t="s">
        <v>138</v>
      </c>
      <c r="AD2305" s="0" t="s">
        <v>138</v>
      </c>
      <c r="AF2305" s="0">
        <v>0</v>
      </c>
      <c r="AG2305" s="0">
        <v>0</v>
      </c>
      <c r="AH2305" s="0" t="s">
        <v>140</v>
      </c>
      <c r="AI2305" s="0" t="s">
        <v>138</v>
      </c>
      <c r="AL2305" s="14"/>
      <c r="AN2305" s="14"/>
      <c r="AQ2305" s="0" t="s">
        <v>130</v>
      </c>
      <c r="AR2305" s="0" t="s">
        <v>130</v>
      </c>
      <c r="AS2305" s="0" t="s">
        <v>130</v>
      </c>
      <c r="AT2305" s="0" t="s">
        <v>130</v>
      </c>
      <c r="AU2305" s="0" t="s">
        <v>130</v>
      </c>
      <c r="AV2305" s="0" t="s">
        <v>130</v>
      </c>
      <c r="AW2305" s="0" t="s">
        <v>141</v>
      </c>
      <c r="AX2305" s="0" t="s">
        <v>130</v>
      </c>
      <c r="AY2305" s="0" t="s">
        <v>130</v>
      </c>
      <c r="AZ2305" s="0" t="s">
        <v>130</v>
      </c>
      <c r="BA2305" s="0" t="s">
        <v>130</v>
      </c>
      <c r="BB2305" s="0" t="s">
        <v>130</v>
      </c>
      <c r="BC2305" s="0" t="s">
        <v>141</v>
      </c>
      <c r="BD2305" s="0" t="s">
        <v>130</v>
      </c>
      <c r="BE2305" s="0" t="s">
        <v>130</v>
      </c>
      <c r="BF2305" s="0" t="s">
        <v>130</v>
      </c>
      <c r="BG2305" s="0" t="s">
        <v>130</v>
      </c>
      <c r="BH2305" s="0" t="s">
        <v>141</v>
      </c>
      <c r="BI2305" s="0" t="s">
        <v>141</v>
      </c>
      <c r="BJ2305" s="0" t="s">
        <v>141</v>
      </c>
      <c r="BK2305" s="0" t="s">
        <v>130</v>
      </c>
      <c r="BL2305" s="0" t="s">
        <v>130</v>
      </c>
      <c r="BM2305" s="0" t="s">
        <v>130</v>
      </c>
      <c r="BN2305" s="0" t="s">
        <v>130</v>
      </c>
      <c r="BO2305" s="0" t="s">
        <v>130</v>
      </c>
      <c r="BP2305" s="0" t="s">
        <v>130</v>
      </c>
      <c r="BQ2305" s="0" t="s">
        <v>130</v>
      </c>
      <c r="BR2305" s="0" t="s">
        <v>130</v>
      </c>
      <c r="BS2305" s="0" t="s">
        <v>130</v>
      </c>
      <c r="BT2305" s="0" t="s">
        <v>130</v>
      </c>
      <c r="BU2305" s="0" t="s">
        <v>130</v>
      </c>
      <c r="BV2305" s="0" t="s">
        <v>141</v>
      </c>
      <c r="BW2305" s="0" t="s">
        <v>141</v>
      </c>
      <c r="BX2305" s="0" t="s">
        <v>130</v>
      </c>
      <c r="BY2305" s="0" t="s">
        <v>130</v>
      </c>
      <c r="BZ2305" s="0" t="s">
        <v>130</v>
      </c>
      <c r="CA2305" s="0" t="s">
        <v>130</v>
      </c>
      <c r="CB2305" s="0" t="s">
        <v>130</v>
      </c>
      <c r="CC2305" s="0" t="s">
        <v>130</v>
      </c>
      <c r="CD2305" s="0" t="s">
        <v>130</v>
      </c>
      <c r="CE2305" s="0" t="s">
        <v>130</v>
      </c>
      <c r="CF2305" s="0" t="s">
        <v>130</v>
      </c>
      <c r="CG2305" s="0" t="s">
        <v>130</v>
      </c>
      <c r="CH2305" s="0" t="s">
        <v>130</v>
      </c>
      <c r="CI2305" s="0" t="s">
        <v>130</v>
      </c>
      <c r="CJ2305" s="0" t="s">
        <v>130</v>
      </c>
      <c r="CK2305" s="0" t="s">
        <v>130</v>
      </c>
      <c r="CL2305" s="0" t="s">
        <v>130</v>
      </c>
      <c r="CM2305" s="0" t="s">
        <v>130</v>
      </c>
      <c r="CN2305" s="0" t="s">
        <v>130</v>
      </c>
      <c r="CO2305" s="0" t="s">
        <v>130</v>
      </c>
      <c r="CP2305" s="0" t="s">
        <v>130</v>
      </c>
      <c r="CQ2305" s="0" t="s">
        <v>130</v>
      </c>
      <c r="CR2305" s="0" t="s">
        <v>130</v>
      </c>
      <c r="CS2305" s="0" t="s">
        <v>130</v>
      </c>
      <c r="CT2305" s="0" t="s">
        <v>6373</v>
      </c>
    </row>
    <row r="2306">
      <c r="A2306" s="14">
        <v>8432931</v>
      </c>
      <c r="B2306" s="0" t="s">
        <v>3905</v>
      </c>
      <c r="C2306" s="16">
        <f>HYPERLINK("https://eosportal.federatedhermes.com/companies/Q29tcGFueQppODY0ODE=", "Northern Star Resources Ltd")</f>
      </c>
      <c r="D2306" s="0" t="s">
        <v>25</v>
      </c>
      <c r="E2306" s="0" t="s">
        <v>317</v>
      </c>
      <c r="F2306" s="16">
        <f>HYPERLINK("https://eosportal.federatedhermes.com/engagements/RW5nYWdlbWVudAppMzMyNjA=", "Remuneration policy")</f>
      </c>
      <c r="G2306" s="14" t="s">
        <v>6374</v>
      </c>
      <c r="H2306" s="0" t="s">
        <v>130</v>
      </c>
      <c r="I2306" s="14" t="s">
        <v>319</v>
      </c>
      <c r="J2306" s="0" t="s">
        <v>145</v>
      </c>
      <c r="K2306" s="0" t="s">
        <v>146</v>
      </c>
      <c r="L2306" s="0" t="s">
        <v>147</v>
      </c>
      <c r="M2306" s="0" t="s">
        <v>371</v>
      </c>
      <c r="N2306" s="0" t="s">
        <v>372</v>
      </c>
      <c r="O2306" s="0" t="s">
        <v>373</v>
      </c>
      <c r="Q2306" s="0" t="s">
        <v>141</v>
      </c>
      <c r="R2306" s="0" t="s">
        <v>138</v>
      </c>
      <c r="S2306" s="14">
        <v>1</v>
      </c>
      <c r="T2306" s="0" t="s">
        <v>360</v>
      </c>
      <c r="U2306" s="0" t="s">
        <v>138</v>
      </c>
      <c r="V2306" s="14" t="s">
        <v>138</v>
      </c>
      <c r="W2306" s="0" t="s">
        <v>138</v>
      </c>
      <c r="X2306" s="14" t="s">
        <v>138</v>
      </c>
      <c r="Y2306" s="0" t="s">
        <v>138</v>
      </c>
      <c r="Z2306" s="14" t="s">
        <v>138</v>
      </c>
      <c r="AA2306" s="0" t="s">
        <v>138</v>
      </c>
      <c r="AB2306" s="14" t="s">
        <v>138</v>
      </c>
      <c r="AD2306" s="0" t="s">
        <v>138</v>
      </c>
      <c r="AF2306" s="0">
        <v>0</v>
      </c>
      <c r="AG2306" s="0">
        <v>0</v>
      </c>
      <c r="AH2306" s="0" t="s">
        <v>140</v>
      </c>
      <c r="AI2306" s="0" t="s">
        <v>138</v>
      </c>
      <c r="AK2306" s="0" t="s">
        <v>6375</v>
      </c>
      <c r="AL2306" s="14"/>
      <c r="AN2306" s="14"/>
      <c r="AQ2306" s="0" t="s">
        <v>130</v>
      </c>
      <c r="AR2306" s="0" t="s">
        <v>130</v>
      </c>
      <c r="AS2306" s="0" t="s">
        <v>130</v>
      </c>
      <c r="AT2306" s="0" t="s">
        <v>130</v>
      </c>
      <c r="AU2306" s="0" t="s">
        <v>130</v>
      </c>
      <c r="AV2306" s="0" t="s">
        <v>130</v>
      </c>
      <c r="AW2306" s="0" t="s">
        <v>130</v>
      </c>
      <c r="AX2306" s="0" t="s">
        <v>130</v>
      </c>
      <c r="AY2306" s="0" t="s">
        <v>130</v>
      </c>
      <c r="AZ2306" s="0" t="s">
        <v>130</v>
      </c>
      <c r="BA2306" s="0" t="s">
        <v>130</v>
      </c>
      <c r="BB2306" s="0" t="s">
        <v>130</v>
      </c>
      <c r="BC2306" s="0" t="s">
        <v>130</v>
      </c>
      <c r="BD2306" s="0" t="s">
        <v>130</v>
      </c>
      <c r="BE2306" s="0" t="s">
        <v>130</v>
      </c>
      <c r="BF2306" s="0" t="s">
        <v>130</v>
      </c>
      <c r="BG2306" s="0" t="s">
        <v>130</v>
      </c>
      <c r="BH2306" s="0" t="s">
        <v>130</v>
      </c>
      <c r="BI2306" s="0" t="s">
        <v>130</v>
      </c>
      <c r="BJ2306" s="0" t="s">
        <v>130</v>
      </c>
      <c r="BK2306" s="0" t="s">
        <v>130</v>
      </c>
      <c r="BL2306" s="0" t="s">
        <v>130</v>
      </c>
      <c r="BM2306" s="0" t="s">
        <v>130</v>
      </c>
      <c r="BN2306" s="0" t="s">
        <v>130</v>
      </c>
      <c r="BO2306" s="0" t="s">
        <v>130</v>
      </c>
      <c r="BP2306" s="0" t="s">
        <v>130</v>
      </c>
      <c r="BQ2306" s="0" t="s">
        <v>130</v>
      </c>
      <c r="BR2306" s="0" t="s">
        <v>130</v>
      </c>
      <c r="BS2306" s="0" t="s">
        <v>130</v>
      </c>
      <c r="BT2306" s="0" t="s">
        <v>130</v>
      </c>
      <c r="BU2306" s="0" t="s">
        <v>130</v>
      </c>
      <c r="BV2306" s="0" t="s">
        <v>130</v>
      </c>
      <c r="BW2306" s="0" t="s">
        <v>130</v>
      </c>
      <c r="BX2306" s="0" t="s">
        <v>130</v>
      </c>
      <c r="BY2306" s="0" t="s">
        <v>130</v>
      </c>
      <c r="BZ2306" s="0" t="s">
        <v>130</v>
      </c>
      <c r="CA2306" s="0" t="s">
        <v>130</v>
      </c>
      <c r="CB2306" s="0" t="s">
        <v>130</v>
      </c>
      <c r="CC2306" s="0" t="s">
        <v>130</v>
      </c>
      <c r="CD2306" s="0" t="s">
        <v>130</v>
      </c>
      <c r="CE2306" s="0" t="s">
        <v>130</v>
      </c>
      <c r="CF2306" s="0" t="s">
        <v>130</v>
      </c>
      <c r="CG2306" s="0" t="s">
        <v>130</v>
      </c>
      <c r="CH2306" s="0" t="s">
        <v>130</v>
      </c>
      <c r="CI2306" s="0" t="s">
        <v>130</v>
      </c>
      <c r="CJ2306" s="0" t="s">
        <v>130</v>
      </c>
      <c r="CK2306" s="0" t="s">
        <v>130</v>
      </c>
      <c r="CL2306" s="0" t="s">
        <v>130</v>
      </c>
      <c r="CM2306" s="0" t="s">
        <v>130</v>
      </c>
      <c r="CN2306" s="0" t="s">
        <v>130</v>
      </c>
      <c r="CO2306" s="0" t="s">
        <v>130</v>
      </c>
      <c r="CP2306" s="0" t="s">
        <v>130</v>
      </c>
      <c r="CQ2306" s="0" t="s">
        <v>130</v>
      </c>
      <c r="CR2306" s="0" t="s">
        <v>130</v>
      </c>
      <c r="CS2306" s="0" t="s">
        <v>130</v>
      </c>
      <c r="CT2306" s="0" t="s">
        <v>6376</v>
      </c>
    </row>
    <row r="2307">
      <c r="A2307" s="14">
        <v>11948451</v>
      </c>
      <c r="B2307" s="0" t="s">
        <v>4079</v>
      </c>
      <c r="C2307" s="16">
        <f>HYPERLINK("https://eosportal.federatedhermes.com/companies/Q29tcGFueQppNjMzMTI=", "Tesla Inc")</f>
      </c>
      <c r="D2307" s="0" t="s">
        <v>23</v>
      </c>
      <c r="E2307" s="0" t="s">
        <v>1147</v>
      </c>
      <c r="F2307" s="16">
        <f>HYPERLINK("https://eosportal.federatedhermes.com/engagements/RW5nYWdlbWVudAppMzMyNjg=", "Climate resilient strategy - enhanced scope")</f>
      </c>
      <c r="G2307" s="14" t="s">
        <v>6377</v>
      </c>
      <c r="H2307" s="0" t="s">
        <v>141</v>
      </c>
      <c r="I2307" s="14" t="s">
        <v>191</v>
      </c>
      <c r="J2307" s="0" t="s">
        <v>197</v>
      </c>
      <c r="K2307" s="0" t="s">
        <v>198</v>
      </c>
      <c r="L2307" s="0" t="s">
        <v>220</v>
      </c>
      <c r="M2307" s="0" t="s">
        <v>135</v>
      </c>
      <c r="N2307" s="0" t="s">
        <v>136</v>
      </c>
      <c r="O2307" s="0" t="s">
        <v>425</v>
      </c>
      <c r="Q2307" s="0" t="s">
        <v>130</v>
      </c>
      <c r="R2307" s="0" t="s">
        <v>141</v>
      </c>
      <c r="S2307" s="14">
        <v>0</v>
      </c>
      <c r="T2307" s="0" t="s">
        <v>360</v>
      </c>
      <c r="U2307" s="0" t="s">
        <v>221</v>
      </c>
      <c r="V2307" s="14" t="s">
        <v>360</v>
      </c>
      <c r="W2307" s="0" t="s">
        <v>221</v>
      </c>
      <c r="X2307" s="14" t="s">
        <v>361</v>
      </c>
      <c r="Y2307" s="0" t="s">
        <v>223</v>
      </c>
      <c r="Z2307" s="14" t="s">
        <v>138</v>
      </c>
      <c r="AA2307" s="0" t="s">
        <v>224</v>
      </c>
      <c r="AB2307" s="14" t="s">
        <v>138</v>
      </c>
      <c r="AC2307" s="0" t="s">
        <v>14</v>
      </c>
      <c r="AD2307" s="0" t="s">
        <v>17</v>
      </c>
      <c r="AE2307" s="0" t="s">
        <v>5508</v>
      </c>
      <c r="AF2307" s="0">
        <v>1</v>
      </c>
      <c r="AG2307" s="0">
        <v>0</v>
      </c>
      <c r="AH2307" s="0" t="s">
        <v>140</v>
      </c>
      <c r="AI2307" s="0" t="s">
        <v>598</v>
      </c>
      <c r="AL2307" s="14"/>
      <c r="AN2307" s="14"/>
      <c r="AQ2307" s="0" t="s">
        <v>130</v>
      </c>
      <c r="AR2307" s="0" t="s">
        <v>130</v>
      </c>
      <c r="AS2307" s="0" t="s">
        <v>130</v>
      </c>
      <c r="AT2307" s="0" t="s">
        <v>130</v>
      </c>
      <c r="AU2307" s="0" t="s">
        <v>130</v>
      </c>
      <c r="AV2307" s="0" t="s">
        <v>130</v>
      </c>
      <c r="AW2307" s="0" t="s">
        <v>141</v>
      </c>
      <c r="AX2307" s="0" t="s">
        <v>130</v>
      </c>
      <c r="AY2307" s="0" t="s">
        <v>141</v>
      </c>
      <c r="AZ2307" s="0" t="s">
        <v>130</v>
      </c>
      <c r="BA2307" s="0" t="s">
        <v>130</v>
      </c>
      <c r="BB2307" s="0" t="s">
        <v>130</v>
      </c>
      <c r="BC2307" s="0" t="s">
        <v>141</v>
      </c>
      <c r="BD2307" s="0" t="s">
        <v>130</v>
      </c>
      <c r="BE2307" s="0" t="s">
        <v>130</v>
      </c>
      <c r="BF2307" s="0" t="s">
        <v>130</v>
      </c>
      <c r="BG2307" s="0" t="s">
        <v>130</v>
      </c>
      <c r="BH2307" s="0" t="s">
        <v>141</v>
      </c>
      <c r="BI2307" s="0" t="s">
        <v>141</v>
      </c>
      <c r="BJ2307" s="0" t="s">
        <v>141</v>
      </c>
      <c r="BK2307" s="0" t="s">
        <v>130</v>
      </c>
      <c r="BL2307" s="0" t="s">
        <v>130</v>
      </c>
      <c r="BM2307" s="0" t="s">
        <v>130</v>
      </c>
      <c r="BN2307" s="0" t="s">
        <v>130</v>
      </c>
      <c r="BO2307" s="0" t="s">
        <v>130</v>
      </c>
      <c r="BP2307" s="0" t="s">
        <v>130</v>
      </c>
      <c r="BQ2307" s="0" t="s">
        <v>130</v>
      </c>
      <c r="BR2307" s="0" t="s">
        <v>130</v>
      </c>
      <c r="BS2307" s="0" t="s">
        <v>130</v>
      </c>
      <c r="BT2307" s="0" t="s">
        <v>130</v>
      </c>
      <c r="BU2307" s="0" t="s">
        <v>130</v>
      </c>
      <c r="BV2307" s="0" t="s">
        <v>141</v>
      </c>
      <c r="BW2307" s="0" t="s">
        <v>141</v>
      </c>
      <c r="BX2307" s="0" t="s">
        <v>130</v>
      </c>
      <c r="BY2307" s="0" t="s">
        <v>130</v>
      </c>
      <c r="BZ2307" s="0" t="s">
        <v>130</v>
      </c>
      <c r="CA2307" s="0" t="s">
        <v>130</v>
      </c>
      <c r="CB2307" s="0" t="s">
        <v>130</v>
      </c>
      <c r="CC2307" s="0" t="s">
        <v>130</v>
      </c>
      <c r="CD2307" s="0" t="s">
        <v>130</v>
      </c>
      <c r="CE2307" s="0" t="s">
        <v>130</v>
      </c>
      <c r="CF2307" s="0" t="s">
        <v>130</v>
      </c>
      <c r="CG2307" s="0" t="s">
        <v>130</v>
      </c>
      <c r="CH2307" s="0" t="s">
        <v>130</v>
      </c>
      <c r="CI2307" s="0" t="s">
        <v>130</v>
      </c>
      <c r="CJ2307" s="0" t="s">
        <v>130</v>
      </c>
      <c r="CK2307" s="0" t="s">
        <v>130</v>
      </c>
      <c r="CL2307" s="0" t="s">
        <v>130</v>
      </c>
      <c r="CM2307" s="0" t="s">
        <v>130</v>
      </c>
      <c r="CN2307" s="0" t="s">
        <v>130</v>
      </c>
      <c r="CO2307" s="0" t="s">
        <v>130</v>
      </c>
      <c r="CP2307" s="0" t="s">
        <v>130</v>
      </c>
      <c r="CQ2307" s="0" t="s">
        <v>130</v>
      </c>
      <c r="CR2307" s="0" t="s">
        <v>130</v>
      </c>
      <c r="CS2307" s="0" t="s">
        <v>130</v>
      </c>
      <c r="CT2307" s="0" t="s">
        <v>6378</v>
      </c>
    </row>
    <row r="2308">
      <c r="A2308" s="14">
        <v>11948451</v>
      </c>
      <c r="B2308" s="0" t="s">
        <v>4079</v>
      </c>
      <c r="C2308" s="16">
        <f>HYPERLINK("https://eosportal.federatedhermes.com/companies/Q29tcGFueQppNjMzMTI=", "Tesla Inc")</f>
      </c>
      <c r="D2308" s="0" t="s">
        <v>23</v>
      </c>
      <c r="E2308" s="0" t="s">
        <v>6343</v>
      </c>
      <c r="F2308" s="16">
        <f>HYPERLINK("https://eosportal.federatedhermes.com/engagements/RW5nYWdlbWVudAppMzMyNzA=", "Increased transparency on tax practices")</f>
      </c>
      <c r="G2308" s="14" t="s">
        <v>6344</v>
      </c>
      <c r="H2308" s="0" t="s">
        <v>141</v>
      </c>
      <c r="I2308" s="14" t="s">
        <v>191</v>
      </c>
      <c r="J2308" s="0" t="s">
        <v>153</v>
      </c>
      <c r="K2308" s="0" t="s">
        <v>185</v>
      </c>
      <c r="L2308" s="0" t="s">
        <v>548</v>
      </c>
      <c r="M2308" s="0" t="s">
        <v>135</v>
      </c>
      <c r="N2308" s="0" t="s">
        <v>136</v>
      </c>
      <c r="O2308" s="0" t="s">
        <v>425</v>
      </c>
      <c r="Q2308" s="0" t="s">
        <v>130</v>
      </c>
      <c r="R2308" s="0" t="s">
        <v>130</v>
      </c>
      <c r="S2308" s="14">
        <v>0</v>
      </c>
      <c r="T2308" s="0" t="s">
        <v>360</v>
      </c>
      <c r="U2308" s="0" t="s">
        <v>221</v>
      </c>
      <c r="V2308" s="14" t="s">
        <v>360</v>
      </c>
      <c r="W2308" s="0" t="s">
        <v>223</v>
      </c>
      <c r="X2308" s="14" t="s">
        <v>138</v>
      </c>
      <c r="Y2308" s="0" t="s">
        <v>224</v>
      </c>
      <c r="Z2308" s="14" t="s">
        <v>138</v>
      </c>
      <c r="AA2308" s="0" t="s">
        <v>224</v>
      </c>
      <c r="AB2308" s="14" t="s">
        <v>138</v>
      </c>
      <c r="AD2308" s="0" t="s">
        <v>14</v>
      </c>
      <c r="AF2308" s="0">
        <v>0</v>
      </c>
      <c r="AG2308" s="0">
        <v>0</v>
      </c>
      <c r="AH2308" s="0" t="s">
        <v>140</v>
      </c>
      <c r="AI2308" s="0" t="s">
        <v>225</v>
      </c>
      <c r="AL2308" s="14"/>
      <c r="AN2308" s="14"/>
      <c r="AQ2308" s="0" t="s">
        <v>130</v>
      </c>
      <c r="AR2308" s="0" t="s">
        <v>130</v>
      </c>
      <c r="AS2308" s="0" t="s">
        <v>130</v>
      </c>
      <c r="AT2308" s="0" t="s">
        <v>130</v>
      </c>
      <c r="AU2308" s="0" t="s">
        <v>130</v>
      </c>
      <c r="AV2308" s="0" t="s">
        <v>130</v>
      </c>
      <c r="AW2308" s="0" t="s">
        <v>130</v>
      </c>
      <c r="AX2308" s="0" t="s">
        <v>130</v>
      </c>
      <c r="AY2308" s="0" t="s">
        <v>130</v>
      </c>
      <c r="AZ2308" s="0" t="s">
        <v>130</v>
      </c>
      <c r="BA2308" s="0" t="s">
        <v>130</v>
      </c>
      <c r="BB2308" s="0" t="s">
        <v>130</v>
      </c>
      <c r="BC2308" s="0" t="s">
        <v>130</v>
      </c>
      <c r="BD2308" s="0" t="s">
        <v>130</v>
      </c>
      <c r="BE2308" s="0" t="s">
        <v>130</v>
      </c>
      <c r="BF2308" s="0" t="s">
        <v>130</v>
      </c>
      <c r="BG2308" s="0" t="s">
        <v>141</v>
      </c>
      <c r="BH2308" s="0" t="s">
        <v>130</v>
      </c>
      <c r="BI2308" s="0" t="s">
        <v>130</v>
      </c>
      <c r="BJ2308" s="0" t="s">
        <v>130</v>
      </c>
      <c r="BK2308" s="0" t="s">
        <v>130</v>
      </c>
      <c r="BL2308" s="0" t="s">
        <v>130</v>
      </c>
      <c r="BM2308" s="0" t="s">
        <v>130</v>
      </c>
      <c r="BN2308" s="0" t="s">
        <v>130</v>
      </c>
      <c r="BO2308" s="0" t="s">
        <v>130</v>
      </c>
      <c r="BP2308" s="0" t="s">
        <v>130</v>
      </c>
      <c r="BQ2308" s="0" t="s">
        <v>130</v>
      </c>
      <c r="BR2308" s="0" t="s">
        <v>130</v>
      </c>
      <c r="BS2308" s="0" t="s">
        <v>130</v>
      </c>
      <c r="BT2308" s="0" t="s">
        <v>130</v>
      </c>
      <c r="BU2308" s="0" t="s">
        <v>130</v>
      </c>
      <c r="BV2308" s="0" t="s">
        <v>130</v>
      </c>
      <c r="BW2308" s="0" t="s">
        <v>130</v>
      </c>
      <c r="BX2308" s="0" t="s">
        <v>130</v>
      </c>
      <c r="BY2308" s="0" t="s">
        <v>130</v>
      </c>
      <c r="BZ2308" s="0" t="s">
        <v>130</v>
      </c>
      <c r="CA2308" s="0" t="s">
        <v>130</v>
      </c>
      <c r="CB2308" s="0" t="s">
        <v>130</v>
      </c>
      <c r="CC2308" s="0" t="s">
        <v>130</v>
      </c>
      <c r="CD2308" s="0" t="s">
        <v>130</v>
      </c>
      <c r="CE2308" s="0" t="s">
        <v>130</v>
      </c>
      <c r="CF2308" s="0" t="s">
        <v>130</v>
      </c>
      <c r="CG2308" s="0" t="s">
        <v>130</v>
      </c>
      <c r="CH2308" s="0" t="s">
        <v>130</v>
      </c>
      <c r="CI2308" s="0" t="s">
        <v>130</v>
      </c>
      <c r="CJ2308" s="0" t="s">
        <v>130</v>
      </c>
      <c r="CK2308" s="0" t="s">
        <v>130</v>
      </c>
      <c r="CL2308" s="0" t="s">
        <v>130</v>
      </c>
      <c r="CM2308" s="0" t="s">
        <v>130</v>
      </c>
      <c r="CN2308" s="0" t="s">
        <v>130</v>
      </c>
      <c r="CO2308" s="0" t="s">
        <v>130</v>
      </c>
      <c r="CP2308" s="0" t="s">
        <v>130</v>
      </c>
      <c r="CQ2308" s="0" t="s">
        <v>130</v>
      </c>
      <c r="CR2308" s="0" t="s">
        <v>130</v>
      </c>
      <c r="CS2308" s="0" t="s">
        <v>130</v>
      </c>
      <c r="CT2308" s="0" t="s">
        <v>6379</v>
      </c>
    </row>
    <row r="2309">
      <c r="A2309" s="14">
        <v>41633927</v>
      </c>
      <c r="B2309" s="0" t="s">
        <v>4569</v>
      </c>
      <c r="C2309" s="16">
        <f>HYPERLINK("https://eosportal.federatedhermes.com/companies/Q29tcGFueQppNTIxODI=", "Stellantis NV")</f>
      </c>
      <c r="D2309" s="0" t="s">
        <v>25</v>
      </c>
      <c r="E2309" s="0" t="s">
        <v>5812</v>
      </c>
      <c r="F2309" s="16">
        <f>HYPERLINK("https://eosportal.federatedhermes.com/engagements/RW5nYWdlbWVudAppMzMyNzE=", "Climate-aligned accounts")</f>
      </c>
      <c r="G2309" s="14" t="s">
        <v>6380</v>
      </c>
      <c r="H2309" s="0" t="s">
        <v>141</v>
      </c>
      <c r="I2309" s="14" t="s">
        <v>1645</v>
      </c>
      <c r="J2309" s="0" t="s">
        <v>197</v>
      </c>
      <c r="K2309" s="0" t="s">
        <v>198</v>
      </c>
      <c r="L2309" s="0" t="s">
        <v>199</v>
      </c>
      <c r="M2309" s="0" t="s">
        <v>378</v>
      </c>
      <c r="N2309" s="0" t="s">
        <v>2554</v>
      </c>
      <c r="O2309" s="0" t="s">
        <v>425</v>
      </c>
      <c r="Q2309" s="0" t="s">
        <v>130</v>
      </c>
      <c r="R2309" s="0" t="s">
        <v>138</v>
      </c>
      <c r="S2309" s="14">
        <v>0</v>
      </c>
      <c r="T2309" s="0" t="s">
        <v>360</v>
      </c>
      <c r="U2309" s="0" t="s">
        <v>138</v>
      </c>
      <c r="V2309" s="14" t="s">
        <v>138</v>
      </c>
      <c r="W2309" s="0" t="s">
        <v>138</v>
      </c>
      <c r="X2309" s="14" t="s">
        <v>138</v>
      </c>
      <c r="Y2309" s="0" t="s">
        <v>138</v>
      </c>
      <c r="Z2309" s="14" t="s">
        <v>138</v>
      </c>
      <c r="AA2309" s="0" t="s">
        <v>138</v>
      </c>
      <c r="AB2309" s="14" t="s">
        <v>138</v>
      </c>
      <c r="AD2309" s="0" t="s">
        <v>138</v>
      </c>
      <c r="AF2309" s="0">
        <v>0</v>
      </c>
      <c r="AG2309" s="0">
        <v>0</v>
      </c>
      <c r="AH2309" s="0" t="s">
        <v>140</v>
      </c>
      <c r="AI2309" s="0" t="s">
        <v>138</v>
      </c>
      <c r="AL2309" s="14"/>
      <c r="AN2309" s="14"/>
      <c r="AQ2309" s="0" t="s">
        <v>130</v>
      </c>
      <c r="AR2309" s="0" t="s">
        <v>130</v>
      </c>
      <c r="AS2309" s="0" t="s">
        <v>130</v>
      </c>
      <c r="AT2309" s="0" t="s">
        <v>130</v>
      </c>
      <c r="AU2309" s="0" t="s">
        <v>130</v>
      </c>
      <c r="AV2309" s="0" t="s">
        <v>130</v>
      </c>
      <c r="AW2309" s="0" t="s">
        <v>130</v>
      </c>
      <c r="AX2309" s="0" t="s">
        <v>130</v>
      </c>
      <c r="AY2309" s="0" t="s">
        <v>130</v>
      </c>
      <c r="AZ2309" s="0" t="s">
        <v>130</v>
      </c>
      <c r="BA2309" s="0" t="s">
        <v>130</v>
      </c>
      <c r="BB2309" s="0" t="s">
        <v>141</v>
      </c>
      <c r="BC2309" s="0" t="s">
        <v>130</v>
      </c>
      <c r="BD2309" s="0" t="s">
        <v>130</v>
      </c>
      <c r="BE2309" s="0" t="s">
        <v>130</v>
      </c>
      <c r="BF2309" s="0" t="s">
        <v>130</v>
      </c>
      <c r="BG2309" s="0" t="s">
        <v>130</v>
      </c>
      <c r="BH2309" s="0" t="s">
        <v>130</v>
      </c>
      <c r="BI2309" s="0" t="s">
        <v>130</v>
      </c>
      <c r="BJ2309" s="0" t="s">
        <v>130</v>
      </c>
      <c r="BK2309" s="0" t="s">
        <v>130</v>
      </c>
      <c r="BL2309" s="0" t="s">
        <v>130</v>
      </c>
      <c r="BM2309" s="0" t="s">
        <v>130</v>
      </c>
      <c r="BN2309" s="0" t="s">
        <v>130</v>
      </c>
      <c r="BO2309" s="0" t="s">
        <v>130</v>
      </c>
      <c r="BP2309" s="0" t="s">
        <v>130</v>
      </c>
      <c r="BQ2309" s="0" t="s">
        <v>130</v>
      </c>
      <c r="BR2309" s="0" t="s">
        <v>130</v>
      </c>
      <c r="BS2309" s="0" t="s">
        <v>130</v>
      </c>
      <c r="BT2309" s="0" t="s">
        <v>130</v>
      </c>
      <c r="BU2309" s="0" t="s">
        <v>130</v>
      </c>
      <c r="BV2309" s="0" t="s">
        <v>130</v>
      </c>
      <c r="BW2309" s="0" t="s">
        <v>130</v>
      </c>
      <c r="BX2309" s="0" t="s">
        <v>130</v>
      </c>
      <c r="BY2309" s="0" t="s">
        <v>130</v>
      </c>
      <c r="BZ2309" s="0" t="s">
        <v>130</v>
      </c>
      <c r="CA2309" s="0" t="s">
        <v>130</v>
      </c>
      <c r="CB2309" s="0" t="s">
        <v>130</v>
      </c>
      <c r="CC2309" s="0" t="s">
        <v>130</v>
      </c>
      <c r="CD2309" s="0" t="s">
        <v>130</v>
      </c>
      <c r="CE2309" s="0" t="s">
        <v>130</v>
      </c>
      <c r="CF2309" s="0" t="s">
        <v>130</v>
      </c>
      <c r="CG2309" s="0" t="s">
        <v>130</v>
      </c>
      <c r="CH2309" s="0" t="s">
        <v>130</v>
      </c>
      <c r="CI2309" s="0" t="s">
        <v>130</v>
      </c>
      <c r="CJ2309" s="0" t="s">
        <v>130</v>
      </c>
      <c r="CK2309" s="0" t="s">
        <v>130</v>
      </c>
      <c r="CL2309" s="0" t="s">
        <v>130</v>
      </c>
      <c r="CM2309" s="0" t="s">
        <v>130</v>
      </c>
      <c r="CN2309" s="0" t="s">
        <v>130</v>
      </c>
      <c r="CO2309" s="0" t="s">
        <v>130</v>
      </c>
      <c r="CP2309" s="0" t="s">
        <v>130</v>
      </c>
      <c r="CQ2309" s="0" t="s">
        <v>130</v>
      </c>
      <c r="CR2309" s="0" t="s">
        <v>130</v>
      </c>
      <c r="CS2309" s="0" t="s">
        <v>130</v>
      </c>
      <c r="CT2309" s="0" t="s">
        <v>6381</v>
      </c>
    </row>
    <row r="2310">
      <c r="A2310" s="14">
        <v>51257766</v>
      </c>
      <c r="B2310" s="0" t="s">
        <v>4538</v>
      </c>
      <c r="C2310" s="16">
        <f>HYPERLINK("https://eosportal.federatedhermes.com/companies/Q29tcGFueQppNTg5NzM=", "Vistra Corp")</f>
      </c>
      <c r="D2310" s="0" t="s">
        <v>23</v>
      </c>
      <c r="E2310" s="0" t="s">
        <v>6340</v>
      </c>
      <c r="F2310" s="16">
        <f>HYPERLINK("https://eosportal.federatedhermes.com/engagements/RW5nYWdlbWVudAppMzMyOTg=", "Physical risks strategy")</f>
      </c>
      <c r="G2310" s="14" t="s">
        <v>6341</v>
      </c>
      <c r="H2310" s="0" t="s">
        <v>141</v>
      </c>
      <c r="I2310" s="14" t="s">
        <v>131</v>
      </c>
      <c r="J2310" s="0" t="s">
        <v>197</v>
      </c>
      <c r="K2310" s="0" t="s">
        <v>198</v>
      </c>
      <c r="L2310" s="0" t="s">
        <v>682</v>
      </c>
      <c r="M2310" s="0" t="s">
        <v>135</v>
      </c>
      <c r="N2310" s="0" t="s">
        <v>136</v>
      </c>
      <c r="O2310" s="0" t="s">
        <v>192</v>
      </c>
      <c r="Q2310" s="0" t="s">
        <v>130</v>
      </c>
      <c r="R2310" s="0" t="s">
        <v>130</v>
      </c>
      <c r="S2310" s="14">
        <v>0</v>
      </c>
      <c r="T2310" s="0" t="s">
        <v>360</v>
      </c>
      <c r="U2310" s="0" t="s">
        <v>221</v>
      </c>
      <c r="V2310" s="14" t="s">
        <v>360</v>
      </c>
      <c r="W2310" s="0" t="s">
        <v>221</v>
      </c>
      <c r="X2310" s="14" t="s">
        <v>360</v>
      </c>
      <c r="Y2310" s="0" t="s">
        <v>223</v>
      </c>
      <c r="Z2310" s="14" t="s">
        <v>138</v>
      </c>
      <c r="AA2310" s="0" t="s">
        <v>224</v>
      </c>
      <c r="AB2310" s="14" t="s">
        <v>138</v>
      </c>
      <c r="AD2310" s="0" t="s">
        <v>17</v>
      </c>
      <c r="AF2310" s="0">
        <v>0</v>
      </c>
      <c r="AG2310" s="0">
        <v>0</v>
      </c>
      <c r="AH2310" s="0" t="s">
        <v>140</v>
      </c>
      <c r="AI2310" s="0" t="s">
        <v>598</v>
      </c>
      <c r="AL2310" s="14"/>
      <c r="AN2310" s="14"/>
      <c r="AQ2310" s="0" t="s">
        <v>130</v>
      </c>
      <c r="AR2310" s="0" t="s">
        <v>130</v>
      </c>
      <c r="AS2310" s="0" t="s">
        <v>130</v>
      </c>
      <c r="AT2310" s="0" t="s">
        <v>130</v>
      </c>
      <c r="AU2310" s="0" t="s">
        <v>130</v>
      </c>
      <c r="AV2310" s="0" t="s">
        <v>130</v>
      </c>
      <c r="AW2310" s="0" t="s">
        <v>130</v>
      </c>
      <c r="AX2310" s="0" t="s">
        <v>130</v>
      </c>
      <c r="AY2310" s="0" t="s">
        <v>130</v>
      </c>
      <c r="AZ2310" s="0" t="s">
        <v>130</v>
      </c>
      <c r="BA2310" s="0" t="s">
        <v>130</v>
      </c>
      <c r="BB2310" s="0" t="s">
        <v>130</v>
      </c>
      <c r="BC2310" s="0" t="s">
        <v>141</v>
      </c>
      <c r="BD2310" s="0" t="s">
        <v>130</v>
      </c>
      <c r="BE2310" s="0" t="s">
        <v>130</v>
      </c>
      <c r="BF2310" s="0" t="s">
        <v>130</v>
      </c>
      <c r="BG2310" s="0" t="s">
        <v>130</v>
      </c>
      <c r="BH2310" s="0" t="s">
        <v>130</v>
      </c>
      <c r="BI2310" s="0" t="s">
        <v>130</v>
      </c>
      <c r="BJ2310" s="0" t="s">
        <v>130</v>
      </c>
      <c r="BK2310" s="0" t="s">
        <v>130</v>
      </c>
      <c r="BL2310" s="0" t="s">
        <v>130</v>
      </c>
      <c r="BM2310" s="0" t="s">
        <v>130</v>
      </c>
      <c r="BN2310" s="0" t="s">
        <v>130</v>
      </c>
      <c r="BO2310" s="0" t="s">
        <v>130</v>
      </c>
      <c r="BP2310" s="0" t="s">
        <v>130</v>
      </c>
      <c r="BQ2310" s="0" t="s">
        <v>130</v>
      </c>
      <c r="BR2310" s="0" t="s">
        <v>130</v>
      </c>
      <c r="BS2310" s="0" t="s">
        <v>130</v>
      </c>
      <c r="BT2310" s="0" t="s">
        <v>130</v>
      </c>
      <c r="BU2310" s="0" t="s">
        <v>130</v>
      </c>
      <c r="BV2310" s="0" t="s">
        <v>130</v>
      </c>
      <c r="BW2310" s="0" t="s">
        <v>130</v>
      </c>
      <c r="BX2310" s="0" t="s">
        <v>130</v>
      </c>
      <c r="BY2310" s="0" t="s">
        <v>130</v>
      </c>
      <c r="BZ2310" s="0" t="s">
        <v>130</v>
      </c>
      <c r="CA2310" s="0" t="s">
        <v>130</v>
      </c>
      <c r="CB2310" s="0" t="s">
        <v>130</v>
      </c>
      <c r="CC2310" s="0" t="s">
        <v>130</v>
      </c>
      <c r="CD2310" s="0" t="s">
        <v>130</v>
      </c>
      <c r="CE2310" s="0" t="s">
        <v>130</v>
      </c>
      <c r="CF2310" s="0" t="s">
        <v>130</v>
      </c>
      <c r="CG2310" s="0" t="s">
        <v>130</v>
      </c>
      <c r="CH2310" s="0" t="s">
        <v>130</v>
      </c>
      <c r="CI2310" s="0" t="s">
        <v>130</v>
      </c>
      <c r="CJ2310" s="0" t="s">
        <v>130</v>
      </c>
      <c r="CK2310" s="0" t="s">
        <v>130</v>
      </c>
      <c r="CL2310" s="0" t="s">
        <v>130</v>
      </c>
      <c r="CM2310" s="0" t="s">
        <v>130</v>
      </c>
      <c r="CN2310" s="0" t="s">
        <v>130</v>
      </c>
      <c r="CO2310" s="0" t="s">
        <v>130</v>
      </c>
      <c r="CP2310" s="0" t="s">
        <v>130</v>
      </c>
      <c r="CQ2310" s="0" t="s">
        <v>130</v>
      </c>
      <c r="CR2310" s="0" t="s">
        <v>130</v>
      </c>
      <c r="CS2310" s="0" t="s">
        <v>130</v>
      </c>
      <c r="CT2310" s="0" t="s">
        <v>6382</v>
      </c>
    </row>
    <row r="2311">
      <c r="A2311" s="14">
        <v>100158</v>
      </c>
      <c r="B2311" s="0" t="s">
        <v>375</v>
      </c>
      <c r="C2311" s="16">
        <f>HYPERLINK("https://eosportal.federatedhermes.com/companies/Q29tcGFueQppNDY5MDc=", "Banco Santander SA")</f>
      </c>
      <c r="D2311" s="0" t="s">
        <v>23</v>
      </c>
      <c r="E2311" s="0" t="s">
        <v>6058</v>
      </c>
      <c r="F2311" s="16">
        <f>HYPERLINK("https://eosportal.federatedhermes.com/engagements/RW5nYWdlbWVudAppMzMyOTk=", "Client engagement on transition plans")</f>
      </c>
      <c r="G2311" s="14" t="s">
        <v>6383</v>
      </c>
      <c r="H2311" s="0" t="s">
        <v>130</v>
      </c>
      <c r="I2311" s="14" t="s">
        <v>319</v>
      </c>
      <c r="J2311" s="0" t="s">
        <v>197</v>
      </c>
      <c r="K2311" s="0" t="s">
        <v>198</v>
      </c>
      <c r="L2311" s="0" t="s">
        <v>216</v>
      </c>
      <c r="M2311" s="0" t="s">
        <v>378</v>
      </c>
      <c r="N2311" s="0" t="s">
        <v>379</v>
      </c>
      <c r="O2311" s="0" t="s">
        <v>238</v>
      </c>
      <c r="Q2311" s="0" t="s">
        <v>130</v>
      </c>
      <c r="R2311" s="0" t="s">
        <v>130</v>
      </c>
      <c r="S2311" s="14">
        <v>0</v>
      </c>
      <c r="T2311" s="0" t="s">
        <v>360</v>
      </c>
      <c r="U2311" s="0" t="s">
        <v>221</v>
      </c>
      <c r="V2311" s="14" t="s">
        <v>360</v>
      </c>
      <c r="W2311" s="0" t="s">
        <v>221</v>
      </c>
      <c r="X2311" s="14" t="s">
        <v>360</v>
      </c>
      <c r="Y2311" s="0" t="s">
        <v>223</v>
      </c>
      <c r="Z2311" s="14" t="s">
        <v>138</v>
      </c>
      <c r="AA2311" s="0" t="s">
        <v>224</v>
      </c>
      <c r="AB2311" s="14" t="s">
        <v>138</v>
      </c>
      <c r="AD2311" s="0" t="s">
        <v>17</v>
      </c>
      <c r="AF2311" s="0">
        <v>0</v>
      </c>
      <c r="AG2311" s="0">
        <v>0</v>
      </c>
      <c r="AH2311" s="0" t="s">
        <v>140</v>
      </c>
      <c r="AI2311" s="0" t="s">
        <v>598</v>
      </c>
      <c r="AL2311" s="14"/>
      <c r="AN2311" s="14"/>
      <c r="AQ2311" s="0" t="s">
        <v>130</v>
      </c>
      <c r="AR2311" s="0" t="s">
        <v>130</v>
      </c>
      <c r="AS2311" s="0" t="s">
        <v>130</v>
      </c>
      <c r="AT2311" s="0" t="s">
        <v>130</v>
      </c>
      <c r="AU2311" s="0" t="s">
        <v>130</v>
      </c>
      <c r="AV2311" s="0" t="s">
        <v>130</v>
      </c>
      <c r="AW2311" s="0" t="s">
        <v>141</v>
      </c>
      <c r="AX2311" s="0" t="s">
        <v>130</v>
      </c>
      <c r="AY2311" s="0" t="s">
        <v>130</v>
      </c>
      <c r="AZ2311" s="0" t="s">
        <v>130</v>
      </c>
      <c r="BA2311" s="0" t="s">
        <v>130</v>
      </c>
      <c r="BB2311" s="0" t="s">
        <v>130</v>
      </c>
      <c r="BC2311" s="0" t="s">
        <v>141</v>
      </c>
      <c r="BD2311" s="0" t="s">
        <v>130</v>
      </c>
      <c r="BE2311" s="0" t="s">
        <v>130</v>
      </c>
      <c r="BF2311" s="0" t="s">
        <v>130</v>
      </c>
      <c r="BG2311" s="0" t="s">
        <v>130</v>
      </c>
      <c r="BH2311" s="0" t="s">
        <v>141</v>
      </c>
      <c r="BI2311" s="0" t="s">
        <v>141</v>
      </c>
      <c r="BJ2311" s="0" t="s">
        <v>141</v>
      </c>
      <c r="BK2311" s="0" t="s">
        <v>130</v>
      </c>
      <c r="BL2311" s="0" t="s">
        <v>130</v>
      </c>
      <c r="BM2311" s="0" t="s">
        <v>130</v>
      </c>
      <c r="BN2311" s="0" t="s">
        <v>130</v>
      </c>
      <c r="BO2311" s="0" t="s">
        <v>130</v>
      </c>
      <c r="BP2311" s="0" t="s">
        <v>130</v>
      </c>
      <c r="BQ2311" s="0" t="s">
        <v>130</v>
      </c>
      <c r="BR2311" s="0" t="s">
        <v>130</v>
      </c>
      <c r="BS2311" s="0" t="s">
        <v>130</v>
      </c>
      <c r="BT2311" s="0" t="s">
        <v>130</v>
      </c>
      <c r="BU2311" s="0" t="s">
        <v>130</v>
      </c>
      <c r="BV2311" s="0" t="s">
        <v>141</v>
      </c>
      <c r="BW2311" s="0" t="s">
        <v>141</v>
      </c>
      <c r="BX2311" s="0" t="s">
        <v>130</v>
      </c>
      <c r="BY2311" s="0" t="s">
        <v>130</v>
      </c>
      <c r="BZ2311" s="0" t="s">
        <v>130</v>
      </c>
      <c r="CA2311" s="0" t="s">
        <v>130</v>
      </c>
      <c r="CB2311" s="0" t="s">
        <v>130</v>
      </c>
      <c r="CC2311" s="0" t="s">
        <v>130</v>
      </c>
      <c r="CD2311" s="0" t="s">
        <v>130</v>
      </c>
      <c r="CE2311" s="0" t="s">
        <v>130</v>
      </c>
      <c r="CF2311" s="0" t="s">
        <v>130</v>
      </c>
      <c r="CG2311" s="0" t="s">
        <v>130</v>
      </c>
      <c r="CH2311" s="0" t="s">
        <v>130</v>
      </c>
      <c r="CI2311" s="0" t="s">
        <v>130</v>
      </c>
      <c r="CJ2311" s="0" t="s">
        <v>130</v>
      </c>
      <c r="CK2311" s="0" t="s">
        <v>130</v>
      </c>
      <c r="CL2311" s="0" t="s">
        <v>130</v>
      </c>
      <c r="CM2311" s="0" t="s">
        <v>130</v>
      </c>
      <c r="CN2311" s="0" t="s">
        <v>130</v>
      </c>
      <c r="CO2311" s="0" t="s">
        <v>130</v>
      </c>
      <c r="CP2311" s="0" t="s">
        <v>130</v>
      </c>
      <c r="CQ2311" s="0" t="s">
        <v>130</v>
      </c>
      <c r="CR2311" s="0" t="s">
        <v>130</v>
      </c>
      <c r="CS2311" s="0" t="s">
        <v>130</v>
      </c>
      <c r="CT2311" s="0" t="s">
        <v>6384</v>
      </c>
    </row>
    <row r="2312">
      <c r="A2312" s="14">
        <v>101073</v>
      </c>
      <c r="B2312" s="0" t="s">
        <v>1186</v>
      </c>
      <c r="C2312" s="16">
        <f>HYPERLINK("https://eosportal.federatedhermes.com/companies/Q29tcGFueQppNjQzNjY=", "NIKE Inc")</f>
      </c>
      <c r="D2312" s="0" t="s">
        <v>23</v>
      </c>
      <c r="E2312" s="0" t="s">
        <v>574</v>
      </c>
      <c r="F2312" s="16">
        <f>HYPERLINK("https://eosportal.federatedhermes.com/engagements/RW5nYWdlbWVudAppMzMzMDM=", "Biodiversity")</f>
      </c>
      <c r="G2312" s="14" t="s">
        <v>6385</v>
      </c>
      <c r="H2312" s="0" t="s">
        <v>141</v>
      </c>
      <c r="I2312" s="14" t="s">
        <v>191</v>
      </c>
      <c r="J2312" s="0" t="s">
        <v>197</v>
      </c>
      <c r="K2312" s="0" t="s">
        <v>337</v>
      </c>
      <c r="L2312" s="0" t="s">
        <v>576</v>
      </c>
      <c r="M2312" s="0" t="s">
        <v>135</v>
      </c>
      <c r="N2312" s="0" t="s">
        <v>136</v>
      </c>
      <c r="O2312" s="0" t="s">
        <v>332</v>
      </c>
      <c r="Q2312" s="0" t="s">
        <v>141</v>
      </c>
      <c r="R2312" s="0" t="s">
        <v>130</v>
      </c>
      <c r="S2312" s="14">
        <v>2</v>
      </c>
      <c r="T2312" s="0" t="s">
        <v>360</v>
      </c>
      <c r="U2312" s="0" t="s">
        <v>221</v>
      </c>
      <c r="V2312" s="14" t="s">
        <v>360</v>
      </c>
      <c r="W2312" s="0" t="s">
        <v>221</v>
      </c>
      <c r="X2312" s="14" t="s">
        <v>360</v>
      </c>
      <c r="Y2312" s="0" t="s">
        <v>223</v>
      </c>
      <c r="Z2312" s="14" t="s">
        <v>138</v>
      </c>
      <c r="AA2312" s="0" t="s">
        <v>224</v>
      </c>
      <c r="AB2312" s="14" t="s">
        <v>138</v>
      </c>
      <c r="AD2312" s="0" t="s">
        <v>17</v>
      </c>
      <c r="AF2312" s="0">
        <v>0</v>
      </c>
      <c r="AG2312" s="0">
        <v>0</v>
      </c>
      <c r="AH2312" s="0" t="s">
        <v>140</v>
      </c>
      <c r="AI2312" s="0" t="s">
        <v>598</v>
      </c>
      <c r="AK2312" s="0" t="s">
        <v>1196</v>
      </c>
      <c r="AL2312" s="14"/>
      <c r="AN2312" s="14"/>
      <c r="AQ2312" s="0" t="s">
        <v>130</v>
      </c>
      <c r="AR2312" s="0" t="s">
        <v>141</v>
      </c>
      <c r="AS2312" s="0" t="s">
        <v>130</v>
      </c>
      <c r="AT2312" s="0" t="s">
        <v>130</v>
      </c>
      <c r="AU2312" s="0" t="s">
        <v>130</v>
      </c>
      <c r="AV2312" s="0" t="s">
        <v>141</v>
      </c>
      <c r="AW2312" s="0" t="s">
        <v>130</v>
      </c>
      <c r="AX2312" s="0" t="s">
        <v>130</v>
      </c>
      <c r="AY2312" s="0" t="s">
        <v>130</v>
      </c>
      <c r="AZ2312" s="0" t="s">
        <v>130</v>
      </c>
      <c r="BA2312" s="0" t="s">
        <v>141</v>
      </c>
      <c r="BB2312" s="0" t="s">
        <v>141</v>
      </c>
      <c r="BC2312" s="0" t="s">
        <v>130</v>
      </c>
      <c r="BD2312" s="0" t="s">
        <v>141</v>
      </c>
      <c r="BE2312" s="0" t="s">
        <v>141</v>
      </c>
      <c r="BF2312" s="0" t="s">
        <v>130</v>
      </c>
      <c r="BG2312" s="0" t="s">
        <v>130</v>
      </c>
      <c r="BH2312" s="0" t="s">
        <v>130</v>
      </c>
      <c r="BI2312" s="0" t="s">
        <v>130</v>
      </c>
      <c r="BJ2312" s="0" t="s">
        <v>130</v>
      </c>
      <c r="BK2312" s="0" t="s">
        <v>130</v>
      </c>
      <c r="BL2312" s="0" t="s">
        <v>130</v>
      </c>
      <c r="BM2312" s="0" t="s">
        <v>130</v>
      </c>
      <c r="BN2312" s="0" t="s">
        <v>130</v>
      </c>
      <c r="BO2312" s="0" t="s">
        <v>130</v>
      </c>
      <c r="BP2312" s="0" t="s">
        <v>130</v>
      </c>
      <c r="BQ2312" s="0" t="s">
        <v>130</v>
      </c>
      <c r="BR2312" s="0" t="s">
        <v>130</v>
      </c>
      <c r="BS2312" s="0" t="s">
        <v>130</v>
      </c>
      <c r="BT2312" s="0" t="s">
        <v>130</v>
      </c>
      <c r="BU2312" s="0" t="s">
        <v>130</v>
      </c>
      <c r="BV2312" s="0" t="s">
        <v>130</v>
      </c>
      <c r="BW2312" s="0" t="s">
        <v>130</v>
      </c>
      <c r="BX2312" s="0" t="s">
        <v>130</v>
      </c>
      <c r="BY2312" s="0" t="s">
        <v>130</v>
      </c>
      <c r="BZ2312" s="0" t="s">
        <v>130</v>
      </c>
      <c r="CA2312" s="0" t="s">
        <v>130</v>
      </c>
      <c r="CB2312" s="0" t="s">
        <v>130</v>
      </c>
      <c r="CC2312" s="0" t="s">
        <v>130</v>
      </c>
      <c r="CD2312" s="0" t="s">
        <v>130</v>
      </c>
      <c r="CE2312" s="0" t="s">
        <v>130</v>
      </c>
      <c r="CF2312" s="0" t="s">
        <v>130</v>
      </c>
      <c r="CG2312" s="0" t="s">
        <v>130</v>
      </c>
      <c r="CH2312" s="0" t="s">
        <v>130</v>
      </c>
      <c r="CI2312" s="0" t="s">
        <v>130</v>
      </c>
      <c r="CJ2312" s="0" t="s">
        <v>130</v>
      </c>
      <c r="CK2312" s="0" t="s">
        <v>130</v>
      </c>
      <c r="CL2312" s="0" t="s">
        <v>130</v>
      </c>
      <c r="CM2312" s="0" t="s">
        <v>130</v>
      </c>
      <c r="CN2312" s="0" t="s">
        <v>130</v>
      </c>
      <c r="CO2312" s="0" t="s">
        <v>130</v>
      </c>
      <c r="CP2312" s="0" t="s">
        <v>130</v>
      </c>
      <c r="CQ2312" s="0" t="s">
        <v>130</v>
      </c>
      <c r="CR2312" s="0" t="s">
        <v>130</v>
      </c>
      <c r="CS2312" s="0" t="s">
        <v>130</v>
      </c>
      <c r="CT2312" s="0" t="s">
        <v>6386</v>
      </c>
    </row>
    <row r="2313">
      <c r="A2313" s="14">
        <v>163205</v>
      </c>
      <c r="B2313" s="0" t="s">
        <v>2981</v>
      </c>
      <c r="C2313" s="16">
        <f>HYPERLINK("https://eosportal.federatedhermes.com/companies/Q29tcGFueQppNzcyNzM=", "ASML Holding NV")</f>
      </c>
      <c r="D2313" s="0" t="s">
        <v>25</v>
      </c>
      <c r="E2313" s="0" t="s">
        <v>6387</v>
      </c>
      <c r="F2313" s="16">
        <f>HYPERLINK("https://eosportal.federatedhermes.com/engagements/RW5nYWdlbWVudAppMzMzMDg=", "Inclusive employment")</f>
      </c>
      <c r="G2313" s="14" t="s">
        <v>6388</v>
      </c>
      <c r="H2313" s="0" t="s">
        <v>130</v>
      </c>
      <c r="I2313" s="14" t="s">
        <v>319</v>
      </c>
      <c r="J2313" s="0" t="s">
        <v>153</v>
      </c>
      <c r="K2313" s="0" t="s">
        <v>154</v>
      </c>
      <c r="L2313" s="0" t="s">
        <v>268</v>
      </c>
      <c r="M2313" s="0" t="s">
        <v>378</v>
      </c>
      <c r="N2313" s="0" t="s">
        <v>2554</v>
      </c>
      <c r="O2313" s="0" t="s">
        <v>1125</v>
      </c>
      <c r="Q2313" s="0" t="s">
        <v>141</v>
      </c>
      <c r="R2313" s="0" t="s">
        <v>138</v>
      </c>
      <c r="S2313" s="14">
        <v>1</v>
      </c>
      <c r="T2313" s="0" t="s">
        <v>2629</v>
      </c>
      <c r="U2313" s="0" t="s">
        <v>138</v>
      </c>
      <c r="V2313" s="14" t="s">
        <v>138</v>
      </c>
      <c r="W2313" s="0" t="s">
        <v>138</v>
      </c>
      <c r="X2313" s="14" t="s">
        <v>138</v>
      </c>
      <c r="Y2313" s="0" t="s">
        <v>138</v>
      </c>
      <c r="Z2313" s="14" t="s">
        <v>138</v>
      </c>
      <c r="AA2313" s="0" t="s">
        <v>138</v>
      </c>
      <c r="AB2313" s="14" t="s">
        <v>138</v>
      </c>
      <c r="AD2313" s="0" t="s">
        <v>138</v>
      </c>
      <c r="AF2313" s="0">
        <v>0</v>
      </c>
      <c r="AG2313" s="0">
        <v>0</v>
      </c>
      <c r="AH2313" s="0" t="s">
        <v>140</v>
      </c>
      <c r="AI2313" s="0" t="s">
        <v>138</v>
      </c>
      <c r="AK2313" s="0" t="s">
        <v>2976</v>
      </c>
      <c r="AL2313" s="14"/>
      <c r="AN2313" s="14"/>
      <c r="AQ2313" s="0" t="s">
        <v>130</v>
      </c>
      <c r="AR2313" s="0" t="s">
        <v>130</v>
      </c>
      <c r="AS2313" s="0" t="s">
        <v>130</v>
      </c>
      <c r="AT2313" s="0" t="s">
        <v>130</v>
      </c>
      <c r="AU2313" s="0" t="s">
        <v>130</v>
      </c>
      <c r="AV2313" s="0" t="s">
        <v>130</v>
      </c>
      <c r="AW2313" s="0" t="s">
        <v>130</v>
      </c>
      <c r="AX2313" s="0" t="s">
        <v>141</v>
      </c>
      <c r="AY2313" s="0" t="s">
        <v>130</v>
      </c>
      <c r="AZ2313" s="0" t="s">
        <v>130</v>
      </c>
      <c r="BA2313" s="0" t="s">
        <v>130</v>
      </c>
      <c r="BB2313" s="0" t="s">
        <v>130</v>
      </c>
      <c r="BC2313" s="0" t="s">
        <v>130</v>
      </c>
      <c r="BD2313" s="0" t="s">
        <v>130</v>
      </c>
      <c r="BE2313" s="0" t="s">
        <v>130</v>
      </c>
      <c r="BF2313" s="0" t="s">
        <v>130</v>
      </c>
      <c r="BG2313" s="0" t="s">
        <v>130</v>
      </c>
      <c r="BH2313" s="0" t="s">
        <v>130</v>
      </c>
      <c r="BI2313" s="0" t="s">
        <v>130</v>
      </c>
      <c r="BJ2313" s="0" t="s">
        <v>130</v>
      </c>
      <c r="BK2313" s="0" t="s">
        <v>130</v>
      </c>
      <c r="BL2313" s="0" t="s">
        <v>130</v>
      </c>
      <c r="BM2313" s="0" t="s">
        <v>130</v>
      </c>
      <c r="BN2313" s="0" t="s">
        <v>130</v>
      </c>
      <c r="BO2313" s="0" t="s">
        <v>130</v>
      </c>
      <c r="BP2313" s="0" t="s">
        <v>130</v>
      </c>
      <c r="BQ2313" s="0" t="s">
        <v>130</v>
      </c>
      <c r="BR2313" s="0" t="s">
        <v>130</v>
      </c>
      <c r="BS2313" s="0" t="s">
        <v>130</v>
      </c>
      <c r="BT2313" s="0" t="s">
        <v>130</v>
      </c>
      <c r="BU2313" s="0" t="s">
        <v>130</v>
      </c>
      <c r="BV2313" s="0" t="s">
        <v>130</v>
      </c>
      <c r="BW2313" s="0" t="s">
        <v>130</v>
      </c>
      <c r="BX2313" s="0" t="s">
        <v>130</v>
      </c>
      <c r="BY2313" s="0" t="s">
        <v>130</v>
      </c>
      <c r="BZ2313" s="0" t="s">
        <v>130</v>
      </c>
      <c r="CA2313" s="0" t="s">
        <v>130</v>
      </c>
      <c r="CB2313" s="0" t="s">
        <v>130</v>
      </c>
      <c r="CC2313" s="0" t="s">
        <v>130</v>
      </c>
      <c r="CD2313" s="0" t="s">
        <v>130</v>
      </c>
      <c r="CE2313" s="0" t="s">
        <v>130</v>
      </c>
      <c r="CF2313" s="0" t="s">
        <v>130</v>
      </c>
      <c r="CG2313" s="0" t="s">
        <v>130</v>
      </c>
      <c r="CH2313" s="0" t="s">
        <v>130</v>
      </c>
      <c r="CI2313" s="0" t="s">
        <v>130</v>
      </c>
      <c r="CJ2313" s="0" t="s">
        <v>130</v>
      </c>
      <c r="CK2313" s="0" t="s">
        <v>141</v>
      </c>
      <c r="CL2313" s="0" t="s">
        <v>130</v>
      </c>
      <c r="CM2313" s="0" t="s">
        <v>130</v>
      </c>
      <c r="CN2313" s="0" t="s">
        <v>130</v>
      </c>
      <c r="CO2313" s="0" t="s">
        <v>130</v>
      </c>
      <c r="CP2313" s="0" t="s">
        <v>130</v>
      </c>
      <c r="CQ2313" s="0" t="s">
        <v>130</v>
      </c>
      <c r="CR2313" s="0" t="s">
        <v>130</v>
      </c>
      <c r="CS2313" s="0" t="s">
        <v>130</v>
      </c>
      <c r="CT2313" s="0" t="s">
        <v>6389</v>
      </c>
    </row>
    <row r="2314">
      <c r="A2314" s="14">
        <v>101365</v>
      </c>
      <c r="B2314" s="0" t="s">
        <v>1493</v>
      </c>
      <c r="C2314" s="16">
        <f>HYPERLINK("https://eosportal.federatedhermes.com/companies/Q29tcGFueQppNTQ1MjA=", "Sony Group Corp")</f>
      </c>
      <c r="D2314" s="0" t="s">
        <v>25</v>
      </c>
      <c r="E2314" s="0" t="s">
        <v>1069</v>
      </c>
      <c r="F2314" s="16">
        <f>HYPERLINK("https://eosportal.federatedhermes.com/engagements/RW5nYWdlbWVudAppMzMzMTQ=", "Water management")</f>
      </c>
      <c r="G2314" s="14" t="s">
        <v>6390</v>
      </c>
      <c r="H2314" s="0" t="s">
        <v>141</v>
      </c>
      <c r="I2314" s="14" t="s">
        <v>191</v>
      </c>
      <c r="J2314" s="0" t="s">
        <v>197</v>
      </c>
      <c r="K2314" s="0" t="s">
        <v>337</v>
      </c>
      <c r="L2314" s="0" t="s">
        <v>338</v>
      </c>
      <c r="M2314" s="0" t="s">
        <v>802</v>
      </c>
      <c r="N2314" s="0" t="s">
        <v>952</v>
      </c>
      <c r="O2314" s="0" t="s">
        <v>1125</v>
      </c>
      <c r="Q2314" s="0" t="s">
        <v>130</v>
      </c>
      <c r="R2314" s="0" t="s">
        <v>138</v>
      </c>
      <c r="S2314" s="14">
        <v>0</v>
      </c>
      <c r="T2314" s="0" t="s">
        <v>360</v>
      </c>
      <c r="U2314" s="0" t="s">
        <v>138</v>
      </c>
      <c r="V2314" s="14" t="s">
        <v>138</v>
      </c>
      <c r="W2314" s="0" t="s">
        <v>138</v>
      </c>
      <c r="X2314" s="14" t="s">
        <v>138</v>
      </c>
      <c r="Y2314" s="0" t="s">
        <v>138</v>
      </c>
      <c r="Z2314" s="14" t="s">
        <v>138</v>
      </c>
      <c r="AA2314" s="0" t="s">
        <v>138</v>
      </c>
      <c r="AB2314" s="14" t="s">
        <v>138</v>
      </c>
      <c r="AD2314" s="0" t="s">
        <v>138</v>
      </c>
      <c r="AF2314" s="0">
        <v>0</v>
      </c>
      <c r="AG2314" s="0">
        <v>0</v>
      </c>
      <c r="AH2314" s="0" t="s">
        <v>140</v>
      </c>
      <c r="AI2314" s="0" t="s">
        <v>138</v>
      </c>
      <c r="AL2314" s="14"/>
      <c r="AN2314" s="14"/>
      <c r="AQ2314" s="0" t="s">
        <v>130</v>
      </c>
      <c r="AR2314" s="0" t="s">
        <v>130</v>
      </c>
      <c r="AS2314" s="0" t="s">
        <v>130</v>
      </c>
      <c r="AT2314" s="0" t="s">
        <v>130</v>
      </c>
      <c r="AU2314" s="0" t="s">
        <v>130</v>
      </c>
      <c r="AV2314" s="0" t="s">
        <v>141</v>
      </c>
      <c r="AW2314" s="0" t="s">
        <v>130</v>
      </c>
      <c r="AX2314" s="0" t="s">
        <v>130</v>
      </c>
      <c r="AY2314" s="0" t="s">
        <v>130</v>
      </c>
      <c r="AZ2314" s="0" t="s">
        <v>130</v>
      </c>
      <c r="BA2314" s="0" t="s">
        <v>130</v>
      </c>
      <c r="BB2314" s="0" t="s">
        <v>130</v>
      </c>
      <c r="BC2314" s="0" t="s">
        <v>130</v>
      </c>
      <c r="BD2314" s="0" t="s">
        <v>130</v>
      </c>
      <c r="BE2314" s="0" t="s">
        <v>130</v>
      </c>
      <c r="BF2314" s="0" t="s">
        <v>130</v>
      </c>
      <c r="BG2314" s="0" t="s">
        <v>130</v>
      </c>
      <c r="BH2314" s="0" t="s">
        <v>130</v>
      </c>
      <c r="BI2314" s="0" t="s">
        <v>130</v>
      </c>
      <c r="BJ2314" s="0" t="s">
        <v>130</v>
      </c>
      <c r="BK2314" s="0" t="s">
        <v>130</v>
      </c>
      <c r="BL2314" s="0" t="s">
        <v>130</v>
      </c>
      <c r="BM2314" s="0" t="s">
        <v>130</v>
      </c>
      <c r="BN2314" s="0" t="s">
        <v>130</v>
      </c>
      <c r="BO2314" s="0" t="s">
        <v>130</v>
      </c>
      <c r="BP2314" s="0" t="s">
        <v>130</v>
      </c>
      <c r="BQ2314" s="0" t="s">
        <v>130</v>
      </c>
      <c r="BR2314" s="0" t="s">
        <v>130</v>
      </c>
      <c r="BS2314" s="0" t="s">
        <v>130</v>
      </c>
      <c r="BT2314" s="0" t="s">
        <v>130</v>
      </c>
      <c r="BU2314" s="0" t="s">
        <v>130</v>
      </c>
      <c r="BV2314" s="0" t="s">
        <v>130</v>
      </c>
      <c r="BW2314" s="0" t="s">
        <v>130</v>
      </c>
      <c r="BX2314" s="0" t="s">
        <v>141</v>
      </c>
      <c r="BY2314" s="0" t="s">
        <v>130</v>
      </c>
      <c r="BZ2314" s="0" t="s">
        <v>130</v>
      </c>
      <c r="CA2314" s="0" t="s">
        <v>130</v>
      </c>
      <c r="CB2314" s="0" t="s">
        <v>130</v>
      </c>
      <c r="CC2314" s="0" t="s">
        <v>130</v>
      </c>
      <c r="CD2314" s="0" t="s">
        <v>130</v>
      </c>
      <c r="CE2314" s="0" t="s">
        <v>130</v>
      </c>
      <c r="CF2314" s="0" t="s">
        <v>130</v>
      </c>
      <c r="CG2314" s="0" t="s">
        <v>130</v>
      </c>
      <c r="CH2314" s="0" t="s">
        <v>130</v>
      </c>
      <c r="CI2314" s="0" t="s">
        <v>130</v>
      </c>
      <c r="CJ2314" s="0" t="s">
        <v>130</v>
      </c>
      <c r="CK2314" s="0" t="s">
        <v>130</v>
      </c>
      <c r="CL2314" s="0" t="s">
        <v>130</v>
      </c>
      <c r="CM2314" s="0" t="s">
        <v>130</v>
      </c>
      <c r="CN2314" s="0" t="s">
        <v>130</v>
      </c>
      <c r="CO2314" s="0" t="s">
        <v>130</v>
      </c>
      <c r="CP2314" s="0" t="s">
        <v>130</v>
      </c>
      <c r="CQ2314" s="0" t="s">
        <v>130</v>
      </c>
      <c r="CR2314" s="0" t="s">
        <v>130</v>
      </c>
      <c r="CS2314" s="0" t="s">
        <v>130</v>
      </c>
      <c r="CT2314" s="0" t="s">
        <v>6391</v>
      </c>
    </row>
    <row r="2315">
      <c r="A2315" s="14">
        <v>169367</v>
      </c>
      <c r="B2315" s="0" t="s">
        <v>3021</v>
      </c>
      <c r="C2315" s="16">
        <f>HYPERLINK("https://eosportal.federatedhermes.com/companies/Q29tcGFueQppNjE5MDI=", "HDFC Bank Ltd")</f>
      </c>
      <c r="D2315" s="0" t="s">
        <v>25</v>
      </c>
      <c r="E2315" s="0" t="s">
        <v>3628</v>
      </c>
      <c r="F2315" s="16">
        <f>HYPERLINK("https://eosportal.federatedhermes.com/engagements/RW5nYWdlbWVudAppMzMzMTU=", "Board access")</f>
      </c>
      <c r="G2315" s="14" t="s">
        <v>6392</v>
      </c>
      <c r="H2315" s="0" t="s">
        <v>141</v>
      </c>
      <c r="I2315" s="14" t="s">
        <v>131</v>
      </c>
      <c r="J2315" s="0" t="s">
        <v>145</v>
      </c>
      <c r="K2315" s="0" t="s">
        <v>400</v>
      </c>
      <c r="L2315" s="0" t="s">
        <v>401</v>
      </c>
      <c r="M2315" s="0" t="s">
        <v>2807</v>
      </c>
      <c r="N2315" s="0" t="s">
        <v>2969</v>
      </c>
      <c r="O2315" s="0" t="s">
        <v>238</v>
      </c>
      <c r="Q2315" s="0" t="s">
        <v>130</v>
      </c>
      <c r="R2315" s="0" t="s">
        <v>138</v>
      </c>
      <c r="S2315" s="14">
        <v>0</v>
      </c>
      <c r="T2315" s="0" t="s">
        <v>360</v>
      </c>
      <c r="U2315" s="0" t="s">
        <v>138</v>
      </c>
      <c r="V2315" s="14" t="s">
        <v>138</v>
      </c>
      <c r="W2315" s="0" t="s">
        <v>138</v>
      </c>
      <c r="X2315" s="14" t="s">
        <v>138</v>
      </c>
      <c r="Y2315" s="0" t="s">
        <v>138</v>
      </c>
      <c r="Z2315" s="14" t="s">
        <v>138</v>
      </c>
      <c r="AA2315" s="0" t="s">
        <v>138</v>
      </c>
      <c r="AB2315" s="14" t="s">
        <v>138</v>
      </c>
      <c r="AD2315" s="0" t="s">
        <v>138</v>
      </c>
      <c r="AF2315" s="0">
        <v>0</v>
      </c>
      <c r="AG2315" s="0">
        <v>0</v>
      </c>
      <c r="AH2315" s="0" t="s">
        <v>140</v>
      </c>
      <c r="AI2315" s="0" t="s">
        <v>138</v>
      </c>
      <c r="AL2315" s="14"/>
      <c r="AN2315" s="14"/>
      <c r="AQ2315" s="0" t="s">
        <v>130</v>
      </c>
      <c r="AR2315" s="0" t="s">
        <v>130</v>
      </c>
      <c r="AS2315" s="0" t="s">
        <v>130</v>
      </c>
      <c r="AT2315" s="0" t="s">
        <v>130</v>
      </c>
      <c r="AU2315" s="0" t="s">
        <v>130</v>
      </c>
      <c r="AV2315" s="0" t="s">
        <v>130</v>
      </c>
      <c r="AW2315" s="0" t="s">
        <v>130</v>
      </c>
      <c r="AX2315" s="0" t="s">
        <v>130</v>
      </c>
      <c r="AY2315" s="0" t="s">
        <v>130</v>
      </c>
      <c r="AZ2315" s="0" t="s">
        <v>130</v>
      </c>
      <c r="BA2315" s="0" t="s">
        <v>130</v>
      </c>
      <c r="BB2315" s="0" t="s">
        <v>130</v>
      </c>
      <c r="BC2315" s="0" t="s">
        <v>130</v>
      </c>
      <c r="BD2315" s="0" t="s">
        <v>130</v>
      </c>
      <c r="BE2315" s="0" t="s">
        <v>130</v>
      </c>
      <c r="BF2315" s="0" t="s">
        <v>130</v>
      </c>
      <c r="BG2315" s="0" t="s">
        <v>130</v>
      </c>
      <c r="BH2315" s="0" t="s">
        <v>130</v>
      </c>
      <c r="BI2315" s="0" t="s">
        <v>130</v>
      </c>
      <c r="BJ2315" s="0" t="s">
        <v>130</v>
      </c>
      <c r="BK2315" s="0" t="s">
        <v>130</v>
      </c>
      <c r="BL2315" s="0" t="s">
        <v>130</v>
      </c>
      <c r="BM2315" s="0" t="s">
        <v>130</v>
      </c>
      <c r="BN2315" s="0" t="s">
        <v>130</v>
      </c>
      <c r="BO2315" s="0" t="s">
        <v>130</v>
      </c>
      <c r="BP2315" s="0" t="s">
        <v>130</v>
      </c>
      <c r="BQ2315" s="0" t="s">
        <v>130</v>
      </c>
      <c r="BR2315" s="0" t="s">
        <v>130</v>
      </c>
      <c r="BS2315" s="0" t="s">
        <v>130</v>
      </c>
      <c r="BT2315" s="0" t="s">
        <v>130</v>
      </c>
      <c r="BU2315" s="0" t="s">
        <v>130</v>
      </c>
      <c r="BV2315" s="0" t="s">
        <v>130</v>
      </c>
      <c r="BW2315" s="0" t="s">
        <v>130</v>
      </c>
      <c r="BX2315" s="0" t="s">
        <v>130</v>
      </c>
      <c r="BY2315" s="0" t="s">
        <v>130</v>
      </c>
      <c r="BZ2315" s="0" t="s">
        <v>130</v>
      </c>
      <c r="CA2315" s="0" t="s">
        <v>130</v>
      </c>
      <c r="CB2315" s="0" t="s">
        <v>130</v>
      </c>
      <c r="CC2315" s="0" t="s">
        <v>130</v>
      </c>
      <c r="CD2315" s="0" t="s">
        <v>130</v>
      </c>
      <c r="CE2315" s="0" t="s">
        <v>130</v>
      </c>
      <c r="CF2315" s="0" t="s">
        <v>130</v>
      </c>
      <c r="CG2315" s="0" t="s">
        <v>130</v>
      </c>
      <c r="CH2315" s="0" t="s">
        <v>130</v>
      </c>
      <c r="CI2315" s="0" t="s">
        <v>130</v>
      </c>
      <c r="CJ2315" s="0" t="s">
        <v>130</v>
      </c>
      <c r="CK2315" s="0" t="s">
        <v>130</v>
      </c>
      <c r="CL2315" s="0" t="s">
        <v>130</v>
      </c>
      <c r="CM2315" s="0" t="s">
        <v>130</v>
      </c>
      <c r="CN2315" s="0" t="s">
        <v>130</v>
      </c>
      <c r="CO2315" s="0" t="s">
        <v>130</v>
      </c>
      <c r="CP2315" s="0" t="s">
        <v>130</v>
      </c>
      <c r="CQ2315" s="0" t="s">
        <v>130</v>
      </c>
      <c r="CR2315" s="0" t="s">
        <v>130</v>
      </c>
      <c r="CS2315" s="0" t="s">
        <v>130</v>
      </c>
      <c r="CT2315" s="0" t="s">
        <v>6393</v>
      </c>
    </row>
    <row r="2316">
      <c r="A2316" s="14">
        <v>100232</v>
      </c>
      <c r="B2316" s="0" t="s">
        <v>368</v>
      </c>
      <c r="C2316" s="16">
        <f>HYPERLINK("https://eosportal.federatedhermes.com/companies/Q29tcGFueQppNjQzODg=", "BHP Group Ltd")</f>
      </c>
      <c r="D2316" s="0" t="s">
        <v>25</v>
      </c>
      <c r="E2316" s="0" t="s">
        <v>6394</v>
      </c>
      <c r="F2316" s="16">
        <f>HYPERLINK("https://eosportal.federatedhermes.com/engagements/RW5nYWdlbWVudAppMzMzMTY=", "'Same Job, Same Pay' legislation")</f>
      </c>
      <c r="G2316" s="14" t="s">
        <v>6395</v>
      </c>
      <c r="H2316" s="0" t="s">
        <v>141</v>
      </c>
      <c r="I2316" s="14" t="s">
        <v>191</v>
      </c>
      <c r="J2316" s="0" t="s">
        <v>153</v>
      </c>
      <c r="K2316" s="0" t="s">
        <v>154</v>
      </c>
      <c r="L2316" s="0" t="s">
        <v>306</v>
      </c>
      <c r="M2316" s="0" t="s">
        <v>371</v>
      </c>
      <c r="N2316" s="0" t="s">
        <v>372</v>
      </c>
      <c r="O2316" s="0" t="s">
        <v>373</v>
      </c>
      <c r="Q2316" s="0" t="s">
        <v>130</v>
      </c>
      <c r="R2316" s="0" t="s">
        <v>138</v>
      </c>
      <c r="S2316" s="14">
        <v>0</v>
      </c>
      <c r="T2316" s="0" t="s">
        <v>360</v>
      </c>
      <c r="U2316" s="0" t="s">
        <v>138</v>
      </c>
      <c r="V2316" s="14" t="s">
        <v>138</v>
      </c>
      <c r="W2316" s="0" t="s">
        <v>138</v>
      </c>
      <c r="X2316" s="14" t="s">
        <v>138</v>
      </c>
      <c r="Y2316" s="0" t="s">
        <v>138</v>
      </c>
      <c r="Z2316" s="14" t="s">
        <v>138</v>
      </c>
      <c r="AA2316" s="0" t="s">
        <v>138</v>
      </c>
      <c r="AB2316" s="14" t="s">
        <v>138</v>
      </c>
      <c r="AD2316" s="0" t="s">
        <v>138</v>
      </c>
      <c r="AF2316" s="0">
        <v>0</v>
      </c>
      <c r="AG2316" s="0">
        <v>0</v>
      </c>
      <c r="AH2316" s="0" t="s">
        <v>140</v>
      </c>
      <c r="AI2316" s="0" t="s">
        <v>138</v>
      </c>
      <c r="AL2316" s="14"/>
      <c r="AN2316" s="14"/>
      <c r="AQ2316" s="0" t="s">
        <v>130</v>
      </c>
      <c r="AR2316" s="0" t="s">
        <v>130</v>
      </c>
      <c r="AS2316" s="0" t="s">
        <v>130</v>
      </c>
      <c r="AT2316" s="0" t="s">
        <v>130</v>
      </c>
      <c r="AU2316" s="0" t="s">
        <v>130</v>
      </c>
      <c r="AV2316" s="0" t="s">
        <v>130</v>
      </c>
      <c r="AW2316" s="0" t="s">
        <v>130</v>
      </c>
      <c r="AX2316" s="0" t="s">
        <v>141</v>
      </c>
      <c r="AY2316" s="0" t="s">
        <v>130</v>
      </c>
      <c r="AZ2316" s="0" t="s">
        <v>141</v>
      </c>
      <c r="BA2316" s="0" t="s">
        <v>130</v>
      </c>
      <c r="BB2316" s="0" t="s">
        <v>130</v>
      </c>
      <c r="BC2316" s="0" t="s">
        <v>130</v>
      </c>
      <c r="BD2316" s="0" t="s">
        <v>130</v>
      </c>
      <c r="BE2316" s="0" t="s">
        <v>130</v>
      </c>
      <c r="BF2316" s="0" t="s">
        <v>130</v>
      </c>
      <c r="BG2316" s="0" t="s">
        <v>130</v>
      </c>
      <c r="BH2316" s="0" t="s">
        <v>130</v>
      </c>
      <c r="BI2316" s="0" t="s">
        <v>130</v>
      </c>
      <c r="BJ2316" s="0" t="s">
        <v>130</v>
      </c>
      <c r="BK2316" s="0" t="s">
        <v>130</v>
      </c>
      <c r="BL2316" s="0" t="s">
        <v>130</v>
      </c>
      <c r="BM2316" s="0" t="s">
        <v>130</v>
      </c>
      <c r="BN2316" s="0" t="s">
        <v>130</v>
      </c>
      <c r="BO2316" s="0" t="s">
        <v>130</v>
      </c>
      <c r="BP2316" s="0" t="s">
        <v>130</v>
      </c>
      <c r="BQ2316" s="0" t="s">
        <v>130</v>
      </c>
      <c r="BR2316" s="0" t="s">
        <v>130</v>
      </c>
      <c r="BS2316" s="0" t="s">
        <v>130</v>
      </c>
      <c r="BT2316" s="0" t="s">
        <v>130</v>
      </c>
      <c r="BU2316" s="0" t="s">
        <v>130</v>
      </c>
      <c r="BV2316" s="0" t="s">
        <v>130</v>
      </c>
      <c r="BW2316" s="0" t="s">
        <v>130</v>
      </c>
      <c r="BX2316" s="0" t="s">
        <v>130</v>
      </c>
      <c r="BY2316" s="0" t="s">
        <v>130</v>
      </c>
      <c r="BZ2316" s="0" t="s">
        <v>130</v>
      </c>
      <c r="CA2316" s="0" t="s">
        <v>130</v>
      </c>
      <c r="CB2316" s="0" t="s">
        <v>130</v>
      </c>
      <c r="CC2316" s="0" t="s">
        <v>130</v>
      </c>
      <c r="CD2316" s="0" t="s">
        <v>130</v>
      </c>
      <c r="CE2316" s="0" t="s">
        <v>130</v>
      </c>
      <c r="CF2316" s="0" t="s">
        <v>130</v>
      </c>
      <c r="CG2316" s="0" t="s">
        <v>130</v>
      </c>
      <c r="CH2316" s="0" t="s">
        <v>130</v>
      </c>
      <c r="CI2316" s="0" t="s">
        <v>130</v>
      </c>
      <c r="CJ2316" s="0" t="s">
        <v>130</v>
      </c>
      <c r="CK2316" s="0" t="s">
        <v>130</v>
      </c>
      <c r="CL2316" s="0" t="s">
        <v>130</v>
      </c>
      <c r="CM2316" s="0" t="s">
        <v>130</v>
      </c>
      <c r="CN2316" s="0" t="s">
        <v>130</v>
      </c>
      <c r="CO2316" s="0" t="s">
        <v>130</v>
      </c>
      <c r="CP2316" s="0" t="s">
        <v>130</v>
      </c>
      <c r="CQ2316" s="0" t="s">
        <v>130</v>
      </c>
      <c r="CR2316" s="0" t="s">
        <v>130</v>
      </c>
      <c r="CS2316" s="0" t="s">
        <v>130</v>
      </c>
      <c r="CT2316" s="0" t="s">
        <v>6396</v>
      </c>
    </row>
    <row r="2317">
      <c r="A2317" s="14">
        <v>100193</v>
      </c>
      <c r="B2317" s="0" t="s">
        <v>6397</v>
      </c>
      <c r="C2317" s="16">
        <f>HYPERLINK("https://eosportal.federatedhermes.com/companies/Q29tcGFueQppNjI0OTk=", "Berkshire Hathaway Inc")</f>
      </c>
      <c r="D2317" s="0" t="s">
        <v>23</v>
      </c>
      <c r="E2317" s="0" t="s">
        <v>1266</v>
      </c>
      <c r="F2317" s="16">
        <f>HYPERLINK("https://eosportal.federatedhermes.com/engagements/RW5nYWdlbWVudAppMzMzMTk=", "Climate resilient asset plan")</f>
      </c>
      <c r="G2317" s="14" t="s">
        <v>6398</v>
      </c>
      <c r="H2317" s="0" t="s">
        <v>141</v>
      </c>
      <c r="I2317" s="14" t="s">
        <v>636</v>
      </c>
      <c r="J2317" s="0" t="s">
        <v>197</v>
      </c>
      <c r="K2317" s="0" t="s">
        <v>198</v>
      </c>
      <c r="L2317" s="0" t="s">
        <v>220</v>
      </c>
      <c r="M2317" s="0" t="s">
        <v>135</v>
      </c>
      <c r="N2317" s="0" t="s">
        <v>136</v>
      </c>
      <c r="O2317" s="0" t="s">
        <v>238</v>
      </c>
      <c r="Q2317" s="0" t="s">
        <v>130</v>
      </c>
      <c r="R2317" s="0" t="s">
        <v>141</v>
      </c>
      <c r="S2317" s="14">
        <v>0</v>
      </c>
      <c r="T2317" s="0" t="s">
        <v>360</v>
      </c>
      <c r="U2317" s="0" t="s">
        <v>221</v>
      </c>
      <c r="V2317" s="14" t="s">
        <v>360</v>
      </c>
      <c r="W2317" s="0" t="s">
        <v>221</v>
      </c>
      <c r="X2317" s="14" t="s">
        <v>360</v>
      </c>
      <c r="Y2317" s="0" t="s">
        <v>221</v>
      </c>
      <c r="Z2317" s="14" t="s">
        <v>361</v>
      </c>
      <c r="AA2317" s="0" t="s">
        <v>223</v>
      </c>
      <c r="AB2317" s="14" t="s">
        <v>138</v>
      </c>
      <c r="AC2317" s="0" t="s">
        <v>17</v>
      </c>
      <c r="AD2317" s="0" t="s">
        <v>20</v>
      </c>
      <c r="AE2317" s="0" t="s">
        <v>2266</v>
      </c>
      <c r="AF2317" s="0">
        <v>1</v>
      </c>
      <c r="AG2317" s="0">
        <v>0</v>
      </c>
      <c r="AH2317" s="0" t="s">
        <v>140</v>
      </c>
      <c r="AI2317" s="0" t="s">
        <v>598</v>
      </c>
      <c r="AL2317" s="14"/>
      <c r="AN2317" s="14"/>
      <c r="AQ2317" s="0" t="s">
        <v>130</v>
      </c>
      <c r="AR2317" s="0" t="s">
        <v>130</v>
      </c>
      <c r="AS2317" s="0" t="s">
        <v>130</v>
      </c>
      <c r="AT2317" s="0" t="s">
        <v>130</v>
      </c>
      <c r="AU2317" s="0" t="s">
        <v>130</v>
      </c>
      <c r="AV2317" s="0" t="s">
        <v>130</v>
      </c>
      <c r="AW2317" s="0" t="s">
        <v>141</v>
      </c>
      <c r="AX2317" s="0" t="s">
        <v>130</v>
      </c>
      <c r="AY2317" s="0" t="s">
        <v>141</v>
      </c>
      <c r="AZ2317" s="0" t="s">
        <v>130</v>
      </c>
      <c r="BA2317" s="0" t="s">
        <v>130</v>
      </c>
      <c r="BB2317" s="0" t="s">
        <v>130</v>
      </c>
      <c r="BC2317" s="0" t="s">
        <v>141</v>
      </c>
      <c r="BD2317" s="0" t="s">
        <v>130</v>
      </c>
      <c r="BE2317" s="0" t="s">
        <v>130</v>
      </c>
      <c r="BF2317" s="0" t="s">
        <v>130</v>
      </c>
      <c r="BG2317" s="0" t="s">
        <v>130</v>
      </c>
      <c r="BH2317" s="0" t="s">
        <v>141</v>
      </c>
      <c r="BI2317" s="0" t="s">
        <v>141</v>
      </c>
      <c r="BJ2317" s="0" t="s">
        <v>141</v>
      </c>
      <c r="BK2317" s="0" t="s">
        <v>130</v>
      </c>
      <c r="BL2317" s="0" t="s">
        <v>130</v>
      </c>
      <c r="BM2317" s="0" t="s">
        <v>130</v>
      </c>
      <c r="BN2317" s="0" t="s">
        <v>130</v>
      </c>
      <c r="BO2317" s="0" t="s">
        <v>130</v>
      </c>
      <c r="BP2317" s="0" t="s">
        <v>130</v>
      </c>
      <c r="BQ2317" s="0" t="s">
        <v>130</v>
      </c>
      <c r="BR2317" s="0" t="s">
        <v>130</v>
      </c>
      <c r="BS2317" s="0" t="s">
        <v>130</v>
      </c>
      <c r="BT2317" s="0" t="s">
        <v>130</v>
      </c>
      <c r="BU2317" s="0" t="s">
        <v>130</v>
      </c>
      <c r="BV2317" s="0" t="s">
        <v>141</v>
      </c>
      <c r="BW2317" s="0" t="s">
        <v>141</v>
      </c>
      <c r="BX2317" s="0" t="s">
        <v>130</v>
      </c>
      <c r="BY2317" s="0" t="s">
        <v>130</v>
      </c>
      <c r="BZ2317" s="0" t="s">
        <v>130</v>
      </c>
      <c r="CA2317" s="0" t="s">
        <v>130</v>
      </c>
      <c r="CB2317" s="0" t="s">
        <v>130</v>
      </c>
      <c r="CC2317" s="0" t="s">
        <v>130</v>
      </c>
      <c r="CD2317" s="0" t="s">
        <v>130</v>
      </c>
      <c r="CE2317" s="0" t="s">
        <v>130</v>
      </c>
      <c r="CF2317" s="0" t="s">
        <v>130</v>
      </c>
      <c r="CG2317" s="0" t="s">
        <v>130</v>
      </c>
      <c r="CH2317" s="0" t="s">
        <v>130</v>
      </c>
      <c r="CI2317" s="0" t="s">
        <v>130</v>
      </c>
      <c r="CJ2317" s="0" t="s">
        <v>130</v>
      </c>
      <c r="CK2317" s="0" t="s">
        <v>130</v>
      </c>
      <c r="CL2317" s="0" t="s">
        <v>130</v>
      </c>
      <c r="CM2317" s="0" t="s">
        <v>130</v>
      </c>
      <c r="CN2317" s="0" t="s">
        <v>130</v>
      </c>
      <c r="CO2317" s="0" t="s">
        <v>130</v>
      </c>
      <c r="CP2317" s="0" t="s">
        <v>130</v>
      </c>
      <c r="CQ2317" s="0" t="s">
        <v>130</v>
      </c>
      <c r="CR2317" s="0" t="s">
        <v>130</v>
      </c>
      <c r="CS2317" s="0" t="s">
        <v>130</v>
      </c>
      <c r="CT2317" s="0" t="s">
        <v>6399</v>
      </c>
    </row>
    <row r="2318">
      <c r="A2318" s="14">
        <v>100193</v>
      </c>
      <c r="B2318" s="0" t="s">
        <v>6397</v>
      </c>
      <c r="C2318" s="16">
        <f>HYPERLINK("https://eosportal.federatedhermes.com/companies/Q29tcGFueQppNjI0OTk=", "Berkshire Hathaway Inc")</f>
      </c>
      <c r="D2318" s="0" t="s">
        <v>23</v>
      </c>
      <c r="E2318" s="0" t="s">
        <v>228</v>
      </c>
      <c r="F2318" s="16">
        <f>HYPERLINK("https://eosportal.federatedhermes.com/engagements/RW5nYWdlbWVudAppMzMzMjE=", "Climate strategy")</f>
      </c>
      <c r="G2318" s="14" t="s">
        <v>6400</v>
      </c>
      <c r="H2318" s="0" t="s">
        <v>141</v>
      </c>
      <c r="I2318" s="14" t="s">
        <v>636</v>
      </c>
      <c r="J2318" s="0" t="s">
        <v>197</v>
      </c>
      <c r="K2318" s="0" t="s">
        <v>198</v>
      </c>
      <c r="L2318" s="0" t="s">
        <v>220</v>
      </c>
      <c r="M2318" s="0" t="s">
        <v>135</v>
      </c>
      <c r="N2318" s="0" t="s">
        <v>136</v>
      </c>
      <c r="O2318" s="0" t="s">
        <v>238</v>
      </c>
      <c r="Q2318" s="0" t="s">
        <v>130</v>
      </c>
      <c r="R2318" s="0" t="s">
        <v>130</v>
      </c>
      <c r="S2318" s="14">
        <v>0</v>
      </c>
      <c r="T2318" s="0" t="s">
        <v>360</v>
      </c>
      <c r="U2318" s="0" t="s">
        <v>221</v>
      </c>
      <c r="V2318" s="14" t="s">
        <v>360</v>
      </c>
      <c r="W2318" s="0" t="s">
        <v>221</v>
      </c>
      <c r="X2318" s="14" t="s">
        <v>360</v>
      </c>
      <c r="Y2318" s="0" t="s">
        <v>1255</v>
      </c>
      <c r="Z2318" s="14" t="s">
        <v>361</v>
      </c>
      <c r="AA2318" s="0" t="s">
        <v>1255</v>
      </c>
      <c r="AB2318" s="14" t="s">
        <v>361</v>
      </c>
      <c r="AD2318" s="0" t="s">
        <v>1256</v>
      </c>
      <c r="AF2318" s="0">
        <v>0</v>
      </c>
      <c r="AG2318" s="0">
        <v>0</v>
      </c>
      <c r="AH2318" s="0" t="s">
        <v>140</v>
      </c>
      <c r="AI2318" s="0" t="s">
        <v>1255</v>
      </c>
      <c r="AJ2318" s="0" t="s">
        <v>6401</v>
      </c>
      <c r="AL2318" s="14"/>
      <c r="AN2318" s="14"/>
      <c r="AQ2318" s="0" t="s">
        <v>130</v>
      </c>
      <c r="AR2318" s="0" t="s">
        <v>130</v>
      </c>
      <c r="AS2318" s="0" t="s">
        <v>130</v>
      </c>
      <c r="AT2318" s="0" t="s">
        <v>130</v>
      </c>
      <c r="AU2318" s="0" t="s">
        <v>130</v>
      </c>
      <c r="AV2318" s="0" t="s">
        <v>130</v>
      </c>
      <c r="AW2318" s="0" t="s">
        <v>141</v>
      </c>
      <c r="AX2318" s="0" t="s">
        <v>130</v>
      </c>
      <c r="AY2318" s="0" t="s">
        <v>141</v>
      </c>
      <c r="AZ2318" s="0" t="s">
        <v>130</v>
      </c>
      <c r="BA2318" s="0" t="s">
        <v>130</v>
      </c>
      <c r="BB2318" s="0" t="s">
        <v>130</v>
      </c>
      <c r="BC2318" s="0" t="s">
        <v>141</v>
      </c>
      <c r="BD2318" s="0" t="s">
        <v>130</v>
      </c>
      <c r="BE2318" s="0" t="s">
        <v>130</v>
      </c>
      <c r="BF2318" s="0" t="s">
        <v>130</v>
      </c>
      <c r="BG2318" s="0" t="s">
        <v>130</v>
      </c>
      <c r="BH2318" s="0" t="s">
        <v>141</v>
      </c>
      <c r="BI2318" s="0" t="s">
        <v>141</v>
      </c>
      <c r="BJ2318" s="0" t="s">
        <v>141</v>
      </c>
      <c r="BK2318" s="0" t="s">
        <v>130</v>
      </c>
      <c r="BL2318" s="0" t="s">
        <v>130</v>
      </c>
      <c r="BM2318" s="0" t="s">
        <v>130</v>
      </c>
      <c r="BN2318" s="0" t="s">
        <v>130</v>
      </c>
      <c r="BO2318" s="0" t="s">
        <v>130</v>
      </c>
      <c r="BP2318" s="0" t="s">
        <v>130</v>
      </c>
      <c r="BQ2318" s="0" t="s">
        <v>130</v>
      </c>
      <c r="BR2318" s="0" t="s">
        <v>130</v>
      </c>
      <c r="BS2318" s="0" t="s">
        <v>130</v>
      </c>
      <c r="BT2318" s="0" t="s">
        <v>130</v>
      </c>
      <c r="BU2318" s="0" t="s">
        <v>130</v>
      </c>
      <c r="BV2318" s="0" t="s">
        <v>141</v>
      </c>
      <c r="BW2318" s="0" t="s">
        <v>141</v>
      </c>
      <c r="BX2318" s="0" t="s">
        <v>130</v>
      </c>
      <c r="BY2318" s="0" t="s">
        <v>130</v>
      </c>
      <c r="BZ2318" s="0" t="s">
        <v>130</v>
      </c>
      <c r="CA2318" s="0" t="s">
        <v>130</v>
      </c>
      <c r="CB2318" s="0" t="s">
        <v>130</v>
      </c>
      <c r="CC2318" s="0" t="s">
        <v>130</v>
      </c>
      <c r="CD2318" s="0" t="s">
        <v>130</v>
      </c>
      <c r="CE2318" s="0" t="s">
        <v>130</v>
      </c>
      <c r="CF2318" s="0" t="s">
        <v>130</v>
      </c>
      <c r="CG2318" s="0" t="s">
        <v>130</v>
      </c>
      <c r="CH2318" s="0" t="s">
        <v>130</v>
      </c>
      <c r="CI2318" s="0" t="s">
        <v>130</v>
      </c>
      <c r="CJ2318" s="0" t="s">
        <v>130</v>
      </c>
      <c r="CK2318" s="0" t="s">
        <v>130</v>
      </c>
      <c r="CL2318" s="0" t="s">
        <v>130</v>
      </c>
      <c r="CM2318" s="0" t="s">
        <v>130</v>
      </c>
      <c r="CN2318" s="0" t="s">
        <v>130</v>
      </c>
      <c r="CO2318" s="0" t="s">
        <v>130</v>
      </c>
      <c r="CP2318" s="0" t="s">
        <v>130</v>
      </c>
      <c r="CQ2318" s="0" t="s">
        <v>130</v>
      </c>
      <c r="CR2318" s="0" t="s">
        <v>130</v>
      </c>
      <c r="CS2318" s="0" t="s">
        <v>130</v>
      </c>
      <c r="CT2318" s="0" t="s">
        <v>6402</v>
      </c>
    </row>
    <row r="2319">
      <c r="A2319" s="14">
        <v>70940270</v>
      </c>
      <c r="B2319" s="0" t="s">
        <v>4590</v>
      </c>
      <c r="C2319" s="16">
        <f>HYPERLINK("https://eosportal.federatedhermes.com/companies/Q29tcGFueQppODU0MTY=", "Linde PLC")</f>
      </c>
      <c r="D2319" s="0" t="s">
        <v>25</v>
      </c>
      <c r="E2319" s="0" t="s">
        <v>6133</v>
      </c>
      <c r="F2319" s="16">
        <f>HYPERLINK("https://eosportal.federatedhermes.com/engagements/RW5nYWdlbWVudAppMzMzNDY=", "Net Zero Transition Plan (NZEI)")</f>
      </c>
      <c r="G2319" s="14" t="s">
        <v>6134</v>
      </c>
      <c r="H2319" s="0" t="s">
        <v>141</v>
      </c>
      <c r="I2319" s="14" t="s">
        <v>191</v>
      </c>
      <c r="J2319" s="0" t="s">
        <v>197</v>
      </c>
      <c r="K2319" s="0" t="s">
        <v>198</v>
      </c>
      <c r="L2319" s="0" t="s">
        <v>216</v>
      </c>
      <c r="M2319" s="0" t="s">
        <v>135</v>
      </c>
      <c r="N2319" s="0" t="s">
        <v>136</v>
      </c>
      <c r="O2319" s="0" t="s">
        <v>706</v>
      </c>
      <c r="Q2319" s="0" t="s">
        <v>130</v>
      </c>
      <c r="R2319" s="0" t="s">
        <v>138</v>
      </c>
      <c r="S2319" s="14">
        <v>0</v>
      </c>
      <c r="T2319" s="0" t="s">
        <v>2629</v>
      </c>
      <c r="U2319" s="0" t="s">
        <v>138</v>
      </c>
      <c r="V2319" s="14" t="s">
        <v>138</v>
      </c>
      <c r="W2319" s="0" t="s">
        <v>138</v>
      </c>
      <c r="X2319" s="14" t="s">
        <v>138</v>
      </c>
      <c r="Y2319" s="0" t="s">
        <v>138</v>
      </c>
      <c r="Z2319" s="14" t="s">
        <v>138</v>
      </c>
      <c r="AA2319" s="0" t="s">
        <v>138</v>
      </c>
      <c r="AB2319" s="14" t="s">
        <v>138</v>
      </c>
      <c r="AD2319" s="0" t="s">
        <v>138</v>
      </c>
      <c r="AF2319" s="0">
        <v>0</v>
      </c>
      <c r="AG2319" s="0">
        <v>0</v>
      </c>
      <c r="AH2319" s="0" t="s">
        <v>140</v>
      </c>
      <c r="AI2319" s="0" t="s">
        <v>138</v>
      </c>
      <c r="AL2319" s="14"/>
      <c r="AN2319" s="14"/>
      <c r="AQ2319" s="0" t="s">
        <v>130</v>
      </c>
      <c r="AR2319" s="0" t="s">
        <v>130</v>
      </c>
      <c r="AS2319" s="0" t="s">
        <v>130</v>
      </c>
      <c r="AT2319" s="0" t="s">
        <v>130</v>
      </c>
      <c r="AU2319" s="0" t="s">
        <v>130</v>
      </c>
      <c r="AV2319" s="0" t="s">
        <v>130</v>
      </c>
      <c r="AW2319" s="0" t="s">
        <v>141</v>
      </c>
      <c r="AX2319" s="0" t="s">
        <v>130</v>
      </c>
      <c r="AY2319" s="0" t="s">
        <v>130</v>
      </c>
      <c r="AZ2319" s="0" t="s">
        <v>130</v>
      </c>
      <c r="BA2319" s="0" t="s">
        <v>130</v>
      </c>
      <c r="BB2319" s="0" t="s">
        <v>130</v>
      </c>
      <c r="BC2319" s="0" t="s">
        <v>141</v>
      </c>
      <c r="BD2319" s="0" t="s">
        <v>130</v>
      </c>
      <c r="BE2319" s="0" t="s">
        <v>130</v>
      </c>
      <c r="BF2319" s="0" t="s">
        <v>130</v>
      </c>
      <c r="BG2319" s="0" t="s">
        <v>130</v>
      </c>
      <c r="BH2319" s="0" t="s">
        <v>141</v>
      </c>
      <c r="BI2319" s="0" t="s">
        <v>141</v>
      </c>
      <c r="BJ2319" s="0" t="s">
        <v>141</v>
      </c>
      <c r="BK2319" s="0" t="s">
        <v>130</v>
      </c>
      <c r="BL2319" s="0" t="s">
        <v>130</v>
      </c>
      <c r="BM2319" s="0" t="s">
        <v>130</v>
      </c>
      <c r="BN2319" s="0" t="s">
        <v>130</v>
      </c>
      <c r="BO2319" s="0" t="s">
        <v>130</v>
      </c>
      <c r="BP2319" s="0" t="s">
        <v>130</v>
      </c>
      <c r="BQ2319" s="0" t="s">
        <v>130</v>
      </c>
      <c r="BR2319" s="0" t="s">
        <v>130</v>
      </c>
      <c r="BS2319" s="0" t="s">
        <v>130</v>
      </c>
      <c r="BT2319" s="0" t="s">
        <v>130</v>
      </c>
      <c r="BU2319" s="0" t="s">
        <v>130</v>
      </c>
      <c r="BV2319" s="0" t="s">
        <v>141</v>
      </c>
      <c r="BW2319" s="0" t="s">
        <v>141</v>
      </c>
      <c r="BX2319" s="0" t="s">
        <v>130</v>
      </c>
      <c r="BY2319" s="0" t="s">
        <v>130</v>
      </c>
      <c r="BZ2319" s="0" t="s">
        <v>130</v>
      </c>
      <c r="CA2319" s="0" t="s">
        <v>130</v>
      </c>
      <c r="CB2319" s="0" t="s">
        <v>130</v>
      </c>
      <c r="CC2319" s="0" t="s">
        <v>130</v>
      </c>
      <c r="CD2319" s="0" t="s">
        <v>130</v>
      </c>
      <c r="CE2319" s="0" t="s">
        <v>130</v>
      </c>
      <c r="CF2319" s="0" t="s">
        <v>130</v>
      </c>
      <c r="CG2319" s="0" t="s">
        <v>130</v>
      </c>
      <c r="CH2319" s="0" t="s">
        <v>130</v>
      </c>
      <c r="CI2319" s="0" t="s">
        <v>130</v>
      </c>
      <c r="CJ2319" s="0" t="s">
        <v>130</v>
      </c>
      <c r="CK2319" s="0" t="s">
        <v>130</v>
      </c>
      <c r="CL2319" s="0" t="s">
        <v>130</v>
      </c>
      <c r="CM2319" s="0" t="s">
        <v>130</v>
      </c>
      <c r="CN2319" s="0" t="s">
        <v>130</v>
      </c>
      <c r="CO2319" s="0" t="s">
        <v>130</v>
      </c>
      <c r="CP2319" s="0" t="s">
        <v>130</v>
      </c>
      <c r="CQ2319" s="0" t="s">
        <v>130</v>
      </c>
      <c r="CR2319" s="0" t="s">
        <v>130</v>
      </c>
      <c r="CS2319" s="0" t="s">
        <v>130</v>
      </c>
      <c r="CT2319" s="0" t="s">
        <v>6403</v>
      </c>
    </row>
    <row r="2320">
      <c r="A2320" s="14">
        <v>101034</v>
      </c>
      <c r="B2320" s="0" t="s">
        <v>1164</v>
      </c>
      <c r="C2320" s="16">
        <f>HYPERLINK("https://eosportal.federatedhermes.com/companies/Q29tcGFueQppNTg5NTM=", "National Australia Bank Ltd")</f>
      </c>
      <c r="D2320" s="0" t="s">
        <v>23</v>
      </c>
      <c r="E2320" s="0" t="s">
        <v>6404</v>
      </c>
      <c r="F2320" s="16">
        <f>HYPERLINK("https://eosportal.federatedhermes.com/engagements/RW5nYWdlbWVudAppMzMzNTA=", "Just transition integration")</f>
      </c>
      <c r="G2320" s="14" t="s">
        <v>6405</v>
      </c>
      <c r="H2320" s="0" t="s">
        <v>141</v>
      </c>
      <c r="I2320" s="14" t="s">
        <v>131</v>
      </c>
      <c r="J2320" s="0" t="s">
        <v>197</v>
      </c>
      <c r="K2320" s="0" t="s">
        <v>198</v>
      </c>
      <c r="L2320" s="0" t="s">
        <v>199</v>
      </c>
      <c r="M2320" s="0" t="s">
        <v>371</v>
      </c>
      <c r="N2320" s="0" t="s">
        <v>372</v>
      </c>
      <c r="O2320" s="0" t="s">
        <v>238</v>
      </c>
      <c r="Q2320" s="0" t="s">
        <v>141</v>
      </c>
      <c r="R2320" s="0" t="s">
        <v>130</v>
      </c>
      <c r="S2320" s="14">
        <v>1</v>
      </c>
      <c r="T2320" s="0" t="s">
        <v>360</v>
      </c>
      <c r="U2320" s="0" t="s">
        <v>221</v>
      </c>
      <c r="V2320" s="14" t="s">
        <v>360</v>
      </c>
      <c r="W2320" s="0" t="s">
        <v>221</v>
      </c>
      <c r="X2320" s="14" t="s">
        <v>446</v>
      </c>
      <c r="Y2320" s="0" t="s">
        <v>221</v>
      </c>
      <c r="Z2320" s="14" t="s">
        <v>2842</v>
      </c>
      <c r="AA2320" s="0" t="s">
        <v>223</v>
      </c>
      <c r="AB2320" s="14" t="s">
        <v>138</v>
      </c>
      <c r="AD2320" s="0" t="s">
        <v>20</v>
      </c>
      <c r="AF2320" s="0">
        <v>0</v>
      </c>
      <c r="AG2320" s="0">
        <v>0</v>
      </c>
      <c r="AH2320" s="0" t="s">
        <v>140</v>
      </c>
      <c r="AI2320" s="0" t="s">
        <v>598</v>
      </c>
      <c r="AK2320" s="0" t="s">
        <v>578</v>
      </c>
      <c r="AL2320" s="14"/>
      <c r="AN2320" s="14"/>
      <c r="AQ2320" s="0" t="s">
        <v>130</v>
      </c>
      <c r="AR2320" s="0" t="s">
        <v>130</v>
      </c>
      <c r="AS2320" s="0" t="s">
        <v>130</v>
      </c>
      <c r="AT2320" s="0" t="s">
        <v>130</v>
      </c>
      <c r="AU2320" s="0" t="s">
        <v>130</v>
      </c>
      <c r="AV2320" s="0" t="s">
        <v>130</v>
      </c>
      <c r="AW2320" s="0" t="s">
        <v>130</v>
      </c>
      <c r="AX2320" s="0" t="s">
        <v>130</v>
      </c>
      <c r="AY2320" s="0" t="s">
        <v>130</v>
      </c>
      <c r="AZ2320" s="0" t="s">
        <v>130</v>
      </c>
      <c r="BA2320" s="0" t="s">
        <v>130</v>
      </c>
      <c r="BB2320" s="0" t="s">
        <v>141</v>
      </c>
      <c r="BC2320" s="0" t="s">
        <v>130</v>
      </c>
      <c r="BD2320" s="0" t="s">
        <v>130</v>
      </c>
      <c r="BE2320" s="0" t="s">
        <v>130</v>
      </c>
      <c r="BF2320" s="0" t="s">
        <v>130</v>
      </c>
      <c r="BG2320" s="0" t="s">
        <v>130</v>
      </c>
      <c r="BH2320" s="0" t="s">
        <v>130</v>
      </c>
      <c r="BI2320" s="0" t="s">
        <v>130</v>
      </c>
      <c r="BJ2320" s="0" t="s">
        <v>130</v>
      </c>
      <c r="BK2320" s="0" t="s">
        <v>130</v>
      </c>
      <c r="BL2320" s="0" t="s">
        <v>130</v>
      </c>
      <c r="BM2320" s="0" t="s">
        <v>130</v>
      </c>
      <c r="BN2320" s="0" t="s">
        <v>130</v>
      </c>
      <c r="BO2320" s="0" t="s">
        <v>130</v>
      </c>
      <c r="BP2320" s="0" t="s">
        <v>130</v>
      </c>
      <c r="BQ2320" s="0" t="s">
        <v>130</v>
      </c>
      <c r="BR2320" s="0" t="s">
        <v>130</v>
      </c>
      <c r="BS2320" s="0" t="s">
        <v>130</v>
      </c>
      <c r="BT2320" s="0" t="s">
        <v>130</v>
      </c>
      <c r="BU2320" s="0" t="s">
        <v>130</v>
      </c>
      <c r="BV2320" s="0" t="s">
        <v>130</v>
      </c>
      <c r="BW2320" s="0" t="s">
        <v>130</v>
      </c>
      <c r="BX2320" s="0" t="s">
        <v>130</v>
      </c>
      <c r="BY2320" s="0" t="s">
        <v>130</v>
      </c>
      <c r="BZ2320" s="0" t="s">
        <v>130</v>
      </c>
      <c r="CA2320" s="0" t="s">
        <v>130</v>
      </c>
      <c r="CB2320" s="0" t="s">
        <v>130</v>
      </c>
      <c r="CC2320" s="0" t="s">
        <v>130</v>
      </c>
      <c r="CD2320" s="0" t="s">
        <v>130</v>
      </c>
      <c r="CE2320" s="0" t="s">
        <v>130</v>
      </c>
      <c r="CF2320" s="0" t="s">
        <v>130</v>
      </c>
      <c r="CG2320" s="0" t="s">
        <v>130</v>
      </c>
      <c r="CH2320" s="0" t="s">
        <v>130</v>
      </c>
      <c r="CI2320" s="0" t="s">
        <v>130</v>
      </c>
      <c r="CJ2320" s="0" t="s">
        <v>130</v>
      </c>
      <c r="CK2320" s="0" t="s">
        <v>130</v>
      </c>
      <c r="CL2320" s="0" t="s">
        <v>130</v>
      </c>
      <c r="CM2320" s="0" t="s">
        <v>130</v>
      </c>
      <c r="CN2320" s="0" t="s">
        <v>130</v>
      </c>
      <c r="CO2320" s="0" t="s">
        <v>130</v>
      </c>
      <c r="CP2320" s="0" t="s">
        <v>130</v>
      </c>
      <c r="CQ2320" s="0" t="s">
        <v>130</v>
      </c>
      <c r="CR2320" s="0" t="s">
        <v>130</v>
      </c>
      <c r="CS2320" s="0" t="s">
        <v>130</v>
      </c>
      <c r="CT2320" s="0" t="s">
        <v>6406</v>
      </c>
    </row>
    <row r="2321">
      <c r="A2321" s="14">
        <v>101034</v>
      </c>
      <c r="B2321" s="0" t="s">
        <v>1164</v>
      </c>
      <c r="C2321" s="16">
        <f>HYPERLINK("https://eosportal.federatedhermes.com/companies/Q29tcGFueQppNTg5NTM=", "National Australia Bank Ltd")</f>
      </c>
      <c r="D2321" s="0" t="s">
        <v>23</v>
      </c>
      <c r="E2321" s="0" t="s">
        <v>6407</v>
      </c>
      <c r="F2321" s="16">
        <f>HYPERLINK("https://eosportal.federatedhermes.com/engagements/RW5nYWdlbWVudAppMzMzNTE=", "Climate strategy roadmap")</f>
      </c>
      <c r="G2321" s="14" t="s">
        <v>6408</v>
      </c>
      <c r="H2321" s="0" t="s">
        <v>141</v>
      </c>
      <c r="I2321" s="14" t="s">
        <v>131</v>
      </c>
      <c r="J2321" s="0" t="s">
        <v>197</v>
      </c>
      <c r="K2321" s="0" t="s">
        <v>198</v>
      </c>
      <c r="L2321" s="0" t="s">
        <v>216</v>
      </c>
      <c r="M2321" s="0" t="s">
        <v>371</v>
      </c>
      <c r="N2321" s="0" t="s">
        <v>372</v>
      </c>
      <c r="O2321" s="0" t="s">
        <v>238</v>
      </c>
      <c r="Q2321" s="0" t="s">
        <v>141</v>
      </c>
      <c r="R2321" s="0" t="s">
        <v>130</v>
      </c>
      <c r="S2321" s="14">
        <v>1</v>
      </c>
      <c r="T2321" s="0" t="s">
        <v>360</v>
      </c>
      <c r="U2321" s="0" t="s">
        <v>221</v>
      </c>
      <c r="V2321" s="14" t="s">
        <v>360</v>
      </c>
      <c r="W2321" s="0" t="s">
        <v>221</v>
      </c>
      <c r="X2321" s="14" t="s">
        <v>446</v>
      </c>
      <c r="Y2321" s="0" t="s">
        <v>221</v>
      </c>
      <c r="Z2321" s="14" t="s">
        <v>446</v>
      </c>
      <c r="AA2321" s="0" t="s">
        <v>223</v>
      </c>
      <c r="AB2321" s="14" t="s">
        <v>138</v>
      </c>
      <c r="AD2321" s="0" t="s">
        <v>20</v>
      </c>
      <c r="AF2321" s="0">
        <v>0</v>
      </c>
      <c r="AG2321" s="0">
        <v>0</v>
      </c>
      <c r="AH2321" s="0" t="s">
        <v>140</v>
      </c>
      <c r="AI2321" s="0" t="s">
        <v>598</v>
      </c>
      <c r="AK2321" s="0" t="s">
        <v>578</v>
      </c>
      <c r="AL2321" s="14"/>
      <c r="AN2321" s="14"/>
      <c r="AQ2321" s="0" t="s">
        <v>130</v>
      </c>
      <c r="AR2321" s="0" t="s">
        <v>130</v>
      </c>
      <c r="AS2321" s="0" t="s">
        <v>130</v>
      </c>
      <c r="AT2321" s="0" t="s">
        <v>130</v>
      </c>
      <c r="AU2321" s="0" t="s">
        <v>130</v>
      </c>
      <c r="AV2321" s="0" t="s">
        <v>130</v>
      </c>
      <c r="AW2321" s="0" t="s">
        <v>141</v>
      </c>
      <c r="AX2321" s="0" t="s">
        <v>130</v>
      </c>
      <c r="AY2321" s="0" t="s">
        <v>130</v>
      </c>
      <c r="AZ2321" s="0" t="s">
        <v>130</v>
      </c>
      <c r="BA2321" s="0" t="s">
        <v>130</v>
      </c>
      <c r="BB2321" s="0" t="s">
        <v>130</v>
      </c>
      <c r="BC2321" s="0" t="s">
        <v>141</v>
      </c>
      <c r="BD2321" s="0" t="s">
        <v>130</v>
      </c>
      <c r="BE2321" s="0" t="s">
        <v>130</v>
      </c>
      <c r="BF2321" s="0" t="s">
        <v>130</v>
      </c>
      <c r="BG2321" s="0" t="s">
        <v>130</v>
      </c>
      <c r="BH2321" s="0" t="s">
        <v>141</v>
      </c>
      <c r="BI2321" s="0" t="s">
        <v>141</v>
      </c>
      <c r="BJ2321" s="0" t="s">
        <v>141</v>
      </c>
      <c r="BK2321" s="0" t="s">
        <v>130</v>
      </c>
      <c r="BL2321" s="0" t="s">
        <v>130</v>
      </c>
      <c r="BM2321" s="0" t="s">
        <v>130</v>
      </c>
      <c r="BN2321" s="0" t="s">
        <v>130</v>
      </c>
      <c r="BO2321" s="0" t="s">
        <v>130</v>
      </c>
      <c r="BP2321" s="0" t="s">
        <v>130</v>
      </c>
      <c r="BQ2321" s="0" t="s">
        <v>130</v>
      </c>
      <c r="BR2321" s="0" t="s">
        <v>130</v>
      </c>
      <c r="BS2321" s="0" t="s">
        <v>130</v>
      </c>
      <c r="BT2321" s="0" t="s">
        <v>130</v>
      </c>
      <c r="BU2321" s="0" t="s">
        <v>130</v>
      </c>
      <c r="BV2321" s="0" t="s">
        <v>141</v>
      </c>
      <c r="BW2321" s="0" t="s">
        <v>141</v>
      </c>
      <c r="BX2321" s="0" t="s">
        <v>130</v>
      </c>
      <c r="BY2321" s="0" t="s">
        <v>130</v>
      </c>
      <c r="BZ2321" s="0" t="s">
        <v>130</v>
      </c>
      <c r="CA2321" s="0" t="s">
        <v>130</v>
      </c>
      <c r="CB2321" s="0" t="s">
        <v>130</v>
      </c>
      <c r="CC2321" s="0" t="s">
        <v>130</v>
      </c>
      <c r="CD2321" s="0" t="s">
        <v>130</v>
      </c>
      <c r="CE2321" s="0" t="s">
        <v>130</v>
      </c>
      <c r="CF2321" s="0" t="s">
        <v>130</v>
      </c>
      <c r="CG2321" s="0" t="s">
        <v>130</v>
      </c>
      <c r="CH2321" s="0" t="s">
        <v>130</v>
      </c>
      <c r="CI2321" s="0" t="s">
        <v>130</v>
      </c>
      <c r="CJ2321" s="0" t="s">
        <v>130</v>
      </c>
      <c r="CK2321" s="0" t="s">
        <v>130</v>
      </c>
      <c r="CL2321" s="0" t="s">
        <v>130</v>
      </c>
      <c r="CM2321" s="0" t="s">
        <v>130</v>
      </c>
      <c r="CN2321" s="0" t="s">
        <v>130</v>
      </c>
      <c r="CO2321" s="0" t="s">
        <v>130</v>
      </c>
      <c r="CP2321" s="0" t="s">
        <v>130</v>
      </c>
      <c r="CQ2321" s="0" t="s">
        <v>130</v>
      </c>
      <c r="CR2321" s="0" t="s">
        <v>130</v>
      </c>
      <c r="CS2321" s="0" t="s">
        <v>130</v>
      </c>
      <c r="CT2321" s="0" t="s">
        <v>6409</v>
      </c>
    </row>
    <row r="2322">
      <c r="A2322" s="14">
        <v>194598</v>
      </c>
      <c r="B2322" s="0" t="s">
        <v>6410</v>
      </c>
      <c r="C2322" s="16">
        <f>HYPERLINK("https://eosportal.federatedhermes.com/companies/Q29tcGFueQppNDYxNzU=", "Fresenius Medical Care AG")</f>
      </c>
      <c r="D2322" s="0" t="s">
        <v>23</v>
      </c>
      <c r="E2322" s="0" t="s">
        <v>6411</v>
      </c>
      <c r="F2322" s="16">
        <f>HYPERLINK("https://eosportal.federatedhermes.com/engagements/RW5nYWdlbWVudAppMzMzNTI=", "Decent work - living wages and decent employment")</f>
      </c>
      <c r="G2322" s="14" t="s">
        <v>6412</v>
      </c>
      <c r="H2322" s="0" t="s">
        <v>130</v>
      </c>
      <c r="I2322" s="14" t="s">
        <v>131</v>
      </c>
      <c r="J2322" s="0" t="s">
        <v>153</v>
      </c>
      <c r="K2322" s="0" t="s">
        <v>154</v>
      </c>
      <c r="L2322" s="0" t="s">
        <v>306</v>
      </c>
      <c r="M2322" s="0" t="s">
        <v>378</v>
      </c>
      <c r="N2322" s="0" t="s">
        <v>2485</v>
      </c>
      <c r="O2322" s="0" t="s">
        <v>274</v>
      </c>
      <c r="Q2322" s="0" t="s">
        <v>130</v>
      </c>
      <c r="R2322" s="0" t="s">
        <v>141</v>
      </c>
      <c r="S2322" s="14">
        <v>0</v>
      </c>
      <c r="T2322" s="0" t="s">
        <v>360</v>
      </c>
      <c r="U2322" s="0" t="s">
        <v>221</v>
      </c>
      <c r="V2322" s="14" t="s">
        <v>360</v>
      </c>
      <c r="W2322" s="0" t="s">
        <v>221</v>
      </c>
      <c r="X2322" s="14" t="s">
        <v>360</v>
      </c>
      <c r="Y2322" s="0" t="s">
        <v>221</v>
      </c>
      <c r="Z2322" s="14" t="s">
        <v>361</v>
      </c>
      <c r="AA2322" s="0" t="s">
        <v>221</v>
      </c>
      <c r="AB2322" s="14" t="s">
        <v>361</v>
      </c>
      <c r="AC2322" s="0" t="s">
        <v>1261</v>
      </c>
      <c r="AD2322" s="0" t="s">
        <v>362</v>
      </c>
      <c r="AE2322" s="0" t="s">
        <v>1262</v>
      </c>
      <c r="AF2322" s="0">
        <v>2</v>
      </c>
      <c r="AG2322" s="0">
        <v>0</v>
      </c>
      <c r="AH2322" s="0" t="s">
        <v>140</v>
      </c>
      <c r="AI2322" s="0" t="s">
        <v>221</v>
      </c>
      <c r="AJ2322" s="0" t="s">
        <v>577</v>
      </c>
      <c r="AL2322" s="14"/>
      <c r="AN2322" s="14"/>
      <c r="AQ2322" s="0" t="s">
        <v>141</v>
      </c>
      <c r="AR2322" s="0" t="s">
        <v>130</v>
      </c>
      <c r="AS2322" s="0" t="s">
        <v>130</v>
      </c>
      <c r="AT2322" s="0" t="s">
        <v>130</v>
      </c>
      <c r="AU2322" s="0" t="s">
        <v>130</v>
      </c>
      <c r="AV2322" s="0" t="s">
        <v>130</v>
      </c>
      <c r="AW2322" s="0" t="s">
        <v>130</v>
      </c>
      <c r="AX2322" s="0" t="s">
        <v>141</v>
      </c>
      <c r="AY2322" s="0" t="s">
        <v>130</v>
      </c>
      <c r="AZ2322" s="0" t="s">
        <v>141</v>
      </c>
      <c r="BA2322" s="0" t="s">
        <v>130</v>
      </c>
      <c r="BB2322" s="0" t="s">
        <v>130</v>
      </c>
      <c r="BC2322" s="0" t="s">
        <v>130</v>
      </c>
      <c r="BD2322" s="0" t="s">
        <v>130</v>
      </c>
      <c r="BE2322" s="0" t="s">
        <v>130</v>
      </c>
      <c r="BF2322" s="0" t="s">
        <v>130</v>
      </c>
      <c r="BG2322" s="0" t="s">
        <v>130</v>
      </c>
      <c r="BH2322" s="0" t="s">
        <v>130</v>
      </c>
      <c r="BI2322" s="0" t="s">
        <v>130</v>
      </c>
      <c r="BJ2322" s="0" t="s">
        <v>130</v>
      </c>
      <c r="BK2322" s="0" t="s">
        <v>130</v>
      </c>
      <c r="BL2322" s="0" t="s">
        <v>130</v>
      </c>
      <c r="BM2322" s="0" t="s">
        <v>130</v>
      </c>
      <c r="BN2322" s="0" t="s">
        <v>130</v>
      </c>
      <c r="BO2322" s="0" t="s">
        <v>130</v>
      </c>
      <c r="BP2322" s="0" t="s">
        <v>130</v>
      </c>
      <c r="BQ2322" s="0" t="s">
        <v>130</v>
      </c>
      <c r="BR2322" s="0" t="s">
        <v>130</v>
      </c>
      <c r="BS2322" s="0" t="s">
        <v>130</v>
      </c>
      <c r="BT2322" s="0" t="s">
        <v>130</v>
      </c>
      <c r="BU2322" s="0" t="s">
        <v>130</v>
      </c>
      <c r="BV2322" s="0" t="s">
        <v>130</v>
      </c>
      <c r="BW2322" s="0" t="s">
        <v>130</v>
      </c>
      <c r="BX2322" s="0" t="s">
        <v>130</v>
      </c>
      <c r="BY2322" s="0" t="s">
        <v>130</v>
      </c>
      <c r="BZ2322" s="0" t="s">
        <v>130</v>
      </c>
      <c r="CA2322" s="0" t="s">
        <v>130</v>
      </c>
      <c r="CB2322" s="0" t="s">
        <v>130</v>
      </c>
      <c r="CC2322" s="0" t="s">
        <v>130</v>
      </c>
      <c r="CD2322" s="0" t="s">
        <v>130</v>
      </c>
      <c r="CE2322" s="0" t="s">
        <v>130</v>
      </c>
      <c r="CF2322" s="0" t="s">
        <v>130</v>
      </c>
      <c r="CG2322" s="0" t="s">
        <v>130</v>
      </c>
      <c r="CH2322" s="0" t="s">
        <v>130</v>
      </c>
      <c r="CI2322" s="0" t="s">
        <v>130</v>
      </c>
      <c r="CJ2322" s="0" t="s">
        <v>130</v>
      </c>
      <c r="CK2322" s="0" t="s">
        <v>130</v>
      </c>
      <c r="CL2322" s="0" t="s">
        <v>130</v>
      </c>
      <c r="CM2322" s="0" t="s">
        <v>130</v>
      </c>
      <c r="CN2322" s="0" t="s">
        <v>130</v>
      </c>
      <c r="CO2322" s="0" t="s">
        <v>130</v>
      </c>
      <c r="CP2322" s="0" t="s">
        <v>130</v>
      </c>
      <c r="CQ2322" s="0" t="s">
        <v>130</v>
      </c>
      <c r="CR2322" s="0" t="s">
        <v>130</v>
      </c>
      <c r="CS2322" s="0" t="s">
        <v>130</v>
      </c>
      <c r="CT2322" s="0" t="s">
        <v>6413</v>
      </c>
    </row>
    <row r="2323">
      <c r="A2323" s="14">
        <v>825197</v>
      </c>
      <c r="B2323" s="0" t="s">
        <v>3349</v>
      </c>
      <c r="C2323" s="16">
        <f>HYPERLINK("https://eosportal.federatedhermes.com/companies/Q29tcGFueQppNTU3NDQ=", "ABB Ltd")</f>
      </c>
      <c r="D2323" s="0" t="s">
        <v>23</v>
      </c>
      <c r="E2323" s="0" t="s">
        <v>6414</v>
      </c>
      <c r="F2323" s="16">
        <f>HYPERLINK("https://eosportal.federatedhermes.com/engagements/RW5nYWdlbWVudAppMzMzNTM=", "Decarbonisation Roadmap")</f>
      </c>
      <c r="G2323" s="14" t="s">
        <v>6415</v>
      </c>
      <c r="H2323" s="0" t="s">
        <v>141</v>
      </c>
      <c r="I2323" s="14" t="s">
        <v>191</v>
      </c>
      <c r="J2323" s="0" t="s">
        <v>197</v>
      </c>
      <c r="K2323" s="0" t="s">
        <v>198</v>
      </c>
      <c r="L2323" s="0" t="s">
        <v>216</v>
      </c>
      <c r="M2323" s="0" t="s">
        <v>378</v>
      </c>
      <c r="N2323" s="0" t="s">
        <v>1059</v>
      </c>
      <c r="O2323" s="0" t="s">
        <v>176</v>
      </c>
      <c r="Q2323" s="0" t="s">
        <v>130</v>
      </c>
      <c r="R2323" s="0" t="s">
        <v>141</v>
      </c>
      <c r="S2323" s="14">
        <v>0</v>
      </c>
      <c r="T2323" s="0" t="s">
        <v>2629</v>
      </c>
      <c r="U2323" s="0" t="s">
        <v>221</v>
      </c>
      <c r="V2323" s="14" t="s">
        <v>2629</v>
      </c>
      <c r="W2323" s="0" t="s">
        <v>221</v>
      </c>
      <c r="X2323" s="14" t="s">
        <v>446</v>
      </c>
      <c r="Y2323" s="0" t="s">
        <v>221</v>
      </c>
      <c r="Z2323" s="14" t="s">
        <v>4412</v>
      </c>
      <c r="AA2323" s="0" t="s">
        <v>221</v>
      </c>
      <c r="AB2323" s="14" t="s">
        <v>361</v>
      </c>
      <c r="AC2323" s="0" t="s">
        <v>20</v>
      </c>
      <c r="AD2323" s="0" t="s">
        <v>362</v>
      </c>
      <c r="AE2323" s="0" t="s">
        <v>3788</v>
      </c>
      <c r="AF2323" s="0">
        <v>1</v>
      </c>
      <c r="AG2323" s="0">
        <v>0</v>
      </c>
      <c r="AH2323" s="0" t="s">
        <v>140</v>
      </c>
      <c r="AI2323" s="0" t="s">
        <v>221</v>
      </c>
      <c r="AJ2323" s="0" t="s">
        <v>577</v>
      </c>
      <c r="AL2323" s="14" t="s">
        <v>291</v>
      </c>
      <c r="AM2323" s="0" t="s">
        <v>580</v>
      </c>
      <c r="AN2323" s="14"/>
      <c r="AP2323" s="0" t="s">
        <v>413</v>
      </c>
      <c r="AQ2323" s="0" t="s">
        <v>130</v>
      </c>
      <c r="AR2323" s="0" t="s">
        <v>130</v>
      </c>
      <c r="AS2323" s="0" t="s">
        <v>130</v>
      </c>
      <c r="AT2323" s="0" t="s">
        <v>130</v>
      </c>
      <c r="AU2323" s="0" t="s">
        <v>130</v>
      </c>
      <c r="AV2323" s="0" t="s">
        <v>130</v>
      </c>
      <c r="AW2323" s="0" t="s">
        <v>141</v>
      </c>
      <c r="AX2323" s="0" t="s">
        <v>130</v>
      </c>
      <c r="AY2323" s="0" t="s">
        <v>130</v>
      </c>
      <c r="AZ2323" s="0" t="s">
        <v>130</v>
      </c>
      <c r="BA2323" s="0" t="s">
        <v>130</v>
      </c>
      <c r="BB2323" s="0" t="s">
        <v>130</v>
      </c>
      <c r="BC2323" s="0" t="s">
        <v>141</v>
      </c>
      <c r="BD2323" s="0" t="s">
        <v>130</v>
      </c>
      <c r="BE2323" s="0" t="s">
        <v>130</v>
      </c>
      <c r="BF2323" s="0" t="s">
        <v>130</v>
      </c>
      <c r="BG2323" s="0" t="s">
        <v>130</v>
      </c>
      <c r="BH2323" s="0" t="s">
        <v>141</v>
      </c>
      <c r="BI2323" s="0" t="s">
        <v>141</v>
      </c>
      <c r="BJ2323" s="0" t="s">
        <v>141</v>
      </c>
      <c r="BK2323" s="0" t="s">
        <v>130</v>
      </c>
      <c r="BL2323" s="0" t="s">
        <v>130</v>
      </c>
      <c r="BM2323" s="0" t="s">
        <v>130</v>
      </c>
      <c r="BN2323" s="0" t="s">
        <v>130</v>
      </c>
      <c r="BO2323" s="0" t="s">
        <v>130</v>
      </c>
      <c r="BP2323" s="0" t="s">
        <v>130</v>
      </c>
      <c r="BQ2323" s="0" t="s">
        <v>130</v>
      </c>
      <c r="BR2323" s="0" t="s">
        <v>130</v>
      </c>
      <c r="BS2323" s="0" t="s">
        <v>130</v>
      </c>
      <c r="BT2323" s="0" t="s">
        <v>130</v>
      </c>
      <c r="BU2323" s="0" t="s">
        <v>130</v>
      </c>
      <c r="BV2323" s="0" t="s">
        <v>141</v>
      </c>
      <c r="BW2323" s="0" t="s">
        <v>141</v>
      </c>
      <c r="BX2323" s="0" t="s">
        <v>130</v>
      </c>
      <c r="BY2323" s="0" t="s">
        <v>130</v>
      </c>
      <c r="BZ2323" s="0" t="s">
        <v>130</v>
      </c>
      <c r="CA2323" s="0" t="s">
        <v>130</v>
      </c>
      <c r="CB2323" s="0" t="s">
        <v>130</v>
      </c>
      <c r="CC2323" s="0" t="s">
        <v>130</v>
      </c>
      <c r="CD2323" s="0" t="s">
        <v>130</v>
      </c>
      <c r="CE2323" s="0" t="s">
        <v>130</v>
      </c>
      <c r="CF2323" s="0" t="s">
        <v>130</v>
      </c>
      <c r="CG2323" s="0" t="s">
        <v>130</v>
      </c>
      <c r="CH2323" s="0" t="s">
        <v>130</v>
      </c>
      <c r="CI2323" s="0" t="s">
        <v>130</v>
      </c>
      <c r="CJ2323" s="0" t="s">
        <v>130</v>
      </c>
      <c r="CK2323" s="0" t="s">
        <v>130</v>
      </c>
      <c r="CL2323" s="0" t="s">
        <v>130</v>
      </c>
      <c r="CM2323" s="0" t="s">
        <v>130</v>
      </c>
      <c r="CN2323" s="0" t="s">
        <v>130</v>
      </c>
      <c r="CO2323" s="0" t="s">
        <v>130</v>
      </c>
      <c r="CP2323" s="0" t="s">
        <v>130</v>
      </c>
      <c r="CQ2323" s="0" t="s">
        <v>130</v>
      </c>
      <c r="CR2323" s="0" t="s">
        <v>130</v>
      </c>
      <c r="CS2323" s="0" t="s">
        <v>130</v>
      </c>
      <c r="CT2323" s="0" t="s">
        <v>6416</v>
      </c>
    </row>
    <row r="2324">
      <c r="A2324" s="14">
        <v>100481</v>
      </c>
      <c r="B2324" s="0" t="s">
        <v>673</v>
      </c>
      <c r="C2324" s="16">
        <f>HYPERLINK("https://eosportal.federatedhermes.com/companies/Q29tcGFueQppNjQzNjU=", "Duke Energy Corp")</f>
      </c>
      <c r="D2324" s="0" t="s">
        <v>25</v>
      </c>
      <c r="E2324" s="0" t="s">
        <v>6417</v>
      </c>
      <c r="F2324" s="16">
        <f>HYPERLINK("https://eosportal.federatedhermes.com/engagements/RW5nYWdlbWVudAppMzMzNjY=", "Capital allocation is aligned with 1.5 degrees")</f>
      </c>
      <c r="G2324" s="14" t="s">
        <v>6418</v>
      </c>
      <c r="H2324" s="0" t="s">
        <v>141</v>
      </c>
      <c r="I2324" s="14" t="s">
        <v>191</v>
      </c>
      <c r="J2324" s="0" t="s">
        <v>197</v>
      </c>
      <c r="K2324" s="0" t="s">
        <v>198</v>
      </c>
      <c r="L2324" s="0" t="s">
        <v>216</v>
      </c>
      <c r="M2324" s="0" t="s">
        <v>135</v>
      </c>
      <c r="N2324" s="0" t="s">
        <v>136</v>
      </c>
      <c r="O2324" s="0" t="s">
        <v>192</v>
      </c>
      <c r="Q2324" s="0" t="s">
        <v>141</v>
      </c>
      <c r="R2324" s="0" t="s">
        <v>138</v>
      </c>
      <c r="S2324" s="14">
        <v>2</v>
      </c>
      <c r="T2324" s="0" t="s">
        <v>360</v>
      </c>
      <c r="U2324" s="0" t="s">
        <v>138</v>
      </c>
      <c r="V2324" s="14" t="s">
        <v>138</v>
      </c>
      <c r="W2324" s="0" t="s">
        <v>138</v>
      </c>
      <c r="X2324" s="14" t="s">
        <v>138</v>
      </c>
      <c r="Y2324" s="0" t="s">
        <v>138</v>
      </c>
      <c r="Z2324" s="14" t="s">
        <v>138</v>
      </c>
      <c r="AA2324" s="0" t="s">
        <v>138</v>
      </c>
      <c r="AB2324" s="14" t="s">
        <v>138</v>
      </c>
      <c r="AD2324" s="0" t="s">
        <v>138</v>
      </c>
      <c r="AF2324" s="0">
        <v>0</v>
      </c>
      <c r="AG2324" s="0">
        <v>0</v>
      </c>
      <c r="AH2324" s="0" t="s">
        <v>140</v>
      </c>
      <c r="AI2324" s="0" t="s">
        <v>138</v>
      </c>
      <c r="AK2324" s="0" t="s">
        <v>4146</v>
      </c>
      <c r="AL2324" s="14"/>
      <c r="AN2324" s="14"/>
      <c r="AQ2324" s="0" t="s">
        <v>130</v>
      </c>
      <c r="AR2324" s="0" t="s">
        <v>130</v>
      </c>
      <c r="AS2324" s="0" t="s">
        <v>130</v>
      </c>
      <c r="AT2324" s="0" t="s">
        <v>130</v>
      </c>
      <c r="AU2324" s="0" t="s">
        <v>130</v>
      </c>
      <c r="AV2324" s="0" t="s">
        <v>130</v>
      </c>
      <c r="AW2324" s="0" t="s">
        <v>141</v>
      </c>
      <c r="AX2324" s="0" t="s">
        <v>130</v>
      </c>
      <c r="AY2324" s="0" t="s">
        <v>130</v>
      </c>
      <c r="AZ2324" s="0" t="s">
        <v>130</v>
      </c>
      <c r="BA2324" s="0" t="s">
        <v>130</v>
      </c>
      <c r="BB2324" s="0" t="s">
        <v>130</v>
      </c>
      <c r="BC2324" s="0" t="s">
        <v>141</v>
      </c>
      <c r="BD2324" s="0" t="s">
        <v>130</v>
      </c>
      <c r="BE2324" s="0" t="s">
        <v>130</v>
      </c>
      <c r="BF2324" s="0" t="s">
        <v>130</v>
      </c>
      <c r="BG2324" s="0" t="s">
        <v>130</v>
      </c>
      <c r="BH2324" s="0" t="s">
        <v>141</v>
      </c>
      <c r="BI2324" s="0" t="s">
        <v>141</v>
      </c>
      <c r="BJ2324" s="0" t="s">
        <v>141</v>
      </c>
      <c r="BK2324" s="0" t="s">
        <v>130</v>
      </c>
      <c r="BL2324" s="0" t="s">
        <v>130</v>
      </c>
      <c r="BM2324" s="0" t="s">
        <v>130</v>
      </c>
      <c r="BN2324" s="0" t="s">
        <v>130</v>
      </c>
      <c r="BO2324" s="0" t="s">
        <v>130</v>
      </c>
      <c r="BP2324" s="0" t="s">
        <v>130</v>
      </c>
      <c r="BQ2324" s="0" t="s">
        <v>130</v>
      </c>
      <c r="BR2324" s="0" t="s">
        <v>130</v>
      </c>
      <c r="BS2324" s="0" t="s">
        <v>130</v>
      </c>
      <c r="BT2324" s="0" t="s">
        <v>130</v>
      </c>
      <c r="BU2324" s="0" t="s">
        <v>130</v>
      </c>
      <c r="BV2324" s="0" t="s">
        <v>141</v>
      </c>
      <c r="BW2324" s="0" t="s">
        <v>141</v>
      </c>
      <c r="BX2324" s="0" t="s">
        <v>130</v>
      </c>
      <c r="BY2324" s="0" t="s">
        <v>130</v>
      </c>
      <c r="BZ2324" s="0" t="s">
        <v>130</v>
      </c>
      <c r="CA2324" s="0" t="s">
        <v>130</v>
      </c>
      <c r="CB2324" s="0" t="s">
        <v>130</v>
      </c>
      <c r="CC2324" s="0" t="s">
        <v>130</v>
      </c>
      <c r="CD2324" s="0" t="s">
        <v>130</v>
      </c>
      <c r="CE2324" s="0" t="s">
        <v>130</v>
      </c>
      <c r="CF2324" s="0" t="s">
        <v>130</v>
      </c>
      <c r="CG2324" s="0" t="s">
        <v>130</v>
      </c>
      <c r="CH2324" s="0" t="s">
        <v>130</v>
      </c>
      <c r="CI2324" s="0" t="s">
        <v>130</v>
      </c>
      <c r="CJ2324" s="0" t="s">
        <v>130</v>
      </c>
      <c r="CK2324" s="0" t="s">
        <v>130</v>
      </c>
      <c r="CL2324" s="0" t="s">
        <v>130</v>
      </c>
      <c r="CM2324" s="0" t="s">
        <v>130</v>
      </c>
      <c r="CN2324" s="0" t="s">
        <v>130</v>
      </c>
      <c r="CO2324" s="0" t="s">
        <v>130</v>
      </c>
      <c r="CP2324" s="0" t="s">
        <v>130</v>
      </c>
      <c r="CQ2324" s="0" t="s">
        <v>130</v>
      </c>
      <c r="CR2324" s="0" t="s">
        <v>130</v>
      </c>
      <c r="CS2324" s="0" t="s">
        <v>130</v>
      </c>
      <c r="CT2324" s="0" t="s">
        <v>6419</v>
      </c>
    </row>
    <row r="2325">
      <c r="A2325" s="14">
        <v>7938107</v>
      </c>
      <c r="B2325" s="0" t="s">
        <v>6281</v>
      </c>
      <c r="C2325" s="16">
        <f>HYPERLINK("https://eosportal.federatedhermes.com/companies/Q29tcGFueQppNDY2ODY=", "Evonik Industries AG")</f>
      </c>
      <c r="D2325" s="0" t="s">
        <v>25</v>
      </c>
      <c r="E2325" s="0" t="s">
        <v>712</v>
      </c>
      <c r="F2325" s="16">
        <f>HYPERLINK("https://eosportal.federatedhermes.com/engagements/RW5nYWdlbWVudAppMzMzNjc=", "Hazardous chemicals management")</f>
      </c>
      <c r="G2325" s="14" t="s">
        <v>6420</v>
      </c>
      <c r="H2325" s="0" t="s">
        <v>130</v>
      </c>
      <c r="I2325" s="14" t="s">
        <v>319</v>
      </c>
      <c r="J2325" s="0" t="s">
        <v>197</v>
      </c>
      <c r="K2325" s="0" t="s">
        <v>348</v>
      </c>
      <c r="L2325" s="0" t="s">
        <v>650</v>
      </c>
      <c r="M2325" s="0" t="s">
        <v>378</v>
      </c>
      <c r="N2325" s="0" t="s">
        <v>2485</v>
      </c>
      <c r="O2325" s="0" t="s">
        <v>706</v>
      </c>
      <c r="Q2325" s="0" t="s">
        <v>141</v>
      </c>
      <c r="R2325" s="0" t="s">
        <v>138</v>
      </c>
      <c r="S2325" s="14">
        <v>1</v>
      </c>
      <c r="T2325" s="0" t="s">
        <v>360</v>
      </c>
      <c r="U2325" s="0" t="s">
        <v>138</v>
      </c>
      <c r="V2325" s="14" t="s">
        <v>138</v>
      </c>
      <c r="W2325" s="0" t="s">
        <v>138</v>
      </c>
      <c r="X2325" s="14" t="s">
        <v>138</v>
      </c>
      <c r="Y2325" s="0" t="s">
        <v>138</v>
      </c>
      <c r="Z2325" s="14" t="s">
        <v>138</v>
      </c>
      <c r="AA2325" s="0" t="s">
        <v>138</v>
      </c>
      <c r="AB2325" s="14" t="s">
        <v>138</v>
      </c>
      <c r="AD2325" s="0" t="s">
        <v>138</v>
      </c>
      <c r="AF2325" s="0">
        <v>0</v>
      </c>
      <c r="AG2325" s="0">
        <v>0</v>
      </c>
      <c r="AH2325" s="0" t="s">
        <v>140</v>
      </c>
      <c r="AI2325" s="0" t="s">
        <v>138</v>
      </c>
      <c r="AK2325" s="0" t="s">
        <v>714</v>
      </c>
      <c r="AL2325" s="14"/>
      <c r="AN2325" s="14"/>
      <c r="AQ2325" s="0" t="s">
        <v>130</v>
      </c>
      <c r="AR2325" s="0" t="s">
        <v>130</v>
      </c>
      <c r="AS2325" s="0" t="s">
        <v>141</v>
      </c>
      <c r="AT2325" s="0" t="s">
        <v>130</v>
      </c>
      <c r="AU2325" s="0" t="s">
        <v>130</v>
      </c>
      <c r="AV2325" s="0" t="s">
        <v>130</v>
      </c>
      <c r="AW2325" s="0" t="s">
        <v>130</v>
      </c>
      <c r="AX2325" s="0" t="s">
        <v>130</v>
      </c>
      <c r="AY2325" s="0" t="s">
        <v>130</v>
      </c>
      <c r="AZ2325" s="0" t="s">
        <v>130</v>
      </c>
      <c r="BA2325" s="0" t="s">
        <v>130</v>
      </c>
      <c r="BB2325" s="0" t="s">
        <v>141</v>
      </c>
      <c r="BC2325" s="0" t="s">
        <v>130</v>
      </c>
      <c r="BD2325" s="0" t="s">
        <v>130</v>
      </c>
      <c r="BE2325" s="0" t="s">
        <v>130</v>
      </c>
      <c r="BF2325" s="0" t="s">
        <v>130</v>
      </c>
      <c r="BG2325" s="0" t="s">
        <v>130</v>
      </c>
      <c r="BH2325" s="0" t="s">
        <v>130</v>
      </c>
      <c r="BI2325" s="0" t="s">
        <v>130</v>
      </c>
      <c r="BJ2325" s="0" t="s">
        <v>130</v>
      </c>
      <c r="BK2325" s="0" t="s">
        <v>130</v>
      </c>
      <c r="BL2325" s="0" t="s">
        <v>130</v>
      </c>
      <c r="BM2325" s="0" t="s">
        <v>130</v>
      </c>
      <c r="BN2325" s="0" t="s">
        <v>130</v>
      </c>
      <c r="BO2325" s="0" t="s">
        <v>130</v>
      </c>
      <c r="BP2325" s="0" t="s">
        <v>130</v>
      </c>
      <c r="BQ2325" s="0" t="s">
        <v>130</v>
      </c>
      <c r="BR2325" s="0" t="s">
        <v>130</v>
      </c>
      <c r="BS2325" s="0" t="s">
        <v>130</v>
      </c>
      <c r="BT2325" s="0" t="s">
        <v>130</v>
      </c>
      <c r="BU2325" s="0" t="s">
        <v>130</v>
      </c>
      <c r="BV2325" s="0" t="s">
        <v>130</v>
      </c>
      <c r="BW2325" s="0" t="s">
        <v>130</v>
      </c>
      <c r="BX2325" s="0" t="s">
        <v>130</v>
      </c>
      <c r="BY2325" s="0" t="s">
        <v>130</v>
      </c>
      <c r="BZ2325" s="0" t="s">
        <v>130</v>
      </c>
      <c r="CA2325" s="0" t="s">
        <v>130</v>
      </c>
      <c r="CB2325" s="0" t="s">
        <v>130</v>
      </c>
      <c r="CC2325" s="0" t="s">
        <v>130</v>
      </c>
      <c r="CD2325" s="0" t="s">
        <v>130</v>
      </c>
      <c r="CE2325" s="0" t="s">
        <v>130</v>
      </c>
      <c r="CF2325" s="0" t="s">
        <v>130</v>
      </c>
      <c r="CG2325" s="0" t="s">
        <v>130</v>
      </c>
      <c r="CH2325" s="0" t="s">
        <v>130</v>
      </c>
      <c r="CI2325" s="0" t="s">
        <v>130</v>
      </c>
      <c r="CJ2325" s="0" t="s">
        <v>130</v>
      </c>
      <c r="CK2325" s="0" t="s">
        <v>130</v>
      </c>
      <c r="CL2325" s="0" t="s">
        <v>130</v>
      </c>
      <c r="CM2325" s="0" t="s">
        <v>130</v>
      </c>
      <c r="CN2325" s="0" t="s">
        <v>130</v>
      </c>
      <c r="CO2325" s="0" t="s">
        <v>130</v>
      </c>
      <c r="CP2325" s="0" t="s">
        <v>130</v>
      </c>
      <c r="CQ2325" s="0" t="s">
        <v>130</v>
      </c>
      <c r="CR2325" s="0" t="s">
        <v>130</v>
      </c>
      <c r="CS2325" s="0" t="s">
        <v>130</v>
      </c>
      <c r="CT2325" s="0" t="s">
        <v>6421</v>
      </c>
    </row>
    <row r="2326">
      <c r="A2326" s="14">
        <v>48365101</v>
      </c>
      <c r="B2326" s="0" t="s">
        <v>5271</v>
      </c>
      <c r="C2326" s="16">
        <f>HYPERLINK("https://eosportal.federatedhermes.com/companies/Q29tcGFueQppNjc5MTI=", "Corteva Inc")</f>
      </c>
      <c r="D2326" s="0" t="s">
        <v>25</v>
      </c>
      <c r="E2326" s="0" t="s">
        <v>712</v>
      </c>
      <c r="F2326" s="16">
        <f>HYPERLINK("https://eosportal.federatedhermes.com/engagements/RW5nYWdlbWVudAppMzMzNzA=", "Hazardous chemicals management")</f>
      </c>
      <c r="G2326" s="14" t="s">
        <v>6420</v>
      </c>
      <c r="H2326" s="0" t="s">
        <v>130</v>
      </c>
      <c r="I2326" s="14" t="s">
        <v>319</v>
      </c>
      <c r="J2326" s="0" t="s">
        <v>197</v>
      </c>
      <c r="K2326" s="0" t="s">
        <v>348</v>
      </c>
      <c r="L2326" s="0" t="s">
        <v>650</v>
      </c>
      <c r="M2326" s="0" t="s">
        <v>135</v>
      </c>
      <c r="N2326" s="0" t="s">
        <v>136</v>
      </c>
      <c r="O2326" s="0" t="s">
        <v>706</v>
      </c>
      <c r="Q2326" s="0" t="s">
        <v>141</v>
      </c>
      <c r="R2326" s="0" t="s">
        <v>138</v>
      </c>
      <c r="S2326" s="14">
        <v>1</v>
      </c>
      <c r="T2326" s="0" t="s">
        <v>360</v>
      </c>
      <c r="U2326" s="0" t="s">
        <v>138</v>
      </c>
      <c r="V2326" s="14" t="s">
        <v>138</v>
      </c>
      <c r="W2326" s="0" t="s">
        <v>138</v>
      </c>
      <c r="X2326" s="14" t="s">
        <v>138</v>
      </c>
      <c r="Y2326" s="0" t="s">
        <v>138</v>
      </c>
      <c r="Z2326" s="14" t="s">
        <v>138</v>
      </c>
      <c r="AA2326" s="0" t="s">
        <v>138</v>
      </c>
      <c r="AB2326" s="14" t="s">
        <v>138</v>
      </c>
      <c r="AD2326" s="0" t="s">
        <v>138</v>
      </c>
      <c r="AF2326" s="0">
        <v>0</v>
      </c>
      <c r="AG2326" s="0">
        <v>0</v>
      </c>
      <c r="AH2326" s="0" t="s">
        <v>140</v>
      </c>
      <c r="AI2326" s="0" t="s">
        <v>138</v>
      </c>
      <c r="AK2326" s="0" t="s">
        <v>714</v>
      </c>
      <c r="AL2326" s="14"/>
      <c r="AN2326" s="14"/>
      <c r="AQ2326" s="0" t="s">
        <v>130</v>
      </c>
      <c r="AR2326" s="0" t="s">
        <v>130</v>
      </c>
      <c r="AS2326" s="0" t="s">
        <v>141</v>
      </c>
      <c r="AT2326" s="0" t="s">
        <v>130</v>
      </c>
      <c r="AU2326" s="0" t="s">
        <v>130</v>
      </c>
      <c r="AV2326" s="0" t="s">
        <v>130</v>
      </c>
      <c r="AW2326" s="0" t="s">
        <v>130</v>
      </c>
      <c r="AX2326" s="0" t="s">
        <v>130</v>
      </c>
      <c r="AY2326" s="0" t="s">
        <v>130</v>
      </c>
      <c r="AZ2326" s="0" t="s">
        <v>130</v>
      </c>
      <c r="BA2326" s="0" t="s">
        <v>130</v>
      </c>
      <c r="BB2326" s="0" t="s">
        <v>141</v>
      </c>
      <c r="BC2326" s="0" t="s">
        <v>130</v>
      </c>
      <c r="BD2326" s="0" t="s">
        <v>130</v>
      </c>
      <c r="BE2326" s="0" t="s">
        <v>130</v>
      </c>
      <c r="BF2326" s="0" t="s">
        <v>130</v>
      </c>
      <c r="BG2326" s="0" t="s">
        <v>130</v>
      </c>
      <c r="BH2326" s="0" t="s">
        <v>130</v>
      </c>
      <c r="BI2326" s="0" t="s">
        <v>130</v>
      </c>
      <c r="BJ2326" s="0" t="s">
        <v>130</v>
      </c>
      <c r="BK2326" s="0" t="s">
        <v>130</v>
      </c>
      <c r="BL2326" s="0" t="s">
        <v>130</v>
      </c>
      <c r="BM2326" s="0" t="s">
        <v>130</v>
      </c>
      <c r="BN2326" s="0" t="s">
        <v>130</v>
      </c>
      <c r="BO2326" s="0" t="s">
        <v>130</v>
      </c>
      <c r="BP2326" s="0" t="s">
        <v>130</v>
      </c>
      <c r="BQ2326" s="0" t="s">
        <v>130</v>
      </c>
      <c r="BR2326" s="0" t="s">
        <v>130</v>
      </c>
      <c r="BS2326" s="0" t="s">
        <v>130</v>
      </c>
      <c r="BT2326" s="0" t="s">
        <v>130</v>
      </c>
      <c r="BU2326" s="0" t="s">
        <v>130</v>
      </c>
      <c r="BV2326" s="0" t="s">
        <v>130</v>
      </c>
      <c r="BW2326" s="0" t="s">
        <v>130</v>
      </c>
      <c r="BX2326" s="0" t="s">
        <v>130</v>
      </c>
      <c r="BY2326" s="0" t="s">
        <v>130</v>
      </c>
      <c r="BZ2326" s="0" t="s">
        <v>130</v>
      </c>
      <c r="CA2326" s="0" t="s">
        <v>130</v>
      </c>
      <c r="CB2326" s="0" t="s">
        <v>130</v>
      </c>
      <c r="CC2326" s="0" t="s">
        <v>130</v>
      </c>
      <c r="CD2326" s="0" t="s">
        <v>130</v>
      </c>
      <c r="CE2326" s="0" t="s">
        <v>130</v>
      </c>
      <c r="CF2326" s="0" t="s">
        <v>130</v>
      </c>
      <c r="CG2326" s="0" t="s">
        <v>130</v>
      </c>
      <c r="CH2326" s="0" t="s">
        <v>130</v>
      </c>
      <c r="CI2326" s="0" t="s">
        <v>130</v>
      </c>
      <c r="CJ2326" s="0" t="s">
        <v>130</v>
      </c>
      <c r="CK2326" s="0" t="s">
        <v>130</v>
      </c>
      <c r="CL2326" s="0" t="s">
        <v>130</v>
      </c>
      <c r="CM2326" s="0" t="s">
        <v>130</v>
      </c>
      <c r="CN2326" s="0" t="s">
        <v>130</v>
      </c>
      <c r="CO2326" s="0" t="s">
        <v>130</v>
      </c>
      <c r="CP2326" s="0" t="s">
        <v>130</v>
      </c>
      <c r="CQ2326" s="0" t="s">
        <v>130</v>
      </c>
      <c r="CR2326" s="0" t="s">
        <v>130</v>
      </c>
      <c r="CS2326" s="0" t="s">
        <v>130</v>
      </c>
      <c r="CT2326" s="0" t="s">
        <v>6422</v>
      </c>
    </row>
    <row r="2327">
      <c r="A2327" s="14">
        <v>115648</v>
      </c>
      <c r="B2327" s="0" t="s">
        <v>4930</v>
      </c>
      <c r="C2327" s="16">
        <f>HYPERLINK("https://eosportal.federatedhermes.com/companies/Q29tcGFueQppNzI3NTY=", "Akzo Nobel NV")</f>
      </c>
      <c r="D2327" s="0" t="s">
        <v>25</v>
      </c>
      <c r="E2327" s="0" t="s">
        <v>6423</v>
      </c>
      <c r="F2327" s="16">
        <f>HYPERLINK("https://eosportal.federatedhermes.com/engagements/RW5nYWdlbWVudAppMzMzNzE=", "PFAS (per- and polyfluoroalkyl substances)")</f>
      </c>
      <c r="G2327" s="14" t="s">
        <v>6424</v>
      </c>
      <c r="H2327" s="0" t="s">
        <v>130</v>
      </c>
      <c r="I2327" s="14" t="s">
        <v>319</v>
      </c>
      <c r="J2327" s="0" t="s">
        <v>197</v>
      </c>
      <c r="K2327" s="0" t="s">
        <v>348</v>
      </c>
      <c r="L2327" s="0" t="s">
        <v>650</v>
      </c>
      <c r="M2327" s="0" t="s">
        <v>378</v>
      </c>
      <c r="N2327" s="0" t="s">
        <v>2554</v>
      </c>
      <c r="O2327" s="0" t="s">
        <v>706</v>
      </c>
      <c r="Q2327" s="0" t="s">
        <v>141</v>
      </c>
      <c r="R2327" s="0" t="s">
        <v>138</v>
      </c>
      <c r="S2327" s="14">
        <v>1</v>
      </c>
      <c r="T2327" s="0" t="s">
        <v>360</v>
      </c>
      <c r="U2327" s="0" t="s">
        <v>138</v>
      </c>
      <c r="V2327" s="14" t="s">
        <v>138</v>
      </c>
      <c r="W2327" s="0" t="s">
        <v>138</v>
      </c>
      <c r="X2327" s="14" t="s">
        <v>138</v>
      </c>
      <c r="Y2327" s="0" t="s">
        <v>138</v>
      </c>
      <c r="Z2327" s="14" t="s">
        <v>138</v>
      </c>
      <c r="AA2327" s="0" t="s">
        <v>138</v>
      </c>
      <c r="AB2327" s="14" t="s">
        <v>138</v>
      </c>
      <c r="AD2327" s="0" t="s">
        <v>138</v>
      </c>
      <c r="AF2327" s="0">
        <v>0</v>
      </c>
      <c r="AG2327" s="0">
        <v>0</v>
      </c>
      <c r="AH2327" s="0" t="s">
        <v>140</v>
      </c>
      <c r="AI2327" s="0" t="s">
        <v>138</v>
      </c>
      <c r="AK2327" s="0" t="s">
        <v>714</v>
      </c>
      <c r="AL2327" s="14"/>
      <c r="AN2327" s="14"/>
      <c r="AQ2327" s="0" t="s">
        <v>130</v>
      </c>
      <c r="AR2327" s="0" t="s">
        <v>130</v>
      </c>
      <c r="AS2327" s="0" t="s">
        <v>141</v>
      </c>
      <c r="AT2327" s="0" t="s">
        <v>130</v>
      </c>
      <c r="AU2327" s="0" t="s">
        <v>130</v>
      </c>
      <c r="AV2327" s="0" t="s">
        <v>130</v>
      </c>
      <c r="AW2327" s="0" t="s">
        <v>130</v>
      </c>
      <c r="AX2327" s="0" t="s">
        <v>130</v>
      </c>
      <c r="AY2327" s="0" t="s">
        <v>130</v>
      </c>
      <c r="AZ2327" s="0" t="s">
        <v>130</v>
      </c>
      <c r="BA2327" s="0" t="s">
        <v>130</v>
      </c>
      <c r="BB2327" s="0" t="s">
        <v>141</v>
      </c>
      <c r="BC2327" s="0" t="s">
        <v>130</v>
      </c>
      <c r="BD2327" s="0" t="s">
        <v>130</v>
      </c>
      <c r="BE2327" s="0" t="s">
        <v>130</v>
      </c>
      <c r="BF2327" s="0" t="s">
        <v>130</v>
      </c>
      <c r="BG2327" s="0" t="s">
        <v>130</v>
      </c>
      <c r="BH2327" s="0" t="s">
        <v>130</v>
      </c>
      <c r="BI2327" s="0" t="s">
        <v>130</v>
      </c>
      <c r="BJ2327" s="0" t="s">
        <v>130</v>
      </c>
      <c r="BK2327" s="0" t="s">
        <v>130</v>
      </c>
      <c r="BL2327" s="0" t="s">
        <v>130</v>
      </c>
      <c r="BM2327" s="0" t="s">
        <v>130</v>
      </c>
      <c r="BN2327" s="0" t="s">
        <v>130</v>
      </c>
      <c r="BO2327" s="0" t="s">
        <v>130</v>
      </c>
      <c r="BP2327" s="0" t="s">
        <v>130</v>
      </c>
      <c r="BQ2327" s="0" t="s">
        <v>130</v>
      </c>
      <c r="BR2327" s="0" t="s">
        <v>130</v>
      </c>
      <c r="BS2327" s="0" t="s">
        <v>130</v>
      </c>
      <c r="BT2327" s="0" t="s">
        <v>130</v>
      </c>
      <c r="BU2327" s="0" t="s">
        <v>130</v>
      </c>
      <c r="BV2327" s="0" t="s">
        <v>130</v>
      </c>
      <c r="BW2327" s="0" t="s">
        <v>130</v>
      </c>
      <c r="BX2327" s="0" t="s">
        <v>130</v>
      </c>
      <c r="BY2327" s="0" t="s">
        <v>130</v>
      </c>
      <c r="BZ2327" s="0" t="s">
        <v>130</v>
      </c>
      <c r="CA2327" s="0" t="s">
        <v>130</v>
      </c>
      <c r="CB2327" s="0" t="s">
        <v>130</v>
      </c>
      <c r="CC2327" s="0" t="s">
        <v>130</v>
      </c>
      <c r="CD2327" s="0" t="s">
        <v>130</v>
      </c>
      <c r="CE2327" s="0" t="s">
        <v>130</v>
      </c>
      <c r="CF2327" s="0" t="s">
        <v>130</v>
      </c>
      <c r="CG2327" s="0" t="s">
        <v>130</v>
      </c>
      <c r="CH2327" s="0" t="s">
        <v>130</v>
      </c>
      <c r="CI2327" s="0" t="s">
        <v>130</v>
      </c>
      <c r="CJ2327" s="0" t="s">
        <v>130</v>
      </c>
      <c r="CK2327" s="0" t="s">
        <v>130</v>
      </c>
      <c r="CL2327" s="0" t="s">
        <v>130</v>
      </c>
      <c r="CM2327" s="0" t="s">
        <v>130</v>
      </c>
      <c r="CN2327" s="0" t="s">
        <v>130</v>
      </c>
      <c r="CO2327" s="0" t="s">
        <v>130</v>
      </c>
      <c r="CP2327" s="0" t="s">
        <v>130</v>
      </c>
      <c r="CQ2327" s="0" t="s">
        <v>130</v>
      </c>
      <c r="CR2327" s="0" t="s">
        <v>130</v>
      </c>
      <c r="CS2327" s="0" t="s">
        <v>130</v>
      </c>
      <c r="CT2327" s="0" t="s">
        <v>6425</v>
      </c>
    </row>
    <row r="2328">
      <c r="A2328" s="14">
        <v>126747</v>
      </c>
      <c r="B2328" s="0" t="s">
        <v>6426</v>
      </c>
      <c r="C2328" s="16">
        <f>HYPERLINK("https://eosportal.federatedhermes.com/companies/Q29tcGFueQppNzQ3NjU=", "Eastman Chemical Co")</f>
      </c>
      <c r="D2328" s="0" t="s">
        <v>25</v>
      </c>
      <c r="E2328" s="0" t="s">
        <v>712</v>
      </c>
      <c r="F2328" s="16">
        <f>HYPERLINK("https://eosportal.federatedhermes.com/engagements/RW5nYWdlbWVudAppMzMzNzM=", "Hazardous chemicals management")</f>
      </c>
      <c r="G2328" s="14" t="s">
        <v>6420</v>
      </c>
      <c r="H2328" s="0" t="s">
        <v>130</v>
      </c>
      <c r="I2328" s="14" t="s">
        <v>319</v>
      </c>
      <c r="J2328" s="0" t="s">
        <v>197</v>
      </c>
      <c r="K2328" s="0" t="s">
        <v>348</v>
      </c>
      <c r="L2328" s="0" t="s">
        <v>650</v>
      </c>
      <c r="M2328" s="0" t="s">
        <v>135</v>
      </c>
      <c r="N2328" s="0" t="s">
        <v>136</v>
      </c>
      <c r="O2328" s="0" t="s">
        <v>706</v>
      </c>
      <c r="Q2328" s="0" t="s">
        <v>141</v>
      </c>
      <c r="R2328" s="0" t="s">
        <v>138</v>
      </c>
      <c r="S2328" s="14">
        <v>1</v>
      </c>
      <c r="T2328" s="0" t="s">
        <v>360</v>
      </c>
      <c r="U2328" s="0" t="s">
        <v>138</v>
      </c>
      <c r="V2328" s="14" t="s">
        <v>138</v>
      </c>
      <c r="W2328" s="0" t="s">
        <v>138</v>
      </c>
      <c r="X2328" s="14" t="s">
        <v>138</v>
      </c>
      <c r="Y2328" s="0" t="s">
        <v>138</v>
      </c>
      <c r="Z2328" s="14" t="s">
        <v>138</v>
      </c>
      <c r="AA2328" s="0" t="s">
        <v>138</v>
      </c>
      <c r="AB2328" s="14" t="s">
        <v>138</v>
      </c>
      <c r="AD2328" s="0" t="s">
        <v>138</v>
      </c>
      <c r="AF2328" s="0">
        <v>0</v>
      </c>
      <c r="AG2328" s="0">
        <v>0</v>
      </c>
      <c r="AH2328" s="0" t="s">
        <v>140</v>
      </c>
      <c r="AI2328" s="0" t="s">
        <v>138</v>
      </c>
      <c r="AK2328" s="0" t="s">
        <v>714</v>
      </c>
      <c r="AL2328" s="14"/>
      <c r="AN2328" s="14"/>
      <c r="AQ2328" s="0" t="s">
        <v>130</v>
      </c>
      <c r="AR2328" s="0" t="s">
        <v>130</v>
      </c>
      <c r="AS2328" s="0" t="s">
        <v>141</v>
      </c>
      <c r="AT2328" s="0" t="s">
        <v>130</v>
      </c>
      <c r="AU2328" s="0" t="s">
        <v>130</v>
      </c>
      <c r="AV2328" s="0" t="s">
        <v>130</v>
      </c>
      <c r="AW2328" s="0" t="s">
        <v>130</v>
      </c>
      <c r="AX2328" s="0" t="s">
        <v>130</v>
      </c>
      <c r="AY2328" s="0" t="s">
        <v>130</v>
      </c>
      <c r="AZ2328" s="0" t="s">
        <v>130</v>
      </c>
      <c r="BA2328" s="0" t="s">
        <v>130</v>
      </c>
      <c r="BB2328" s="0" t="s">
        <v>141</v>
      </c>
      <c r="BC2328" s="0" t="s">
        <v>130</v>
      </c>
      <c r="BD2328" s="0" t="s">
        <v>130</v>
      </c>
      <c r="BE2328" s="0" t="s">
        <v>130</v>
      </c>
      <c r="BF2328" s="0" t="s">
        <v>130</v>
      </c>
      <c r="BG2328" s="0" t="s">
        <v>130</v>
      </c>
      <c r="BH2328" s="0" t="s">
        <v>130</v>
      </c>
      <c r="BI2328" s="0" t="s">
        <v>130</v>
      </c>
      <c r="BJ2328" s="0" t="s">
        <v>130</v>
      </c>
      <c r="BK2328" s="0" t="s">
        <v>130</v>
      </c>
      <c r="BL2328" s="0" t="s">
        <v>130</v>
      </c>
      <c r="BM2328" s="0" t="s">
        <v>130</v>
      </c>
      <c r="BN2328" s="0" t="s">
        <v>130</v>
      </c>
      <c r="BO2328" s="0" t="s">
        <v>130</v>
      </c>
      <c r="BP2328" s="0" t="s">
        <v>130</v>
      </c>
      <c r="BQ2328" s="0" t="s">
        <v>130</v>
      </c>
      <c r="BR2328" s="0" t="s">
        <v>130</v>
      </c>
      <c r="BS2328" s="0" t="s">
        <v>130</v>
      </c>
      <c r="BT2328" s="0" t="s">
        <v>130</v>
      </c>
      <c r="BU2328" s="0" t="s">
        <v>130</v>
      </c>
      <c r="BV2328" s="0" t="s">
        <v>130</v>
      </c>
      <c r="BW2328" s="0" t="s">
        <v>130</v>
      </c>
      <c r="BX2328" s="0" t="s">
        <v>130</v>
      </c>
      <c r="BY2328" s="0" t="s">
        <v>130</v>
      </c>
      <c r="BZ2328" s="0" t="s">
        <v>130</v>
      </c>
      <c r="CA2328" s="0" t="s">
        <v>130</v>
      </c>
      <c r="CB2328" s="0" t="s">
        <v>130</v>
      </c>
      <c r="CC2328" s="0" t="s">
        <v>130</v>
      </c>
      <c r="CD2328" s="0" t="s">
        <v>130</v>
      </c>
      <c r="CE2328" s="0" t="s">
        <v>130</v>
      </c>
      <c r="CF2328" s="0" t="s">
        <v>130</v>
      </c>
      <c r="CG2328" s="0" t="s">
        <v>130</v>
      </c>
      <c r="CH2328" s="0" t="s">
        <v>130</v>
      </c>
      <c r="CI2328" s="0" t="s">
        <v>130</v>
      </c>
      <c r="CJ2328" s="0" t="s">
        <v>130</v>
      </c>
      <c r="CK2328" s="0" t="s">
        <v>130</v>
      </c>
      <c r="CL2328" s="0" t="s">
        <v>130</v>
      </c>
      <c r="CM2328" s="0" t="s">
        <v>130</v>
      </c>
      <c r="CN2328" s="0" t="s">
        <v>130</v>
      </c>
      <c r="CO2328" s="0" t="s">
        <v>130</v>
      </c>
      <c r="CP2328" s="0" t="s">
        <v>130</v>
      </c>
      <c r="CQ2328" s="0" t="s">
        <v>130</v>
      </c>
      <c r="CR2328" s="0" t="s">
        <v>130</v>
      </c>
      <c r="CS2328" s="0" t="s">
        <v>130</v>
      </c>
      <c r="CT2328" s="0" t="s">
        <v>6427</v>
      </c>
    </row>
    <row r="2329">
      <c r="A2329" s="14">
        <v>8641755</v>
      </c>
      <c r="B2329" s="0" t="s">
        <v>3917</v>
      </c>
      <c r="C2329" s="16">
        <f>HYPERLINK("https://eosportal.federatedhermes.com/companies/Q29tcGFueQppODI2NzY=", "Yara International ASA")</f>
      </c>
      <c r="D2329" s="0" t="s">
        <v>25</v>
      </c>
      <c r="E2329" s="0" t="s">
        <v>6423</v>
      </c>
      <c r="F2329" s="16">
        <f>HYPERLINK("https://eosportal.federatedhermes.com/engagements/RW5nYWdlbWVudAppMzMzNzU=", "PFAS (per- and polyfluoroalkyl substances)")</f>
      </c>
      <c r="G2329" s="14" t="s">
        <v>6424</v>
      </c>
      <c r="H2329" s="0" t="s">
        <v>141</v>
      </c>
      <c r="I2329" s="14" t="s">
        <v>636</v>
      </c>
      <c r="J2329" s="0" t="s">
        <v>197</v>
      </c>
      <c r="K2329" s="0" t="s">
        <v>348</v>
      </c>
      <c r="L2329" s="0" t="s">
        <v>650</v>
      </c>
      <c r="M2329" s="0" t="s">
        <v>378</v>
      </c>
      <c r="N2329" s="0" t="s">
        <v>3211</v>
      </c>
      <c r="O2329" s="0" t="s">
        <v>706</v>
      </c>
      <c r="Q2329" s="0" t="s">
        <v>141</v>
      </c>
      <c r="R2329" s="0" t="s">
        <v>138</v>
      </c>
      <c r="S2329" s="14">
        <v>1</v>
      </c>
      <c r="T2329" s="0" t="s">
        <v>360</v>
      </c>
      <c r="U2329" s="0" t="s">
        <v>138</v>
      </c>
      <c r="V2329" s="14" t="s">
        <v>138</v>
      </c>
      <c r="W2329" s="0" t="s">
        <v>138</v>
      </c>
      <c r="X2329" s="14" t="s">
        <v>138</v>
      </c>
      <c r="Y2329" s="0" t="s">
        <v>138</v>
      </c>
      <c r="Z2329" s="14" t="s">
        <v>138</v>
      </c>
      <c r="AA2329" s="0" t="s">
        <v>138</v>
      </c>
      <c r="AB2329" s="14" t="s">
        <v>138</v>
      </c>
      <c r="AD2329" s="0" t="s">
        <v>138</v>
      </c>
      <c r="AF2329" s="0">
        <v>0</v>
      </c>
      <c r="AG2329" s="0">
        <v>0</v>
      </c>
      <c r="AH2329" s="0" t="s">
        <v>140</v>
      </c>
      <c r="AI2329" s="0" t="s">
        <v>138</v>
      </c>
      <c r="AK2329" s="0" t="s">
        <v>714</v>
      </c>
      <c r="AL2329" s="14"/>
      <c r="AN2329" s="14"/>
      <c r="AQ2329" s="0" t="s">
        <v>130</v>
      </c>
      <c r="AR2329" s="0" t="s">
        <v>130</v>
      </c>
      <c r="AS2329" s="0" t="s">
        <v>141</v>
      </c>
      <c r="AT2329" s="0" t="s">
        <v>130</v>
      </c>
      <c r="AU2329" s="0" t="s">
        <v>130</v>
      </c>
      <c r="AV2329" s="0" t="s">
        <v>130</v>
      </c>
      <c r="AW2329" s="0" t="s">
        <v>130</v>
      </c>
      <c r="AX2329" s="0" t="s">
        <v>130</v>
      </c>
      <c r="AY2329" s="0" t="s">
        <v>130</v>
      </c>
      <c r="AZ2329" s="0" t="s">
        <v>130</v>
      </c>
      <c r="BA2329" s="0" t="s">
        <v>130</v>
      </c>
      <c r="BB2329" s="0" t="s">
        <v>141</v>
      </c>
      <c r="BC2329" s="0" t="s">
        <v>130</v>
      </c>
      <c r="BD2329" s="0" t="s">
        <v>130</v>
      </c>
      <c r="BE2329" s="0" t="s">
        <v>130</v>
      </c>
      <c r="BF2329" s="0" t="s">
        <v>130</v>
      </c>
      <c r="BG2329" s="0" t="s">
        <v>130</v>
      </c>
      <c r="BH2329" s="0" t="s">
        <v>130</v>
      </c>
      <c r="BI2329" s="0" t="s">
        <v>130</v>
      </c>
      <c r="BJ2329" s="0" t="s">
        <v>130</v>
      </c>
      <c r="BK2329" s="0" t="s">
        <v>130</v>
      </c>
      <c r="BL2329" s="0" t="s">
        <v>130</v>
      </c>
      <c r="BM2329" s="0" t="s">
        <v>130</v>
      </c>
      <c r="BN2329" s="0" t="s">
        <v>130</v>
      </c>
      <c r="BO2329" s="0" t="s">
        <v>130</v>
      </c>
      <c r="BP2329" s="0" t="s">
        <v>130</v>
      </c>
      <c r="BQ2329" s="0" t="s">
        <v>130</v>
      </c>
      <c r="BR2329" s="0" t="s">
        <v>130</v>
      </c>
      <c r="BS2329" s="0" t="s">
        <v>130</v>
      </c>
      <c r="BT2329" s="0" t="s">
        <v>130</v>
      </c>
      <c r="BU2329" s="0" t="s">
        <v>130</v>
      </c>
      <c r="BV2329" s="0" t="s">
        <v>130</v>
      </c>
      <c r="BW2329" s="0" t="s">
        <v>130</v>
      </c>
      <c r="BX2329" s="0" t="s">
        <v>130</v>
      </c>
      <c r="BY2329" s="0" t="s">
        <v>130</v>
      </c>
      <c r="BZ2329" s="0" t="s">
        <v>130</v>
      </c>
      <c r="CA2329" s="0" t="s">
        <v>130</v>
      </c>
      <c r="CB2329" s="0" t="s">
        <v>130</v>
      </c>
      <c r="CC2329" s="0" t="s">
        <v>130</v>
      </c>
      <c r="CD2329" s="0" t="s">
        <v>130</v>
      </c>
      <c r="CE2329" s="0" t="s">
        <v>130</v>
      </c>
      <c r="CF2329" s="0" t="s">
        <v>130</v>
      </c>
      <c r="CG2329" s="0" t="s">
        <v>130</v>
      </c>
      <c r="CH2329" s="0" t="s">
        <v>130</v>
      </c>
      <c r="CI2329" s="0" t="s">
        <v>130</v>
      </c>
      <c r="CJ2329" s="0" t="s">
        <v>130</v>
      </c>
      <c r="CK2329" s="0" t="s">
        <v>130</v>
      </c>
      <c r="CL2329" s="0" t="s">
        <v>130</v>
      </c>
      <c r="CM2329" s="0" t="s">
        <v>130</v>
      </c>
      <c r="CN2329" s="0" t="s">
        <v>130</v>
      </c>
      <c r="CO2329" s="0" t="s">
        <v>130</v>
      </c>
      <c r="CP2329" s="0" t="s">
        <v>130</v>
      </c>
      <c r="CQ2329" s="0" t="s">
        <v>130</v>
      </c>
      <c r="CR2329" s="0" t="s">
        <v>130</v>
      </c>
      <c r="CS2329" s="0" t="s">
        <v>130</v>
      </c>
      <c r="CT2329" s="0" t="s">
        <v>6428</v>
      </c>
    </row>
    <row r="2330">
      <c r="A2330" s="14">
        <v>115467</v>
      </c>
      <c r="B2330" s="0" t="s">
        <v>2421</v>
      </c>
      <c r="C2330" s="16">
        <f>HYPERLINK("https://eosportal.federatedhermes.com/companies/Q29tcGFueQppNTg0Nzc=", "Kering SA")</f>
      </c>
      <c r="D2330" s="0" t="s">
        <v>23</v>
      </c>
      <c r="E2330" s="0" t="s">
        <v>6429</v>
      </c>
      <c r="F2330" s="16">
        <f>HYPERLINK("https://eosportal.federatedhermes.com/engagements/RW5nYWdlbWVudAppMzMzNzc=", "Commit to stop the use of precious skins")</f>
      </c>
      <c r="G2330" s="14" t="s">
        <v>6430</v>
      </c>
      <c r="H2330" s="0" t="s">
        <v>141</v>
      </c>
      <c r="I2330" s="14" t="s">
        <v>131</v>
      </c>
      <c r="J2330" s="0" t="s">
        <v>197</v>
      </c>
      <c r="K2330" s="0" t="s">
        <v>337</v>
      </c>
      <c r="L2330" s="0" t="s">
        <v>576</v>
      </c>
      <c r="M2330" s="0" t="s">
        <v>378</v>
      </c>
      <c r="N2330" s="0" t="s">
        <v>1646</v>
      </c>
      <c r="O2330" s="0" t="s">
        <v>332</v>
      </c>
      <c r="Q2330" s="0" t="s">
        <v>130</v>
      </c>
      <c r="R2330" s="0" t="s">
        <v>130</v>
      </c>
      <c r="S2330" s="14">
        <v>0</v>
      </c>
      <c r="T2330" s="0" t="s">
        <v>222</v>
      </c>
      <c r="U2330" s="0" t="s">
        <v>221</v>
      </c>
      <c r="V2330" s="14" t="s">
        <v>222</v>
      </c>
      <c r="W2330" s="0" t="s">
        <v>223</v>
      </c>
      <c r="X2330" s="14" t="s">
        <v>138</v>
      </c>
      <c r="Y2330" s="0" t="s">
        <v>224</v>
      </c>
      <c r="Z2330" s="14" t="s">
        <v>138</v>
      </c>
      <c r="AA2330" s="0" t="s">
        <v>224</v>
      </c>
      <c r="AB2330" s="14" t="s">
        <v>138</v>
      </c>
      <c r="AD2330" s="0" t="s">
        <v>14</v>
      </c>
      <c r="AF2330" s="0">
        <v>0</v>
      </c>
      <c r="AG2330" s="0">
        <v>0</v>
      </c>
      <c r="AH2330" s="0" t="s">
        <v>140</v>
      </c>
      <c r="AI2330" s="0" t="s">
        <v>232</v>
      </c>
      <c r="AL2330" s="14"/>
      <c r="AN2330" s="14"/>
      <c r="AQ2330" s="0" t="s">
        <v>130</v>
      </c>
      <c r="AR2330" s="0" t="s">
        <v>130</v>
      </c>
      <c r="AS2330" s="0" t="s">
        <v>130</v>
      </c>
      <c r="AT2330" s="0" t="s">
        <v>130</v>
      </c>
      <c r="AU2330" s="0" t="s">
        <v>130</v>
      </c>
      <c r="AV2330" s="0" t="s">
        <v>130</v>
      </c>
      <c r="AW2330" s="0" t="s">
        <v>130</v>
      </c>
      <c r="AX2330" s="0" t="s">
        <v>130</v>
      </c>
      <c r="AY2330" s="0" t="s">
        <v>130</v>
      </c>
      <c r="AZ2330" s="0" t="s">
        <v>130</v>
      </c>
      <c r="BA2330" s="0" t="s">
        <v>130</v>
      </c>
      <c r="BB2330" s="0" t="s">
        <v>141</v>
      </c>
      <c r="BC2330" s="0" t="s">
        <v>130</v>
      </c>
      <c r="BD2330" s="0" t="s">
        <v>130</v>
      </c>
      <c r="BE2330" s="0" t="s">
        <v>141</v>
      </c>
      <c r="BF2330" s="0" t="s">
        <v>130</v>
      </c>
      <c r="BG2330" s="0" t="s">
        <v>130</v>
      </c>
      <c r="BH2330" s="0" t="s">
        <v>130</v>
      </c>
      <c r="BI2330" s="0" t="s">
        <v>130</v>
      </c>
      <c r="BJ2330" s="0" t="s">
        <v>130</v>
      </c>
      <c r="BK2330" s="0" t="s">
        <v>130</v>
      </c>
      <c r="BL2330" s="0" t="s">
        <v>130</v>
      </c>
      <c r="BM2330" s="0" t="s">
        <v>130</v>
      </c>
      <c r="BN2330" s="0" t="s">
        <v>130</v>
      </c>
      <c r="BO2330" s="0" t="s">
        <v>130</v>
      </c>
      <c r="BP2330" s="0" t="s">
        <v>130</v>
      </c>
      <c r="BQ2330" s="0" t="s">
        <v>130</v>
      </c>
      <c r="BR2330" s="0" t="s">
        <v>130</v>
      </c>
      <c r="BS2330" s="0" t="s">
        <v>130</v>
      </c>
      <c r="BT2330" s="0" t="s">
        <v>130</v>
      </c>
      <c r="BU2330" s="0" t="s">
        <v>130</v>
      </c>
      <c r="BV2330" s="0" t="s">
        <v>130</v>
      </c>
      <c r="BW2330" s="0" t="s">
        <v>130</v>
      </c>
      <c r="BX2330" s="0" t="s">
        <v>130</v>
      </c>
      <c r="BY2330" s="0" t="s">
        <v>130</v>
      </c>
      <c r="BZ2330" s="0" t="s">
        <v>130</v>
      </c>
      <c r="CA2330" s="0" t="s">
        <v>130</v>
      </c>
      <c r="CB2330" s="0" t="s">
        <v>130</v>
      </c>
      <c r="CC2330" s="0" t="s">
        <v>130</v>
      </c>
      <c r="CD2330" s="0" t="s">
        <v>130</v>
      </c>
      <c r="CE2330" s="0" t="s">
        <v>130</v>
      </c>
      <c r="CF2330" s="0" t="s">
        <v>130</v>
      </c>
      <c r="CG2330" s="0" t="s">
        <v>130</v>
      </c>
      <c r="CH2330" s="0" t="s">
        <v>130</v>
      </c>
      <c r="CI2330" s="0" t="s">
        <v>130</v>
      </c>
      <c r="CJ2330" s="0" t="s">
        <v>130</v>
      </c>
      <c r="CK2330" s="0" t="s">
        <v>130</v>
      </c>
      <c r="CL2330" s="0" t="s">
        <v>130</v>
      </c>
      <c r="CM2330" s="0" t="s">
        <v>130</v>
      </c>
      <c r="CN2330" s="0" t="s">
        <v>130</v>
      </c>
      <c r="CO2330" s="0" t="s">
        <v>130</v>
      </c>
      <c r="CP2330" s="0" t="s">
        <v>130</v>
      </c>
      <c r="CQ2330" s="0" t="s">
        <v>130</v>
      </c>
      <c r="CR2330" s="0" t="s">
        <v>130</v>
      </c>
      <c r="CS2330" s="0" t="s">
        <v>130</v>
      </c>
      <c r="CT2330" s="0" t="s">
        <v>6431</v>
      </c>
    </row>
    <row r="2331">
      <c r="A2331" s="14">
        <v>20469486</v>
      </c>
      <c r="B2331" s="0" t="s">
        <v>6432</v>
      </c>
      <c r="C2331" s="16">
        <f>HYPERLINK("https://eosportal.federatedhermes.com/companies/Q29tcGFueQppNTE3NjI=", "Airtac International Group")</f>
      </c>
      <c r="D2331" s="0" t="s">
        <v>23</v>
      </c>
      <c r="E2331" s="0" t="s">
        <v>6433</v>
      </c>
      <c r="F2331" s="16">
        <f>HYPERLINK("https://eosportal.federatedhermes.com/engagements/RW5nYWdlbWVudAppMzMzODM=", "Setting net zero strategy")</f>
      </c>
      <c r="G2331" s="14" t="s">
        <v>6434</v>
      </c>
      <c r="H2331" s="0" t="s">
        <v>130</v>
      </c>
      <c r="I2331" s="14" t="s">
        <v>319</v>
      </c>
      <c r="J2331" s="0" t="s">
        <v>197</v>
      </c>
      <c r="K2331" s="0" t="s">
        <v>198</v>
      </c>
      <c r="L2331" s="0" t="s">
        <v>199</v>
      </c>
      <c r="M2331" s="0" t="s">
        <v>802</v>
      </c>
      <c r="N2331" s="0" t="s">
        <v>2941</v>
      </c>
      <c r="O2331" s="0" t="s">
        <v>176</v>
      </c>
      <c r="Q2331" s="0" t="s">
        <v>141</v>
      </c>
      <c r="R2331" s="0" t="s">
        <v>130</v>
      </c>
      <c r="S2331" s="14">
        <v>2</v>
      </c>
      <c r="T2331" s="0" t="s">
        <v>222</v>
      </c>
      <c r="U2331" s="0" t="s">
        <v>221</v>
      </c>
      <c r="V2331" s="14" t="s">
        <v>222</v>
      </c>
      <c r="W2331" s="0" t="s">
        <v>221</v>
      </c>
      <c r="X2331" s="14" t="s">
        <v>446</v>
      </c>
      <c r="Y2331" s="0" t="s">
        <v>223</v>
      </c>
      <c r="Z2331" s="14" t="s">
        <v>138</v>
      </c>
      <c r="AA2331" s="0" t="s">
        <v>224</v>
      </c>
      <c r="AB2331" s="14" t="s">
        <v>138</v>
      </c>
      <c r="AD2331" s="0" t="s">
        <v>17</v>
      </c>
      <c r="AF2331" s="0">
        <v>0</v>
      </c>
      <c r="AG2331" s="0">
        <v>0</v>
      </c>
      <c r="AH2331" s="0" t="s">
        <v>140</v>
      </c>
      <c r="AI2331" s="0" t="s">
        <v>479</v>
      </c>
      <c r="AK2331" s="0" t="s">
        <v>233</v>
      </c>
      <c r="AL2331" s="14"/>
      <c r="AN2331" s="14"/>
      <c r="AQ2331" s="0" t="s">
        <v>130</v>
      </c>
      <c r="AR2331" s="0" t="s">
        <v>130</v>
      </c>
      <c r="AS2331" s="0" t="s">
        <v>130</v>
      </c>
      <c r="AT2331" s="0" t="s">
        <v>130</v>
      </c>
      <c r="AU2331" s="0" t="s">
        <v>130</v>
      </c>
      <c r="AV2331" s="0" t="s">
        <v>130</v>
      </c>
      <c r="AW2331" s="0" t="s">
        <v>130</v>
      </c>
      <c r="AX2331" s="0" t="s">
        <v>130</v>
      </c>
      <c r="AY2331" s="0" t="s">
        <v>130</v>
      </c>
      <c r="AZ2331" s="0" t="s">
        <v>130</v>
      </c>
      <c r="BA2331" s="0" t="s">
        <v>130</v>
      </c>
      <c r="BB2331" s="0" t="s">
        <v>141</v>
      </c>
      <c r="BC2331" s="0" t="s">
        <v>130</v>
      </c>
      <c r="BD2331" s="0" t="s">
        <v>130</v>
      </c>
      <c r="BE2331" s="0" t="s">
        <v>130</v>
      </c>
      <c r="BF2331" s="0" t="s">
        <v>130</v>
      </c>
      <c r="BG2331" s="0" t="s">
        <v>130</v>
      </c>
      <c r="BH2331" s="0" t="s">
        <v>130</v>
      </c>
      <c r="BI2331" s="0" t="s">
        <v>130</v>
      </c>
      <c r="BJ2331" s="0" t="s">
        <v>130</v>
      </c>
      <c r="BK2331" s="0" t="s">
        <v>130</v>
      </c>
      <c r="BL2331" s="0" t="s">
        <v>130</v>
      </c>
      <c r="BM2331" s="0" t="s">
        <v>130</v>
      </c>
      <c r="BN2331" s="0" t="s">
        <v>130</v>
      </c>
      <c r="BO2331" s="0" t="s">
        <v>130</v>
      </c>
      <c r="BP2331" s="0" t="s">
        <v>130</v>
      </c>
      <c r="BQ2331" s="0" t="s">
        <v>130</v>
      </c>
      <c r="BR2331" s="0" t="s">
        <v>130</v>
      </c>
      <c r="BS2331" s="0" t="s">
        <v>130</v>
      </c>
      <c r="BT2331" s="0" t="s">
        <v>130</v>
      </c>
      <c r="BU2331" s="0" t="s">
        <v>130</v>
      </c>
      <c r="BV2331" s="0" t="s">
        <v>130</v>
      </c>
      <c r="BW2331" s="0" t="s">
        <v>130</v>
      </c>
      <c r="BX2331" s="0" t="s">
        <v>130</v>
      </c>
      <c r="BY2331" s="0" t="s">
        <v>130</v>
      </c>
      <c r="BZ2331" s="0" t="s">
        <v>130</v>
      </c>
      <c r="CA2331" s="0" t="s">
        <v>130</v>
      </c>
      <c r="CB2331" s="0" t="s">
        <v>130</v>
      </c>
      <c r="CC2331" s="0" t="s">
        <v>130</v>
      </c>
      <c r="CD2331" s="0" t="s">
        <v>130</v>
      </c>
      <c r="CE2331" s="0" t="s">
        <v>130</v>
      </c>
      <c r="CF2331" s="0" t="s">
        <v>130</v>
      </c>
      <c r="CG2331" s="0" t="s">
        <v>130</v>
      </c>
      <c r="CH2331" s="0" t="s">
        <v>130</v>
      </c>
      <c r="CI2331" s="0" t="s">
        <v>130</v>
      </c>
      <c r="CJ2331" s="0" t="s">
        <v>130</v>
      </c>
      <c r="CK2331" s="0" t="s">
        <v>130</v>
      </c>
      <c r="CL2331" s="0" t="s">
        <v>130</v>
      </c>
      <c r="CM2331" s="0" t="s">
        <v>130</v>
      </c>
      <c r="CN2331" s="0" t="s">
        <v>130</v>
      </c>
      <c r="CO2331" s="0" t="s">
        <v>130</v>
      </c>
      <c r="CP2331" s="0" t="s">
        <v>130</v>
      </c>
      <c r="CQ2331" s="0" t="s">
        <v>130</v>
      </c>
      <c r="CR2331" s="0" t="s">
        <v>130</v>
      </c>
      <c r="CS2331" s="0" t="s">
        <v>130</v>
      </c>
      <c r="CT2331" s="0" t="s">
        <v>6435</v>
      </c>
    </row>
    <row r="2332">
      <c r="A2332" s="14">
        <v>61417091</v>
      </c>
      <c r="B2332" s="0" t="s">
        <v>4783</v>
      </c>
      <c r="C2332" s="16">
        <f>HYPERLINK("https://eosportal.federatedhermes.com/companies/Q29tcGFueQppNTI5MDc=", "Amcor PLC")</f>
      </c>
      <c r="D2332" s="0" t="s">
        <v>25</v>
      </c>
      <c r="E2332" s="0" t="s">
        <v>6436</v>
      </c>
      <c r="F2332" s="16">
        <f>HYPERLINK("https://eosportal.federatedhermes.com/engagements/RW5nYWdlbWVudAppMzMzODk=", "Nature Action 100")</f>
      </c>
      <c r="G2332" s="14" t="s">
        <v>6437</v>
      </c>
      <c r="H2332" s="0" t="s">
        <v>130</v>
      </c>
      <c r="I2332" s="14" t="s">
        <v>131</v>
      </c>
      <c r="J2332" s="0" t="s">
        <v>197</v>
      </c>
      <c r="K2332" s="0" t="s">
        <v>337</v>
      </c>
      <c r="L2332" s="0" t="s">
        <v>576</v>
      </c>
      <c r="M2332" s="0" t="s">
        <v>378</v>
      </c>
      <c r="N2332" s="0" t="s">
        <v>1059</v>
      </c>
      <c r="O2332" s="0" t="s">
        <v>373</v>
      </c>
      <c r="Q2332" s="0" t="s">
        <v>130</v>
      </c>
      <c r="R2332" s="0" t="s">
        <v>138</v>
      </c>
      <c r="S2332" s="14">
        <v>0</v>
      </c>
      <c r="T2332" s="0" t="s">
        <v>222</v>
      </c>
      <c r="U2332" s="0" t="s">
        <v>138</v>
      </c>
      <c r="V2332" s="14" t="s">
        <v>138</v>
      </c>
      <c r="W2332" s="0" t="s">
        <v>138</v>
      </c>
      <c r="X2332" s="14" t="s">
        <v>138</v>
      </c>
      <c r="Y2332" s="0" t="s">
        <v>138</v>
      </c>
      <c r="Z2332" s="14" t="s">
        <v>138</v>
      </c>
      <c r="AA2332" s="0" t="s">
        <v>138</v>
      </c>
      <c r="AB2332" s="14" t="s">
        <v>138</v>
      </c>
      <c r="AD2332" s="0" t="s">
        <v>138</v>
      </c>
      <c r="AF2332" s="0">
        <v>0</v>
      </c>
      <c r="AG2332" s="0">
        <v>0</v>
      </c>
      <c r="AH2332" s="0" t="s">
        <v>140</v>
      </c>
      <c r="AI2332" s="0" t="s">
        <v>138</v>
      </c>
      <c r="AL2332" s="14"/>
      <c r="AN2332" s="14"/>
      <c r="AQ2332" s="0" t="s">
        <v>130</v>
      </c>
      <c r="AR2332" s="0" t="s">
        <v>141</v>
      </c>
      <c r="AS2332" s="0" t="s">
        <v>130</v>
      </c>
      <c r="AT2332" s="0" t="s">
        <v>130</v>
      </c>
      <c r="AU2332" s="0" t="s">
        <v>130</v>
      </c>
      <c r="AV2332" s="0" t="s">
        <v>141</v>
      </c>
      <c r="AW2332" s="0" t="s">
        <v>130</v>
      </c>
      <c r="AX2332" s="0" t="s">
        <v>130</v>
      </c>
      <c r="AY2332" s="0" t="s">
        <v>130</v>
      </c>
      <c r="AZ2332" s="0" t="s">
        <v>130</v>
      </c>
      <c r="BA2332" s="0" t="s">
        <v>141</v>
      </c>
      <c r="BB2332" s="0" t="s">
        <v>141</v>
      </c>
      <c r="BC2332" s="0" t="s">
        <v>130</v>
      </c>
      <c r="BD2332" s="0" t="s">
        <v>141</v>
      </c>
      <c r="BE2332" s="0" t="s">
        <v>141</v>
      </c>
      <c r="BF2332" s="0" t="s">
        <v>130</v>
      </c>
      <c r="BG2332" s="0" t="s">
        <v>130</v>
      </c>
      <c r="BH2332" s="0" t="s">
        <v>130</v>
      </c>
      <c r="BI2332" s="0" t="s">
        <v>130</v>
      </c>
      <c r="BJ2332" s="0" t="s">
        <v>130</v>
      </c>
      <c r="BK2332" s="0" t="s">
        <v>130</v>
      </c>
      <c r="BL2332" s="0" t="s">
        <v>130</v>
      </c>
      <c r="BM2332" s="0" t="s">
        <v>130</v>
      </c>
      <c r="BN2332" s="0" t="s">
        <v>130</v>
      </c>
      <c r="BO2332" s="0" t="s">
        <v>130</v>
      </c>
      <c r="BP2332" s="0" t="s">
        <v>130</v>
      </c>
      <c r="BQ2332" s="0" t="s">
        <v>130</v>
      </c>
      <c r="BR2332" s="0" t="s">
        <v>130</v>
      </c>
      <c r="BS2332" s="0" t="s">
        <v>130</v>
      </c>
      <c r="BT2332" s="0" t="s">
        <v>130</v>
      </c>
      <c r="BU2332" s="0" t="s">
        <v>130</v>
      </c>
      <c r="BV2332" s="0" t="s">
        <v>130</v>
      </c>
      <c r="BW2332" s="0" t="s">
        <v>130</v>
      </c>
      <c r="BX2332" s="0" t="s">
        <v>130</v>
      </c>
      <c r="BY2332" s="0" t="s">
        <v>130</v>
      </c>
      <c r="BZ2332" s="0" t="s">
        <v>130</v>
      </c>
      <c r="CA2332" s="0" t="s">
        <v>130</v>
      </c>
      <c r="CB2332" s="0" t="s">
        <v>130</v>
      </c>
      <c r="CC2332" s="0" t="s">
        <v>130</v>
      </c>
      <c r="CD2332" s="0" t="s">
        <v>130</v>
      </c>
      <c r="CE2332" s="0" t="s">
        <v>130</v>
      </c>
      <c r="CF2332" s="0" t="s">
        <v>130</v>
      </c>
      <c r="CG2332" s="0" t="s">
        <v>130</v>
      </c>
      <c r="CH2332" s="0" t="s">
        <v>130</v>
      </c>
      <c r="CI2332" s="0" t="s">
        <v>130</v>
      </c>
      <c r="CJ2332" s="0" t="s">
        <v>130</v>
      </c>
      <c r="CK2332" s="0" t="s">
        <v>130</v>
      </c>
      <c r="CL2332" s="0" t="s">
        <v>130</v>
      </c>
      <c r="CM2332" s="0" t="s">
        <v>130</v>
      </c>
      <c r="CN2332" s="0" t="s">
        <v>130</v>
      </c>
      <c r="CO2332" s="0" t="s">
        <v>130</v>
      </c>
      <c r="CP2332" s="0" t="s">
        <v>130</v>
      </c>
      <c r="CQ2332" s="0" t="s">
        <v>130</v>
      </c>
      <c r="CR2332" s="0" t="s">
        <v>130</v>
      </c>
      <c r="CS2332" s="0" t="s">
        <v>130</v>
      </c>
      <c r="CT2332" s="0" t="s">
        <v>6438</v>
      </c>
    </row>
    <row r="2333">
      <c r="A2333" s="14">
        <v>101001</v>
      </c>
      <c r="B2333" s="0" t="s">
        <v>1142</v>
      </c>
      <c r="C2333" s="16">
        <f>HYPERLINK("https://eosportal.federatedhermes.com/companies/Q29tcGFueQppNjQzOTA=", "3M Co")</f>
      </c>
      <c r="D2333" s="0" t="s">
        <v>25</v>
      </c>
      <c r="E2333" s="0" t="s">
        <v>6436</v>
      </c>
      <c r="F2333" s="16">
        <f>HYPERLINK("https://eosportal.federatedhermes.com/engagements/RW5nYWdlbWVudAppMzMzOTA=", "Nature Action 100")</f>
      </c>
      <c r="G2333" s="14" t="s">
        <v>6439</v>
      </c>
      <c r="H2333" s="0" t="s">
        <v>141</v>
      </c>
      <c r="I2333" s="14" t="s">
        <v>191</v>
      </c>
      <c r="J2333" s="0" t="s">
        <v>197</v>
      </c>
      <c r="K2333" s="0" t="s">
        <v>337</v>
      </c>
      <c r="L2333" s="0" t="s">
        <v>576</v>
      </c>
      <c r="M2333" s="0" t="s">
        <v>135</v>
      </c>
      <c r="N2333" s="0" t="s">
        <v>136</v>
      </c>
      <c r="O2333" s="0" t="s">
        <v>176</v>
      </c>
      <c r="Q2333" s="0" t="s">
        <v>130</v>
      </c>
      <c r="R2333" s="0" t="s">
        <v>138</v>
      </c>
      <c r="S2333" s="14">
        <v>0</v>
      </c>
      <c r="T2333" s="0" t="s">
        <v>360</v>
      </c>
      <c r="U2333" s="0" t="s">
        <v>138</v>
      </c>
      <c r="V2333" s="14" t="s">
        <v>138</v>
      </c>
      <c r="W2333" s="0" t="s">
        <v>138</v>
      </c>
      <c r="X2333" s="14" t="s">
        <v>138</v>
      </c>
      <c r="Y2333" s="0" t="s">
        <v>138</v>
      </c>
      <c r="Z2333" s="14" t="s">
        <v>138</v>
      </c>
      <c r="AA2333" s="0" t="s">
        <v>138</v>
      </c>
      <c r="AB2333" s="14" t="s">
        <v>138</v>
      </c>
      <c r="AD2333" s="0" t="s">
        <v>138</v>
      </c>
      <c r="AF2333" s="0">
        <v>0</v>
      </c>
      <c r="AG2333" s="0">
        <v>0</v>
      </c>
      <c r="AH2333" s="0" t="s">
        <v>140</v>
      </c>
      <c r="AI2333" s="0" t="s">
        <v>138</v>
      </c>
      <c r="AL2333" s="14"/>
      <c r="AN2333" s="14"/>
      <c r="AQ2333" s="0" t="s">
        <v>130</v>
      </c>
      <c r="AR2333" s="0" t="s">
        <v>141</v>
      </c>
      <c r="AS2333" s="0" t="s">
        <v>130</v>
      </c>
      <c r="AT2333" s="0" t="s">
        <v>130</v>
      </c>
      <c r="AU2333" s="0" t="s">
        <v>130</v>
      </c>
      <c r="AV2333" s="0" t="s">
        <v>141</v>
      </c>
      <c r="AW2333" s="0" t="s">
        <v>130</v>
      </c>
      <c r="AX2333" s="0" t="s">
        <v>130</v>
      </c>
      <c r="AY2333" s="0" t="s">
        <v>130</v>
      </c>
      <c r="AZ2333" s="0" t="s">
        <v>130</v>
      </c>
      <c r="BA2333" s="0" t="s">
        <v>141</v>
      </c>
      <c r="BB2333" s="0" t="s">
        <v>141</v>
      </c>
      <c r="BC2333" s="0" t="s">
        <v>130</v>
      </c>
      <c r="BD2333" s="0" t="s">
        <v>141</v>
      </c>
      <c r="BE2333" s="0" t="s">
        <v>141</v>
      </c>
      <c r="BF2333" s="0" t="s">
        <v>130</v>
      </c>
      <c r="BG2333" s="0" t="s">
        <v>130</v>
      </c>
      <c r="BH2333" s="0" t="s">
        <v>130</v>
      </c>
      <c r="BI2333" s="0" t="s">
        <v>130</v>
      </c>
      <c r="BJ2333" s="0" t="s">
        <v>130</v>
      </c>
      <c r="BK2333" s="0" t="s">
        <v>130</v>
      </c>
      <c r="BL2333" s="0" t="s">
        <v>130</v>
      </c>
      <c r="BM2333" s="0" t="s">
        <v>130</v>
      </c>
      <c r="BN2333" s="0" t="s">
        <v>130</v>
      </c>
      <c r="BO2333" s="0" t="s">
        <v>130</v>
      </c>
      <c r="BP2333" s="0" t="s">
        <v>130</v>
      </c>
      <c r="BQ2333" s="0" t="s">
        <v>130</v>
      </c>
      <c r="BR2333" s="0" t="s">
        <v>130</v>
      </c>
      <c r="BS2333" s="0" t="s">
        <v>130</v>
      </c>
      <c r="BT2333" s="0" t="s">
        <v>130</v>
      </c>
      <c r="BU2333" s="0" t="s">
        <v>130</v>
      </c>
      <c r="BV2333" s="0" t="s">
        <v>130</v>
      </c>
      <c r="BW2333" s="0" t="s">
        <v>130</v>
      </c>
      <c r="BX2333" s="0" t="s">
        <v>130</v>
      </c>
      <c r="BY2333" s="0" t="s">
        <v>130</v>
      </c>
      <c r="BZ2333" s="0" t="s">
        <v>130</v>
      </c>
      <c r="CA2333" s="0" t="s">
        <v>130</v>
      </c>
      <c r="CB2333" s="0" t="s">
        <v>130</v>
      </c>
      <c r="CC2333" s="0" t="s">
        <v>130</v>
      </c>
      <c r="CD2333" s="0" t="s">
        <v>130</v>
      </c>
      <c r="CE2333" s="0" t="s">
        <v>130</v>
      </c>
      <c r="CF2333" s="0" t="s">
        <v>130</v>
      </c>
      <c r="CG2333" s="0" t="s">
        <v>130</v>
      </c>
      <c r="CH2333" s="0" t="s">
        <v>130</v>
      </c>
      <c r="CI2333" s="0" t="s">
        <v>130</v>
      </c>
      <c r="CJ2333" s="0" t="s">
        <v>130</v>
      </c>
      <c r="CK2333" s="0" t="s">
        <v>130</v>
      </c>
      <c r="CL2333" s="0" t="s">
        <v>130</v>
      </c>
      <c r="CM2333" s="0" t="s">
        <v>130</v>
      </c>
      <c r="CN2333" s="0" t="s">
        <v>130</v>
      </c>
      <c r="CO2333" s="0" t="s">
        <v>130</v>
      </c>
      <c r="CP2333" s="0" t="s">
        <v>130</v>
      </c>
      <c r="CQ2333" s="0" t="s">
        <v>130</v>
      </c>
      <c r="CR2333" s="0" t="s">
        <v>130</v>
      </c>
      <c r="CS2333" s="0" t="s">
        <v>130</v>
      </c>
      <c r="CT2333" s="0" t="s">
        <v>6440</v>
      </c>
    </row>
    <row r="2334">
      <c r="A2334" s="14">
        <v>918049</v>
      </c>
      <c r="B2334" s="0" t="s">
        <v>3423</v>
      </c>
      <c r="C2334" s="16">
        <f>HYPERLINK("https://eosportal.federatedhermes.com/companies/Q29tcGFueQppNjQzOTQ=", "Enel SpA")</f>
      </c>
      <c r="D2334" s="0" t="s">
        <v>25</v>
      </c>
      <c r="E2334" s="0" t="s">
        <v>6441</v>
      </c>
      <c r="F2334" s="16">
        <f>HYPERLINK("https://eosportal.federatedhermes.com/engagements/RW5nYWdlbWVudAppMzMzOTE=", "Physical Climate Risk")</f>
      </c>
      <c r="G2334" s="14" t="s">
        <v>6442</v>
      </c>
      <c r="H2334" s="0" t="s">
        <v>141</v>
      </c>
      <c r="I2334" s="14" t="s">
        <v>636</v>
      </c>
      <c r="J2334" s="0" t="s">
        <v>197</v>
      </c>
      <c r="K2334" s="0" t="s">
        <v>198</v>
      </c>
      <c r="L2334" s="0" t="s">
        <v>682</v>
      </c>
      <c r="M2334" s="0" t="s">
        <v>378</v>
      </c>
      <c r="N2334" s="0" t="s">
        <v>2898</v>
      </c>
      <c r="O2334" s="0" t="s">
        <v>192</v>
      </c>
      <c r="Q2334" s="0" t="s">
        <v>130</v>
      </c>
      <c r="R2334" s="0" t="s">
        <v>138</v>
      </c>
      <c r="S2334" s="14">
        <v>0</v>
      </c>
      <c r="T2334" s="0" t="s">
        <v>360</v>
      </c>
      <c r="U2334" s="0" t="s">
        <v>138</v>
      </c>
      <c r="V2334" s="14" t="s">
        <v>138</v>
      </c>
      <c r="W2334" s="0" t="s">
        <v>138</v>
      </c>
      <c r="X2334" s="14" t="s">
        <v>138</v>
      </c>
      <c r="Y2334" s="0" t="s">
        <v>138</v>
      </c>
      <c r="Z2334" s="14" t="s">
        <v>138</v>
      </c>
      <c r="AA2334" s="0" t="s">
        <v>138</v>
      </c>
      <c r="AB2334" s="14" t="s">
        <v>138</v>
      </c>
      <c r="AD2334" s="0" t="s">
        <v>138</v>
      </c>
      <c r="AF2334" s="0">
        <v>0</v>
      </c>
      <c r="AG2334" s="0">
        <v>0</v>
      </c>
      <c r="AH2334" s="0" t="s">
        <v>140</v>
      </c>
      <c r="AI2334" s="0" t="s">
        <v>138</v>
      </c>
      <c r="AL2334" s="14"/>
      <c r="AN2334" s="14"/>
      <c r="AQ2334" s="0" t="s">
        <v>130</v>
      </c>
      <c r="AR2334" s="0" t="s">
        <v>130</v>
      </c>
      <c r="AS2334" s="0" t="s">
        <v>130</v>
      </c>
      <c r="AT2334" s="0" t="s">
        <v>130</v>
      </c>
      <c r="AU2334" s="0" t="s">
        <v>130</v>
      </c>
      <c r="AV2334" s="0" t="s">
        <v>130</v>
      </c>
      <c r="AW2334" s="0" t="s">
        <v>130</v>
      </c>
      <c r="AX2334" s="0" t="s">
        <v>130</v>
      </c>
      <c r="AY2334" s="0" t="s">
        <v>130</v>
      </c>
      <c r="AZ2334" s="0" t="s">
        <v>130</v>
      </c>
      <c r="BA2334" s="0" t="s">
        <v>130</v>
      </c>
      <c r="BB2334" s="0" t="s">
        <v>130</v>
      </c>
      <c r="BC2334" s="0" t="s">
        <v>141</v>
      </c>
      <c r="BD2334" s="0" t="s">
        <v>130</v>
      </c>
      <c r="BE2334" s="0" t="s">
        <v>130</v>
      </c>
      <c r="BF2334" s="0" t="s">
        <v>130</v>
      </c>
      <c r="BG2334" s="0" t="s">
        <v>130</v>
      </c>
      <c r="BH2334" s="0" t="s">
        <v>130</v>
      </c>
      <c r="BI2334" s="0" t="s">
        <v>130</v>
      </c>
      <c r="BJ2334" s="0" t="s">
        <v>130</v>
      </c>
      <c r="BK2334" s="0" t="s">
        <v>130</v>
      </c>
      <c r="BL2334" s="0" t="s">
        <v>130</v>
      </c>
      <c r="BM2334" s="0" t="s">
        <v>130</v>
      </c>
      <c r="BN2334" s="0" t="s">
        <v>130</v>
      </c>
      <c r="BO2334" s="0" t="s">
        <v>130</v>
      </c>
      <c r="BP2334" s="0" t="s">
        <v>130</v>
      </c>
      <c r="BQ2334" s="0" t="s">
        <v>130</v>
      </c>
      <c r="BR2334" s="0" t="s">
        <v>130</v>
      </c>
      <c r="BS2334" s="0" t="s">
        <v>130</v>
      </c>
      <c r="BT2334" s="0" t="s">
        <v>130</v>
      </c>
      <c r="BU2334" s="0" t="s">
        <v>130</v>
      </c>
      <c r="BV2334" s="0" t="s">
        <v>130</v>
      </c>
      <c r="BW2334" s="0" t="s">
        <v>130</v>
      </c>
      <c r="BX2334" s="0" t="s">
        <v>130</v>
      </c>
      <c r="BY2334" s="0" t="s">
        <v>130</v>
      </c>
      <c r="BZ2334" s="0" t="s">
        <v>130</v>
      </c>
      <c r="CA2334" s="0" t="s">
        <v>130</v>
      </c>
      <c r="CB2334" s="0" t="s">
        <v>130</v>
      </c>
      <c r="CC2334" s="0" t="s">
        <v>130</v>
      </c>
      <c r="CD2334" s="0" t="s">
        <v>130</v>
      </c>
      <c r="CE2334" s="0" t="s">
        <v>130</v>
      </c>
      <c r="CF2334" s="0" t="s">
        <v>130</v>
      </c>
      <c r="CG2334" s="0" t="s">
        <v>130</v>
      </c>
      <c r="CH2334" s="0" t="s">
        <v>130</v>
      </c>
      <c r="CI2334" s="0" t="s">
        <v>130</v>
      </c>
      <c r="CJ2334" s="0" t="s">
        <v>130</v>
      </c>
      <c r="CK2334" s="0" t="s">
        <v>130</v>
      </c>
      <c r="CL2334" s="0" t="s">
        <v>130</v>
      </c>
      <c r="CM2334" s="0" t="s">
        <v>130</v>
      </c>
      <c r="CN2334" s="0" t="s">
        <v>130</v>
      </c>
      <c r="CO2334" s="0" t="s">
        <v>130</v>
      </c>
      <c r="CP2334" s="0" t="s">
        <v>130</v>
      </c>
      <c r="CQ2334" s="0" t="s">
        <v>130</v>
      </c>
      <c r="CR2334" s="0" t="s">
        <v>130</v>
      </c>
      <c r="CS2334" s="0" t="s">
        <v>130</v>
      </c>
      <c r="CT2334" s="0" t="s">
        <v>6443</v>
      </c>
    </row>
    <row r="2335">
      <c r="A2335" s="14">
        <v>216952</v>
      </c>
      <c r="B2335" s="0" t="s">
        <v>3384</v>
      </c>
      <c r="C2335" s="16">
        <f>HYPERLINK("https://eosportal.federatedhermes.com/companies/Q29tcGFueQppNjc3MjM=", "Amazon.com Inc")</f>
      </c>
      <c r="D2335" s="0" t="s">
        <v>25</v>
      </c>
      <c r="E2335" s="0" t="s">
        <v>6444</v>
      </c>
      <c r="F2335" s="16">
        <f>HYPERLINK("https://eosportal.federatedhermes.com/engagements/RW5nYWdlbWVudAppMzMzOTI=", "Biodiversity and nature")</f>
      </c>
      <c r="G2335" s="14" t="s">
        <v>6445</v>
      </c>
      <c r="H2335" s="0" t="s">
        <v>141</v>
      </c>
      <c r="I2335" s="14" t="s">
        <v>191</v>
      </c>
      <c r="J2335" s="0" t="s">
        <v>197</v>
      </c>
      <c r="K2335" s="0" t="s">
        <v>337</v>
      </c>
      <c r="L2335" s="0" t="s">
        <v>576</v>
      </c>
      <c r="M2335" s="0" t="s">
        <v>135</v>
      </c>
      <c r="N2335" s="0" t="s">
        <v>136</v>
      </c>
      <c r="O2335" s="0" t="s">
        <v>643</v>
      </c>
      <c r="Q2335" s="0" t="s">
        <v>130</v>
      </c>
      <c r="R2335" s="0" t="s">
        <v>138</v>
      </c>
      <c r="S2335" s="14">
        <v>0</v>
      </c>
      <c r="T2335" s="0" t="s">
        <v>222</v>
      </c>
      <c r="U2335" s="0" t="s">
        <v>138</v>
      </c>
      <c r="V2335" s="14" t="s">
        <v>138</v>
      </c>
      <c r="W2335" s="0" t="s">
        <v>138</v>
      </c>
      <c r="X2335" s="14" t="s">
        <v>138</v>
      </c>
      <c r="Y2335" s="0" t="s">
        <v>138</v>
      </c>
      <c r="Z2335" s="14" t="s">
        <v>138</v>
      </c>
      <c r="AA2335" s="0" t="s">
        <v>138</v>
      </c>
      <c r="AB2335" s="14" t="s">
        <v>138</v>
      </c>
      <c r="AD2335" s="0" t="s">
        <v>138</v>
      </c>
      <c r="AF2335" s="0">
        <v>0</v>
      </c>
      <c r="AG2335" s="0">
        <v>0</v>
      </c>
      <c r="AH2335" s="0" t="s">
        <v>140</v>
      </c>
      <c r="AI2335" s="0" t="s">
        <v>138</v>
      </c>
      <c r="AL2335" s="14"/>
      <c r="AN2335" s="14"/>
      <c r="AQ2335" s="0" t="s">
        <v>130</v>
      </c>
      <c r="AR2335" s="0" t="s">
        <v>141</v>
      </c>
      <c r="AS2335" s="0" t="s">
        <v>130</v>
      </c>
      <c r="AT2335" s="0" t="s">
        <v>130</v>
      </c>
      <c r="AU2335" s="0" t="s">
        <v>130</v>
      </c>
      <c r="AV2335" s="0" t="s">
        <v>141</v>
      </c>
      <c r="AW2335" s="0" t="s">
        <v>130</v>
      </c>
      <c r="AX2335" s="0" t="s">
        <v>130</v>
      </c>
      <c r="AY2335" s="0" t="s">
        <v>130</v>
      </c>
      <c r="AZ2335" s="0" t="s">
        <v>130</v>
      </c>
      <c r="BA2335" s="0" t="s">
        <v>141</v>
      </c>
      <c r="BB2335" s="0" t="s">
        <v>141</v>
      </c>
      <c r="BC2335" s="0" t="s">
        <v>130</v>
      </c>
      <c r="BD2335" s="0" t="s">
        <v>141</v>
      </c>
      <c r="BE2335" s="0" t="s">
        <v>141</v>
      </c>
      <c r="BF2335" s="0" t="s">
        <v>130</v>
      </c>
      <c r="BG2335" s="0" t="s">
        <v>130</v>
      </c>
      <c r="BH2335" s="0" t="s">
        <v>130</v>
      </c>
      <c r="BI2335" s="0" t="s">
        <v>130</v>
      </c>
      <c r="BJ2335" s="0" t="s">
        <v>130</v>
      </c>
      <c r="BK2335" s="0" t="s">
        <v>130</v>
      </c>
      <c r="BL2335" s="0" t="s">
        <v>130</v>
      </c>
      <c r="BM2335" s="0" t="s">
        <v>130</v>
      </c>
      <c r="BN2335" s="0" t="s">
        <v>130</v>
      </c>
      <c r="BO2335" s="0" t="s">
        <v>130</v>
      </c>
      <c r="BP2335" s="0" t="s">
        <v>130</v>
      </c>
      <c r="BQ2335" s="0" t="s">
        <v>130</v>
      </c>
      <c r="BR2335" s="0" t="s">
        <v>130</v>
      </c>
      <c r="BS2335" s="0" t="s">
        <v>130</v>
      </c>
      <c r="BT2335" s="0" t="s">
        <v>130</v>
      </c>
      <c r="BU2335" s="0" t="s">
        <v>130</v>
      </c>
      <c r="BV2335" s="0" t="s">
        <v>130</v>
      </c>
      <c r="BW2335" s="0" t="s">
        <v>130</v>
      </c>
      <c r="BX2335" s="0" t="s">
        <v>130</v>
      </c>
      <c r="BY2335" s="0" t="s">
        <v>130</v>
      </c>
      <c r="BZ2335" s="0" t="s">
        <v>130</v>
      </c>
      <c r="CA2335" s="0" t="s">
        <v>130</v>
      </c>
      <c r="CB2335" s="0" t="s">
        <v>130</v>
      </c>
      <c r="CC2335" s="0" t="s">
        <v>130</v>
      </c>
      <c r="CD2335" s="0" t="s">
        <v>130</v>
      </c>
      <c r="CE2335" s="0" t="s">
        <v>130</v>
      </c>
      <c r="CF2335" s="0" t="s">
        <v>130</v>
      </c>
      <c r="CG2335" s="0" t="s">
        <v>130</v>
      </c>
      <c r="CH2335" s="0" t="s">
        <v>130</v>
      </c>
      <c r="CI2335" s="0" t="s">
        <v>130</v>
      </c>
      <c r="CJ2335" s="0" t="s">
        <v>130</v>
      </c>
      <c r="CK2335" s="0" t="s">
        <v>130</v>
      </c>
      <c r="CL2335" s="0" t="s">
        <v>130</v>
      </c>
      <c r="CM2335" s="0" t="s">
        <v>130</v>
      </c>
      <c r="CN2335" s="0" t="s">
        <v>130</v>
      </c>
      <c r="CO2335" s="0" t="s">
        <v>130</v>
      </c>
      <c r="CP2335" s="0" t="s">
        <v>130</v>
      </c>
      <c r="CQ2335" s="0" t="s">
        <v>130</v>
      </c>
      <c r="CR2335" s="0" t="s">
        <v>130</v>
      </c>
      <c r="CS2335" s="0" t="s">
        <v>130</v>
      </c>
      <c r="CT2335" s="0" t="s">
        <v>6446</v>
      </c>
    </row>
    <row r="2336">
      <c r="A2336" s="14">
        <v>28046509</v>
      </c>
      <c r="B2336" s="0" t="s">
        <v>4333</v>
      </c>
      <c r="C2336" s="16">
        <f>HYPERLINK("https://eosportal.federatedhermes.com/companies/Q29tcGFueQppNzM3NjA=", "AbbVie Inc")</f>
      </c>
      <c r="D2336" s="0" t="s">
        <v>25</v>
      </c>
      <c r="E2336" s="0" t="s">
        <v>6436</v>
      </c>
      <c r="F2336" s="16">
        <f>HYPERLINK("https://eosportal.federatedhermes.com/engagements/RW5nYWdlbWVudAppMzMzOTM=", "Nature Action 100")</f>
      </c>
      <c r="G2336" s="14" t="s">
        <v>6437</v>
      </c>
      <c r="H2336" s="0" t="s">
        <v>141</v>
      </c>
      <c r="I2336" s="14" t="s">
        <v>131</v>
      </c>
      <c r="J2336" s="0" t="s">
        <v>197</v>
      </c>
      <c r="K2336" s="0" t="s">
        <v>337</v>
      </c>
      <c r="L2336" s="0" t="s">
        <v>576</v>
      </c>
      <c r="M2336" s="0" t="s">
        <v>135</v>
      </c>
      <c r="N2336" s="0" t="s">
        <v>136</v>
      </c>
      <c r="O2336" s="0" t="s">
        <v>274</v>
      </c>
      <c r="Q2336" s="0" t="s">
        <v>130</v>
      </c>
      <c r="R2336" s="0" t="s">
        <v>138</v>
      </c>
      <c r="S2336" s="14">
        <v>0</v>
      </c>
      <c r="T2336" s="0" t="s">
        <v>222</v>
      </c>
      <c r="U2336" s="0" t="s">
        <v>138</v>
      </c>
      <c r="V2336" s="14" t="s">
        <v>138</v>
      </c>
      <c r="W2336" s="0" t="s">
        <v>138</v>
      </c>
      <c r="X2336" s="14" t="s">
        <v>138</v>
      </c>
      <c r="Y2336" s="0" t="s">
        <v>138</v>
      </c>
      <c r="Z2336" s="14" t="s">
        <v>138</v>
      </c>
      <c r="AA2336" s="0" t="s">
        <v>138</v>
      </c>
      <c r="AB2336" s="14" t="s">
        <v>138</v>
      </c>
      <c r="AD2336" s="0" t="s">
        <v>138</v>
      </c>
      <c r="AF2336" s="0">
        <v>0</v>
      </c>
      <c r="AG2336" s="0">
        <v>0</v>
      </c>
      <c r="AH2336" s="0" t="s">
        <v>140</v>
      </c>
      <c r="AI2336" s="0" t="s">
        <v>138</v>
      </c>
      <c r="AL2336" s="14"/>
      <c r="AN2336" s="14"/>
      <c r="AQ2336" s="0" t="s">
        <v>130</v>
      </c>
      <c r="AR2336" s="0" t="s">
        <v>141</v>
      </c>
      <c r="AS2336" s="0" t="s">
        <v>130</v>
      </c>
      <c r="AT2336" s="0" t="s">
        <v>130</v>
      </c>
      <c r="AU2336" s="0" t="s">
        <v>130</v>
      </c>
      <c r="AV2336" s="0" t="s">
        <v>141</v>
      </c>
      <c r="AW2336" s="0" t="s">
        <v>130</v>
      </c>
      <c r="AX2336" s="0" t="s">
        <v>130</v>
      </c>
      <c r="AY2336" s="0" t="s">
        <v>130</v>
      </c>
      <c r="AZ2336" s="0" t="s">
        <v>130</v>
      </c>
      <c r="BA2336" s="0" t="s">
        <v>141</v>
      </c>
      <c r="BB2336" s="0" t="s">
        <v>141</v>
      </c>
      <c r="BC2336" s="0" t="s">
        <v>130</v>
      </c>
      <c r="BD2336" s="0" t="s">
        <v>141</v>
      </c>
      <c r="BE2336" s="0" t="s">
        <v>141</v>
      </c>
      <c r="BF2336" s="0" t="s">
        <v>130</v>
      </c>
      <c r="BG2336" s="0" t="s">
        <v>130</v>
      </c>
      <c r="BH2336" s="0" t="s">
        <v>130</v>
      </c>
      <c r="BI2336" s="0" t="s">
        <v>130</v>
      </c>
      <c r="BJ2336" s="0" t="s">
        <v>130</v>
      </c>
      <c r="BK2336" s="0" t="s">
        <v>130</v>
      </c>
      <c r="BL2336" s="0" t="s">
        <v>130</v>
      </c>
      <c r="BM2336" s="0" t="s">
        <v>130</v>
      </c>
      <c r="BN2336" s="0" t="s">
        <v>130</v>
      </c>
      <c r="BO2336" s="0" t="s">
        <v>130</v>
      </c>
      <c r="BP2336" s="0" t="s">
        <v>130</v>
      </c>
      <c r="BQ2336" s="0" t="s">
        <v>130</v>
      </c>
      <c r="BR2336" s="0" t="s">
        <v>130</v>
      </c>
      <c r="BS2336" s="0" t="s">
        <v>130</v>
      </c>
      <c r="BT2336" s="0" t="s">
        <v>130</v>
      </c>
      <c r="BU2336" s="0" t="s">
        <v>130</v>
      </c>
      <c r="BV2336" s="0" t="s">
        <v>130</v>
      </c>
      <c r="BW2336" s="0" t="s">
        <v>130</v>
      </c>
      <c r="BX2336" s="0" t="s">
        <v>130</v>
      </c>
      <c r="BY2336" s="0" t="s">
        <v>130</v>
      </c>
      <c r="BZ2336" s="0" t="s">
        <v>130</v>
      </c>
      <c r="CA2336" s="0" t="s">
        <v>130</v>
      </c>
      <c r="CB2336" s="0" t="s">
        <v>130</v>
      </c>
      <c r="CC2336" s="0" t="s">
        <v>130</v>
      </c>
      <c r="CD2336" s="0" t="s">
        <v>130</v>
      </c>
      <c r="CE2336" s="0" t="s">
        <v>130</v>
      </c>
      <c r="CF2336" s="0" t="s">
        <v>130</v>
      </c>
      <c r="CG2336" s="0" t="s">
        <v>130</v>
      </c>
      <c r="CH2336" s="0" t="s">
        <v>130</v>
      </c>
      <c r="CI2336" s="0" t="s">
        <v>130</v>
      </c>
      <c r="CJ2336" s="0" t="s">
        <v>130</v>
      </c>
      <c r="CK2336" s="0" t="s">
        <v>130</v>
      </c>
      <c r="CL2336" s="0" t="s">
        <v>130</v>
      </c>
      <c r="CM2336" s="0" t="s">
        <v>130</v>
      </c>
      <c r="CN2336" s="0" t="s">
        <v>130</v>
      </c>
      <c r="CO2336" s="0" t="s">
        <v>130</v>
      </c>
      <c r="CP2336" s="0" t="s">
        <v>130</v>
      </c>
      <c r="CQ2336" s="0" t="s">
        <v>130</v>
      </c>
      <c r="CR2336" s="0" t="s">
        <v>130</v>
      </c>
      <c r="CS2336" s="0" t="s">
        <v>130</v>
      </c>
      <c r="CT2336" s="0" t="s">
        <v>6447</v>
      </c>
    </row>
    <row r="2337">
      <c r="A2337" s="14">
        <v>16857643</v>
      </c>
      <c r="B2337" s="0" t="s">
        <v>4271</v>
      </c>
      <c r="C2337" s="16">
        <f>HYPERLINK("https://eosportal.federatedhermes.com/companies/Q29tcGFueQppNzgyNzY=", "Alibaba Group Holding Ltd")</f>
      </c>
      <c r="D2337" s="0" t="s">
        <v>25</v>
      </c>
      <c r="E2337" s="0" t="s">
        <v>6436</v>
      </c>
      <c r="F2337" s="16">
        <f>HYPERLINK("https://eosportal.federatedhermes.com/engagements/RW5nYWdlbWVudAppMzMzOTU=", "Nature Action 100")</f>
      </c>
      <c r="G2337" s="14" t="s">
        <v>6437</v>
      </c>
      <c r="H2337" s="0" t="s">
        <v>141</v>
      </c>
      <c r="I2337" s="14" t="s">
        <v>1645</v>
      </c>
      <c r="J2337" s="0" t="s">
        <v>197</v>
      </c>
      <c r="K2337" s="0" t="s">
        <v>337</v>
      </c>
      <c r="L2337" s="0" t="s">
        <v>576</v>
      </c>
      <c r="M2337" s="0" t="s">
        <v>802</v>
      </c>
      <c r="N2337" s="0" t="s">
        <v>803</v>
      </c>
      <c r="O2337" s="0" t="s">
        <v>643</v>
      </c>
      <c r="Q2337" s="0" t="s">
        <v>130</v>
      </c>
      <c r="R2337" s="0" t="s">
        <v>138</v>
      </c>
      <c r="S2337" s="14">
        <v>0</v>
      </c>
      <c r="T2337" s="0" t="s">
        <v>222</v>
      </c>
      <c r="U2337" s="0" t="s">
        <v>138</v>
      </c>
      <c r="V2337" s="14" t="s">
        <v>138</v>
      </c>
      <c r="W2337" s="0" t="s">
        <v>138</v>
      </c>
      <c r="X2337" s="14" t="s">
        <v>138</v>
      </c>
      <c r="Y2337" s="0" t="s">
        <v>138</v>
      </c>
      <c r="Z2337" s="14" t="s">
        <v>138</v>
      </c>
      <c r="AA2337" s="0" t="s">
        <v>138</v>
      </c>
      <c r="AB2337" s="14" t="s">
        <v>138</v>
      </c>
      <c r="AD2337" s="0" t="s">
        <v>138</v>
      </c>
      <c r="AF2337" s="0">
        <v>0</v>
      </c>
      <c r="AG2337" s="0">
        <v>0</v>
      </c>
      <c r="AH2337" s="0" t="s">
        <v>140</v>
      </c>
      <c r="AI2337" s="0" t="s">
        <v>138</v>
      </c>
      <c r="AL2337" s="14"/>
      <c r="AN2337" s="14"/>
      <c r="AQ2337" s="0" t="s">
        <v>130</v>
      </c>
      <c r="AR2337" s="0" t="s">
        <v>141</v>
      </c>
      <c r="AS2337" s="0" t="s">
        <v>130</v>
      </c>
      <c r="AT2337" s="0" t="s">
        <v>130</v>
      </c>
      <c r="AU2337" s="0" t="s">
        <v>130</v>
      </c>
      <c r="AV2337" s="0" t="s">
        <v>141</v>
      </c>
      <c r="AW2337" s="0" t="s">
        <v>130</v>
      </c>
      <c r="AX2337" s="0" t="s">
        <v>130</v>
      </c>
      <c r="AY2337" s="0" t="s">
        <v>130</v>
      </c>
      <c r="AZ2337" s="0" t="s">
        <v>130</v>
      </c>
      <c r="BA2337" s="0" t="s">
        <v>141</v>
      </c>
      <c r="BB2337" s="0" t="s">
        <v>141</v>
      </c>
      <c r="BC2337" s="0" t="s">
        <v>130</v>
      </c>
      <c r="BD2337" s="0" t="s">
        <v>141</v>
      </c>
      <c r="BE2337" s="0" t="s">
        <v>141</v>
      </c>
      <c r="BF2337" s="0" t="s">
        <v>130</v>
      </c>
      <c r="BG2337" s="0" t="s">
        <v>130</v>
      </c>
      <c r="BH2337" s="0" t="s">
        <v>130</v>
      </c>
      <c r="BI2337" s="0" t="s">
        <v>130</v>
      </c>
      <c r="BJ2337" s="0" t="s">
        <v>130</v>
      </c>
      <c r="BK2337" s="0" t="s">
        <v>130</v>
      </c>
      <c r="BL2337" s="0" t="s">
        <v>130</v>
      </c>
      <c r="BM2337" s="0" t="s">
        <v>130</v>
      </c>
      <c r="BN2337" s="0" t="s">
        <v>130</v>
      </c>
      <c r="BO2337" s="0" t="s">
        <v>130</v>
      </c>
      <c r="BP2337" s="0" t="s">
        <v>130</v>
      </c>
      <c r="BQ2337" s="0" t="s">
        <v>130</v>
      </c>
      <c r="BR2337" s="0" t="s">
        <v>130</v>
      </c>
      <c r="BS2337" s="0" t="s">
        <v>130</v>
      </c>
      <c r="BT2337" s="0" t="s">
        <v>130</v>
      </c>
      <c r="BU2337" s="0" t="s">
        <v>130</v>
      </c>
      <c r="BV2337" s="0" t="s">
        <v>130</v>
      </c>
      <c r="BW2337" s="0" t="s">
        <v>130</v>
      </c>
      <c r="BX2337" s="0" t="s">
        <v>130</v>
      </c>
      <c r="BY2337" s="0" t="s">
        <v>130</v>
      </c>
      <c r="BZ2337" s="0" t="s">
        <v>130</v>
      </c>
      <c r="CA2337" s="0" t="s">
        <v>130</v>
      </c>
      <c r="CB2337" s="0" t="s">
        <v>130</v>
      </c>
      <c r="CC2337" s="0" t="s">
        <v>130</v>
      </c>
      <c r="CD2337" s="0" t="s">
        <v>130</v>
      </c>
      <c r="CE2337" s="0" t="s">
        <v>130</v>
      </c>
      <c r="CF2337" s="0" t="s">
        <v>130</v>
      </c>
      <c r="CG2337" s="0" t="s">
        <v>130</v>
      </c>
      <c r="CH2337" s="0" t="s">
        <v>130</v>
      </c>
      <c r="CI2337" s="0" t="s">
        <v>130</v>
      </c>
      <c r="CJ2337" s="0" t="s">
        <v>130</v>
      </c>
      <c r="CK2337" s="0" t="s">
        <v>130</v>
      </c>
      <c r="CL2337" s="0" t="s">
        <v>130</v>
      </c>
      <c r="CM2337" s="0" t="s">
        <v>130</v>
      </c>
      <c r="CN2337" s="0" t="s">
        <v>130</v>
      </c>
      <c r="CO2337" s="0" t="s">
        <v>130</v>
      </c>
      <c r="CP2337" s="0" t="s">
        <v>130</v>
      </c>
      <c r="CQ2337" s="0" t="s">
        <v>130</v>
      </c>
      <c r="CR2337" s="0" t="s">
        <v>130</v>
      </c>
      <c r="CS2337" s="0" t="s">
        <v>130</v>
      </c>
      <c r="CT2337" s="0" t="s">
        <v>6448</v>
      </c>
    </row>
    <row r="2338">
      <c r="A2338" s="14">
        <v>101743</v>
      </c>
      <c r="B2338" s="0" t="s">
        <v>1893</v>
      </c>
      <c r="C2338" s="16">
        <f>HYPERLINK("https://eosportal.federatedhermes.com/companies/Q29tcGFueQppNjI1MDg=", "Microsoft Corp")</f>
      </c>
      <c r="D2338" s="0" t="s">
        <v>23</v>
      </c>
      <c r="E2338" s="0" t="s">
        <v>6449</v>
      </c>
      <c r="F2338" s="16">
        <f>HYPERLINK("https://eosportal.federatedhermes.com/engagements/RW5nYWdlbWVudAppMzMzOTk=", "Country by Country reporting on tax")</f>
      </c>
      <c r="G2338" s="14" t="s">
        <v>6450</v>
      </c>
      <c r="H2338" s="0" t="s">
        <v>141</v>
      </c>
      <c r="I2338" s="14" t="s">
        <v>191</v>
      </c>
      <c r="J2338" s="0" t="s">
        <v>153</v>
      </c>
      <c r="K2338" s="0" t="s">
        <v>185</v>
      </c>
      <c r="L2338" s="0" t="s">
        <v>548</v>
      </c>
      <c r="M2338" s="0" t="s">
        <v>135</v>
      </c>
      <c r="N2338" s="0" t="s">
        <v>136</v>
      </c>
      <c r="O2338" s="0" t="s">
        <v>137</v>
      </c>
      <c r="Q2338" s="0" t="s">
        <v>130</v>
      </c>
      <c r="R2338" s="0" t="s">
        <v>130</v>
      </c>
      <c r="S2338" s="14">
        <v>0</v>
      </c>
      <c r="T2338" s="0" t="s">
        <v>360</v>
      </c>
      <c r="U2338" s="0" t="s">
        <v>221</v>
      </c>
      <c r="V2338" s="14" t="s">
        <v>360</v>
      </c>
      <c r="W2338" s="0" t="s">
        <v>221</v>
      </c>
      <c r="X2338" s="14" t="s">
        <v>360</v>
      </c>
      <c r="Y2338" s="0" t="s">
        <v>223</v>
      </c>
      <c r="Z2338" s="14" t="s">
        <v>138</v>
      </c>
      <c r="AA2338" s="0" t="s">
        <v>224</v>
      </c>
      <c r="AB2338" s="14" t="s">
        <v>138</v>
      </c>
      <c r="AD2338" s="0" t="s">
        <v>17</v>
      </c>
      <c r="AF2338" s="0">
        <v>0</v>
      </c>
      <c r="AG2338" s="0">
        <v>0</v>
      </c>
      <c r="AH2338" s="0" t="s">
        <v>140</v>
      </c>
      <c r="AI2338" s="0" t="s">
        <v>598</v>
      </c>
      <c r="AL2338" s="14"/>
      <c r="AN2338" s="14"/>
      <c r="AQ2338" s="0" t="s">
        <v>130</v>
      </c>
      <c r="AR2338" s="0" t="s">
        <v>130</v>
      </c>
      <c r="AS2338" s="0" t="s">
        <v>130</v>
      </c>
      <c r="AT2338" s="0" t="s">
        <v>130</v>
      </c>
      <c r="AU2338" s="0" t="s">
        <v>130</v>
      </c>
      <c r="AV2338" s="0" t="s">
        <v>130</v>
      </c>
      <c r="AW2338" s="0" t="s">
        <v>130</v>
      </c>
      <c r="AX2338" s="0" t="s">
        <v>130</v>
      </c>
      <c r="AY2338" s="0" t="s">
        <v>130</v>
      </c>
      <c r="AZ2338" s="0" t="s">
        <v>130</v>
      </c>
      <c r="BA2338" s="0" t="s">
        <v>130</v>
      </c>
      <c r="BB2338" s="0" t="s">
        <v>130</v>
      </c>
      <c r="BC2338" s="0" t="s">
        <v>130</v>
      </c>
      <c r="BD2338" s="0" t="s">
        <v>130</v>
      </c>
      <c r="BE2338" s="0" t="s">
        <v>130</v>
      </c>
      <c r="BF2338" s="0" t="s">
        <v>130</v>
      </c>
      <c r="BG2338" s="0" t="s">
        <v>141</v>
      </c>
      <c r="BH2338" s="0" t="s">
        <v>130</v>
      </c>
      <c r="BI2338" s="0" t="s">
        <v>130</v>
      </c>
      <c r="BJ2338" s="0" t="s">
        <v>130</v>
      </c>
      <c r="BK2338" s="0" t="s">
        <v>130</v>
      </c>
      <c r="BL2338" s="0" t="s">
        <v>130</v>
      </c>
      <c r="BM2338" s="0" t="s">
        <v>130</v>
      </c>
      <c r="BN2338" s="0" t="s">
        <v>130</v>
      </c>
      <c r="BO2338" s="0" t="s">
        <v>130</v>
      </c>
      <c r="BP2338" s="0" t="s">
        <v>130</v>
      </c>
      <c r="BQ2338" s="0" t="s">
        <v>130</v>
      </c>
      <c r="BR2338" s="0" t="s">
        <v>130</v>
      </c>
      <c r="BS2338" s="0" t="s">
        <v>130</v>
      </c>
      <c r="BT2338" s="0" t="s">
        <v>130</v>
      </c>
      <c r="BU2338" s="0" t="s">
        <v>130</v>
      </c>
      <c r="BV2338" s="0" t="s">
        <v>130</v>
      </c>
      <c r="BW2338" s="0" t="s">
        <v>130</v>
      </c>
      <c r="BX2338" s="0" t="s">
        <v>130</v>
      </c>
      <c r="BY2338" s="0" t="s">
        <v>130</v>
      </c>
      <c r="BZ2338" s="0" t="s">
        <v>130</v>
      </c>
      <c r="CA2338" s="0" t="s">
        <v>130</v>
      </c>
      <c r="CB2338" s="0" t="s">
        <v>130</v>
      </c>
      <c r="CC2338" s="0" t="s">
        <v>130</v>
      </c>
      <c r="CD2338" s="0" t="s">
        <v>130</v>
      </c>
      <c r="CE2338" s="0" t="s">
        <v>130</v>
      </c>
      <c r="CF2338" s="0" t="s">
        <v>130</v>
      </c>
      <c r="CG2338" s="0" t="s">
        <v>130</v>
      </c>
      <c r="CH2338" s="0" t="s">
        <v>130</v>
      </c>
      <c r="CI2338" s="0" t="s">
        <v>130</v>
      </c>
      <c r="CJ2338" s="0" t="s">
        <v>130</v>
      </c>
      <c r="CK2338" s="0" t="s">
        <v>130</v>
      </c>
      <c r="CL2338" s="0" t="s">
        <v>130</v>
      </c>
      <c r="CM2338" s="0" t="s">
        <v>130</v>
      </c>
      <c r="CN2338" s="0" t="s">
        <v>130</v>
      </c>
      <c r="CO2338" s="0" t="s">
        <v>130</v>
      </c>
      <c r="CP2338" s="0" t="s">
        <v>130</v>
      </c>
      <c r="CQ2338" s="0" t="s">
        <v>130</v>
      </c>
      <c r="CR2338" s="0" t="s">
        <v>130</v>
      </c>
      <c r="CS2338" s="0" t="s">
        <v>130</v>
      </c>
      <c r="CT2338" s="0" t="s">
        <v>6451</v>
      </c>
    </row>
    <row r="2339">
      <c r="A2339" s="14">
        <v>55267607</v>
      </c>
      <c r="B2339" s="0" t="s">
        <v>6452</v>
      </c>
      <c r="C2339" s="16">
        <f>HYPERLINK("https://eosportal.federatedhermes.com/companies/Q29tcGFueQppNjIwNTY=", "VICI Properties Inc")</f>
      </c>
      <c r="D2339" s="0" t="s">
        <v>23</v>
      </c>
      <c r="E2339" s="0" t="s">
        <v>746</v>
      </c>
      <c r="F2339" s="16">
        <f>HYPERLINK("https://eosportal.federatedhermes.com/engagements/RW5nYWdlbWVudAppMzM0MDQ=", "Improved climate-related financial disclosures")</f>
      </c>
      <c r="G2339" s="14" t="s">
        <v>747</v>
      </c>
      <c r="H2339" s="0" t="s">
        <v>130</v>
      </c>
      <c r="I2339" s="14" t="s">
        <v>319</v>
      </c>
      <c r="J2339" s="0" t="s">
        <v>197</v>
      </c>
      <c r="K2339" s="0" t="s">
        <v>198</v>
      </c>
      <c r="L2339" s="0" t="s">
        <v>199</v>
      </c>
      <c r="M2339" s="0" t="s">
        <v>135</v>
      </c>
      <c r="N2339" s="0" t="s">
        <v>136</v>
      </c>
      <c r="O2339" s="0" t="s">
        <v>238</v>
      </c>
      <c r="Q2339" s="0" t="s">
        <v>141</v>
      </c>
      <c r="R2339" s="0" t="s">
        <v>141</v>
      </c>
      <c r="S2339" s="14">
        <v>2</v>
      </c>
      <c r="T2339" s="0" t="s">
        <v>360</v>
      </c>
      <c r="U2339" s="0" t="s">
        <v>221</v>
      </c>
      <c r="V2339" s="14" t="s">
        <v>360</v>
      </c>
      <c r="W2339" s="0" t="s">
        <v>221</v>
      </c>
      <c r="X2339" s="14" t="s">
        <v>360</v>
      </c>
      <c r="Y2339" s="0" t="s">
        <v>221</v>
      </c>
      <c r="Z2339" s="14" t="s">
        <v>3265</v>
      </c>
      <c r="AA2339" s="0" t="s">
        <v>221</v>
      </c>
      <c r="AB2339" s="14" t="s">
        <v>361</v>
      </c>
      <c r="AC2339" s="0" t="s">
        <v>20</v>
      </c>
      <c r="AD2339" s="0" t="s">
        <v>362</v>
      </c>
      <c r="AE2339" s="0" t="s">
        <v>363</v>
      </c>
      <c r="AF2339" s="0">
        <v>1</v>
      </c>
      <c r="AG2339" s="0">
        <v>0</v>
      </c>
      <c r="AH2339" s="0" t="s">
        <v>140</v>
      </c>
      <c r="AI2339" s="0" t="s">
        <v>221</v>
      </c>
      <c r="AJ2339" s="0" t="s">
        <v>577</v>
      </c>
      <c r="AK2339" s="0" t="s">
        <v>3626</v>
      </c>
      <c r="AL2339" s="14" t="s">
        <v>291</v>
      </c>
      <c r="AM2339" s="0" t="s">
        <v>366</v>
      </c>
      <c r="AN2339" s="14"/>
      <c r="AP2339" s="0" t="s">
        <v>5916</v>
      </c>
      <c r="AQ2339" s="0" t="s">
        <v>130</v>
      </c>
      <c r="AR2339" s="0" t="s">
        <v>130</v>
      </c>
      <c r="AS2339" s="0" t="s">
        <v>130</v>
      </c>
      <c r="AT2339" s="0" t="s">
        <v>130</v>
      </c>
      <c r="AU2339" s="0" t="s">
        <v>130</v>
      </c>
      <c r="AV2339" s="0" t="s">
        <v>130</v>
      </c>
      <c r="AW2339" s="0" t="s">
        <v>130</v>
      </c>
      <c r="AX2339" s="0" t="s">
        <v>130</v>
      </c>
      <c r="AY2339" s="0" t="s">
        <v>130</v>
      </c>
      <c r="AZ2339" s="0" t="s">
        <v>130</v>
      </c>
      <c r="BA2339" s="0" t="s">
        <v>130</v>
      </c>
      <c r="BB2339" s="0" t="s">
        <v>141</v>
      </c>
      <c r="BC2339" s="0" t="s">
        <v>130</v>
      </c>
      <c r="BD2339" s="0" t="s">
        <v>130</v>
      </c>
      <c r="BE2339" s="0" t="s">
        <v>130</v>
      </c>
      <c r="BF2339" s="0" t="s">
        <v>130</v>
      </c>
      <c r="BG2339" s="0" t="s">
        <v>130</v>
      </c>
      <c r="BH2339" s="0" t="s">
        <v>130</v>
      </c>
      <c r="BI2339" s="0" t="s">
        <v>130</v>
      </c>
      <c r="BJ2339" s="0" t="s">
        <v>130</v>
      </c>
      <c r="BK2339" s="0" t="s">
        <v>130</v>
      </c>
      <c r="BL2339" s="0" t="s">
        <v>130</v>
      </c>
      <c r="BM2339" s="0" t="s">
        <v>130</v>
      </c>
      <c r="BN2339" s="0" t="s">
        <v>130</v>
      </c>
      <c r="BO2339" s="0" t="s">
        <v>130</v>
      </c>
      <c r="BP2339" s="0" t="s">
        <v>130</v>
      </c>
      <c r="BQ2339" s="0" t="s">
        <v>130</v>
      </c>
      <c r="BR2339" s="0" t="s">
        <v>130</v>
      </c>
      <c r="BS2339" s="0" t="s">
        <v>130</v>
      </c>
      <c r="BT2339" s="0" t="s">
        <v>130</v>
      </c>
      <c r="BU2339" s="0" t="s">
        <v>130</v>
      </c>
      <c r="BV2339" s="0" t="s">
        <v>130</v>
      </c>
      <c r="BW2339" s="0" t="s">
        <v>130</v>
      </c>
      <c r="BX2339" s="0" t="s">
        <v>130</v>
      </c>
      <c r="BY2339" s="0" t="s">
        <v>130</v>
      </c>
      <c r="BZ2339" s="0" t="s">
        <v>130</v>
      </c>
      <c r="CA2339" s="0" t="s">
        <v>130</v>
      </c>
      <c r="CB2339" s="0" t="s">
        <v>130</v>
      </c>
      <c r="CC2339" s="0" t="s">
        <v>130</v>
      </c>
      <c r="CD2339" s="0" t="s">
        <v>130</v>
      </c>
      <c r="CE2339" s="0" t="s">
        <v>130</v>
      </c>
      <c r="CF2339" s="0" t="s">
        <v>130</v>
      </c>
      <c r="CG2339" s="0" t="s">
        <v>130</v>
      </c>
      <c r="CH2339" s="0" t="s">
        <v>130</v>
      </c>
      <c r="CI2339" s="0" t="s">
        <v>130</v>
      </c>
      <c r="CJ2339" s="0" t="s">
        <v>130</v>
      </c>
      <c r="CK2339" s="0" t="s">
        <v>130</v>
      </c>
      <c r="CL2339" s="0" t="s">
        <v>130</v>
      </c>
      <c r="CM2339" s="0" t="s">
        <v>130</v>
      </c>
      <c r="CN2339" s="0" t="s">
        <v>130</v>
      </c>
      <c r="CO2339" s="0" t="s">
        <v>130</v>
      </c>
      <c r="CP2339" s="0" t="s">
        <v>130</v>
      </c>
      <c r="CQ2339" s="0" t="s">
        <v>130</v>
      </c>
      <c r="CR2339" s="0" t="s">
        <v>130</v>
      </c>
      <c r="CS2339" s="0" t="s">
        <v>130</v>
      </c>
      <c r="CT2339" s="0" t="s">
        <v>6453</v>
      </c>
    </row>
    <row r="2340">
      <c r="A2340" s="14">
        <v>7909359</v>
      </c>
      <c r="B2340" s="0" t="s">
        <v>3859</v>
      </c>
      <c r="C2340" s="16">
        <f>HYPERLINK("https://eosportal.federatedhermes.com/companies/Q29tcGFueQppNzgyNzQ=", "Sumitomo Mitsui Financial Group Inc")</f>
      </c>
      <c r="D2340" s="0" t="s">
        <v>23</v>
      </c>
      <c r="E2340" s="0" t="s">
        <v>6454</v>
      </c>
      <c r="F2340" s="16">
        <f>HYPERLINK("https://eosportal.federatedhermes.com/engagements/RW5nYWdlbWVudAppMzM0MDU=", "Engaging with executive and independent directors")</f>
      </c>
      <c r="G2340" s="14" t="s">
        <v>6455</v>
      </c>
      <c r="H2340" s="0" t="s">
        <v>141</v>
      </c>
      <c r="I2340" s="14" t="s">
        <v>191</v>
      </c>
      <c r="J2340" s="0" t="s">
        <v>145</v>
      </c>
      <c r="K2340" s="0" t="s">
        <v>400</v>
      </c>
      <c r="L2340" s="0" t="s">
        <v>401</v>
      </c>
      <c r="M2340" s="0" t="s">
        <v>802</v>
      </c>
      <c r="N2340" s="0" t="s">
        <v>952</v>
      </c>
      <c r="O2340" s="0" t="s">
        <v>238</v>
      </c>
      <c r="Q2340" s="0" t="s">
        <v>141</v>
      </c>
      <c r="R2340" s="0" t="s">
        <v>130</v>
      </c>
      <c r="S2340" s="14">
        <v>1</v>
      </c>
      <c r="T2340" s="0" t="s">
        <v>2629</v>
      </c>
      <c r="U2340" s="0" t="s">
        <v>221</v>
      </c>
      <c r="V2340" s="14" t="s">
        <v>2629</v>
      </c>
      <c r="W2340" s="0" t="s">
        <v>221</v>
      </c>
      <c r="X2340" s="14" t="s">
        <v>478</v>
      </c>
      <c r="Y2340" s="0" t="s">
        <v>221</v>
      </c>
      <c r="Z2340" s="14" t="s">
        <v>360</v>
      </c>
      <c r="AA2340" s="0" t="s">
        <v>223</v>
      </c>
      <c r="AB2340" s="14" t="s">
        <v>138</v>
      </c>
      <c r="AD2340" s="0" t="s">
        <v>20</v>
      </c>
      <c r="AF2340" s="0">
        <v>0</v>
      </c>
      <c r="AG2340" s="0">
        <v>0</v>
      </c>
      <c r="AH2340" s="0" t="s">
        <v>140</v>
      </c>
      <c r="AI2340" s="0" t="s">
        <v>598</v>
      </c>
      <c r="AK2340" s="0" t="s">
        <v>339</v>
      </c>
      <c r="AL2340" s="14"/>
      <c r="AN2340" s="14"/>
      <c r="AQ2340" s="0" t="s">
        <v>130</v>
      </c>
      <c r="AR2340" s="0" t="s">
        <v>130</v>
      </c>
      <c r="AS2340" s="0" t="s">
        <v>130</v>
      </c>
      <c r="AT2340" s="0" t="s">
        <v>130</v>
      </c>
      <c r="AU2340" s="0" t="s">
        <v>130</v>
      </c>
      <c r="AV2340" s="0" t="s">
        <v>130</v>
      </c>
      <c r="AW2340" s="0" t="s">
        <v>130</v>
      </c>
      <c r="AX2340" s="0" t="s">
        <v>130</v>
      </c>
      <c r="AY2340" s="0" t="s">
        <v>130</v>
      </c>
      <c r="AZ2340" s="0" t="s">
        <v>130</v>
      </c>
      <c r="BA2340" s="0" t="s">
        <v>130</v>
      </c>
      <c r="BB2340" s="0" t="s">
        <v>130</v>
      </c>
      <c r="BC2340" s="0" t="s">
        <v>130</v>
      </c>
      <c r="BD2340" s="0" t="s">
        <v>130</v>
      </c>
      <c r="BE2340" s="0" t="s">
        <v>130</v>
      </c>
      <c r="BF2340" s="0" t="s">
        <v>130</v>
      </c>
      <c r="BG2340" s="0" t="s">
        <v>130</v>
      </c>
      <c r="BH2340" s="0" t="s">
        <v>130</v>
      </c>
      <c r="BI2340" s="0" t="s">
        <v>130</v>
      </c>
      <c r="BJ2340" s="0" t="s">
        <v>130</v>
      </c>
      <c r="BK2340" s="0" t="s">
        <v>130</v>
      </c>
      <c r="BL2340" s="0" t="s">
        <v>130</v>
      </c>
      <c r="BM2340" s="0" t="s">
        <v>130</v>
      </c>
      <c r="BN2340" s="0" t="s">
        <v>130</v>
      </c>
      <c r="BO2340" s="0" t="s">
        <v>130</v>
      </c>
      <c r="BP2340" s="0" t="s">
        <v>130</v>
      </c>
      <c r="BQ2340" s="0" t="s">
        <v>130</v>
      </c>
      <c r="BR2340" s="0" t="s">
        <v>130</v>
      </c>
      <c r="BS2340" s="0" t="s">
        <v>130</v>
      </c>
      <c r="BT2340" s="0" t="s">
        <v>130</v>
      </c>
      <c r="BU2340" s="0" t="s">
        <v>130</v>
      </c>
      <c r="BV2340" s="0" t="s">
        <v>130</v>
      </c>
      <c r="BW2340" s="0" t="s">
        <v>130</v>
      </c>
      <c r="BX2340" s="0" t="s">
        <v>130</v>
      </c>
      <c r="BY2340" s="0" t="s">
        <v>130</v>
      </c>
      <c r="BZ2340" s="0" t="s">
        <v>130</v>
      </c>
      <c r="CA2340" s="0" t="s">
        <v>130</v>
      </c>
      <c r="CB2340" s="0" t="s">
        <v>130</v>
      </c>
      <c r="CC2340" s="0" t="s">
        <v>130</v>
      </c>
      <c r="CD2340" s="0" t="s">
        <v>130</v>
      </c>
      <c r="CE2340" s="0" t="s">
        <v>130</v>
      </c>
      <c r="CF2340" s="0" t="s">
        <v>130</v>
      </c>
      <c r="CG2340" s="0" t="s">
        <v>130</v>
      </c>
      <c r="CH2340" s="0" t="s">
        <v>130</v>
      </c>
      <c r="CI2340" s="0" t="s">
        <v>130</v>
      </c>
      <c r="CJ2340" s="0" t="s">
        <v>130</v>
      </c>
      <c r="CK2340" s="0" t="s">
        <v>130</v>
      </c>
      <c r="CL2340" s="0" t="s">
        <v>130</v>
      </c>
      <c r="CM2340" s="0" t="s">
        <v>130</v>
      </c>
      <c r="CN2340" s="0" t="s">
        <v>130</v>
      </c>
      <c r="CO2340" s="0" t="s">
        <v>130</v>
      </c>
      <c r="CP2340" s="0" t="s">
        <v>130</v>
      </c>
      <c r="CQ2340" s="0" t="s">
        <v>130</v>
      </c>
      <c r="CR2340" s="0" t="s">
        <v>130</v>
      </c>
      <c r="CS2340" s="0" t="s">
        <v>130</v>
      </c>
      <c r="CT2340" s="0" t="s">
        <v>6456</v>
      </c>
    </row>
    <row r="2341">
      <c r="A2341" s="14">
        <v>116420</v>
      </c>
      <c r="B2341" s="0" t="s">
        <v>2745</v>
      </c>
      <c r="C2341" s="16">
        <f>HYPERLINK("https://eosportal.federatedhermes.com/companies/Q29tcGFueQppNzcwNDg=", "Geely Automobile Holdings Ltd")</f>
      </c>
      <c r="D2341" s="0" t="s">
        <v>23</v>
      </c>
      <c r="E2341" s="0" t="s">
        <v>6457</v>
      </c>
      <c r="F2341" s="16">
        <f>HYPERLINK("https://eosportal.federatedhermes.com/engagements/RW5nYWdlbWVudAppMzM0MTE=", "Set Paris-aligned GHG emissions reduction targets")</f>
      </c>
      <c r="G2341" s="14" t="s">
        <v>6458</v>
      </c>
      <c r="H2341" s="0" t="s">
        <v>141</v>
      </c>
      <c r="I2341" s="14" t="s">
        <v>191</v>
      </c>
      <c r="J2341" s="0" t="s">
        <v>197</v>
      </c>
      <c r="K2341" s="0" t="s">
        <v>198</v>
      </c>
      <c r="L2341" s="0" t="s">
        <v>216</v>
      </c>
      <c r="M2341" s="0" t="s">
        <v>802</v>
      </c>
      <c r="N2341" s="0" t="s">
        <v>803</v>
      </c>
      <c r="O2341" s="0" t="s">
        <v>425</v>
      </c>
      <c r="Q2341" s="0" t="s">
        <v>130</v>
      </c>
      <c r="R2341" s="0" t="s">
        <v>130</v>
      </c>
      <c r="S2341" s="14">
        <v>0</v>
      </c>
      <c r="T2341" s="0" t="s">
        <v>360</v>
      </c>
      <c r="U2341" s="0" t="s">
        <v>221</v>
      </c>
      <c r="V2341" s="14" t="s">
        <v>360</v>
      </c>
      <c r="W2341" s="0" t="s">
        <v>221</v>
      </c>
      <c r="X2341" s="14" t="s">
        <v>360</v>
      </c>
      <c r="Y2341" s="0" t="s">
        <v>223</v>
      </c>
      <c r="Z2341" s="14" t="s">
        <v>138</v>
      </c>
      <c r="AA2341" s="0" t="s">
        <v>224</v>
      </c>
      <c r="AB2341" s="14" t="s">
        <v>138</v>
      </c>
      <c r="AD2341" s="0" t="s">
        <v>17</v>
      </c>
      <c r="AF2341" s="0">
        <v>0</v>
      </c>
      <c r="AG2341" s="0">
        <v>0</v>
      </c>
      <c r="AH2341" s="0" t="s">
        <v>140</v>
      </c>
      <c r="AI2341" s="0" t="s">
        <v>598</v>
      </c>
      <c r="AL2341" s="14"/>
      <c r="AN2341" s="14"/>
      <c r="AQ2341" s="0" t="s">
        <v>130</v>
      </c>
      <c r="AR2341" s="0" t="s">
        <v>130</v>
      </c>
      <c r="AS2341" s="0" t="s">
        <v>130</v>
      </c>
      <c r="AT2341" s="0" t="s">
        <v>130</v>
      </c>
      <c r="AU2341" s="0" t="s">
        <v>130</v>
      </c>
      <c r="AV2341" s="0" t="s">
        <v>130</v>
      </c>
      <c r="AW2341" s="0" t="s">
        <v>141</v>
      </c>
      <c r="AX2341" s="0" t="s">
        <v>130</v>
      </c>
      <c r="AY2341" s="0" t="s">
        <v>130</v>
      </c>
      <c r="AZ2341" s="0" t="s">
        <v>130</v>
      </c>
      <c r="BA2341" s="0" t="s">
        <v>130</v>
      </c>
      <c r="BB2341" s="0" t="s">
        <v>130</v>
      </c>
      <c r="BC2341" s="0" t="s">
        <v>141</v>
      </c>
      <c r="BD2341" s="0" t="s">
        <v>130</v>
      </c>
      <c r="BE2341" s="0" t="s">
        <v>130</v>
      </c>
      <c r="BF2341" s="0" t="s">
        <v>130</v>
      </c>
      <c r="BG2341" s="0" t="s">
        <v>130</v>
      </c>
      <c r="BH2341" s="0" t="s">
        <v>141</v>
      </c>
      <c r="BI2341" s="0" t="s">
        <v>141</v>
      </c>
      <c r="BJ2341" s="0" t="s">
        <v>141</v>
      </c>
      <c r="BK2341" s="0" t="s">
        <v>130</v>
      </c>
      <c r="BL2341" s="0" t="s">
        <v>130</v>
      </c>
      <c r="BM2341" s="0" t="s">
        <v>130</v>
      </c>
      <c r="BN2341" s="0" t="s">
        <v>130</v>
      </c>
      <c r="BO2341" s="0" t="s">
        <v>130</v>
      </c>
      <c r="BP2341" s="0" t="s">
        <v>130</v>
      </c>
      <c r="BQ2341" s="0" t="s">
        <v>130</v>
      </c>
      <c r="BR2341" s="0" t="s">
        <v>130</v>
      </c>
      <c r="BS2341" s="0" t="s">
        <v>130</v>
      </c>
      <c r="BT2341" s="0" t="s">
        <v>130</v>
      </c>
      <c r="BU2341" s="0" t="s">
        <v>130</v>
      </c>
      <c r="BV2341" s="0" t="s">
        <v>141</v>
      </c>
      <c r="BW2341" s="0" t="s">
        <v>141</v>
      </c>
      <c r="BX2341" s="0" t="s">
        <v>130</v>
      </c>
      <c r="BY2341" s="0" t="s">
        <v>130</v>
      </c>
      <c r="BZ2341" s="0" t="s">
        <v>130</v>
      </c>
      <c r="CA2341" s="0" t="s">
        <v>130</v>
      </c>
      <c r="CB2341" s="0" t="s">
        <v>130</v>
      </c>
      <c r="CC2341" s="0" t="s">
        <v>130</v>
      </c>
      <c r="CD2341" s="0" t="s">
        <v>130</v>
      </c>
      <c r="CE2341" s="0" t="s">
        <v>130</v>
      </c>
      <c r="CF2341" s="0" t="s">
        <v>130</v>
      </c>
      <c r="CG2341" s="0" t="s">
        <v>130</v>
      </c>
      <c r="CH2341" s="0" t="s">
        <v>130</v>
      </c>
      <c r="CI2341" s="0" t="s">
        <v>130</v>
      </c>
      <c r="CJ2341" s="0" t="s">
        <v>130</v>
      </c>
      <c r="CK2341" s="0" t="s">
        <v>130</v>
      </c>
      <c r="CL2341" s="0" t="s">
        <v>130</v>
      </c>
      <c r="CM2341" s="0" t="s">
        <v>130</v>
      </c>
      <c r="CN2341" s="0" t="s">
        <v>130</v>
      </c>
      <c r="CO2341" s="0" t="s">
        <v>130</v>
      </c>
      <c r="CP2341" s="0" t="s">
        <v>130</v>
      </c>
      <c r="CQ2341" s="0" t="s">
        <v>130</v>
      </c>
      <c r="CR2341" s="0" t="s">
        <v>130</v>
      </c>
      <c r="CS2341" s="0" t="s">
        <v>130</v>
      </c>
      <c r="CT2341" s="0" t="s">
        <v>6459</v>
      </c>
    </row>
    <row r="2342">
      <c r="A2342" s="14">
        <v>107032</v>
      </c>
      <c r="B2342" s="0" t="s">
        <v>2117</v>
      </c>
      <c r="C2342" s="16">
        <f>HYPERLINK("https://eosportal.federatedhermes.com/companies/Q29tcGFueQppNDM5MjE=", "State Street Corp")</f>
      </c>
      <c r="D2342" s="0" t="s">
        <v>23</v>
      </c>
      <c r="E2342" s="0" t="s">
        <v>6460</v>
      </c>
      <c r="F2342" s="16">
        <f>HYPERLINK("https://eosportal.federatedhermes.com/engagements/RW5nYWdlbWVudAppMzM0MTM=", "NEO and Senior Management metrics disclosure")</f>
      </c>
      <c r="G2342" s="14" t="s">
        <v>6461</v>
      </c>
      <c r="H2342" s="0" t="s">
        <v>130</v>
      </c>
      <c r="I2342" s="14" t="s">
        <v>319</v>
      </c>
      <c r="J2342" s="0" t="s">
        <v>153</v>
      </c>
      <c r="K2342" s="0" t="s">
        <v>154</v>
      </c>
      <c r="L2342" s="0" t="s">
        <v>268</v>
      </c>
      <c r="M2342" s="0" t="s">
        <v>135</v>
      </c>
      <c r="N2342" s="0" t="s">
        <v>136</v>
      </c>
      <c r="O2342" s="0" t="s">
        <v>238</v>
      </c>
      <c r="Q2342" s="0" t="s">
        <v>130</v>
      </c>
      <c r="R2342" s="0" t="s">
        <v>130</v>
      </c>
      <c r="S2342" s="14">
        <v>0</v>
      </c>
      <c r="T2342" s="0" t="s">
        <v>360</v>
      </c>
      <c r="U2342" s="0" t="s">
        <v>221</v>
      </c>
      <c r="V2342" s="14" t="s">
        <v>360</v>
      </c>
      <c r="W2342" s="0" t="s">
        <v>221</v>
      </c>
      <c r="X2342" s="14" t="s">
        <v>360</v>
      </c>
      <c r="Y2342" s="0" t="s">
        <v>221</v>
      </c>
      <c r="Z2342" s="14" t="s">
        <v>2842</v>
      </c>
      <c r="AA2342" s="0" t="s">
        <v>223</v>
      </c>
      <c r="AB2342" s="14" t="s">
        <v>138</v>
      </c>
      <c r="AD2342" s="0" t="s">
        <v>20</v>
      </c>
      <c r="AF2342" s="0">
        <v>0</v>
      </c>
      <c r="AG2342" s="0">
        <v>0</v>
      </c>
      <c r="AH2342" s="0" t="s">
        <v>140</v>
      </c>
      <c r="AI2342" s="0" t="s">
        <v>598</v>
      </c>
      <c r="AL2342" s="14"/>
      <c r="AN2342" s="14"/>
      <c r="AQ2342" s="0" t="s">
        <v>130</v>
      </c>
      <c r="AR2342" s="0" t="s">
        <v>130</v>
      </c>
      <c r="AS2342" s="0" t="s">
        <v>130</v>
      </c>
      <c r="AT2342" s="0" t="s">
        <v>130</v>
      </c>
      <c r="AU2342" s="0" t="s">
        <v>141</v>
      </c>
      <c r="AV2342" s="0" t="s">
        <v>130</v>
      </c>
      <c r="AW2342" s="0" t="s">
        <v>130</v>
      </c>
      <c r="AX2342" s="0" t="s">
        <v>130</v>
      </c>
      <c r="AY2342" s="0" t="s">
        <v>130</v>
      </c>
      <c r="AZ2342" s="0" t="s">
        <v>130</v>
      </c>
      <c r="BA2342" s="0" t="s">
        <v>130</v>
      </c>
      <c r="BB2342" s="0" t="s">
        <v>130</v>
      </c>
      <c r="BC2342" s="0" t="s">
        <v>130</v>
      </c>
      <c r="BD2342" s="0" t="s">
        <v>130</v>
      </c>
      <c r="BE2342" s="0" t="s">
        <v>130</v>
      </c>
      <c r="BF2342" s="0" t="s">
        <v>130</v>
      </c>
      <c r="BG2342" s="0" t="s">
        <v>130</v>
      </c>
      <c r="BH2342" s="0" t="s">
        <v>130</v>
      </c>
      <c r="BI2342" s="0" t="s">
        <v>130</v>
      </c>
      <c r="BJ2342" s="0" t="s">
        <v>130</v>
      </c>
      <c r="BK2342" s="0" t="s">
        <v>130</v>
      </c>
      <c r="BL2342" s="0" t="s">
        <v>130</v>
      </c>
      <c r="BM2342" s="0" t="s">
        <v>130</v>
      </c>
      <c r="BN2342" s="0" t="s">
        <v>130</v>
      </c>
      <c r="BO2342" s="0" t="s">
        <v>130</v>
      </c>
      <c r="BP2342" s="0" t="s">
        <v>130</v>
      </c>
      <c r="BQ2342" s="0" t="s">
        <v>130</v>
      </c>
      <c r="BR2342" s="0" t="s">
        <v>130</v>
      </c>
      <c r="BS2342" s="0" t="s">
        <v>130</v>
      </c>
      <c r="BT2342" s="0" t="s">
        <v>130</v>
      </c>
      <c r="BU2342" s="0" t="s">
        <v>130</v>
      </c>
      <c r="BV2342" s="0" t="s">
        <v>130</v>
      </c>
      <c r="BW2342" s="0" t="s">
        <v>130</v>
      </c>
      <c r="BX2342" s="0" t="s">
        <v>130</v>
      </c>
      <c r="BY2342" s="0" t="s">
        <v>130</v>
      </c>
      <c r="BZ2342" s="0" t="s">
        <v>130</v>
      </c>
      <c r="CA2342" s="0" t="s">
        <v>130</v>
      </c>
      <c r="CB2342" s="0" t="s">
        <v>130</v>
      </c>
      <c r="CC2342" s="0" t="s">
        <v>130</v>
      </c>
      <c r="CD2342" s="0" t="s">
        <v>130</v>
      </c>
      <c r="CE2342" s="0" t="s">
        <v>130</v>
      </c>
      <c r="CF2342" s="0" t="s">
        <v>130</v>
      </c>
      <c r="CG2342" s="0" t="s">
        <v>130</v>
      </c>
      <c r="CH2342" s="0" t="s">
        <v>130</v>
      </c>
      <c r="CI2342" s="0" t="s">
        <v>130</v>
      </c>
      <c r="CJ2342" s="0" t="s">
        <v>130</v>
      </c>
      <c r="CK2342" s="0" t="s">
        <v>141</v>
      </c>
      <c r="CL2342" s="0" t="s">
        <v>130</v>
      </c>
      <c r="CM2342" s="0" t="s">
        <v>130</v>
      </c>
      <c r="CN2342" s="0" t="s">
        <v>130</v>
      </c>
      <c r="CO2342" s="0" t="s">
        <v>130</v>
      </c>
      <c r="CP2342" s="0" t="s">
        <v>130</v>
      </c>
      <c r="CQ2342" s="0" t="s">
        <v>130</v>
      </c>
      <c r="CR2342" s="0" t="s">
        <v>130</v>
      </c>
      <c r="CS2342" s="0" t="s">
        <v>130</v>
      </c>
      <c r="CT2342" s="0" t="s">
        <v>6462</v>
      </c>
    </row>
    <row r="2343">
      <c r="A2343" s="14">
        <v>107032</v>
      </c>
      <c r="B2343" s="0" t="s">
        <v>2117</v>
      </c>
      <c r="C2343" s="16">
        <f>HYPERLINK("https://eosportal.federatedhermes.com/companies/Q29tcGFueQppNDM5MjE=", "State Street Corp")</f>
      </c>
      <c r="D2343" s="0" t="s">
        <v>23</v>
      </c>
      <c r="E2343" s="0" t="s">
        <v>6463</v>
      </c>
      <c r="F2343" s="16">
        <f>HYPERLINK("https://eosportal.federatedhermes.com/engagements/RW5nYWdlbWVudAppMzM0MTY=", "Share Ownership Requirements")</f>
      </c>
      <c r="G2343" s="14" t="s">
        <v>6464</v>
      </c>
      <c r="H2343" s="0" t="s">
        <v>130</v>
      </c>
      <c r="I2343" s="14" t="s">
        <v>319</v>
      </c>
      <c r="J2343" s="0" t="s">
        <v>145</v>
      </c>
      <c r="K2343" s="0" t="s">
        <v>146</v>
      </c>
      <c r="L2343" s="0" t="s">
        <v>147</v>
      </c>
      <c r="M2343" s="0" t="s">
        <v>135</v>
      </c>
      <c r="N2343" s="0" t="s">
        <v>136</v>
      </c>
      <c r="O2343" s="0" t="s">
        <v>238</v>
      </c>
      <c r="Q2343" s="0" t="s">
        <v>130</v>
      </c>
      <c r="R2343" s="0" t="s">
        <v>130</v>
      </c>
      <c r="S2343" s="14">
        <v>0</v>
      </c>
      <c r="T2343" s="0" t="s">
        <v>360</v>
      </c>
      <c r="U2343" s="0" t="s">
        <v>221</v>
      </c>
      <c r="V2343" s="14" t="s">
        <v>360</v>
      </c>
      <c r="W2343" s="0" t="s">
        <v>223</v>
      </c>
      <c r="X2343" s="14" t="s">
        <v>138</v>
      </c>
      <c r="Y2343" s="0" t="s">
        <v>224</v>
      </c>
      <c r="Z2343" s="14" t="s">
        <v>138</v>
      </c>
      <c r="AA2343" s="0" t="s">
        <v>224</v>
      </c>
      <c r="AB2343" s="14" t="s">
        <v>138</v>
      </c>
      <c r="AD2343" s="0" t="s">
        <v>14</v>
      </c>
      <c r="AF2343" s="0">
        <v>0</v>
      </c>
      <c r="AG2343" s="0">
        <v>0</v>
      </c>
      <c r="AH2343" s="0" t="s">
        <v>140</v>
      </c>
      <c r="AI2343" s="0" t="s">
        <v>225</v>
      </c>
      <c r="AL2343" s="14"/>
      <c r="AN2343" s="14"/>
      <c r="AQ2343" s="0" t="s">
        <v>130</v>
      </c>
      <c r="AR2343" s="0" t="s">
        <v>130</v>
      </c>
      <c r="AS2343" s="0" t="s">
        <v>130</v>
      </c>
      <c r="AT2343" s="0" t="s">
        <v>130</v>
      </c>
      <c r="AU2343" s="0" t="s">
        <v>130</v>
      </c>
      <c r="AV2343" s="0" t="s">
        <v>130</v>
      </c>
      <c r="AW2343" s="0" t="s">
        <v>130</v>
      </c>
      <c r="AX2343" s="0" t="s">
        <v>130</v>
      </c>
      <c r="AY2343" s="0" t="s">
        <v>130</v>
      </c>
      <c r="AZ2343" s="0" t="s">
        <v>130</v>
      </c>
      <c r="BA2343" s="0" t="s">
        <v>130</v>
      </c>
      <c r="BB2343" s="0" t="s">
        <v>130</v>
      </c>
      <c r="BC2343" s="0" t="s">
        <v>130</v>
      </c>
      <c r="BD2343" s="0" t="s">
        <v>130</v>
      </c>
      <c r="BE2343" s="0" t="s">
        <v>130</v>
      </c>
      <c r="BF2343" s="0" t="s">
        <v>130</v>
      </c>
      <c r="BG2343" s="0" t="s">
        <v>130</v>
      </c>
      <c r="BH2343" s="0" t="s">
        <v>130</v>
      </c>
      <c r="BI2343" s="0" t="s">
        <v>130</v>
      </c>
      <c r="BJ2343" s="0" t="s">
        <v>130</v>
      </c>
      <c r="BK2343" s="0" t="s">
        <v>130</v>
      </c>
      <c r="BL2343" s="0" t="s">
        <v>130</v>
      </c>
      <c r="BM2343" s="0" t="s">
        <v>130</v>
      </c>
      <c r="BN2343" s="0" t="s">
        <v>130</v>
      </c>
      <c r="BO2343" s="0" t="s">
        <v>130</v>
      </c>
      <c r="BP2343" s="0" t="s">
        <v>130</v>
      </c>
      <c r="BQ2343" s="0" t="s">
        <v>130</v>
      </c>
      <c r="BR2343" s="0" t="s">
        <v>130</v>
      </c>
      <c r="BS2343" s="0" t="s">
        <v>130</v>
      </c>
      <c r="BT2343" s="0" t="s">
        <v>130</v>
      </c>
      <c r="BU2343" s="0" t="s">
        <v>130</v>
      </c>
      <c r="BV2343" s="0" t="s">
        <v>130</v>
      </c>
      <c r="BW2343" s="0" t="s">
        <v>130</v>
      </c>
      <c r="BX2343" s="0" t="s">
        <v>130</v>
      </c>
      <c r="BY2343" s="0" t="s">
        <v>130</v>
      </c>
      <c r="BZ2343" s="0" t="s">
        <v>130</v>
      </c>
      <c r="CA2343" s="0" t="s">
        <v>130</v>
      </c>
      <c r="CB2343" s="0" t="s">
        <v>130</v>
      </c>
      <c r="CC2343" s="0" t="s">
        <v>130</v>
      </c>
      <c r="CD2343" s="0" t="s">
        <v>130</v>
      </c>
      <c r="CE2343" s="0" t="s">
        <v>130</v>
      </c>
      <c r="CF2343" s="0" t="s">
        <v>130</v>
      </c>
      <c r="CG2343" s="0" t="s">
        <v>130</v>
      </c>
      <c r="CH2343" s="0" t="s">
        <v>130</v>
      </c>
      <c r="CI2343" s="0" t="s">
        <v>130</v>
      </c>
      <c r="CJ2343" s="0" t="s">
        <v>130</v>
      </c>
      <c r="CK2343" s="0" t="s">
        <v>130</v>
      </c>
      <c r="CL2343" s="0" t="s">
        <v>130</v>
      </c>
      <c r="CM2343" s="0" t="s">
        <v>130</v>
      </c>
      <c r="CN2343" s="0" t="s">
        <v>130</v>
      </c>
      <c r="CO2343" s="0" t="s">
        <v>130</v>
      </c>
      <c r="CP2343" s="0" t="s">
        <v>130</v>
      </c>
      <c r="CQ2343" s="0" t="s">
        <v>130</v>
      </c>
      <c r="CR2343" s="0" t="s">
        <v>130</v>
      </c>
      <c r="CS2343" s="0" t="s">
        <v>130</v>
      </c>
      <c r="CT2343" s="0" t="s">
        <v>6465</v>
      </c>
    </row>
    <row r="2344">
      <c r="A2344" s="14">
        <v>153737</v>
      </c>
      <c r="B2344" s="0" t="s">
        <v>2939</v>
      </c>
      <c r="C2344" s="16">
        <f>HYPERLINK("https://eosportal.federatedhermes.com/companies/Q29tcGFueQppNDc5OTI=", "Taiwan Semiconductor Manufacturing Co Ltd")</f>
      </c>
      <c r="D2344" s="0" t="s">
        <v>25</v>
      </c>
      <c r="E2344" s="0" t="s">
        <v>2508</v>
      </c>
      <c r="F2344" s="16">
        <f>HYPERLINK("https://eosportal.federatedhermes.com/engagements/RW5nYWdlbWVudAppMzM0MTk=", "Capital allocation")</f>
      </c>
      <c r="G2344" s="14" t="s">
        <v>6466</v>
      </c>
      <c r="H2344" s="0" t="s">
        <v>141</v>
      </c>
      <c r="I2344" s="14" t="s">
        <v>131</v>
      </c>
      <c r="J2344" s="0" t="s">
        <v>132</v>
      </c>
      <c r="K2344" s="0" t="s">
        <v>260</v>
      </c>
      <c r="L2344" s="0" t="s">
        <v>261</v>
      </c>
      <c r="M2344" s="0" t="s">
        <v>802</v>
      </c>
      <c r="N2344" s="0" t="s">
        <v>2941</v>
      </c>
      <c r="O2344" s="0" t="s">
        <v>1125</v>
      </c>
      <c r="Q2344" s="0" t="s">
        <v>130</v>
      </c>
      <c r="R2344" s="0" t="s">
        <v>138</v>
      </c>
      <c r="S2344" s="14">
        <v>0</v>
      </c>
      <c r="T2344" s="0" t="s">
        <v>360</v>
      </c>
      <c r="U2344" s="0" t="s">
        <v>138</v>
      </c>
      <c r="V2344" s="14" t="s">
        <v>138</v>
      </c>
      <c r="W2344" s="0" t="s">
        <v>138</v>
      </c>
      <c r="X2344" s="14" t="s">
        <v>138</v>
      </c>
      <c r="Y2344" s="0" t="s">
        <v>138</v>
      </c>
      <c r="Z2344" s="14" t="s">
        <v>138</v>
      </c>
      <c r="AA2344" s="0" t="s">
        <v>138</v>
      </c>
      <c r="AB2344" s="14" t="s">
        <v>138</v>
      </c>
      <c r="AD2344" s="0" t="s">
        <v>138</v>
      </c>
      <c r="AF2344" s="0">
        <v>0</v>
      </c>
      <c r="AG2344" s="0">
        <v>0</v>
      </c>
      <c r="AH2344" s="0" t="s">
        <v>140</v>
      </c>
      <c r="AI2344" s="0" t="s">
        <v>138</v>
      </c>
      <c r="AL2344" s="14"/>
      <c r="AN2344" s="14"/>
      <c r="AQ2344" s="0" t="s">
        <v>130</v>
      </c>
      <c r="AR2344" s="0" t="s">
        <v>130</v>
      </c>
      <c r="AS2344" s="0" t="s">
        <v>130</v>
      </c>
      <c r="AT2344" s="0" t="s">
        <v>130</v>
      </c>
      <c r="AU2344" s="0" t="s">
        <v>130</v>
      </c>
      <c r="AV2344" s="0" t="s">
        <v>130</v>
      </c>
      <c r="AW2344" s="0" t="s">
        <v>130</v>
      </c>
      <c r="AX2344" s="0" t="s">
        <v>130</v>
      </c>
      <c r="AY2344" s="0" t="s">
        <v>130</v>
      </c>
      <c r="AZ2344" s="0" t="s">
        <v>130</v>
      </c>
      <c r="BA2344" s="0" t="s">
        <v>130</v>
      </c>
      <c r="BB2344" s="0" t="s">
        <v>130</v>
      </c>
      <c r="BC2344" s="0" t="s">
        <v>130</v>
      </c>
      <c r="BD2344" s="0" t="s">
        <v>130</v>
      </c>
      <c r="BE2344" s="0" t="s">
        <v>130</v>
      </c>
      <c r="BF2344" s="0" t="s">
        <v>130</v>
      </c>
      <c r="BG2344" s="0" t="s">
        <v>130</v>
      </c>
      <c r="BH2344" s="0" t="s">
        <v>130</v>
      </c>
      <c r="BI2344" s="0" t="s">
        <v>130</v>
      </c>
      <c r="BJ2344" s="0" t="s">
        <v>130</v>
      </c>
      <c r="BK2344" s="0" t="s">
        <v>130</v>
      </c>
      <c r="BL2344" s="0" t="s">
        <v>130</v>
      </c>
      <c r="BM2344" s="0" t="s">
        <v>130</v>
      </c>
      <c r="BN2344" s="0" t="s">
        <v>130</v>
      </c>
      <c r="BO2344" s="0" t="s">
        <v>130</v>
      </c>
      <c r="BP2344" s="0" t="s">
        <v>130</v>
      </c>
      <c r="BQ2344" s="0" t="s">
        <v>130</v>
      </c>
      <c r="BR2344" s="0" t="s">
        <v>130</v>
      </c>
      <c r="BS2344" s="0" t="s">
        <v>130</v>
      </c>
      <c r="BT2344" s="0" t="s">
        <v>130</v>
      </c>
      <c r="BU2344" s="0" t="s">
        <v>130</v>
      </c>
      <c r="BV2344" s="0" t="s">
        <v>130</v>
      </c>
      <c r="BW2344" s="0" t="s">
        <v>130</v>
      </c>
      <c r="BX2344" s="0" t="s">
        <v>130</v>
      </c>
      <c r="BY2344" s="0" t="s">
        <v>130</v>
      </c>
      <c r="BZ2344" s="0" t="s">
        <v>130</v>
      </c>
      <c r="CA2344" s="0" t="s">
        <v>130</v>
      </c>
      <c r="CB2344" s="0" t="s">
        <v>130</v>
      </c>
      <c r="CC2344" s="0" t="s">
        <v>130</v>
      </c>
      <c r="CD2344" s="0" t="s">
        <v>130</v>
      </c>
      <c r="CE2344" s="0" t="s">
        <v>130</v>
      </c>
      <c r="CF2344" s="0" t="s">
        <v>130</v>
      </c>
      <c r="CG2344" s="0" t="s">
        <v>130</v>
      </c>
      <c r="CH2344" s="0" t="s">
        <v>130</v>
      </c>
      <c r="CI2344" s="0" t="s">
        <v>130</v>
      </c>
      <c r="CJ2344" s="0" t="s">
        <v>130</v>
      </c>
      <c r="CK2344" s="0" t="s">
        <v>130</v>
      </c>
      <c r="CL2344" s="0" t="s">
        <v>130</v>
      </c>
      <c r="CM2344" s="0" t="s">
        <v>130</v>
      </c>
      <c r="CN2344" s="0" t="s">
        <v>130</v>
      </c>
      <c r="CO2344" s="0" t="s">
        <v>130</v>
      </c>
      <c r="CP2344" s="0" t="s">
        <v>130</v>
      </c>
      <c r="CQ2344" s="0" t="s">
        <v>130</v>
      </c>
      <c r="CR2344" s="0" t="s">
        <v>130</v>
      </c>
      <c r="CS2344" s="0" t="s">
        <v>130</v>
      </c>
      <c r="CT2344" s="0" t="s">
        <v>6467</v>
      </c>
    </row>
    <row r="2345">
      <c r="A2345" s="14">
        <v>115268</v>
      </c>
      <c r="B2345" s="0" t="s">
        <v>2415</v>
      </c>
      <c r="C2345" s="16">
        <f>HYPERLINK("https://eosportal.federatedhermes.com/companies/Q29tcGFueQppODU4NzM=", "Carrefour SA")</f>
      </c>
      <c r="D2345" s="0" t="s">
        <v>25</v>
      </c>
      <c r="E2345" s="0" t="s">
        <v>6468</v>
      </c>
      <c r="F2345" s="16">
        <f>HYPERLINK("https://eosportal.federatedhermes.com/engagements/RW5nYWdlbWVudAppMzM0MjE=", "Climate targets")</f>
      </c>
      <c r="G2345" s="14" t="s">
        <v>6469</v>
      </c>
      <c r="H2345" s="0" t="s">
        <v>141</v>
      </c>
      <c r="I2345" s="14" t="s">
        <v>131</v>
      </c>
      <c r="J2345" s="0" t="s">
        <v>197</v>
      </c>
      <c r="K2345" s="0" t="s">
        <v>198</v>
      </c>
      <c r="L2345" s="0" t="s">
        <v>216</v>
      </c>
      <c r="M2345" s="0" t="s">
        <v>378</v>
      </c>
      <c r="N2345" s="0" t="s">
        <v>1646</v>
      </c>
      <c r="O2345" s="0" t="s">
        <v>643</v>
      </c>
      <c r="Q2345" s="0" t="s">
        <v>141</v>
      </c>
      <c r="R2345" s="0" t="s">
        <v>138</v>
      </c>
      <c r="S2345" s="14">
        <v>2</v>
      </c>
      <c r="T2345" s="0" t="s">
        <v>360</v>
      </c>
      <c r="U2345" s="0" t="s">
        <v>138</v>
      </c>
      <c r="V2345" s="14" t="s">
        <v>138</v>
      </c>
      <c r="W2345" s="0" t="s">
        <v>138</v>
      </c>
      <c r="X2345" s="14" t="s">
        <v>138</v>
      </c>
      <c r="Y2345" s="0" t="s">
        <v>138</v>
      </c>
      <c r="Z2345" s="14" t="s">
        <v>138</v>
      </c>
      <c r="AA2345" s="0" t="s">
        <v>138</v>
      </c>
      <c r="AB2345" s="14" t="s">
        <v>138</v>
      </c>
      <c r="AD2345" s="0" t="s">
        <v>138</v>
      </c>
      <c r="AF2345" s="0">
        <v>0</v>
      </c>
      <c r="AG2345" s="0">
        <v>0</v>
      </c>
      <c r="AH2345" s="0" t="s">
        <v>140</v>
      </c>
      <c r="AI2345" s="0" t="s">
        <v>138</v>
      </c>
      <c r="AK2345" s="0" t="s">
        <v>578</v>
      </c>
      <c r="AL2345" s="14"/>
      <c r="AN2345" s="14"/>
      <c r="AQ2345" s="0" t="s">
        <v>130</v>
      </c>
      <c r="AR2345" s="0" t="s">
        <v>130</v>
      </c>
      <c r="AS2345" s="0" t="s">
        <v>130</v>
      </c>
      <c r="AT2345" s="0" t="s">
        <v>130</v>
      </c>
      <c r="AU2345" s="0" t="s">
        <v>130</v>
      </c>
      <c r="AV2345" s="0" t="s">
        <v>130</v>
      </c>
      <c r="AW2345" s="0" t="s">
        <v>141</v>
      </c>
      <c r="AX2345" s="0" t="s">
        <v>130</v>
      </c>
      <c r="AY2345" s="0" t="s">
        <v>130</v>
      </c>
      <c r="AZ2345" s="0" t="s">
        <v>130</v>
      </c>
      <c r="BA2345" s="0" t="s">
        <v>130</v>
      </c>
      <c r="BB2345" s="0" t="s">
        <v>130</v>
      </c>
      <c r="BC2345" s="0" t="s">
        <v>141</v>
      </c>
      <c r="BD2345" s="0" t="s">
        <v>130</v>
      </c>
      <c r="BE2345" s="0" t="s">
        <v>130</v>
      </c>
      <c r="BF2345" s="0" t="s">
        <v>130</v>
      </c>
      <c r="BG2345" s="0" t="s">
        <v>130</v>
      </c>
      <c r="BH2345" s="0" t="s">
        <v>141</v>
      </c>
      <c r="BI2345" s="0" t="s">
        <v>141</v>
      </c>
      <c r="BJ2345" s="0" t="s">
        <v>141</v>
      </c>
      <c r="BK2345" s="0" t="s">
        <v>130</v>
      </c>
      <c r="BL2345" s="0" t="s">
        <v>130</v>
      </c>
      <c r="BM2345" s="0" t="s">
        <v>130</v>
      </c>
      <c r="BN2345" s="0" t="s">
        <v>130</v>
      </c>
      <c r="BO2345" s="0" t="s">
        <v>130</v>
      </c>
      <c r="BP2345" s="0" t="s">
        <v>130</v>
      </c>
      <c r="BQ2345" s="0" t="s">
        <v>130</v>
      </c>
      <c r="BR2345" s="0" t="s">
        <v>130</v>
      </c>
      <c r="BS2345" s="0" t="s">
        <v>130</v>
      </c>
      <c r="BT2345" s="0" t="s">
        <v>130</v>
      </c>
      <c r="BU2345" s="0" t="s">
        <v>130</v>
      </c>
      <c r="BV2345" s="0" t="s">
        <v>141</v>
      </c>
      <c r="BW2345" s="0" t="s">
        <v>141</v>
      </c>
      <c r="BX2345" s="0" t="s">
        <v>130</v>
      </c>
      <c r="BY2345" s="0" t="s">
        <v>130</v>
      </c>
      <c r="BZ2345" s="0" t="s">
        <v>130</v>
      </c>
      <c r="CA2345" s="0" t="s">
        <v>130</v>
      </c>
      <c r="CB2345" s="0" t="s">
        <v>130</v>
      </c>
      <c r="CC2345" s="0" t="s">
        <v>130</v>
      </c>
      <c r="CD2345" s="0" t="s">
        <v>130</v>
      </c>
      <c r="CE2345" s="0" t="s">
        <v>130</v>
      </c>
      <c r="CF2345" s="0" t="s">
        <v>130</v>
      </c>
      <c r="CG2345" s="0" t="s">
        <v>130</v>
      </c>
      <c r="CH2345" s="0" t="s">
        <v>130</v>
      </c>
      <c r="CI2345" s="0" t="s">
        <v>130</v>
      </c>
      <c r="CJ2345" s="0" t="s">
        <v>130</v>
      </c>
      <c r="CK2345" s="0" t="s">
        <v>130</v>
      </c>
      <c r="CL2345" s="0" t="s">
        <v>130</v>
      </c>
      <c r="CM2345" s="0" t="s">
        <v>130</v>
      </c>
      <c r="CN2345" s="0" t="s">
        <v>130</v>
      </c>
      <c r="CO2345" s="0" t="s">
        <v>130</v>
      </c>
      <c r="CP2345" s="0" t="s">
        <v>130</v>
      </c>
      <c r="CQ2345" s="0" t="s">
        <v>130</v>
      </c>
      <c r="CR2345" s="0" t="s">
        <v>130</v>
      </c>
      <c r="CS2345" s="0" t="s">
        <v>130</v>
      </c>
      <c r="CT2345" s="0" t="s">
        <v>6470</v>
      </c>
    </row>
    <row r="2346">
      <c r="A2346" s="14">
        <v>115230</v>
      </c>
      <c r="B2346" s="0" t="s">
        <v>2352</v>
      </c>
      <c r="C2346" s="16">
        <f>HYPERLINK("https://eosportal.federatedhermes.com/companies/Q29tcGFueQppNjI0OTg=", "Air Liquide SA")</f>
      </c>
      <c r="D2346" s="0" t="s">
        <v>25</v>
      </c>
      <c r="E2346" s="0" t="s">
        <v>6471</v>
      </c>
      <c r="F2346" s="16">
        <f>HYPERLINK("https://eosportal.federatedhermes.com/engagements/RW5nYWdlbWVudAppMzM0Mjg=", "Diversity across the workforce")</f>
      </c>
      <c r="G2346" s="14" t="s">
        <v>6472</v>
      </c>
      <c r="H2346" s="0" t="s">
        <v>141</v>
      </c>
      <c r="I2346" s="14" t="s">
        <v>1645</v>
      </c>
      <c r="J2346" s="0" t="s">
        <v>153</v>
      </c>
      <c r="K2346" s="0" t="s">
        <v>154</v>
      </c>
      <c r="L2346" s="0" t="s">
        <v>268</v>
      </c>
      <c r="M2346" s="0" t="s">
        <v>378</v>
      </c>
      <c r="N2346" s="0" t="s">
        <v>1646</v>
      </c>
      <c r="O2346" s="0" t="s">
        <v>706</v>
      </c>
      <c r="Q2346" s="0" t="s">
        <v>130</v>
      </c>
      <c r="R2346" s="0" t="s">
        <v>138</v>
      </c>
      <c r="S2346" s="14">
        <v>0</v>
      </c>
      <c r="T2346" s="0" t="s">
        <v>360</v>
      </c>
      <c r="U2346" s="0" t="s">
        <v>138</v>
      </c>
      <c r="V2346" s="14" t="s">
        <v>138</v>
      </c>
      <c r="W2346" s="0" t="s">
        <v>138</v>
      </c>
      <c r="X2346" s="14" t="s">
        <v>138</v>
      </c>
      <c r="Y2346" s="0" t="s">
        <v>138</v>
      </c>
      <c r="Z2346" s="14" t="s">
        <v>138</v>
      </c>
      <c r="AA2346" s="0" t="s">
        <v>138</v>
      </c>
      <c r="AB2346" s="14" t="s">
        <v>138</v>
      </c>
      <c r="AD2346" s="0" t="s">
        <v>138</v>
      </c>
      <c r="AF2346" s="0">
        <v>0</v>
      </c>
      <c r="AG2346" s="0">
        <v>0</v>
      </c>
      <c r="AH2346" s="0" t="s">
        <v>140</v>
      </c>
      <c r="AI2346" s="0" t="s">
        <v>138</v>
      </c>
      <c r="AL2346" s="14"/>
      <c r="AN2346" s="14"/>
      <c r="AQ2346" s="0" t="s">
        <v>130</v>
      </c>
      <c r="AR2346" s="0" t="s">
        <v>130</v>
      </c>
      <c r="AS2346" s="0" t="s">
        <v>130</v>
      </c>
      <c r="AT2346" s="0" t="s">
        <v>130</v>
      </c>
      <c r="AU2346" s="0" t="s">
        <v>130</v>
      </c>
      <c r="AV2346" s="0" t="s">
        <v>130</v>
      </c>
      <c r="AW2346" s="0" t="s">
        <v>130</v>
      </c>
      <c r="AX2346" s="0" t="s">
        <v>130</v>
      </c>
      <c r="AY2346" s="0" t="s">
        <v>130</v>
      </c>
      <c r="AZ2346" s="0" t="s">
        <v>130</v>
      </c>
      <c r="BA2346" s="0" t="s">
        <v>130</v>
      </c>
      <c r="BB2346" s="0" t="s">
        <v>130</v>
      </c>
      <c r="BC2346" s="0" t="s">
        <v>130</v>
      </c>
      <c r="BD2346" s="0" t="s">
        <v>130</v>
      </c>
      <c r="BE2346" s="0" t="s">
        <v>130</v>
      </c>
      <c r="BF2346" s="0" t="s">
        <v>130</v>
      </c>
      <c r="BG2346" s="0" t="s">
        <v>130</v>
      </c>
      <c r="BH2346" s="0" t="s">
        <v>130</v>
      </c>
      <c r="BI2346" s="0" t="s">
        <v>130</v>
      </c>
      <c r="BJ2346" s="0" t="s">
        <v>130</v>
      </c>
      <c r="BK2346" s="0" t="s">
        <v>130</v>
      </c>
      <c r="BL2346" s="0" t="s">
        <v>130</v>
      </c>
      <c r="BM2346" s="0" t="s">
        <v>130</v>
      </c>
      <c r="BN2346" s="0" t="s">
        <v>130</v>
      </c>
      <c r="BO2346" s="0" t="s">
        <v>130</v>
      </c>
      <c r="BP2346" s="0" t="s">
        <v>130</v>
      </c>
      <c r="BQ2346" s="0" t="s">
        <v>130</v>
      </c>
      <c r="BR2346" s="0" t="s">
        <v>130</v>
      </c>
      <c r="BS2346" s="0" t="s">
        <v>130</v>
      </c>
      <c r="BT2346" s="0" t="s">
        <v>130</v>
      </c>
      <c r="BU2346" s="0" t="s">
        <v>130</v>
      </c>
      <c r="BV2346" s="0" t="s">
        <v>130</v>
      </c>
      <c r="BW2346" s="0" t="s">
        <v>130</v>
      </c>
      <c r="BX2346" s="0" t="s">
        <v>130</v>
      </c>
      <c r="BY2346" s="0" t="s">
        <v>130</v>
      </c>
      <c r="BZ2346" s="0" t="s">
        <v>130</v>
      </c>
      <c r="CA2346" s="0" t="s">
        <v>130</v>
      </c>
      <c r="CB2346" s="0" t="s">
        <v>130</v>
      </c>
      <c r="CC2346" s="0" t="s">
        <v>130</v>
      </c>
      <c r="CD2346" s="0" t="s">
        <v>130</v>
      </c>
      <c r="CE2346" s="0" t="s">
        <v>130</v>
      </c>
      <c r="CF2346" s="0" t="s">
        <v>130</v>
      </c>
      <c r="CG2346" s="0" t="s">
        <v>130</v>
      </c>
      <c r="CH2346" s="0" t="s">
        <v>130</v>
      </c>
      <c r="CI2346" s="0" t="s">
        <v>130</v>
      </c>
      <c r="CJ2346" s="0" t="s">
        <v>130</v>
      </c>
      <c r="CK2346" s="0" t="s">
        <v>141</v>
      </c>
      <c r="CL2346" s="0" t="s">
        <v>130</v>
      </c>
      <c r="CM2346" s="0" t="s">
        <v>130</v>
      </c>
      <c r="CN2346" s="0" t="s">
        <v>130</v>
      </c>
      <c r="CO2346" s="0" t="s">
        <v>130</v>
      </c>
      <c r="CP2346" s="0" t="s">
        <v>130</v>
      </c>
      <c r="CQ2346" s="0" t="s">
        <v>130</v>
      </c>
      <c r="CR2346" s="0" t="s">
        <v>130</v>
      </c>
      <c r="CS2346" s="0" t="s">
        <v>130</v>
      </c>
      <c r="CT2346" s="0" t="s">
        <v>6473</v>
      </c>
    </row>
    <row r="2347">
      <c r="A2347" s="14">
        <v>111129</v>
      </c>
      <c r="B2347" s="0" t="s">
        <v>329</v>
      </c>
      <c r="C2347" s="16">
        <f>HYPERLINK("https://eosportal.federatedhermes.com/companies/Q29tcGFueQppNzU3MjA=", "Associated British Foods PLC")</f>
      </c>
      <c r="D2347" s="0" t="s">
        <v>25</v>
      </c>
      <c r="E2347" s="0" t="s">
        <v>6436</v>
      </c>
      <c r="F2347" s="16">
        <f>HYPERLINK("https://eosportal.federatedhermes.com/engagements/RW5nYWdlbWVudAppMzM0MzM=", "Nature Action 100")</f>
      </c>
      <c r="G2347" s="14" t="s">
        <v>6474</v>
      </c>
      <c r="H2347" s="0" t="s">
        <v>141</v>
      </c>
      <c r="I2347" s="14" t="s">
        <v>191</v>
      </c>
      <c r="J2347" s="0" t="s">
        <v>197</v>
      </c>
      <c r="K2347" s="0" t="s">
        <v>337</v>
      </c>
      <c r="L2347" s="0" t="s">
        <v>576</v>
      </c>
      <c r="M2347" s="0" t="s">
        <v>272</v>
      </c>
      <c r="N2347" s="0" t="s">
        <v>273</v>
      </c>
      <c r="O2347" s="0" t="s">
        <v>332</v>
      </c>
      <c r="Q2347" s="0" t="s">
        <v>130</v>
      </c>
      <c r="R2347" s="0" t="s">
        <v>138</v>
      </c>
      <c r="S2347" s="14">
        <v>0</v>
      </c>
      <c r="T2347" s="0" t="s">
        <v>360</v>
      </c>
      <c r="U2347" s="0" t="s">
        <v>138</v>
      </c>
      <c r="V2347" s="14" t="s">
        <v>138</v>
      </c>
      <c r="W2347" s="0" t="s">
        <v>138</v>
      </c>
      <c r="X2347" s="14" t="s">
        <v>138</v>
      </c>
      <c r="Y2347" s="0" t="s">
        <v>138</v>
      </c>
      <c r="Z2347" s="14" t="s">
        <v>138</v>
      </c>
      <c r="AA2347" s="0" t="s">
        <v>138</v>
      </c>
      <c r="AB2347" s="14" t="s">
        <v>138</v>
      </c>
      <c r="AD2347" s="0" t="s">
        <v>138</v>
      </c>
      <c r="AF2347" s="0">
        <v>0</v>
      </c>
      <c r="AG2347" s="0">
        <v>0</v>
      </c>
      <c r="AH2347" s="0" t="s">
        <v>140</v>
      </c>
      <c r="AI2347" s="0" t="s">
        <v>138</v>
      </c>
      <c r="AL2347" s="14"/>
      <c r="AN2347" s="14"/>
      <c r="AQ2347" s="0" t="s">
        <v>130</v>
      </c>
      <c r="AR2347" s="0" t="s">
        <v>141</v>
      </c>
      <c r="AS2347" s="0" t="s">
        <v>130</v>
      </c>
      <c r="AT2347" s="0" t="s">
        <v>130</v>
      </c>
      <c r="AU2347" s="0" t="s">
        <v>130</v>
      </c>
      <c r="AV2347" s="0" t="s">
        <v>141</v>
      </c>
      <c r="AW2347" s="0" t="s">
        <v>130</v>
      </c>
      <c r="AX2347" s="0" t="s">
        <v>130</v>
      </c>
      <c r="AY2347" s="0" t="s">
        <v>130</v>
      </c>
      <c r="AZ2347" s="0" t="s">
        <v>130</v>
      </c>
      <c r="BA2347" s="0" t="s">
        <v>141</v>
      </c>
      <c r="BB2347" s="0" t="s">
        <v>141</v>
      </c>
      <c r="BC2347" s="0" t="s">
        <v>130</v>
      </c>
      <c r="BD2347" s="0" t="s">
        <v>141</v>
      </c>
      <c r="BE2347" s="0" t="s">
        <v>141</v>
      </c>
      <c r="BF2347" s="0" t="s">
        <v>130</v>
      </c>
      <c r="BG2347" s="0" t="s">
        <v>130</v>
      </c>
      <c r="BH2347" s="0" t="s">
        <v>130</v>
      </c>
      <c r="BI2347" s="0" t="s">
        <v>130</v>
      </c>
      <c r="BJ2347" s="0" t="s">
        <v>130</v>
      </c>
      <c r="BK2347" s="0" t="s">
        <v>130</v>
      </c>
      <c r="BL2347" s="0" t="s">
        <v>130</v>
      </c>
      <c r="BM2347" s="0" t="s">
        <v>130</v>
      </c>
      <c r="BN2347" s="0" t="s">
        <v>130</v>
      </c>
      <c r="BO2347" s="0" t="s">
        <v>130</v>
      </c>
      <c r="BP2347" s="0" t="s">
        <v>130</v>
      </c>
      <c r="BQ2347" s="0" t="s">
        <v>130</v>
      </c>
      <c r="BR2347" s="0" t="s">
        <v>130</v>
      </c>
      <c r="BS2347" s="0" t="s">
        <v>130</v>
      </c>
      <c r="BT2347" s="0" t="s">
        <v>130</v>
      </c>
      <c r="BU2347" s="0" t="s">
        <v>130</v>
      </c>
      <c r="BV2347" s="0" t="s">
        <v>130</v>
      </c>
      <c r="BW2347" s="0" t="s">
        <v>130</v>
      </c>
      <c r="BX2347" s="0" t="s">
        <v>130</v>
      </c>
      <c r="BY2347" s="0" t="s">
        <v>130</v>
      </c>
      <c r="BZ2347" s="0" t="s">
        <v>130</v>
      </c>
      <c r="CA2347" s="0" t="s">
        <v>130</v>
      </c>
      <c r="CB2347" s="0" t="s">
        <v>130</v>
      </c>
      <c r="CC2347" s="0" t="s">
        <v>130</v>
      </c>
      <c r="CD2347" s="0" t="s">
        <v>130</v>
      </c>
      <c r="CE2347" s="0" t="s">
        <v>130</v>
      </c>
      <c r="CF2347" s="0" t="s">
        <v>130</v>
      </c>
      <c r="CG2347" s="0" t="s">
        <v>130</v>
      </c>
      <c r="CH2347" s="0" t="s">
        <v>130</v>
      </c>
      <c r="CI2347" s="0" t="s">
        <v>130</v>
      </c>
      <c r="CJ2347" s="0" t="s">
        <v>130</v>
      </c>
      <c r="CK2347" s="0" t="s">
        <v>130</v>
      </c>
      <c r="CL2347" s="0" t="s">
        <v>130</v>
      </c>
      <c r="CM2347" s="0" t="s">
        <v>130</v>
      </c>
      <c r="CN2347" s="0" t="s">
        <v>130</v>
      </c>
      <c r="CO2347" s="0" t="s">
        <v>130</v>
      </c>
      <c r="CP2347" s="0" t="s">
        <v>130</v>
      </c>
      <c r="CQ2347" s="0" t="s">
        <v>130</v>
      </c>
      <c r="CR2347" s="0" t="s">
        <v>130</v>
      </c>
      <c r="CS2347" s="0" t="s">
        <v>130</v>
      </c>
      <c r="CT2347" s="0" t="s">
        <v>6475</v>
      </c>
    </row>
    <row r="2348">
      <c r="A2348" s="14">
        <v>111093</v>
      </c>
      <c r="B2348" s="0" t="s">
        <v>270</v>
      </c>
      <c r="C2348" s="16">
        <f>HYPERLINK("https://eosportal.federatedhermes.com/companies/Q29tcGFueQppNzY2OTg=", "AstraZeneca PLC")</f>
      </c>
      <c r="D2348" s="0" t="s">
        <v>25</v>
      </c>
      <c r="E2348" s="0" t="s">
        <v>6436</v>
      </c>
      <c r="F2348" s="16">
        <f>HYPERLINK("https://eosportal.federatedhermes.com/engagements/RW5nYWdlbWVudAppMzM0MzQ=", "Nature Action 100")</f>
      </c>
      <c r="G2348" s="14" t="s">
        <v>6437</v>
      </c>
      <c r="H2348" s="0" t="s">
        <v>141</v>
      </c>
      <c r="I2348" s="14" t="s">
        <v>131</v>
      </c>
      <c r="J2348" s="0" t="s">
        <v>197</v>
      </c>
      <c r="K2348" s="0" t="s">
        <v>337</v>
      </c>
      <c r="L2348" s="0" t="s">
        <v>576</v>
      </c>
      <c r="M2348" s="0" t="s">
        <v>272</v>
      </c>
      <c r="N2348" s="0" t="s">
        <v>273</v>
      </c>
      <c r="O2348" s="0" t="s">
        <v>274</v>
      </c>
      <c r="Q2348" s="0" t="s">
        <v>130</v>
      </c>
      <c r="R2348" s="0" t="s">
        <v>138</v>
      </c>
      <c r="S2348" s="14">
        <v>0</v>
      </c>
      <c r="T2348" s="0" t="s">
        <v>222</v>
      </c>
      <c r="U2348" s="0" t="s">
        <v>138</v>
      </c>
      <c r="V2348" s="14" t="s">
        <v>138</v>
      </c>
      <c r="W2348" s="0" t="s">
        <v>138</v>
      </c>
      <c r="X2348" s="14" t="s">
        <v>138</v>
      </c>
      <c r="Y2348" s="0" t="s">
        <v>138</v>
      </c>
      <c r="Z2348" s="14" t="s">
        <v>138</v>
      </c>
      <c r="AA2348" s="0" t="s">
        <v>138</v>
      </c>
      <c r="AB2348" s="14" t="s">
        <v>138</v>
      </c>
      <c r="AD2348" s="0" t="s">
        <v>138</v>
      </c>
      <c r="AF2348" s="0">
        <v>0</v>
      </c>
      <c r="AG2348" s="0">
        <v>0</v>
      </c>
      <c r="AH2348" s="0" t="s">
        <v>140</v>
      </c>
      <c r="AI2348" s="0" t="s">
        <v>138</v>
      </c>
      <c r="AL2348" s="14"/>
      <c r="AN2348" s="14"/>
      <c r="AQ2348" s="0" t="s">
        <v>130</v>
      </c>
      <c r="AR2348" s="0" t="s">
        <v>141</v>
      </c>
      <c r="AS2348" s="0" t="s">
        <v>130</v>
      </c>
      <c r="AT2348" s="0" t="s">
        <v>130</v>
      </c>
      <c r="AU2348" s="0" t="s">
        <v>130</v>
      </c>
      <c r="AV2348" s="0" t="s">
        <v>141</v>
      </c>
      <c r="AW2348" s="0" t="s">
        <v>130</v>
      </c>
      <c r="AX2348" s="0" t="s">
        <v>130</v>
      </c>
      <c r="AY2348" s="0" t="s">
        <v>130</v>
      </c>
      <c r="AZ2348" s="0" t="s">
        <v>130</v>
      </c>
      <c r="BA2348" s="0" t="s">
        <v>141</v>
      </c>
      <c r="BB2348" s="0" t="s">
        <v>141</v>
      </c>
      <c r="BC2348" s="0" t="s">
        <v>130</v>
      </c>
      <c r="BD2348" s="0" t="s">
        <v>141</v>
      </c>
      <c r="BE2348" s="0" t="s">
        <v>141</v>
      </c>
      <c r="BF2348" s="0" t="s">
        <v>130</v>
      </c>
      <c r="BG2348" s="0" t="s">
        <v>130</v>
      </c>
      <c r="BH2348" s="0" t="s">
        <v>130</v>
      </c>
      <c r="BI2348" s="0" t="s">
        <v>130</v>
      </c>
      <c r="BJ2348" s="0" t="s">
        <v>130</v>
      </c>
      <c r="BK2348" s="0" t="s">
        <v>130</v>
      </c>
      <c r="BL2348" s="0" t="s">
        <v>130</v>
      </c>
      <c r="BM2348" s="0" t="s">
        <v>130</v>
      </c>
      <c r="BN2348" s="0" t="s">
        <v>130</v>
      </c>
      <c r="BO2348" s="0" t="s">
        <v>130</v>
      </c>
      <c r="BP2348" s="0" t="s">
        <v>130</v>
      </c>
      <c r="BQ2348" s="0" t="s">
        <v>130</v>
      </c>
      <c r="BR2348" s="0" t="s">
        <v>130</v>
      </c>
      <c r="BS2348" s="0" t="s">
        <v>130</v>
      </c>
      <c r="BT2348" s="0" t="s">
        <v>130</v>
      </c>
      <c r="BU2348" s="0" t="s">
        <v>130</v>
      </c>
      <c r="BV2348" s="0" t="s">
        <v>130</v>
      </c>
      <c r="BW2348" s="0" t="s">
        <v>130</v>
      </c>
      <c r="BX2348" s="0" t="s">
        <v>130</v>
      </c>
      <c r="BY2348" s="0" t="s">
        <v>130</v>
      </c>
      <c r="BZ2348" s="0" t="s">
        <v>130</v>
      </c>
      <c r="CA2348" s="0" t="s">
        <v>130</v>
      </c>
      <c r="CB2348" s="0" t="s">
        <v>130</v>
      </c>
      <c r="CC2348" s="0" t="s">
        <v>130</v>
      </c>
      <c r="CD2348" s="0" t="s">
        <v>130</v>
      </c>
      <c r="CE2348" s="0" t="s">
        <v>130</v>
      </c>
      <c r="CF2348" s="0" t="s">
        <v>130</v>
      </c>
      <c r="CG2348" s="0" t="s">
        <v>130</v>
      </c>
      <c r="CH2348" s="0" t="s">
        <v>130</v>
      </c>
      <c r="CI2348" s="0" t="s">
        <v>130</v>
      </c>
      <c r="CJ2348" s="0" t="s">
        <v>130</v>
      </c>
      <c r="CK2348" s="0" t="s">
        <v>130</v>
      </c>
      <c r="CL2348" s="0" t="s">
        <v>130</v>
      </c>
      <c r="CM2348" s="0" t="s">
        <v>130</v>
      </c>
      <c r="CN2348" s="0" t="s">
        <v>130</v>
      </c>
      <c r="CO2348" s="0" t="s">
        <v>130</v>
      </c>
      <c r="CP2348" s="0" t="s">
        <v>130</v>
      </c>
      <c r="CQ2348" s="0" t="s">
        <v>130</v>
      </c>
      <c r="CR2348" s="0" t="s">
        <v>130</v>
      </c>
      <c r="CS2348" s="0" t="s">
        <v>130</v>
      </c>
      <c r="CT2348" s="0" t="s">
        <v>6476</v>
      </c>
    </row>
    <row r="2349">
      <c r="A2349" s="14">
        <v>115245</v>
      </c>
      <c r="B2349" s="0" t="s">
        <v>2366</v>
      </c>
      <c r="C2349" s="16">
        <f>HYPERLINK("https://eosportal.federatedhermes.com/companies/Q29tcGFueQppODU4ODA=", "BNP Paribas SA")</f>
      </c>
      <c r="D2349" s="0" t="s">
        <v>25</v>
      </c>
      <c r="E2349" s="0" t="s">
        <v>6477</v>
      </c>
      <c r="F2349" s="16">
        <f>HYPERLINK("https://eosportal.federatedhermes.com/engagements/RW5nYWdlbWVudAppMzM0MzU=", "Corporate Access")</f>
      </c>
      <c r="G2349" s="14" t="s">
        <v>6478</v>
      </c>
      <c r="H2349" s="0" t="s">
        <v>141</v>
      </c>
      <c r="I2349" s="14" t="s">
        <v>131</v>
      </c>
      <c r="J2349" s="0" t="s">
        <v>145</v>
      </c>
      <c r="K2349" s="0" t="s">
        <v>400</v>
      </c>
      <c r="L2349" s="0" t="s">
        <v>401</v>
      </c>
      <c r="M2349" s="0" t="s">
        <v>378</v>
      </c>
      <c r="N2349" s="0" t="s">
        <v>1646</v>
      </c>
      <c r="O2349" s="0" t="s">
        <v>238</v>
      </c>
      <c r="Q2349" s="0" t="s">
        <v>130</v>
      </c>
      <c r="R2349" s="0" t="s">
        <v>138</v>
      </c>
      <c r="S2349" s="14">
        <v>0</v>
      </c>
      <c r="T2349" s="0" t="s">
        <v>355</v>
      </c>
      <c r="U2349" s="0" t="s">
        <v>138</v>
      </c>
      <c r="V2349" s="14" t="s">
        <v>138</v>
      </c>
      <c r="W2349" s="0" t="s">
        <v>138</v>
      </c>
      <c r="X2349" s="14" t="s">
        <v>138</v>
      </c>
      <c r="Y2349" s="0" t="s">
        <v>138</v>
      </c>
      <c r="Z2349" s="14" t="s">
        <v>138</v>
      </c>
      <c r="AA2349" s="0" t="s">
        <v>138</v>
      </c>
      <c r="AB2349" s="14" t="s">
        <v>138</v>
      </c>
      <c r="AD2349" s="0" t="s">
        <v>138</v>
      </c>
      <c r="AF2349" s="0">
        <v>0</v>
      </c>
      <c r="AG2349" s="0">
        <v>0</v>
      </c>
      <c r="AH2349" s="0" t="s">
        <v>140</v>
      </c>
      <c r="AI2349" s="0" t="s">
        <v>138</v>
      </c>
      <c r="AL2349" s="14"/>
      <c r="AN2349" s="14"/>
      <c r="AQ2349" s="0" t="s">
        <v>130</v>
      </c>
      <c r="AR2349" s="0" t="s">
        <v>130</v>
      </c>
      <c r="AS2349" s="0" t="s">
        <v>130</v>
      </c>
      <c r="AT2349" s="0" t="s">
        <v>130</v>
      </c>
      <c r="AU2349" s="0" t="s">
        <v>130</v>
      </c>
      <c r="AV2349" s="0" t="s">
        <v>130</v>
      </c>
      <c r="AW2349" s="0" t="s">
        <v>130</v>
      </c>
      <c r="AX2349" s="0" t="s">
        <v>130</v>
      </c>
      <c r="AY2349" s="0" t="s">
        <v>130</v>
      </c>
      <c r="AZ2349" s="0" t="s">
        <v>130</v>
      </c>
      <c r="BA2349" s="0" t="s">
        <v>130</v>
      </c>
      <c r="BB2349" s="0" t="s">
        <v>130</v>
      </c>
      <c r="BC2349" s="0" t="s">
        <v>130</v>
      </c>
      <c r="BD2349" s="0" t="s">
        <v>130</v>
      </c>
      <c r="BE2349" s="0" t="s">
        <v>130</v>
      </c>
      <c r="BF2349" s="0" t="s">
        <v>130</v>
      </c>
      <c r="BG2349" s="0" t="s">
        <v>130</v>
      </c>
      <c r="BH2349" s="0" t="s">
        <v>130</v>
      </c>
      <c r="BI2349" s="0" t="s">
        <v>130</v>
      </c>
      <c r="BJ2349" s="0" t="s">
        <v>130</v>
      </c>
      <c r="BK2349" s="0" t="s">
        <v>130</v>
      </c>
      <c r="BL2349" s="0" t="s">
        <v>130</v>
      </c>
      <c r="BM2349" s="0" t="s">
        <v>130</v>
      </c>
      <c r="BN2349" s="0" t="s">
        <v>130</v>
      </c>
      <c r="BO2349" s="0" t="s">
        <v>130</v>
      </c>
      <c r="BP2349" s="0" t="s">
        <v>130</v>
      </c>
      <c r="BQ2349" s="0" t="s">
        <v>130</v>
      </c>
      <c r="BR2349" s="0" t="s">
        <v>130</v>
      </c>
      <c r="BS2349" s="0" t="s">
        <v>130</v>
      </c>
      <c r="BT2349" s="0" t="s">
        <v>130</v>
      </c>
      <c r="BU2349" s="0" t="s">
        <v>130</v>
      </c>
      <c r="BV2349" s="0" t="s">
        <v>130</v>
      </c>
      <c r="BW2349" s="0" t="s">
        <v>130</v>
      </c>
      <c r="BX2349" s="0" t="s">
        <v>130</v>
      </c>
      <c r="BY2349" s="0" t="s">
        <v>130</v>
      </c>
      <c r="BZ2349" s="0" t="s">
        <v>130</v>
      </c>
      <c r="CA2349" s="0" t="s">
        <v>130</v>
      </c>
      <c r="CB2349" s="0" t="s">
        <v>130</v>
      </c>
      <c r="CC2349" s="0" t="s">
        <v>130</v>
      </c>
      <c r="CD2349" s="0" t="s">
        <v>130</v>
      </c>
      <c r="CE2349" s="0" t="s">
        <v>130</v>
      </c>
      <c r="CF2349" s="0" t="s">
        <v>130</v>
      </c>
      <c r="CG2349" s="0" t="s">
        <v>130</v>
      </c>
      <c r="CH2349" s="0" t="s">
        <v>130</v>
      </c>
      <c r="CI2349" s="0" t="s">
        <v>130</v>
      </c>
      <c r="CJ2349" s="0" t="s">
        <v>130</v>
      </c>
      <c r="CK2349" s="0" t="s">
        <v>130</v>
      </c>
      <c r="CL2349" s="0" t="s">
        <v>130</v>
      </c>
      <c r="CM2349" s="0" t="s">
        <v>130</v>
      </c>
      <c r="CN2349" s="0" t="s">
        <v>130</v>
      </c>
      <c r="CO2349" s="0" t="s">
        <v>130</v>
      </c>
      <c r="CP2349" s="0" t="s">
        <v>130</v>
      </c>
      <c r="CQ2349" s="0" t="s">
        <v>130</v>
      </c>
      <c r="CR2349" s="0" t="s">
        <v>130</v>
      </c>
      <c r="CS2349" s="0" t="s">
        <v>130</v>
      </c>
      <c r="CT2349" s="0" t="s">
        <v>6479</v>
      </c>
    </row>
    <row r="2350">
      <c r="A2350" s="14">
        <v>101254</v>
      </c>
      <c r="B2350" s="0" t="s">
        <v>1531</v>
      </c>
      <c r="C2350" s="16">
        <f>HYPERLINK("https://eosportal.federatedhermes.com/companies/Q29tcGFueQppNTg5NjY=", "Repsol SA")</f>
      </c>
      <c r="D2350" s="0" t="s">
        <v>25</v>
      </c>
      <c r="E2350" s="0" t="s">
        <v>1666</v>
      </c>
      <c r="F2350" s="16">
        <f>HYPERLINK("https://eosportal.federatedhermes.com/engagements/RW5nYWdlbWVudAppMzM0Mzg=", "Climate lobbying")</f>
      </c>
      <c r="G2350" s="14" t="s">
        <v>6480</v>
      </c>
      <c r="H2350" s="0" t="s">
        <v>141</v>
      </c>
      <c r="I2350" s="14" t="s">
        <v>191</v>
      </c>
      <c r="J2350" s="0" t="s">
        <v>197</v>
      </c>
      <c r="K2350" s="0" t="s">
        <v>198</v>
      </c>
      <c r="L2350" s="0" t="s">
        <v>199</v>
      </c>
      <c r="M2350" s="0" t="s">
        <v>378</v>
      </c>
      <c r="N2350" s="0" t="s">
        <v>379</v>
      </c>
      <c r="O2350" s="0" t="s">
        <v>542</v>
      </c>
      <c r="Q2350" s="0" t="s">
        <v>130</v>
      </c>
      <c r="R2350" s="0" t="s">
        <v>138</v>
      </c>
      <c r="S2350" s="14">
        <v>0</v>
      </c>
      <c r="T2350" s="0" t="s">
        <v>360</v>
      </c>
      <c r="U2350" s="0" t="s">
        <v>138</v>
      </c>
      <c r="V2350" s="14" t="s">
        <v>138</v>
      </c>
      <c r="W2350" s="0" t="s">
        <v>138</v>
      </c>
      <c r="X2350" s="14" t="s">
        <v>138</v>
      </c>
      <c r="Y2350" s="0" t="s">
        <v>138</v>
      </c>
      <c r="Z2350" s="14" t="s">
        <v>138</v>
      </c>
      <c r="AA2350" s="0" t="s">
        <v>138</v>
      </c>
      <c r="AB2350" s="14" t="s">
        <v>138</v>
      </c>
      <c r="AD2350" s="0" t="s">
        <v>138</v>
      </c>
      <c r="AF2350" s="0">
        <v>0</v>
      </c>
      <c r="AG2350" s="0">
        <v>0</v>
      </c>
      <c r="AH2350" s="0" t="s">
        <v>140</v>
      </c>
      <c r="AI2350" s="0" t="s">
        <v>138</v>
      </c>
      <c r="AL2350" s="14"/>
      <c r="AN2350" s="14"/>
      <c r="AQ2350" s="0" t="s">
        <v>130</v>
      </c>
      <c r="AR2350" s="0" t="s">
        <v>130</v>
      </c>
      <c r="AS2350" s="0" t="s">
        <v>130</v>
      </c>
      <c r="AT2350" s="0" t="s">
        <v>130</v>
      </c>
      <c r="AU2350" s="0" t="s">
        <v>130</v>
      </c>
      <c r="AV2350" s="0" t="s">
        <v>130</v>
      </c>
      <c r="AW2350" s="0" t="s">
        <v>130</v>
      </c>
      <c r="AX2350" s="0" t="s">
        <v>130</v>
      </c>
      <c r="AY2350" s="0" t="s">
        <v>130</v>
      </c>
      <c r="AZ2350" s="0" t="s">
        <v>130</v>
      </c>
      <c r="BA2350" s="0" t="s">
        <v>130</v>
      </c>
      <c r="BB2350" s="0" t="s">
        <v>141</v>
      </c>
      <c r="BC2350" s="0" t="s">
        <v>141</v>
      </c>
      <c r="BD2350" s="0" t="s">
        <v>130</v>
      </c>
      <c r="BE2350" s="0" t="s">
        <v>130</v>
      </c>
      <c r="BF2350" s="0" t="s">
        <v>130</v>
      </c>
      <c r="BG2350" s="0" t="s">
        <v>130</v>
      </c>
      <c r="BH2350" s="0" t="s">
        <v>130</v>
      </c>
      <c r="BI2350" s="0" t="s">
        <v>130</v>
      </c>
      <c r="BJ2350" s="0" t="s">
        <v>130</v>
      </c>
      <c r="BK2350" s="0" t="s">
        <v>130</v>
      </c>
      <c r="BL2350" s="0" t="s">
        <v>130</v>
      </c>
      <c r="BM2350" s="0" t="s">
        <v>130</v>
      </c>
      <c r="BN2350" s="0" t="s">
        <v>130</v>
      </c>
      <c r="BO2350" s="0" t="s">
        <v>130</v>
      </c>
      <c r="BP2350" s="0" t="s">
        <v>130</v>
      </c>
      <c r="BQ2350" s="0" t="s">
        <v>130</v>
      </c>
      <c r="BR2350" s="0" t="s">
        <v>130</v>
      </c>
      <c r="BS2350" s="0" t="s">
        <v>130</v>
      </c>
      <c r="BT2350" s="0" t="s">
        <v>130</v>
      </c>
      <c r="BU2350" s="0" t="s">
        <v>130</v>
      </c>
      <c r="BV2350" s="0" t="s">
        <v>130</v>
      </c>
      <c r="BW2350" s="0" t="s">
        <v>130</v>
      </c>
      <c r="BX2350" s="0" t="s">
        <v>130</v>
      </c>
      <c r="BY2350" s="0" t="s">
        <v>130</v>
      </c>
      <c r="BZ2350" s="0" t="s">
        <v>130</v>
      </c>
      <c r="CA2350" s="0" t="s">
        <v>130</v>
      </c>
      <c r="CB2350" s="0" t="s">
        <v>130</v>
      </c>
      <c r="CC2350" s="0" t="s">
        <v>130</v>
      </c>
      <c r="CD2350" s="0" t="s">
        <v>130</v>
      </c>
      <c r="CE2350" s="0" t="s">
        <v>130</v>
      </c>
      <c r="CF2350" s="0" t="s">
        <v>130</v>
      </c>
      <c r="CG2350" s="0" t="s">
        <v>130</v>
      </c>
      <c r="CH2350" s="0" t="s">
        <v>130</v>
      </c>
      <c r="CI2350" s="0" t="s">
        <v>130</v>
      </c>
      <c r="CJ2350" s="0" t="s">
        <v>130</v>
      </c>
      <c r="CK2350" s="0" t="s">
        <v>130</v>
      </c>
      <c r="CL2350" s="0" t="s">
        <v>130</v>
      </c>
      <c r="CM2350" s="0" t="s">
        <v>130</v>
      </c>
      <c r="CN2350" s="0" t="s">
        <v>130</v>
      </c>
      <c r="CO2350" s="0" t="s">
        <v>130</v>
      </c>
      <c r="CP2350" s="0" t="s">
        <v>130</v>
      </c>
      <c r="CQ2350" s="0" t="s">
        <v>130</v>
      </c>
      <c r="CR2350" s="0" t="s">
        <v>130</v>
      </c>
      <c r="CS2350" s="0" t="s">
        <v>130</v>
      </c>
      <c r="CT2350" s="0" t="s">
        <v>6481</v>
      </c>
    </row>
    <row r="2351">
      <c r="A2351" s="14">
        <v>32348903</v>
      </c>
      <c r="B2351" s="0" t="s">
        <v>4458</v>
      </c>
      <c r="C2351" s="16">
        <f>HYPERLINK("https://eosportal.federatedhermes.com/companies/Q29tcGFueQppNTg5Njk=", "Zoetis Inc")</f>
      </c>
      <c r="D2351" s="0" t="s">
        <v>25</v>
      </c>
      <c r="E2351" s="0" t="s">
        <v>6482</v>
      </c>
      <c r="F2351" s="16">
        <f>HYPERLINK("https://eosportal.federatedhermes.com/engagements/RW5nYWdlbWVudAppMzM0NDA=", "Animal testing")</f>
      </c>
      <c r="G2351" s="14" t="s">
        <v>6483</v>
      </c>
      <c r="H2351" s="0" t="s">
        <v>141</v>
      </c>
      <c r="I2351" s="14" t="s">
        <v>636</v>
      </c>
      <c r="J2351" s="0" t="s">
        <v>197</v>
      </c>
      <c r="K2351" s="0" t="s">
        <v>337</v>
      </c>
      <c r="L2351" s="0" t="s">
        <v>576</v>
      </c>
      <c r="M2351" s="0" t="s">
        <v>135</v>
      </c>
      <c r="N2351" s="0" t="s">
        <v>136</v>
      </c>
      <c r="O2351" s="0" t="s">
        <v>274</v>
      </c>
      <c r="Q2351" s="0" t="s">
        <v>130</v>
      </c>
      <c r="R2351" s="0" t="s">
        <v>138</v>
      </c>
      <c r="S2351" s="14">
        <v>0</v>
      </c>
      <c r="T2351" s="0" t="s">
        <v>360</v>
      </c>
      <c r="U2351" s="0" t="s">
        <v>138</v>
      </c>
      <c r="V2351" s="14" t="s">
        <v>138</v>
      </c>
      <c r="W2351" s="0" t="s">
        <v>138</v>
      </c>
      <c r="X2351" s="14" t="s">
        <v>138</v>
      </c>
      <c r="Y2351" s="0" t="s">
        <v>138</v>
      </c>
      <c r="Z2351" s="14" t="s">
        <v>138</v>
      </c>
      <c r="AA2351" s="0" t="s">
        <v>138</v>
      </c>
      <c r="AB2351" s="14" t="s">
        <v>138</v>
      </c>
      <c r="AD2351" s="0" t="s">
        <v>138</v>
      </c>
      <c r="AF2351" s="0">
        <v>0</v>
      </c>
      <c r="AG2351" s="0">
        <v>0</v>
      </c>
      <c r="AH2351" s="0" t="s">
        <v>140</v>
      </c>
      <c r="AI2351" s="0" t="s">
        <v>138</v>
      </c>
      <c r="AL2351" s="14"/>
      <c r="AN2351" s="14"/>
      <c r="AQ2351" s="0" t="s">
        <v>130</v>
      </c>
      <c r="AR2351" s="0" t="s">
        <v>130</v>
      </c>
      <c r="AS2351" s="0" t="s">
        <v>130</v>
      </c>
      <c r="AT2351" s="0" t="s">
        <v>130</v>
      </c>
      <c r="AU2351" s="0" t="s">
        <v>130</v>
      </c>
      <c r="AV2351" s="0" t="s">
        <v>130</v>
      </c>
      <c r="AW2351" s="0" t="s">
        <v>130</v>
      </c>
      <c r="AX2351" s="0" t="s">
        <v>130</v>
      </c>
      <c r="AY2351" s="0" t="s">
        <v>130</v>
      </c>
      <c r="AZ2351" s="0" t="s">
        <v>130</v>
      </c>
      <c r="BA2351" s="0" t="s">
        <v>130</v>
      </c>
      <c r="BB2351" s="0" t="s">
        <v>141</v>
      </c>
      <c r="BC2351" s="0" t="s">
        <v>130</v>
      </c>
      <c r="BD2351" s="0" t="s">
        <v>130</v>
      </c>
      <c r="BE2351" s="0" t="s">
        <v>141</v>
      </c>
      <c r="BF2351" s="0" t="s">
        <v>130</v>
      </c>
      <c r="BG2351" s="0" t="s">
        <v>130</v>
      </c>
      <c r="BH2351" s="0" t="s">
        <v>130</v>
      </c>
      <c r="BI2351" s="0" t="s">
        <v>130</v>
      </c>
      <c r="BJ2351" s="0" t="s">
        <v>130</v>
      </c>
      <c r="BK2351" s="0" t="s">
        <v>130</v>
      </c>
      <c r="BL2351" s="0" t="s">
        <v>130</v>
      </c>
      <c r="BM2351" s="0" t="s">
        <v>130</v>
      </c>
      <c r="BN2351" s="0" t="s">
        <v>130</v>
      </c>
      <c r="BO2351" s="0" t="s">
        <v>130</v>
      </c>
      <c r="BP2351" s="0" t="s">
        <v>130</v>
      </c>
      <c r="BQ2351" s="0" t="s">
        <v>130</v>
      </c>
      <c r="BR2351" s="0" t="s">
        <v>130</v>
      </c>
      <c r="BS2351" s="0" t="s">
        <v>130</v>
      </c>
      <c r="BT2351" s="0" t="s">
        <v>130</v>
      </c>
      <c r="BU2351" s="0" t="s">
        <v>130</v>
      </c>
      <c r="BV2351" s="0" t="s">
        <v>130</v>
      </c>
      <c r="BW2351" s="0" t="s">
        <v>130</v>
      </c>
      <c r="BX2351" s="0" t="s">
        <v>130</v>
      </c>
      <c r="BY2351" s="0" t="s">
        <v>130</v>
      </c>
      <c r="BZ2351" s="0" t="s">
        <v>130</v>
      </c>
      <c r="CA2351" s="0" t="s">
        <v>130</v>
      </c>
      <c r="CB2351" s="0" t="s">
        <v>130</v>
      </c>
      <c r="CC2351" s="0" t="s">
        <v>130</v>
      </c>
      <c r="CD2351" s="0" t="s">
        <v>130</v>
      </c>
      <c r="CE2351" s="0" t="s">
        <v>130</v>
      </c>
      <c r="CF2351" s="0" t="s">
        <v>130</v>
      </c>
      <c r="CG2351" s="0" t="s">
        <v>130</v>
      </c>
      <c r="CH2351" s="0" t="s">
        <v>130</v>
      </c>
      <c r="CI2351" s="0" t="s">
        <v>130</v>
      </c>
      <c r="CJ2351" s="0" t="s">
        <v>130</v>
      </c>
      <c r="CK2351" s="0" t="s">
        <v>130</v>
      </c>
      <c r="CL2351" s="0" t="s">
        <v>130</v>
      </c>
      <c r="CM2351" s="0" t="s">
        <v>130</v>
      </c>
      <c r="CN2351" s="0" t="s">
        <v>130</v>
      </c>
      <c r="CO2351" s="0" t="s">
        <v>130</v>
      </c>
      <c r="CP2351" s="0" t="s">
        <v>130</v>
      </c>
      <c r="CQ2351" s="0" t="s">
        <v>130</v>
      </c>
      <c r="CR2351" s="0" t="s">
        <v>130</v>
      </c>
      <c r="CS2351" s="0" t="s">
        <v>130</v>
      </c>
      <c r="CT2351" s="0" t="s">
        <v>6484</v>
      </c>
    </row>
    <row r="2352">
      <c r="A2352" s="14">
        <v>116420</v>
      </c>
      <c r="B2352" s="0" t="s">
        <v>2745</v>
      </c>
      <c r="C2352" s="16">
        <f>HYPERLINK("https://eosportal.federatedhermes.com/companies/Q29tcGFueQppNzcwNDg=", "Geely Automobile Holdings Ltd")</f>
      </c>
      <c r="D2352" s="0" t="s">
        <v>23</v>
      </c>
      <c r="E2352" s="0" t="s">
        <v>6485</v>
      </c>
      <c r="F2352" s="16">
        <f>HYPERLINK("https://eosportal.federatedhermes.com/engagements/RW5nYWdlbWVudAppMzM0NDE=", "Engagement with independent board director")</f>
      </c>
      <c r="G2352" s="14" t="s">
        <v>6486</v>
      </c>
      <c r="H2352" s="0" t="s">
        <v>141</v>
      </c>
      <c r="I2352" s="14" t="s">
        <v>191</v>
      </c>
      <c r="J2352" s="0" t="s">
        <v>145</v>
      </c>
      <c r="K2352" s="0" t="s">
        <v>400</v>
      </c>
      <c r="L2352" s="0" t="s">
        <v>401</v>
      </c>
      <c r="M2352" s="0" t="s">
        <v>802</v>
      </c>
      <c r="N2352" s="0" t="s">
        <v>803</v>
      </c>
      <c r="O2352" s="0" t="s">
        <v>425</v>
      </c>
      <c r="Q2352" s="0" t="s">
        <v>130</v>
      </c>
      <c r="R2352" s="0" t="s">
        <v>130</v>
      </c>
      <c r="S2352" s="14">
        <v>0</v>
      </c>
      <c r="T2352" s="0" t="s">
        <v>360</v>
      </c>
      <c r="U2352" s="0" t="s">
        <v>221</v>
      </c>
      <c r="V2352" s="14" t="s">
        <v>360</v>
      </c>
      <c r="W2352" s="0" t="s">
        <v>221</v>
      </c>
      <c r="X2352" s="14" t="s">
        <v>360</v>
      </c>
      <c r="Y2352" s="0" t="s">
        <v>221</v>
      </c>
      <c r="Z2352" s="14" t="s">
        <v>4412</v>
      </c>
      <c r="AA2352" s="0" t="s">
        <v>223</v>
      </c>
      <c r="AB2352" s="14" t="s">
        <v>138</v>
      </c>
      <c r="AD2352" s="0" t="s">
        <v>20</v>
      </c>
      <c r="AF2352" s="0">
        <v>0</v>
      </c>
      <c r="AG2352" s="0">
        <v>0</v>
      </c>
      <c r="AH2352" s="0" t="s">
        <v>140</v>
      </c>
      <c r="AI2352" s="0" t="s">
        <v>598</v>
      </c>
      <c r="AL2352" s="14"/>
      <c r="AN2352" s="14"/>
      <c r="AQ2352" s="0" t="s">
        <v>130</v>
      </c>
      <c r="AR2352" s="0" t="s">
        <v>130</v>
      </c>
      <c r="AS2352" s="0" t="s">
        <v>130</v>
      </c>
      <c r="AT2352" s="0" t="s">
        <v>130</v>
      </c>
      <c r="AU2352" s="0" t="s">
        <v>130</v>
      </c>
      <c r="AV2352" s="0" t="s">
        <v>130</v>
      </c>
      <c r="AW2352" s="0" t="s">
        <v>130</v>
      </c>
      <c r="AX2352" s="0" t="s">
        <v>130</v>
      </c>
      <c r="AY2352" s="0" t="s">
        <v>130</v>
      </c>
      <c r="AZ2352" s="0" t="s">
        <v>130</v>
      </c>
      <c r="BA2352" s="0" t="s">
        <v>130</v>
      </c>
      <c r="BB2352" s="0" t="s">
        <v>130</v>
      </c>
      <c r="BC2352" s="0" t="s">
        <v>130</v>
      </c>
      <c r="BD2352" s="0" t="s">
        <v>130</v>
      </c>
      <c r="BE2352" s="0" t="s">
        <v>130</v>
      </c>
      <c r="BF2352" s="0" t="s">
        <v>130</v>
      </c>
      <c r="BG2352" s="0" t="s">
        <v>130</v>
      </c>
      <c r="BH2352" s="0" t="s">
        <v>130</v>
      </c>
      <c r="BI2352" s="0" t="s">
        <v>130</v>
      </c>
      <c r="BJ2352" s="0" t="s">
        <v>130</v>
      </c>
      <c r="BK2352" s="0" t="s">
        <v>130</v>
      </c>
      <c r="BL2352" s="0" t="s">
        <v>130</v>
      </c>
      <c r="BM2352" s="0" t="s">
        <v>130</v>
      </c>
      <c r="BN2352" s="0" t="s">
        <v>130</v>
      </c>
      <c r="BO2352" s="0" t="s">
        <v>130</v>
      </c>
      <c r="BP2352" s="0" t="s">
        <v>130</v>
      </c>
      <c r="BQ2352" s="0" t="s">
        <v>130</v>
      </c>
      <c r="BR2352" s="0" t="s">
        <v>130</v>
      </c>
      <c r="BS2352" s="0" t="s">
        <v>130</v>
      </c>
      <c r="BT2352" s="0" t="s">
        <v>130</v>
      </c>
      <c r="BU2352" s="0" t="s">
        <v>130</v>
      </c>
      <c r="BV2352" s="0" t="s">
        <v>130</v>
      </c>
      <c r="BW2352" s="0" t="s">
        <v>130</v>
      </c>
      <c r="BX2352" s="0" t="s">
        <v>130</v>
      </c>
      <c r="BY2352" s="0" t="s">
        <v>130</v>
      </c>
      <c r="BZ2352" s="0" t="s">
        <v>130</v>
      </c>
      <c r="CA2352" s="0" t="s">
        <v>130</v>
      </c>
      <c r="CB2352" s="0" t="s">
        <v>130</v>
      </c>
      <c r="CC2352" s="0" t="s">
        <v>130</v>
      </c>
      <c r="CD2352" s="0" t="s">
        <v>130</v>
      </c>
      <c r="CE2352" s="0" t="s">
        <v>130</v>
      </c>
      <c r="CF2352" s="0" t="s">
        <v>130</v>
      </c>
      <c r="CG2352" s="0" t="s">
        <v>130</v>
      </c>
      <c r="CH2352" s="0" t="s">
        <v>130</v>
      </c>
      <c r="CI2352" s="0" t="s">
        <v>130</v>
      </c>
      <c r="CJ2352" s="0" t="s">
        <v>130</v>
      </c>
      <c r="CK2352" s="0" t="s">
        <v>130</v>
      </c>
      <c r="CL2352" s="0" t="s">
        <v>130</v>
      </c>
      <c r="CM2352" s="0" t="s">
        <v>130</v>
      </c>
      <c r="CN2352" s="0" t="s">
        <v>130</v>
      </c>
      <c r="CO2352" s="0" t="s">
        <v>130</v>
      </c>
      <c r="CP2352" s="0" t="s">
        <v>130</v>
      </c>
      <c r="CQ2352" s="0" t="s">
        <v>130</v>
      </c>
      <c r="CR2352" s="0" t="s">
        <v>130</v>
      </c>
      <c r="CS2352" s="0" t="s">
        <v>130</v>
      </c>
      <c r="CT2352" s="0" t="s">
        <v>6487</v>
      </c>
    </row>
    <row r="2353">
      <c r="A2353" s="14">
        <v>115245</v>
      </c>
      <c r="B2353" s="0" t="s">
        <v>2366</v>
      </c>
      <c r="C2353" s="16">
        <f>HYPERLINK("https://eosportal.federatedhermes.com/companies/Q29tcGFueQppODU4ODA=", "BNP Paribas SA")</f>
      </c>
      <c r="D2353" s="0" t="s">
        <v>23</v>
      </c>
      <c r="E2353" s="0" t="s">
        <v>6488</v>
      </c>
      <c r="F2353" s="16">
        <f>HYPERLINK("https://eosportal.federatedhermes.com/engagements/RW5nYWdlbWVudAppMzM0NTA=", "Facilitated emissions")</f>
      </c>
      <c r="G2353" s="14" t="s">
        <v>6489</v>
      </c>
      <c r="H2353" s="0" t="s">
        <v>141</v>
      </c>
      <c r="I2353" s="14" t="s">
        <v>131</v>
      </c>
      <c r="J2353" s="0" t="s">
        <v>197</v>
      </c>
      <c r="K2353" s="0" t="s">
        <v>198</v>
      </c>
      <c r="L2353" s="0" t="s">
        <v>216</v>
      </c>
      <c r="M2353" s="0" t="s">
        <v>378</v>
      </c>
      <c r="N2353" s="0" t="s">
        <v>1646</v>
      </c>
      <c r="O2353" s="0" t="s">
        <v>238</v>
      </c>
      <c r="Q2353" s="0" t="s">
        <v>141</v>
      </c>
      <c r="R2353" s="0" t="s">
        <v>130</v>
      </c>
      <c r="S2353" s="14">
        <v>1</v>
      </c>
      <c r="T2353" s="0" t="s">
        <v>478</v>
      </c>
      <c r="U2353" s="0" t="s">
        <v>221</v>
      </c>
      <c r="V2353" s="14" t="s">
        <v>478</v>
      </c>
      <c r="W2353" s="0" t="s">
        <v>221</v>
      </c>
      <c r="X2353" s="14" t="s">
        <v>2842</v>
      </c>
      <c r="Y2353" s="0" t="s">
        <v>223</v>
      </c>
      <c r="Z2353" s="14" t="s">
        <v>138</v>
      </c>
      <c r="AA2353" s="0" t="s">
        <v>224</v>
      </c>
      <c r="AB2353" s="14" t="s">
        <v>138</v>
      </c>
      <c r="AD2353" s="0" t="s">
        <v>17</v>
      </c>
      <c r="AF2353" s="0">
        <v>0</v>
      </c>
      <c r="AG2353" s="0">
        <v>0</v>
      </c>
      <c r="AH2353" s="0" t="s">
        <v>140</v>
      </c>
      <c r="AI2353" s="0" t="s">
        <v>479</v>
      </c>
      <c r="AK2353" s="0" t="s">
        <v>2376</v>
      </c>
      <c r="AL2353" s="14"/>
      <c r="AN2353" s="14"/>
      <c r="AQ2353" s="0" t="s">
        <v>130</v>
      </c>
      <c r="AR2353" s="0" t="s">
        <v>130</v>
      </c>
      <c r="AS2353" s="0" t="s">
        <v>130</v>
      </c>
      <c r="AT2353" s="0" t="s">
        <v>130</v>
      </c>
      <c r="AU2353" s="0" t="s">
        <v>130</v>
      </c>
      <c r="AV2353" s="0" t="s">
        <v>130</v>
      </c>
      <c r="AW2353" s="0" t="s">
        <v>141</v>
      </c>
      <c r="AX2353" s="0" t="s">
        <v>130</v>
      </c>
      <c r="AY2353" s="0" t="s">
        <v>130</v>
      </c>
      <c r="AZ2353" s="0" t="s">
        <v>130</v>
      </c>
      <c r="BA2353" s="0" t="s">
        <v>130</v>
      </c>
      <c r="BB2353" s="0" t="s">
        <v>130</v>
      </c>
      <c r="BC2353" s="0" t="s">
        <v>141</v>
      </c>
      <c r="BD2353" s="0" t="s">
        <v>130</v>
      </c>
      <c r="BE2353" s="0" t="s">
        <v>130</v>
      </c>
      <c r="BF2353" s="0" t="s">
        <v>130</v>
      </c>
      <c r="BG2353" s="0" t="s">
        <v>130</v>
      </c>
      <c r="BH2353" s="0" t="s">
        <v>141</v>
      </c>
      <c r="BI2353" s="0" t="s">
        <v>141</v>
      </c>
      <c r="BJ2353" s="0" t="s">
        <v>141</v>
      </c>
      <c r="BK2353" s="0" t="s">
        <v>130</v>
      </c>
      <c r="BL2353" s="0" t="s">
        <v>130</v>
      </c>
      <c r="BM2353" s="0" t="s">
        <v>130</v>
      </c>
      <c r="BN2353" s="0" t="s">
        <v>130</v>
      </c>
      <c r="BO2353" s="0" t="s">
        <v>130</v>
      </c>
      <c r="BP2353" s="0" t="s">
        <v>130</v>
      </c>
      <c r="BQ2353" s="0" t="s">
        <v>130</v>
      </c>
      <c r="BR2353" s="0" t="s">
        <v>130</v>
      </c>
      <c r="BS2353" s="0" t="s">
        <v>130</v>
      </c>
      <c r="BT2353" s="0" t="s">
        <v>130</v>
      </c>
      <c r="BU2353" s="0" t="s">
        <v>130</v>
      </c>
      <c r="BV2353" s="0" t="s">
        <v>141</v>
      </c>
      <c r="BW2353" s="0" t="s">
        <v>141</v>
      </c>
      <c r="BX2353" s="0" t="s">
        <v>130</v>
      </c>
      <c r="BY2353" s="0" t="s">
        <v>130</v>
      </c>
      <c r="BZ2353" s="0" t="s">
        <v>130</v>
      </c>
      <c r="CA2353" s="0" t="s">
        <v>130</v>
      </c>
      <c r="CB2353" s="0" t="s">
        <v>130</v>
      </c>
      <c r="CC2353" s="0" t="s">
        <v>130</v>
      </c>
      <c r="CD2353" s="0" t="s">
        <v>130</v>
      </c>
      <c r="CE2353" s="0" t="s">
        <v>130</v>
      </c>
      <c r="CF2353" s="0" t="s">
        <v>130</v>
      </c>
      <c r="CG2353" s="0" t="s">
        <v>130</v>
      </c>
      <c r="CH2353" s="0" t="s">
        <v>130</v>
      </c>
      <c r="CI2353" s="0" t="s">
        <v>130</v>
      </c>
      <c r="CJ2353" s="0" t="s">
        <v>130</v>
      </c>
      <c r="CK2353" s="0" t="s">
        <v>130</v>
      </c>
      <c r="CL2353" s="0" t="s">
        <v>130</v>
      </c>
      <c r="CM2353" s="0" t="s">
        <v>130</v>
      </c>
      <c r="CN2353" s="0" t="s">
        <v>130</v>
      </c>
      <c r="CO2353" s="0" t="s">
        <v>130</v>
      </c>
      <c r="CP2353" s="0" t="s">
        <v>130</v>
      </c>
      <c r="CQ2353" s="0" t="s">
        <v>130</v>
      </c>
      <c r="CR2353" s="0" t="s">
        <v>130</v>
      </c>
      <c r="CS2353" s="0" t="s">
        <v>130</v>
      </c>
      <c r="CT2353" s="0" t="s">
        <v>6490</v>
      </c>
    </row>
    <row r="2354">
      <c r="A2354" s="14">
        <v>115694</v>
      </c>
      <c r="B2354" s="0" t="s">
        <v>2507</v>
      </c>
      <c r="C2354" s="16">
        <f>HYPERLINK("https://eosportal.federatedhermes.com/companies/Q29tcGFueQppNTQ5NDQ=", "BASF SE")</f>
      </c>
      <c r="D2354" s="0" t="s">
        <v>25</v>
      </c>
      <c r="E2354" s="0" t="s">
        <v>574</v>
      </c>
      <c r="F2354" s="16">
        <f>HYPERLINK("https://eosportal.federatedhermes.com/engagements/RW5nYWdlbWVudAppMzM0NTg=", "Biodiversity")</f>
      </c>
      <c r="G2354" s="14" t="s">
        <v>6437</v>
      </c>
      <c r="H2354" s="0" t="s">
        <v>141</v>
      </c>
      <c r="I2354" s="14" t="s">
        <v>1645</v>
      </c>
      <c r="J2354" s="0" t="s">
        <v>197</v>
      </c>
      <c r="K2354" s="0" t="s">
        <v>337</v>
      </c>
      <c r="L2354" s="0" t="s">
        <v>576</v>
      </c>
      <c r="M2354" s="0" t="s">
        <v>378</v>
      </c>
      <c r="N2354" s="0" t="s">
        <v>2485</v>
      </c>
      <c r="O2354" s="0" t="s">
        <v>706</v>
      </c>
      <c r="Q2354" s="0" t="s">
        <v>130</v>
      </c>
      <c r="R2354" s="0" t="s">
        <v>138</v>
      </c>
      <c r="S2354" s="14">
        <v>0</v>
      </c>
      <c r="T2354" s="0" t="s">
        <v>222</v>
      </c>
      <c r="U2354" s="0" t="s">
        <v>138</v>
      </c>
      <c r="V2354" s="14" t="s">
        <v>138</v>
      </c>
      <c r="W2354" s="0" t="s">
        <v>138</v>
      </c>
      <c r="X2354" s="14" t="s">
        <v>138</v>
      </c>
      <c r="Y2354" s="0" t="s">
        <v>138</v>
      </c>
      <c r="Z2354" s="14" t="s">
        <v>138</v>
      </c>
      <c r="AA2354" s="0" t="s">
        <v>138</v>
      </c>
      <c r="AB2354" s="14" t="s">
        <v>138</v>
      </c>
      <c r="AD2354" s="0" t="s">
        <v>138</v>
      </c>
      <c r="AF2354" s="0">
        <v>0</v>
      </c>
      <c r="AG2354" s="0">
        <v>0</v>
      </c>
      <c r="AH2354" s="0" t="s">
        <v>140</v>
      </c>
      <c r="AI2354" s="0" t="s">
        <v>138</v>
      </c>
      <c r="AL2354" s="14"/>
      <c r="AN2354" s="14"/>
      <c r="AQ2354" s="0" t="s">
        <v>130</v>
      </c>
      <c r="AR2354" s="0" t="s">
        <v>130</v>
      </c>
      <c r="AS2354" s="0" t="s">
        <v>130</v>
      </c>
      <c r="AT2354" s="0" t="s">
        <v>130</v>
      </c>
      <c r="AU2354" s="0" t="s">
        <v>130</v>
      </c>
      <c r="AV2354" s="0" t="s">
        <v>141</v>
      </c>
      <c r="AW2354" s="0" t="s">
        <v>130</v>
      </c>
      <c r="AX2354" s="0" t="s">
        <v>130</v>
      </c>
      <c r="AY2354" s="0" t="s">
        <v>130</v>
      </c>
      <c r="AZ2354" s="0" t="s">
        <v>130</v>
      </c>
      <c r="BA2354" s="0" t="s">
        <v>130</v>
      </c>
      <c r="BB2354" s="0" t="s">
        <v>141</v>
      </c>
      <c r="BC2354" s="0" t="s">
        <v>130</v>
      </c>
      <c r="BD2354" s="0" t="s">
        <v>141</v>
      </c>
      <c r="BE2354" s="0" t="s">
        <v>141</v>
      </c>
      <c r="BF2354" s="0" t="s">
        <v>130</v>
      </c>
      <c r="BG2354" s="0" t="s">
        <v>130</v>
      </c>
      <c r="BH2354" s="0" t="s">
        <v>130</v>
      </c>
      <c r="BI2354" s="0" t="s">
        <v>130</v>
      </c>
      <c r="BJ2354" s="0" t="s">
        <v>130</v>
      </c>
      <c r="BK2354" s="0" t="s">
        <v>130</v>
      </c>
      <c r="BL2354" s="0" t="s">
        <v>130</v>
      </c>
      <c r="BM2354" s="0" t="s">
        <v>130</v>
      </c>
      <c r="BN2354" s="0" t="s">
        <v>130</v>
      </c>
      <c r="BO2354" s="0" t="s">
        <v>130</v>
      </c>
      <c r="BP2354" s="0" t="s">
        <v>130</v>
      </c>
      <c r="BQ2354" s="0" t="s">
        <v>130</v>
      </c>
      <c r="BR2354" s="0" t="s">
        <v>130</v>
      </c>
      <c r="BS2354" s="0" t="s">
        <v>130</v>
      </c>
      <c r="BT2354" s="0" t="s">
        <v>130</v>
      </c>
      <c r="BU2354" s="0" t="s">
        <v>130</v>
      </c>
      <c r="BV2354" s="0" t="s">
        <v>130</v>
      </c>
      <c r="BW2354" s="0" t="s">
        <v>130</v>
      </c>
      <c r="BX2354" s="0" t="s">
        <v>130</v>
      </c>
      <c r="BY2354" s="0" t="s">
        <v>130</v>
      </c>
      <c r="BZ2354" s="0" t="s">
        <v>130</v>
      </c>
      <c r="CA2354" s="0" t="s">
        <v>130</v>
      </c>
      <c r="CB2354" s="0" t="s">
        <v>130</v>
      </c>
      <c r="CC2354" s="0" t="s">
        <v>130</v>
      </c>
      <c r="CD2354" s="0" t="s">
        <v>130</v>
      </c>
      <c r="CE2354" s="0" t="s">
        <v>130</v>
      </c>
      <c r="CF2354" s="0" t="s">
        <v>130</v>
      </c>
      <c r="CG2354" s="0" t="s">
        <v>130</v>
      </c>
      <c r="CH2354" s="0" t="s">
        <v>130</v>
      </c>
      <c r="CI2354" s="0" t="s">
        <v>130</v>
      </c>
      <c r="CJ2354" s="0" t="s">
        <v>130</v>
      </c>
      <c r="CK2354" s="0" t="s">
        <v>130</v>
      </c>
      <c r="CL2354" s="0" t="s">
        <v>130</v>
      </c>
      <c r="CM2354" s="0" t="s">
        <v>130</v>
      </c>
      <c r="CN2354" s="0" t="s">
        <v>130</v>
      </c>
      <c r="CO2354" s="0" t="s">
        <v>130</v>
      </c>
      <c r="CP2354" s="0" t="s">
        <v>130</v>
      </c>
      <c r="CQ2354" s="0" t="s">
        <v>130</v>
      </c>
      <c r="CR2354" s="0" t="s">
        <v>130</v>
      </c>
      <c r="CS2354" s="0" t="s">
        <v>130</v>
      </c>
      <c r="CT2354" s="0" t="s">
        <v>6491</v>
      </c>
    </row>
    <row r="2355">
      <c r="A2355" s="14">
        <v>101758</v>
      </c>
      <c r="B2355" s="0" t="s">
        <v>1952</v>
      </c>
      <c r="C2355" s="16">
        <f>HYPERLINK("https://eosportal.federatedhermes.com/companies/Q29tcGFueQppNTg5MzI=", "Costco Wholesale Corp")</f>
      </c>
      <c r="D2355" s="0" t="s">
        <v>25</v>
      </c>
      <c r="E2355" s="0" t="s">
        <v>574</v>
      </c>
      <c r="F2355" s="16">
        <f>HYPERLINK("https://eosportal.federatedhermes.com/engagements/RW5nYWdlbWVudAppMzM0NTk=", "Biodiversity")</f>
      </c>
      <c r="G2355" s="14" t="s">
        <v>6437</v>
      </c>
      <c r="H2355" s="0" t="s">
        <v>141</v>
      </c>
      <c r="I2355" s="14" t="s">
        <v>636</v>
      </c>
      <c r="J2355" s="0" t="s">
        <v>197</v>
      </c>
      <c r="K2355" s="0" t="s">
        <v>337</v>
      </c>
      <c r="L2355" s="0" t="s">
        <v>576</v>
      </c>
      <c r="M2355" s="0" t="s">
        <v>135</v>
      </c>
      <c r="N2355" s="0" t="s">
        <v>136</v>
      </c>
      <c r="O2355" s="0" t="s">
        <v>643</v>
      </c>
      <c r="Q2355" s="0" t="s">
        <v>130</v>
      </c>
      <c r="R2355" s="0" t="s">
        <v>138</v>
      </c>
      <c r="S2355" s="14">
        <v>0</v>
      </c>
      <c r="T2355" s="0" t="s">
        <v>222</v>
      </c>
      <c r="U2355" s="0" t="s">
        <v>138</v>
      </c>
      <c r="V2355" s="14" t="s">
        <v>138</v>
      </c>
      <c r="W2355" s="0" t="s">
        <v>138</v>
      </c>
      <c r="X2355" s="14" t="s">
        <v>138</v>
      </c>
      <c r="Y2355" s="0" t="s">
        <v>138</v>
      </c>
      <c r="Z2355" s="14" t="s">
        <v>138</v>
      </c>
      <c r="AA2355" s="0" t="s">
        <v>138</v>
      </c>
      <c r="AB2355" s="14" t="s">
        <v>138</v>
      </c>
      <c r="AD2355" s="0" t="s">
        <v>138</v>
      </c>
      <c r="AF2355" s="0">
        <v>0</v>
      </c>
      <c r="AG2355" s="0">
        <v>0</v>
      </c>
      <c r="AH2355" s="0" t="s">
        <v>140</v>
      </c>
      <c r="AI2355" s="0" t="s">
        <v>138</v>
      </c>
      <c r="AL2355" s="14"/>
      <c r="AN2355" s="14"/>
      <c r="AQ2355" s="0" t="s">
        <v>130</v>
      </c>
      <c r="AR2355" s="0" t="s">
        <v>141</v>
      </c>
      <c r="AS2355" s="0" t="s">
        <v>130</v>
      </c>
      <c r="AT2355" s="0" t="s">
        <v>130</v>
      </c>
      <c r="AU2355" s="0" t="s">
        <v>130</v>
      </c>
      <c r="AV2355" s="0" t="s">
        <v>141</v>
      </c>
      <c r="AW2355" s="0" t="s">
        <v>130</v>
      </c>
      <c r="AX2355" s="0" t="s">
        <v>130</v>
      </c>
      <c r="AY2355" s="0" t="s">
        <v>130</v>
      </c>
      <c r="AZ2355" s="0" t="s">
        <v>130</v>
      </c>
      <c r="BA2355" s="0" t="s">
        <v>130</v>
      </c>
      <c r="BB2355" s="0" t="s">
        <v>141</v>
      </c>
      <c r="BC2355" s="0" t="s">
        <v>130</v>
      </c>
      <c r="BD2355" s="0" t="s">
        <v>141</v>
      </c>
      <c r="BE2355" s="0" t="s">
        <v>141</v>
      </c>
      <c r="BF2355" s="0" t="s">
        <v>130</v>
      </c>
      <c r="BG2355" s="0" t="s">
        <v>130</v>
      </c>
      <c r="BH2355" s="0" t="s">
        <v>130</v>
      </c>
      <c r="BI2355" s="0" t="s">
        <v>130</v>
      </c>
      <c r="BJ2355" s="0" t="s">
        <v>130</v>
      </c>
      <c r="BK2355" s="0" t="s">
        <v>130</v>
      </c>
      <c r="BL2355" s="0" t="s">
        <v>130</v>
      </c>
      <c r="BM2355" s="0" t="s">
        <v>130</v>
      </c>
      <c r="BN2355" s="0" t="s">
        <v>130</v>
      </c>
      <c r="BO2355" s="0" t="s">
        <v>130</v>
      </c>
      <c r="BP2355" s="0" t="s">
        <v>130</v>
      </c>
      <c r="BQ2355" s="0" t="s">
        <v>130</v>
      </c>
      <c r="BR2355" s="0" t="s">
        <v>130</v>
      </c>
      <c r="BS2355" s="0" t="s">
        <v>130</v>
      </c>
      <c r="BT2355" s="0" t="s">
        <v>130</v>
      </c>
      <c r="BU2355" s="0" t="s">
        <v>130</v>
      </c>
      <c r="BV2355" s="0" t="s">
        <v>130</v>
      </c>
      <c r="BW2355" s="0" t="s">
        <v>130</v>
      </c>
      <c r="BX2355" s="0" t="s">
        <v>130</v>
      </c>
      <c r="BY2355" s="0" t="s">
        <v>130</v>
      </c>
      <c r="BZ2355" s="0" t="s">
        <v>130</v>
      </c>
      <c r="CA2355" s="0" t="s">
        <v>130</v>
      </c>
      <c r="CB2355" s="0" t="s">
        <v>130</v>
      </c>
      <c r="CC2355" s="0" t="s">
        <v>130</v>
      </c>
      <c r="CD2355" s="0" t="s">
        <v>130</v>
      </c>
      <c r="CE2355" s="0" t="s">
        <v>130</v>
      </c>
      <c r="CF2355" s="0" t="s">
        <v>130</v>
      </c>
      <c r="CG2355" s="0" t="s">
        <v>130</v>
      </c>
      <c r="CH2355" s="0" t="s">
        <v>130</v>
      </c>
      <c r="CI2355" s="0" t="s">
        <v>130</v>
      </c>
      <c r="CJ2355" s="0" t="s">
        <v>130</v>
      </c>
      <c r="CK2355" s="0" t="s">
        <v>130</v>
      </c>
      <c r="CL2355" s="0" t="s">
        <v>130</v>
      </c>
      <c r="CM2355" s="0" t="s">
        <v>130</v>
      </c>
      <c r="CN2355" s="0" t="s">
        <v>130</v>
      </c>
      <c r="CO2355" s="0" t="s">
        <v>130</v>
      </c>
      <c r="CP2355" s="0" t="s">
        <v>130</v>
      </c>
      <c r="CQ2355" s="0" t="s">
        <v>130</v>
      </c>
      <c r="CR2355" s="0" t="s">
        <v>130</v>
      </c>
      <c r="CS2355" s="0" t="s">
        <v>130</v>
      </c>
      <c r="CT2355" s="0" t="s">
        <v>6492</v>
      </c>
    </row>
    <row r="2356">
      <c r="A2356" s="14">
        <v>115259</v>
      </c>
      <c r="B2356" s="0" t="s">
        <v>2384</v>
      </c>
      <c r="C2356" s="16">
        <f>HYPERLINK("https://eosportal.federatedhermes.com/companies/Q29tcGFueQppNjc3NTU=", "Danone SA")</f>
      </c>
      <c r="D2356" s="0" t="s">
        <v>25</v>
      </c>
      <c r="E2356" s="0" t="s">
        <v>6436</v>
      </c>
      <c r="F2356" s="16">
        <f>HYPERLINK("https://eosportal.federatedhermes.com/engagements/RW5nYWdlbWVudAppMzM0NjM=", "Nature Action 100")</f>
      </c>
      <c r="G2356" s="14" t="s">
        <v>6437</v>
      </c>
      <c r="H2356" s="0" t="s">
        <v>141</v>
      </c>
      <c r="I2356" s="14" t="s">
        <v>191</v>
      </c>
      <c r="J2356" s="0" t="s">
        <v>197</v>
      </c>
      <c r="K2356" s="0" t="s">
        <v>337</v>
      </c>
      <c r="L2356" s="0" t="s">
        <v>576</v>
      </c>
      <c r="M2356" s="0" t="s">
        <v>378</v>
      </c>
      <c r="N2356" s="0" t="s">
        <v>1646</v>
      </c>
      <c r="O2356" s="0" t="s">
        <v>332</v>
      </c>
      <c r="Q2356" s="0" t="s">
        <v>130</v>
      </c>
      <c r="R2356" s="0" t="s">
        <v>138</v>
      </c>
      <c r="S2356" s="14">
        <v>0</v>
      </c>
      <c r="T2356" s="0" t="s">
        <v>222</v>
      </c>
      <c r="U2356" s="0" t="s">
        <v>138</v>
      </c>
      <c r="V2356" s="14" t="s">
        <v>138</v>
      </c>
      <c r="W2356" s="0" t="s">
        <v>138</v>
      </c>
      <c r="X2356" s="14" t="s">
        <v>138</v>
      </c>
      <c r="Y2356" s="0" t="s">
        <v>138</v>
      </c>
      <c r="Z2356" s="14" t="s">
        <v>138</v>
      </c>
      <c r="AA2356" s="0" t="s">
        <v>138</v>
      </c>
      <c r="AB2356" s="14" t="s">
        <v>138</v>
      </c>
      <c r="AD2356" s="0" t="s">
        <v>138</v>
      </c>
      <c r="AF2356" s="0">
        <v>0</v>
      </c>
      <c r="AG2356" s="0">
        <v>0</v>
      </c>
      <c r="AH2356" s="0" t="s">
        <v>140</v>
      </c>
      <c r="AI2356" s="0" t="s">
        <v>138</v>
      </c>
      <c r="AL2356" s="14"/>
      <c r="AN2356" s="14"/>
      <c r="AQ2356" s="0" t="s">
        <v>130</v>
      </c>
      <c r="AR2356" s="0" t="s">
        <v>141</v>
      </c>
      <c r="AS2356" s="0" t="s">
        <v>130</v>
      </c>
      <c r="AT2356" s="0" t="s">
        <v>130</v>
      </c>
      <c r="AU2356" s="0" t="s">
        <v>130</v>
      </c>
      <c r="AV2356" s="0" t="s">
        <v>141</v>
      </c>
      <c r="AW2356" s="0" t="s">
        <v>130</v>
      </c>
      <c r="AX2356" s="0" t="s">
        <v>130</v>
      </c>
      <c r="AY2356" s="0" t="s">
        <v>130</v>
      </c>
      <c r="AZ2356" s="0" t="s">
        <v>130</v>
      </c>
      <c r="BA2356" s="0" t="s">
        <v>130</v>
      </c>
      <c r="BB2356" s="0" t="s">
        <v>141</v>
      </c>
      <c r="BC2356" s="0" t="s">
        <v>130</v>
      </c>
      <c r="BD2356" s="0" t="s">
        <v>141</v>
      </c>
      <c r="BE2356" s="0" t="s">
        <v>141</v>
      </c>
      <c r="BF2356" s="0" t="s">
        <v>130</v>
      </c>
      <c r="BG2356" s="0" t="s">
        <v>130</v>
      </c>
      <c r="BH2356" s="0" t="s">
        <v>130</v>
      </c>
      <c r="BI2356" s="0" t="s">
        <v>130</v>
      </c>
      <c r="BJ2356" s="0" t="s">
        <v>130</v>
      </c>
      <c r="BK2356" s="0" t="s">
        <v>130</v>
      </c>
      <c r="BL2356" s="0" t="s">
        <v>130</v>
      </c>
      <c r="BM2356" s="0" t="s">
        <v>130</v>
      </c>
      <c r="BN2356" s="0" t="s">
        <v>130</v>
      </c>
      <c r="BO2356" s="0" t="s">
        <v>130</v>
      </c>
      <c r="BP2356" s="0" t="s">
        <v>130</v>
      </c>
      <c r="BQ2356" s="0" t="s">
        <v>130</v>
      </c>
      <c r="BR2356" s="0" t="s">
        <v>130</v>
      </c>
      <c r="BS2356" s="0" t="s">
        <v>130</v>
      </c>
      <c r="BT2356" s="0" t="s">
        <v>130</v>
      </c>
      <c r="BU2356" s="0" t="s">
        <v>130</v>
      </c>
      <c r="BV2356" s="0" t="s">
        <v>130</v>
      </c>
      <c r="BW2356" s="0" t="s">
        <v>130</v>
      </c>
      <c r="BX2356" s="0" t="s">
        <v>130</v>
      </c>
      <c r="BY2356" s="0" t="s">
        <v>130</v>
      </c>
      <c r="BZ2356" s="0" t="s">
        <v>130</v>
      </c>
      <c r="CA2356" s="0" t="s">
        <v>130</v>
      </c>
      <c r="CB2356" s="0" t="s">
        <v>130</v>
      </c>
      <c r="CC2356" s="0" t="s">
        <v>130</v>
      </c>
      <c r="CD2356" s="0" t="s">
        <v>130</v>
      </c>
      <c r="CE2356" s="0" t="s">
        <v>130</v>
      </c>
      <c r="CF2356" s="0" t="s">
        <v>130</v>
      </c>
      <c r="CG2356" s="0" t="s">
        <v>130</v>
      </c>
      <c r="CH2356" s="0" t="s">
        <v>130</v>
      </c>
      <c r="CI2356" s="0" t="s">
        <v>130</v>
      </c>
      <c r="CJ2356" s="0" t="s">
        <v>130</v>
      </c>
      <c r="CK2356" s="0" t="s">
        <v>130</v>
      </c>
      <c r="CL2356" s="0" t="s">
        <v>130</v>
      </c>
      <c r="CM2356" s="0" t="s">
        <v>130</v>
      </c>
      <c r="CN2356" s="0" t="s">
        <v>130</v>
      </c>
      <c r="CO2356" s="0" t="s">
        <v>130</v>
      </c>
      <c r="CP2356" s="0" t="s">
        <v>130</v>
      </c>
      <c r="CQ2356" s="0" t="s">
        <v>130</v>
      </c>
      <c r="CR2356" s="0" t="s">
        <v>130</v>
      </c>
      <c r="CS2356" s="0" t="s">
        <v>130</v>
      </c>
      <c r="CT2356" s="0" t="s">
        <v>6493</v>
      </c>
    </row>
    <row r="2357">
      <c r="A2357" s="14">
        <v>48365101</v>
      </c>
      <c r="B2357" s="0" t="s">
        <v>5271</v>
      </c>
      <c r="C2357" s="16">
        <f>HYPERLINK("https://eosportal.federatedhermes.com/companies/Q29tcGFueQppNjc5MTI=", "Corteva Inc")</f>
      </c>
      <c r="D2357" s="0" t="s">
        <v>25</v>
      </c>
      <c r="E2357" s="0" t="s">
        <v>574</v>
      </c>
      <c r="F2357" s="16">
        <f>HYPERLINK("https://eosportal.federatedhermes.com/engagements/RW5nYWdlbWVudAppMzM0NjQ=", "Biodiversity")</f>
      </c>
      <c r="G2357" s="14" t="s">
        <v>6437</v>
      </c>
      <c r="H2357" s="0" t="s">
        <v>130</v>
      </c>
      <c r="I2357" s="14" t="s">
        <v>319</v>
      </c>
      <c r="J2357" s="0" t="s">
        <v>197</v>
      </c>
      <c r="K2357" s="0" t="s">
        <v>337</v>
      </c>
      <c r="L2357" s="0" t="s">
        <v>576</v>
      </c>
      <c r="M2357" s="0" t="s">
        <v>135</v>
      </c>
      <c r="N2357" s="0" t="s">
        <v>136</v>
      </c>
      <c r="O2357" s="0" t="s">
        <v>706</v>
      </c>
      <c r="Q2357" s="0" t="s">
        <v>130</v>
      </c>
      <c r="R2357" s="0" t="s">
        <v>138</v>
      </c>
      <c r="S2357" s="14">
        <v>0</v>
      </c>
      <c r="T2357" s="0" t="s">
        <v>222</v>
      </c>
      <c r="U2357" s="0" t="s">
        <v>138</v>
      </c>
      <c r="V2357" s="14" t="s">
        <v>138</v>
      </c>
      <c r="W2357" s="0" t="s">
        <v>138</v>
      </c>
      <c r="X2357" s="14" t="s">
        <v>138</v>
      </c>
      <c r="Y2357" s="0" t="s">
        <v>138</v>
      </c>
      <c r="Z2357" s="14" t="s">
        <v>138</v>
      </c>
      <c r="AA2357" s="0" t="s">
        <v>138</v>
      </c>
      <c r="AB2357" s="14" t="s">
        <v>138</v>
      </c>
      <c r="AD2357" s="0" t="s">
        <v>138</v>
      </c>
      <c r="AF2357" s="0">
        <v>0</v>
      </c>
      <c r="AG2357" s="0">
        <v>0</v>
      </c>
      <c r="AH2357" s="0" t="s">
        <v>140</v>
      </c>
      <c r="AI2357" s="0" t="s">
        <v>138</v>
      </c>
      <c r="AL2357" s="14"/>
      <c r="AN2357" s="14"/>
      <c r="AQ2357" s="0" t="s">
        <v>130</v>
      </c>
      <c r="AR2357" s="0" t="s">
        <v>141</v>
      </c>
      <c r="AS2357" s="0" t="s">
        <v>130</v>
      </c>
      <c r="AT2357" s="0" t="s">
        <v>130</v>
      </c>
      <c r="AU2357" s="0" t="s">
        <v>130</v>
      </c>
      <c r="AV2357" s="0" t="s">
        <v>141</v>
      </c>
      <c r="AW2357" s="0" t="s">
        <v>130</v>
      </c>
      <c r="AX2357" s="0" t="s">
        <v>130</v>
      </c>
      <c r="AY2357" s="0" t="s">
        <v>130</v>
      </c>
      <c r="AZ2357" s="0" t="s">
        <v>130</v>
      </c>
      <c r="BA2357" s="0" t="s">
        <v>130</v>
      </c>
      <c r="BB2357" s="0" t="s">
        <v>141</v>
      </c>
      <c r="BC2357" s="0" t="s">
        <v>130</v>
      </c>
      <c r="BD2357" s="0" t="s">
        <v>141</v>
      </c>
      <c r="BE2357" s="0" t="s">
        <v>141</v>
      </c>
      <c r="BF2357" s="0" t="s">
        <v>130</v>
      </c>
      <c r="BG2357" s="0" t="s">
        <v>130</v>
      </c>
      <c r="BH2357" s="0" t="s">
        <v>130</v>
      </c>
      <c r="BI2357" s="0" t="s">
        <v>130</v>
      </c>
      <c r="BJ2357" s="0" t="s">
        <v>130</v>
      </c>
      <c r="BK2357" s="0" t="s">
        <v>130</v>
      </c>
      <c r="BL2357" s="0" t="s">
        <v>130</v>
      </c>
      <c r="BM2357" s="0" t="s">
        <v>130</v>
      </c>
      <c r="BN2357" s="0" t="s">
        <v>130</v>
      </c>
      <c r="BO2357" s="0" t="s">
        <v>130</v>
      </c>
      <c r="BP2357" s="0" t="s">
        <v>130</v>
      </c>
      <c r="BQ2357" s="0" t="s">
        <v>130</v>
      </c>
      <c r="BR2357" s="0" t="s">
        <v>130</v>
      </c>
      <c r="BS2357" s="0" t="s">
        <v>130</v>
      </c>
      <c r="BT2357" s="0" t="s">
        <v>130</v>
      </c>
      <c r="BU2357" s="0" t="s">
        <v>130</v>
      </c>
      <c r="BV2357" s="0" t="s">
        <v>130</v>
      </c>
      <c r="BW2357" s="0" t="s">
        <v>130</v>
      </c>
      <c r="BX2357" s="0" t="s">
        <v>130</v>
      </c>
      <c r="BY2357" s="0" t="s">
        <v>130</v>
      </c>
      <c r="BZ2357" s="0" t="s">
        <v>130</v>
      </c>
      <c r="CA2357" s="0" t="s">
        <v>130</v>
      </c>
      <c r="CB2357" s="0" t="s">
        <v>130</v>
      </c>
      <c r="CC2357" s="0" t="s">
        <v>130</v>
      </c>
      <c r="CD2357" s="0" t="s">
        <v>130</v>
      </c>
      <c r="CE2357" s="0" t="s">
        <v>130</v>
      </c>
      <c r="CF2357" s="0" t="s">
        <v>130</v>
      </c>
      <c r="CG2357" s="0" t="s">
        <v>130</v>
      </c>
      <c r="CH2357" s="0" t="s">
        <v>130</v>
      </c>
      <c r="CI2357" s="0" t="s">
        <v>130</v>
      </c>
      <c r="CJ2357" s="0" t="s">
        <v>130</v>
      </c>
      <c r="CK2357" s="0" t="s">
        <v>130</v>
      </c>
      <c r="CL2357" s="0" t="s">
        <v>130</v>
      </c>
      <c r="CM2357" s="0" t="s">
        <v>130</v>
      </c>
      <c r="CN2357" s="0" t="s">
        <v>130</v>
      </c>
      <c r="CO2357" s="0" t="s">
        <v>130</v>
      </c>
      <c r="CP2357" s="0" t="s">
        <v>130</v>
      </c>
      <c r="CQ2357" s="0" t="s">
        <v>130</v>
      </c>
      <c r="CR2357" s="0" t="s">
        <v>130</v>
      </c>
      <c r="CS2357" s="0" t="s">
        <v>130</v>
      </c>
      <c r="CT2357" s="0" t="s">
        <v>6494</v>
      </c>
    </row>
    <row r="2358">
      <c r="A2358" s="14">
        <v>115259</v>
      </c>
      <c r="B2358" s="0" t="s">
        <v>2384</v>
      </c>
      <c r="C2358" s="16">
        <f>HYPERLINK("https://eosportal.federatedhermes.com/companies/Q29tcGFueQppNjc3NTU=", "Danone SA")</f>
      </c>
      <c r="D2358" s="0" t="s">
        <v>23</v>
      </c>
      <c r="E2358" s="0" t="s">
        <v>6495</v>
      </c>
      <c r="F2358" s="16">
        <f>HYPERLINK("https://eosportal.federatedhermes.com/engagements/RW5nYWdlbWVudAppMzM0NzI=", "Plant based products")</f>
      </c>
      <c r="G2358" s="14" t="s">
        <v>6496</v>
      </c>
      <c r="H2358" s="0" t="s">
        <v>141</v>
      </c>
      <c r="I2358" s="14" t="s">
        <v>191</v>
      </c>
      <c r="J2358" s="0" t="s">
        <v>197</v>
      </c>
      <c r="K2358" s="0" t="s">
        <v>337</v>
      </c>
      <c r="L2358" s="0" t="s">
        <v>576</v>
      </c>
      <c r="M2358" s="0" t="s">
        <v>378</v>
      </c>
      <c r="N2358" s="0" t="s">
        <v>1646</v>
      </c>
      <c r="O2358" s="0" t="s">
        <v>332</v>
      </c>
      <c r="Q2358" s="0" t="s">
        <v>141</v>
      </c>
      <c r="R2358" s="0" t="s">
        <v>130</v>
      </c>
      <c r="S2358" s="14">
        <v>3</v>
      </c>
      <c r="T2358" s="0" t="s">
        <v>360</v>
      </c>
      <c r="U2358" s="0" t="s">
        <v>221</v>
      </c>
      <c r="V2358" s="14" t="s">
        <v>360</v>
      </c>
      <c r="W2358" s="0" t="s">
        <v>221</v>
      </c>
      <c r="X2358" s="14" t="s">
        <v>2842</v>
      </c>
      <c r="Y2358" s="0" t="s">
        <v>223</v>
      </c>
      <c r="Z2358" s="14" t="s">
        <v>138</v>
      </c>
      <c r="AA2358" s="0" t="s">
        <v>224</v>
      </c>
      <c r="AB2358" s="14" t="s">
        <v>138</v>
      </c>
      <c r="AD2358" s="0" t="s">
        <v>17</v>
      </c>
      <c r="AF2358" s="0">
        <v>0</v>
      </c>
      <c r="AG2358" s="0">
        <v>0</v>
      </c>
      <c r="AH2358" s="0" t="s">
        <v>140</v>
      </c>
      <c r="AI2358" s="0" t="s">
        <v>598</v>
      </c>
      <c r="AK2358" s="0" t="s">
        <v>436</v>
      </c>
      <c r="AL2358" s="14"/>
      <c r="AN2358" s="14"/>
      <c r="AQ2358" s="0" t="s">
        <v>130</v>
      </c>
      <c r="AR2358" s="0" t="s">
        <v>141</v>
      </c>
      <c r="AS2358" s="0" t="s">
        <v>130</v>
      </c>
      <c r="AT2358" s="0" t="s">
        <v>130</v>
      </c>
      <c r="AU2358" s="0" t="s">
        <v>130</v>
      </c>
      <c r="AV2358" s="0" t="s">
        <v>130</v>
      </c>
      <c r="AW2358" s="0" t="s">
        <v>130</v>
      </c>
      <c r="AX2358" s="0" t="s">
        <v>130</v>
      </c>
      <c r="AY2358" s="0" t="s">
        <v>130</v>
      </c>
      <c r="AZ2358" s="0" t="s">
        <v>130</v>
      </c>
      <c r="BA2358" s="0" t="s">
        <v>130</v>
      </c>
      <c r="BB2358" s="0" t="s">
        <v>141</v>
      </c>
      <c r="BC2358" s="0" t="s">
        <v>130</v>
      </c>
      <c r="BD2358" s="0" t="s">
        <v>130</v>
      </c>
      <c r="BE2358" s="0" t="s">
        <v>141</v>
      </c>
      <c r="BF2358" s="0" t="s">
        <v>130</v>
      </c>
      <c r="BG2358" s="0" t="s">
        <v>130</v>
      </c>
      <c r="BH2358" s="0" t="s">
        <v>130</v>
      </c>
      <c r="BI2358" s="0" t="s">
        <v>130</v>
      </c>
      <c r="BJ2358" s="0" t="s">
        <v>130</v>
      </c>
      <c r="BK2358" s="0" t="s">
        <v>130</v>
      </c>
      <c r="BL2358" s="0" t="s">
        <v>130</v>
      </c>
      <c r="BM2358" s="0" t="s">
        <v>130</v>
      </c>
      <c r="BN2358" s="0" t="s">
        <v>130</v>
      </c>
      <c r="BO2358" s="0" t="s">
        <v>130</v>
      </c>
      <c r="BP2358" s="0" t="s">
        <v>130</v>
      </c>
      <c r="BQ2358" s="0" t="s">
        <v>130</v>
      </c>
      <c r="BR2358" s="0" t="s">
        <v>130</v>
      </c>
      <c r="BS2358" s="0" t="s">
        <v>130</v>
      </c>
      <c r="BT2358" s="0" t="s">
        <v>130</v>
      </c>
      <c r="BU2358" s="0" t="s">
        <v>130</v>
      </c>
      <c r="BV2358" s="0" t="s">
        <v>130</v>
      </c>
      <c r="BW2358" s="0" t="s">
        <v>130</v>
      </c>
      <c r="BX2358" s="0" t="s">
        <v>130</v>
      </c>
      <c r="BY2358" s="0" t="s">
        <v>130</v>
      </c>
      <c r="BZ2358" s="0" t="s">
        <v>130</v>
      </c>
      <c r="CA2358" s="0" t="s">
        <v>130</v>
      </c>
      <c r="CB2358" s="0" t="s">
        <v>130</v>
      </c>
      <c r="CC2358" s="0" t="s">
        <v>130</v>
      </c>
      <c r="CD2358" s="0" t="s">
        <v>130</v>
      </c>
      <c r="CE2358" s="0" t="s">
        <v>130</v>
      </c>
      <c r="CF2358" s="0" t="s">
        <v>130</v>
      </c>
      <c r="CG2358" s="0" t="s">
        <v>130</v>
      </c>
      <c r="CH2358" s="0" t="s">
        <v>130</v>
      </c>
      <c r="CI2358" s="0" t="s">
        <v>130</v>
      </c>
      <c r="CJ2358" s="0" t="s">
        <v>130</v>
      </c>
      <c r="CK2358" s="0" t="s">
        <v>130</v>
      </c>
      <c r="CL2358" s="0" t="s">
        <v>130</v>
      </c>
      <c r="CM2358" s="0" t="s">
        <v>130</v>
      </c>
      <c r="CN2358" s="0" t="s">
        <v>130</v>
      </c>
      <c r="CO2358" s="0" t="s">
        <v>130</v>
      </c>
      <c r="CP2358" s="0" t="s">
        <v>130</v>
      </c>
      <c r="CQ2358" s="0" t="s">
        <v>130</v>
      </c>
      <c r="CR2358" s="0" t="s">
        <v>130</v>
      </c>
      <c r="CS2358" s="0" t="s">
        <v>130</v>
      </c>
      <c r="CT2358" s="0" t="s">
        <v>6497</v>
      </c>
    </row>
    <row r="2359">
      <c r="A2359" s="14">
        <v>46946968</v>
      </c>
      <c r="B2359" s="0" t="s">
        <v>4663</v>
      </c>
      <c r="C2359" s="16">
        <f>HYPERLINK("https://eosportal.federatedhermes.com/companies/Q29tcGFueQppNTE1MjI=", "Alphabet Inc")</f>
      </c>
      <c r="D2359" s="0" t="s">
        <v>23</v>
      </c>
      <c r="E2359" s="0" t="s">
        <v>6343</v>
      </c>
      <c r="F2359" s="16">
        <f>HYPERLINK("https://eosportal.federatedhermes.com/engagements/RW5nYWdlbWVudAppMzM0NzM=", "Increased transparency on tax practices")</f>
      </c>
      <c r="G2359" s="14" t="s">
        <v>6498</v>
      </c>
      <c r="H2359" s="0" t="s">
        <v>141</v>
      </c>
      <c r="I2359" s="14" t="s">
        <v>191</v>
      </c>
      <c r="J2359" s="0" t="s">
        <v>153</v>
      </c>
      <c r="K2359" s="0" t="s">
        <v>185</v>
      </c>
      <c r="L2359" s="0" t="s">
        <v>548</v>
      </c>
      <c r="M2359" s="0" t="s">
        <v>135</v>
      </c>
      <c r="N2359" s="0" t="s">
        <v>136</v>
      </c>
      <c r="O2359" s="0" t="s">
        <v>137</v>
      </c>
      <c r="Q2359" s="0" t="s">
        <v>141</v>
      </c>
      <c r="R2359" s="0" t="s">
        <v>130</v>
      </c>
      <c r="S2359" s="14">
        <v>1</v>
      </c>
      <c r="T2359" s="0" t="s">
        <v>360</v>
      </c>
      <c r="U2359" s="0" t="s">
        <v>221</v>
      </c>
      <c r="V2359" s="14" t="s">
        <v>360</v>
      </c>
      <c r="W2359" s="0" t="s">
        <v>221</v>
      </c>
      <c r="X2359" s="14" t="s">
        <v>4412</v>
      </c>
      <c r="Y2359" s="0" t="s">
        <v>223</v>
      </c>
      <c r="Z2359" s="14" t="s">
        <v>138</v>
      </c>
      <c r="AA2359" s="0" t="s">
        <v>224</v>
      </c>
      <c r="AB2359" s="14" t="s">
        <v>138</v>
      </c>
      <c r="AD2359" s="0" t="s">
        <v>17</v>
      </c>
      <c r="AF2359" s="0">
        <v>0</v>
      </c>
      <c r="AG2359" s="0">
        <v>0</v>
      </c>
      <c r="AH2359" s="0" t="s">
        <v>140</v>
      </c>
      <c r="AI2359" s="0" t="s">
        <v>598</v>
      </c>
      <c r="AK2359" s="0" t="s">
        <v>4274</v>
      </c>
      <c r="AL2359" s="14"/>
      <c r="AN2359" s="14"/>
      <c r="AQ2359" s="0" t="s">
        <v>130</v>
      </c>
      <c r="AR2359" s="0" t="s">
        <v>130</v>
      </c>
      <c r="AS2359" s="0" t="s">
        <v>130</v>
      </c>
      <c r="AT2359" s="0" t="s">
        <v>130</v>
      </c>
      <c r="AU2359" s="0" t="s">
        <v>130</v>
      </c>
      <c r="AV2359" s="0" t="s">
        <v>130</v>
      </c>
      <c r="AW2359" s="0" t="s">
        <v>130</v>
      </c>
      <c r="AX2359" s="0" t="s">
        <v>130</v>
      </c>
      <c r="AY2359" s="0" t="s">
        <v>130</v>
      </c>
      <c r="AZ2359" s="0" t="s">
        <v>130</v>
      </c>
      <c r="BA2359" s="0" t="s">
        <v>130</v>
      </c>
      <c r="BB2359" s="0" t="s">
        <v>130</v>
      </c>
      <c r="BC2359" s="0" t="s">
        <v>130</v>
      </c>
      <c r="BD2359" s="0" t="s">
        <v>130</v>
      </c>
      <c r="BE2359" s="0" t="s">
        <v>130</v>
      </c>
      <c r="BF2359" s="0" t="s">
        <v>130</v>
      </c>
      <c r="BG2359" s="0" t="s">
        <v>141</v>
      </c>
      <c r="BH2359" s="0" t="s">
        <v>130</v>
      </c>
      <c r="BI2359" s="0" t="s">
        <v>130</v>
      </c>
      <c r="BJ2359" s="0" t="s">
        <v>130</v>
      </c>
      <c r="BK2359" s="0" t="s">
        <v>130</v>
      </c>
      <c r="BL2359" s="0" t="s">
        <v>130</v>
      </c>
      <c r="BM2359" s="0" t="s">
        <v>130</v>
      </c>
      <c r="BN2359" s="0" t="s">
        <v>130</v>
      </c>
      <c r="BO2359" s="0" t="s">
        <v>130</v>
      </c>
      <c r="BP2359" s="0" t="s">
        <v>130</v>
      </c>
      <c r="BQ2359" s="0" t="s">
        <v>130</v>
      </c>
      <c r="BR2359" s="0" t="s">
        <v>130</v>
      </c>
      <c r="BS2359" s="0" t="s">
        <v>130</v>
      </c>
      <c r="BT2359" s="0" t="s">
        <v>130</v>
      </c>
      <c r="BU2359" s="0" t="s">
        <v>130</v>
      </c>
      <c r="BV2359" s="0" t="s">
        <v>130</v>
      </c>
      <c r="BW2359" s="0" t="s">
        <v>130</v>
      </c>
      <c r="BX2359" s="0" t="s">
        <v>130</v>
      </c>
      <c r="BY2359" s="0" t="s">
        <v>130</v>
      </c>
      <c r="BZ2359" s="0" t="s">
        <v>130</v>
      </c>
      <c r="CA2359" s="0" t="s">
        <v>130</v>
      </c>
      <c r="CB2359" s="0" t="s">
        <v>130</v>
      </c>
      <c r="CC2359" s="0" t="s">
        <v>130</v>
      </c>
      <c r="CD2359" s="0" t="s">
        <v>130</v>
      </c>
      <c r="CE2359" s="0" t="s">
        <v>130</v>
      </c>
      <c r="CF2359" s="0" t="s">
        <v>130</v>
      </c>
      <c r="CG2359" s="0" t="s">
        <v>130</v>
      </c>
      <c r="CH2359" s="0" t="s">
        <v>130</v>
      </c>
      <c r="CI2359" s="0" t="s">
        <v>130</v>
      </c>
      <c r="CJ2359" s="0" t="s">
        <v>130</v>
      </c>
      <c r="CK2359" s="0" t="s">
        <v>130</v>
      </c>
      <c r="CL2359" s="0" t="s">
        <v>130</v>
      </c>
      <c r="CM2359" s="0" t="s">
        <v>130</v>
      </c>
      <c r="CN2359" s="0" t="s">
        <v>130</v>
      </c>
      <c r="CO2359" s="0" t="s">
        <v>130</v>
      </c>
      <c r="CP2359" s="0" t="s">
        <v>130</v>
      </c>
      <c r="CQ2359" s="0" t="s">
        <v>130</v>
      </c>
      <c r="CR2359" s="0" t="s">
        <v>130</v>
      </c>
      <c r="CS2359" s="0" t="s">
        <v>130</v>
      </c>
      <c r="CT2359" s="0" t="s">
        <v>6499</v>
      </c>
    </row>
    <row r="2360">
      <c r="A2360" s="14">
        <v>108444</v>
      </c>
      <c r="B2360" s="0" t="s">
        <v>2214</v>
      </c>
      <c r="C2360" s="16">
        <f>HYPERLINK("https://eosportal.federatedhermes.com/companies/Q29tcGFueQppNjQzNzA=", "Bank of Montreal")</f>
      </c>
      <c r="D2360" s="0" t="s">
        <v>23</v>
      </c>
      <c r="E2360" s="0" t="s">
        <v>5278</v>
      </c>
      <c r="F2360" s="16">
        <f>HYPERLINK("https://eosportal.federatedhermes.com/engagements/RW5nYWdlbWVudAppMzM0NzU=", "Pay gap reporting")</f>
      </c>
      <c r="G2360" s="14" t="s">
        <v>6500</v>
      </c>
      <c r="H2360" s="0" t="s">
        <v>141</v>
      </c>
      <c r="I2360" s="14" t="s">
        <v>191</v>
      </c>
      <c r="J2360" s="0" t="s">
        <v>153</v>
      </c>
      <c r="K2360" s="0" t="s">
        <v>154</v>
      </c>
      <c r="L2360" s="0" t="s">
        <v>268</v>
      </c>
      <c r="M2360" s="0" t="s">
        <v>135</v>
      </c>
      <c r="N2360" s="0" t="s">
        <v>1678</v>
      </c>
      <c r="O2360" s="0" t="s">
        <v>238</v>
      </c>
      <c r="Q2360" s="0" t="s">
        <v>141</v>
      </c>
      <c r="R2360" s="0" t="s">
        <v>141</v>
      </c>
      <c r="S2360" s="14">
        <v>2</v>
      </c>
      <c r="T2360" s="0" t="s">
        <v>360</v>
      </c>
      <c r="U2360" s="0" t="s">
        <v>221</v>
      </c>
      <c r="V2360" s="14" t="s">
        <v>360</v>
      </c>
      <c r="W2360" s="0" t="s">
        <v>221</v>
      </c>
      <c r="X2360" s="14" t="s">
        <v>361</v>
      </c>
      <c r="Y2360" s="0" t="s">
        <v>223</v>
      </c>
      <c r="Z2360" s="14" t="s">
        <v>138</v>
      </c>
      <c r="AA2360" s="0" t="s">
        <v>224</v>
      </c>
      <c r="AB2360" s="14" t="s">
        <v>138</v>
      </c>
      <c r="AC2360" s="0" t="s">
        <v>14</v>
      </c>
      <c r="AD2360" s="0" t="s">
        <v>17</v>
      </c>
      <c r="AE2360" s="0" t="s">
        <v>5508</v>
      </c>
      <c r="AF2360" s="0">
        <v>1</v>
      </c>
      <c r="AG2360" s="0">
        <v>0</v>
      </c>
      <c r="AH2360" s="0" t="s">
        <v>140</v>
      </c>
      <c r="AI2360" s="0" t="s">
        <v>598</v>
      </c>
      <c r="AK2360" s="0" t="s">
        <v>1950</v>
      </c>
      <c r="AL2360" s="14"/>
      <c r="AN2360" s="14"/>
      <c r="AQ2360" s="0" t="s">
        <v>130</v>
      </c>
      <c r="AR2360" s="0" t="s">
        <v>130</v>
      </c>
      <c r="AS2360" s="0" t="s">
        <v>141</v>
      </c>
      <c r="AT2360" s="0" t="s">
        <v>141</v>
      </c>
      <c r="AU2360" s="0" t="s">
        <v>141</v>
      </c>
      <c r="AV2360" s="0" t="s">
        <v>130</v>
      </c>
      <c r="AW2360" s="0" t="s">
        <v>130</v>
      </c>
      <c r="AX2360" s="0" t="s">
        <v>141</v>
      </c>
      <c r="AY2360" s="0" t="s">
        <v>130</v>
      </c>
      <c r="AZ2360" s="0" t="s">
        <v>141</v>
      </c>
      <c r="BA2360" s="0" t="s">
        <v>130</v>
      </c>
      <c r="BB2360" s="0" t="s">
        <v>130</v>
      </c>
      <c r="BC2360" s="0" t="s">
        <v>130</v>
      </c>
      <c r="BD2360" s="0" t="s">
        <v>130</v>
      </c>
      <c r="BE2360" s="0" t="s">
        <v>130</v>
      </c>
      <c r="BF2360" s="0" t="s">
        <v>141</v>
      </c>
      <c r="BG2360" s="0" t="s">
        <v>130</v>
      </c>
      <c r="BH2360" s="0" t="s">
        <v>130</v>
      </c>
      <c r="BI2360" s="0" t="s">
        <v>130</v>
      </c>
      <c r="BJ2360" s="0" t="s">
        <v>130</v>
      </c>
      <c r="BK2360" s="0" t="s">
        <v>130</v>
      </c>
      <c r="BL2360" s="0" t="s">
        <v>130</v>
      </c>
      <c r="BM2360" s="0" t="s">
        <v>130</v>
      </c>
      <c r="BN2360" s="0" t="s">
        <v>130</v>
      </c>
      <c r="BO2360" s="0" t="s">
        <v>130</v>
      </c>
      <c r="BP2360" s="0" t="s">
        <v>130</v>
      </c>
      <c r="BQ2360" s="0" t="s">
        <v>130</v>
      </c>
      <c r="BR2360" s="0" t="s">
        <v>130</v>
      </c>
      <c r="BS2360" s="0" t="s">
        <v>130</v>
      </c>
      <c r="BT2360" s="0" t="s">
        <v>130</v>
      </c>
      <c r="BU2360" s="0" t="s">
        <v>130</v>
      </c>
      <c r="BV2360" s="0" t="s">
        <v>130</v>
      </c>
      <c r="BW2360" s="0" t="s">
        <v>130</v>
      </c>
      <c r="BX2360" s="0" t="s">
        <v>130</v>
      </c>
      <c r="BY2360" s="0" t="s">
        <v>130</v>
      </c>
      <c r="BZ2360" s="0" t="s">
        <v>130</v>
      </c>
      <c r="CA2360" s="0" t="s">
        <v>130</v>
      </c>
      <c r="CB2360" s="0" t="s">
        <v>130</v>
      </c>
      <c r="CC2360" s="0" t="s">
        <v>130</v>
      </c>
      <c r="CD2360" s="0" t="s">
        <v>130</v>
      </c>
      <c r="CE2360" s="0" t="s">
        <v>130</v>
      </c>
      <c r="CF2360" s="0" t="s">
        <v>130</v>
      </c>
      <c r="CG2360" s="0" t="s">
        <v>130</v>
      </c>
      <c r="CH2360" s="0" t="s">
        <v>130</v>
      </c>
      <c r="CI2360" s="0" t="s">
        <v>130</v>
      </c>
      <c r="CJ2360" s="0" t="s">
        <v>130</v>
      </c>
      <c r="CK2360" s="0" t="s">
        <v>141</v>
      </c>
      <c r="CL2360" s="0" t="s">
        <v>130</v>
      </c>
      <c r="CM2360" s="0" t="s">
        <v>130</v>
      </c>
      <c r="CN2360" s="0" t="s">
        <v>130</v>
      </c>
      <c r="CO2360" s="0" t="s">
        <v>130</v>
      </c>
      <c r="CP2360" s="0" t="s">
        <v>130</v>
      </c>
      <c r="CQ2360" s="0" t="s">
        <v>130</v>
      </c>
      <c r="CR2360" s="0" t="s">
        <v>130</v>
      </c>
      <c r="CS2360" s="0" t="s">
        <v>130</v>
      </c>
      <c r="CT2360" s="0" t="s">
        <v>6501</v>
      </c>
    </row>
    <row r="2361">
      <c r="A2361" s="14">
        <v>100978</v>
      </c>
      <c r="B2361" s="0" t="s">
        <v>1111</v>
      </c>
      <c r="C2361" s="16">
        <f>HYPERLINK("https://eosportal.federatedhermes.com/companies/Q29tcGFueQppNDM5NDY=", "Merck &amp; Co Inc")</f>
      </c>
      <c r="D2361" s="0" t="s">
        <v>25</v>
      </c>
      <c r="E2361" s="0" t="s">
        <v>574</v>
      </c>
      <c r="F2361" s="16">
        <f>HYPERLINK("https://eosportal.federatedhermes.com/engagements/RW5nYWdlbWVudAppMzM0Nzc=", "Biodiversity")</f>
      </c>
      <c r="G2361" s="14" t="s">
        <v>6502</v>
      </c>
      <c r="H2361" s="0" t="s">
        <v>141</v>
      </c>
      <c r="I2361" s="14" t="s">
        <v>131</v>
      </c>
      <c r="J2361" s="0" t="s">
        <v>197</v>
      </c>
      <c r="K2361" s="0" t="s">
        <v>337</v>
      </c>
      <c r="L2361" s="0" t="s">
        <v>576</v>
      </c>
      <c r="M2361" s="0" t="s">
        <v>135</v>
      </c>
      <c r="N2361" s="0" t="s">
        <v>136</v>
      </c>
      <c r="O2361" s="0" t="s">
        <v>274</v>
      </c>
      <c r="Q2361" s="0" t="s">
        <v>130</v>
      </c>
      <c r="R2361" s="0" t="s">
        <v>138</v>
      </c>
      <c r="S2361" s="14">
        <v>0</v>
      </c>
      <c r="T2361" s="0" t="s">
        <v>222</v>
      </c>
      <c r="U2361" s="0" t="s">
        <v>138</v>
      </c>
      <c r="V2361" s="14" t="s">
        <v>138</v>
      </c>
      <c r="W2361" s="0" t="s">
        <v>138</v>
      </c>
      <c r="X2361" s="14" t="s">
        <v>138</v>
      </c>
      <c r="Y2361" s="0" t="s">
        <v>138</v>
      </c>
      <c r="Z2361" s="14" t="s">
        <v>138</v>
      </c>
      <c r="AA2361" s="0" t="s">
        <v>138</v>
      </c>
      <c r="AB2361" s="14" t="s">
        <v>138</v>
      </c>
      <c r="AD2361" s="0" t="s">
        <v>138</v>
      </c>
      <c r="AF2361" s="0">
        <v>0</v>
      </c>
      <c r="AG2361" s="0">
        <v>0</v>
      </c>
      <c r="AH2361" s="0" t="s">
        <v>140</v>
      </c>
      <c r="AI2361" s="0" t="s">
        <v>138</v>
      </c>
      <c r="AL2361" s="14"/>
      <c r="AN2361" s="14"/>
      <c r="AQ2361" s="0" t="s">
        <v>130</v>
      </c>
      <c r="AR2361" s="0" t="s">
        <v>130</v>
      </c>
      <c r="AS2361" s="0" t="s">
        <v>130</v>
      </c>
      <c r="AT2361" s="0" t="s">
        <v>130</v>
      </c>
      <c r="AU2361" s="0" t="s">
        <v>130</v>
      </c>
      <c r="AV2361" s="0" t="s">
        <v>141</v>
      </c>
      <c r="AW2361" s="0" t="s">
        <v>130</v>
      </c>
      <c r="AX2361" s="0" t="s">
        <v>130</v>
      </c>
      <c r="AY2361" s="0" t="s">
        <v>130</v>
      </c>
      <c r="AZ2361" s="0" t="s">
        <v>130</v>
      </c>
      <c r="BA2361" s="0" t="s">
        <v>130</v>
      </c>
      <c r="BB2361" s="0" t="s">
        <v>141</v>
      </c>
      <c r="BC2361" s="0" t="s">
        <v>130</v>
      </c>
      <c r="BD2361" s="0" t="s">
        <v>141</v>
      </c>
      <c r="BE2361" s="0" t="s">
        <v>141</v>
      </c>
      <c r="BF2361" s="0" t="s">
        <v>130</v>
      </c>
      <c r="BG2361" s="0" t="s">
        <v>130</v>
      </c>
      <c r="BH2361" s="0" t="s">
        <v>130</v>
      </c>
      <c r="BI2361" s="0" t="s">
        <v>130</v>
      </c>
      <c r="BJ2361" s="0" t="s">
        <v>130</v>
      </c>
      <c r="BK2361" s="0" t="s">
        <v>130</v>
      </c>
      <c r="BL2361" s="0" t="s">
        <v>130</v>
      </c>
      <c r="BM2361" s="0" t="s">
        <v>130</v>
      </c>
      <c r="BN2361" s="0" t="s">
        <v>130</v>
      </c>
      <c r="BO2361" s="0" t="s">
        <v>130</v>
      </c>
      <c r="BP2361" s="0" t="s">
        <v>130</v>
      </c>
      <c r="BQ2361" s="0" t="s">
        <v>130</v>
      </c>
      <c r="BR2361" s="0" t="s">
        <v>130</v>
      </c>
      <c r="BS2361" s="0" t="s">
        <v>130</v>
      </c>
      <c r="BT2361" s="0" t="s">
        <v>130</v>
      </c>
      <c r="BU2361" s="0" t="s">
        <v>130</v>
      </c>
      <c r="BV2361" s="0" t="s">
        <v>130</v>
      </c>
      <c r="BW2361" s="0" t="s">
        <v>130</v>
      </c>
      <c r="BX2361" s="0" t="s">
        <v>130</v>
      </c>
      <c r="BY2361" s="0" t="s">
        <v>130</v>
      </c>
      <c r="BZ2361" s="0" t="s">
        <v>130</v>
      </c>
      <c r="CA2361" s="0" t="s">
        <v>130</v>
      </c>
      <c r="CB2361" s="0" t="s">
        <v>130</v>
      </c>
      <c r="CC2361" s="0" t="s">
        <v>130</v>
      </c>
      <c r="CD2361" s="0" t="s">
        <v>130</v>
      </c>
      <c r="CE2361" s="0" t="s">
        <v>130</v>
      </c>
      <c r="CF2361" s="0" t="s">
        <v>130</v>
      </c>
      <c r="CG2361" s="0" t="s">
        <v>130</v>
      </c>
      <c r="CH2361" s="0" t="s">
        <v>130</v>
      </c>
      <c r="CI2361" s="0" t="s">
        <v>130</v>
      </c>
      <c r="CJ2361" s="0" t="s">
        <v>130</v>
      </c>
      <c r="CK2361" s="0" t="s">
        <v>130</v>
      </c>
      <c r="CL2361" s="0" t="s">
        <v>130</v>
      </c>
      <c r="CM2361" s="0" t="s">
        <v>130</v>
      </c>
      <c r="CN2361" s="0" t="s">
        <v>130</v>
      </c>
      <c r="CO2361" s="0" t="s">
        <v>130</v>
      </c>
      <c r="CP2361" s="0" t="s">
        <v>130</v>
      </c>
      <c r="CQ2361" s="0" t="s">
        <v>130</v>
      </c>
      <c r="CR2361" s="0" t="s">
        <v>130</v>
      </c>
      <c r="CS2361" s="0" t="s">
        <v>130</v>
      </c>
      <c r="CT2361" s="0" t="s">
        <v>6503</v>
      </c>
    </row>
    <row r="2362">
      <c r="A2362" s="14">
        <v>101095</v>
      </c>
      <c r="B2362" s="0" t="s">
        <v>1337</v>
      </c>
      <c r="C2362" s="16">
        <f>HYPERLINK("https://eosportal.federatedhermes.com/companies/Q29tcGFueQppNDk4MzA=", "Novo Nordisk A/S")</f>
      </c>
      <c r="D2362" s="0" t="s">
        <v>25</v>
      </c>
      <c r="E2362" s="0" t="s">
        <v>574</v>
      </c>
      <c r="F2362" s="16">
        <f>HYPERLINK("https://eosportal.federatedhermes.com/engagements/RW5nYWdlbWVudAppMzM0ODE=", "Biodiversity")</f>
      </c>
      <c r="G2362" s="14" t="s">
        <v>6437</v>
      </c>
      <c r="H2362" s="0" t="s">
        <v>141</v>
      </c>
      <c r="I2362" s="14" t="s">
        <v>131</v>
      </c>
      <c r="J2362" s="0" t="s">
        <v>197</v>
      </c>
      <c r="K2362" s="0" t="s">
        <v>337</v>
      </c>
      <c r="L2362" s="0" t="s">
        <v>576</v>
      </c>
      <c r="M2362" s="0" t="s">
        <v>378</v>
      </c>
      <c r="N2362" s="0" t="s">
        <v>1339</v>
      </c>
      <c r="O2362" s="0" t="s">
        <v>274</v>
      </c>
      <c r="Q2362" s="0" t="s">
        <v>130</v>
      </c>
      <c r="R2362" s="0" t="s">
        <v>138</v>
      </c>
      <c r="S2362" s="14">
        <v>0</v>
      </c>
      <c r="T2362" s="0" t="s">
        <v>222</v>
      </c>
      <c r="U2362" s="0" t="s">
        <v>138</v>
      </c>
      <c r="V2362" s="14" t="s">
        <v>138</v>
      </c>
      <c r="W2362" s="0" t="s">
        <v>138</v>
      </c>
      <c r="X2362" s="14" t="s">
        <v>138</v>
      </c>
      <c r="Y2362" s="0" t="s">
        <v>138</v>
      </c>
      <c r="Z2362" s="14" t="s">
        <v>138</v>
      </c>
      <c r="AA2362" s="0" t="s">
        <v>138</v>
      </c>
      <c r="AB2362" s="14" t="s">
        <v>138</v>
      </c>
      <c r="AD2362" s="0" t="s">
        <v>138</v>
      </c>
      <c r="AF2362" s="0">
        <v>0</v>
      </c>
      <c r="AG2362" s="0">
        <v>0</v>
      </c>
      <c r="AH2362" s="0" t="s">
        <v>140</v>
      </c>
      <c r="AI2362" s="0" t="s">
        <v>138</v>
      </c>
      <c r="AL2362" s="14"/>
      <c r="AN2362" s="14"/>
      <c r="AQ2362" s="0" t="s">
        <v>130</v>
      </c>
      <c r="AR2362" s="0" t="s">
        <v>130</v>
      </c>
      <c r="AS2362" s="0" t="s">
        <v>130</v>
      </c>
      <c r="AT2362" s="0" t="s">
        <v>130</v>
      </c>
      <c r="AU2362" s="0" t="s">
        <v>130</v>
      </c>
      <c r="AV2362" s="0" t="s">
        <v>141</v>
      </c>
      <c r="AW2362" s="0" t="s">
        <v>130</v>
      </c>
      <c r="AX2362" s="0" t="s">
        <v>130</v>
      </c>
      <c r="AY2362" s="0" t="s">
        <v>130</v>
      </c>
      <c r="AZ2362" s="0" t="s">
        <v>130</v>
      </c>
      <c r="BA2362" s="0" t="s">
        <v>130</v>
      </c>
      <c r="BB2362" s="0" t="s">
        <v>141</v>
      </c>
      <c r="BC2362" s="0" t="s">
        <v>130</v>
      </c>
      <c r="BD2362" s="0" t="s">
        <v>141</v>
      </c>
      <c r="BE2362" s="0" t="s">
        <v>141</v>
      </c>
      <c r="BF2362" s="0" t="s">
        <v>130</v>
      </c>
      <c r="BG2362" s="0" t="s">
        <v>130</v>
      </c>
      <c r="BH2362" s="0" t="s">
        <v>130</v>
      </c>
      <c r="BI2362" s="0" t="s">
        <v>130</v>
      </c>
      <c r="BJ2362" s="0" t="s">
        <v>130</v>
      </c>
      <c r="BK2362" s="0" t="s">
        <v>130</v>
      </c>
      <c r="BL2362" s="0" t="s">
        <v>130</v>
      </c>
      <c r="BM2362" s="0" t="s">
        <v>130</v>
      </c>
      <c r="BN2362" s="0" t="s">
        <v>130</v>
      </c>
      <c r="BO2362" s="0" t="s">
        <v>130</v>
      </c>
      <c r="BP2362" s="0" t="s">
        <v>130</v>
      </c>
      <c r="BQ2362" s="0" t="s">
        <v>130</v>
      </c>
      <c r="BR2362" s="0" t="s">
        <v>130</v>
      </c>
      <c r="BS2362" s="0" t="s">
        <v>130</v>
      </c>
      <c r="BT2362" s="0" t="s">
        <v>130</v>
      </c>
      <c r="BU2362" s="0" t="s">
        <v>130</v>
      </c>
      <c r="BV2362" s="0" t="s">
        <v>130</v>
      </c>
      <c r="BW2362" s="0" t="s">
        <v>130</v>
      </c>
      <c r="BX2362" s="0" t="s">
        <v>130</v>
      </c>
      <c r="BY2362" s="0" t="s">
        <v>130</v>
      </c>
      <c r="BZ2362" s="0" t="s">
        <v>130</v>
      </c>
      <c r="CA2362" s="0" t="s">
        <v>130</v>
      </c>
      <c r="CB2362" s="0" t="s">
        <v>130</v>
      </c>
      <c r="CC2362" s="0" t="s">
        <v>130</v>
      </c>
      <c r="CD2362" s="0" t="s">
        <v>130</v>
      </c>
      <c r="CE2362" s="0" t="s">
        <v>130</v>
      </c>
      <c r="CF2362" s="0" t="s">
        <v>130</v>
      </c>
      <c r="CG2362" s="0" t="s">
        <v>130</v>
      </c>
      <c r="CH2362" s="0" t="s">
        <v>130</v>
      </c>
      <c r="CI2362" s="0" t="s">
        <v>130</v>
      </c>
      <c r="CJ2362" s="0" t="s">
        <v>130</v>
      </c>
      <c r="CK2362" s="0" t="s">
        <v>130</v>
      </c>
      <c r="CL2362" s="0" t="s">
        <v>130</v>
      </c>
      <c r="CM2362" s="0" t="s">
        <v>130</v>
      </c>
      <c r="CN2362" s="0" t="s">
        <v>130</v>
      </c>
      <c r="CO2362" s="0" t="s">
        <v>130</v>
      </c>
      <c r="CP2362" s="0" t="s">
        <v>130</v>
      </c>
      <c r="CQ2362" s="0" t="s">
        <v>130</v>
      </c>
      <c r="CR2362" s="0" t="s">
        <v>130</v>
      </c>
      <c r="CS2362" s="0" t="s">
        <v>130</v>
      </c>
      <c r="CT2362" s="0" t="s">
        <v>6504</v>
      </c>
    </row>
    <row r="2363">
      <c r="A2363" s="14">
        <v>17085420</v>
      </c>
      <c r="B2363" s="0" t="s">
        <v>4306</v>
      </c>
      <c r="C2363" s="16">
        <f>HYPERLINK("https://eosportal.federatedhermes.com/companies/Q29tcGFueQppNTIwNTI=", "Argenx SE")</f>
      </c>
      <c r="D2363" s="0" t="s">
        <v>25</v>
      </c>
      <c r="E2363" s="0" t="s">
        <v>1352</v>
      </c>
      <c r="F2363" s="16">
        <f>HYPERLINK("https://eosportal.federatedhermes.com/engagements/RW5nYWdlbWVudAppMzM0ODI=", "Animal Testing")</f>
      </c>
      <c r="G2363" s="14" t="s">
        <v>6483</v>
      </c>
      <c r="H2363" s="0" t="s">
        <v>130</v>
      </c>
      <c r="I2363" s="14" t="s">
        <v>319</v>
      </c>
      <c r="J2363" s="0" t="s">
        <v>197</v>
      </c>
      <c r="K2363" s="0" t="s">
        <v>337</v>
      </c>
      <c r="L2363" s="0" t="s">
        <v>576</v>
      </c>
      <c r="M2363" s="0" t="s">
        <v>378</v>
      </c>
      <c r="N2363" s="0" t="s">
        <v>2554</v>
      </c>
      <c r="O2363" s="0" t="s">
        <v>274</v>
      </c>
      <c r="Q2363" s="0" t="s">
        <v>130</v>
      </c>
      <c r="R2363" s="0" t="s">
        <v>138</v>
      </c>
      <c r="S2363" s="14">
        <v>0</v>
      </c>
      <c r="T2363" s="0" t="s">
        <v>360</v>
      </c>
      <c r="U2363" s="0" t="s">
        <v>138</v>
      </c>
      <c r="V2363" s="14" t="s">
        <v>138</v>
      </c>
      <c r="W2363" s="0" t="s">
        <v>138</v>
      </c>
      <c r="X2363" s="14" t="s">
        <v>138</v>
      </c>
      <c r="Y2363" s="0" t="s">
        <v>138</v>
      </c>
      <c r="Z2363" s="14" t="s">
        <v>138</v>
      </c>
      <c r="AA2363" s="0" t="s">
        <v>138</v>
      </c>
      <c r="AB2363" s="14" t="s">
        <v>138</v>
      </c>
      <c r="AD2363" s="0" t="s">
        <v>138</v>
      </c>
      <c r="AF2363" s="0">
        <v>0</v>
      </c>
      <c r="AG2363" s="0">
        <v>0</v>
      </c>
      <c r="AH2363" s="0" t="s">
        <v>140</v>
      </c>
      <c r="AI2363" s="0" t="s">
        <v>138</v>
      </c>
      <c r="AL2363" s="14"/>
      <c r="AN2363" s="14"/>
      <c r="AQ2363" s="0" t="s">
        <v>130</v>
      </c>
      <c r="AR2363" s="0" t="s">
        <v>130</v>
      </c>
      <c r="AS2363" s="0" t="s">
        <v>130</v>
      </c>
      <c r="AT2363" s="0" t="s">
        <v>130</v>
      </c>
      <c r="AU2363" s="0" t="s">
        <v>130</v>
      </c>
      <c r="AV2363" s="0" t="s">
        <v>130</v>
      </c>
      <c r="AW2363" s="0" t="s">
        <v>130</v>
      </c>
      <c r="AX2363" s="0" t="s">
        <v>130</v>
      </c>
      <c r="AY2363" s="0" t="s">
        <v>130</v>
      </c>
      <c r="AZ2363" s="0" t="s">
        <v>130</v>
      </c>
      <c r="BA2363" s="0" t="s">
        <v>130</v>
      </c>
      <c r="BB2363" s="0" t="s">
        <v>141</v>
      </c>
      <c r="BC2363" s="0" t="s">
        <v>130</v>
      </c>
      <c r="BD2363" s="0" t="s">
        <v>130</v>
      </c>
      <c r="BE2363" s="0" t="s">
        <v>141</v>
      </c>
      <c r="BF2363" s="0" t="s">
        <v>130</v>
      </c>
      <c r="BG2363" s="0" t="s">
        <v>130</v>
      </c>
      <c r="BH2363" s="0" t="s">
        <v>130</v>
      </c>
      <c r="BI2363" s="0" t="s">
        <v>130</v>
      </c>
      <c r="BJ2363" s="0" t="s">
        <v>130</v>
      </c>
      <c r="BK2363" s="0" t="s">
        <v>130</v>
      </c>
      <c r="BL2363" s="0" t="s">
        <v>130</v>
      </c>
      <c r="BM2363" s="0" t="s">
        <v>130</v>
      </c>
      <c r="BN2363" s="0" t="s">
        <v>130</v>
      </c>
      <c r="BO2363" s="0" t="s">
        <v>130</v>
      </c>
      <c r="BP2363" s="0" t="s">
        <v>130</v>
      </c>
      <c r="BQ2363" s="0" t="s">
        <v>130</v>
      </c>
      <c r="BR2363" s="0" t="s">
        <v>130</v>
      </c>
      <c r="BS2363" s="0" t="s">
        <v>130</v>
      </c>
      <c r="BT2363" s="0" t="s">
        <v>130</v>
      </c>
      <c r="BU2363" s="0" t="s">
        <v>130</v>
      </c>
      <c r="BV2363" s="0" t="s">
        <v>130</v>
      </c>
      <c r="BW2363" s="0" t="s">
        <v>130</v>
      </c>
      <c r="BX2363" s="0" t="s">
        <v>130</v>
      </c>
      <c r="BY2363" s="0" t="s">
        <v>130</v>
      </c>
      <c r="BZ2363" s="0" t="s">
        <v>130</v>
      </c>
      <c r="CA2363" s="0" t="s">
        <v>130</v>
      </c>
      <c r="CB2363" s="0" t="s">
        <v>130</v>
      </c>
      <c r="CC2363" s="0" t="s">
        <v>130</v>
      </c>
      <c r="CD2363" s="0" t="s">
        <v>130</v>
      </c>
      <c r="CE2363" s="0" t="s">
        <v>130</v>
      </c>
      <c r="CF2363" s="0" t="s">
        <v>130</v>
      </c>
      <c r="CG2363" s="0" t="s">
        <v>130</v>
      </c>
      <c r="CH2363" s="0" t="s">
        <v>130</v>
      </c>
      <c r="CI2363" s="0" t="s">
        <v>130</v>
      </c>
      <c r="CJ2363" s="0" t="s">
        <v>130</v>
      </c>
      <c r="CK2363" s="0" t="s">
        <v>130</v>
      </c>
      <c r="CL2363" s="0" t="s">
        <v>130</v>
      </c>
      <c r="CM2363" s="0" t="s">
        <v>130</v>
      </c>
      <c r="CN2363" s="0" t="s">
        <v>130</v>
      </c>
      <c r="CO2363" s="0" t="s">
        <v>130</v>
      </c>
      <c r="CP2363" s="0" t="s">
        <v>130</v>
      </c>
      <c r="CQ2363" s="0" t="s">
        <v>130</v>
      </c>
      <c r="CR2363" s="0" t="s">
        <v>130</v>
      </c>
      <c r="CS2363" s="0" t="s">
        <v>130</v>
      </c>
      <c r="CT2363" s="0" t="s">
        <v>6505</v>
      </c>
    </row>
    <row r="2364">
      <c r="A2364" s="14">
        <v>101215</v>
      </c>
      <c r="B2364" s="0" t="s">
        <v>1464</v>
      </c>
      <c r="C2364" s="16">
        <f>HYPERLINK("https://eosportal.federatedhermes.com/companies/Q29tcGFueQppNTIxNzY=", "Procter &amp; Gamble Co/The")</f>
      </c>
      <c r="D2364" s="0" t="s">
        <v>25</v>
      </c>
      <c r="E2364" s="0" t="s">
        <v>574</v>
      </c>
      <c r="F2364" s="16">
        <f>HYPERLINK("https://eosportal.federatedhermes.com/engagements/RW5nYWdlbWVudAppMzM0ODM=", "Biodiversity")</f>
      </c>
      <c r="G2364" s="14" t="s">
        <v>6437</v>
      </c>
      <c r="H2364" s="0" t="s">
        <v>141</v>
      </c>
      <c r="I2364" s="14" t="s">
        <v>191</v>
      </c>
      <c r="J2364" s="0" t="s">
        <v>197</v>
      </c>
      <c r="K2364" s="0" t="s">
        <v>337</v>
      </c>
      <c r="L2364" s="0" t="s">
        <v>576</v>
      </c>
      <c r="M2364" s="0" t="s">
        <v>135</v>
      </c>
      <c r="N2364" s="0" t="s">
        <v>136</v>
      </c>
      <c r="O2364" s="0" t="s">
        <v>332</v>
      </c>
      <c r="Q2364" s="0" t="s">
        <v>141</v>
      </c>
      <c r="R2364" s="0" t="s">
        <v>138</v>
      </c>
      <c r="S2364" s="14">
        <v>1</v>
      </c>
      <c r="T2364" s="0" t="s">
        <v>222</v>
      </c>
      <c r="U2364" s="0" t="s">
        <v>138</v>
      </c>
      <c r="V2364" s="14" t="s">
        <v>138</v>
      </c>
      <c r="W2364" s="0" t="s">
        <v>138</v>
      </c>
      <c r="X2364" s="14" t="s">
        <v>138</v>
      </c>
      <c r="Y2364" s="0" t="s">
        <v>138</v>
      </c>
      <c r="Z2364" s="14" t="s">
        <v>138</v>
      </c>
      <c r="AA2364" s="0" t="s">
        <v>138</v>
      </c>
      <c r="AB2364" s="14" t="s">
        <v>138</v>
      </c>
      <c r="AD2364" s="0" t="s">
        <v>138</v>
      </c>
      <c r="AF2364" s="0">
        <v>0</v>
      </c>
      <c r="AG2364" s="0">
        <v>0</v>
      </c>
      <c r="AH2364" s="0" t="s">
        <v>140</v>
      </c>
      <c r="AI2364" s="0" t="s">
        <v>138</v>
      </c>
      <c r="AK2364" s="0" t="s">
        <v>1470</v>
      </c>
      <c r="AL2364" s="14"/>
      <c r="AN2364" s="14"/>
      <c r="AQ2364" s="0" t="s">
        <v>130</v>
      </c>
      <c r="AR2364" s="0" t="s">
        <v>130</v>
      </c>
      <c r="AS2364" s="0" t="s">
        <v>130</v>
      </c>
      <c r="AT2364" s="0" t="s">
        <v>130</v>
      </c>
      <c r="AU2364" s="0" t="s">
        <v>130</v>
      </c>
      <c r="AV2364" s="0" t="s">
        <v>141</v>
      </c>
      <c r="AW2364" s="0" t="s">
        <v>130</v>
      </c>
      <c r="AX2364" s="0" t="s">
        <v>130</v>
      </c>
      <c r="AY2364" s="0" t="s">
        <v>130</v>
      </c>
      <c r="AZ2364" s="0" t="s">
        <v>130</v>
      </c>
      <c r="BA2364" s="0" t="s">
        <v>130</v>
      </c>
      <c r="BB2364" s="0" t="s">
        <v>141</v>
      </c>
      <c r="BC2364" s="0" t="s">
        <v>130</v>
      </c>
      <c r="BD2364" s="0" t="s">
        <v>141</v>
      </c>
      <c r="BE2364" s="0" t="s">
        <v>141</v>
      </c>
      <c r="BF2364" s="0" t="s">
        <v>130</v>
      </c>
      <c r="BG2364" s="0" t="s">
        <v>130</v>
      </c>
      <c r="BH2364" s="0" t="s">
        <v>130</v>
      </c>
      <c r="BI2364" s="0" t="s">
        <v>130</v>
      </c>
      <c r="BJ2364" s="0" t="s">
        <v>130</v>
      </c>
      <c r="BK2364" s="0" t="s">
        <v>130</v>
      </c>
      <c r="BL2364" s="0" t="s">
        <v>130</v>
      </c>
      <c r="BM2364" s="0" t="s">
        <v>130</v>
      </c>
      <c r="BN2364" s="0" t="s">
        <v>130</v>
      </c>
      <c r="BO2364" s="0" t="s">
        <v>130</v>
      </c>
      <c r="BP2364" s="0" t="s">
        <v>130</v>
      </c>
      <c r="BQ2364" s="0" t="s">
        <v>130</v>
      </c>
      <c r="BR2364" s="0" t="s">
        <v>130</v>
      </c>
      <c r="BS2364" s="0" t="s">
        <v>130</v>
      </c>
      <c r="BT2364" s="0" t="s">
        <v>130</v>
      </c>
      <c r="BU2364" s="0" t="s">
        <v>130</v>
      </c>
      <c r="BV2364" s="0" t="s">
        <v>130</v>
      </c>
      <c r="BW2364" s="0" t="s">
        <v>130</v>
      </c>
      <c r="BX2364" s="0" t="s">
        <v>130</v>
      </c>
      <c r="BY2364" s="0" t="s">
        <v>130</v>
      </c>
      <c r="BZ2364" s="0" t="s">
        <v>130</v>
      </c>
      <c r="CA2364" s="0" t="s">
        <v>130</v>
      </c>
      <c r="CB2364" s="0" t="s">
        <v>130</v>
      </c>
      <c r="CC2364" s="0" t="s">
        <v>130</v>
      </c>
      <c r="CD2364" s="0" t="s">
        <v>130</v>
      </c>
      <c r="CE2364" s="0" t="s">
        <v>130</v>
      </c>
      <c r="CF2364" s="0" t="s">
        <v>130</v>
      </c>
      <c r="CG2364" s="0" t="s">
        <v>130</v>
      </c>
      <c r="CH2364" s="0" t="s">
        <v>130</v>
      </c>
      <c r="CI2364" s="0" t="s">
        <v>130</v>
      </c>
      <c r="CJ2364" s="0" t="s">
        <v>130</v>
      </c>
      <c r="CK2364" s="0" t="s">
        <v>130</v>
      </c>
      <c r="CL2364" s="0" t="s">
        <v>130</v>
      </c>
      <c r="CM2364" s="0" t="s">
        <v>130</v>
      </c>
      <c r="CN2364" s="0" t="s">
        <v>130</v>
      </c>
      <c r="CO2364" s="0" t="s">
        <v>130</v>
      </c>
      <c r="CP2364" s="0" t="s">
        <v>130</v>
      </c>
      <c r="CQ2364" s="0" t="s">
        <v>130</v>
      </c>
      <c r="CR2364" s="0" t="s">
        <v>130</v>
      </c>
      <c r="CS2364" s="0" t="s">
        <v>130</v>
      </c>
      <c r="CT2364" s="0" t="s">
        <v>6506</v>
      </c>
    </row>
    <row r="2365">
      <c r="A2365" s="14">
        <v>113148</v>
      </c>
      <c r="B2365" s="0" t="s">
        <v>1270</v>
      </c>
      <c r="C2365" s="16">
        <f>HYPERLINK("https://eosportal.federatedhermes.com/companies/Q29tcGFueQppNTIyNjI=", "Woolworths Group Ltd")</f>
      </c>
      <c r="D2365" s="0" t="s">
        <v>25</v>
      </c>
      <c r="E2365" s="0" t="s">
        <v>574</v>
      </c>
      <c r="F2365" s="16">
        <f>HYPERLINK("https://eosportal.federatedhermes.com/engagements/RW5nYWdlbWVudAppMzM0ODU=", "Biodiversity")</f>
      </c>
      <c r="G2365" s="14" t="s">
        <v>6437</v>
      </c>
      <c r="H2365" s="0" t="s">
        <v>130</v>
      </c>
      <c r="I2365" s="14" t="s">
        <v>319</v>
      </c>
      <c r="J2365" s="0" t="s">
        <v>197</v>
      </c>
      <c r="K2365" s="0" t="s">
        <v>337</v>
      </c>
      <c r="L2365" s="0" t="s">
        <v>576</v>
      </c>
      <c r="M2365" s="0" t="s">
        <v>371</v>
      </c>
      <c r="N2365" s="0" t="s">
        <v>372</v>
      </c>
      <c r="O2365" s="0" t="s">
        <v>643</v>
      </c>
      <c r="Q2365" s="0" t="s">
        <v>130</v>
      </c>
      <c r="R2365" s="0" t="s">
        <v>138</v>
      </c>
      <c r="S2365" s="14">
        <v>0</v>
      </c>
      <c r="T2365" s="0" t="s">
        <v>222</v>
      </c>
      <c r="U2365" s="0" t="s">
        <v>138</v>
      </c>
      <c r="V2365" s="14" t="s">
        <v>138</v>
      </c>
      <c r="W2365" s="0" t="s">
        <v>138</v>
      </c>
      <c r="X2365" s="14" t="s">
        <v>138</v>
      </c>
      <c r="Y2365" s="0" t="s">
        <v>138</v>
      </c>
      <c r="Z2365" s="14" t="s">
        <v>138</v>
      </c>
      <c r="AA2365" s="0" t="s">
        <v>138</v>
      </c>
      <c r="AB2365" s="14" t="s">
        <v>138</v>
      </c>
      <c r="AD2365" s="0" t="s">
        <v>138</v>
      </c>
      <c r="AF2365" s="0">
        <v>0</v>
      </c>
      <c r="AG2365" s="0">
        <v>0</v>
      </c>
      <c r="AH2365" s="0" t="s">
        <v>140</v>
      </c>
      <c r="AI2365" s="0" t="s">
        <v>138</v>
      </c>
      <c r="AL2365" s="14"/>
      <c r="AN2365" s="14"/>
      <c r="AQ2365" s="0" t="s">
        <v>130</v>
      </c>
      <c r="AR2365" s="0" t="s">
        <v>130</v>
      </c>
      <c r="AS2365" s="0" t="s">
        <v>130</v>
      </c>
      <c r="AT2365" s="0" t="s">
        <v>130</v>
      </c>
      <c r="AU2365" s="0" t="s">
        <v>130</v>
      </c>
      <c r="AV2365" s="0" t="s">
        <v>141</v>
      </c>
      <c r="AW2365" s="0" t="s">
        <v>130</v>
      </c>
      <c r="AX2365" s="0" t="s">
        <v>130</v>
      </c>
      <c r="AY2365" s="0" t="s">
        <v>130</v>
      </c>
      <c r="AZ2365" s="0" t="s">
        <v>130</v>
      </c>
      <c r="BA2365" s="0" t="s">
        <v>130</v>
      </c>
      <c r="BB2365" s="0" t="s">
        <v>141</v>
      </c>
      <c r="BC2365" s="0" t="s">
        <v>130</v>
      </c>
      <c r="BD2365" s="0" t="s">
        <v>141</v>
      </c>
      <c r="BE2365" s="0" t="s">
        <v>141</v>
      </c>
      <c r="BF2365" s="0" t="s">
        <v>130</v>
      </c>
      <c r="BG2365" s="0" t="s">
        <v>130</v>
      </c>
      <c r="BH2365" s="0" t="s">
        <v>130</v>
      </c>
      <c r="BI2365" s="0" t="s">
        <v>130</v>
      </c>
      <c r="BJ2365" s="0" t="s">
        <v>130</v>
      </c>
      <c r="BK2365" s="0" t="s">
        <v>130</v>
      </c>
      <c r="BL2365" s="0" t="s">
        <v>130</v>
      </c>
      <c r="BM2365" s="0" t="s">
        <v>130</v>
      </c>
      <c r="BN2365" s="0" t="s">
        <v>130</v>
      </c>
      <c r="BO2365" s="0" t="s">
        <v>130</v>
      </c>
      <c r="BP2365" s="0" t="s">
        <v>130</v>
      </c>
      <c r="BQ2365" s="0" t="s">
        <v>130</v>
      </c>
      <c r="BR2365" s="0" t="s">
        <v>130</v>
      </c>
      <c r="BS2365" s="0" t="s">
        <v>130</v>
      </c>
      <c r="BT2365" s="0" t="s">
        <v>130</v>
      </c>
      <c r="BU2365" s="0" t="s">
        <v>130</v>
      </c>
      <c r="BV2365" s="0" t="s">
        <v>130</v>
      </c>
      <c r="BW2365" s="0" t="s">
        <v>130</v>
      </c>
      <c r="BX2365" s="0" t="s">
        <v>130</v>
      </c>
      <c r="BY2365" s="0" t="s">
        <v>130</v>
      </c>
      <c r="BZ2365" s="0" t="s">
        <v>130</v>
      </c>
      <c r="CA2365" s="0" t="s">
        <v>130</v>
      </c>
      <c r="CB2365" s="0" t="s">
        <v>130</v>
      </c>
      <c r="CC2365" s="0" t="s">
        <v>130</v>
      </c>
      <c r="CD2365" s="0" t="s">
        <v>130</v>
      </c>
      <c r="CE2365" s="0" t="s">
        <v>130</v>
      </c>
      <c r="CF2365" s="0" t="s">
        <v>130</v>
      </c>
      <c r="CG2365" s="0" t="s">
        <v>130</v>
      </c>
      <c r="CH2365" s="0" t="s">
        <v>130</v>
      </c>
      <c r="CI2365" s="0" t="s">
        <v>130</v>
      </c>
      <c r="CJ2365" s="0" t="s">
        <v>130</v>
      </c>
      <c r="CK2365" s="0" t="s">
        <v>130</v>
      </c>
      <c r="CL2365" s="0" t="s">
        <v>130</v>
      </c>
      <c r="CM2365" s="0" t="s">
        <v>130</v>
      </c>
      <c r="CN2365" s="0" t="s">
        <v>130</v>
      </c>
      <c r="CO2365" s="0" t="s">
        <v>130</v>
      </c>
      <c r="CP2365" s="0" t="s">
        <v>130</v>
      </c>
      <c r="CQ2365" s="0" t="s">
        <v>130</v>
      </c>
      <c r="CR2365" s="0" t="s">
        <v>130</v>
      </c>
      <c r="CS2365" s="0" t="s">
        <v>130</v>
      </c>
      <c r="CT2365" s="0" t="s">
        <v>6507</v>
      </c>
    </row>
    <row r="2366">
      <c r="A2366" s="14">
        <v>101652</v>
      </c>
      <c r="B2366" s="0" t="s">
        <v>1784</v>
      </c>
      <c r="C2366" s="16">
        <f>HYPERLINK("https://eosportal.federatedhermes.com/companies/Q29tcGFueQppNTg5NjE=", "Weyerhaeuser Co")</f>
      </c>
      <c r="D2366" s="0" t="s">
        <v>25</v>
      </c>
      <c r="E2366" s="0" t="s">
        <v>574</v>
      </c>
      <c r="F2366" s="16">
        <f>HYPERLINK("https://eosportal.federatedhermes.com/engagements/RW5nYWdlbWVudAppMzM0OTE=", "Biodiversity")</f>
      </c>
      <c r="G2366" s="14" t="s">
        <v>6437</v>
      </c>
      <c r="H2366" s="0" t="s">
        <v>130</v>
      </c>
      <c r="I2366" s="14" t="s">
        <v>131</v>
      </c>
      <c r="J2366" s="0" t="s">
        <v>197</v>
      </c>
      <c r="K2366" s="0" t="s">
        <v>337</v>
      </c>
      <c r="L2366" s="0" t="s">
        <v>576</v>
      </c>
      <c r="M2366" s="0" t="s">
        <v>135</v>
      </c>
      <c r="N2366" s="0" t="s">
        <v>136</v>
      </c>
      <c r="O2366" s="0" t="s">
        <v>238</v>
      </c>
      <c r="Q2366" s="0" t="s">
        <v>130</v>
      </c>
      <c r="R2366" s="0" t="s">
        <v>138</v>
      </c>
      <c r="S2366" s="14">
        <v>0</v>
      </c>
      <c r="T2366" s="0" t="s">
        <v>222</v>
      </c>
      <c r="U2366" s="0" t="s">
        <v>138</v>
      </c>
      <c r="V2366" s="14" t="s">
        <v>138</v>
      </c>
      <c r="W2366" s="0" t="s">
        <v>138</v>
      </c>
      <c r="X2366" s="14" t="s">
        <v>138</v>
      </c>
      <c r="Y2366" s="0" t="s">
        <v>138</v>
      </c>
      <c r="Z2366" s="14" t="s">
        <v>138</v>
      </c>
      <c r="AA2366" s="0" t="s">
        <v>138</v>
      </c>
      <c r="AB2366" s="14" t="s">
        <v>138</v>
      </c>
      <c r="AD2366" s="0" t="s">
        <v>138</v>
      </c>
      <c r="AF2366" s="0">
        <v>0</v>
      </c>
      <c r="AG2366" s="0">
        <v>0</v>
      </c>
      <c r="AH2366" s="0" t="s">
        <v>140</v>
      </c>
      <c r="AI2366" s="0" t="s">
        <v>138</v>
      </c>
      <c r="AL2366" s="14"/>
      <c r="AN2366" s="14"/>
      <c r="AQ2366" s="0" t="s">
        <v>130</v>
      </c>
      <c r="AR2366" s="0" t="s">
        <v>130</v>
      </c>
      <c r="AS2366" s="0" t="s">
        <v>130</v>
      </c>
      <c r="AT2366" s="0" t="s">
        <v>130</v>
      </c>
      <c r="AU2366" s="0" t="s">
        <v>130</v>
      </c>
      <c r="AV2366" s="0" t="s">
        <v>141</v>
      </c>
      <c r="AW2366" s="0" t="s">
        <v>130</v>
      </c>
      <c r="AX2366" s="0" t="s">
        <v>130</v>
      </c>
      <c r="AY2366" s="0" t="s">
        <v>130</v>
      </c>
      <c r="AZ2366" s="0" t="s">
        <v>130</v>
      </c>
      <c r="BA2366" s="0" t="s">
        <v>130</v>
      </c>
      <c r="BB2366" s="0" t="s">
        <v>141</v>
      </c>
      <c r="BC2366" s="0" t="s">
        <v>130</v>
      </c>
      <c r="BD2366" s="0" t="s">
        <v>141</v>
      </c>
      <c r="BE2366" s="0" t="s">
        <v>141</v>
      </c>
      <c r="BF2366" s="0" t="s">
        <v>130</v>
      </c>
      <c r="BG2366" s="0" t="s">
        <v>130</v>
      </c>
      <c r="BH2366" s="0" t="s">
        <v>130</v>
      </c>
      <c r="BI2366" s="0" t="s">
        <v>130</v>
      </c>
      <c r="BJ2366" s="0" t="s">
        <v>130</v>
      </c>
      <c r="BK2366" s="0" t="s">
        <v>130</v>
      </c>
      <c r="BL2366" s="0" t="s">
        <v>130</v>
      </c>
      <c r="BM2366" s="0" t="s">
        <v>130</v>
      </c>
      <c r="BN2366" s="0" t="s">
        <v>130</v>
      </c>
      <c r="BO2366" s="0" t="s">
        <v>130</v>
      </c>
      <c r="BP2366" s="0" t="s">
        <v>130</v>
      </c>
      <c r="BQ2366" s="0" t="s">
        <v>130</v>
      </c>
      <c r="BR2366" s="0" t="s">
        <v>130</v>
      </c>
      <c r="BS2366" s="0" t="s">
        <v>130</v>
      </c>
      <c r="BT2366" s="0" t="s">
        <v>130</v>
      </c>
      <c r="BU2366" s="0" t="s">
        <v>130</v>
      </c>
      <c r="BV2366" s="0" t="s">
        <v>130</v>
      </c>
      <c r="BW2366" s="0" t="s">
        <v>130</v>
      </c>
      <c r="BX2366" s="0" t="s">
        <v>130</v>
      </c>
      <c r="BY2366" s="0" t="s">
        <v>130</v>
      </c>
      <c r="BZ2366" s="0" t="s">
        <v>130</v>
      </c>
      <c r="CA2366" s="0" t="s">
        <v>130</v>
      </c>
      <c r="CB2366" s="0" t="s">
        <v>130</v>
      </c>
      <c r="CC2366" s="0" t="s">
        <v>130</v>
      </c>
      <c r="CD2366" s="0" t="s">
        <v>130</v>
      </c>
      <c r="CE2366" s="0" t="s">
        <v>130</v>
      </c>
      <c r="CF2366" s="0" t="s">
        <v>130</v>
      </c>
      <c r="CG2366" s="0" t="s">
        <v>130</v>
      </c>
      <c r="CH2366" s="0" t="s">
        <v>130</v>
      </c>
      <c r="CI2366" s="0" t="s">
        <v>130</v>
      </c>
      <c r="CJ2366" s="0" t="s">
        <v>130</v>
      </c>
      <c r="CK2366" s="0" t="s">
        <v>130</v>
      </c>
      <c r="CL2366" s="0" t="s">
        <v>130</v>
      </c>
      <c r="CM2366" s="0" t="s">
        <v>130</v>
      </c>
      <c r="CN2366" s="0" t="s">
        <v>130</v>
      </c>
      <c r="CO2366" s="0" t="s">
        <v>130</v>
      </c>
      <c r="CP2366" s="0" t="s">
        <v>130</v>
      </c>
      <c r="CQ2366" s="0" t="s">
        <v>130</v>
      </c>
      <c r="CR2366" s="0" t="s">
        <v>130</v>
      </c>
      <c r="CS2366" s="0" t="s">
        <v>130</v>
      </c>
      <c r="CT2366" s="0" t="s">
        <v>6508</v>
      </c>
    </row>
    <row r="2367">
      <c r="A2367" s="14">
        <v>115679</v>
      </c>
      <c r="B2367" s="0" t="s">
        <v>2603</v>
      </c>
      <c r="C2367" s="16">
        <f>HYPERLINK("https://eosportal.federatedhermes.com/companies/Q29tcGFueQppNTg5NzU=", "Bayer AG")</f>
      </c>
      <c r="D2367" s="0" t="s">
        <v>25</v>
      </c>
      <c r="E2367" s="0" t="s">
        <v>1352</v>
      </c>
      <c r="F2367" s="16">
        <f>HYPERLINK("https://eosportal.federatedhermes.com/engagements/RW5nYWdlbWVudAppMzM0OTU=", "Animal Testing")</f>
      </c>
      <c r="G2367" s="14" t="s">
        <v>6483</v>
      </c>
      <c r="H2367" s="0" t="s">
        <v>141</v>
      </c>
      <c r="I2367" s="14" t="s">
        <v>1645</v>
      </c>
      <c r="J2367" s="0" t="s">
        <v>197</v>
      </c>
      <c r="K2367" s="0" t="s">
        <v>337</v>
      </c>
      <c r="L2367" s="0" t="s">
        <v>576</v>
      </c>
      <c r="M2367" s="0" t="s">
        <v>378</v>
      </c>
      <c r="N2367" s="0" t="s">
        <v>2485</v>
      </c>
      <c r="O2367" s="0" t="s">
        <v>274</v>
      </c>
      <c r="Q2367" s="0" t="s">
        <v>130</v>
      </c>
      <c r="R2367" s="0" t="s">
        <v>138</v>
      </c>
      <c r="S2367" s="14">
        <v>0</v>
      </c>
      <c r="T2367" s="0" t="s">
        <v>360</v>
      </c>
      <c r="U2367" s="0" t="s">
        <v>138</v>
      </c>
      <c r="V2367" s="14" t="s">
        <v>138</v>
      </c>
      <c r="W2367" s="0" t="s">
        <v>138</v>
      </c>
      <c r="X2367" s="14" t="s">
        <v>138</v>
      </c>
      <c r="Y2367" s="0" t="s">
        <v>138</v>
      </c>
      <c r="Z2367" s="14" t="s">
        <v>138</v>
      </c>
      <c r="AA2367" s="0" t="s">
        <v>138</v>
      </c>
      <c r="AB2367" s="14" t="s">
        <v>138</v>
      </c>
      <c r="AD2367" s="0" t="s">
        <v>138</v>
      </c>
      <c r="AF2367" s="0">
        <v>0</v>
      </c>
      <c r="AG2367" s="0">
        <v>0</v>
      </c>
      <c r="AH2367" s="0" t="s">
        <v>140</v>
      </c>
      <c r="AI2367" s="0" t="s">
        <v>138</v>
      </c>
      <c r="AL2367" s="14"/>
      <c r="AN2367" s="14"/>
      <c r="AQ2367" s="0" t="s">
        <v>130</v>
      </c>
      <c r="AR2367" s="0" t="s">
        <v>130</v>
      </c>
      <c r="AS2367" s="0" t="s">
        <v>130</v>
      </c>
      <c r="AT2367" s="0" t="s">
        <v>130</v>
      </c>
      <c r="AU2367" s="0" t="s">
        <v>130</v>
      </c>
      <c r="AV2367" s="0" t="s">
        <v>130</v>
      </c>
      <c r="AW2367" s="0" t="s">
        <v>130</v>
      </c>
      <c r="AX2367" s="0" t="s">
        <v>130</v>
      </c>
      <c r="AY2367" s="0" t="s">
        <v>130</v>
      </c>
      <c r="AZ2367" s="0" t="s">
        <v>130</v>
      </c>
      <c r="BA2367" s="0" t="s">
        <v>130</v>
      </c>
      <c r="BB2367" s="0" t="s">
        <v>141</v>
      </c>
      <c r="BC2367" s="0" t="s">
        <v>130</v>
      </c>
      <c r="BD2367" s="0" t="s">
        <v>130</v>
      </c>
      <c r="BE2367" s="0" t="s">
        <v>141</v>
      </c>
      <c r="BF2367" s="0" t="s">
        <v>130</v>
      </c>
      <c r="BG2367" s="0" t="s">
        <v>130</v>
      </c>
      <c r="BH2367" s="0" t="s">
        <v>130</v>
      </c>
      <c r="BI2367" s="0" t="s">
        <v>130</v>
      </c>
      <c r="BJ2367" s="0" t="s">
        <v>130</v>
      </c>
      <c r="BK2367" s="0" t="s">
        <v>130</v>
      </c>
      <c r="BL2367" s="0" t="s">
        <v>130</v>
      </c>
      <c r="BM2367" s="0" t="s">
        <v>130</v>
      </c>
      <c r="BN2367" s="0" t="s">
        <v>130</v>
      </c>
      <c r="BO2367" s="0" t="s">
        <v>130</v>
      </c>
      <c r="BP2367" s="0" t="s">
        <v>130</v>
      </c>
      <c r="BQ2367" s="0" t="s">
        <v>130</v>
      </c>
      <c r="BR2367" s="0" t="s">
        <v>130</v>
      </c>
      <c r="BS2367" s="0" t="s">
        <v>130</v>
      </c>
      <c r="BT2367" s="0" t="s">
        <v>130</v>
      </c>
      <c r="BU2367" s="0" t="s">
        <v>130</v>
      </c>
      <c r="BV2367" s="0" t="s">
        <v>130</v>
      </c>
      <c r="BW2367" s="0" t="s">
        <v>130</v>
      </c>
      <c r="BX2367" s="0" t="s">
        <v>130</v>
      </c>
      <c r="BY2367" s="0" t="s">
        <v>130</v>
      </c>
      <c r="BZ2367" s="0" t="s">
        <v>130</v>
      </c>
      <c r="CA2367" s="0" t="s">
        <v>130</v>
      </c>
      <c r="CB2367" s="0" t="s">
        <v>130</v>
      </c>
      <c r="CC2367" s="0" t="s">
        <v>130</v>
      </c>
      <c r="CD2367" s="0" t="s">
        <v>130</v>
      </c>
      <c r="CE2367" s="0" t="s">
        <v>130</v>
      </c>
      <c r="CF2367" s="0" t="s">
        <v>130</v>
      </c>
      <c r="CG2367" s="0" t="s">
        <v>130</v>
      </c>
      <c r="CH2367" s="0" t="s">
        <v>130</v>
      </c>
      <c r="CI2367" s="0" t="s">
        <v>130</v>
      </c>
      <c r="CJ2367" s="0" t="s">
        <v>130</v>
      </c>
      <c r="CK2367" s="0" t="s">
        <v>130</v>
      </c>
      <c r="CL2367" s="0" t="s">
        <v>130</v>
      </c>
      <c r="CM2367" s="0" t="s">
        <v>130</v>
      </c>
      <c r="CN2367" s="0" t="s">
        <v>130</v>
      </c>
      <c r="CO2367" s="0" t="s">
        <v>130</v>
      </c>
      <c r="CP2367" s="0" t="s">
        <v>130</v>
      </c>
      <c r="CQ2367" s="0" t="s">
        <v>130</v>
      </c>
      <c r="CR2367" s="0" t="s">
        <v>130</v>
      </c>
      <c r="CS2367" s="0" t="s">
        <v>130</v>
      </c>
      <c r="CT2367" s="0" t="s">
        <v>6509</v>
      </c>
    </row>
    <row r="2368">
      <c r="A2368" s="14">
        <v>101534</v>
      </c>
      <c r="B2368" s="0" t="s">
        <v>1699</v>
      </c>
      <c r="C2368" s="16">
        <f>HYPERLINK("https://eosportal.federatedhermes.com/companies/Q29tcGFueQppNjM1OTI=", "Unilever PLC")</f>
      </c>
      <c r="D2368" s="0" t="s">
        <v>25</v>
      </c>
      <c r="E2368" s="0" t="s">
        <v>574</v>
      </c>
      <c r="F2368" s="16">
        <f>HYPERLINK("https://eosportal.federatedhermes.com/engagements/RW5nYWdlbWVudAppMzM1MDU=", "Biodiversity")</f>
      </c>
      <c r="G2368" s="14" t="s">
        <v>6437</v>
      </c>
      <c r="H2368" s="0" t="s">
        <v>141</v>
      </c>
      <c r="I2368" s="14" t="s">
        <v>636</v>
      </c>
      <c r="J2368" s="0" t="s">
        <v>197</v>
      </c>
      <c r="K2368" s="0" t="s">
        <v>337</v>
      </c>
      <c r="L2368" s="0" t="s">
        <v>576</v>
      </c>
      <c r="M2368" s="0" t="s">
        <v>272</v>
      </c>
      <c r="N2368" s="0" t="s">
        <v>273</v>
      </c>
      <c r="O2368" s="0" t="s">
        <v>332</v>
      </c>
      <c r="Q2368" s="0" t="s">
        <v>130</v>
      </c>
      <c r="R2368" s="0" t="s">
        <v>138</v>
      </c>
      <c r="S2368" s="14">
        <v>0</v>
      </c>
      <c r="T2368" s="0" t="s">
        <v>222</v>
      </c>
      <c r="U2368" s="0" t="s">
        <v>138</v>
      </c>
      <c r="V2368" s="14" t="s">
        <v>138</v>
      </c>
      <c r="W2368" s="0" t="s">
        <v>138</v>
      </c>
      <c r="X2368" s="14" t="s">
        <v>138</v>
      </c>
      <c r="Y2368" s="0" t="s">
        <v>138</v>
      </c>
      <c r="Z2368" s="14" t="s">
        <v>138</v>
      </c>
      <c r="AA2368" s="0" t="s">
        <v>138</v>
      </c>
      <c r="AB2368" s="14" t="s">
        <v>138</v>
      </c>
      <c r="AD2368" s="0" t="s">
        <v>138</v>
      </c>
      <c r="AF2368" s="0">
        <v>0</v>
      </c>
      <c r="AG2368" s="0">
        <v>0</v>
      </c>
      <c r="AH2368" s="0" t="s">
        <v>140</v>
      </c>
      <c r="AI2368" s="0" t="s">
        <v>138</v>
      </c>
      <c r="AL2368" s="14"/>
      <c r="AN2368" s="14"/>
      <c r="AQ2368" s="0" t="s">
        <v>130</v>
      </c>
      <c r="AR2368" s="0" t="s">
        <v>130</v>
      </c>
      <c r="AS2368" s="0" t="s">
        <v>130</v>
      </c>
      <c r="AT2368" s="0" t="s">
        <v>130</v>
      </c>
      <c r="AU2368" s="0" t="s">
        <v>130</v>
      </c>
      <c r="AV2368" s="0" t="s">
        <v>141</v>
      </c>
      <c r="AW2368" s="0" t="s">
        <v>130</v>
      </c>
      <c r="AX2368" s="0" t="s">
        <v>130</v>
      </c>
      <c r="AY2368" s="0" t="s">
        <v>130</v>
      </c>
      <c r="AZ2368" s="0" t="s">
        <v>130</v>
      </c>
      <c r="BA2368" s="0" t="s">
        <v>130</v>
      </c>
      <c r="BB2368" s="0" t="s">
        <v>141</v>
      </c>
      <c r="BC2368" s="0" t="s">
        <v>130</v>
      </c>
      <c r="BD2368" s="0" t="s">
        <v>141</v>
      </c>
      <c r="BE2368" s="0" t="s">
        <v>141</v>
      </c>
      <c r="BF2368" s="0" t="s">
        <v>130</v>
      </c>
      <c r="BG2368" s="0" t="s">
        <v>130</v>
      </c>
      <c r="BH2368" s="0" t="s">
        <v>130</v>
      </c>
      <c r="BI2368" s="0" t="s">
        <v>130</v>
      </c>
      <c r="BJ2368" s="0" t="s">
        <v>130</v>
      </c>
      <c r="BK2368" s="0" t="s">
        <v>130</v>
      </c>
      <c r="BL2368" s="0" t="s">
        <v>130</v>
      </c>
      <c r="BM2368" s="0" t="s">
        <v>130</v>
      </c>
      <c r="BN2368" s="0" t="s">
        <v>130</v>
      </c>
      <c r="BO2368" s="0" t="s">
        <v>130</v>
      </c>
      <c r="BP2368" s="0" t="s">
        <v>130</v>
      </c>
      <c r="BQ2368" s="0" t="s">
        <v>130</v>
      </c>
      <c r="BR2368" s="0" t="s">
        <v>130</v>
      </c>
      <c r="BS2368" s="0" t="s">
        <v>130</v>
      </c>
      <c r="BT2368" s="0" t="s">
        <v>130</v>
      </c>
      <c r="BU2368" s="0" t="s">
        <v>130</v>
      </c>
      <c r="BV2368" s="0" t="s">
        <v>130</v>
      </c>
      <c r="BW2368" s="0" t="s">
        <v>130</v>
      </c>
      <c r="BX2368" s="0" t="s">
        <v>130</v>
      </c>
      <c r="BY2368" s="0" t="s">
        <v>130</v>
      </c>
      <c r="BZ2368" s="0" t="s">
        <v>130</v>
      </c>
      <c r="CA2368" s="0" t="s">
        <v>130</v>
      </c>
      <c r="CB2368" s="0" t="s">
        <v>130</v>
      </c>
      <c r="CC2368" s="0" t="s">
        <v>130</v>
      </c>
      <c r="CD2368" s="0" t="s">
        <v>130</v>
      </c>
      <c r="CE2368" s="0" t="s">
        <v>130</v>
      </c>
      <c r="CF2368" s="0" t="s">
        <v>130</v>
      </c>
      <c r="CG2368" s="0" t="s">
        <v>130</v>
      </c>
      <c r="CH2368" s="0" t="s">
        <v>130</v>
      </c>
      <c r="CI2368" s="0" t="s">
        <v>130</v>
      </c>
      <c r="CJ2368" s="0" t="s">
        <v>130</v>
      </c>
      <c r="CK2368" s="0" t="s">
        <v>130</v>
      </c>
      <c r="CL2368" s="0" t="s">
        <v>130</v>
      </c>
      <c r="CM2368" s="0" t="s">
        <v>130</v>
      </c>
      <c r="CN2368" s="0" t="s">
        <v>130</v>
      </c>
      <c r="CO2368" s="0" t="s">
        <v>130</v>
      </c>
      <c r="CP2368" s="0" t="s">
        <v>130</v>
      </c>
      <c r="CQ2368" s="0" t="s">
        <v>130</v>
      </c>
      <c r="CR2368" s="0" t="s">
        <v>130</v>
      </c>
      <c r="CS2368" s="0" t="s">
        <v>130</v>
      </c>
      <c r="CT2368" s="0" t="s">
        <v>6510</v>
      </c>
    </row>
    <row r="2369">
      <c r="A2369" s="14">
        <v>100743</v>
      </c>
      <c r="B2369" s="0" t="s">
        <v>927</v>
      </c>
      <c r="C2369" s="16">
        <f>HYPERLINK("https://eosportal.federatedhermes.com/companies/Q29tcGFueQppNjQzNzc=", "Home Depot Inc/The")</f>
      </c>
      <c r="D2369" s="0" t="s">
        <v>25</v>
      </c>
      <c r="E2369" s="0" t="s">
        <v>574</v>
      </c>
      <c r="F2369" s="16">
        <f>HYPERLINK("https://eosportal.federatedhermes.com/engagements/RW5nYWdlbWVudAppMzM1MDg=", "Biodiversity")</f>
      </c>
      <c r="G2369" s="14" t="s">
        <v>6502</v>
      </c>
      <c r="H2369" s="0" t="s">
        <v>141</v>
      </c>
      <c r="I2369" s="14" t="s">
        <v>191</v>
      </c>
      <c r="J2369" s="0" t="s">
        <v>197</v>
      </c>
      <c r="K2369" s="0" t="s">
        <v>337</v>
      </c>
      <c r="L2369" s="0" t="s">
        <v>576</v>
      </c>
      <c r="M2369" s="0" t="s">
        <v>135</v>
      </c>
      <c r="N2369" s="0" t="s">
        <v>136</v>
      </c>
      <c r="O2369" s="0" t="s">
        <v>643</v>
      </c>
      <c r="Q2369" s="0" t="s">
        <v>141</v>
      </c>
      <c r="R2369" s="0" t="s">
        <v>138</v>
      </c>
      <c r="S2369" s="14">
        <v>1</v>
      </c>
      <c r="T2369" s="0" t="s">
        <v>222</v>
      </c>
      <c r="U2369" s="0" t="s">
        <v>138</v>
      </c>
      <c r="V2369" s="14" t="s">
        <v>138</v>
      </c>
      <c r="W2369" s="0" t="s">
        <v>138</v>
      </c>
      <c r="X2369" s="14" t="s">
        <v>138</v>
      </c>
      <c r="Y2369" s="0" t="s">
        <v>138</v>
      </c>
      <c r="Z2369" s="14" t="s">
        <v>138</v>
      </c>
      <c r="AA2369" s="0" t="s">
        <v>138</v>
      </c>
      <c r="AB2369" s="14" t="s">
        <v>138</v>
      </c>
      <c r="AD2369" s="0" t="s">
        <v>138</v>
      </c>
      <c r="AF2369" s="0">
        <v>0</v>
      </c>
      <c r="AG2369" s="0">
        <v>0</v>
      </c>
      <c r="AH2369" s="0" t="s">
        <v>140</v>
      </c>
      <c r="AI2369" s="0" t="s">
        <v>138</v>
      </c>
      <c r="AK2369" s="0" t="s">
        <v>2239</v>
      </c>
      <c r="AL2369" s="14"/>
      <c r="AN2369" s="14"/>
      <c r="AQ2369" s="0" t="s">
        <v>130</v>
      </c>
      <c r="AR2369" s="0" t="s">
        <v>130</v>
      </c>
      <c r="AS2369" s="0" t="s">
        <v>130</v>
      </c>
      <c r="AT2369" s="0" t="s">
        <v>130</v>
      </c>
      <c r="AU2369" s="0" t="s">
        <v>130</v>
      </c>
      <c r="AV2369" s="0" t="s">
        <v>141</v>
      </c>
      <c r="AW2369" s="0" t="s">
        <v>130</v>
      </c>
      <c r="AX2369" s="0" t="s">
        <v>130</v>
      </c>
      <c r="AY2369" s="0" t="s">
        <v>130</v>
      </c>
      <c r="AZ2369" s="0" t="s">
        <v>130</v>
      </c>
      <c r="BA2369" s="0" t="s">
        <v>130</v>
      </c>
      <c r="BB2369" s="0" t="s">
        <v>141</v>
      </c>
      <c r="BC2369" s="0" t="s">
        <v>130</v>
      </c>
      <c r="BD2369" s="0" t="s">
        <v>141</v>
      </c>
      <c r="BE2369" s="0" t="s">
        <v>141</v>
      </c>
      <c r="BF2369" s="0" t="s">
        <v>130</v>
      </c>
      <c r="BG2369" s="0" t="s">
        <v>130</v>
      </c>
      <c r="BH2369" s="0" t="s">
        <v>130</v>
      </c>
      <c r="BI2369" s="0" t="s">
        <v>130</v>
      </c>
      <c r="BJ2369" s="0" t="s">
        <v>130</v>
      </c>
      <c r="BK2369" s="0" t="s">
        <v>130</v>
      </c>
      <c r="BL2369" s="0" t="s">
        <v>130</v>
      </c>
      <c r="BM2369" s="0" t="s">
        <v>130</v>
      </c>
      <c r="BN2369" s="0" t="s">
        <v>130</v>
      </c>
      <c r="BO2369" s="0" t="s">
        <v>130</v>
      </c>
      <c r="BP2369" s="0" t="s">
        <v>130</v>
      </c>
      <c r="BQ2369" s="0" t="s">
        <v>130</v>
      </c>
      <c r="BR2369" s="0" t="s">
        <v>130</v>
      </c>
      <c r="BS2369" s="0" t="s">
        <v>130</v>
      </c>
      <c r="BT2369" s="0" t="s">
        <v>130</v>
      </c>
      <c r="BU2369" s="0" t="s">
        <v>130</v>
      </c>
      <c r="BV2369" s="0" t="s">
        <v>130</v>
      </c>
      <c r="BW2369" s="0" t="s">
        <v>130</v>
      </c>
      <c r="BX2369" s="0" t="s">
        <v>130</v>
      </c>
      <c r="BY2369" s="0" t="s">
        <v>130</v>
      </c>
      <c r="BZ2369" s="0" t="s">
        <v>130</v>
      </c>
      <c r="CA2369" s="0" t="s">
        <v>130</v>
      </c>
      <c r="CB2369" s="0" t="s">
        <v>130</v>
      </c>
      <c r="CC2369" s="0" t="s">
        <v>130</v>
      </c>
      <c r="CD2369" s="0" t="s">
        <v>130</v>
      </c>
      <c r="CE2369" s="0" t="s">
        <v>130</v>
      </c>
      <c r="CF2369" s="0" t="s">
        <v>130</v>
      </c>
      <c r="CG2369" s="0" t="s">
        <v>130</v>
      </c>
      <c r="CH2369" s="0" t="s">
        <v>130</v>
      </c>
      <c r="CI2369" s="0" t="s">
        <v>130</v>
      </c>
      <c r="CJ2369" s="0" t="s">
        <v>130</v>
      </c>
      <c r="CK2369" s="0" t="s">
        <v>130</v>
      </c>
      <c r="CL2369" s="0" t="s">
        <v>130</v>
      </c>
      <c r="CM2369" s="0" t="s">
        <v>130</v>
      </c>
      <c r="CN2369" s="0" t="s">
        <v>130</v>
      </c>
      <c r="CO2369" s="0" t="s">
        <v>130</v>
      </c>
      <c r="CP2369" s="0" t="s">
        <v>130</v>
      </c>
      <c r="CQ2369" s="0" t="s">
        <v>130</v>
      </c>
      <c r="CR2369" s="0" t="s">
        <v>130</v>
      </c>
      <c r="CS2369" s="0" t="s">
        <v>130</v>
      </c>
      <c r="CT2369" s="0" t="s">
        <v>6511</v>
      </c>
    </row>
    <row r="2370">
      <c r="A2370" s="14">
        <v>100614</v>
      </c>
      <c r="B2370" s="0" t="s">
        <v>902</v>
      </c>
      <c r="C2370" s="16">
        <f>HYPERLINK("https://eosportal.federatedhermes.com/companies/Q29tcGFueQppNjc3NDg=", "Freeport-McMoRan Inc")</f>
      </c>
      <c r="D2370" s="0" t="s">
        <v>25</v>
      </c>
      <c r="E2370" s="0" t="s">
        <v>574</v>
      </c>
      <c r="F2370" s="16">
        <f>HYPERLINK("https://eosportal.federatedhermes.com/engagements/RW5nYWdlbWVudAppMzM1MTI=", "Biodiversity")</f>
      </c>
      <c r="G2370" s="14" t="s">
        <v>6437</v>
      </c>
      <c r="H2370" s="0" t="s">
        <v>141</v>
      </c>
      <c r="I2370" s="14" t="s">
        <v>131</v>
      </c>
      <c r="J2370" s="0" t="s">
        <v>197</v>
      </c>
      <c r="K2370" s="0" t="s">
        <v>337</v>
      </c>
      <c r="L2370" s="0" t="s">
        <v>576</v>
      </c>
      <c r="M2370" s="0" t="s">
        <v>135</v>
      </c>
      <c r="N2370" s="0" t="s">
        <v>136</v>
      </c>
      <c r="O2370" s="0" t="s">
        <v>373</v>
      </c>
      <c r="Q2370" s="0" t="s">
        <v>130</v>
      </c>
      <c r="R2370" s="0" t="s">
        <v>138</v>
      </c>
      <c r="S2370" s="14">
        <v>0</v>
      </c>
      <c r="T2370" s="0" t="s">
        <v>222</v>
      </c>
      <c r="U2370" s="0" t="s">
        <v>138</v>
      </c>
      <c r="V2370" s="14" t="s">
        <v>138</v>
      </c>
      <c r="W2370" s="0" t="s">
        <v>138</v>
      </c>
      <c r="X2370" s="14" t="s">
        <v>138</v>
      </c>
      <c r="Y2370" s="0" t="s">
        <v>138</v>
      </c>
      <c r="Z2370" s="14" t="s">
        <v>138</v>
      </c>
      <c r="AA2370" s="0" t="s">
        <v>138</v>
      </c>
      <c r="AB2370" s="14" t="s">
        <v>138</v>
      </c>
      <c r="AD2370" s="0" t="s">
        <v>138</v>
      </c>
      <c r="AF2370" s="0">
        <v>0</v>
      </c>
      <c r="AG2370" s="0">
        <v>0</v>
      </c>
      <c r="AH2370" s="0" t="s">
        <v>140</v>
      </c>
      <c r="AI2370" s="0" t="s">
        <v>138</v>
      </c>
      <c r="AL2370" s="14"/>
      <c r="AN2370" s="14"/>
      <c r="AQ2370" s="0" t="s">
        <v>130</v>
      </c>
      <c r="AR2370" s="0" t="s">
        <v>130</v>
      </c>
      <c r="AS2370" s="0" t="s">
        <v>130</v>
      </c>
      <c r="AT2370" s="0" t="s">
        <v>130</v>
      </c>
      <c r="AU2370" s="0" t="s">
        <v>130</v>
      </c>
      <c r="AV2370" s="0" t="s">
        <v>141</v>
      </c>
      <c r="AW2370" s="0" t="s">
        <v>130</v>
      </c>
      <c r="AX2370" s="0" t="s">
        <v>130</v>
      </c>
      <c r="AY2370" s="0" t="s">
        <v>130</v>
      </c>
      <c r="AZ2370" s="0" t="s">
        <v>130</v>
      </c>
      <c r="BA2370" s="0" t="s">
        <v>130</v>
      </c>
      <c r="BB2370" s="0" t="s">
        <v>141</v>
      </c>
      <c r="BC2370" s="0" t="s">
        <v>130</v>
      </c>
      <c r="BD2370" s="0" t="s">
        <v>141</v>
      </c>
      <c r="BE2370" s="0" t="s">
        <v>141</v>
      </c>
      <c r="BF2370" s="0" t="s">
        <v>130</v>
      </c>
      <c r="BG2370" s="0" t="s">
        <v>130</v>
      </c>
      <c r="BH2370" s="0" t="s">
        <v>130</v>
      </c>
      <c r="BI2370" s="0" t="s">
        <v>130</v>
      </c>
      <c r="BJ2370" s="0" t="s">
        <v>130</v>
      </c>
      <c r="BK2370" s="0" t="s">
        <v>130</v>
      </c>
      <c r="BL2370" s="0" t="s">
        <v>130</v>
      </c>
      <c r="BM2370" s="0" t="s">
        <v>130</v>
      </c>
      <c r="BN2370" s="0" t="s">
        <v>130</v>
      </c>
      <c r="BO2370" s="0" t="s">
        <v>130</v>
      </c>
      <c r="BP2370" s="0" t="s">
        <v>130</v>
      </c>
      <c r="BQ2370" s="0" t="s">
        <v>130</v>
      </c>
      <c r="BR2370" s="0" t="s">
        <v>130</v>
      </c>
      <c r="BS2370" s="0" t="s">
        <v>130</v>
      </c>
      <c r="BT2370" s="0" t="s">
        <v>130</v>
      </c>
      <c r="BU2370" s="0" t="s">
        <v>130</v>
      </c>
      <c r="BV2370" s="0" t="s">
        <v>130</v>
      </c>
      <c r="BW2370" s="0" t="s">
        <v>130</v>
      </c>
      <c r="BX2370" s="0" t="s">
        <v>130</v>
      </c>
      <c r="BY2370" s="0" t="s">
        <v>130</v>
      </c>
      <c r="BZ2370" s="0" t="s">
        <v>130</v>
      </c>
      <c r="CA2370" s="0" t="s">
        <v>130</v>
      </c>
      <c r="CB2370" s="0" t="s">
        <v>130</v>
      </c>
      <c r="CC2370" s="0" t="s">
        <v>130</v>
      </c>
      <c r="CD2370" s="0" t="s">
        <v>130</v>
      </c>
      <c r="CE2370" s="0" t="s">
        <v>130</v>
      </c>
      <c r="CF2370" s="0" t="s">
        <v>130</v>
      </c>
      <c r="CG2370" s="0" t="s">
        <v>130</v>
      </c>
      <c r="CH2370" s="0" t="s">
        <v>130</v>
      </c>
      <c r="CI2370" s="0" t="s">
        <v>130</v>
      </c>
      <c r="CJ2370" s="0" t="s">
        <v>130</v>
      </c>
      <c r="CK2370" s="0" t="s">
        <v>130</v>
      </c>
      <c r="CL2370" s="0" t="s">
        <v>130</v>
      </c>
      <c r="CM2370" s="0" t="s">
        <v>130</v>
      </c>
      <c r="CN2370" s="0" t="s">
        <v>130</v>
      </c>
      <c r="CO2370" s="0" t="s">
        <v>130</v>
      </c>
      <c r="CP2370" s="0" t="s">
        <v>130</v>
      </c>
      <c r="CQ2370" s="0" t="s">
        <v>130</v>
      </c>
      <c r="CR2370" s="0" t="s">
        <v>130</v>
      </c>
      <c r="CS2370" s="0" t="s">
        <v>130</v>
      </c>
      <c r="CT2370" s="0" t="s">
        <v>6512</v>
      </c>
    </row>
    <row r="2371">
      <c r="A2371" s="14">
        <v>58121995</v>
      </c>
      <c r="B2371" s="0" t="s">
        <v>4629</v>
      </c>
      <c r="C2371" s="16">
        <f>HYPERLINK("https://eosportal.federatedhermes.com/companies/Q29tcGFueQppNzM3OTU=", "Nutrien Ltd")</f>
      </c>
      <c r="D2371" s="0" t="s">
        <v>25</v>
      </c>
      <c r="E2371" s="0" t="s">
        <v>6436</v>
      </c>
      <c r="F2371" s="16">
        <f>HYPERLINK("https://eosportal.federatedhermes.com/engagements/RW5nYWdlbWVudAppMzM1MTg=", "Nature Action 100")</f>
      </c>
      <c r="G2371" s="14" t="s">
        <v>6437</v>
      </c>
      <c r="H2371" s="0" t="s">
        <v>141</v>
      </c>
      <c r="I2371" s="14" t="s">
        <v>131</v>
      </c>
      <c r="J2371" s="0" t="s">
        <v>197</v>
      </c>
      <c r="K2371" s="0" t="s">
        <v>337</v>
      </c>
      <c r="L2371" s="0" t="s">
        <v>576</v>
      </c>
      <c r="M2371" s="0" t="s">
        <v>135</v>
      </c>
      <c r="N2371" s="0" t="s">
        <v>1678</v>
      </c>
      <c r="O2371" s="0" t="s">
        <v>706</v>
      </c>
      <c r="Q2371" s="0" t="s">
        <v>130</v>
      </c>
      <c r="R2371" s="0" t="s">
        <v>138</v>
      </c>
      <c r="S2371" s="14">
        <v>0</v>
      </c>
      <c r="T2371" s="0" t="s">
        <v>222</v>
      </c>
      <c r="U2371" s="0" t="s">
        <v>138</v>
      </c>
      <c r="V2371" s="14" t="s">
        <v>138</v>
      </c>
      <c r="W2371" s="0" t="s">
        <v>138</v>
      </c>
      <c r="X2371" s="14" t="s">
        <v>138</v>
      </c>
      <c r="Y2371" s="0" t="s">
        <v>138</v>
      </c>
      <c r="Z2371" s="14" t="s">
        <v>138</v>
      </c>
      <c r="AA2371" s="0" t="s">
        <v>138</v>
      </c>
      <c r="AB2371" s="14" t="s">
        <v>138</v>
      </c>
      <c r="AD2371" s="0" t="s">
        <v>138</v>
      </c>
      <c r="AF2371" s="0">
        <v>0</v>
      </c>
      <c r="AG2371" s="0">
        <v>0</v>
      </c>
      <c r="AH2371" s="0" t="s">
        <v>140</v>
      </c>
      <c r="AI2371" s="0" t="s">
        <v>138</v>
      </c>
      <c r="AL2371" s="14"/>
      <c r="AN2371" s="14"/>
      <c r="AQ2371" s="0" t="s">
        <v>130</v>
      </c>
      <c r="AR2371" s="0" t="s">
        <v>130</v>
      </c>
      <c r="AS2371" s="0" t="s">
        <v>130</v>
      </c>
      <c r="AT2371" s="0" t="s">
        <v>130</v>
      </c>
      <c r="AU2371" s="0" t="s">
        <v>130</v>
      </c>
      <c r="AV2371" s="0" t="s">
        <v>141</v>
      </c>
      <c r="AW2371" s="0" t="s">
        <v>130</v>
      </c>
      <c r="AX2371" s="0" t="s">
        <v>130</v>
      </c>
      <c r="AY2371" s="0" t="s">
        <v>130</v>
      </c>
      <c r="AZ2371" s="0" t="s">
        <v>130</v>
      </c>
      <c r="BA2371" s="0" t="s">
        <v>130</v>
      </c>
      <c r="BB2371" s="0" t="s">
        <v>141</v>
      </c>
      <c r="BC2371" s="0" t="s">
        <v>130</v>
      </c>
      <c r="BD2371" s="0" t="s">
        <v>141</v>
      </c>
      <c r="BE2371" s="0" t="s">
        <v>141</v>
      </c>
      <c r="BF2371" s="0" t="s">
        <v>130</v>
      </c>
      <c r="BG2371" s="0" t="s">
        <v>130</v>
      </c>
      <c r="BH2371" s="0" t="s">
        <v>130</v>
      </c>
      <c r="BI2371" s="0" t="s">
        <v>130</v>
      </c>
      <c r="BJ2371" s="0" t="s">
        <v>130</v>
      </c>
      <c r="BK2371" s="0" t="s">
        <v>130</v>
      </c>
      <c r="BL2371" s="0" t="s">
        <v>130</v>
      </c>
      <c r="BM2371" s="0" t="s">
        <v>130</v>
      </c>
      <c r="BN2371" s="0" t="s">
        <v>130</v>
      </c>
      <c r="BO2371" s="0" t="s">
        <v>130</v>
      </c>
      <c r="BP2371" s="0" t="s">
        <v>130</v>
      </c>
      <c r="BQ2371" s="0" t="s">
        <v>130</v>
      </c>
      <c r="BR2371" s="0" t="s">
        <v>130</v>
      </c>
      <c r="BS2371" s="0" t="s">
        <v>130</v>
      </c>
      <c r="BT2371" s="0" t="s">
        <v>130</v>
      </c>
      <c r="BU2371" s="0" t="s">
        <v>130</v>
      </c>
      <c r="BV2371" s="0" t="s">
        <v>130</v>
      </c>
      <c r="BW2371" s="0" t="s">
        <v>130</v>
      </c>
      <c r="BX2371" s="0" t="s">
        <v>130</v>
      </c>
      <c r="BY2371" s="0" t="s">
        <v>130</v>
      </c>
      <c r="BZ2371" s="0" t="s">
        <v>130</v>
      </c>
      <c r="CA2371" s="0" t="s">
        <v>130</v>
      </c>
      <c r="CB2371" s="0" t="s">
        <v>130</v>
      </c>
      <c r="CC2371" s="0" t="s">
        <v>130</v>
      </c>
      <c r="CD2371" s="0" t="s">
        <v>130</v>
      </c>
      <c r="CE2371" s="0" t="s">
        <v>130</v>
      </c>
      <c r="CF2371" s="0" t="s">
        <v>130</v>
      </c>
      <c r="CG2371" s="0" t="s">
        <v>130</v>
      </c>
      <c r="CH2371" s="0" t="s">
        <v>130</v>
      </c>
      <c r="CI2371" s="0" t="s">
        <v>130</v>
      </c>
      <c r="CJ2371" s="0" t="s">
        <v>130</v>
      </c>
      <c r="CK2371" s="0" t="s">
        <v>130</v>
      </c>
      <c r="CL2371" s="0" t="s">
        <v>130</v>
      </c>
      <c r="CM2371" s="0" t="s">
        <v>130</v>
      </c>
      <c r="CN2371" s="0" t="s">
        <v>130</v>
      </c>
      <c r="CO2371" s="0" t="s">
        <v>130</v>
      </c>
      <c r="CP2371" s="0" t="s">
        <v>130</v>
      </c>
      <c r="CQ2371" s="0" t="s">
        <v>130</v>
      </c>
      <c r="CR2371" s="0" t="s">
        <v>130</v>
      </c>
      <c r="CS2371" s="0" t="s">
        <v>130</v>
      </c>
      <c r="CT2371" s="0" t="s">
        <v>6513</v>
      </c>
    </row>
    <row r="2372">
      <c r="A2372" s="14">
        <v>199455</v>
      </c>
      <c r="B2372" s="0" t="s">
        <v>3318</v>
      </c>
      <c r="C2372" s="16">
        <f>HYPERLINK("https://eosportal.federatedhermes.com/companies/Q29tcGFueQppNzQwNTY=", "Glencore PLC")</f>
      </c>
      <c r="D2372" s="0" t="s">
        <v>25</v>
      </c>
      <c r="E2372" s="0" t="s">
        <v>574</v>
      </c>
      <c r="F2372" s="16">
        <f>HYPERLINK("https://eosportal.federatedhermes.com/engagements/RW5nYWdlbWVudAppMzM1MTk=", "Biodiversity")</f>
      </c>
      <c r="G2372" s="14" t="s">
        <v>6502</v>
      </c>
      <c r="H2372" s="0" t="s">
        <v>141</v>
      </c>
      <c r="I2372" s="14" t="s">
        <v>191</v>
      </c>
      <c r="J2372" s="0" t="s">
        <v>197</v>
      </c>
      <c r="K2372" s="0" t="s">
        <v>337</v>
      </c>
      <c r="L2372" s="0" t="s">
        <v>576</v>
      </c>
      <c r="M2372" s="0" t="s">
        <v>378</v>
      </c>
      <c r="N2372" s="0" t="s">
        <v>1059</v>
      </c>
      <c r="O2372" s="0" t="s">
        <v>373</v>
      </c>
      <c r="Q2372" s="0" t="s">
        <v>130</v>
      </c>
      <c r="R2372" s="0" t="s">
        <v>138</v>
      </c>
      <c r="S2372" s="14">
        <v>0</v>
      </c>
      <c r="T2372" s="0" t="s">
        <v>222</v>
      </c>
      <c r="U2372" s="0" t="s">
        <v>138</v>
      </c>
      <c r="V2372" s="14" t="s">
        <v>138</v>
      </c>
      <c r="W2372" s="0" t="s">
        <v>138</v>
      </c>
      <c r="X2372" s="14" t="s">
        <v>138</v>
      </c>
      <c r="Y2372" s="0" t="s">
        <v>138</v>
      </c>
      <c r="Z2372" s="14" t="s">
        <v>138</v>
      </c>
      <c r="AA2372" s="0" t="s">
        <v>138</v>
      </c>
      <c r="AB2372" s="14" t="s">
        <v>138</v>
      </c>
      <c r="AD2372" s="0" t="s">
        <v>138</v>
      </c>
      <c r="AF2372" s="0">
        <v>0</v>
      </c>
      <c r="AG2372" s="0">
        <v>0</v>
      </c>
      <c r="AH2372" s="0" t="s">
        <v>140</v>
      </c>
      <c r="AI2372" s="0" t="s">
        <v>138</v>
      </c>
      <c r="AL2372" s="14"/>
      <c r="AN2372" s="14"/>
      <c r="AQ2372" s="0" t="s">
        <v>130</v>
      </c>
      <c r="AR2372" s="0" t="s">
        <v>130</v>
      </c>
      <c r="AS2372" s="0" t="s">
        <v>130</v>
      </c>
      <c r="AT2372" s="0" t="s">
        <v>130</v>
      </c>
      <c r="AU2372" s="0" t="s">
        <v>130</v>
      </c>
      <c r="AV2372" s="0" t="s">
        <v>141</v>
      </c>
      <c r="AW2372" s="0" t="s">
        <v>130</v>
      </c>
      <c r="AX2372" s="0" t="s">
        <v>130</v>
      </c>
      <c r="AY2372" s="0" t="s">
        <v>130</v>
      </c>
      <c r="AZ2372" s="0" t="s">
        <v>130</v>
      </c>
      <c r="BA2372" s="0" t="s">
        <v>130</v>
      </c>
      <c r="BB2372" s="0" t="s">
        <v>141</v>
      </c>
      <c r="BC2372" s="0" t="s">
        <v>130</v>
      </c>
      <c r="BD2372" s="0" t="s">
        <v>141</v>
      </c>
      <c r="BE2372" s="0" t="s">
        <v>141</v>
      </c>
      <c r="BF2372" s="0" t="s">
        <v>130</v>
      </c>
      <c r="BG2372" s="0" t="s">
        <v>130</v>
      </c>
      <c r="BH2372" s="0" t="s">
        <v>130</v>
      </c>
      <c r="BI2372" s="0" t="s">
        <v>130</v>
      </c>
      <c r="BJ2372" s="0" t="s">
        <v>130</v>
      </c>
      <c r="BK2372" s="0" t="s">
        <v>130</v>
      </c>
      <c r="BL2372" s="0" t="s">
        <v>130</v>
      </c>
      <c r="BM2372" s="0" t="s">
        <v>130</v>
      </c>
      <c r="BN2372" s="0" t="s">
        <v>130</v>
      </c>
      <c r="BO2372" s="0" t="s">
        <v>130</v>
      </c>
      <c r="BP2372" s="0" t="s">
        <v>130</v>
      </c>
      <c r="BQ2372" s="0" t="s">
        <v>130</v>
      </c>
      <c r="BR2372" s="0" t="s">
        <v>130</v>
      </c>
      <c r="BS2372" s="0" t="s">
        <v>130</v>
      </c>
      <c r="BT2372" s="0" t="s">
        <v>130</v>
      </c>
      <c r="BU2372" s="0" t="s">
        <v>130</v>
      </c>
      <c r="BV2372" s="0" t="s">
        <v>130</v>
      </c>
      <c r="BW2372" s="0" t="s">
        <v>130</v>
      </c>
      <c r="BX2372" s="0" t="s">
        <v>130</v>
      </c>
      <c r="BY2372" s="0" t="s">
        <v>130</v>
      </c>
      <c r="BZ2372" s="0" t="s">
        <v>130</v>
      </c>
      <c r="CA2372" s="0" t="s">
        <v>130</v>
      </c>
      <c r="CB2372" s="0" t="s">
        <v>130</v>
      </c>
      <c r="CC2372" s="0" t="s">
        <v>130</v>
      </c>
      <c r="CD2372" s="0" t="s">
        <v>130</v>
      </c>
      <c r="CE2372" s="0" t="s">
        <v>130</v>
      </c>
      <c r="CF2372" s="0" t="s">
        <v>130</v>
      </c>
      <c r="CG2372" s="0" t="s">
        <v>130</v>
      </c>
      <c r="CH2372" s="0" t="s">
        <v>130</v>
      </c>
      <c r="CI2372" s="0" t="s">
        <v>130</v>
      </c>
      <c r="CJ2372" s="0" t="s">
        <v>130</v>
      </c>
      <c r="CK2372" s="0" t="s">
        <v>130</v>
      </c>
      <c r="CL2372" s="0" t="s">
        <v>130</v>
      </c>
      <c r="CM2372" s="0" t="s">
        <v>130</v>
      </c>
      <c r="CN2372" s="0" t="s">
        <v>130</v>
      </c>
      <c r="CO2372" s="0" t="s">
        <v>130</v>
      </c>
      <c r="CP2372" s="0" t="s">
        <v>130</v>
      </c>
      <c r="CQ2372" s="0" t="s">
        <v>130</v>
      </c>
      <c r="CR2372" s="0" t="s">
        <v>130</v>
      </c>
      <c r="CS2372" s="0" t="s">
        <v>130</v>
      </c>
      <c r="CT2372" s="0" t="s">
        <v>6514</v>
      </c>
    </row>
    <row r="2373">
      <c r="A2373" s="14">
        <v>12429623</v>
      </c>
      <c r="B2373" s="0" t="s">
        <v>6515</v>
      </c>
      <c r="C2373" s="16">
        <f>HYPERLINK("https://eosportal.federatedhermes.com/companies/Q29tcGFueQppNzU0ODE=", "MSCI Inc")</f>
      </c>
      <c r="D2373" s="0" t="s">
        <v>25</v>
      </c>
      <c r="E2373" s="0" t="s">
        <v>2999</v>
      </c>
      <c r="F2373" s="16">
        <f>HYPERLINK("https://eosportal.federatedhermes.com/engagements/RW5nYWdlbWVudAppMzM1MjE=", "Shareholder rights")</f>
      </c>
      <c r="G2373" s="14" t="s">
        <v>6516</v>
      </c>
      <c r="H2373" s="0" t="s">
        <v>130</v>
      </c>
      <c r="I2373" s="14" t="s">
        <v>319</v>
      </c>
      <c r="J2373" s="0" t="s">
        <v>145</v>
      </c>
      <c r="K2373" s="0" t="s">
        <v>400</v>
      </c>
      <c r="L2373" s="0" t="s">
        <v>401</v>
      </c>
      <c r="M2373" s="0" t="s">
        <v>135</v>
      </c>
      <c r="N2373" s="0" t="s">
        <v>136</v>
      </c>
      <c r="O2373" s="0" t="s">
        <v>238</v>
      </c>
      <c r="Q2373" s="0" t="s">
        <v>130</v>
      </c>
      <c r="R2373" s="0" t="s">
        <v>138</v>
      </c>
      <c r="S2373" s="14">
        <v>0</v>
      </c>
      <c r="T2373" s="0" t="s">
        <v>478</v>
      </c>
      <c r="U2373" s="0" t="s">
        <v>138</v>
      </c>
      <c r="V2373" s="14" t="s">
        <v>138</v>
      </c>
      <c r="W2373" s="0" t="s">
        <v>138</v>
      </c>
      <c r="X2373" s="14" t="s">
        <v>138</v>
      </c>
      <c r="Y2373" s="0" t="s">
        <v>138</v>
      </c>
      <c r="Z2373" s="14" t="s">
        <v>138</v>
      </c>
      <c r="AA2373" s="0" t="s">
        <v>138</v>
      </c>
      <c r="AB2373" s="14" t="s">
        <v>138</v>
      </c>
      <c r="AD2373" s="0" t="s">
        <v>138</v>
      </c>
      <c r="AF2373" s="0">
        <v>0</v>
      </c>
      <c r="AG2373" s="0">
        <v>0</v>
      </c>
      <c r="AH2373" s="0" t="s">
        <v>140</v>
      </c>
      <c r="AI2373" s="0" t="s">
        <v>138</v>
      </c>
      <c r="AL2373" s="14"/>
      <c r="AN2373" s="14"/>
      <c r="AQ2373" s="0" t="s">
        <v>130</v>
      </c>
      <c r="AR2373" s="0" t="s">
        <v>130</v>
      </c>
      <c r="AS2373" s="0" t="s">
        <v>130</v>
      </c>
      <c r="AT2373" s="0" t="s">
        <v>130</v>
      </c>
      <c r="AU2373" s="0" t="s">
        <v>130</v>
      </c>
      <c r="AV2373" s="0" t="s">
        <v>130</v>
      </c>
      <c r="AW2373" s="0" t="s">
        <v>130</v>
      </c>
      <c r="AX2373" s="0" t="s">
        <v>130</v>
      </c>
      <c r="AY2373" s="0" t="s">
        <v>130</v>
      </c>
      <c r="AZ2373" s="0" t="s">
        <v>130</v>
      </c>
      <c r="BA2373" s="0" t="s">
        <v>130</v>
      </c>
      <c r="BB2373" s="0" t="s">
        <v>130</v>
      </c>
      <c r="BC2373" s="0" t="s">
        <v>130</v>
      </c>
      <c r="BD2373" s="0" t="s">
        <v>130</v>
      </c>
      <c r="BE2373" s="0" t="s">
        <v>130</v>
      </c>
      <c r="BF2373" s="0" t="s">
        <v>130</v>
      </c>
      <c r="BG2373" s="0" t="s">
        <v>130</v>
      </c>
      <c r="BH2373" s="0" t="s">
        <v>130</v>
      </c>
      <c r="BI2373" s="0" t="s">
        <v>130</v>
      </c>
      <c r="BJ2373" s="0" t="s">
        <v>130</v>
      </c>
      <c r="BK2373" s="0" t="s">
        <v>130</v>
      </c>
      <c r="BL2373" s="0" t="s">
        <v>130</v>
      </c>
      <c r="BM2373" s="0" t="s">
        <v>130</v>
      </c>
      <c r="BN2373" s="0" t="s">
        <v>130</v>
      </c>
      <c r="BO2373" s="0" t="s">
        <v>130</v>
      </c>
      <c r="BP2373" s="0" t="s">
        <v>130</v>
      </c>
      <c r="BQ2373" s="0" t="s">
        <v>130</v>
      </c>
      <c r="BR2373" s="0" t="s">
        <v>130</v>
      </c>
      <c r="BS2373" s="0" t="s">
        <v>130</v>
      </c>
      <c r="BT2373" s="0" t="s">
        <v>130</v>
      </c>
      <c r="BU2373" s="0" t="s">
        <v>130</v>
      </c>
      <c r="BV2373" s="0" t="s">
        <v>130</v>
      </c>
      <c r="BW2373" s="0" t="s">
        <v>130</v>
      </c>
      <c r="BX2373" s="0" t="s">
        <v>130</v>
      </c>
      <c r="BY2373" s="0" t="s">
        <v>130</v>
      </c>
      <c r="BZ2373" s="0" t="s">
        <v>130</v>
      </c>
      <c r="CA2373" s="0" t="s">
        <v>130</v>
      </c>
      <c r="CB2373" s="0" t="s">
        <v>130</v>
      </c>
      <c r="CC2373" s="0" t="s">
        <v>130</v>
      </c>
      <c r="CD2373" s="0" t="s">
        <v>130</v>
      </c>
      <c r="CE2373" s="0" t="s">
        <v>130</v>
      </c>
      <c r="CF2373" s="0" t="s">
        <v>130</v>
      </c>
      <c r="CG2373" s="0" t="s">
        <v>130</v>
      </c>
      <c r="CH2373" s="0" t="s">
        <v>130</v>
      </c>
      <c r="CI2373" s="0" t="s">
        <v>130</v>
      </c>
      <c r="CJ2373" s="0" t="s">
        <v>130</v>
      </c>
      <c r="CK2373" s="0" t="s">
        <v>130</v>
      </c>
      <c r="CL2373" s="0" t="s">
        <v>130</v>
      </c>
      <c r="CM2373" s="0" t="s">
        <v>130</v>
      </c>
      <c r="CN2373" s="0" t="s">
        <v>130</v>
      </c>
      <c r="CO2373" s="0" t="s">
        <v>130</v>
      </c>
      <c r="CP2373" s="0" t="s">
        <v>130</v>
      </c>
      <c r="CQ2373" s="0" t="s">
        <v>130</v>
      </c>
      <c r="CR2373" s="0" t="s">
        <v>130</v>
      </c>
      <c r="CS2373" s="0" t="s">
        <v>130</v>
      </c>
      <c r="CT2373" s="0" t="s">
        <v>6517</v>
      </c>
    </row>
    <row r="2374">
      <c r="A2374" s="14">
        <v>101341</v>
      </c>
      <c r="B2374" s="0" t="s">
        <v>1478</v>
      </c>
      <c r="C2374" s="16">
        <f>HYPERLINK("https://eosportal.federatedhermes.com/companies/Q29tcGFueQppNzU2ODE=", "Sherwin-Williams Co/The")</f>
      </c>
      <c r="D2374" s="0" t="s">
        <v>25</v>
      </c>
      <c r="E2374" s="0" t="s">
        <v>574</v>
      </c>
      <c r="F2374" s="16">
        <f>HYPERLINK("https://eosportal.federatedhermes.com/engagements/RW5nYWdlbWVudAppMzM1MjI=", "Biodiversity")</f>
      </c>
      <c r="G2374" s="14" t="s">
        <v>6437</v>
      </c>
      <c r="H2374" s="0" t="s">
        <v>130</v>
      </c>
      <c r="I2374" s="14" t="s">
        <v>319</v>
      </c>
      <c r="J2374" s="0" t="s">
        <v>197</v>
      </c>
      <c r="K2374" s="0" t="s">
        <v>337</v>
      </c>
      <c r="L2374" s="0" t="s">
        <v>576</v>
      </c>
      <c r="M2374" s="0" t="s">
        <v>135</v>
      </c>
      <c r="N2374" s="0" t="s">
        <v>136</v>
      </c>
      <c r="O2374" s="0" t="s">
        <v>706</v>
      </c>
      <c r="Q2374" s="0" t="s">
        <v>130</v>
      </c>
      <c r="R2374" s="0" t="s">
        <v>138</v>
      </c>
      <c r="S2374" s="14">
        <v>0</v>
      </c>
      <c r="T2374" s="0" t="s">
        <v>222</v>
      </c>
      <c r="U2374" s="0" t="s">
        <v>138</v>
      </c>
      <c r="V2374" s="14" t="s">
        <v>138</v>
      </c>
      <c r="W2374" s="0" t="s">
        <v>138</v>
      </c>
      <c r="X2374" s="14" t="s">
        <v>138</v>
      </c>
      <c r="Y2374" s="0" t="s">
        <v>138</v>
      </c>
      <c r="Z2374" s="14" t="s">
        <v>138</v>
      </c>
      <c r="AA2374" s="0" t="s">
        <v>138</v>
      </c>
      <c r="AB2374" s="14" t="s">
        <v>138</v>
      </c>
      <c r="AD2374" s="0" t="s">
        <v>138</v>
      </c>
      <c r="AF2374" s="0">
        <v>0</v>
      </c>
      <c r="AG2374" s="0">
        <v>0</v>
      </c>
      <c r="AH2374" s="0" t="s">
        <v>140</v>
      </c>
      <c r="AI2374" s="0" t="s">
        <v>138</v>
      </c>
      <c r="AL2374" s="14"/>
      <c r="AN2374" s="14"/>
      <c r="AQ2374" s="0" t="s">
        <v>130</v>
      </c>
      <c r="AR2374" s="0" t="s">
        <v>130</v>
      </c>
      <c r="AS2374" s="0" t="s">
        <v>130</v>
      </c>
      <c r="AT2374" s="0" t="s">
        <v>130</v>
      </c>
      <c r="AU2374" s="0" t="s">
        <v>130</v>
      </c>
      <c r="AV2374" s="0" t="s">
        <v>141</v>
      </c>
      <c r="AW2374" s="0" t="s">
        <v>130</v>
      </c>
      <c r="AX2374" s="0" t="s">
        <v>130</v>
      </c>
      <c r="AY2374" s="0" t="s">
        <v>130</v>
      </c>
      <c r="AZ2374" s="0" t="s">
        <v>130</v>
      </c>
      <c r="BA2374" s="0" t="s">
        <v>130</v>
      </c>
      <c r="BB2374" s="0" t="s">
        <v>141</v>
      </c>
      <c r="BC2374" s="0" t="s">
        <v>130</v>
      </c>
      <c r="BD2374" s="0" t="s">
        <v>141</v>
      </c>
      <c r="BE2374" s="0" t="s">
        <v>141</v>
      </c>
      <c r="BF2374" s="0" t="s">
        <v>130</v>
      </c>
      <c r="BG2374" s="0" t="s">
        <v>130</v>
      </c>
      <c r="BH2374" s="0" t="s">
        <v>130</v>
      </c>
      <c r="BI2374" s="0" t="s">
        <v>130</v>
      </c>
      <c r="BJ2374" s="0" t="s">
        <v>130</v>
      </c>
      <c r="BK2374" s="0" t="s">
        <v>130</v>
      </c>
      <c r="BL2374" s="0" t="s">
        <v>130</v>
      </c>
      <c r="BM2374" s="0" t="s">
        <v>130</v>
      </c>
      <c r="BN2374" s="0" t="s">
        <v>130</v>
      </c>
      <c r="BO2374" s="0" t="s">
        <v>130</v>
      </c>
      <c r="BP2374" s="0" t="s">
        <v>130</v>
      </c>
      <c r="BQ2374" s="0" t="s">
        <v>130</v>
      </c>
      <c r="BR2374" s="0" t="s">
        <v>130</v>
      </c>
      <c r="BS2374" s="0" t="s">
        <v>130</v>
      </c>
      <c r="BT2374" s="0" t="s">
        <v>130</v>
      </c>
      <c r="BU2374" s="0" t="s">
        <v>130</v>
      </c>
      <c r="BV2374" s="0" t="s">
        <v>130</v>
      </c>
      <c r="BW2374" s="0" t="s">
        <v>130</v>
      </c>
      <c r="BX2374" s="0" t="s">
        <v>130</v>
      </c>
      <c r="BY2374" s="0" t="s">
        <v>130</v>
      </c>
      <c r="BZ2374" s="0" t="s">
        <v>130</v>
      </c>
      <c r="CA2374" s="0" t="s">
        <v>130</v>
      </c>
      <c r="CB2374" s="0" t="s">
        <v>130</v>
      </c>
      <c r="CC2374" s="0" t="s">
        <v>130</v>
      </c>
      <c r="CD2374" s="0" t="s">
        <v>130</v>
      </c>
      <c r="CE2374" s="0" t="s">
        <v>130</v>
      </c>
      <c r="CF2374" s="0" t="s">
        <v>130</v>
      </c>
      <c r="CG2374" s="0" t="s">
        <v>130</v>
      </c>
      <c r="CH2374" s="0" t="s">
        <v>130</v>
      </c>
      <c r="CI2374" s="0" t="s">
        <v>130</v>
      </c>
      <c r="CJ2374" s="0" t="s">
        <v>130</v>
      </c>
      <c r="CK2374" s="0" t="s">
        <v>130</v>
      </c>
      <c r="CL2374" s="0" t="s">
        <v>130</v>
      </c>
      <c r="CM2374" s="0" t="s">
        <v>130</v>
      </c>
      <c r="CN2374" s="0" t="s">
        <v>130</v>
      </c>
      <c r="CO2374" s="0" t="s">
        <v>130</v>
      </c>
      <c r="CP2374" s="0" t="s">
        <v>130</v>
      </c>
      <c r="CQ2374" s="0" t="s">
        <v>130</v>
      </c>
      <c r="CR2374" s="0" t="s">
        <v>130</v>
      </c>
      <c r="CS2374" s="0" t="s">
        <v>130</v>
      </c>
      <c r="CT2374" s="0" t="s">
        <v>6518</v>
      </c>
    </row>
    <row r="2375">
      <c r="A2375" s="14">
        <v>180580</v>
      </c>
      <c r="B2375" s="0" t="s">
        <v>3186</v>
      </c>
      <c r="C2375" s="16">
        <f>HYPERLINK("https://eosportal.federatedhermes.com/companies/Q29tcGFueQppNzYyOTM=", "Novartis AG")</f>
      </c>
      <c r="D2375" s="0" t="s">
        <v>25</v>
      </c>
      <c r="E2375" s="0" t="s">
        <v>1352</v>
      </c>
      <c r="F2375" s="16">
        <f>HYPERLINK("https://eosportal.federatedhermes.com/engagements/RW5nYWdlbWVudAppMzM1MjU=", "Animal Testing")</f>
      </c>
      <c r="G2375" s="14" t="s">
        <v>6483</v>
      </c>
      <c r="H2375" s="0" t="s">
        <v>141</v>
      </c>
      <c r="I2375" s="14" t="s">
        <v>636</v>
      </c>
      <c r="J2375" s="0" t="s">
        <v>197</v>
      </c>
      <c r="K2375" s="0" t="s">
        <v>337</v>
      </c>
      <c r="L2375" s="0" t="s">
        <v>576</v>
      </c>
      <c r="M2375" s="0" t="s">
        <v>378</v>
      </c>
      <c r="N2375" s="0" t="s">
        <v>1059</v>
      </c>
      <c r="O2375" s="0" t="s">
        <v>274</v>
      </c>
      <c r="Q2375" s="0" t="s">
        <v>130</v>
      </c>
      <c r="R2375" s="0" t="s">
        <v>138</v>
      </c>
      <c r="S2375" s="14">
        <v>0</v>
      </c>
      <c r="T2375" s="0" t="s">
        <v>360</v>
      </c>
      <c r="U2375" s="0" t="s">
        <v>138</v>
      </c>
      <c r="V2375" s="14" t="s">
        <v>138</v>
      </c>
      <c r="W2375" s="0" t="s">
        <v>138</v>
      </c>
      <c r="X2375" s="14" t="s">
        <v>138</v>
      </c>
      <c r="Y2375" s="0" t="s">
        <v>138</v>
      </c>
      <c r="Z2375" s="14" t="s">
        <v>138</v>
      </c>
      <c r="AA2375" s="0" t="s">
        <v>138</v>
      </c>
      <c r="AB2375" s="14" t="s">
        <v>138</v>
      </c>
      <c r="AD2375" s="0" t="s">
        <v>138</v>
      </c>
      <c r="AF2375" s="0">
        <v>0</v>
      </c>
      <c r="AG2375" s="0">
        <v>0</v>
      </c>
      <c r="AH2375" s="0" t="s">
        <v>140</v>
      </c>
      <c r="AI2375" s="0" t="s">
        <v>138</v>
      </c>
      <c r="AL2375" s="14"/>
      <c r="AN2375" s="14"/>
      <c r="AQ2375" s="0" t="s">
        <v>130</v>
      </c>
      <c r="AR2375" s="0" t="s">
        <v>130</v>
      </c>
      <c r="AS2375" s="0" t="s">
        <v>130</v>
      </c>
      <c r="AT2375" s="0" t="s">
        <v>130</v>
      </c>
      <c r="AU2375" s="0" t="s">
        <v>130</v>
      </c>
      <c r="AV2375" s="0" t="s">
        <v>130</v>
      </c>
      <c r="AW2375" s="0" t="s">
        <v>130</v>
      </c>
      <c r="AX2375" s="0" t="s">
        <v>130</v>
      </c>
      <c r="AY2375" s="0" t="s">
        <v>130</v>
      </c>
      <c r="AZ2375" s="0" t="s">
        <v>130</v>
      </c>
      <c r="BA2375" s="0" t="s">
        <v>130</v>
      </c>
      <c r="BB2375" s="0" t="s">
        <v>141</v>
      </c>
      <c r="BC2375" s="0" t="s">
        <v>130</v>
      </c>
      <c r="BD2375" s="0" t="s">
        <v>130</v>
      </c>
      <c r="BE2375" s="0" t="s">
        <v>141</v>
      </c>
      <c r="BF2375" s="0" t="s">
        <v>130</v>
      </c>
      <c r="BG2375" s="0" t="s">
        <v>130</v>
      </c>
      <c r="BH2375" s="0" t="s">
        <v>130</v>
      </c>
      <c r="BI2375" s="0" t="s">
        <v>130</v>
      </c>
      <c r="BJ2375" s="0" t="s">
        <v>130</v>
      </c>
      <c r="BK2375" s="0" t="s">
        <v>130</v>
      </c>
      <c r="BL2375" s="0" t="s">
        <v>130</v>
      </c>
      <c r="BM2375" s="0" t="s">
        <v>130</v>
      </c>
      <c r="BN2375" s="0" t="s">
        <v>130</v>
      </c>
      <c r="BO2375" s="0" t="s">
        <v>130</v>
      </c>
      <c r="BP2375" s="0" t="s">
        <v>130</v>
      </c>
      <c r="BQ2375" s="0" t="s">
        <v>130</v>
      </c>
      <c r="BR2375" s="0" t="s">
        <v>130</v>
      </c>
      <c r="BS2375" s="0" t="s">
        <v>130</v>
      </c>
      <c r="BT2375" s="0" t="s">
        <v>130</v>
      </c>
      <c r="BU2375" s="0" t="s">
        <v>130</v>
      </c>
      <c r="BV2375" s="0" t="s">
        <v>130</v>
      </c>
      <c r="BW2375" s="0" t="s">
        <v>130</v>
      </c>
      <c r="BX2375" s="0" t="s">
        <v>130</v>
      </c>
      <c r="BY2375" s="0" t="s">
        <v>130</v>
      </c>
      <c r="BZ2375" s="0" t="s">
        <v>130</v>
      </c>
      <c r="CA2375" s="0" t="s">
        <v>130</v>
      </c>
      <c r="CB2375" s="0" t="s">
        <v>130</v>
      </c>
      <c r="CC2375" s="0" t="s">
        <v>130</v>
      </c>
      <c r="CD2375" s="0" t="s">
        <v>130</v>
      </c>
      <c r="CE2375" s="0" t="s">
        <v>130</v>
      </c>
      <c r="CF2375" s="0" t="s">
        <v>130</v>
      </c>
      <c r="CG2375" s="0" t="s">
        <v>130</v>
      </c>
      <c r="CH2375" s="0" t="s">
        <v>130</v>
      </c>
      <c r="CI2375" s="0" t="s">
        <v>130</v>
      </c>
      <c r="CJ2375" s="0" t="s">
        <v>130</v>
      </c>
      <c r="CK2375" s="0" t="s">
        <v>130</v>
      </c>
      <c r="CL2375" s="0" t="s">
        <v>130</v>
      </c>
      <c r="CM2375" s="0" t="s">
        <v>130</v>
      </c>
      <c r="CN2375" s="0" t="s">
        <v>130</v>
      </c>
      <c r="CO2375" s="0" t="s">
        <v>130</v>
      </c>
      <c r="CP2375" s="0" t="s">
        <v>130</v>
      </c>
      <c r="CQ2375" s="0" t="s">
        <v>130</v>
      </c>
      <c r="CR2375" s="0" t="s">
        <v>130</v>
      </c>
      <c r="CS2375" s="0" t="s">
        <v>130</v>
      </c>
      <c r="CT2375" s="0" t="s">
        <v>6519</v>
      </c>
    </row>
    <row r="2376">
      <c r="A2376" s="14">
        <v>101779</v>
      </c>
      <c r="B2376" s="0" t="s">
        <v>2006</v>
      </c>
      <c r="C2376" s="16">
        <f>HYPERLINK("https://eosportal.federatedhermes.com/companies/Q29tcGFueQppODE1NDU=", "Tyson Foods Inc")</f>
      </c>
      <c r="D2376" s="0" t="s">
        <v>25</v>
      </c>
      <c r="E2376" s="0" t="s">
        <v>574</v>
      </c>
      <c r="F2376" s="16">
        <f>HYPERLINK("https://eosportal.federatedhermes.com/engagements/RW5nYWdlbWVudAppMzM1MzI=", "Biodiversity")</f>
      </c>
      <c r="G2376" s="14" t="s">
        <v>6437</v>
      </c>
      <c r="H2376" s="0" t="s">
        <v>141</v>
      </c>
      <c r="I2376" s="14" t="s">
        <v>131</v>
      </c>
      <c r="J2376" s="0" t="s">
        <v>197</v>
      </c>
      <c r="K2376" s="0" t="s">
        <v>337</v>
      </c>
      <c r="L2376" s="0" t="s">
        <v>576</v>
      </c>
      <c r="M2376" s="0" t="s">
        <v>135</v>
      </c>
      <c r="N2376" s="0" t="s">
        <v>136</v>
      </c>
      <c r="O2376" s="0" t="s">
        <v>332</v>
      </c>
      <c r="Q2376" s="0" t="s">
        <v>130</v>
      </c>
      <c r="R2376" s="0" t="s">
        <v>138</v>
      </c>
      <c r="S2376" s="14">
        <v>0</v>
      </c>
      <c r="T2376" s="0" t="s">
        <v>222</v>
      </c>
      <c r="U2376" s="0" t="s">
        <v>138</v>
      </c>
      <c r="V2376" s="14" t="s">
        <v>138</v>
      </c>
      <c r="W2376" s="0" t="s">
        <v>138</v>
      </c>
      <c r="X2376" s="14" t="s">
        <v>138</v>
      </c>
      <c r="Y2376" s="0" t="s">
        <v>138</v>
      </c>
      <c r="Z2376" s="14" t="s">
        <v>138</v>
      </c>
      <c r="AA2376" s="0" t="s">
        <v>138</v>
      </c>
      <c r="AB2376" s="14" t="s">
        <v>138</v>
      </c>
      <c r="AD2376" s="0" t="s">
        <v>138</v>
      </c>
      <c r="AF2376" s="0">
        <v>0</v>
      </c>
      <c r="AG2376" s="0">
        <v>0</v>
      </c>
      <c r="AH2376" s="0" t="s">
        <v>140</v>
      </c>
      <c r="AI2376" s="0" t="s">
        <v>138</v>
      </c>
      <c r="AL2376" s="14"/>
      <c r="AN2376" s="14"/>
      <c r="AQ2376" s="0" t="s">
        <v>130</v>
      </c>
      <c r="AR2376" s="0" t="s">
        <v>130</v>
      </c>
      <c r="AS2376" s="0" t="s">
        <v>130</v>
      </c>
      <c r="AT2376" s="0" t="s">
        <v>130</v>
      </c>
      <c r="AU2376" s="0" t="s">
        <v>130</v>
      </c>
      <c r="AV2376" s="0" t="s">
        <v>141</v>
      </c>
      <c r="AW2376" s="0" t="s">
        <v>130</v>
      </c>
      <c r="AX2376" s="0" t="s">
        <v>130</v>
      </c>
      <c r="AY2376" s="0" t="s">
        <v>130</v>
      </c>
      <c r="AZ2376" s="0" t="s">
        <v>130</v>
      </c>
      <c r="BA2376" s="0" t="s">
        <v>130</v>
      </c>
      <c r="BB2376" s="0" t="s">
        <v>141</v>
      </c>
      <c r="BC2376" s="0" t="s">
        <v>130</v>
      </c>
      <c r="BD2376" s="0" t="s">
        <v>141</v>
      </c>
      <c r="BE2376" s="0" t="s">
        <v>141</v>
      </c>
      <c r="BF2376" s="0" t="s">
        <v>130</v>
      </c>
      <c r="BG2376" s="0" t="s">
        <v>130</v>
      </c>
      <c r="BH2376" s="0" t="s">
        <v>130</v>
      </c>
      <c r="BI2376" s="0" t="s">
        <v>130</v>
      </c>
      <c r="BJ2376" s="0" t="s">
        <v>130</v>
      </c>
      <c r="BK2376" s="0" t="s">
        <v>130</v>
      </c>
      <c r="BL2376" s="0" t="s">
        <v>130</v>
      </c>
      <c r="BM2376" s="0" t="s">
        <v>130</v>
      </c>
      <c r="BN2376" s="0" t="s">
        <v>130</v>
      </c>
      <c r="BO2376" s="0" t="s">
        <v>130</v>
      </c>
      <c r="BP2376" s="0" t="s">
        <v>130</v>
      </c>
      <c r="BQ2376" s="0" t="s">
        <v>130</v>
      </c>
      <c r="BR2376" s="0" t="s">
        <v>130</v>
      </c>
      <c r="BS2376" s="0" t="s">
        <v>130</v>
      </c>
      <c r="BT2376" s="0" t="s">
        <v>130</v>
      </c>
      <c r="BU2376" s="0" t="s">
        <v>130</v>
      </c>
      <c r="BV2376" s="0" t="s">
        <v>130</v>
      </c>
      <c r="BW2376" s="0" t="s">
        <v>130</v>
      </c>
      <c r="BX2376" s="0" t="s">
        <v>130</v>
      </c>
      <c r="BY2376" s="0" t="s">
        <v>130</v>
      </c>
      <c r="BZ2376" s="0" t="s">
        <v>130</v>
      </c>
      <c r="CA2376" s="0" t="s">
        <v>130</v>
      </c>
      <c r="CB2376" s="0" t="s">
        <v>130</v>
      </c>
      <c r="CC2376" s="0" t="s">
        <v>130</v>
      </c>
      <c r="CD2376" s="0" t="s">
        <v>130</v>
      </c>
      <c r="CE2376" s="0" t="s">
        <v>130</v>
      </c>
      <c r="CF2376" s="0" t="s">
        <v>130</v>
      </c>
      <c r="CG2376" s="0" t="s">
        <v>130</v>
      </c>
      <c r="CH2376" s="0" t="s">
        <v>130</v>
      </c>
      <c r="CI2376" s="0" t="s">
        <v>130</v>
      </c>
      <c r="CJ2376" s="0" t="s">
        <v>130</v>
      </c>
      <c r="CK2376" s="0" t="s">
        <v>130</v>
      </c>
      <c r="CL2376" s="0" t="s">
        <v>130</v>
      </c>
      <c r="CM2376" s="0" t="s">
        <v>130</v>
      </c>
      <c r="CN2376" s="0" t="s">
        <v>130</v>
      </c>
      <c r="CO2376" s="0" t="s">
        <v>130</v>
      </c>
      <c r="CP2376" s="0" t="s">
        <v>130</v>
      </c>
      <c r="CQ2376" s="0" t="s">
        <v>130</v>
      </c>
      <c r="CR2376" s="0" t="s">
        <v>130</v>
      </c>
      <c r="CS2376" s="0" t="s">
        <v>130</v>
      </c>
      <c r="CT2376" s="0" t="s">
        <v>6520</v>
      </c>
    </row>
    <row r="2377">
      <c r="A2377" s="14">
        <v>100864</v>
      </c>
      <c r="B2377" s="0" t="s">
        <v>1103</v>
      </c>
      <c r="C2377" s="16">
        <f>HYPERLINK("https://eosportal.federatedhermes.com/companies/Q29tcGFueQppODI1MDM=", "Kroger Co/The")</f>
      </c>
      <c r="D2377" s="0" t="s">
        <v>25</v>
      </c>
      <c r="E2377" s="0" t="s">
        <v>574</v>
      </c>
      <c r="F2377" s="16">
        <f>HYPERLINK("https://eosportal.federatedhermes.com/engagements/RW5nYWdlbWVudAppMzM1MzQ=", "Biodiversity")</f>
      </c>
      <c r="G2377" s="14" t="s">
        <v>6437</v>
      </c>
      <c r="H2377" s="0" t="s">
        <v>130</v>
      </c>
      <c r="I2377" s="14" t="s">
        <v>131</v>
      </c>
      <c r="J2377" s="0" t="s">
        <v>197</v>
      </c>
      <c r="K2377" s="0" t="s">
        <v>337</v>
      </c>
      <c r="L2377" s="0" t="s">
        <v>576</v>
      </c>
      <c r="M2377" s="0" t="s">
        <v>135</v>
      </c>
      <c r="N2377" s="0" t="s">
        <v>136</v>
      </c>
      <c r="O2377" s="0" t="s">
        <v>643</v>
      </c>
      <c r="Q2377" s="0" t="s">
        <v>130</v>
      </c>
      <c r="R2377" s="0" t="s">
        <v>138</v>
      </c>
      <c r="S2377" s="14">
        <v>0</v>
      </c>
      <c r="T2377" s="0" t="s">
        <v>222</v>
      </c>
      <c r="U2377" s="0" t="s">
        <v>138</v>
      </c>
      <c r="V2377" s="14" t="s">
        <v>138</v>
      </c>
      <c r="W2377" s="0" t="s">
        <v>138</v>
      </c>
      <c r="X2377" s="14" t="s">
        <v>138</v>
      </c>
      <c r="Y2377" s="0" t="s">
        <v>138</v>
      </c>
      <c r="Z2377" s="14" t="s">
        <v>138</v>
      </c>
      <c r="AA2377" s="0" t="s">
        <v>138</v>
      </c>
      <c r="AB2377" s="14" t="s">
        <v>138</v>
      </c>
      <c r="AD2377" s="0" t="s">
        <v>138</v>
      </c>
      <c r="AF2377" s="0">
        <v>0</v>
      </c>
      <c r="AG2377" s="0">
        <v>0</v>
      </c>
      <c r="AH2377" s="0" t="s">
        <v>140</v>
      </c>
      <c r="AI2377" s="0" t="s">
        <v>138</v>
      </c>
      <c r="AL2377" s="14"/>
      <c r="AN2377" s="14"/>
      <c r="AQ2377" s="0" t="s">
        <v>130</v>
      </c>
      <c r="AR2377" s="0" t="s">
        <v>130</v>
      </c>
      <c r="AS2377" s="0" t="s">
        <v>130</v>
      </c>
      <c r="AT2377" s="0" t="s">
        <v>130</v>
      </c>
      <c r="AU2377" s="0" t="s">
        <v>130</v>
      </c>
      <c r="AV2377" s="0" t="s">
        <v>141</v>
      </c>
      <c r="AW2377" s="0" t="s">
        <v>130</v>
      </c>
      <c r="AX2377" s="0" t="s">
        <v>130</v>
      </c>
      <c r="AY2377" s="0" t="s">
        <v>130</v>
      </c>
      <c r="AZ2377" s="0" t="s">
        <v>130</v>
      </c>
      <c r="BA2377" s="0" t="s">
        <v>130</v>
      </c>
      <c r="BB2377" s="0" t="s">
        <v>141</v>
      </c>
      <c r="BC2377" s="0" t="s">
        <v>130</v>
      </c>
      <c r="BD2377" s="0" t="s">
        <v>141</v>
      </c>
      <c r="BE2377" s="0" t="s">
        <v>141</v>
      </c>
      <c r="BF2377" s="0" t="s">
        <v>130</v>
      </c>
      <c r="BG2377" s="0" t="s">
        <v>130</v>
      </c>
      <c r="BH2377" s="0" t="s">
        <v>130</v>
      </c>
      <c r="BI2377" s="0" t="s">
        <v>130</v>
      </c>
      <c r="BJ2377" s="0" t="s">
        <v>130</v>
      </c>
      <c r="BK2377" s="0" t="s">
        <v>130</v>
      </c>
      <c r="BL2377" s="0" t="s">
        <v>130</v>
      </c>
      <c r="BM2377" s="0" t="s">
        <v>130</v>
      </c>
      <c r="BN2377" s="0" t="s">
        <v>130</v>
      </c>
      <c r="BO2377" s="0" t="s">
        <v>130</v>
      </c>
      <c r="BP2377" s="0" t="s">
        <v>130</v>
      </c>
      <c r="BQ2377" s="0" t="s">
        <v>130</v>
      </c>
      <c r="BR2377" s="0" t="s">
        <v>130</v>
      </c>
      <c r="BS2377" s="0" t="s">
        <v>130</v>
      </c>
      <c r="BT2377" s="0" t="s">
        <v>130</v>
      </c>
      <c r="BU2377" s="0" t="s">
        <v>130</v>
      </c>
      <c r="BV2377" s="0" t="s">
        <v>130</v>
      </c>
      <c r="BW2377" s="0" t="s">
        <v>130</v>
      </c>
      <c r="BX2377" s="0" t="s">
        <v>130</v>
      </c>
      <c r="BY2377" s="0" t="s">
        <v>130</v>
      </c>
      <c r="BZ2377" s="0" t="s">
        <v>130</v>
      </c>
      <c r="CA2377" s="0" t="s">
        <v>130</v>
      </c>
      <c r="CB2377" s="0" t="s">
        <v>130</v>
      </c>
      <c r="CC2377" s="0" t="s">
        <v>130</v>
      </c>
      <c r="CD2377" s="0" t="s">
        <v>130</v>
      </c>
      <c r="CE2377" s="0" t="s">
        <v>130</v>
      </c>
      <c r="CF2377" s="0" t="s">
        <v>130</v>
      </c>
      <c r="CG2377" s="0" t="s">
        <v>130</v>
      </c>
      <c r="CH2377" s="0" t="s">
        <v>130</v>
      </c>
      <c r="CI2377" s="0" t="s">
        <v>130</v>
      </c>
      <c r="CJ2377" s="0" t="s">
        <v>130</v>
      </c>
      <c r="CK2377" s="0" t="s">
        <v>130</v>
      </c>
      <c r="CL2377" s="0" t="s">
        <v>130</v>
      </c>
      <c r="CM2377" s="0" t="s">
        <v>130</v>
      </c>
      <c r="CN2377" s="0" t="s">
        <v>130</v>
      </c>
      <c r="CO2377" s="0" t="s">
        <v>130</v>
      </c>
      <c r="CP2377" s="0" t="s">
        <v>130</v>
      </c>
      <c r="CQ2377" s="0" t="s">
        <v>130</v>
      </c>
      <c r="CR2377" s="0" t="s">
        <v>130</v>
      </c>
      <c r="CS2377" s="0" t="s">
        <v>130</v>
      </c>
      <c r="CT2377" s="0" t="s">
        <v>6521</v>
      </c>
    </row>
    <row r="2378">
      <c r="A2378" s="14">
        <v>115785</v>
      </c>
      <c r="B2378" s="0" t="s">
        <v>2695</v>
      </c>
      <c r="C2378" s="16">
        <f>HYPERLINK("https://eosportal.federatedhermes.com/companies/Q29tcGFueQppODU0NDE=", "Roche Holding AG")</f>
      </c>
      <c r="D2378" s="0" t="s">
        <v>25</v>
      </c>
      <c r="E2378" s="0" t="s">
        <v>1352</v>
      </c>
      <c r="F2378" s="16">
        <f>HYPERLINK("https://eosportal.federatedhermes.com/engagements/RW5nYWdlbWVudAppMzM1MzU=", "Animal Testing")</f>
      </c>
      <c r="G2378" s="14" t="s">
        <v>6483</v>
      </c>
      <c r="H2378" s="0" t="s">
        <v>141</v>
      </c>
      <c r="I2378" s="14" t="s">
        <v>191</v>
      </c>
      <c r="J2378" s="0" t="s">
        <v>197</v>
      </c>
      <c r="K2378" s="0" t="s">
        <v>337</v>
      </c>
      <c r="L2378" s="0" t="s">
        <v>576</v>
      </c>
      <c r="M2378" s="0" t="s">
        <v>378</v>
      </c>
      <c r="N2378" s="0" t="s">
        <v>1059</v>
      </c>
      <c r="O2378" s="0" t="s">
        <v>274</v>
      </c>
      <c r="Q2378" s="0" t="s">
        <v>130</v>
      </c>
      <c r="R2378" s="0" t="s">
        <v>138</v>
      </c>
      <c r="S2378" s="14">
        <v>0</v>
      </c>
      <c r="T2378" s="0" t="s">
        <v>360</v>
      </c>
      <c r="U2378" s="0" t="s">
        <v>138</v>
      </c>
      <c r="V2378" s="14" t="s">
        <v>138</v>
      </c>
      <c r="W2378" s="0" t="s">
        <v>138</v>
      </c>
      <c r="X2378" s="14" t="s">
        <v>138</v>
      </c>
      <c r="Y2378" s="0" t="s">
        <v>138</v>
      </c>
      <c r="Z2378" s="14" t="s">
        <v>138</v>
      </c>
      <c r="AA2378" s="0" t="s">
        <v>138</v>
      </c>
      <c r="AB2378" s="14" t="s">
        <v>138</v>
      </c>
      <c r="AD2378" s="0" t="s">
        <v>138</v>
      </c>
      <c r="AF2378" s="0">
        <v>0</v>
      </c>
      <c r="AG2378" s="0">
        <v>0</v>
      </c>
      <c r="AH2378" s="0" t="s">
        <v>140</v>
      </c>
      <c r="AI2378" s="0" t="s">
        <v>138</v>
      </c>
      <c r="AL2378" s="14"/>
      <c r="AN2378" s="14"/>
      <c r="AQ2378" s="0" t="s">
        <v>130</v>
      </c>
      <c r="AR2378" s="0" t="s">
        <v>130</v>
      </c>
      <c r="AS2378" s="0" t="s">
        <v>130</v>
      </c>
      <c r="AT2378" s="0" t="s">
        <v>130</v>
      </c>
      <c r="AU2378" s="0" t="s">
        <v>130</v>
      </c>
      <c r="AV2378" s="0" t="s">
        <v>130</v>
      </c>
      <c r="AW2378" s="0" t="s">
        <v>130</v>
      </c>
      <c r="AX2378" s="0" t="s">
        <v>130</v>
      </c>
      <c r="AY2378" s="0" t="s">
        <v>130</v>
      </c>
      <c r="AZ2378" s="0" t="s">
        <v>130</v>
      </c>
      <c r="BA2378" s="0" t="s">
        <v>130</v>
      </c>
      <c r="BB2378" s="0" t="s">
        <v>141</v>
      </c>
      <c r="BC2378" s="0" t="s">
        <v>130</v>
      </c>
      <c r="BD2378" s="0" t="s">
        <v>130</v>
      </c>
      <c r="BE2378" s="0" t="s">
        <v>141</v>
      </c>
      <c r="BF2378" s="0" t="s">
        <v>130</v>
      </c>
      <c r="BG2378" s="0" t="s">
        <v>130</v>
      </c>
      <c r="BH2378" s="0" t="s">
        <v>130</v>
      </c>
      <c r="BI2378" s="0" t="s">
        <v>130</v>
      </c>
      <c r="BJ2378" s="0" t="s">
        <v>130</v>
      </c>
      <c r="BK2378" s="0" t="s">
        <v>130</v>
      </c>
      <c r="BL2378" s="0" t="s">
        <v>130</v>
      </c>
      <c r="BM2378" s="0" t="s">
        <v>130</v>
      </c>
      <c r="BN2378" s="0" t="s">
        <v>130</v>
      </c>
      <c r="BO2378" s="0" t="s">
        <v>130</v>
      </c>
      <c r="BP2378" s="0" t="s">
        <v>130</v>
      </c>
      <c r="BQ2378" s="0" t="s">
        <v>130</v>
      </c>
      <c r="BR2378" s="0" t="s">
        <v>130</v>
      </c>
      <c r="BS2378" s="0" t="s">
        <v>130</v>
      </c>
      <c r="BT2378" s="0" t="s">
        <v>130</v>
      </c>
      <c r="BU2378" s="0" t="s">
        <v>130</v>
      </c>
      <c r="BV2378" s="0" t="s">
        <v>130</v>
      </c>
      <c r="BW2378" s="0" t="s">
        <v>130</v>
      </c>
      <c r="BX2378" s="0" t="s">
        <v>130</v>
      </c>
      <c r="BY2378" s="0" t="s">
        <v>130</v>
      </c>
      <c r="BZ2378" s="0" t="s">
        <v>130</v>
      </c>
      <c r="CA2378" s="0" t="s">
        <v>130</v>
      </c>
      <c r="CB2378" s="0" t="s">
        <v>130</v>
      </c>
      <c r="CC2378" s="0" t="s">
        <v>130</v>
      </c>
      <c r="CD2378" s="0" t="s">
        <v>130</v>
      </c>
      <c r="CE2378" s="0" t="s">
        <v>130</v>
      </c>
      <c r="CF2378" s="0" t="s">
        <v>130</v>
      </c>
      <c r="CG2378" s="0" t="s">
        <v>130</v>
      </c>
      <c r="CH2378" s="0" t="s">
        <v>130</v>
      </c>
      <c r="CI2378" s="0" t="s">
        <v>130</v>
      </c>
      <c r="CJ2378" s="0" t="s">
        <v>130</v>
      </c>
      <c r="CK2378" s="0" t="s">
        <v>130</v>
      </c>
      <c r="CL2378" s="0" t="s">
        <v>130</v>
      </c>
      <c r="CM2378" s="0" t="s">
        <v>130</v>
      </c>
      <c r="CN2378" s="0" t="s">
        <v>130</v>
      </c>
      <c r="CO2378" s="0" t="s">
        <v>130</v>
      </c>
      <c r="CP2378" s="0" t="s">
        <v>130</v>
      </c>
      <c r="CQ2378" s="0" t="s">
        <v>130</v>
      </c>
      <c r="CR2378" s="0" t="s">
        <v>130</v>
      </c>
      <c r="CS2378" s="0" t="s">
        <v>130</v>
      </c>
      <c r="CT2378" s="0" t="s">
        <v>6522</v>
      </c>
    </row>
    <row r="2379">
      <c r="A2379" s="14">
        <v>101204</v>
      </c>
      <c r="B2379" s="0" t="s">
        <v>1405</v>
      </c>
      <c r="C2379" s="16">
        <f>HYPERLINK("https://eosportal.federatedhermes.com/companies/Q29tcGFueQppODU2ODA=", "PPG Industries Inc")</f>
      </c>
      <c r="D2379" s="0" t="s">
        <v>25</v>
      </c>
      <c r="E2379" s="0" t="s">
        <v>574</v>
      </c>
      <c r="F2379" s="16">
        <f>HYPERLINK("https://eosportal.federatedhermes.com/engagements/RW5nYWdlbWVudAppMzM1Mzg=", "Biodiversity")</f>
      </c>
      <c r="G2379" s="14" t="s">
        <v>6437</v>
      </c>
      <c r="H2379" s="0" t="s">
        <v>130</v>
      </c>
      <c r="I2379" s="14" t="s">
        <v>319</v>
      </c>
      <c r="J2379" s="0" t="s">
        <v>197</v>
      </c>
      <c r="K2379" s="0" t="s">
        <v>337</v>
      </c>
      <c r="L2379" s="0" t="s">
        <v>576</v>
      </c>
      <c r="M2379" s="0" t="s">
        <v>135</v>
      </c>
      <c r="N2379" s="0" t="s">
        <v>136</v>
      </c>
      <c r="O2379" s="0" t="s">
        <v>706</v>
      </c>
      <c r="Q2379" s="0" t="s">
        <v>130</v>
      </c>
      <c r="R2379" s="0" t="s">
        <v>138</v>
      </c>
      <c r="S2379" s="14">
        <v>0</v>
      </c>
      <c r="T2379" s="0" t="s">
        <v>222</v>
      </c>
      <c r="U2379" s="0" t="s">
        <v>138</v>
      </c>
      <c r="V2379" s="14" t="s">
        <v>138</v>
      </c>
      <c r="W2379" s="0" t="s">
        <v>138</v>
      </c>
      <c r="X2379" s="14" t="s">
        <v>138</v>
      </c>
      <c r="Y2379" s="0" t="s">
        <v>138</v>
      </c>
      <c r="Z2379" s="14" t="s">
        <v>138</v>
      </c>
      <c r="AA2379" s="0" t="s">
        <v>138</v>
      </c>
      <c r="AB2379" s="14" t="s">
        <v>138</v>
      </c>
      <c r="AD2379" s="0" t="s">
        <v>138</v>
      </c>
      <c r="AF2379" s="0">
        <v>0</v>
      </c>
      <c r="AG2379" s="0">
        <v>0</v>
      </c>
      <c r="AH2379" s="0" t="s">
        <v>140</v>
      </c>
      <c r="AI2379" s="0" t="s">
        <v>138</v>
      </c>
      <c r="AL2379" s="14"/>
      <c r="AN2379" s="14"/>
      <c r="AQ2379" s="0" t="s">
        <v>130</v>
      </c>
      <c r="AR2379" s="0" t="s">
        <v>130</v>
      </c>
      <c r="AS2379" s="0" t="s">
        <v>130</v>
      </c>
      <c r="AT2379" s="0" t="s">
        <v>130</v>
      </c>
      <c r="AU2379" s="0" t="s">
        <v>130</v>
      </c>
      <c r="AV2379" s="0" t="s">
        <v>141</v>
      </c>
      <c r="AW2379" s="0" t="s">
        <v>130</v>
      </c>
      <c r="AX2379" s="0" t="s">
        <v>130</v>
      </c>
      <c r="AY2379" s="0" t="s">
        <v>130</v>
      </c>
      <c r="AZ2379" s="0" t="s">
        <v>130</v>
      </c>
      <c r="BA2379" s="0" t="s">
        <v>130</v>
      </c>
      <c r="BB2379" s="0" t="s">
        <v>141</v>
      </c>
      <c r="BC2379" s="0" t="s">
        <v>130</v>
      </c>
      <c r="BD2379" s="0" t="s">
        <v>141</v>
      </c>
      <c r="BE2379" s="0" t="s">
        <v>141</v>
      </c>
      <c r="BF2379" s="0" t="s">
        <v>130</v>
      </c>
      <c r="BG2379" s="0" t="s">
        <v>130</v>
      </c>
      <c r="BH2379" s="0" t="s">
        <v>130</v>
      </c>
      <c r="BI2379" s="0" t="s">
        <v>130</v>
      </c>
      <c r="BJ2379" s="0" t="s">
        <v>130</v>
      </c>
      <c r="BK2379" s="0" t="s">
        <v>130</v>
      </c>
      <c r="BL2379" s="0" t="s">
        <v>130</v>
      </c>
      <c r="BM2379" s="0" t="s">
        <v>130</v>
      </c>
      <c r="BN2379" s="0" t="s">
        <v>130</v>
      </c>
      <c r="BO2379" s="0" t="s">
        <v>130</v>
      </c>
      <c r="BP2379" s="0" t="s">
        <v>130</v>
      </c>
      <c r="BQ2379" s="0" t="s">
        <v>130</v>
      </c>
      <c r="BR2379" s="0" t="s">
        <v>130</v>
      </c>
      <c r="BS2379" s="0" t="s">
        <v>130</v>
      </c>
      <c r="BT2379" s="0" t="s">
        <v>130</v>
      </c>
      <c r="BU2379" s="0" t="s">
        <v>130</v>
      </c>
      <c r="BV2379" s="0" t="s">
        <v>130</v>
      </c>
      <c r="BW2379" s="0" t="s">
        <v>130</v>
      </c>
      <c r="BX2379" s="0" t="s">
        <v>130</v>
      </c>
      <c r="BY2379" s="0" t="s">
        <v>130</v>
      </c>
      <c r="BZ2379" s="0" t="s">
        <v>130</v>
      </c>
      <c r="CA2379" s="0" t="s">
        <v>130</v>
      </c>
      <c r="CB2379" s="0" t="s">
        <v>130</v>
      </c>
      <c r="CC2379" s="0" t="s">
        <v>130</v>
      </c>
      <c r="CD2379" s="0" t="s">
        <v>130</v>
      </c>
      <c r="CE2379" s="0" t="s">
        <v>130</v>
      </c>
      <c r="CF2379" s="0" t="s">
        <v>130</v>
      </c>
      <c r="CG2379" s="0" t="s">
        <v>130</v>
      </c>
      <c r="CH2379" s="0" t="s">
        <v>130</v>
      </c>
      <c r="CI2379" s="0" t="s">
        <v>130</v>
      </c>
      <c r="CJ2379" s="0" t="s">
        <v>130</v>
      </c>
      <c r="CK2379" s="0" t="s">
        <v>130</v>
      </c>
      <c r="CL2379" s="0" t="s">
        <v>130</v>
      </c>
      <c r="CM2379" s="0" t="s">
        <v>130</v>
      </c>
      <c r="CN2379" s="0" t="s">
        <v>130</v>
      </c>
      <c r="CO2379" s="0" t="s">
        <v>130</v>
      </c>
      <c r="CP2379" s="0" t="s">
        <v>130</v>
      </c>
      <c r="CQ2379" s="0" t="s">
        <v>130</v>
      </c>
      <c r="CR2379" s="0" t="s">
        <v>130</v>
      </c>
      <c r="CS2379" s="0" t="s">
        <v>130</v>
      </c>
      <c r="CT2379" s="0" t="s">
        <v>6523</v>
      </c>
    </row>
    <row r="2380">
      <c r="A2380" s="14">
        <v>7281855</v>
      </c>
      <c r="B2380" s="0" t="s">
        <v>3813</v>
      </c>
      <c r="C2380" s="16">
        <f>HYPERLINK("https://eosportal.federatedhermes.com/companies/Q29tcGFueQppODU4ODE=", "LG Chem Ltd")</f>
      </c>
      <c r="D2380" s="0" t="s">
        <v>25</v>
      </c>
      <c r="E2380" s="0" t="s">
        <v>574</v>
      </c>
      <c r="F2380" s="16">
        <f>HYPERLINK("https://eosportal.federatedhermes.com/engagements/RW5nYWdlbWVudAppMzM1NDA=", "Biodiversity")</f>
      </c>
      <c r="G2380" s="14" t="s">
        <v>6502</v>
      </c>
      <c r="H2380" s="0" t="s">
        <v>141</v>
      </c>
      <c r="I2380" s="14" t="s">
        <v>191</v>
      </c>
      <c r="J2380" s="0" t="s">
        <v>197</v>
      </c>
      <c r="K2380" s="0" t="s">
        <v>337</v>
      </c>
      <c r="L2380" s="0" t="s">
        <v>576</v>
      </c>
      <c r="M2380" s="0" t="s">
        <v>802</v>
      </c>
      <c r="N2380" s="0" t="s">
        <v>2800</v>
      </c>
      <c r="O2380" s="0" t="s">
        <v>706</v>
      </c>
      <c r="Q2380" s="0" t="s">
        <v>130</v>
      </c>
      <c r="R2380" s="0" t="s">
        <v>138</v>
      </c>
      <c r="S2380" s="14">
        <v>0</v>
      </c>
      <c r="T2380" s="0" t="s">
        <v>222</v>
      </c>
      <c r="U2380" s="0" t="s">
        <v>138</v>
      </c>
      <c r="V2380" s="14" t="s">
        <v>138</v>
      </c>
      <c r="W2380" s="0" t="s">
        <v>138</v>
      </c>
      <c r="X2380" s="14" t="s">
        <v>138</v>
      </c>
      <c r="Y2380" s="0" t="s">
        <v>138</v>
      </c>
      <c r="Z2380" s="14" t="s">
        <v>138</v>
      </c>
      <c r="AA2380" s="0" t="s">
        <v>138</v>
      </c>
      <c r="AB2380" s="14" t="s">
        <v>138</v>
      </c>
      <c r="AD2380" s="0" t="s">
        <v>138</v>
      </c>
      <c r="AF2380" s="0">
        <v>0</v>
      </c>
      <c r="AG2380" s="0">
        <v>0</v>
      </c>
      <c r="AH2380" s="0" t="s">
        <v>140</v>
      </c>
      <c r="AI2380" s="0" t="s">
        <v>138</v>
      </c>
      <c r="AL2380" s="14"/>
      <c r="AN2380" s="14"/>
      <c r="AQ2380" s="0" t="s">
        <v>130</v>
      </c>
      <c r="AR2380" s="0" t="s">
        <v>130</v>
      </c>
      <c r="AS2380" s="0" t="s">
        <v>130</v>
      </c>
      <c r="AT2380" s="0" t="s">
        <v>130</v>
      </c>
      <c r="AU2380" s="0" t="s">
        <v>130</v>
      </c>
      <c r="AV2380" s="0" t="s">
        <v>141</v>
      </c>
      <c r="AW2380" s="0" t="s">
        <v>130</v>
      </c>
      <c r="AX2380" s="0" t="s">
        <v>130</v>
      </c>
      <c r="AY2380" s="0" t="s">
        <v>130</v>
      </c>
      <c r="AZ2380" s="0" t="s">
        <v>130</v>
      </c>
      <c r="BA2380" s="0" t="s">
        <v>130</v>
      </c>
      <c r="BB2380" s="0" t="s">
        <v>141</v>
      </c>
      <c r="BC2380" s="0" t="s">
        <v>130</v>
      </c>
      <c r="BD2380" s="0" t="s">
        <v>141</v>
      </c>
      <c r="BE2380" s="0" t="s">
        <v>141</v>
      </c>
      <c r="BF2380" s="0" t="s">
        <v>130</v>
      </c>
      <c r="BG2380" s="0" t="s">
        <v>130</v>
      </c>
      <c r="BH2380" s="0" t="s">
        <v>130</v>
      </c>
      <c r="BI2380" s="0" t="s">
        <v>130</v>
      </c>
      <c r="BJ2380" s="0" t="s">
        <v>130</v>
      </c>
      <c r="BK2380" s="0" t="s">
        <v>130</v>
      </c>
      <c r="BL2380" s="0" t="s">
        <v>130</v>
      </c>
      <c r="BM2380" s="0" t="s">
        <v>130</v>
      </c>
      <c r="BN2380" s="0" t="s">
        <v>130</v>
      </c>
      <c r="BO2380" s="0" t="s">
        <v>130</v>
      </c>
      <c r="BP2380" s="0" t="s">
        <v>130</v>
      </c>
      <c r="BQ2380" s="0" t="s">
        <v>130</v>
      </c>
      <c r="BR2380" s="0" t="s">
        <v>130</v>
      </c>
      <c r="BS2380" s="0" t="s">
        <v>130</v>
      </c>
      <c r="BT2380" s="0" t="s">
        <v>130</v>
      </c>
      <c r="BU2380" s="0" t="s">
        <v>130</v>
      </c>
      <c r="BV2380" s="0" t="s">
        <v>130</v>
      </c>
      <c r="BW2380" s="0" t="s">
        <v>130</v>
      </c>
      <c r="BX2380" s="0" t="s">
        <v>130</v>
      </c>
      <c r="BY2380" s="0" t="s">
        <v>130</v>
      </c>
      <c r="BZ2380" s="0" t="s">
        <v>130</v>
      </c>
      <c r="CA2380" s="0" t="s">
        <v>130</v>
      </c>
      <c r="CB2380" s="0" t="s">
        <v>130</v>
      </c>
      <c r="CC2380" s="0" t="s">
        <v>130</v>
      </c>
      <c r="CD2380" s="0" t="s">
        <v>130</v>
      </c>
      <c r="CE2380" s="0" t="s">
        <v>130</v>
      </c>
      <c r="CF2380" s="0" t="s">
        <v>130</v>
      </c>
      <c r="CG2380" s="0" t="s">
        <v>130</v>
      </c>
      <c r="CH2380" s="0" t="s">
        <v>130</v>
      </c>
      <c r="CI2380" s="0" t="s">
        <v>130</v>
      </c>
      <c r="CJ2380" s="0" t="s">
        <v>130</v>
      </c>
      <c r="CK2380" s="0" t="s">
        <v>130</v>
      </c>
      <c r="CL2380" s="0" t="s">
        <v>130</v>
      </c>
      <c r="CM2380" s="0" t="s">
        <v>130</v>
      </c>
      <c r="CN2380" s="0" t="s">
        <v>130</v>
      </c>
      <c r="CO2380" s="0" t="s">
        <v>130</v>
      </c>
      <c r="CP2380" s="0" t="s">
        <v>130</v>
      </c>
      <c r="CQ2380" s="0" t="s">
        <v>130</v>
      </c>
      <c r="CR2380" s="0" t="s">
        <v>130</v>
      </c>
      <c r="CS2380" s="0" t="s">
        <v>130</v>
      </c>
      <c r="CT2380" s="0" t="s">
        <v>6524</v>
      </c>
    </row>
    <row r="2381">
      <c r="A2381" s="14">
        <v>101166</v>
      </c>
      <c r="B2381" s="0" t="s">
        <v>1275</v>
      </c>
      <c r="C2381" s="16">
        <f>HYPERLINK("https://eosportal.federatedhermes.com/companies/Q29tcGFueQppODU4OTI=", "Pfizer Inc")</f>
      </c>
      <c r="D2381" s="0" t="s">
        <v>25</v>
      </c>
      <c r="E2381" s="0" t="s">
        <v>574</v>
      </c>
      <c r="F2381" s="16">
        <f>HYPERLINK("https://eosportal.federatedhermes.com/engagements/RW5nYWdlbWVudAppMzM1NDE=", "Biodiversity")</f>
      </c>
      <c r="G2381" s="14" t="s">
        <v>6437</v>
      </c>
      <c r="H2381" s="0" t="s">
        <v>141</v>
      </c>
      <c r="I2381" s="14" t="s">
        <v>636</v>
      </c>
      <c r="J2381" s="0" t="s">
        <v>197</v>
      </c>
      <c r="K2381" s="0" t="s">
        <v>337</v>
      </c>
      <c r="L2381" s="0" t="s">
        <v>576</v>
      </c>
      <c r="M2381" s="0" t="s">
        <v>135</v>
      </c>
      <c r="N2381" s="0" t="s">
        <v>136</v>
      </c>
      <c r="O2381" s="0" t="s">
        <v>274</v>
      </c>
      <c r="Q2381" s="0" t="s">
        <v>130</v>
      </c>
      <c r="R2381" s="0" t="s">
        <v>138</v>
      </c>
      <c r="S2381" s="14">
        <v>0</v>
      </c>
      <c r="T2381" s="0" t="s">
        <v>222</v>
      </c>
      <c r="U2381" s="0" t="s">
        <v>138</v>
      </c>
      <c r="V2381" s="14" t="s">
        <v>138</v>
      </c>
      <c r="W2381" s="0" t="s">
        <v>138</v>
      </c>
      <c r="X2381" s="14" t="s">
        <v>138</v>
      </c>
      <c r="Y2381" s="0" t="s">
        <v>138</v>
      </c>
      <c r="Z2381" s="14" t="s">
        <v>138</v>
      </c>
      <c r="AA2381" s="0" t="s">
        <v>138</v>
      </c>
      <c r="AB2381" s="14" t="s">
        <v>138</v>
      </c>
      <c r="AD2381" s="0" t="s">
        <v>138</v>
      </c>
      <c r="AF2381" s="0">
        <v>0</v>
      </c>
      <c r="AG2381" s="0">
        <v>0</v>
      </c>
      <c r="AH2381" s="0" t="s">
        <v>140</v>
      </c>
      <c r="AI2381" s="0" t="s">
        <v>138</v>
      </c>
      <c r="AL2381" s="14"/>
      <c r="AN2381" s="14"/>
      <c r="AQ2381" s="0" t="s">
        <v>130</v>
      </c>
      <c r="AR2381" s="0" t="s">
        <v>130</v>
      </c>
      <c r="AS2381" s="0" t="s">
        <v>130</v>
      </c>
      <c r="AT2381" s="0" t="s">
        <v>130</v>
      </c>
      <c r="AU2381" s="0" t="s">
        <v>130</v>
      </c>
      <c r="AV2381" s="0" t="s">
        <v>141</v>
      </c>
      <c r="AW2381" s="0" t="s">
        <v>130</v>
      </c>
      <c r="AX2381" s="0" t="s">
        <v>130</v>
      </c>
      <c r="AY2381" s="0" t="s">
        <v>130</v>
      </c>
      <c r="AZ2381" s="0" t="s">
        <v>130</v>
      </c>
      <c r="BA2381" s="0" t="s">
        <v>130</v>
      </c>
      <c r="BB2381" s="0" t="s">
        <v>141</v>
      </c>
      <c r="BC2381" s="0" t="s">
        <v>130</v>
      </c>
      <c r="BD2381" s="0" t="s">
        <v>141</v>
      </c>
      <c r="BE2381" s="0" t="s">
        <v>141</v>
      </c>
      <c r="BF2381" s="0" t="s">
        <v>130</v>
      </c>
      <c r="BG2381" s="0" t="s">
        <v>130</v>
      </c>
      <c r="BH2381" s="0" t="s">
        <v>130</v>
      </c>
      <c r="BI2381" s="0" t="s">
        <v>130</v>
      </c>
      <c r="BJ2381" s="0" t="s">
        <v>130</v>
      </c>
      <c r="BK2381" s="0" t="s">
        <v>130</v>
      </c>
      <c r="BL2381" s="0" t="s">
        <v>130</v>
      </c>
      <c r="BM2381" s="0" t="s">
        <v>130</v>
      </c>
      <c r="BN2381" s="0" t="s">
        <v>130</v>
      </c>
      <c r="BO2381" s="0" t="s">
        <v>130</v>
      </c>
      <c r="BP2381" s="0" t="s">
        <v>130</v>
      </c>
      <c r="BQ2381" s="0" t="s">
        <v>130</v>
      </c>
      <c r="BR2381" s="0" t="s">
        <v>130</v>
      </c>
      <c r="BS2381" s="0" t="s">
        <v>130</v>
      </c>
      <c r="BT2381" s="0" t="s">
        <v>130</v>
      </c>
      <c r="BU2381" s="0" t="s">
        <v>130</v>
      </c>
      <c r="BV2381" s="0" t="s">
        <v>130</v>
      </c>
      <c r="BW2381" s="0" t="s">
        <v>130</v>
      </c>
      <c r="BX2381" s="0" t="s">
        <v>130</v>
      </c>
      <c r="BY2381" s="0" t="s">
        <v>130</v>
      </c>
      <c r="BZ2381" s="0" t="s">
        <v>130</v>
      </c>
      <c r="CA2381" s="0" t="s">
        <v>130</v>
      </c>
      <c r="CB2381" s="0" t="s">
        <v>130</v>
      </c>
      <c r="CC2381" s="0" t="s">
        <v>130</v>
      </c>
      <c r="CD2381" s="0" t="s">
        <v>130</v>
      </c>
      <c r="CE2381" s="0" t="s">
        <v>130</v>
      </c>
      <c r="CF2381" s="0" t="s">
        <v>130</v>
      </c>
      <c r="CG2381" s="0" t="s">
        <v>130</v>
      </c>
      <c r="CH2381" s="0" t="s">
        <v>130</v>
      </c>
      <c r="CI2381" s="0" t="s">
        <v>130</v>
      </c>
      <c r="CJ2381" s="0" t="s">
        <v>130</v>
      </c>
      <c r="CK2381" s="0" t="s">
        <v>130</v>
      </c>
      <c r="CL2381" s="0" t="s">
        <v>130</v>
      </c>
      <c r="CM2381" s="0" t="s">
        <v>130</v>
      </c>
      <c r="CN2381" s="0" t="s">
        <v>130</v>
      </c>
      <c r="CO2381" s="0" t="s">
        <v>130</v>
      </c>
      <c r="CP2381" s="0" t="s">
        <v>130</v>
      </c>
      <c r="CQ2381" s="0" t="s">
        <v>130</v>
      </c>
      <c r="CR2381" s="0" t="s">
        <v>130</v>
      </c>
      <c r="CS2381" s="0" t="s">
        <v>130</v>
      </c>
      <c r="CT2381" s="0" t="s">
        <v>6525</v>
      </c>
    </row>
    <row r="2382">
      <c r="A2382" s="14">
        <v>108445</v>
      </c>
      <c r="B2382" s="0" t="s">
        <v>2234</v>
      </c>
      <c r="C2382" s="16">
        <f>HYPERLINK("https://eosportal.federatedhermes.com/companies/Q29tcGFueQppNjQzNzE=", "Bank of Nova Scotia/The")</f>
      </c>
      <c r="D2382" s="0" t="s">
        <v>23</v>
      </c>
      <c r="E2382" s="0" t="s">
        <v>1859</v>
      </c>
      <c r="F2382" s="16">
        <f>HYPERLINK("https://eosportal.federatedhermes.com/engagements/RW5nYWdlbWVudAppMzM1NDY=", "Governance oversight of industry associations")</f>
      </c>
      <c r="G2382" s="14" t="s">
        <v>5787</v>
      </c>
      <c r="H2382" s="0" t="s">
        <v>141</v>
      </c>
      <c r="I2382" s="14" t="s">
        <v>131</v>
      </c>
      <c r="J2382" s="0" t="s">
        <v>197</v>
      </c>
      <c r="K2382" s="0" t="s">
        <v>198</v>
      </c>
      <c r="L2382" s="0" t="s">
        <v>199</v>
      </c>
      <c r="M2382" s="0" t="s">
        <v>135</v>
      </c>
      <c r="N2382" s="0" t="s">
        <v>1678</v>
      </c>
      <c r="O2382" s="0" t="s">
        <v>238</v>
      </c>
      <c r="Q2382" s="0" t="s">
        <v>130</v>
      </c>
      <c r="R2382" s="0" t="s">
        <v>130</v>
      </c>
      <c r="S2382" s="14">
        <v>0</v>
      </c>
      <c r="T2382" s="0" t="s">
        <v>360</v>
      </c>
      <c r="U2382" s="0" t="s">
        <v>221</v>
      </c>
      <c r="V2382" s="14" t="s">
        <v>360</v>
      </c>
      <c r="W2382" s="0" t="s">
        <v>221</v>
      </c>
      <c r="X2382" s="14" t="s">
        <v>446</v>
      </c>
      <c r="Y2382" s="0" t="s">
        <v>223</v>
      </c>
      <c r="Z2382" s="14" t="s">
        <v>138</v>
      </c>
      <c r="AA2382" s="0" t="s">
        <v>224</v>
      </c>
      <c r="AB2382" s="14" t="s">
        <v>138</v>
      </c>
      <c r="AD2382" s="0" t="s">
        <v>17</v>
      </c>
      <c r="AF2382" s="0">
        <v>0</v>
      </c>
      <c r="AG2382" s="0">
        <v>0</v>
      </c>
      <c r="AH2382" s="0" t="s">
        <v>140</v>
      </c>
      <c r="AI2382" s="0" t="s">
        <v>598</v>
      </c>
      <c r="AL2382" s="14"/>
      <c r="AN2382" s="14"/>
      <c r="AQ2382" s="0" t="s">
        <v>130</v>
      </c>
      <c r="AR2382" s="0" t="s">
        <v>130</v>
      </c>
      <c r="AS2382" s="0" t="s">
        <v>130</v>
      </c>
      <c r="AT2382" s="0" t="s">
        <v>130</v>
      </c>
      <c r="AU2382" s="0" t="s">
        <v>130</v>
      </c>
      <c r="AV2382" s="0" t="s">
        <v>130</v>
      </c>
      <c r="AW2382" s="0" t="s">
        <v>130</v>
      </c>
      <c r="AX2382" s="0" t="s">
        <v>130</v>
      </c>
      <c r="AY2382" s="0" t="s">
        <v>130</v>
      </c>
      <c r="AZ2382" s="0" t="s">
        <v>130</v>
      </c>
      <c r="BA2382" s="0" t="s">
        <v>130</v>
      </c>
      <c r="BB2382" s="0" t="s">
        <v>141</v>
      </c>
      <c r="BC2382" s="0" t="s">
        <v>130</v>
      </c>
      <c r="BD2382" s="0" t="s">
        <v>130</v>
      </c>
      <c r="BE2382" s="0" t="s">
        <v>130</v>
      </c>
      <c r="BF2382" s="0" t="s">
        <v>130</v>
      </c>
      <c r="BG2382" s="0" t="s">
        <v>130</v>
      </c>
      <c r="BH2382" s="0" t="s">
        <v>130</v>
      </c>
      <c r="BI2382" s="0" t="s">
        <v>130</v>
      </c>
      <c r="BJ2382" s="0" t="s">
        <v>130</v>
      </c>
      <c r="BK2382" s="0" t="s">
        <v>130</v>
      </c>
      <c r="BL2382" s="0" t="s">
        <v>130</v>
      </c>
      <c r="BM2382" s="0" t="s">
        <v>130</v>
      </c>
      <c r="BN2382" s="0" t="s">
        <v>130</v>
      </c>
      <c r="BO2382" s="0" t="s">
        <v>130</v>
      </c>
      <c r="BP2382" s="0" t="s">
        <v>130</v>
      </c>
      <c r="BQ2382" s="0" t="s">
        <v>130</v>
      </c>
      <c r="BR2382" s="0" t="s">
        <v>130</v>
      </c>
      <c r="BS2382" s="0" t="s">
        <v>130</v>
      </c>
      <c r="BT2382" s="0" t="s">
        <v>130</v>
      </c>
      <c r="BU2382" s="0" t="s">
        <v>130</v>
      </c>
      <c r="BV2382" s="0" t="s">
        <v>130</v>
      </c>
      <c r="BW2382" s="0" t="s">
        <v>130</v>
      </c>
      <c r="BX2382" s="0" t="s">
        <v>130</v>
      </c>
      <c r="BY2382" s="0" t="s">
        <v>130</v>
      </c>
      <c r="BZ2382" s="0" t="s">
        <v>130</v>
      </c>
      <c r="CA2382" s="0" t="s">
        <v>130</v>
      </c>
      <c r="CB2382" s="0" t="s">
        <v>130</v>
      </c>
      <c r="CC2382" s="0" t="s">
        <v>130</v>
      </c>
      <c r="CD2382" s="0" t="s">
        <v>130</v>
      </c>
      <c r="CE2382" s="0" t="s">
        <v>130</v>
      </c>
      <c r="CF2382" s="0" t="s">
        <v>130</v>
      </c>
      <c r="CG2382" s="0" t="s">
        <v>130</v>
      </c>
      <c r="CH2382" s="0" t="s">
        <v>130</v>
      </c>
      <c r="CI2382" s="0" t="s">
        <v>130</v>
      </c>
      <c r="CJ2382" s="0" t="s">
        <v>130</v>
      </c>
      <c r="CK2382" s="0" t="s">
        <v>130</v>
      </c>
      <c r="CL2382" s="0" t="s">
        <v>130</v>
      </c>
      <c r="CM2382" s="0" t="s">
        <v>130</v>
      </c>
      <c r="CN2382" s="0" t="s">
        <v>130</v>
      </c>
      <c r="CO2382" s="0" t="s">
        <v>130</v>
      </c>
      <c r="CP2382" s="0" t="s">
        <v>130</v>
      </c>
      <c r="CQ2382" s="0" t="s">
        <v>130</v>
      </c>
      <c r="CR2382" s="0" t="s">
        <v>130</v>
      </c>
      <c r="CS2382" s="0" t="s">
        <v>130</v>
      </c>
      <c r="CT2382" s="0" t="s">
        <v>6526</v>
      </c>
    </row>
    <row r="2383">
      <c r="A2383" s="14">
        <v>111680</v>
      </c>
      <c r="B2383" s="0" t="s">
        <v>633</v>
      </c>
      <c r="C2383" s="16">
        <f>HYPERLINK("https://eosportal.federatedhermes.com/companies/Q29tcGFueQppNTg5Njc=", "Diageo PLC")</f>
      </c>
      <c r="D2383" s="0" t="s">
        <v>25</v>
      </c>
      <c r="E2383" s="0" t="s">
        <v>6527</v>
      </c>
      <c r="F2383" s="16">
        <f>HYPERLINK("https://eosportal.federatedhermes.com/engagements/RW5nYWdlbWVudAppMzM1NTM=", "Just transition - water stress")</f>
      </c>
      <c r="G2383" s="14" t="s">
        <v>6528</v>
      </c>
      <c r="H2383" s="0" t="s">
        <v>141</v>
      </c>
      <c r="I2383" s="14" t="s">
        <v>636</v>
      </c>
      <c r="J2383" s="0" t="s">
        <v>197</v>
      </c>
      <c r="K2383" s="0" t="s">
        <v>337</v>
      </c>
      <c r="L2383" s="0" t="s">
        <v>338</v>
      </c>
      <c r="M2383" s="0" t="s">
        <v>272</v>
      </c>
      <c r="N2383" s="0" t="s">
        <v>273</v>
      </c>
      <c r="O2383" s="0" t="s">
        <v>332</v>
      </c>
      <c r="Q2383" s="0" t="s">
        <v>130</v>
      </c>
      <c r="R2383" s="0" t="s">
        <v>138</v>
      </c>
      <c r="S2383" s="14">
        <v>0</v>
      </c>
      <c r="T2383" s="0" t="s">
        <v>360</v>
      </c>
      <c r="U2383" s="0" t="s">
        <v>138</v>
      </c>
      <c r="V2383" s="14" t="s">
        <v>138</v>
      </c>
      <c r="W2383" s="0" t="s">
        <v>138</v>
      </c>
      <c r="X2383" s="14" t="s">
        <v>138</v>
      </c>
      <c r="Y2383" s="0" t="s">
        <v>138</v>
      </c>
      <c r="Z2383" s="14" t="s">
        <v>138</v>
      </c>
      <c r="AA2383" s="0" t="s">
        <v>138</v>
      </c>
      <c r="AB2383" s="14" t="s">
        <v>138</v>
      </c>
      <c r="AD2383" s="0" t="s">
        <v>138</v>
      </c>
      <c r="AF2383" s="0">
        <v>0</v>
      </c>
      <c r="AG2383" s="0">
        <v>0</v>
      </c>
      <c r="AH2383" s="0" t="s">
        <v>140</v>
      </c>
      <c r="AI2383" s="0" t="s">
        <v>138</v>
      </c>
      <c r="AL2383" s="14"/>
      <c r="AN2383" s="14"/>
      <c r="AQ2383" s="0" t="s">
        <v>130</v>
      </c>
      <c r="AR2383" s="0" t="s">
        <v>130</v>
      </c>
      <c r="AS2383" s="0" t="s">
        <v>130</v>
      </c>
      <c r="AT2383" s="0" t="s">
        <v>130</v>
      </c>
      <c r="AU2383" s="0" t="s">
        <v>130</v>
      </c>
      <c r="AV2383" s="0" t="s">
        <v>141</v>
      </c>
      <c r="AW2383" s="0" t="s">
        <v>130</v>
      </c>
      <c r="AX2383" s="0" t="s">
        <v>130</v>
      </c>
      <c r="AY2383" s="0" t="s">
        <v>130</v>
      </c>
      <c r="AZ2383" s="0" t="s">
        <v>130</v>
      </c>
      <c r="BA2383" s="0" t="s">
        <v>130</v>
      </c>
      <c r="BB2383" s="0" t="s">
        <v>130</v>
      </c>
      <c r="BC2383" s="0" t="s">
        <v>130</v>
      </c>
      <c r="BD2383" s="0" t="s">
        <v>130</v>
      </c>
      <c r="BE2383" s="0" t="s">
        <v>130</v>
      </c>
      <c r="BF2383" s="0" t="s">
        <v>130</v>
      </c>
      <c r="BG2383" s="0" t="s">
        <v>130</v>
      </c>
      <c r="BH2383" s="0" t="s">
        <v>130</v>
      </c>
      <c r="BI2383" s="0" t="s">
        <v>130</v>
      </c>
      <c r="BJ2383" s="0" t="s">
        <v>130</v>
      </c>
      <c r="BK2383" s="0" t="s">
        <v>130</v>
      </c>
      <c r="BL2383" s="0" t="s">
        <v>130</v>
      </c>
      <c r="BM2383" s="0" t="s">
        <v>130</v>
      </c>
      <c r="BN2383" s="0" t="s">
        <v>130</v>
      </c>
      <c r="BO2383" s="0" t="s">
        <v>130</v>
      </c>
      <c r="BP2383" s="0" t="s">
        <v>130</v>
      </c>
      <c r="BQ2383" s="0" t="s">
        <v>130</v>
      </c>
      <c r="BR2383" s="0" t="s">
        <v>130</v>
      </c>
      <c r="BS2383" s="0" t="s">
        <v>130</v>
      </c>
      <c r="BT2383" s="0" t="s">
        <v>130</v>
      </c>
      <c r="BU2383" s="0" t="s">
        <v>130</v>
      </c>
      <c r="BV2383" s="0" t="s">
        <v>130</v>
      </c>
      <c r="BW2383" s="0" t="s">
        <v>130</v>
      </c>
      <c r="BX2383" s="0" t="s">
        <v>141</v>
      </c>
      <c r="BY2383" s="0" t="s">
        <v>130</v>
      </c>
      <c r="BZ2383" s="0" t="s">
        <v>130</v>
      </c>
      <c r="CA2383" s="0" t="s">
        <v>130</v>
      </c>
      <c r="CB2383" s="0" t="s">
        <v>130</v>
      </c>
      <c r="CC2383" s="0" t="s">
        <v>130</v>
      </c>
      <c r="CD2383" s="0" t="s">
        <v>130</v>
      </c>
      <c r="CE2383" s="0" t="s">
        <v>130</v>
      </c>
      <c r="CF2383" s="0" t="s">
        <v>130</v>
      </c>
      <c r="CG2383" s="0" t="s">
        <v>130</v>
      </c>
      <c r="CH2383" s="0" t="s">
        <v>130</v>
      </c>
      <c r="CI2383" s="0" t="s">
        <v>130</v>
      </c>
      <c r="CJ2383" s="0" t="s">
        <v>130</v>
      </c>
      <c r="CK2383" s="0" t="s">
        <v>130</v>
      </c>
      <c r="CL2383" s="0" t="s">
        <v>130</v>
      </c>
      <c r="CM2383" s="0" t="s">
        <v>130</v>
      </c>
      <c r="CN2383" s="0" t="s">
        <v>130</v>
      </c>
      <c r="CO2383" s="0" t="s">
        <v>130</v>
      </c>
      <c r="CP2383" s="0" t="s">
        <v>130</v>
      </c>
      <c r="CQ2383" s="0" t="s">
        <v>130</v>
      </c>
      <c r="CR2383" s="0" t="s">
        <v>130</v>
      </c>
      <c r="CS2383" s="0" t="s">
        <v>130</v>
      </c>
      <c r="CT2383" s="0" t="s">
        <v>6529</v>
      </c>
    </row>
    <row r="2384">
      <c r="A2384" s="14">
        <v>100438</v>
      </c>
      <c r="B2384" s="0" t="s">
        <v>573</v>
      </c>
      <c r="C2384" s="16">
        <f>HYPERLINK("https://eosportal.federatedhermes.com/companies/Q29tcGFueQppNjQzODk=", "Deere &amp; Co")</f>
      </c>
      <c r="D2384" s="0" t="s">
        <v>25</v>
      </c>
      <c r="E2384" s="0" t="s">
        <v>6530</v>
      </c>
      <c r="F2384" s="16">
        <f>HYPERLINK("https://eosportal.federatedhermes.com/engagements/RW5nYWdlbWVudAppMzM1NTc=", "Health and safety performance")</f>
      </c>
      <c r="G2384" s="14" t="s">
        <v>6531</v>
      </c>
      <c r="H2384" s="0" t="s">
        <v>141</v>
      </c>
      <c r="I2384" s="14" t="s">
        <v>191</v>
      </c>
      <c r="J2384" s="0" t="s">
        <v>153</v>
      </c>
      <c r="K2384" s="0" t="s">
        <v>154</v>
      </c>
      <c r="L2384" s="0" t="s">
        <v>155</v>
      </c>
      <c r="M2384" s="0" t="s">
        <v>135</v>
      </c>
      <c r="N2384" s="0" t="s">
        <v>136</v>
      </c>
      <c r="O2384" s="0" t="s">
        <v>176</v>
      </c>
      <c r="Q2384" s="0" t="s">
        <v>141</v>
      </c>
      <c r="R2384" s="0" t="s">
        <v>138</v>
      </c>
      <c r="S2384" s="14">
        <v>1</v>
      </c>
      <c r="T2384" s="0" t="s">
        <v>360</v>
      </c>
      <c r="U2384" s="0" t="s">
        <v>138</v>
      </c>
      <c r="V2384" s="14" t="s">
        <v>138</v>
      </c>
      <c r="W2384" s="0" t="s">
        <v>138</v>
      </c>
      <c r="X2384" s="14" t="s">
        <v>138</v>
      </c>
      <c r="Y2384" s="0" t="s">
        <v>138</v>
      </c>
      <c r="Z2384" s="14" t="s">
        <v>138</v>
      </c>
      <c r="AA2384" s="0" t="s">
        <v>138</v>
      </c>
      <c r="AB2384" s="14" t="s">
        <v>138</v>
      </c>
      <c r="AD2384" s="0" t="s">
        <v>138</v>
      </c>
      <c r="AF2384" s="0">
        <v>0</v>
      </c>
      <c r="AG2384" s="0">
        <v>0</v>
      </c>
      <c r="AH2384" s="0" t="s">
        <v>140</v>
      </c>
      <c r="AI2384" s="0" t="s">
        <v>138</v>
      </c>
      <c r="AK2384" s="0" t="s">
        <v>584</v>
      </c>
      <c r="AL2384" s="14"/>
      <c r="AN2384" s="14"/>
      <c r="AQ2384" s="0" t="s">
        <v>130</v>
      </c>
      <c r="AR2384" s="0" t="s">
        <v>130</v>
      </c>
      <c r="AS2384" s="0" t="s">
        <v>130</v>
      </c>
      <c r="AT2384" s="0" t="s">
        <v>130</v>
      </c>
      <c r="AU2384" s="0" t="s">
        <v>130</v>
      </c>
      <c r="AV2384" s="0" t="s">
        <v>130</v>
      </c>
      <c r="AW2384" s="0" t="s">
        <v>130</v>
      </c>
      <c r="AX2384" s="0" t="s">
        <v>141</v>
      </c>
      <c r="AY2384" s="0" t="s">
        <v>130</v>
      </c>
      <c r="AZ2384" s="0" t="s">
        <v>130</v>
      </c>
      <c r="BA2384" s="0" t="s">
        <v>130</v>
      </c>
      <c r="BB2384" s="0" t="s">
        <v>130</v>
      </c>
      <c r="BC2384" s="0" t="s">
        <v>130</v>
      </c>
      <c r="BD2384" s="0" t="s">
        <v>130</v>
      </c>
      <c r="BE2384" s="0" t="s">
        <v>130</v>
      </c>
      <c r="BF2384" s="0" t="s">
        <v>130</v>
      </c>
      <c r="BG2384" s="0" t="s">
        <v>130</v>
      </c>
      <c r="BH2384" s="0" t="s">
        <v>130</v>
      </c>
      <c r="BI2384" s="0" t="s">
        <v>130</v>
      </c>
      <c r="BJ2384" s="0" t="s">
        <v>130</v>
      </c>
      <c r="BK2384" s="0" t="s">
        <v>130</v>
      </c>
      <c r="BL2384" s="0" t="s">
        <v>130</v>
      </c>
      <c r="BM2384" s="0" t="s">
        <v>130</v>
      </c>
      <c r="BN2384" s="0" t="s">
        <v>130</v>
      </c>
      <c r="BO2384" s="0" t="s">
        <v>130</v>
      </c>
      <c r="BP2384" s="0" t="s">
        <v>130</v>
      </c>
      <c r="BQ2384" s="0" t="s">
        <v>130</v>
      </c>
      <c r="BR2384" s="0" t="s">
        <v>130</v>
      </c>
      <c r="BS2384" s="0" t="s">
        <v>130</v>
      </c>
      <c r="BT2384" s="0" t="s">
        <v>130</v>
      </c>
      <c r="BU2384" s="0" t="s">
        <v>130</v>
      </c>
      <c r="BV2384" s="0" t="s">
        <v>130</v>
      </c>
      <c r="BW2384" s="0" t="s">
        <v>130</v>
      </c>
      <c r="BX2384" s="0" t="s">
        <v>130</v>
      </c>
      <c r="BY2384" s="0" t="s">
        <v>130</v>
      </c>
      <c r="BZ2384" s="0" t="s">
        <v>130</v>
      </c>
      <c r="CA2384" s="0" t="s">
        <v>130</v>
      </c>
      <c r="CB2384" s="0" t="s">
        <v>130</v>
      </c>
      <c r="CC2384" s="0" t="s">
        <v>130</v>
      </c>
      <c r="CD2384" s="0" t="s">
        <v>130</v>
      </c>
      <c r="CE2384" s="0" t="s">
        <v>130</v>
      </c>
      <c r="CF2384" s="0" t="s">
        <v>130</v>
      </c>
      <c r="CG2384" s="0" t="s">
        <v>130</v>
      </c>
      <c r="CH2384" s="0" t="s">
        <v>130</v>
      </c>
      <c r="CI2384" s="0" t="s">
        <v>141</v>
      </c>
      <c r="CJ2384" s="0" t="s">
        <v>130</v>
      </c>
      <c r="CK2384" s="0" t="s">
        <v>130</v>
      </c>
      <c r="CL2384" s="0" t="s">
        <v>130</v>
      </c>
      <c r="CM2384" s="0" t="s">
        <v>130</v>
      </c>
      <c r="CN2384" s="0" t="s">
        <v>130</v>
      </c>
      <c r="CO2384" s="0" t="s">
        <v>130</v>
      </c>
      <c r="CP2384" s="0" t="s">
        <v>130</v>
      </c>
      <c r="CQ2384" s="0" t="s">
        <v>130</v>
      </c>
      <c r="CR2384" s="0" t="s">
        <v>130</v>
      </c>
      <c r="CS2384" s="0" t="s">
        <v>130</v>
      </c>
      <c r="CT2384" s="0" t="s">
        <v>6532</v>
      </c>
    </row>
    <row r="2385">
      <c r="A2385" s="14">
        <v>100285</v>
      </c>
      <c r="B2385" s="0" t="s">
        <v>423</v>
      </c>
      <c r="C2385" s="16">
        <f>HYPERLINK("https://eosportal.federatedhermes.com/companies/Q29tcGFueQppNzM3OTg=", "Caterpillar Inc")</f>
      </c>
      <c r="D2385" s="0" t="s">
        <v>25</v>
      </c>
      <c r="E2385" s="0" t="s">
        <v>6533</v>
      </c>
      <c r="F2385" s="16">
        <f>HYPERLINK("https://eosportal.federatedhermes.com/engagements/RW5nYWdlbWVudAppMzM1NTg=", "Climate aligned accounting and audit")</f>
      </c>
      <c r="G2385" s="14" t="s">
        <v>6534</v>
      </c>
      <c r="H2385" s="0" t="s">
        <v>141</v>
      </c>
      <c r="I2385" s="14" t="s">
        <v>191</v>
      </c>
      <c r="J2385" s="0" t="s">
        <v>197</v>
      </c>
      <c r="K2385" s="0" t="s">
        <v>198</v>
      </c>
      <c r="L2385" s="0" t="s">
        <v>199</v>
      </c>
      <c r="M2385" s="0" t="s">
        <v>135</v>
      </c>
      <c r="N2385" s="0" t="s">
        <v>136</v>
      </c>
      <c r="O2385" s="0" t="s">
        <v>425</v>
      </c>
      <c r="Q2385" s="0" t="s">
        <v>130</v>
      </c>
      <c r="R2385" s="0" t="s">
        <v>138</v>
      </c>
      <c r="S2385" s="14">
        <v>0</v>
      </c>
      <c r="T2385" s="0" t="s">
        <v>360</v>
      </c>
      <c r="U2385" s="0" t="s">
        <v>138</v>
      </c>
      <c r="V2385" s="14" t="s">
        <v>138</v>
      </c>
      <c r="W2385" s="0" t="s">
        <v>138</v>
      </c>
      <c r="X2385" s="14" t="s">
        <v>138</v>
      </c>
      <c r="Y2385" s="0" t="s">
        <v>138</v>
      </c>
      <c r="Z2385" s="14" t="s">
        <v>138</v>
      </c>
      <c r="AA2385" s="0" t="s">
        <v>138</v>
      </c>
      <c r="AB2385" s="14" t="s">
        <v>138</v>
      </c>
      <c r="AD2385" s="0" t="s">
        <v>138</v>
      </c>
      <c r="AF2385" s="0">
        <v>0</v>
      </c>
      <c r="AG2385" s="0">
        <v>0</v>
      </c>
      <c r="AH2385" s="0" t="s">
        <v>140</v>
      </c>
      <c r="AI2385" s="0" t="s">
        <v>138</v>
      </c>
      <c r="AL2385" s="14"/>
      <c r="AN2385" s="14"/>
      <c r="AQ2385" s="0" t="s">
        <v>130</v>
      </c>
      <c r="AR2385" s="0" t="s">
        <v>130</v>
      </c>
      <c r="AS2385" s="0" t="s">
        <v>130</v>
      </c>
      <c r="AT2385" s="0" t="s">
        <v>130</v>
      </c>
      <c r="AU2385" s="0" t="s">
        <v>130</v>
      </c>
      <c r="AV2385" s="0" t="s">
        <v>130</v>
      </c>
      <c r="AW2385" s="0" t="s">
        <v>130</v>
      </c>
      <c r="AX2385" s="0" t="s">
        <v>130</v>
      </c>
      <c r="AY2385" s="0" t="s">
        <v>130</v>
      </c>
      <c r="AZ2385" s="0" t="s">
        <v>130</v>
      </c>
      <c r="BA2385" s="0" t="s">
        <v>130</v>
      </c>
      <c r="BB2385" s="0" t="s">
        <v>141</v>
      </c>
      <c r="BC2385" s="0" t="s">
        <v>130</v>
      </c>
      <c r="BD2385" s="0" t="s">
        <v>130</v>
      </c>
      <c r="BE2385" s="0" t="s">
        <v>130</v>
      </c>
      <c r="BF2385" s="0" t="s">
        <v>130</v>
      </c>
      <c r="BG2385" s="0" t="s">
        <v>130</v>
      </c>
      <c r="BH2385" s="0" t="s">
        <v>130</v>
      </c>
      <c r="BI2385" s="0" t="s">
        <v>130</v>
      </c>
      <c r="BJ2385" s="0" t="s">
        <v>130</v>
      </c>
      <c r="BK2385" s="0" t="s">
        <v>130</v>
      </c>
      <c r="BL2385" s="0" t="s">
        <v>130</v>
      </c>
      <c r="BM2385" s="0" t="s">
        <v>130</v>
      </c>
      <c r="BN2385" s="0" t="s">
        <v>130</v>
      </c>
      <c r="BO2385" s="0" t="s">
        <v>130</v>
      </c>
      <c r="BP2385" s="0" t="s">
        <v>130</v>
      </c>
      <c r="BQ2385" s="0" t="s">
        <v>130</v>
      </c>
      <c r="BR2385" s="0" t="s">
        <v>130</v>
      </c>
      <c r="BS2385" s="0" t="s">
        <v>130</v>
      </c>
      <c r="BT2385" s="0" t="s">
        <v>130</v>
      </c>
      <c r="BU2385" s="0" t="s">
        <v>130</v>
      </c>
      <c r="BV2385" s="0" t="s">
        <v>130</v>
      </c>
      <c r="BW2385" s="0" t="s">
        <v>130</v>
      </c>
      <c r="BX2385" s="0" t="s">
        <v>130</v>
      </c>
      <c r="BY2385" s="0" t="s">
        <v>130</v>
      </c>
      <c r="BZ2385" s="0" t="s">
        <v>130</v>
      </c>
      <c r="CA2385" s="0" t="s">
        <v>130</v>
      </c>
      <c r="CB2385" s="0" t="s">
        <v>130</v>
      </c>
      <c r="CC2385" s="0" t="s">
        <v>130</v>
      </c>
      <c r="CD2385" s="0" t="s">
        <v>130</v>
      </c>
      <c r="CE2385" s="0" t="s">
        <v>130</v>
      </c>
      <c r="CF2385" s="0" t="s">
        <v>130</v>
      </c>
      <c r="CG2385" s="0" t="s">
        <v>130</v>
      </c>
      <c r="CH2385" s="0" t="s">
        <v>130</v>
      </c>
      <c r="CI2385" s="0" t="s">
        <v>130</v>
      </c>
      <c r="CJ2385" s="0" t="s">
        <v>130</v>
      </c>
      <c r="CK2385" s="0" t="s">
        <v>130</v>
      </c>
      <c r="CL2385" s="0" t="s">
        <v>130</v>
      </c>
      <c r="CM2385" s="0" t="s">
        <v>130</v>
      </c>
      <c r="CN2385" s="0" t="s">
        <v>130</v>
      </c>
      <c r="CO2385" s="0" t="s">
        <v>130</v>
      </c>
      <c r="CP2385" s="0" t="s">
        <v>130</v>
      </c>
      <c r="CQ2385" s="0" t="s">
        <v>130</v>
      </c>
      <c r="CR2385" s="0" t="s">
        <v>130</v>
      </c>
      <c r="CS2385" s="0" t="s">
        <v>130</v>
      </c>
      <c r="CT2385" s="0" t="s">
        <v>6535</v>
      </c>
    </row>
    <row r="2386">
      <c r="A2386" s="14">
        <v>111680</v>
      </c>
      <c r="B2386" s="0" t="s">
        <v>633</v>
      </c>
      <c r="C2386" s="16">
        <f>HYPERLINK("https://eosportal.federatedhermes.com/companies/Q29tcGFueQppNTg5Njc=", "Diageo PLC")</f>
      </c>
      <c r="D2386" s="0" t="s">
        <v>23</v>
      </c>
      <c r="E2386" s="0" t="s">
        <v>6267</v>
      </c>
      <c r="F2386" s="16">
        <f>HYPERLINK("https://eosportal.federatedhermes.com/engagements/RW5nYWdlbWVudAppMzM1NzQ=", "Adopt TNFD recommendations")</f>
      </c>
      <c r="G2386" s="14" t="s">
        <v>6536</v>
      </c>
      <c r="H2386" s="0" t="s">
        <v>141</v>
      </c>
      <c r="I2386" s="14" t="s">
        <v>636</v>
      </c>
      <c r="J2386" s="0" t="s">
        <v>197</v>
      </c>
      <c r="K2386" s="0" t="s">
        <v>337</v>
      </c>
      <c r="L2386" s="0" t="s">
        <v>576</v>
      </c>
      <c r="M2386" s="0" t="s">
        <v>272</v>
      </c>
      <c r="N2386" s="0" t="s">
        <v>273</v>
      </c>
      <c r="O2386" s="0" t="s">
        <v>332</v>
      </c>
      <c r="Q2386" s="0" t="s">
        <v>141</v>
      </c>
      <c r="R2386" s="0" t="s">
        <v>141</v>
      </c>
      <c r="S2386" s="14">
        <v>1</v>
      </c>
      <c r="T2386" s="0" t="s">
        <v>360</v>
      </c>
      <c r="U2386" s="0" t="s">
        <v>221</v>
      </c>
      <c r="V2386" s="14" t="s">
        <v>360</v>
      </c>
      <c r="W2386" s="0" t="s">
        <v>221</v>
      </c>
      <c r="X2386" s="14" t="s">
        <v>360</v>
      </c>
      <c r="Y2386" s="0" t="s">
        <v>221</v>
      </c>
      <c r="Z2386" s="14" t="s">
        <v>360</v>
      </c>
      <c r="AA2386" s="0" t="s">
        <v>221</v>
      </c>
      <c r="AB2386" s="14" t="s">
        <v>361</v>
      </c>
      <c r="AC2386" s="0" t="s">
        <v>20</v>
      </c>
      <c r="AD2386" s="0" t="s">
        <v>362</v>
      </c>
      <c r="AE2386" s="0" t="s">
        <v>363</v>
      </c>
      <c r="AF2386" s="0">
        <v>1</v>
      </c>
      <c r="AG2386" s="0">
        <v>0</v>
      </c>
      <c r="AH2386" s="0" t="s">
        <v>140</v>
      </c>
      <c r="AI2386" s="0" t="s">
        <v>221</v>
      </c>
      <c r="AJ2386" s="0" t="s">
        <v>364</v>
      </c>
      <c r="AK2386" s="0" t="s">
        <v>2241</v>
      </c>
      <c r="AL2386" s="14" t="s">
        <v>6537</v>
      </c>
      <c r="AM2386" s="0" t="s">
        <v>580</v>
      </c>
      <c r="AN2386" s="14"/>
      <c r="AQ2386" s="0" t="s">
        <v>130</v>
      </c>
      <c r="AR2386" s="0" t="s">
        <v>130</v>
      </c>
      <c r="AS2386" s="0" t="s">
        <v>130</v>
      </c>
      <c r="AT2386" s="0" t="s">
        <v>130</v>
      </c>
      <c r="AU2386" s="0" t="s">
        <v>130</v>
      </c>
      <c r="AV2386" s="0" t="s">
        <v>141</v>
      </c>
      <c r="AW2386" s="0" t="s">
        <v>130</v>
      </c>
      <c r="AX2386" s="0" t="s">
        <v>130</v>
      </c>
      <c r="AY2386" s="0" t="s">
        <v>130</v>
      </c>
      <c r="AZ2386" s="0" t="s">
        <v>130</v>
      </c>
      <c r="BA2386" s="0" t="s">
        <v>130</v>
      </c>
      <c r="BB2386" s="0" t="s">
        <v>141</v>
      </c>
      <c r="BC2386" s="0" t="s">
        <v>130</v>
      </c>
      <c r="BD2386" s="0" t="s">
        <v>141</v>
      </c>
      <c r="BE2386" s="0" t="s">
        <v>141</v>
      </c>
      <c r="BF2386" s="0" t="s">
        <v>130</v>
      </c>
      <c r="BG2386" s="0" t="s">
        <v>130</v>
      </c>
      <c r="BH2386" s="0" t="s">
        <v>130</v>
      </c>
      <c r="BI2386" s="0" t="s">
        <v>130</v>
      </c>
      <c r="BJ2386" s="0" t="s">
        <v>130</v>
      </c>
      <c r="BK2386" s="0" t="s">
        <v>130</v>
      </c>
      <c r="BL2386" s="0" t="s">
        <v>130</v>
      </c>
      <c r="BM2386" s="0" t="s">
        <v>130</v>
      </c>
      <c r="BN2386" s="0" t="s">
        <v>130</v>
      </c>
      <c r="BO2386" s="0" t="s">
        <v>130</v>
      </c>
      <c r="BP2386" s="0" t="s">
        <v>130</v>
      </c>
      <c r="BQ2386" s="0" t="s">
        <v>130</v>
      </c>
      <c r="BR2386" s="0" t="s">
        <v>130</v>
      </c>
      <c r="BS2386" s="0" t="s">
        <v>130</v>
      </c>
      <c r="BT2386" s="0" t="s">
        <v>130</v>
      </c>
      <c r="BU2386" s="0" t="s">
        <v>130</v>
      </c>
      <c r="BV2386" s="0" t="s">
        <v>130</v>
      </c>
      <c r="BW2386" s="0" t="s">
        <v>130</v>
      </c>
      <c r="BX2386" s="0" t="s">
        <v>130</v>
      </c>
      <c r="BY2386" s="0" t="s">
        <v>130</v>
      </c>
      <c r="BZ2386" s="0" t="s">
        <v>130</v>
      </c>
      <c r="CA2386" s="0" t="s">
        <v>130</v>
      </c>
      <c r="CB2386" s="0" t="s">
        <v>130</v>
      </c>
      <c r="CC2386" s="0" t="s">
        <v>130</v>
      </c>
      <c r="CD2386" s="0" t="s">
        <v>130</v>
      </c>
      <c r="CE2386" s="0" t="s">
        <v>130</v>
      </c>
      <c r="CF2386" s="0" t="s">
        <v>130</v>
      </c>
      <c r="CG2386" s="0" t="s">
        <v>130</v>
      </c>
      <c r="CH2386" s="0" t="s">
        <v>130</v>
      </c>
      <c r="CI2386" s="0" t="s">
        <v>130</v>
      </c>
      <c r="CJ2386" s="0" t="s">
        <v>130</v>
      </c>
      <c r="CK2386" s="0" t="s">
        <v>130</v>
      </c>
      <c r="CL2386" s="0" t="s">
        <v>130</v>
      </c>
      <c r="CM2386" s="0" t="s">
        <v>130</v>
      </c>
      <c r="CN2386" s="0" t="s">
        <v>130</v>
      </c>
      <c r="CO2386" s="0" t="s">
        <v>130</v>
      </c>
      <c r="CP2386" s="0" t="s">
        <v>130</v>
      </c>
      <c r="CQ2386" s="0" t="s">
        <v>130</v>
      </c>
      <c r="CR2386" s="0" t="s">
        <v>130</v>
      </c>
      <c r="CS2386" s="0" t="s">
        <v>130</v>
      </c>
      <c r="CT2386" s="0" t="s">
        <v>6538</v>
      </c>
    </row>
    <row r="2387">
      <c r="A2387" s="14">
        <v>182074</v>
      </c>
      <c r="B2387" s="0" t="s">
        <v>3209</v>
      </c>
      <c r="C2387" s="16">
        <f>HYPERLINK("https://eosportal.federatedhermes.com/companies/Q29tcGFueQppODU4NzQ=", "Equinor ASA")</f>
      </c>
      <c r="D2387" s="0" t="s">
        <v>23</v>
      </c>
      <c r="E2387" s="0" t="s">
        <v>6539</v>
      </c>
      <c r="F2387" s="16">
        <f>HYPERLINK("https://eosportal.federatedhermes.com/engagements/RW5nYWdlbWVudAppMzM1NzU=", "GHG emissions targets and capex aligned with 1.5C")</f>
      </c>
      <c r="G2387" s="14" t="s">
        <v>6540</v>
      </c>
      <c r="H2387" s="0" t="s">
        <v>141</v>
      </c>
      <c r="I2387" s="14" t="s">
        <v>191</v>
      </c>
      <c r="J2387" s="0" t="s">
        <v>197</v>
      </c>
      <c r="K2387" s="0" t="s">
        <v>198</v>
      </c>
      <c r="L2387" s="0" t="s">
        <v>216</v>
      </c>
      <c r="M2387" s="0" t="s">
        <v>378</v>
      </c>
      <c r="N2387" s="0" t="s">
        <v>3211</v>
      </c>
      <c r="O2387" s="0" t="s">
        <v>542</v>
      </c>
      <c r="Q2387" s="0" t="s">
        <v>130</v>
      </c>
      <c r="R2387" s="0" t="s">
        <v>130</v>
      </c>
      <c r="S2387" s="14">
        <v>0</v>
      </c>
      <c r="T2387" s="0" t="s">
        <v>231</v>
      </c>
      <c r="U2387" s="0" t="s">
        <v>221</v>
      </c>
      <c r="V2387" s="14" t="s">
        <v>231</v>
      </c>
      <c r="W2387" s="0" t="s">
        <v>221</v>
      </c>
      <c r="X2387" s="14" t="s">
        <v>2629</v>
      </c>
      <c r="Y2387" s="0" t="s">
        <v>223</v>
      </c>
      <c r="Z2387" s="14" t="s">
        <v>138</v>
      </c>
      <c r="AA2387" s="0" t="s">
        <v>224</v>
      </c>
      <c r="AB2387" s="14" t="s">
        <v>138</v>
      </c>
      <c r="AD2387" s="0" t="s">
        <v>17</v>
      </c>
      <c r="AF2387" s="0">
        <v>0</v>
      </c>
      <c r="AG2387" s="0">
        <v>0</v>
      </c>
      <c r="AH2387" s="0" t="s">
        <v>140</v>
      </c>
      <c r="AI2387" s="0" t="s">
        <v>232</v>
      </c>
      <c r="AL2387" s="14"/>
      <c r="AN2387" s="14"/>
      <c r="AQ2387" s="0" t="s">
        <v>130</v>
      </c>
      <c r="AR2387" s="0" t="s">
        <v>130</v>
      </c>
      <c r="AS2387" s="0" t="s">
        <v>130</v>
      </c>
      <c r="AT2387" s="0" t="s">
        <v>130</v>
      </c>
      <c r="AU2387" s="0" t="s">
        <v>130</v>
      </c>
      <c r="AV2387" s="0" t="s">
        <v>130</v>
      </c>
      <c r="AW2387" s="0" t="s">
        <v>141</v>
      </c>
      <c r="AX2387" s="0" t="s">
        <v>130</v>
      </c>
      <c r="AY2387" s="0" t="s">
        <v>130</v>
      </c>
      <c r="AZ2387" s="0" t="s">
        <v>130</v>
      </c>
      <c r="BA2387" s="0" t="s">
        <v>130</v>
      </c>
      <c r="BB2387" s="0" t="s">
        <v>130</v>
      </c>
      <c r="BC2387" s="0" t="s">
        <v>141</v>
      </c>
      <c r="BD2387" s="0" t="s">
        <v>130</v>
      </c>
      <c r="BE2387" s="0" t="s">
        <v>130</v>
      </c>
      <c r="BF2387" s="0" t="s">
        <v>130</v>
      </c>
      <c r="BG2387" s="0" t="s">
        <v>130</v>
      </c>
      <c r="BH2387" s="0" t="s">
        <v>141</v>
      </c>
      <c r="BI2387" s="0" t="s">
        <v>141</v>
      </c>
      <c r="BJ2387" s="0" t="s">
        <v>141</v>
      </c>
      <c r="BK2387" s="0" t="s">
        <v>130</v>
      </c>
      <c r="BL2387" s="0" t="s">
        <v>130</v>
      </c>
      <c r="BM2387" s="0" t="s">
        <v>130</v>
      </c>
      <c r="BN2387" s="0" t="s">
        <v>130</v>
      </c>
      <c r="BO2387" s="0" t="s">
        <v>130</v>
      </c>
      <c r="BP2387" s="0" t="s">
        <v>130</v>
      </c>
      <c r="BQ2387" s="0" t="s">
        <v>130</v>
      </c>
      <c r="BR2387" s="0" t="s">
        <v>130</v>
      </c>
      <c r="BS2387" s="0" t="s">
        <v>130</v>
      </c>
      <c r="BT2387" s="0" t="s">
        <v>130</v>
      </c>
      <c r="BU2387" s="0" t="s">
        <v>130</v>
      </c>
      <c r="BV2387" s="0" t="s">
        <v>141</v>
      </c>
      <c r="BW2387" s="0" t="s">
        <v>141</v>
      </c>
      <c r="BX2387" s="0" t="s">
        <v>130</v>
      </c>
      <c r="BY2387" s="0" t="s">
        <v>130</v>
      </c>
      <c r="BZ2387" s="0" t="s">
        <v>130</v>
      </c>
      <c r="CA2387" s="0" t="s">
        <v>130</v>
      </c>
      <c r="CB2387" s="0" t="s">
        <v>130</v>
      </c>
      <c r="CC2387" s="0" t="s">
        <v>130</v>
      </c>
      <c r="CD2387" s="0" t="s">
        <v>130</v>
      </c>
      <c r="CE2387" s="0" t="s">
        <v>130</v>
      </c>
      <c r="CF2387" s="0" t="s">
        <v>130</v>
      </c>
      <c r="CG2387" s="0" t="s">
        <v>130</v>
      </c>
      <c r="CH2387" s="0" t="s">
        <v>130</v>
      </c>
      <c r="CI2387" s="0" t="s">
        <v>130</v>
      </c>
      <c r="CJ2387" s="0" t="s">
        <v>130</v>
      </c>
      <c r="CK2387" s="0" t="s">
        <v>130</v>
      </c>
      <c r="CL2387" s="0" t="s">
        <v>130</v>
      </c>
      <c r="CM2387" s="0" t="s">
        <v>130</v>
      </c>
      <c r="CN2387" s="0" t="s">
        <v>130</v>
      </c>
      <c r="CO2387" s="0" t="s">
        <v>130</v>
      </c>
      <c r="CP2387" s="0" t="s">
        <v>130</v>
      </c>
      <c r="CQ2387" s="0" t="s">
        <v>130</v>
      </c>
      <c r="CR2387" s="0" t="s">
        <v>130</v>
      </c>
      <c r="CS2387" s="0" t="s">
        <v>130</v>
      </c>
      <c r="CT2387" s="0" t="s">
        <v>6541</v>
      </c>
    </row>
    <row r="2388">
      <c r="A2388" s="14">
        <v>101254</v>
      </c>
      <c r="B2388" s="0" t="s">
        <v>1531</v>
      </c>
      <c r="C2388" s="16">
        <f>HYPERLINK("https://eosportal.federatedhermes.com/companies/Q29tcGFueQppNTg5NjY=", "Repsol SA")</f>
      </c>
      <c r="D2388" s="0" t="s">
        <v>25</v>
      </c>
      <c r="E2388" s="0" t="s">
        <v>6542</v>
      </c>
      <c r="F2388" s="16">
        <f>HYPERLINK("https://eosportal.federatedhermes.com/engagements/RW5nYWdlbWVudAppMzM1ODE=", "Peru oil spill")</f>
      </c>
      <c r="G2388" s="14" t="s">
        <v>6543</v>
      </c>
      <c r="H2388" s="0" t="s">
        <v>141</v>
      </c>
      <c r="I2388" s="14" t="s">
        <v>191</v>
      </c>
      <c r="J2388" s="0" t="s">
        <v>197</v>
      </c>
      <c r="K2388" s="0" t="s">
        <v>348</v>
      </c>
      <c r="L2388" s="0" t="s">
        <v>650</v>
      </c>
      <c r="M2388" s="0" t="s">
        <v>378</v>
      </c>
      <c r="N2388" s="0" t="s">
        <v>379</v>
      </c>
      <c r="O2388" s="0" t="s">
        <v>542</v>
      </c>
      <c r="Q2388" s="0" t="s">
        <v>130</v>
      </c>
      <c r="R2388" s="0" t="s">
        <v>138</v>
      </c>
      <c r="S2388" s="14">
        <v>0</v>
      </c>
      <c r="T2388" s="0" t="s">
        <v>360</v>
      </c>
      <c r="U2388" s="0" t="s">
        <v>138</v>
      </c>
      <c r="V2388" s="14" t="s">
        <v>138</v>
      </c>
      <c r="W2388" s="0" t="s">
        <v>138</v>
      </c>
      <c r="X2388" s="14" t="s">
        <v>138</v>
      </c>
      <c r="Y2388" s="0" t="s">
        <v>138</v>
      </c>
      <c r="Z2388" s="14" t="s">
        <v>138</v>
      </c>
      <c r="AA2388" s="0" t="s">
        <v>138</v>
      </c>
      <c r="AB2388" s="14" t="s">
        <v>138</v>
      </c>
      <c r="AD2388" s="0" t="s">
        <v>138</v>
      </c>
      <c r="AF2388" s="0">
        <v>0</v>
      </c>
      <c r="AG2388" s="0">
        <v>0</v>
      </c>
      <c r="AH2388" s="0" t="s">
        <v>140</v>
      </c>
      <c r="AI2388" s="0" t="s">
        <v>138</v>
      </c>
      <c r="AL2388" s="14"/>
      <c r="AN2388" s="14"/>
      <c r="AQ2388" s="0" t="s">
        <v>130</v>
      </c>
      <c r="AR2388" s="0" t="s">
        <v>130</v>
      </c>
      <c r="AS2388" s="0" t="s">
        <v>141</v>
      </c>
      <c r="AT2388" s="0" t="s">
        <v>130</v>
      </c>
      <c r="AU2388" s="0" t="s">
        <v>130</v>
      </c>
      <c r="AV2388" s="0" t="s">
        <v>141</v>
      </c>
      <c r="AW2388" s="0" t="s">
        <v>130</v>
      </c>
      <c r="AX2388" s="0" t="s">
        <v>130</v>
      </c>
      <c r="AY2388" s="0" t="s">
        <v>130</v>
      </c>
      <c r="AZ2388" s="0" t="s">
        <v>130</v>
      </c>
      <c r="BA2388" s="0" t="s">
        <v>130</v>
      </c>
      <c r="BB2388" s="0" t="s">
        <v>130</v>
      </c>
      <c r="BC2388" s="0" t="s">
        <v>130</v>
      </c>
      <c r="BD2388" s="0" t="s">
        <v>141</v>
      </c>
      <c r="BE2388" s="0" t="s">
        <v>130</v>
      </c>
      <c r="BF2388" s="0" t="s">
        <v>130</v>
      </c>
      <c r="BG2388" s="0" t="s">
        <v>130</v>
      </c>
      <c r="BH2388" s="0" t="s">
        <v>130</v>
      </c>
      <c r="BI2388" s="0" t="s">
        <v>130</v>
      </c>
      <c r="BJ2388" s="0" t="s">
        <v>130</v>
      </c>
      <c r="BK2388" s="0" t="s">
        <v>130</v>
      </c>
      <c r="BL2388" s="0" t="s">
        <v>130</v>
      </c>
      <c r="BM2388" s="0" t="s">
        <v>130</v>
      </c>
      <c r="BN2388" s="0" t="s">
        <v>130</v>
      </c>
      <c r="BO2388" s="0" t="s">
        <v>130</v>
      </c>
      <c r="BP2388" s="0" t="s">
        <v>130</v>
      </c>
      <c r="BQ2388" s="0" t="s">
        <v>130</v>
      </c>
      <c r="BR2388" s="0" t="s">
        <v>130</v>
      </c>
      <c r="BS2388" s="0" t="s">
        <v>130</v>
      </c>
      <c r="BT2388" s="0" t="s">
        <v>130</v>
      </c>
      <c r="BU2388" s="0" t="s">
        <v>130</v>
      </c>
      <c r="BV2388" s="0" t="s">
        <v>130</v>
      </c>
      <c r="BW2388" s="0" t="s">
        <v>130</v>
      </c>
      <c r="BX2388" s="0" t="s">
        <v>130</v>
      </c>
      <c r="BY2388" s="0" t="s">
        <v>130</v>
      </c>
      <c r="BZ2388" s="0" t="s">
        <v>130</v>
      </c>
      <c r="CA2388" s="0" t="s">
        <v>130</v>
      </c>
      <c r="CB2388" s="0" t="s">
        <v>130</v>
      </c>
      <c r="CC2388" s="0" t="s">
        <v>130</v>
      </c>
      <c r="CD2388" s="0" t="s">
        <v>130</v>
      </c>
      <c r="CE2388" s="0" t="s">
        <v>130</v>
      </c>
      <c r="CF2388" s="0" t="s">
        <v>130</v>
      </c>
      <c r="CG2388" s="0" t="s">
        <v>130</v>
      </c>
      <c r="CH2388" s="0" t="s">
        <v>130</v>
      </c>
      <c r="CI2388" s="0" t="s">
        <v>130</v>
      </c>
      <c r="CJ2388" s="0" t="s">
        <v>130</v>
      </c>
      <c r="CK2388" s="0" t="s">
        <v>130</v>
      </c>
      <c r="CL2388" s="0" t="s">
        <v>130</v>
      </c>
      <c r="CM2388" s="0" t="s">
        <v>130</v>
      </c>
      <c r="CN2388" s="0" t="s">
        <v>130</v>
      </c>
      <c r="CO2388" s="0" t="s">
        <v>130</v>
      </c>
      <c r="CP2388" s="0" t="s">
        <v>130</v>
      </c>
      <c r="CQ2388" s="0" t="s">
        <v>130</v>
      </c>
      <c r="CR2388" s="0" t="s">
        <v>130</v>
      </c>
      <c r="CS2388" s="0" t="s">
        <v>130</v>
      </c>
      <c r="CT2388" s="0" t="s">
        <v>6544</v>
      </c>
    </row>
    <row r="2389">
      <c r="A2389" s="14">
        <v>114805</v>
      </c>
      <c r="B2389" s="0" t="s">
        <v>2134</v>
      </c>
      <c r="C2389" s="16">
        <f>HYPERLINK("https://eosportal.federatedhermes.com/companies/Q29tcGFueQppNzU2OTc=", "Sumitomo Corp")</f>
      </c>
      <c r="D2389" s="0" t="s">
        <v>25</v>
      </c>
      <c r="E2389" s="0" t="s">
        <v>6545</v>
      </c>
      <c r="F2389" s="16">
        <f>HYPERLINK("https://eosportal.federatedhermes.com/engagements/RW5nYWdlbWVudAppMzM1ODc=", "Methane emissions reduction target")</f>
      </c>
      <c r="G2389" s="14" t="s">
        <v>6546</v>
      </c>
      <c r="H2389" s="0" t="s">
        <v>141</v>
      </c>
      <c r="I2389" s="14" t="s">
        <v>636</v>
      </c>
      <c r="J2389" s="0" t="s">
        <v>197</v>
      </c>
      <c r="K2389" s="0" t="s">
        <v>198</v>
      </c>
      <c r="L2389" s="0" t="s">
        <v>216</v>
      </c>
      <c r="M2389" s="0" t="s">
        <v>802</v>
      </c>
      <c r="N2389" s="0" t="s">
        <v>952</v>
      </c>
      <c r="O2389" s="0" t="s">
        <v>176</v>
      </c>
      <c r="Q2389" s="0" t="s">
        <v>141</v>
      </c>
      <c r="R2389" s="0" t="s">
        <v>138</v>
      </c>
      <c r="S2389" s="14">
        <v>1</v>
      </c>
      <c r="T2389" s="0" t="s">
        <v>360</v>
      </c>
      <c r="U2389" s="0" t="s">
        <v>138</v>
      </c>
      <c r="V2389" s="14" t="s">
        <v>138</v>
      </c>
      <c r="W2389" s="0" t="s">
        <v>138</v>
      </c>
      <c r="X2389" s="14" t="s">
        <v>138</v>
      </c>
      <c r="Y2389" s="0" t="s">
        <v>138</v>
      </c>
      <c r="Z2389" s="14" t="s">
        <v>138</v>
      </c>
      <c r="AA2389" s="0" t="s">
        <v>138</v>
      </c>
      <c r="AB2389" s="14" t="s">
        <v>138</v>
      </c>
      <c r="AD2389" s="0" t="s">
        <v>138</v>
      </c>
      <c r="AF2389" s="0">
        <v>0</v>
      </c>
      <c r="AG2389" s="0">
        <v>0</v>
      </c>
      <c r="AH2389" s="0" t="s">
        <v>140</v>
      </c>
      <c r="AI2389" s="0" t="s">
        <v>138</v>
      </c>
      <c r="AK2389" s="0" t="s">
        <v>149</v>
      </c>
      <c r="AL2389" s="14"/>
      <c r="AN2389" s="14"/>
      <c r="AQ2389" s="0" t="s">
        <v>130</v>
      </c>
      <c r="AR2389" s="0" t="s">
        <v>130</v>
      </c>
      <c r="AS2389" s="0" t="s">
        <v>130</v>
      </c>
      <c r="AT2389" s="0" t="s">
        <v>130</v>
      </c>
      <c r="AU2389" s="0" t="s">
        <v>130</v>
      </c>
      <c r="AV2389" s="0" t="s">
        <v>130</v>
      </c>
      <c r="AW2389" s="0" t="s">
        <v>141</v>
      </c>
      <c r="AX2389" s="0" t="s">
        <v>130</v>
      </c>
      <c r="AY2389" s="0" t="s">
        <v>130</v>
      </c>
      <c r="AZ2389" s="0" t="s">
        <v>130</v>
      </c>
      <c r="BA2389" s="0" t="s">
        <v>130</v>
      </c>
      <c r="BB2389" s="0" t="s">
        <v>130</v>
      </c>
      <c r="BC2389" s="0" t="s">
        <v>141</v>
      </c>
      <c r="BD2389" s="0" t="s">
        <v>130</v>
      </c>
      <c r="BE2389" s="0" t="s">
        <v>130</v>
      </c>
      <c r="BF2389" s="0" t="s">
        <v>130</v>
      </c>
      <c r="BG2389" s="0" t="s">
        <v>130</v>
      </c>
      <c r="BH2389" s="0" t="s">
        <v>141</v>
      </c>
      <c r="BI2389" s="0" t="s">
        <v>141</v>
      </c>
      <c r="BJ2389" s="0" t="s">
        <v>141</v>
      </c>
      <c r="BK2389" s="0" t="s">
        <v>130</v>
      </c>
      <c r="BL2389" s="0" t="s">
        <v>130</v>
      </c>
      <c r="BM2389" s="0" t="s">
        <v>130</v>
      </c>
      <c r="BN2389" s="0" t="s">
        <v>130</v>
      </c>
      <c r="BO2389" s="0" t="s">
        <v>130</v>
      </c>
      <c r="BP2389" s="0" t="s">
        <v>130</v>
      </c>
      <c r="BQ2389" s="0" t="s">
        <v>130</v>
      </c>
      <c r="BR2389" s="0" t="s">
        <v>130</v>
      </c>
      <c r="BS2389" s="0" t="s">
        <v>130</v>
      </c>
      <c r="BT2389" s="0" t="s">
        <v>130</v>
      </c>
      <c r="BU2389" s="0" t="s">
        <v>130</v>
      </c>
      <c r="BV2389" s="0" t="s">
        <v>141</v>
      </c>
      <c r="BW2389" s="0" t="s">
        <v>141</v>
      </c>
      <c r="BX2389" s="0" t="s">
        <v>130</v>
      </c>
      <c r="BY2389" s="0" t="s">
        <v>130</v>
      </c>
      <c r="BZ2389" s="0" t="s">
        <v>130</v>
      </c>
      <c r="CA2389" s="0" t="s">
        <v>130</v>
      </c>
      <c r="CB2389" s="0" t="s">
        <v>130</v>
      </c>
      <c r="CC2389" s="0" t="s">
        <v>130</v>
      </c>
      <c r="CD2389" s="0" t="s">
        <v>130</v>
      </c>
      <c r="CE2389" s="0" t="s">
        <v>130</v>
      </c>
      <c r="CF2389" s="0" t="s">
        <v>130</v>
      </c>
      <c r="CG2389" s="0" t="s">
        <v>130</v>
      </c>
      <c r="CH2389" s="0" t="s">
        <v>130</v>
      </c>
      <c r="CI2389" s="0" t="s">
        <v>130</v>
      </c>
      <c r="CJ2389" s="0" t="s">
        <v>130</v>
      </c>
      <c r="CK2389" s="0" t="s">
        <v>130</v>
      </c>
      <c r="CL2389" s="0" t="s">
        <v>130</v>
      </c>
      <c r="CM2389" s="0" t="s">
        <v>130</v>
      </c>
      <c r="CN2389" s="0" t="s">
        <v>130</v>
      </c>
      <c r="CO2389" s="0" t="s">
        <v>130</v>
      </c>
      <c r="CP2389" s="0" t="s">
        <v>130</v>
      </c>
      <c r="CQ2389" s="0" t="s">
        <v>130</v>
      </c>
      <c r="CR2389" s="0" t="s">
        <v>130</v>
      </c>
      <c r="CS2389" s="0" t="s">
        <v>130</v>
      </c>
      <c r="CT2389" s="0" t="s">
        <v>6547</v>
      </c>
    </row>
    <row r="2390">
      <c r="A2390" s="14">
        <v>9010165</v>
      </c>
      <c r="B2390" s="0" t="s">
        <v>3957</v>
      </c>
      <c r="C2390" s="16">
        <f>HYPERLINK("https://eosportal.federatedhermes.com/companies/Q29tcGFueQppNTg5NDg=", "Baidu Inc")</f>
      </c>
      <c r="D2390" s="0" t="s">
        <v>25</v>
      </c>
      <c r="E2390" s="0" t="s">
        <v>6548</v>
      </c>
      <c r="F2390" s="16">
        <f>HYPERLINK("https://eosportal.federatedhermes.com/engagements/RW5nYWdlbWVudAppMzM1ODg=", "Director elections at AGM")</f>
      </c>
      <c r="G2390" s="14" t="s">
        <v>6549</v>
      </c>
      <c r="H2390" s="0" t="s">
        <v>141</v>
      </c>
      <c r="I2390" s="14" t="s">
        <v>131</v>
      </c>
      <c r="J2390" s="0" t="s">
        <v>145</v>
      </c>
      <c r="K2390" s="0" t="s">
        <v>400</v>
      </c>
      <c r="L2390" s="0" t="s">
        <v>401</v>
      </c>
      <c r="M2390" s="0" t="s">
        <v>2807</v>
      </c>
      <c r="N2390" s="0" t="s">
        <v>3272</v>
      </c>
      <c r="O2390" s="0" t="s">
        <v>137</v>
      </c>
      <c r="Q2390" s="0" t="s">
        <v>141</v>
      </c>
      <c r="R2390" s="0" t="s">
        <v>138</v>
      </c>
      <c r="S2390" s="14">
        <v>1</v>
      </c>
      <c r="T2390" s="0" t="s">
        <v>360</v>
      </c>
      <c r="U2390" s="0" t="s">
        <v>138</v>
      </c>
      <c r="V2390" s="14" t="s">
        <v>138</v>
      </c>
      <c r="W2390" s="0" t="s">
        <v>138</v>
      </c>
      <c r="X2390" s="14" t="s">
        <v>138</v>
      </c>
      <c r="Y2390" s="0" t="s">
        <v>138</v>
      </c>
      <c r="Z2390" s="14" t="s">
        <v>138</v>
      </c>
      <c r="AA2390" s="0" t="s">
        <v>138</v>
      </c>
      <c r="AB2390" s="14" t="s">
        <v>138</v>
      </c>
      <c r="AD2390" s="0" t="s">
        <v>138</v>
      </c>
      <c r="AF2390" s="0">
        <v>0</v>
      </c>
      <c r="AG2390" s="0">
        <v>0</v>
      </c>
      <c r="AH2390" s="0" t="s">
        <v>140</v>
      </c>
      <c r="AI2390" s="0" t="s">
        <v>138</v>
      </c>
      <c r="AK2390" s="0" t="s">
        <v>584</v>
      </c>
      <c r="AL2390" s="14"/>
      <c r="AN2390" s="14"/>
      <c r="AQ2390" s="0" t="s">
        <v>130</v>
      </c>
      <c r="AR2390" s="0" t="s">
        <v>130</v>
      </c>
      <c r="AS2390" s="0" t="s">
        <v>130</v>
      </c>
      <c r="AT2390" s="0" t="s">
        <v>130</v>
      </c>
      <c r="AU2390" s="0" t="s">
        <v>130</v>
      </c>
      <c r="AV2390" s="0" t="s">
        <v>130</v>
      </c>
      <c r="AW2390" s="0" t="s">
        <v>130</v>
      </c>
      <c r="AX2390" s="0" t="s">
        <v>130</v>
      </c>
      <c r="AY2390" s="0" t="s">
        <v>130</v>
      </c>
      <c r="AZ2390" s="0" t="s">
        <v>130</v>
      </c>
      <c r="BA2390" s="0" t="s">
        <v>130</v>
      </c>
      <c r="BB2390" s="0" t="s">
        <v>130</v>
      </c>
      <c r="BC2390" s="0" t="s">
        <v>130</v>
      </c>
      <c r="BD2390" s="0" t="s">
        <v>130</v>
      </c>
      <c r="BE2390" s="0" t="s">
        <v>130</v>
      </c>
      <c r="BF2390" s="0" t="s">
        <v>130</v>
      </c>
      <c r="BG2390" s="0" t="s">
        <v>130</v>
      </c>
      <c r="BH2390" s="0" t="s">
        <v>130</v>
      </c>
      <c r="BI2390" s="0" t="s">
        <v>130</v>
      </c>
      <c r="BJ2390" s="0" t="s">
        <v>130</v>
      </c>
      <c r="BK2390" s="0" t="s">
        <v>130</v>
      </c>
      <c r="BL2390" s="0" t="s">
        <v>130</v>
      </c>
      <c r="BM2390" s="0" t="s">
        <v>130</v>
      </c>
      <c r="BN2390" s="0" t="s">
        <v>130</v>
      </c>
      <c r="BO2390" s="0" t="s">
        <v>130</v>
      </c>
      <c r="BP2390" s="0" t="s">
        <v>130</v>
      </c>
      <c r="BQ2390" s="0" t="s">
        <v>130</v>
      </c>
      <c r="BR2390" s="0" t="s">
        <v>130</v>
      </c>
      <c r="BS2390" s="0" t="s">
        <v>130</v>
      </c>
      <c r="BT2390" s="0" t="s">
        <v>130</v>
      </c>
      <c r="BU2390" s="0" t="s">
        <v>130</v>
      </c>
      <c r="BV2390" s="0" t="s">
        <v>130</v>
      </c>
      <c r="BW2390" s="0" t="s">
        <v>130</v>
      </c>
      <c r="BX2390" s="0" t="s">
        <v>130</v>
      </c>
      <c r="BY2390" s="0" t="s">
        <v>130</v>
      </c>
      <c r="BZ2390" s="0" t="s">
        <v>130</v>
      </c>
      <c r="CA2390" s="0" t="s">
        <v>130</v>
      </c>
      <c r="CB2390" s="0" t="s">
        <v>130</v>
      </c>
      <c r="CC2390" s="0" t="s">
        <v>130</v>
      </c>
      <c r="CD2390" s="0" t="s">
        <v>130</v>
      </c>
      <c r="CE2390" s="0" t="s">
        <v>130</v>
      </c>
      <c r="CF2390" s="0" t="s">
        <v>130</v>
      </c>
      <c r="CG2390" s="0" t="s">
        <v>130</v>
      </c>
      <c r="CH2390" s="0" t="s">
        <v>130</v>
      </c>
      <c r="CI2390" s="0" t="s">
        <v>130</v>
      </c>
      <c r="CJ2390" s="0" t="s">
        <v>130</v>
      </c>
      <c r="CK2390" s="0" t="s">
        <v>130</v>
      </c>
      <c r="CL2390" s="0" t="s">
        <v>130</v>
      </c>
      <c r="CM2390" s="0" t="s">
        <v>130</v>
      </c>
      <c r="CN2390" s="0" t="s">
        <v>130</v>
      </c>
      <c r="CO2390" s="0" t="s">
        <v>130</v>
      </c>
      <c r="CP2390" s="0" t="s">
        <v>130</v>
      </c>
      <c r="CQ2390" s="0" t="s">
        <v>130</v>
      </c>
      <c r="CR2390" s="0" t="s">
        <v>130</v>
      </c>
      <c r="CS2390" s="0" t="s">
        <v>130</v>
      </c>
      <c r="CT2390" s="0" t="s">
        <v>6550</v>
      </c>
    </row>
    <row r="2391">
      <c r="A2391" s="14">
        <v>38799931</v>
      </c>
      <c r="B2391" s="0" t="s">
        <v>4492</v>
      </c>
      <c r="C2391" s="16">
        <f>HYPERLINK("https://eosportal.federatedhermes.com/companies/Q29tcGFueQppNzM3OTk=", "JD.com Inc")</f>
      </c>
      <c r="D2391" s="0" t="s">
        <v>25</v>
      </c>
      <c r="E2391" s="0" t="s">
        <v>6551</v>
      </c>
      <c r="F2391" s="16">
        <f>HYPERLINK("https://eosportal.federatedhermes.com/engagements/RW5nYWdlbWVudAppMzM1ODk=", "AI governance and ethical use principles")</f>
      </c>
      <c r="G2391" s="14" t="s">
        <v>6552</v>
      </c>
      <c r="H2391" s="0" t="s">
        <v>141</v>
      </c>
      <c r="I2391" s="14" t="s">
        <v>191</v>
      </c>
      <c r="J2391" s="0" t="s">
        <v>153</v>
      </c>
      <c r="K2391" s="0" t="s">
        <v>243</v>
      </c>
      <c r="L2391" s="0" t="s">
        <v>537</v>
      </c>
      <c r="M2391" s="0" t="s">
        <v>2807</v>
      </c>
      <c r="N2391" s="0" t="s">
        <v>3272</v>
      </c>
      <c r="O2391" s="0" t="s">
        <v>643</v>
      </c>
      <c r="Q2391" s="0" t="s">
        <v>141</v>
      </c>
      <c r="R2391" s="0" t="s">
        <v>138</v>
      </c>
      <c r="S2391" s="14">
        <v>1</v>
      </c>
      <c r="T2391" s="0" t="s">
        <v>360</v>
      </c>
      <c r="U2391" s="0" t="s">
        <v>138</v>
      </c>
      <c r="V2391" s="14" t="s">
        <v>138</v>
      </c>
      <c r="W2391" s="0" t="s">
        <v>138</v>
      </c>
      <c r="X2391" s="14" t="s">
        <v>138</v>
      </c>
      <c r="Y2391" s="0" t="s">
        <v>138</v>
      </c>
      <c r="Z2391" s="14" t="s">
        <v>138</v>
      </c>
      <c r="AA2391" s="0" t="s">
        <v>138</v>
      </c>
      <c r="AB2391" s="14" t="s">
        <v>138</v>
      </c>
      <c r="AD2391" s="0" t="s">
        <v>138</v>
      </c>
      <c r="AF2391" s="0">
        <v>0</v>
      </c>
      <c r="AG2391" s="0">
        <v>0</v>
      </c>
      <c r="AH2391" s="0" t="s">
        <v>140</v>
      </c>
      <c r="AI2391" s="0" t="s">
        <v>138</v>
      </c>
      <c r="AK2391" s="0" t="s">
        <v>1347</v>
      </c>
      <c r="AL2391" s="14"/>
      <c r="AN2391" s="14"/>
      <c r="AQ2391" s="0" t="s">
        <v>130</v>
      </c>
      <c r="AR2391" s="0" t="s">
        <v>130</v>
      </c>
      <c r="AS2391" s="0" t="s">
        <v>130</v>
      </c>
      <c r="AT2391" s="0" t="s">
        <v>130</v>
      </c>
      <c r="AU2391" s="0" t="s">
        <v>130</v>
      </c>
      <c r="AV2391" s="0" t="s">
        <v>130</v>
      </c>
      <c r="AW2391" s="0" t="s">
        <v>130</v>
      </c>
      <c r="AX2391" s="0" t="s">
        <v>130</v>
      </c>
      <c r="AY2391" s="0" t="s">
        <v>130</v>
      </c>
      <c r="AZ2391" s="0" t="s">
        <v>130</v>
      </c>
      <c r="BA2391" s="0" t="s">
        <v>130</v>
      </c>
      <c r="BB2391" s="0" t="s">
        <v>130</v>
      </c>
      <c r="BC2391" s="0" t="s">
        <v>130</v>
      </c>
      <c r="BD2391" s="0" t="s">
        <v>130</v>
      </c>
      <c r="BE2391" s="0" t="s">
        <v>130</v>
      </c>
      <c r="BF2391" s="0" t="s">
        <v>141</v>
      </c>
      <c r="BG2391" s="0" t="s">
        <v>130</v>
      </c>
      <c r="BH2391" s="0" t="s">
        <v>130</v>
      </c>
      <c r="BI2391" s="0" t="s">
        <v>130</v>
      </c>
      <c r="BJ2391" s="0" t="s">
        <v>130</v>
      </c>
      <c r="BK2391" s="0" t="s">
        <v>130</v>
      </c>
      <c r="BL2391" s="0" t="s">
        <v>130</v>
      </c>
      <c r="BM2391" s="0" t="s">
        <v>130</v>
      </c>
      <c r="BN2391" s="0" t="s">
        <v>130</v>
      </c>
      <c r="BO2391" s="0" t="s">
        <v>130</v>
      </c>
      <c r="BP2391" s="0" t="s">
        <v>130</v>
      </c>
      <c r="BQ2391" s="0" t="s">
        <v>130</v>
      </c>
      <c r="BR2391" s="0" t="s">
        <v>130</v>
      </c>
      <c r="BS2391" s="0" t="s">
        <v>130</v>
      </c>
      <c r="BT2391" s="0" t="s">
        <v>130</v>
      </c>
      <c r="BU2391" s="0" t="s">
        <v>130</v>
      </c>
      <c r="BV2391" s="0" t="s">
        <v>130</v>
      </c>
      <c r="BW2391" s="0" t="s">
        <v>130</v>
      </c>
      <c r="BX2391" s="0" t="s">
        <v>130</v>
      </c>
      <c r="BY2391" s="0" t="s">
        <v>130</v>
      </c>
      <c r="BZ2391" s="0" t="s">
        <v>130</v>
      </c>
      <c r="CA2391" s="0" t="s">
        <v>130</v>
      </c>
      <c r="CB2391" s="0" t="s">
        <v>130</v>
      </c>
      <c r="CC2391" s="0" t="s">
        <v>130</v>
      </c>
      <c r="CD2391" s="0" t="s">
        <v>130</v>
      </c>
      <c r="CE2391" s="0" t="s">
        <v>130</v>
      </c>
      <c r="CF2391" s="0" t="s">
        <v>130</v>
      </c>
      <c r="CG2391" s="0" t="s">
        <v>130</v>
      </c>
      <c r="CH2391" s="0" t="s">
        <v>130</v>
      </c>
      <c r="CI2391" s="0" t="s">
        <v>130</v>
      </c>
      <c r="CJ2391" s="0" t="s">
        <v>130</v>
      </c>
      <c r="CK2391" s="0" t="s">
        <v>130</v>
      </c>
      <c r="CL2391" s="0" t="s">
        <v>130</v>
      </c>
      <c r="CM2391" s="0" t="s">
        <v>130</v>
      </c>
      <c r="CN2391" s="0" t="s">
        <v>130</v>
      </c>
      <c r="CO2391" s="0" t="s">
        <v>130</v>
      </c>
      <c r="CP2391" s="0" t="s">
        <v>130</v>
      </c>
      <c r="CQ2391" s="0" t="s">
        <v>130</v>
      </c>
      <c r="CR2391" s="0" t="s">
        <v>130</v>
      </c>
      <c r="CS2391" s="0" t="s">
        <v>130</v>
      </c>
      <c r="CT2391" s="0" t="s">
        <v>6553</v>
      </c>
    </row>
    <row r="2392">
      <c r="A2392" s="14">
        <v>114415</v>
      </c>
      <c r="B2392" s="0" t="s">
        <v>2079</v>
      </c>
      <c r="C2392" s="16">
        <f>HYPERLINK("https://eosportal.federatedhermes.com/companies/Q29tcGFueQppNjA0MzU=", "Nippon Yusen KK")</f>
      </c>
      <c r="D2392" s="0" t="s">
        <v>25</v>
      </c>
      <c r="E2392" s="0" t="s">
        <v>6554</v>
      </c>
      <c r="F2392" s="16">
        <f>HYPERLINK("https://eosportal.federatedhermes.com/engagements/RW5nYWdlbWVudAppMzM1OTE=", "Emission reduction target and strategy")</f>
      </c>
      <c r="G2392" s="14" t="s">
        <v>6555</v>
      </c>
      <c r="H2392" s="0" t="s">
        <v>141</v>
      </c>
      <c r="I2392" s="14" t="s">
        <v>636</v>
      </c>
      <c r="J2392" s="0" t="s">
        <v>197</v>
      </c>
      <c r="K2392" s="0" t="s">
        <v>198</v>
      </c>
      <c r="L2392" s="0" t="s">
        <v>216</v>
      </c>
      <c r="M2392" s="0" t="s">
        <v>802</v>
      </c>
      <c r="N2392" s="0" t="s">
        <v>952</v>
      </c>
      <c r="O2392" s="0" t="s">
        <v>425</v>
      </c>
      <c r="Q2392" s="0" t="s">
        <v>141</v>
      </c>
      <c r="R2392" s="0" t="s">
        <v>138</v>
      </c>
      <c r="S2392" s="14">
        <v>1</v>
      </c>
      <c r="T2392" s="0" t="s">
        <v>360</v>
      </c>
      <c r="U2392" s="0" t="s">
        <v>138</v>
      </c>
      <c r="V2392" s="14" t="s">
        <v>138</v>
      </c>
      <c r="W2392" s="0" t="s">
        <v>138</v>
      </c>
      <c r="X2392" s="14" t="s">
        <v>138</v>
      </c>
      <c r="Y2392" s="0" t="s">
        <v>138</v>
      </c>
      <c r="Z2392" s="14" t="s">
        <v>138</v>
      </c>
      <c r="AA2392" s="0" t="s">
        <v>138</v>
      </c>
      <c r="AB2392" s="14" t="s">
        <v>138</v>
      </c>
      <c r="AD2392" s="0" t="s">
        <v>138</v>
      </c>
      <c r="AF2392" s="0">
        <v>0</v>
      </c>
      <c r="AG2392" s="0">
        <v>0</v>
      </c>
      <c r="AH2392" s="0" t="s">
        <v>140</v>
      </c>
      <c r="AI2392" s="0" t="s">
        <v>138</v>
      </c>
      <c r="AK2392" s="0" t="s">
        <v>1439</v>
      </c>
      <c r="AL2392" s="14"/>
      <c r="AN2392" s="14"/>
      <c r="AQ2392" s="0" t="s">
        <v>130</v>
      </c>
      <c r="AR2392" s="0" t="s">
        <v>130</v>
      </c>
      <c r="AS2392" s="0" t="s">
        <v>130</v>
      </c>
      <c r="AT2392" s="0" t="s">
        <v>130</v>
      </c>
      <c r="AU2392" s="0" t="s">
        <v>130</v>
      </c>
      <c r="AV2392" s="0" t="s">
        <v>130</v>
      </c>
      <c r="AW2392" s="0" t="s">
        <v>141</v>
      </c>
      <c r="AX2392" s="0" t="s">
        <v>130</v>
      </c>
      <c r="AY2392" s="0" t="s">
        <v>130</v>
      </c>
      <c r="AZ2392" s="0" t="s">
        <v>130</v>
      </c>
      <c r="BA2392" s="0" t="s">
        <v>130</v>
      </c>
      <c r="BB2392" s="0" t="s">
        <v>130</v>
      </c>
      <c r="BC2392" s="0" t="s">
        <v>141</v>
      </c>
      <c r="BD2392" s="0" t="s">
        <v>130</v>
      </c>
      <c r="BE2392" s="0" t="s">
        <v>130</v>
      </c>
      <c r="BF2392" s="0" t="s">
        <v>130</v>
      </c>
      <c r="BG2392" s="0" t="s">
        <v>130</v>
      </c>
      <c r="BH2392" s="0" t="s">
        <v>141</v>
      </c>
      <c r="BI2392" s="0" t="s">
        <v>141</v>
      </c>
      <c r="BJ2392" s="0" t="s">
        <v>141</v>
      </c>
      <c r="BK2392" s="0" t="s">
        <v>130</v>
      </c>
      <c r="BL2392" s="0" t="s">
        <v>130</v>
      </c>
      <c r="BM2392" s="0" t="s">
        <v>130</v>
      </c>
      <c r="BN2392" s="0" t="s">
        <v>130</v>
      </c>
      <c r="BO2392" s="0" t="s">
        <v>130</v>
      </c>
      <c r="BP2392" s="0" t="s">
        <v>130</v>
      </c>
      <c r="BQ2392" s="0" t="s">
        <v>130</v>
      </c>
      <c r="BR2392" s="0" t="s">
        <v>130</v>
      </c>
      <c r="BS2392" s="0" t="s">
        <v>130</v>
      </c>
      <c r="BT2392" s="0" t="s">
        <v>130</v>
      </c>
      <c r="BU2392" s="0" t="s">
        <v>130</v>
      </c>
      <c r="BV2392" s="0" t="s">
        <v>141</v>
      </c>
      <c r="BW2392" s="0" t="s">
        <v>141</v>
      </c>
      <c r="BX2392" s="0" t="s">
        <v>130</v>
      </c>
      <c r="BY2392" s="0" t="s">
        <v>130</v>
      </c>
      <c r="BZ2392" s="0" t="s">
        <v>130</v>
      </c>
      <c r="CA2392" s="0" t="s">
        <v>130</v>
      </c>
      <c r="CB2392" s="0" t="s">
        <v>130</v>
      </c>
      <c r="CC2392" s="0" t="s">
        <v>130</v>
      </c>
      <c r="CD2392" s="0" t="s">
        <v>130</v>
      </c>
      <c r="CE2392" s="0" t="s">
        <v>130</v>
      </c>
      <c r="CF2392" s="0" t="s">
        <v>130</v>
      </c>
      <c r="CG2392" s="0" t="s">
        <v>130</v>
      </c>
      <c r="CH2392" s="0" t="s">
        <v>130</v>
      </c>
      <c r="CI2392" s="0" t="s">
        <v>130</v>
      </c>
      <c r="CJ2392" s="0" t="s">
        <v>130</v>
      </c>
      <c r="CK2392" s="0" t="s">
        <v>130</v>
      </c>
      <c r="CL2392" s="0" t="s">
        <v>130</v>
      </c>
      <c r="CM2392" s="0" t="s">
        <v>130</v>
      </c>
      <c r="CN2392" s="0" t="s">
        <v>130</v>
      </c>
      <c r="CO2392" s="0" t="s">
        <v>130</v>
      </c>
      <c r="CP2392" s="0" t="s">
        <v>130</v>
      </c>
      <c r="CQ2392" s="0" t="s">
        <v>130</v>
      </c>
      <c r="CR2392" s="0" t="s">
        <v>130</v>
      </c>
      <c r="CS2392" s="0" t="s">
        <v>130</v>
      </c>
      <c r="CT2392" s="0" t="s">
        <v>6556</v>
      </c>
    </row>
    <row r="2393">
      <c r="A2393" s="14">
        <v>114415</v>
      </c>
      <c r="B2393" s="0" t="s">
        <v>2079</v>
      </c>
      <c r="C2393" s="16">
        <f>HYPERLINK("https://eosportal.federatedhermes.com/companies/Q29tcGFueQppNjA0MzU=", "Nippon Yusen KK")</f>
      </c>
      <c r="D2393" s="0" t="s">
        <v>25</v>
      </c>
      <c r="E2393" s="0" t="s">
        <v>6557</v>
      </c>
      <c r="F2393" s="16">
        <f>HYPERLINK("https://eosportal.federatedhermes.com/engagements/RW5nYWdlbWVudAppMzM1OTI=", "Human rights and environmental protection for ship dismantling in Bangladesh")</f>
      </c>
      <c r="G2393" s="14" t="s">
        <v>6558</v>
      </c>
      <c r="H2393" s="0" t="s">
        <v>141</v>
      </c>
      <c r="I2393" s="14" t="s">
        <v>636</v>
      </c>
      <c r="J2393" s="0" t="s">
        <v>153</v>
      </c>
      <c r="K2393" s="0" t="s">
        <v>243</v>
      </c>
      <c r="L2393" s="0" t="s">
        <v>244</v>
      </c>
      <c r="M2393" s="0" t="s">
        <v>802</v>
      </c>
      <c r="N2393" s="0" t="s">
        <v>952</v>
      </c>
      <c r="O2393" s="0" t="s">
        <v>425</v>
      </c>
      <c r="Q2393" s="0" t="s">
        <v>130</v>
      </c>
      <c r="R2393" s="0" t="s">
        <v>138</v>
      </c>
      <c r="S2393" s="14">
        <v>0</v>
      </c>
      <c r="T2393" s="0" t="s">
        <v>360</v>
      </c>
      <c r="U2393" s="0" t="s">
        <v>138</v>
      </c>
      <c r="V2393" s="14" t="s">
        <v>138</v>
      </c>
      <c r="W2393" s="0" t="s">
        <v>138</v>
      </c>
      <c r="X2393" s="14" t="s">
        <v>138</v>
      </c>
      <c r="Y2393" s="0" t="s">
        <v>138</v>
      </c>
      <c r="Z2393" s="14" t="s">
        <v>138</v>
      </c>
      <c r="AA2393" s="0" t="s">
        <v>138</v>
      </c>
      <c r="AB2393" s="14" t="s">
        <v>138</v>
      </c>
      <c r="AD2393" s="0" t="s">
        <v>138</v>
      </c>
      <c r="AF2393" s="0">
        <v>0</v>
      </c>
      <c r="AG2393" s="0">
        <v>0</v>
      </c>
      <c r="AH2393" s="0" t="s">
        <v>140</v>
      </c>
      <c r="AI2393" s="0" t="s">
        <v>138</v>
      </c>
      <c r="AL2393" s="14"/>
      <c r="AN2393" s="14"/>
      <c r="AQ2393" s="0" t="s">
        <v>130</v>
      </c>
      <c r="AR2393" s="0" t="s">
        <v>130</v>
      </c>
      <c r="AS2393" s="0" t="s">
        <v>130</v>
      </c>
      <c r="AT2393" s="0" t="s">
        <v>130</v>
      </c>
      <c r="AU2393" s="0" t="s">
        <v>130</v>
      </c>
      <c r="AV2393" s="0" t="s">
        <v>130</v>
      </c>
      <c r="AW2393" s="0" t="s">
        <v>130</v>
      </c>
      <c r="AX2393" s="0" t="s">
        <v>141</v>
      </c>
      <c r="AY2393" s="0" t="s">
        <v>130</v>
      </c>
      <c r="AZ2393" s="0" t="s">
        <v>130</v>
      </c>
      <c r="BA2393" s="0" t="s">
        <v>130</v>
      </c>
      <c r="BB2393" s="0" t="s">
        <v>130</v>
      </c>
      <c r="BC2393" s="0" t="s">
        <v>130</v>
      </c>
      <c r="BD2393" s="0" t="s">
        <v>130</v>
      </c>
      <c r="BE2393" s="0" t="s">
        <v>130</v>
      </c>
      <c r="BF2393" s="0" t="s">
        <v>130</v>
      </c>
      <c r="BG2393" s="0" t="s">
        <v>130</v>
      </c>
      <c r="BH2393" s="0" t="s">
        <v>130</v>
      </c>
      <c r="BI2393" s="0" t="s">
        <v>130</v>
      </c>
      <c r="BJ2393" s="0" t="s">
        <v>130</v>
      </c>
      <c r="BK2393" s="0" t="s">
        <v>130</v>
      </c>
      <c r="BL2393" s="0" t="s">
        <v>130</v>
      </c>
      <c r="BM2393" s="0" t="s">
        <v>130</v>
      </c>
      <c r="BN2393" s="0" t="s">
        <v>130</v>
      </c>
      <c r="BO2393" s="0" t="s">
        <v>130</v>
      </c>
      <c r="BP2393" s="0" t="s">
        <v>130</v>
      </c>
      <c r="BQ2393" s="0" t="s">
        <v>130</v>
      </c>
      <c r="BR2393" s="0" t="s">
        <v>130</v>
      </c>
      <c r="BS2393" s="0" t="s">
        <v>130</v>
      </c>
      <c r="BT2393" s="0" t="s">
        <v>130</v>
      </c>
      <c r="BU2393" s="0" t="s">
        <v>130</v>
      </c>
      <c r="BV2393" s="0" t="s">
        <v>130</v>
      </c>
      <c r="BW2393" s="0" t="s">
        <v>130</v>
      </c>
      <c r="BX2393" s="0" t="s">
        <v>130</v>
      </c>
      <c r="BY2393" s="0" t="s">
        <v>130</v>
      </c>
      <c r="BZ2393" s="0" t="s">
        <v>130</v>
      </c>
      <c r="CA2393" s="0" t="s">
        <v>130</v>
      </c>
      <c r="CB2393" s="0" t="s">
        <v>130</v>
      </c>
      <c r="CC2393" s="0" t="s">
        <v>130</v>
      </c>
      <c r="CD2393" s="0" t="s">
        <v>130</v>
      </c>
      <c r="CE2393" s="0" t="s">
        <v>130</v>
      </c>
      <c r="CF2393" s="0" t="s">
        <v>130</v>
      </c>
      <c r="CG2393" s="0" t="s">
        <v>130</v>
      </c>
      <c r="CH2393" s="0" t="s">
        <v>130</v>
      </c>
      <c r="CI2393" s="0" t="s">
        <v>130</v>
      </c>
      <c r="CJ2393" s="0" t="s">
        <v>130</v>
      </c>
      <c r="CK2393" s="0" t="s">
        <v>130</v>
      </c>
      <c r="CL2393" s="0" t="s">
        <v>130</v>
      </c>
      <c r="CM2393" s="0" t="s">
        <v>130</v>
      </c>
      <c r="CN2393" s="0" t="s">
        <v>130</v>
      </c>
      <c r="CO2393" s="0" t="s">
        <v>130</v>
      </c>
      <c r="CP2393" s="0" t="s">
        <v>130</v>
      </c>
      <c r="CQ2393" s="0" t="s">
        <v>130</v>
      </c>
      <c r="CR2393" s="0" t="s">
        <v>130</v>
      </c>
      <c r="CS2393" s="0" t="s">
        <v>130</v>
      </c>
      <c r="CT2393" s="0" t="s">
        <v>6559</v>
      </c>
    </row>
    <row r="2394">
      <c r="A2394" s="14">
        <v>114415</v>
      </c>
      <c r="B2394" s="0" t="s">
        <v>2079</v>
      </c>
      <c r="C2394" s="16">
        <f>HYPERLINK("https://eosportal.federatedhermes.com/companies/Q29tcGFueQppNjA0MzU=", "Nippon Yusen KK")</f>
      </c>
      <c r="D2394" s="0" t="s">
        <v>25</v>
      </c>
      <c r="E2394" s="0" t="s">
        <v>6560</v>
      </c>
      <c r="F2394" s="16">
        <f>HYPERLINK("https://eosportal.federatedhermes.com/engagements/RW5nYWdlbWVudAppMzM1OTM=", "Red Sea attach by Houthi Rebels")</f>
      </c>
      <c r="G2394" s="14" t="s">
        <v>6561</v>
      </c>
      <c r="H2394" s="0" t="s">
        <v>141</v>
      </c>
      <c r="I2394" s="14" t="s">
        <v>636</v>
      </c>
      <c r="J2394" s="0" t="s">
        <v>132</v>
      </c>
      <c r="K2394" s="0" t="s">
        <v>260</v>
      </c>
      <c r="L2394" s="0" t="s">
        <v>261</v>
      </c>
      <c r="M2394" s="0" t="s">
        <v>802</v>
      </c>
      <c r="N2394" s="0" t="s">
        <v>952</v>
      </c>
      <c r="O2394" s="0" t="s">
        <v>425</v>
      </c>
      <c r="Q2394" s="0" t="s">
        <v>130</v>
      </c>
      <c r="R2394" s="0" t="s">
        <v>138</v>
      </c>
      <c r="S2394" s="14">
        <v>0</v>
      </c>
      <c r="T2394" s="0" t="s">
        <v>360</v>
      </c>
      <c r="U2394" s="0" t="s">
        <v>138</v>
      </c>
      <c r="V2394" s="14" t="s">
        <v>138</v>
      </c>
      <c r="W2394" s="0" t="s">
        <v>138</v>
      </c>
      <c r="X2394" s="14" t="s">
        <v>138</v>
      </c>
      <c r="Y2394" s="0" t="s">
        <v>138</v>
      </c>
      <c r="Z2394" s="14" t="s">
        <v>138</v>
      </c>
      <c r="AA2394" s="0" t="s">
        <v>138</v>
      </c>
      <c r="AB2394" s="14" t="s">
        <v>138</v>
      </c>
      <c r="AD2394" s="0" t="s">
        <v>138</v>
      </c>
      <c r="AF2394" s="0">
        <v>0</v>
      </c>
      <c r="AG2394" s="0">
        <v>0</v>
      </c>
      <c r="AH2394" s="0" t="s">
        <v>140</v>
      </c>
      <c r="AI2394" s="0" t="s">
        <v>138</v>
      </c>
      <c r="AL2394" s="14"/>
      <c r="AN2394" s="14"/>
      <c r="AQ2394" s="0" t="s">
        <v>130</v>
      </c>
      <c r="AR2394" s="0" t="s">
        <v>130</v>
      </c>
      <c r="AS2394" s="0" t="s">
        <v>130</v>
      </c>
      <c r="AT2394" s="0" t="s">
        <v>130</v>
      </c>
      <c r="AU2394" s="0" t="s">
        <v>130</v>
      </c>
      <c r="AV2394" s="0" t="s">
        <v>130</v>
      </c>
      <c r="AW2394" s="0" t="s">
        <v>130</v>
      </c>
      <c r="AX2394" s="0" t="s">
        <v>130</v>
      </c>
      <c r="AY2394" s="0" t="s">
        <v>130</v>
      </c>
      <c r="AZ2394" s="0" t="s">
        <v>130</v>
      </c>
      <c r="BA2394" s="0" t="s">
        <v>130</v>
      </c>
      <c r="BB2394" s="0" t="s">
        <v>130</v>
      </c>
      <c r="BC2394" s="0" t="s">
        <v>130</v>
      </c>
      <c r="BD2394" s="0" t="s">
        <v>130</v>
      </c>
      <c r="BE2394" s="0" t="s">
        <v>130</v>
      </c>
      <c r="BF2394" s="0" t="s">
        <v>130</v>
      </c>
      <c r="BG2394" s="0" t="s">
        <v>130</v>
      </c>
      <c r="BH2394" s="0" t="s">
        <v>130</v>
      </c>
      <c r="BI2394" s="0" t="s">
        <v>130</v>
      </c>
      <c r="BJ2394" s="0" t="s">
        <v>130</v>
      </c>
      <c r="BK2394" s="0" t="s">
        <v>130</v>
      </c>
      <c r="BL2394" s="0" t="s">
        <v>130</v>
      </c>
      <c r="BM2394" s="0" t="s">
        <v>130</v>
      </c>
      <c r="BN2394" s="0" t="s">
        <v>130</v>
      </c>
      <c r="BO2394" s="0" t="s">
        <v>130</v>
      </c>
      <c r="BP2394" s="0" t="s">
        <v>130</v>
      </c>
      <c r="BQ2394" s="0" t="s">
        <v>130</v>
      </c>
      <c r="BR2394" s="0" t="s">
        <v>130</v>
      </c>
      <c r="BS2394" s="0" t="s">
        <v>130</v>
      </c>
      <c r="BT2394" s="0" t="s">
        <v>130</v>
      </c>
      <c r="BU2394" s="0" t="s">
        <v>130</v>
      </c>
      <c r="BV2394" s="0" t="s">
        <v>130</v>
      </c>
      <c r="BW2394" s="0" t="s">
        <v>130</v>
      </c>
      <c r="BX2394" s="0" t="s">
        <v>130</v>
      </c>
      <c r="BY2394" s="0" t="s">
        <v>130</v>
      </c>
      <c r="BZ2394" s="0" t="s">
        <v>130</v>
      </c>
      <c r="CA2394" s="0" t="s">
        <v>130</v>
      </c>
      <c r="CB2394" s="0" t="s">
        <v>130</v>
      </c>
      <c r="CC2394" s="0" t="s">
        <v>130</v>
      </c>
      <c r="CD2394" s="0" t="s">
        <v>130</v>
      </c>
      <c r="CE2394" s="0" t="s">
        <v>130</v>
      </c>
      <c r="CF2394" s="0" t="s">
        <v>130</v>
      </c>
      <c r="CG2394" s="0" t="s">
        <v>130</v>
      </c>
      <c r="CH2394" s="0" t="s">
        <v>130</v>
      </c>
      <c r="CI2394" s="0" t="s">
        <v>130</v>
      </c>
      <c r="CJ2394" s="0" t="s">
        <v>130</v>
      </c>
      <c r="CK2394" s="0" t="s">
        <v>130</v>
      </c>
      <c r="CL2394" s="0" t="s">
        <v>130</v>
      </c>
      <c r="CM2394" s="0" t="s">
        <v>130</v>
      </c>
      <c r="CN2394" s="0" t="s">
        <v>130</v>
      </c>
      <c r="CO2394" s="0" t="s">
        <v>130</v>
      </c>
      <c r="CP2394" s="0" t="s">
        <v>130</v>
      </c>
      <c r="CQ2394" s="0" t="s">
        <v>130</v>
      </c>
      <c r="CR2394" s="0" t="s">
        <v>130</v>
      </c>
      <c r="CS2394" s="0" t="s">
        <v>130</v>
      </c>
      <c r="CT2394" s="0" t="s">
        <v>6562</v>
      </c>
    </row>
    <row r="2395">
      <c r="A2395" s="14">
        <v>114415</v>
      </c>
      <c r="B2395" s="0" t="s">
        <v>2079</v>
      </c>
      <c r="C2395" s="16">
        <f>HYPERLINK("https://eosportal.federatedhermes.com/companies/Q29tcGFueQppNjA0MzU=", "Nippon Yusen KK")</f>
      </c>
      <c r="D2395" s="0" t="s">
        <v>25</v>
      </c>
      <c r="E2395" s="0" t="s">
        <v>6563</v>
      </c>
      <c r="F2395" s="16">
        <f>HYPERLINK("https://eosportal.federatedhermes.com/engagements/RW5nYWdlbWVudAppMzM1OTQ=", "Reduction of strategic (cross) shareholding")</f>
      </c>
      <c r="G2395" s="14" t="s">
        <v>6564</v>
      </c>
      <c r="H2395" s="0" t="s">
        <v>141</v>
      </c>
      <c r="I2395" s="14" t="s">
        <v>636</v>
      </c>
      <c r="J2395" s="0" t="s">
        <v>132</v>
      </c>
      <c r="K2395" s="0" t="s">
        <v>133</v>
      </c>
      <c r="L2395" s="0" t="s">
        <v>753</v>
      </c>
      <c r="M2395" s="0" t="s">
        <v>802</v>
      </c>
      <c r="N2395" s="0" t="s">
        <v>952</v>
      </c>
      <c r="O2395" s="0" t="s">
        <v>425</v>
      </c>
      <c r="Q2395" s="0" t="s">
        <v>130</v>
      </c>
      <c r="R2395" s="0" t="s">
        <v>138</v>
      </c>
      <c r="S2395" s="14">
        <v>0</v>
      </c>
      <c r="T2395" s="0" t="s">
        <v>360</v>
      </c>
      <c r="U2395" s="0" t="s">
        <v>138</v>
      </c>
      <c r="V2395" s="14" t="s">
        <v>138</v>
      </c>
      <c r="W2395" s="0" t="s">
        <v>138</v>
      </c>
      <c r="X2395" s="14" t="s">
        <v>138</v>
      </c>
      <c r="Y2395" s="0" t="s">
        <v>138</v>
      </c>
      <c r="Z2395" s="14" t="s">
        <v>138</v>
      </c>
      <c r="AA2395" s="0" t="s">
        <v>138</v>
      </c>
      <c r="AB2395" s="14" t="s">
        <v>138</v>
      </c>
      <c r="AD2395" s="0" t="s">
        <v>138</v>
      </c>
      <c r="AF2395" s="0">
        <v>0</v>
      </c>
      <c r="AG2395" s="0">
        <v>0</v>
      </c>
      <c r="AH2395" s="0" t="s">
        <v>140</v>
      </c>
      <c r="AI2395" s="0" t="s">
        <v>138</v>
      </c>
      <c r="AL2395" s="14"/>
      <c r="AN2395" s="14"/>
      <c r="AQ2395" s="0" t="s">
        <v>130</v>
      </c>
      <c r="AR2395" s="0" t="s">
        <v>130</v>
      </c>
      <c r="AS2395" s="0" t="s">
        <v>130</v>
      </c>
      <c r="AT2395" s="0" t="s">
        <v>130</v>
      </c>
      <c r="AU2395" s="0" t="s">
        <v>130</v>
      </c>
      <c r="AV2395" s="0" t="s">
        <v>130</v>
      </c>
      <c r="AW2395" s="0" t="s">
        <v>130</v>
      </c>
      <c r="AX2395" s="0" t="s">
        <v>130</v>
      </c>
      <c r="AY2395" s="0" t="s">
        <v>130</v>
      </c>
      <c r="AZ2395" s="0" t="s">
        <v>130</v>
      </c>
      <c r="BA2395" s="0" t="s">
        <v>130</v>
      </c>
      <c r="BB2395" s="0" t="s">
        <v>130</v>
      </c>
      <c r="BC2395" s="0" t="s">
        <v>130</v>
      </c>
      <c r="BD2395" s="0" t="s">
        <v>130</v>
      </c>
      <c r="BE2395" s="0" t="s">
        <v>130</v>
      </c>
      <c r="BF2395" s="0" t="s">
        <v>130</v>
      </c>
      <c r="BG2395" s="0" t="s">
        <v>130</v>
      </c>
      <c r="BH2395" s="0" t="s">
        <v>130</v>
      </c>
      <c r="BI2395" s="0" t="s">
        <v>130</v>
      </c>
      <c r="BJ2395" s="0" t="s">
        <v>130</v>
      </c>
      <c r="BK2395" s="0" t="s">
        <v>130</v>
      </c>
      <c r="BL2395" s="0" t="s">
        <v>130</v>
      </c>
      <c r="BM2395" s="0" t="s">
        <v>130</v>
      </c>
      <c r="BN2395" s="0" t="s">
        <v>130</v>
      </c>
      <c r="BO2395" s="0" t="s">
        <v>130</v>
      </c>
      <c r="BP2395" s="0" t="s">
        <v>130</v>
      </c>
      <c r="BQ2395" s="0" t="s">
        <v>130</v>
      </c>
      <c r="BR2395" s="0" t="s">
        <v>130</v>
      </c>
      <c r="BS2395" s="0" t="s">
        <v>130</v>
      </c>
      <c r="BT2395" s="0" t="s">
        <v>130</v>
      </c>
      <c r="BU2395" s="0" t="s">
        <v>130</v>
      </c>
      <c r="BV2395" s="0" t="s">
        <v>130</v>
      </c>
      <c r="BW2395" s="0" t="s">
        <v>130</v>
      </c>
      <c r="BX2395" s="0" t="s">
        <v>130</v>
      </c>
      <c r="BY2395" s="0" t="s">
        <v>130</v>
      </c>
      <c r="BZ2395" s="0" t="s">
        <v>130</v>
      </c>
      <c r="CA2395" s="0" t="s">
        <v>130</v>
      </c>
      <c r="CB2395" s="0" t="s">
        <v>130</v>
      </c>
      <c r="CC2395" s="0" t="s">
        <v>130</v>
      </c>
      <c r="CD2395" s="0" t="s">
        <v>130</v>
      </c>
      <c r="CE2395" s="0" t="s">
        <v>130</v>
      </c>
      <c r="CF2395" s="0" t="s">
        <v>130</v>
      </c>
      <c r="CG2395" s="0" t="s">
        <v>130</v>
      </c>
      <c r="CH2395" s="0" t="s">
        <v>130</v>
      </c>
      <c r="CI2395" s="0" t="s">
        <v>130</v>
      </c>
      <c r="CJ2395" s="0" t="s">
        <v>130</v>
      </c>
      <c r="CK2395" s="0" t="s">
        <v>130</v>
      </c>
      <c r="CL2395" s="0" t="s">
        <v>130</v>
      </c>
      <c r="CM2395" s="0" t="s">
        <v>130</v>
      </c>
      <c r="CN2395" s="0" t="s">
        <v>130</v>
      </c>
      <c r="CO2395" s="0" t="s">
        <v>130</v>
      </c>
      <c r="CP2395" s="0" t="s">
        <v>130</v>
      </c>
      <c r="CQ2395" s="0" t="s">
        <v>130</v>
      </c>
      <c r="CR2395" s="0" t="s">
        <v>130</v>
      </c>
      <c r="CS2395" s="0" t="s">
        <v>130</v>
      </c>
      <c r="CT2395" s="0" t="s">
        <v>6565</v>
      </c>
    </row>
    <row r="2396">
      <c r="A2396" s="14">
        <v>115643</v>
      </c>
      <c r="B2396" s="0" t="s">
        <v>2552</v>
      </c>
      <c r="C2396" s="16">
        <f>HYPERLINK("https://eosportal.federatedhermes.com/companies/Q29tcGFueQppNjk2MzA=", "Koninklijke Ahold Delhaize NV")</f>
      </c>
      <c r="D2396" s="0" t="s">
        <v>25</v>
      </c>
      <c r="E2396" s="0" t="s">
        <v>922</v>
      </c>
      <c r="F2396" s="16">
        <f>HYPERLINK("https://eosportal.federatedhermes.com/engagements/RW5nYWdlbWVudAppMzM1OTY=", "Human rights")</f>
      </c>
      <c r="G2396" s="14" t="s">
        <v>6566</v>
      </c>
      <c r="H2396" s="0" t="s">
        <v>141</v>
      </c>
      <c r="I2396" s="14" t="s">
        <v>1645</v>
      </c>
      <c r="J2396" s="0" t="s">
        <v>153</v>
      </c>
      <c r="K2396" s="0" t="s">
        <v>243</v>
      </c>
      <c r="L2396" s="0" t="s">
        <v>244</v>
      </c>
      <c r="M2396" s="0" t="s">
        <v>378</v>
      </c>
      <c r="N2396" s="0" t="s">
        <v>2554</v>
      </c>
      <c r="O2396" s="0" t="s">
        <v>643</v>
      </c>
      <c r="Q2396" s="0" t="s">
        <v>141</v>
      </c>
      <c r="R2396" s="0" t="s">
        <v>138</v>
      </c>
      <c r="S2396" s="14">
        <v>1</v>
      </c>
      <c r="T2396" s="0" t="s">
        <v>478</v>
      </c>
      <c r="U2396" s="0" t="s">
        <v>138</v>
      </c>
      <c r="V2396" s="14" t="s">
        <v>138</v>
      </c>
      <c r="W2396" s="0" t="s">
        <v>138</v>
      </c>
      <c r="X2396" s="14" t="s">
        <v>138</v>
      </c>
      <c r="Y2396" s="0" t="s">
        <v>138</v>
      </c>
      <c r="Z2396" s="14" t="s">
        <v>138</v>
      </c>
      <c r="AA2396" s="0" t="s">
        <v>138</v>
      </c>
      <c r="AB2396" s="14" t="s">
        <v>138</v>
      </c>
      <c r="AD2396" s="0" t="s">
        <v>138</v>
      </c>
      <c r="AF2396" s="0">
        <v>0</v>
      </c>
      <c r="AG2396" s="0">
        <v>0</v>
      </c>
      <c r="AH2396" s="0" t="s">
        <v>140</v>
      </c>
      <c r="AI2396" s="0" t="s">
        <v>138</v>
      </c>
      <c r="AK2396" s="0" t="s">
        <v>2290</v>
      </c>
      <c r="AL2396" s="14"/>
      <c r="AN2396" s="14"/>
      <c r="AQ2396" s="0" t="s">
        <v>130</v>
      </c>
      <c r="AR2396" s="0" t="s">
        <v>130</v>
      </c>
      <c r="AS2396" s="0" t="s">
        <v>130</v>
      </c>
      <c r="AT2396" s="0" t="s">
        <v>130</v>
      </c>
      <c r="AU2396" s="0" t="s">
        <v>130</v>
      </c>
      <c r="AV2396" s="0" t="s">
        <v>130</v>
      </c>
      <c r="AW2396" s="0" t="s">
        <v>130</v>
      </c>
      <c r="AX2396" s="0" t="s">
        <v>141</v>
      </c>
      <c r="AY2396" s="0" t="s">
        <v>130</v>
      </c>
      <c r="AZ2396" s="0" t="s">
        <v>130</v>
      </c>
      <c r="BA2396" s="0" t="s">
        <v>130</v>
      </c>
      <c r="BB2396" s="0" t="s">
        <v>130</v>
      </c>
      <c r="BC2396" s="0" t="s">
        <v>130</v>
      </c>
      <c r="BD2396" s="0" t="s">
        <v>130</v>
      </c>
      <c r="BE2396" s="0" t="s">
        <v>130</v>
      </c>
      <c r="BF2396" s="0" t="s">
        <v>130</v>
      </c>
      <c r="BG2396" s="0" t="s">
        <v>130</v>
      </c>
      <c r="BH2396" s="0" t="s">
        <v>130</v>
      </c>
      <c r="BI2396" s="0" t="s">
        <v>130</v>
      </c>
      <c r="BJ2396" s="0" t="s">
        <v>130</v>
      </c>
      <c r="BK2396" s="0" t="s">
        <v>130</v>
      </c>
      <c r="BL2396" s="0" t="s">
        <v>130</v>
      </c>
      <c r="BM2396" s="0" t="s">
        <v>130</v>
      </c>
      <c r="BN2396" s="0" t="s">
        <v>130</v>
      </c>
      <c r="BO2396" s="0" t="s">
        <v>130</v>
      </c>
      <c r="BP2396" s="0" t="s">
        <v>130</v>
      </c>
      <c r="BQ2396" s="0" t="s">
        <v>130</v>
      </c>
      <c r="BR2396" s="0" t="s">
        <v>130</v>
      </c>
      <c r="BS2396" s="0" t="s">
        <v>130</v>
      </c>
      <c r="BT2396" s="0" t="s">
        <v>130</v>
      </c>
      <c r="BU2396" s="0" t="s">
        <v>130</v>
      </c>
      <c r="BV2396" s="0" t="s">
        <v>130</v>
      </c>
      <c r="BW2396" s="0" t="s">
        <v>130</v>
      </c>
      <c r="BX2396" s="0" t="s">
        <v>130</v>
      </c>
      <c r="BY2396" s="0" t="s">
        <v>130</v>
      </c>
      <c r="BZ2396" s="0" t="s">
        <v>130</v>
      </c>
      <c r="CA2396" s="0" t="s">
        <v>130</v>
      </c>
      <c r="CB2396" s="0" t="s">
        <v>130</v>
      </c>
      <c r="CC2396" s="0" t="s">
        <v>130</v>
      </c>
      <c r="CD2396" s="0" t="s">
        <v>130</v>
      </c>
      <c r="CE2396" s="0" t="s">
        <v>130</v>
      </c>
      <c r="CF2396" s="0" t="s">
        <v>130</v>
      </c>
      <c r="CG2396" s="0" t="s">
        <v>130</v>
      </c>
      <c r="CH2396" s="0" t="s">
        <v>130</v>
      </c>
      <c r="CI2396" s="0" t="s">
        <v>130</v>
      </c>
      <c r="CJ2396" s="0" t="s">
        <v>130</v>
      </c>
      <c r="CK2396" s="0" t="s">
        <v>130</v>
      </c>
      <c r="CL2396" s="0" t="s">
        <v>130</v>
      </c>
      <c r="CM2396" s="0" t="s">
        <v>130</v>
      </c>
      <c r="CN2396" s="0" t="s">
        <v>130</v>
      </c>
      <c r="CO2396" s="0" t="s">
        <v>130</v>
      </c>
      <c r="CP2396" s="0" t="s">
        <v>130</v>
      </c>
      <c r="CQ2396" s="0" t="s">
        <v>130</v>
      </c>
      <c r="CR2396" s="0" t="s">
        <v>130</v>
      </c>
      <c r="CS2396" s="0" t="s">
        <v>130</v>
      </c>
      <c r="CT2396" s="0" t="s">
        <v>6567</v>
      </c>
    </row>
    <row r="2397">
      <c r="A2397" s="14">
        <v>100978</v>
      </c>
      <c r="B2397" s="0" t="s">
        <v>1111</v>
      </c>
      <c r="C2397" s="16">
        <f>HYPERLINK("https://eosportal.federatedhermes.com/companies/Q29tcGFueQppNDM5NDY=", "Merck &amp; Co Inc")</f>
      </c>
      <c r="D2397" s="0" t="s">
        <v>25</v>
      </c>
      <c r="E2397" s="0" t="s">
        <v>1352</v>
      </c>
      <c r="F2397" s="16">
        <f>HYPERLINK("https://eosportal.federatedhermes.com/engagements/RW5nYWdlbWVudAppMzM2MTA=", "Animal Testing")</f>
      </c>
      <c r="G2397" s="14" t="s">
        <v>6483</v>
      </c>
      <c r="H2397" s="0" t="s">
        <v>141</v>
      </c>
      <c r="I2397" s="14" t="s">
        <v>131</v>
      </c>
      <c r="J2397" s="0" t="s">
        <v>197</v>
      </c>
      <c r="K2397" s="0" t="s">
        <v>337</v>
      </c>
      <c r="L2397" s="0" t="s">
        <v>576</v>
      </c>
      <c r="M2397" s="0" t="s">
        <v>135</v>
      </c>
      <c r="N2397" s="0" t="s">
        <v>136</v>
      </c>
      <c r="O2397" s="0" t="s">
        <v>274</v>
      </c>
      <c r="Q2397" s="0" t="s">
        <v>130</v>
      </c>
      <c r="R2397" s="0" t="s">
        <v>138</v>
      </c>
      <c r="S2397" s="14">
        <v>0</v>
      </c>
      <c r="T2397" s="0" t="s">
        <v>360</v>
      </c>
      <c r="U2397" s="0" t="s">
        <v>138</v>
      </c>
      <c r="V2397" s="14" t="s">
        <v>138</v>
      </c>
      <c r="W2397" s="0" t="s">
        <v>138</v>
      </c>
      <c r="X2397" s="14" t="s">
        <v>138</v>
      </c>
      <c r="Y2397" s="0" t="s">
        <v>138</v>
      </c>
      <c r="Z2397" s="14" t="s">
        <v>138</v>
      </c>
      <c r="AA2397" s="0" t="s">
        <v>138</v>
      </c>
      <c r="AB2397" s="14" t="s">
        <v>138</v>
      </c>
      <c r="AD2397" s="0" t="s">
        <v>138</v>
      </c>
      <c r="AF2397" s="0">
        <v>0</v>
      </c>
      <c r="AG2397" s="0">
        <v>0</v>
      </c>
      <c r="AH2397" s="0" t="s">
        <v>140</v>
      </c>
      <c r="AI2397" s="0" t="s">
        <v>138</v>
      </c>
      <c r="AL2397" s="14"/>
      <c r="AN2397" s="14"/>
      <c r="AQ2397" s="0" t="s">
        <v>130</v>
      </c>
      <c r="AR2397" s="0" t="s">
        <v>130</v>
      </c>
      <c r="AS2397" s="0" t="s">
        <v>130</v>
      </c>
      <c r="AT2397" s="0" t="s">
        <v>130</v>
      </c>
      <c r="AU2397" s="0" t="s">
        <v>130</v>
      </c>
      <c r="AV2397" s="0" t="s">
        <v>130</v>
      </c>
      <c r="AW2397" s="0" t="s">
        <v>130</v>
      </c>
      <c r="AX2397" s="0" t="s">
        <v>130</v>
      </c>
      <c r="AY2397" s="0" t="s">
        <v>130</v>
      </c>
      <c r="AZ2397" s="0" t="s">
        <v>130</v>
      </c>
      <c r="BA2397" s="0" t="s">
        <v>130</v>
      </c>
      <c r="BB2397" s="0" t="s">
        <v>141</v>
      </c>
      <c r="BC2397" s="0" t="s">
        <v>130</v>
      </c>
      <c r="BD2397" s="0" t="s">
        <v>130</v>
      </c>
      <c r="BE2397" s="0" t="s">
        <v>141</v>
      </c>
      <c r="BF2397" s="0" t="s">
        <v>130</v>
      </c>
      <c r="BG2397" s="0" t="s">
        <v>130</v>
      </c>
      <c r="BH2397" s="0" t="s">
        <v>130</v>
      </c>
      <c r="BI2397" s="0" t="s">
        <v>130</v>
      </c>
      <c r="BJ2397" s="0" t="s">
        <v>130</v>
      </c>
      <c r="BK2397" s="0" t="s">
        <v>130</v>
      </c>
      <c r="BL2397" s="0" t="s">
        <v>130</v>
      </c>
      <c r="BM2397" s="0" t="s">
        <v>130</v>
      </c>
      <c r="BN2397" s="0" t="s">
        <v>130</v>
      </c>
      <c r="BO2397" s="0" t="s">
        <v>130</v>
      </c>
      <c r="BP2397" s="0" t="s">
        <v>130</v>
      </c>
      <c r="BQ2397" s="0" t="s">
        <v>130</v>
      </c>
      <c r="BR2397" s="0" t="s">
        <v>130</v>
      </c>
      <c r="BS2397" s="0" t="s">
        <v>130</v>
      </c>
      <c r="BT2397" s="0" t="s">
        <v>130</v>
      </c>
      <c r="BU2397" s="0" t="s">
        <v>130</v>
      </c>
      <c r="BV2397" s="0" t="s">
        <v>130</v>
      </c>
      <c r="BW2397" s="0" t="s">
        <v>130</v>
      </c>
      <c r="BX2397" s="0" t="s">
        <v>130</v>
      </c>
      <c r="BY2397" s="0" t="s">
        <v>130</v>
      </c>
      <c r="BZ2397" s="0" t="s">
        <v>130</v>
      </c>
      <c r="CA2397" s="0" t="s">
        <v>130</v>
      </c>
      <c r="CB2397" s="0" t="s">
        <v>130</v>
      </c>
      <c r="CC2397" s="0" t="s">
        <v>130</v>
      </c>
      <c r="CD2397" s="0" t="s">
        <v>130</v>
      </c>
      <c r="CE2397" s="0" t="s">
        <v>130</v>
      </c>
      <c r="CF2397" s="0" t="s">
        <v>130</v>
      </c>
      <c r="CG2397" s="0" t="s">
        <v>130</v>
      </c>
      <c r="CH2397" s="0" t="s">
        <v>130</v>
      </c>
      <c r="CI2397" s="0" t="s">
        <v>130</v>
      </c>
      <c r="CJ2397" s="0" t="s">
        <v>130</v>
      </c>
      <c r="CK2397" s="0" t="s">
        <v>130</v>
      </c>
      <c r="CL2397" s="0" t="s">
        <v>130</v>
      </c>
      <c r="CM2397" s="0" t="s">
        <v>130</v>
      </c>
      <c r="CN2397" s="0" t="s">
        <v>130</v>
      </c>
      <c r="CO2397" s="0" t="s">
        <v>130</v>
      </c>
      <c r="CP2397" s="0" t="s">
        <v>130</v>
      </c>
      <c r="CQ2397" s="0" t="s">
        <v>130</v>
      </c>
      <c r="CR2397" s="0" t="s">
        <v>130</v>
      </c>
      <c r="CS2397" s="0" t="s">
        <v>130</v>
      </c>
      <c r="CT2397" s="0" t="s">
        <v>6568</v>
      </c>
    </row>
    <row r="2398">
      <c r="A2398" s="14">
        <v>113325</v>
      </c>
      <c r="B2398" s="0" t="s">
        <v>1380</v>
      </c>
      <c r="C2398" s="16">
        <f>HYPERLINK("https://eosportal.federatedhermes.com/companies/Q29tcGFueQppNDY1MDg=", "Asahi Group Holdings Ltd")</f>
      </c>
      <c r="D2398" s="0" t="s">
        <v>25</v>
      </c>
      <c r="E2398" s="0" t="s">
        <v>6569</v>
      </c>
      <c r="F2398" s="16">
        <f>HYPERLINK("https://eosportal.federatedhermes.com/engagements/RW5nYWdlbWVudAppMzM2MTE=", "Increase gender diversity at senior management and board level")</f>
      </c>
      <c r="G2398" s="14" t="s">
        <v>6570</v>
      </c>
      <c r="H2398" s="0" t="s">
        <v>130</v>
      </c>
      <c r="I2398" s="14" t="s">
        <v>319</v>
      </c>
      <c r="J2398" s="0" t="s">
        <v>145</v>
      </c>
      <c r="K2398" s="0" t="s">
        <v>164</v>
      </c>
      <c r="L2398" s="0" t="s">
        <v>165</v>
      </c>
      <c r="M2398" s="0" t="s">
        <v>802</v>
      </c>
      <c r="N2398" s="0" t="s">
        <v>952</v>
      </c>
      <c r="O2398" s="0" t="s">
        <v>332</v>
      </c>
      <c r="Q2398" s="0" t="s">
        <v>130</v>
      </c>
      <c r="R2398" s="0" t="s">
        <v>138</v>
      </c>
      <c r="S2398" s="14">
        <v>0</v>
      </c>
      <c r="T2398" s="0" t="s">
        <v>2629</v>
      </c>
      <c r="U2398" s="0" t="s">
        <v>138</v>
      </c>
      <c r="V2398" s="14" t="s">
        <v>138</v>
      </c>
      <c r="W2398" s="0" t="s">
        <v>138</v>
      </c>
      <c r="X2398" s="14" t="s">
        <v>138</v>
      </c>
      <c r="Y2398" s="0" t="s">
        <v>138</v>
      </c>
      <c r="Z2398" s="14" t="s">
        <v>138</v>
      </c>
      <c r="AA2398" s="0" t="s">
        <v>138</v>
      </c>
      <c r="AB2398" s="14" t="s">
        <v>138</v>
      </c>
      <c r="AD2398" s="0" t="s">
        <v>138</v>
      </c>
      <c r="AF2398" s="0">
        <v>0</v>
      </c>
      <c r="AG2398" s="0">
        <v>0</v>
      </c>
      <c r="AH2398" s="0" t="s">
        <v>140</v>
      </c>
      <c r="AI2398" s="0" t="s">
        <v>138</v>
      </c>
      <c r="AL2398" s="14"/>
      <c r="AN2398" s="14"/>
      <c r="AQ2398" s="0" t="s">
        <v>130</v>
      </c>
      <c r="AR2398" s="0" t="s">
        <v>130</v>
      </c>
      <c r="AS2398" s="0" t="s">
        <v>130</v>
      </c>
      <c r="AT2398" s="0" t="s">
        <v>130</v>
      </c>
      <c r="AU2398" s="0" t="s">
        <v>141</v>
      </c>
      <c r="AV2398" s="0" t="s">
        <v>130</v>
      </c>
      <c r="AW2398" s="0" t="s">
        <v>130</v>
      </c>
      <c r="AX2398" s="0" t="s">
        <v>130</v>
      </c>
      <c r="AY2398" s="0" t="s">
        <v>130</v>
      </c>
      <c r="AZ2398" s="0" t="s">
        <v>130</v>
      </c>
      <c r="BA2398" s="0" t="s">
        <v>130</v>
      </c>
      <c r="BB2398" s="0" t="s">
        <v>130</v>
      </c>
      <c r="BC2398" s="0" t="s">
        <v>130</v>
      </c>
      <c r="BD2398" s="0" t="s">
        <v>130</v>
      </c>
      <c r="BE2398" s="0" t="s">
        <v>130</v>
      </c>
      <c r="BF2398" s="0" t="s">
        <v>130</v>
      </c>
      <c r="BG2398" s="0" t="s">
        <v>130</v>
      </c>
      <c r="BH2398" s="0" t="s">
        <v>130</v>
      </c>
      <c r="BI2398" s="0" t="s">
        <v>130</v>
      </c>
      <c r="BJ2398" s="0" t="s">
        <v>130</v>
      </c>
      <c r="BK2398" s="0" t="s">
        <v>130</v>
      </c>
      <c r="BL2398" s="0" t="s">
        <v>130</v>
      </c>
      <c r="BM2398" s="0" t="s">
        <v>130</v>
      </c>
      <c r="BN2398" s="0" t="s">
        <v>130</v>
      </c>
      <c r="BO2398" s="0" t="s">
        <v>130</v>
      </c>
      <c r="BP2398" s="0" t="s">
        <v>130</v>
      </c>
      <c r="BQ2398" s="0" t="s">
        <v>130</v>
      </c>
      <c r="BR2398" s="0" t="s">
        <v>130</v>
      </c>
      <c r="BS2398" s="0" t="s">
        <v>130</v>
      </c>
      <c r="BT2398" s="0" t="s">
        <v>130</v>
      </c>
      <c r="BU2398" s="0" t="s">
        <v>130</v>
      </c>
      <c r="BV2398" s="0" t="s">
        <v>130</v>
      </c>
      <c r="BW2398" s="0" t="s">
        <v>130</v>
      </c>
      <c r="BX2398" s="0" t="s">
        <v>130</v>
      </c>
      <c r="BY2398" s="0" t="s">
        <v>130</v>
      </c>
      <c r="BZ2398" s="0" t="s">
        <v>130</v>
      </c>
      <c r="CA2398" s="0" t="s">
        <v>130</v>
      </c>
      <c r="CB2398" s="0" t="s">
        <v>130</v>
      </c>
      <c r="CC2398" s="0" t="s">
        <v>130</v>
      </c>
      <c r="CD2398" s="0" t="s">
        <v>130</v>
      </c>
      <c r="CE2398" s="0" t="s">
        <v>130</v>
      </c>
      <c r="CF2398" s="0" t="s">
        <v>130</v>
      </c>
      <c r="CG2398" s="0" t="s">
        <v>130</v>
      </c>
      <c r="CH2398" s="0" t="s">
        <v>130</v>
      </c>
      <c r="CI2398" s="0" t="s">
        <v>130</v>
      </c>
      <c r="CJ2398" s="0" t="s">
        <v>130</v>
      </c>
      <c r="CK2398" s="0" t="s">
        <v>130</v>
      </c>
      <c r="CL2398" s="0" t="s">
        <v>130</v>
      </c>
      <c r="CM2398" s="0" t="s">
        <v>130</v>
      </c>
      <c r="CN2398" s="0" t="s">
        <v>130</v>
      </c>
      <c r="CO2398" s="0" t="s">
        <v>130</v>
      </c>
      <c r="CP2398" s="0" t="s">
        <v>130</v>
      </c>
      <c r="CQ2398" s="0" t="s">
        <v>130</v>
      </c>
      <c r="CR2398" s="0" t="s">
        <v>130</v>
      </c>
      <c r="CS2398" s="0" t="s">
        <v>130</v>
      </c>
      <c r="CT2398" s="0" t="s">
        <v>6571</v>
      </c>
    </row>
    <row r="2399">
      <c r="A2399" s="14">
        <v>24815130</v>
      </c>
      <c r="B2399" s="0" t="s">
        <v>4314</v>
      </c>
      <c r="C2399" s="16">
        <f>HYPERLINK("https://eosportal.federatedhermes.com/companies/Q29tcGFueQppNjMzMjY=", "IQVIA Holdings Inc")</f>
      </c>
      <c r="D2399" s="0" t="s">
        <v>25</v>
      </c>
      <c r="E2399" s="0" t="s">
        <v>1352</v>
      </c>
      <c r="F2399" s="16">
        <f>HYPERLINK("https://eosportal.federatedhermes.com/engagements/RW5nYWdlbWVudAppMzM2MTg=", "Animal Testing")</f>
      </c>
      <c r="G2399" s="14" t="s">
        <v>6483</v>
      </c>
      <c r="H2399" s="0" t="s">
        <v>130</v>
      </c>
      <c r="I2399" s="14" t="s">
        <v>131</v>
      </c>
      <c r="J2399" s="0" t="s">
        <v>197</v>
      </c>
      <c r="K2399" s="0" t="s">
        <v>337</v>
      </c>
      <c r="L2399" s="0" t="s">
        <v>576</v>
      </c>
      <c r="M2399" s="0" t="s">
        <v>135</v>
      </c>
      <c r="N2399" s="0" t="s">
        <v>136</v>
      </c>
      <c r="O2399" s="0" t="s">
        <v>274</v>
      </c>
      <c r="Q2399" s="0" t="s">
        <v>130</v>
      </c>
      <c r="R2399" s="0" t="s">
        <v>138</v>
      </c>
      <c r="S2399" s="14">
        <v>0</v>
      </c>
      <c r="T2399" s="0" t="s">
        <v>360</v>
      </c>
      <c r="U2399" s="0" t="s">
        <v>138</v>
      </c>
      <c r="V2399" s="14" t="s">
        <v>138</v>
      </c>
      <c r="W2399" s="0" t="s">
        <v>138</v>
      </c>
      <c r="X2399" s="14" t="s">
        <v>138</v>
      </c>
      <c r="Y2399" s="0" t="s">
        <v>138</v>
      </c>
      <c r="Z2399" s="14" t="s">
        <v>138</v>
      </c>
      <c r="AA2399" s="0" t="s">
        <v>138</v>
      </c>
      <c r="AB2399" s="14" t="s">
        <v>138</v>
      </c>
      <c r="AD2399" s="0" t="s">
        <v>138</v>
      </c>
      <c r="AF2399" s="0">
        <v>0</v>
      </c>
      <c r="AG2399" s="0">
        <v>0</v>
      </c>
      <c r="AH2399" s="0" t="s">
        <v>140</v>
      </c>
      <c r="AI2399" s="0" t="s">
        <v>138</v>
      </c>
      <c r="AL2399" s="14"/>
      <c r="AN2399" s="14"/>
      <c r="AQ2399" s="0" t="s">
        <v>130</v>
      </c>
      <c r="AR2399" s="0" t="s">
        <v>130</v>
      </c>
      <c r="AS2399" s="0" t="s">
        <v>130</v>
      </c>
      <c r="AT2399" s="0" t="s">
        <v>130</v>
      </c>
      <c r="AU2399" s="0" t="s">
        <v>130</v>
      </c>
      <c r="AV2399" s="0" t="s">
        <v>130</v>
      </c>
      <c r="AW2399" s="0" t="s">
        <v>130</v>
      </c>
      <c r="AX2399" s="0" t="s">
        <v>130</v>
      </c>
      <c r="AY2399" s="0" t="s">
        <v>130</v>
      </c>
      <c r="AZ2399" s="0" t="s">
        <v>130</v>
      </c>
      <c r="BA2399" s="0" t="s">
        <v>130</v>
      </c>
      <c r="BB2399" s="0" t="s">
        <v>141</v>
      </c>
      <c r="BC2399" s="0" t="s">
        <v>130</v>
      </c>
      <c r="BD2399" s="0" t="s">
        <v>130</v>
      </c>
      <c r="BE2399" s="0" t="s">
        <v>141</v>
      </c>
      <c r="BF2399" s="0" t="s">
        <v>130</v>
      </c>
      <c r="BG2399" s="0" t="s">
        <v>130</v>
      </c>
      <c r="BH2399" s="0" t="s">
        <v>130</v>
      </c>
      <c r="BI2399" s="0" t="s">
        <v>130</v>
      </c>
      <c r="BJ2399" s="0" t="s">
        <v>130</v>
      </c>
      <c r="BK2399" s="0" t="s">
        <v>130</v>
      </c>
      <c r="BL2399" s="0" t="s">
        <v>130</v>
      </c>
      <c r="BM2399" s="0" t="s">
        <v>130</v>
      </c>
      <c r="BN2399" s="0" t="s">
        <v>130</v>
      </c>
      <c r="BO2399" s="0" t="s">
        <v>130</v>
      </c>
      <c r="BP2399" s="0" t="s">
        <v>130</v>
      </c>
      <c r="BQ2399" s="0" t="s">
        <v>130</v>
      </c>
      <c r="BR2399" s="0" t="s">
        <v>130</v>
      </c>
      <c r="BS2399" s="0" t="s">
        <v>130</v>
      </c>
      <c r="BT2399" s="0" t="s">
        <v>130</v>
      </c>
      <c r="BU2399" s="0" t="s">
        <v>130</v>
      </c>
      <c r="BV2399" s="0" t="s">
        <v>130</v>
      </c>
      <c r="BW2399" s="0" t="s">
        <v>130</v>
      </c>
      <c r="BX2399" s="0" t="s">
        <v>130</v>
      </c>
      <c r="BY2399" s="0" t="s">
        <v>130</v>
      </c>
      <c r="BZ2399" s="0" t="s">
        <v>130</v>
      </c>
      <c r="CA2399" s="0" t="s">
        <v>130</v>
      </c>
      <c r="CB2399" s="0" t="s">
        <v>130</v>
      </c>
      <c r="CC2399" s="0" t="s">
        <v>130</v>
      </c>
      <c r="CD2399" s="0" t="s">
        <v>130</v>
      </c>
      <c r="CE2399" s="0" t="s">
        <v>130</v>
      </c>
      <c r="CF2399" s="0" t="s">
        <v>130</v>
      </c>
      <c r="CG2399" s="0" t="s">
        <v>130</v>
      </c>
      <c r="CH2399" s="0" t="s">
        <v>130</v>
      </c>
      <c r="CI2399" s="0" t="s">
        <v>130</v>
      </c>
      <c r="CJ2399" s="0" t="s">
        <v>130</v>
      </c>
      <c r="CK2399" s="0" t="s">
        <v>130</v>
      </c>
      <c r="CL2399" s="0" t="s">
        <v>130</v>
      </c>
      <c r="CM2399" s="0" t="s">
        <v>130</v>
      </c>
      <c r="CN2399" s="0" t="s">
        <v>130</v>
      </c>
      <c r="CO2399" s="0" t="s">
        <v>130</v>
      </c>
      <c r="CP2399" s="0" t="s">
        <v>130</v>
      </c>
      <c r="CQ2399" s="0" t="s">
        <v>130</v>
      </c>
      <c r="CR2399" s="0" t="s">
        <v>130</v>
      </c>
      <c r="CS2399" s="0" t="s">
        <v>130</v>
      </c>
      <c r="CT2399" s="0" t="s">
        <v>6572</v>
      </c>
    </row>
    <row r="2400">
      <c r="A2400" s="14">
        <v>21445200</v>
      </c>
      <c r="B2400" s="0" t="s">
        <v>4467</v>
      </c>
      <c r="C2400" s="16">
        <f>HYPERLINK("https://eosportal.federatedhermes.com/companies/Q29tcGFueQppNzM3NjM=", "HCA Healthcare Inc")</f>
      </c>
      <c r="D2400" s="0" t="s">
        <v>25</v>
      </c>
      <c r="E2400" s="0" t="s">
        <v>1352</v>
      </c>
      <c r="F2400" s="16">
        <f>HYPERLINK("https://eosportal.federatedhermes.com/engagements/RW5nYWdlbWVudAppMzM2MjA=", "Animal Testing")</f>
      </c>
      <c r="G2400" s="14" t="s">
        <v>6483</v>
      </c>
      <c r="H2400" s="0" t="s">
        <v>141</v>
      </c>
      <c r="I2400" s="14" t="s">
        <v>131</v>
      </c>
      <c r="J2400" s="0" t="s">
        <v>197</v>
      </c>
      <c r="K2400" s="0" t="s">
        <v>337</v>
      </c>
      <c r="L2400" s="0" t="s">
        <v>576</v>
      </c>
      <c r="M2400" s="0" t="s">
        <v>135</v>
      </c>
      <c r="N2400" s="0" t="s">
        <v>136</v>
      </c>
      <c r="O2400" s="0" t="s">
        <v>274</v>
      </c>
      <c r="Q2400" s="0" t="s">
        <v>130</v>
      </c>
      <c r="R2400" s="0" t="s">
        <v>138</v>
      </c>
      <c r="S2400" s="14">
        <v>0</v>
      </c>
      <c r="T2400" s="0" t="s">
        <v>360</v>
      </c>
      <c r="U2400" s="0" t="s">
        <v>138</v>
      </c>
      <c r="V2400" s="14" t="s">
        <v>138</v>
      </c>
      <c r="W2400" s="0" t="s">
        <v>138</v>
      </c>
      <c r="X2400" s="14" t="s">
        <v>138</v>
      </c>
      <c r="Y2400" s="0" t="s">
        <v>138</v>
      </c>
      <c r="Z2400" s="14" t="s">
        <v>138</v>
      </c>
      <c r="AA2400" s="0" t="s">
        <v>138</v>
      </c>
      <c r="AB2400" s="14" t="s">
        <v>138</v>
      </c>
      <c r="AD2400" s="0" t="s">
        <v>138</v>
      </c>
      <c r="AF2400" s="0">
        <v>0</v>
      </c>
      <c r="AG2400" s="0">
        <v>0</v>
      </c>
      <c r="AH2400" s="0" t="s">
        <v>140</v>
      </c>
      <c r="AI2400" s="0" t="s">
        <v>138</v>
      </c>
      <c r="AL2400" s="14"/>
      <c r="AN2400" s="14"/>
      <c r="AQ2400" s="0" t="s">
        <v>130</v>
      </c>
      <c r="AR2400" s="0" t="s">
        <v>130</v>
      </c>
      <c r="AS2400" s="0" t="s">
        <v>130</v>
      </c>
      <c r="AT2400" s="0" t="s">
        <v>130</v>
      </c>
      <c r="AU2400" s="0" t="s">
        <v>130</v>
      </c>
      <c r="AV2400" s="0" t="s">
        <v>130</v>
      </c>
      <c r="AW2400" s="0" t="s">
        <v>130</v>
      </c>
      <c r="AX2400" s="0" t="s">
        <v>130</v>
      </c>
      <c r="AY2400" s="0" t="s">
        <v>130</v>
      </c>
      <c r="AZ2400" s="0" t="s">
        <v>130</v>
      </c>
      <c r="BA2400" s="0" t="s">
        <v>130</v>
      </c>
      <c r="BB2400" s="0" t="s">
        <v>141</v>
      </c>
      <c r="BC2400" s="0" t="s">
        <v>130</v>
      </c>
      <c r="BD2400" s="0" t="s">
        <v>130</v>
      </c>
      <c r="BE2400" s="0" t="s">
        <v>141</v>
      </c>
      <c r="BF2400" s="0" t="s">
        <v>130</v>
      </c>
      <c r="BG2400" s="0" t="s">
        <v>130</v>
      </c>
      <c r="BH2400" s="0" t="s">
        <v>130</v>
      </c>
      <c r="BI2400" s="0" t="s">
        <v>130</v>
      </c>
      <c r="BJ2400" s="0" t="s">
        <v>130</v>
      </c>
      <c r="BK2400" s="0" t="s">
        <v>130</v>
      </c>
      <c r="BL2400" s="0" t="s">
        <v>130</v>
      </c>
      <c r="BM2400" s="0" t="s">
        <v>130</v>
      </c>
      <c r="BN2400" s="0" t="s">
        <v>130</v>
      </c>
      <c r="BO2400" s="0" t="s">
        <v>130</v>
      </c>
      <c r="BP2400" s="0" t="s">
        <v>130</v>
      </c>
      <c r="BQ2400" s="0" t="s">
        <v>130</v>
      </c>
      <c r="BR2400" s="0" t="s">
        <v>130</v>
      </c>
      <c r="BS2400" s="0" t="s">
        <v>130</v>
      </c>
      <c r="BT2400" s="0" t="s">
        <v>130</v>
      </c>
      <c r="BU2400" s="0" t="s">
        <v>130</v>
      </c>
      <c r="BV2400" s="0" t="s">
        <v>130</v>
      </c>
      <c r="BW2400" s="0" t="s">
        <v>130</v>
      </c>
      <c r="BX2400" s="0" t="s">
        <v>130</v>
      </c>
      <c r="BY2400" s="0" t="s">
        <v>130</v>
      </c>
      <c r="BZ2400" s="0" t="s">
        <v>130</v>
      </c>
      <c r="CA2400" s="0" t="s">
        <v>130</v>
      </c>
      <c r="CB2400" s="0" t="s">
        <v>130</v>
      </c>
      <c r="CC2400" s="0" t="s">
        <v>130</v>
      </c>
      <c r="CD2400" s="0" t="s">
        <v>130</v>
      </c>
      <c r="CE2400" s="0" t="s">
        <v>130</v>
      </c>
      <c r="CF2400" s="0" t="s">
        <v>130</v>
      </c>
      <c r="CG2400" s="0" t="s">
        <v>130</v>
      </c>
      <c r="CH2400" s="0" t="s">
        <v>130</v>
      </c>
      <c r="CI2400" s="0" t="s">
        <v>130</v>
      </c>
      <c r="CJ2400" s="0" t="s">
        <v>130</v>
      </c>
      <c r="CK2400" s="0" t="s">
        <v>130</v>
      </c>
      <c r="CL2400" s="0" t="s">
        <v>130</v>
      </c>
      <c r="CM2400" s="0" t="s">
        <v>130</v>
      </c>
      <c r="CN2400" s="0" t="s">
        <v>130</v>
      </c>
      <c r="CO2400" s="0" t="s">
        <v>130</v>
      </c>
      <c r="CP2400" s="0" t="s">
        <v>130</v>
      </c>
      <c r="CQ2400" s="0" t="s">
        <v>130</v>
      </c>
      <c r="CR2400" s="0" t="s">
        <v>130</v>
      </c>
      <c r="CS2400" s="0" t="s">
        <v>130</v>
      </c>
      <c r="CT2400" s="0" t="s">
        <v>6573</v>
      </c>
    </row>
    <row r="2401">
      <c r="A2401" s="14">
        <v>364913</v>
      </c>
      <c r="B2401" s="0" t="s">
        <v>3725</v>
      </c>
      <c r="C2401" s="16">
        <f>HYPERLINK("https://eosportal.federatedhermes.com/companies/Q29tcGFueQppNzQwNjQ=", "Centene Corp")</f>
      </c>
      <c r="D2401" s="0" t="s">
        <v>25</v>
      </c>
      <c r="E2401" s="0" t="s">
        <v>1352</v>
      </c>
      <c r="F2401" s="16">
        <f>HYPERLINK("https://eosportal.federatedhermes.com/engagements/RW5nYWdlbWVudAppMzM2MjE=", "Animal Testing")</f>
      </c>
      <c r="G2401" s="14" t="s">
        <v>6483</v>
      </c>
      <c r="H2401" s="0" t="s">
        <v>130</v>
      </c>
      <c r="I2401" s="14" t="s">
        <v>319</v>
      </c>
      <c r="J2401" s="0" t="s">
        <v>197</v>
      </c>
      <c r="K2401" s="0" t="s">
        <v>337</v>
      </c>
      <c r="L2401" s="0" t="s">
        <v>576</v>
      </c>
      <c r="M2401" s="0" t="s">
        <v>135</v>
      </c>
      <c r="N2401" s="0" t="s">
        <v>136</v>
      </c>
      <c r="O2401" s="0" t="s">
        <v>274</v>
      </c>
      <c r="Q2401" s="0" t="s">
        <v>130</v>
      </c>
      <c r="R2401" s="0" t="s">
        <v>138</v>
      </c>
      <c r="S2401" s="14">
        <v>0</v>
      </c>
      <c r="T2401" s="0" t="s">
        <v>360</v>
      </c>
      <c r="U2401" s="0" t="s">
        <v>138</v>
      </c>
      <c r="V2401" s="14" t="s">
        <v>138</v>
      </c>
      <c r="W2401" s="0" t="s">
        <v>138</v>
      </c>
      <c r="X2401" s="14" t="s">
        <v>138</v>
      </c>
      <c r="Y2401" s="0" t="s">
        <v>138</v>
      </c>
      <c r="Z2401" s="14" t="s">
        <v>138</v>
      </c>
      <c r="AA2401" s="0" t="s">
        <v>138</v>
      </c>
      <c r="AB2401" s="14" t="s">
        <v>138</v>
      </c>
      <c r="AD2401" s="0" t="s">
        <v>138</v>
      </c>
      <c r="AF2401" s="0">
        <v>0</v>
      </c>
      <c r="AG2401" s="0">
        <v>0</v>
      </c>
      <c r="AH2401" s="0" t="s">
        <v>140</v>
      </c>
      <c r="AI2401" s="0" t="s">
        <v>138</v>
      </c>
      <c r="AL2401" s="14"/>
      <c r="AN2401" s="14"/>
      <c r="AQ2401" s="0" t="s">
        <v>130</v>
      </c>
      <c r="AR2401" s="0" t="s">
        <v>130</v>
      </c>
      <c r="AS2401" s="0" t="s">
        <v>130</v>
      </c>
      <c r="AT2401" s="0" t="s">
        <v>130</v>
      </c>
      <c r="AU2401" s="0" t="s">
        <v>130</v>
      </c>
      <c r="AV2401" s="0" t="s">
        <v>130</v>
      </c>
      <c r="AW2401" s="0" t="s">
        <v>130</v>
      </c>
      <c r="AX2401" s="0" t="s">
        <v>130</v>
      </c>
      <c r="AY2401" s="0" t="s">
        <v>130</v>
      </c>
      <c r="AZ2401" s="0" t="s">
        <v>130</v>
      </c>
      <c r="BA2401" s="0" t="s">
        <v>130</v>
      </c>
      <c r="BB2401" s="0" t="s">
        <v>141</v>
      </c>
      <c r="BC2401" s="0" t="s">
        <v>130</v>
      </c>
      <c r="BD2401" s="0" t="s">
        <v>130</v>
      </c>
      <c r="BE2401" s="0" t="s">
        <v>141</v>
      </c>
      <c r="BF2401" s="0" t="s">
        <v>130</v>
      </c>
      <c r="BG2401" s="0" t="s">
        <v>130</v>
      </c>
      <c r="BH2401" s="0" t="s">
        <v>130</v>
      </c>
      <c r="BI2401" s="0" t="s">
        <v>130</v>
      </c>
      <c r="BJ2401" s="0" t="s">
        <v>130</v>
      </c>
      <c r="BK2401" s="0" t="s">
        <v>130</v>
      </c>
      <c r="BL2401" s="0" t="s">
        <v>130</v>
      </c>
      <c r="BM2401" s="0" t="s">
        <v>130</v>
      </c>
      <c r="BN2401" s="0" t="s">
        <v>130</v>
      </c>
      <c r="BO2401" s="0" t="s">
        <v>130</v>
      </c>
      <c r="BP2401" s="0" t="s">
        <v>130</v>
      </c>
      <c r="BQ2401" s="0" t="s">
        <v>130</v>
      </c>
      <c r="BR2401" s="0" t="s">
        <v>130</v>
      </c>
      <c r="BS2401" s="0" t="s">
        <v>130</v>
      </c>
      <c r="BT2401" s="0" t="s">
        <v>130</v>
      </c>
      <c r="BU2401" s="0" t="s">
        <v>130</v>
      </c>
      <c r="BV2401" s="0" t="s">
        <v>130</v>
      </c>
      <c r="BW2401" s="0" t="s">
        <v>130</v>
      </c>
      <c r="BX2401" s="0" t="s">
        <v>130</v>
      </c>
      <c r="BY2401" s="0" t="s">
        <v>130</v>
      </c>
      <c r="BZ2401" s="0" t="s">
        <v>130</v>
      </c>
      <c r="CA2401" s="0" t="s">
        <v>130</v>
      </c>
      <c r="CB2401" s="0" t="s">
        <v>130</v>
      </c>
      <c r="CC2401" s="0" t="s">
        <v>130</v>
      </c>
      <c r="CD2401" s="0" t="s">
        <v>130</v>
      </c>
      <c r="CE2401" s="0" t="s">
        <v>130</v>
      </c>
      <c r="CF2401" s="0" t="s">
        <v>130</v>
      </c>
      <c r="CG2401" s="0" t="s">
        <v>130</v>
      </c>
      <c r="CH2401" s="0" t="s">
        <v>130</v>
      </c>
      <c r="CI2401" s="0" t="s">
        <v>130</v>
      </c>
      <c r="CJ2401" s="0" t="s">
        <v>130</v>
      </c>
      <c r="CK2401" s="0" t="s">
        <v>130</v>
      </c>
      <c r="CL2401" s="0" t="s">
        <v>130</v>
      </c>
      <c r="CM2401" s="0" t="s">
        <v>130</v>
      </c>
      <c r="CN2401" s="0" t="s">
        <v>130</v>
      </c>
      <c r="CO2401" s="0" t="s">
        <v>130</v>
      </c>
      <c r="CP2401" s="0" t="s">
        <v>130</v>
      </c>
      <c r="CQ2401" s="0" t="s">
        <v>130</v>
      </c>
      <c r="CR2401" s="0" t="s">
        <v>130</v>
      </c>
      <c r="CS2401" s="0" t="s">
        <v>130</v>
      </c>
      <c r="CT2401" s="0" t="s">
        <v>6574</v>
      </c>
    </row>
    <row r="2402">
      <c r="A2402" s="14">
        <v>101466</v>
      </c>
      <c r="B2402" s="0" t="s">
        <v>1628</v>
      </c>
      <c r="C2402" s="16">
        <f>HYPERLINK("https://eosportal.federatedhermes.com/companies/Q29tcGFueQppNzU3MDQ=", "Thermo Fisher Scientific Inc")</f>
      </c>
      <c r="D2402" s="0" t="s">
        <v>25</v>
      </c>
      <c r="E2402" s="0" t="s">
        <v>1352</v>
      </c>
      <c r="F2402" s="16">
        <f>HYPERLINK("https://eosportal.federatedhermes.com/engagements/RW5nYWdlbWVudAppMzM2MjM=", "Animal Testing")</f>
      </c>
      <c r="G2402" s="14" t="s">
        <v>6483</v>
      </c>
      <c r="H2402" s="0" t="s">
        <v>141</v>
      </c>
      <c r="I2402" s="14" t="s">
        <v>636</v>
      </c>
      <c r="J2402" s="0" t="s">
        <v>197</v>
      </c>
      <c r="K2402" s="0" t="s">
        <v>337</v>
      </c>
      <c r="L2402" s="0" t="s">
        <v>576</v>
      </c>
      <c r="M2402" s="0" t="s">
        <v>135</v>
      </c>
      <c r="N2402" s="0" t="s">
        <v>136</v>
      </c>
      <c r="O2402" s="0" t="s">
        <v>274</v>
      </c>
      <c r="Q2402" s="0" t="s">
        <v>130</v>
      </c>
      <c r="R2402" s="0" t="s">
        <v>138</v>
      </c>
      <c r="S2402" s="14">
        <v>0</v>
      </c>
      <c r="T2402" s="0" t="s">
        <v>360</v>
      </c>
      <c r="U2402" s="0" t="s">
        <v>138</v>
      </c>
      <c r="V2402" s="14" t="s">
        <v>138</v>
      </c>
      <c r="W2402" s="0" t="s">
        <v>138</v>
      </c>
      <c r="X2402" s="14" t="s">
        <v>138</v>
      </c>
      <c r="Y2402" s="0" t="s">
        <v>138</v>
      </c>
      <c r="Z2402" s="14" t="s">
        <v>138</v>
      </c>
      <c r="AA2402" s="0" t="s">
        <v>138</v>
      </c>
      <c r="AB2402" s="14" t="s">
        <v>138</v>
      </c>
      <c r="AD2402" s="0" t="s">
        <v>138</v>
      </c>
      <c r="AF2402" s="0">
        <v>0</v>
      </c>
      <c r="AG2402" s="0">
        <v>0</v>
      </c>
      <c r="AH2402" s="0" t="s">
        <v>140</v>
      </c>
      <c r="AI2402" s="0" t="s">
        <v>138</v>
      </c>
      <c r="AL2402" s="14"/>
      <c r="AN2402" s="14"/>
      <c r="AQ2402" s="0" t="s">
        <v>130</v>
      </c>
      <c r="AR2402" s="0" t="s">
        <v>130</v>
      </c>
      <c r="AS2402" s="0" t="s">
        <v>130</v>
      </c>
      <c r="AT2402" s="0" t="s">
        <v>130</v>
      </c>
      <c r="AU2402" s="0" t="s">
        <v>130</v>
      </c>
      <c r="AV2402" s="0" t="s">
        <v>130</v>
      </c>
      <c r="AW2402" s="0" t="s">
        <v>130</v>
      </c>
      <c r="AX2402" s="0" t="s">
        <v>130</v>
      </c>
      <c r="AY2402" s="0" t="s">
        <v>130</v>
      </c>
      <c r="AZ2402" s="0" t="s">
        <v>130</v>
      </c>
      <c r="BA2402" s="0" t="s">
        <v>130</v>
      </c>
      <c r="BB2402" s="0" t="s">
        <v>141</v>
      </c>
      <c r="BC2402" s="0" t="s">
        <v>130</v>
      </c>
      <c r="BD2402" s="0" t="s">
        <v>130</v>
      </c>
      <c r="BE2402" s="0" t="s">
        <v>141</v>
      </c>
      <c r="BF2402" s="0" t="s">
        <v>130</v>
      </c>
      <c r="BG2402" s="0" t="s">
        <v>130</v>
      </c>
      <c r="BH2402" s="0" t="s">
        <v>130</v>
      </c>
      <c r="BI2402" s="0" t="s">
        <v>130</v>
      </c>
      <c r="BJ2402" s="0" t="s">
        <v>130</v>
      </c>
      <c r="BK2402" s="0" t="s">
        <v>130</v>
      </c>
      <c r="BL2402" s="0" t="s">
        <v>130</v>
      </c>
      <c r="BM2402" s="0" t="s">
        <v>130</v>
      </c>
      <c r="BN2402" s="0" t="s">
        <v>130</v>
      </c>
      <c r="BO2402" s="0" t="s">
        <v>130</v>
      </c>
      <c r="BP2402" s="0" t="s">
        <v>130</v>
      </c>
      <c r="BQ2402" s="0" t="s">
        <v>130</v>
      </c>
      <c r="BR2402" s="0" t="s">
        <v>130</v>
      </c>
      <c r="BS2402" s="0" t="s">
        <v>130</v>
      </c>
      <c r="BT2402" s="0" t="s">
        <v>130</v>
      </c>
      <c r="BU2402" s="0" t="s">
        <v>130</v>
      </c>
      <c r="BV2402" s="0" t="s">
        <v>130</v>
      </c>
      <c r="BW2402" s="0" t="s">
        <v>130</v>
      </c>
      <c r="BX2402" s="0" t="s">
        <v>130</v>
      </c>
      <c r="BY2402" s="0" t="s">
        <v>130</v>
      </c>
      <c r="BZ2402" s="0" t="s">
        <v>130</v>
      </c>
      <c r="CA2402" s="0" t="s">
        <v>130</v>
      </c>
      <c r="CB2402" s="0" t="s">
        <v>130</v>
      </c>
      <c r="CC2402" s="0" t="s">
        <v>130</v>
      </c>
      <c r="CD2402" s="0" t="s">
        <v>130</v>
      </c>
      <c r="CE2402" s="0" t="s">
        <v>130</v>
      </c>
      <c r="CF2402" s="0" t="s">
        <v>130</v>
      </c>
      <c r="CG2402" s="0" t="s">
        <v>130</v>
      </c>
      <c r="CH2402" s="0" t="s">
        <v>130</v>
      </c>
      <c r="CI2402" s="0" t="s">
        <v>130</v>
      </c>
      <c r="CJ2402" s="0" t="s">
        <v>130</v>
      </c>
      <c r="CK2402" s="0" t="s">
        <v>130</v>
      </c>
      <c r="CL2402" s="0" t="s">
        <v>130</v>
      </c>
      <c r="CM2402" s="0" t="s">
        <v>130</v>
      </c>
      <c r="CN2402" s="0" t="s">
        <v>130</v>
      </c>
      <c r="CO2402" s="0" t="s">
        <v>130</v>
      </c>
      <c r="CP2402" s="0" t="s">
        <v>130</v>
      </c>
      <c r="CQ2402" s="0" t="s">
        <v>130</v>
      </c>
      <c r="CR2402" s="0" t="s">
        <v>130</v>
      </c>
      <c r="CS2402" s="0" t="s">
        <v>130</v>
      </c>
      <c r="CT2402" s="0" t="s">
        <v>6575</v>
      </c>
    </row>
    <row r="2403">
      <c r="A2403" s="14">
        <v>101166</v>
      </c>
      <c r="B2403" s="0" t="s">
        <v>1275</v>
      </c>
      <c r="C2403" s="16">
        <f>HYPERLINK("https://eosportal.federatedhermes.com/companies/Q29tcGFueQppODU4OTI=", "Pfizer Inc")</f>
      </c>
      <c r="D2403" s="0" t="s">
        <v>25</v>
      </c>
      <c r="E2403" s="0" t="s">
        <v>1352</v>
      </c>
      <c r="F2403" s="16">
        <f>HYPERLINK("https://eosportal.federatedhermes.com/engagements/RW5nYWdlbWVudAppMzM2MjU=", "Animal Testing")</f>
      </c>
      <c r="G2403" s="14" t="s">
        <v>6483</v>
      </c>
      <c r="H2403" s="0" t="s">
        <v>141</v>
      </c>
      <c r="I2403" s="14" t="s">
        <v>636</v>
      </c>
      <c r="J2403" s="0" t="s">
        <v>197</v>
      </c>
      <c r="K2403" s="0" t="s">
        <v>337</v>
      </c>
      <c r="L2403" s="0" t="s">
        <v>576</v>
      </c>
      <c r="M2403" s="0" t="s">
        <v>135</v>
      </c>
      <c r="N2403" s="0" t="s">
        <v>136</v>
      </c>
      <c r="O2403" s="0" t="s">
        <v>274</v>
      </c>
      <c r="Q2403" s="0" t="s">
        <v>130</v>
      </c>
      <c r="R2403" s="0" t="s">
        <v>138</v>
      </c>
      <c r="S2403" s="14">
        <v>0</v>
      </c>
      <c r="T2403" s="0" t="s">
        <v>360</v>
      </c>
      <c r="U2403" s="0" t="s">
        <v>138</v>
      </c>
      <c r="V2403" s="14" t="s">
        <v>138</v>
      </c>
      <c r="W2403" s="0" t="s">
        <v>138</v>
      </c>
      <c r="X2403" s="14" t="s">
        <v>138</v>
      </c>
      <c r="Y2403" s="0" t="s">
        <v>138</v>
      </c>
      <c r="Z2403" s="14" t="s">
        <v>138</v>
      </c>
      <c r="AA2403" s="0" t="s">
        <v>138</v>
      </c>
      <c r="AB2403" s="14" t="s">
        <v>138</v>
      </c>
      <c r="AD2403" s="0" t="s">
        <v>138</v>
      </c>
      <c r="AF2403" s="0">
        <v>0</v>
      </c>
      <c r="AG2403" s="0">
        <v>0</v>
      </c>
      <c r="AH2403" s="0" t="s">
        <v>140</v>
      </c>
      <c r="AI2403" s="0" t="s">
        <v>138</v>
      </c>
      <c r="AL2403" s="14"/>
      <c r="AN2403" s="14"/>
      <c r="AQ2403" s="0" t="s">
        <v>130</v>
      </c>
      <c r="AR2403" s="0" t="s">
        <v>130</v>
      </c>
      <c r="AS2403" s="0" t="s">
        <v>130</v>
      </c>
      <c r="AT2403" s="0" t="s">
        <v>130</v>
      </c>
      <c r="AU2403" s="0" t="s">
        <v>130</v>
      </c>
      <c r="AV2403" s="0" t="s">
        <v>130</v>
      </c>
      <c r="AW2403" s="0" t="s">
        <v>130</v>
      </c>
      <c r="AX2403" s="0" t="s">
        <v>130</v>
      </c>
      <c r="AY2403" s="0" t="s">
        <v>130</v>
      </c>
      <c r="AZ2403" s="0" t="s">
        <v>130</v>
      </c>
      <c r="BA2403" s="0" t="s">
        <v>130</v>
      </c>
      <c r="BB2403" s="0" t="s">
        <v>141</v>
      </c>
      <c r="BC2403" s="0" t="s">
        <v>130</v>
      </c>
      <c r="BD2403" s="0" t="s">
        <v>130</v>
      </c>
      <c r="BE2403" s="0" t="s">
        <v>141</v>
      </c>
      <c r="BF2403" s="0" t="s">
        <v>130</v>
      </c>
      <c r="BG2403" s="0" t="s">
        <v>130</v>
      </c>
      <c r="BH2403" s="0" t="s">
        <v>130</v>
      </c>
      <c r="BI2403" s="0" t="s">
        <v>130</v>
      </c>
      <c r="BJ2403" s="0" t="s">
        <v>130</v>
      </c>
      <c r="BK2403" s="0" t="s">
        <v>130</v>
      </c>
      <c r="BL2403" s="0" t="s">
        <v>130</v>
      </c>
      <c r="BM2403" s="0" t="s">
        <v>130</v>
      </c>
      <c r="BN2403" s="0" t="s">
        <v>130</v>
      </c>
      <c r="BO2403" s="0" t="s">
        <v>130</v>
      </c>
      <c r="BP2403" s="0" t="s">
        <v>130</v>
      </c>
      <c r="BQ2403" s="0" t="s">
        <v>130</v>
      </c>
      <c r="BR2403" s="0" t="s">
        <v>130</v>
      </c>
      <c r="BS2403" s="0" t="s">
        <v>130</v>
      </c>
      <c r="BT2403" s="0" t="s">
        <v>130</v>
      </c>
      <c r="BU2403" s="0" t="s">
        <v>130</v>
      </c>
      <c r="BV2403" s="0" t="s">
        <v>130</v>
      </c>
      <c r="BW2403" s="0" t="s">
        <v>130</v>
      </c>
      <c r="BX2403" s="0" t="s">
        <v>130</v>
      </c>
      <c r="BY2403" s="0" t="s">
        <v>130</v>
      </c>
      <c r="BZ2403" s="0" t="s">
        <v>130</v>
      </c>
      <c r="CA2403" s="0" t="s">
        <v>130</v>
      </c>
      <c r="CB2403" s="0" t="s">
        <v>130</v>
      </c>
      <c r="CC2403" s="0" t="s">
        <v>130</v>
      </c>
      <c r="CD2403" s="0" t="s">
        <v>130</v>
      </c>
      <c r="CE2403" s="0" t="s">
        <v>130</v>
      </c>
      <c r="CF2403" s="0" t="s">
        <v>130</v>
      </c>
      <c r="CG2403" s="0" t="s">
        <v>130</v>
      </c>
      <c r="CH2403" s="0" t="s">
        <v>130</v>
      </c>
      <c r="CI2403" s="0" t="s">
        <v>130</v>
      </c>
      <c r="CJ2403" s="0" t="s">
        <v>130</v>
      </c>
      <c r="CK2403" s="0" t="s">
        <v>130</v>
      </c>
      <c r="CL2403" s="0" t="s">
        <v>130</v>
      </c>
      <c r="CM2403" s="0" t="s">
        <v>130</v>
      </c>
      <c r="CN2403" s="0" t="s">
        <v>130</v>
      </c>
      <c r="CO2403" s="0" t="s">
        <v>130</v>
      </c>
      <c r="CP2403" s="0" t="s">
        <v>130</v>
      </c>
      <c r="CQ2403" s="0" t="s">
        <v>130</v>
      </c>
      <c r="CR2403" s="0" t="s">
        <v>130</v>
      </c>
      <c r="CS2403" s="0" t="s">
        <v>130</v>
      </c>
      <c r="CT2403" s="0" t="s">
        <v>6576</v>
      </c>
    </row>
    <row r="2404">
      <c r="A2404" s="14">
        <v>115694</v>
      </c>
      <c r="B2404" s="0" t="s">
        <v>2507</v>
      </c>
      <c r="C2404" s="16">
        <f>HYPERLINK("https://eosportal.federatedhermes.com/companies/Q29tcGFueQppNTQ5NDQ=", "BASF SE")</f>
      </c>
      <c r="D2404" s="0" t="s">
        <v>25</v>
      </c>
      <c r="E2404" s="0" t="s">
        <v>907</v>
      </c>
      <c r="F2404" s="16">
        <f>HYPERLINK("https://eosportal.federatedhermes.com/engagements/RW5nYWdlbWVudAppMzM2MjY=", "Climate change")</f>
      </c>
      <c r="G2404" s="14" t="s">
        <v>6577</v>
      </c>
      <c r="H2404" s="0" t="s">
        <v>141</v>
      </c>
      <c r="I2404" s="14" t="s">
        <v>1645</v>
      </c>
      <c r="J2404" s="0" t="s">
        <v>197</v>
      </c>
      <c r="K2404" s="0" t="s">
        <v>198</v>
      </c>
      <c r="L2404" s="0" t="s">
        <v>216</v>
      </c>
      <c r="M2404" s="0" t="s">
        <v>378</v>
      </c>
      <c r="N2404" s="0" t="s">
        <v>2485</v>
      </c>
      <c r="O2404" s="0" t="s">
        <v>706</v>
      </c>
      <c r="Q2404" s="0" t="s">
        <v>141</v>
      </c>
      <c r="R2404" s="0" t="s">
        <v>138</v>
      </c>
      <c r="S2404" s="14">
        <v>1</v>
      </c>
      <c r="T2404" s="0" t="s">
        <v>3562</v>
      </c>
      <c r="U2404" s="0" t="s">
        <v>138</v>
      </c>
      <c r="V2404" s="14" t="s">
        <v>138</v>
      </c>
      <c r="W2404" s="0" t="s">
        <v>138</v>
      </c>
      <c r="X2404" s="14" t="s">
        <v>138</v>
      </c>
      <c r="Y2404" s="0" t="s">
        <v>138</v>
      </c>
      <c r="Z2404" s="14" t="s">
        <v>138</v>
      </c>
      <c r="AA2404" s="0" t="s">
        <v>138</v>
      </c>
      <c r="AB2404" s="14" t="s">
        <v>138</v>
      </c>
      <c r="AD2404" s="0" t="s">
        <v>138</v>
      </c>
      <c r="AF2404" s="0">
        <v>0</v>
      </c>
      <c r="AG2404" s="0">
        <v>0</v>
      </c>
      <c r="AH2404" s="0" t="s">
        <v>140</v>
      </c>
      <c r="AI2404" s="0" t="s">
        <v>138</v>
      </c>
      <c r="AK2404" s="0" t="s">
        <v>2529</v>
      </c>
      <c r="AL2404" s="14"/>
      <c r="AN2404" s="14"/>
      <c r="AQ2404" s="0" t="s">
        <v>130</v>
      </c>
      <c r="AR2404" s="0" t="s">
        <v>130</v>
      </c>
      <c r="AS2404" s="0" t="s">
        <v>130</v>
      </c>
      <c r="AT2404" s="0" t="s">
        <v>130</v>
      </c>
      <c r="AU2404" s="0" t="s">
        <v>130</v>
      </c>
      <c r="AV2404" s="0" t="s">
        <v>130</v>
      </c>
      <c r="AW2404" s="0" t="s">
        <v>141</v>
      </c>
      <c r="AX2404" s="0" t="s">
        <v>130</v>
      </c>
      <c r="AY2404" s="0" t="s">
        <v>130</v>
      </c>
      <c r="AZ2404" s="0" t="s">
        <v>130</v>
      </c>
      <c r="BA2404" s="0" t="s">
        <v>130</v>
      </c>
      <c r="BB2404" s="0" t="s">
        <v>130</v>
      </c>
      <c r="BC2404" s="0" t="s">
        <v>141</v>
      </c>
      <c r="BD2404" s="0" t="s">
        <v>130</v>
      </c>
      <c r="BE2404" s="0" t="s">
        <v>130</v>
      </c>
      <c r="BF2404" s="0" t="s">
        <v>130</v>
      </c>
      <c r="BG2404" s="0" t="s">
        <v>130</v>
      </c>
      <c r="BH2404" s="0" t="s">
        <v>141</v>
      </c>
      <c r="BI2404" s="0" t="s">
        <v>141</v>
      </c>
      <c r="BJ2404" s="0" t="s">
        <v>141</v>
      </c>
      <c r="BK2404" s="0" t="s">
        <v>130</v>
      </c>
      <c r="BL2404" s="0" t="s">
        <v>130</v>
      </c>
      <c r="BM2404" s="0" t="s">
        <v>130</v>
      </c>
      <c r="BN2404" s="0" t="s">
        <v>130</v>
      </c>
      <c r="BO2404" s="0" t="s">
        <v>130</v>
      </c>
      <c r="BP2404" s="0" t="s">
        <v>130</v>
      </c>
      <c r="BQ2404" s="0" t="s">
        <v>130</v>
      </c>
      <c r="BR2404" s="0" t="s">
        <v>130</v>
      </c>
      <c r="BS2404" s="0" t="s">
        <v>130</v>
      </c>
      <c r="BT2404" s="0" t="s">
        <v>130</v>
      </c>
      <c r="BU2404" s="0" t="s">
        <v>130</v>
      </c>
      <c r="BV2404" s="0" t="s">
        <v>141</v>
      </c>
      <c r="BW2404" s="0" t="s">
        <v>141</v>
      </c>
      <c r="BX2404" s="0" t="s">
        <v>130</v>
      </c>
      <c r="BY2404" s="0" t="s">
        <v>130</v>
      </c>
      <c r="BZ2404" s="0" t="s">
        <v>130</v>
      </c>
      <c r="CA2404" s="0" t="s">
        <v>130</v>
      </c>
      <c r="CB2404" s="0" t="s">
        <v>130</v>
      </c>
      <c r="CC2404" s="0" t="s">
        <v>130</v>
      </c>
      <c r="CD2404" s="0" t="s">
        <v>130</v>
      </c>
      <c r="CE2404" s="0" t="s">
        <v>130</v>
      </c>
      <c r="CF2404" s="0" t="s">
        <v>130</v>
      </c>
      <c r="CG2404" s="0" t="s">
        <v>130</v>
      </c>
      <c r="CH2404" s="0" t="s">
        <v>130</v>
      </c>
      <c r="CI2404" s="0" t="s">
        <v>130</v>
      </c>
      <c r="CJ2404" s="0" t="s">
        <v>130</v>
      </c>
      <c r="CK2404" s="0" t="s">
        <v>130</v>
      </c>
      <c r="CL2404" s="0" t="s">
        <v>130</v>
      </c>
      <c r="CM2404" s="0" t="s">
        <v>130</v>
      </c>
      <c r="CN2404" s="0" t="s">
        <v>130</v>
      </c>
      <c r="CO2404" s="0" t="s">
        <v>130</v>
      </c>
      <c r="CP2404" s="0" t="s">
        <v>130</v>
      </c>
      <c r="CQ2404" s="0" t="s">
        <v>130</v>
      </c>
      <c r="CR2404" s="0" t="s">
        <v>130</v>
      </c>
      <c r="CS2404" s="0" t="s">
        <v>130</v>
      </c>
      <c r="CT2404" s="0" t="s">
        <v>6578</v>
      </c>
    </row>
    <row r="2405">
      <c r="A2405" s="14">
        <v>100312</v>
      </c>
      <c r="B2405" s="0" t="s">
        <v>476</v>
      </c>
      <c r="C2405" s="16">
        <f>HYPERLINK("https://eosportal.federatedhermes.com/companies/Q29tcGFueQppNTg5OTQ=", "JPMorgan Chase &amp; Co")</f>
      </c>
      <c r="D2405" s="0" t="s">
        <v>23</v>
      </c>
      <c r="E2405" s="0" t="s">
        <v>6343</v>
      </c>
      <c r="F2405" s="16">
        <f>HYPERLINK("https://eosportal.federatedhermes.com/engagements/RW5nYWdlbWVudAppMzM2Mjk=", "Increased transparency on tax practices")</f>
      </c>
      <c r="G2405" s="14" t="s">
        <v>6344</v>
      </c>
      <c r="H2405" s="0" t="s">
        <v>141</v>
      </c>
      <c r="I2405" s="14" t="s">
        <v>191</v>
      </c>
      <c r="J2405" s="0" t="s">
        <v>153</v>
      </c>
      <c r="K2405" s="0" t="s">
        <v>185</v>
      </c>
      <c r="L2405" s="0" t="s">
        <v>548</v>
      </c>
      <c r="M2405" s="0" t="s">
        <v>135</v>
      </c>
      <c r="N2405" s="0" t="s">
        <v>136</v>
      </c>
      <c r="O2405" s="0" t="s">
        <v>238</v>
      </c>
      <c r="Q2405" s="0" t="s">
        <v>130</v>
      </c>
      <c r="R2405" s="0" t="s">
        <v>130</v>
      </c>
      <c r="S2405" s="14">
        <v>0</v>
      </c>
      <c r="T2405" s="0" t="s">
        <v>360</v>
      </c>
      <c r="U2405" s="0" t="s">
        <v>221</v>
      </c>
      <c r="V2405" s="14" t="s">
        <v>360</v>
      </c>
      <c r="W2405" s="0" t="s">
        <v>223</v>
      </c>
      <c r="X2405" s="14" t="s">
        <v>138</v>
      </c>
      <c r="Y2405" s="0" t="s">
        <v>224</v>
      </c>
      <c r="Z2405" s="14" t="s">
        <v>138</v>
      </c>
      <c r="AA2405" s="0" t="s">
        <v>224</v>
      </c>
      <c r="AB2405" s="14" t="s">
        <v>138</v>
      </c>
      <c r="AD2405" s="0" t="s">
        <v>14</v>
      </c>
      <c r="AF2405" s="0">
        <v>0</v>
      </c>
      <c r="AG2405" s="0">
        <v>0</v>
      </c>
      <c r="AH2405" s="0" t="s">
        <v>140</v>
      </c>
      <c r="AI2405" s="0" t="s">
        <v>225</v>
      </c>
      <c r="AL2405" s="14"/>
      <c r="AN2405" s="14"/>
      <c r="AQ2405" s="0" t="s">
        <v>130</v>
      </c>
      <c r="AR2405" s="0" t="s">
        <v>130</v>
      </c>
      <c r="AS2405" s="0" t="s">
        <v>130</v>
      </c>
      <c r="AT2405" s="0" t="s">
        <v>130</v>
      </c>
      <c r="AU2405" s="0" t="s">
        <v>130</v>
      </c>
      <c r="AV2405" s="0" t="s">
        <v>130</v>
      </c>
      <c r="AW2405" s="0" t="s">
        <v>130</v>
      </c>
      <c r="AX2405" s="0" t="s">
        <v>130</v>
      </c>
      <c r="AY2405" s="0" t="s">
        <v>130</v>
      </c>
      <c r="AZ2405" s="0" t="s">
        <v>130</v>
      </c>
      <c r="BA2405" s="0" t="s">
        <v>130</v>
      </c>
      <c r="BB2405" s="0" t="s">
        <v>130</v>
      </c>
      <c r="BC2405" s="0" t="s">
        <v>130</v>
      </c>
      <c r="BD2405" s="0" t="s">
        <v>130</v>
      </c>
      <c r="BE2405" s="0" t="s">
        <v>130</v>
      </c>
      <c r="BF2405" s="0" t="s">
        <v>130</v>
      </c>
      <c r="BG2405" s="0" t="s">
        <v>141</v>
      </c>
      <c r="BH2405" s="0" t="s">
        <v>130</v>
      </c>
      <c r="BI2405" s="0" t="s">
        <v>130</v>
      </c>
      <c r="BJ2405" s="0" t="s">
        <v>130</v>
      </c>
      <c r="BK2405" s="0" t="s">
        <v>130</v>
      </c>
      <c r="BL2405" s="0" t="s">
        <v>130</v>
      </c>
      <c r="BM2405" s="0" t="s">
        <v>130</v>
      </c>
      <c r="BN2405" s="0" t="s">
        <v>130</v>
      </c>
      <c r="BO2405" s="0" t="s">
        <v>130</v>
      </c>
      <c r="BP2405" s="0" t="s">
        <v>130</v>
      </c>
      <c r="BQ2405" s="0" t="s">
        <v>130</v>
      </c>
      <c r="BR2405" s="0" t="s">
        <v>130</v>
      </c>
      <c r="BS2405" s="0" t="s">
        <v>130</v>
      </c>
      <c r="BT2405" s="0" t="s">
        <v>130</v>
      </c>
      <c r="BU2405" s="0" t="s">
        <v>130</v>
      </c>
      <c r="BV2405" s="0" t="s">
        <v>130</v>
      </c>
      <c r="BW2405" s="0" t="s">
        <v>130</v>
      </c>
      <c r="BX2405" s="0" t="s">
        <v>130</v>
      </c>
      <c r="BY2405" s="0" t="s">
        <v>130</v>
      </c>
      <c r="BZ2405" s="0" t="s">
        <v>130</v>
      </c>
      <c r="CA2405" s="0" t="s">
        <v>130</v>
      </c>
      <c r="CB2405" s="0" t="s">
        <v>130</v>
      </c>
      <c r="CC2405" s="0" t="s">
        <v>130</v>
      </c>
      <c r="CD2405" s="0" t="s">
        <v>130</v>
      </c>
      <c r="CE2405" s="0" t="s">
        <v>130</v>
      </c>
      <c r="CF2405" s="0" t="s">
        <v>130</v>
      </c>
      <c r="CG2405" s="0" t="s">
        <v>130</v>
      </c>
      <c r="CH2405" s="0" t="s">
        <v>130</v>
      </c>
      <c r="CI2405" s="0" t="s">
        <v>130</v>
      </c>
      <c r="CJ2405" s="0" t="s">
        <v>130</v>
      </c>
      <c r="CK2405" s="0" t="s">
        <v>130</v>
      </c>
      <c r="CL2405" s="0" t="s">
        <v>130</v>
      </c>
      <c r="CM2405" s="0" t="s">
        <v>130</v>
      </c>
      <c r="CN2405" s="0" t="s">
        <v>130</v>
      </c>
      <c r="CO2405" s="0" t="s">
        <v>130</v>
      </c>
      <c r="CP2405" s="0" t="s">
        <v>130</v>
      </c>
      <c r="CQ2405" s="0" t="s">
        <v>130</v>
      </c>
      <c r="CR2405" s="0" t="s">
        <v>130</v>
      </c>
      <c r="CS2405" s="0" t="s">
        <v>130</v>
      </c>
      <c r="CT2405" s="0" t="s">
        <v>6579</v>
      </c>
    </row>
    <row r="2406">
      <c r="A2406" s="14">
        <v>101153</v>
      </c>
      <c r="B2406" s="0" t="s">
        <v>1245</v>
      </c>
      <c r="C2406" s="16">
        <f>HYPERLINK("https://eosportal.federatedhermes.com/companies/Q29tcGFueQppODA2MDM=", "PPL Corp")</f>
      </c>
      <c r="D2406" s="0" t="s">
        <v>23</v>
      </c>
      <c r="E2406" s="0" t="s">
        <v>6343</v>
      </c>
      <c r="F2406" s="16">
        <f>HYPERLINK("https://eosportal.federatedhermes.com/engagements/RW5nYWdlbWVudAppMzM2MzA=", "Increased transparency on tax practices")</f>
      </c>
      <c r="G2406" s="14" t="s">
        <v>6580</v>
      </c>
      <c r="H2406" s="0" t="s">
        <v>130</v>
      </c>
      <c r="I2406" s="14" t="s">
        <v>131</v>
      </c>
      <c r="J2406" s="0" t="s">
        <v>153</v>
      </c>
      <c r="K2406" s="0" t="s">
        <v>185</v>
      </c>
      <c r="L2406" s="0" t="s">
        <v>548</v>
      </c>
      <c r="M2406" s="0" t="s">
        <v>135</v>
      </c>
      <c r="N2406" s="0" t="s">
        <v>136</v>
      </c>
      <c r="O2406" s="0" t="s">
        <v>192</v>
      </c>
      <c r="Q2406" s="0" t="s">
        <v>130</v>
      </c>
      <c r="R2406" s="0" t="s">
        <v>130</v>
      </c>
      <c r="S2406" s="14">
        <v>0</v>
      </c>
      <c r="T2406" s="0" t="s">
        <v>360</v>
      </c>
      <c r="U2406" s="0" t="s">
        <v>221</v>
      </c>
      <c r="V2406" s="14" t="s">
        <v>360</v>
      </c>
      <c r="W2406" s="0" t="s">
        <v>223</v>
      </c>
      <c r="X2406" s="14" t="s">
        <v>138</v>
      </c>
      <c r="Y2406" s="0" t="s">
        <v>224</v>
      </c>
      <c r="Z2406" s="14" t="s">
        <v>138</v>
      </c>
      <c r="AA2406" s="0" t="s">
        <v>224</v>
      </c>
      <c r="AB2406" s="14" t="s">
        <v>138</v>
      </c>
      <c r="AD2406" s="0" t="s">
        <v>14</v>
      </c>
      <c r="AF2406" s="0">
        <v>0</v>
      </c>
      <c r="AG2406" s="0">
        <v>0</v>
      </c>
      <c r="AH2406" s="0" t="s">
        <v>140</v>
      </c>
      <c r="AI2406" s="0" t="s">
        <v>225</v>
      </c>
      <c r="AL2406" s="14"/>
      <c r="AN2406" s="14"/>
      <c r="AQ2406" s="0" t="s">
        <v>130</v>
      </c>
      <c r="AR2406" s="0" t="s">
        <v>130</v>
      </c>
      <c r="AS2406" s="0" t="s">
        <v>130</v>
      </c>
      <c r="AT2406" s="0" t="s">
        <v>130</v>
      </c>
      <c r="AU2406" s="0" t="s">
        <v>130</v>
      </c>
      <c r="AV2406" s="0" t="s">
        <v>130</v>
      </c>
      <c r="AW2406" s="0" t="s">
        <v>130</v>
      </c>
      <c r="AX2406" s="0" t="s">
        <v>130</v>
      </c>
      <c r="AY2406" s="0" t="s">
        <v>130</v>
      </c>
      <c r="AZ2406" s="0" t="s">
        <v>130</v>
      </c>
      <c r="BA2406" s="0" t="s">
        <v>130</v>
      </c>
      <c r="BB2406" s="0" t="s">
        <v>130</v>
      </c>
      <c r="BC2406" s="0" t="s">
        <v>130</v>
      </c>
      <c r="BD2406" s="0" t="s">
        <v>130</v>
      </c>
      <c r="BE2406" s="0" t="s">
        <v>130</v>
      </c>
      <c r="BF2406" s="0" t="s">
        <v>130</v>
      </c>
      <c r="BG2406" s="0" t="s">
        <v>141</v>
      </c>
      <c r="BH2406" s="0" t="s">
        <v>130</v>
      </c>
      <c r="BI2406" s="0" t="s">
        <v>130</v>
      </c>
      <c r="BJ2406" s="0" t="s">
        <v>130</v>
      </c>
      <c r="BK2406" s="0" t="s">
        <v>130</v>
      </c>
      <c r="BL2406" s="0" t="s">
        <v>130</v>
      </c>
      <c r="BM2406" s="0" t="s">
        <v>130</v>
      </c>
      <c r="BN2406" s="0" t="s">
        <v>130</v>
      </c>
      <c r="BO2406" s="0" t="s">
        <v>130</v>
      </c>
      <c r="BP2406" s="0" t="s">
        <v>130</v>
      </c>
      <c r="BQ2406" s="0" t="s">
        <v>130</v>
      </c>
      <c r="BR2406" s="0" t="s">
        <v>130</v>
      </c>
      <c r="BS2406" s="0" t="s">
        <v>130</v>
      </c>
      <c r="BT2406" s="0" t="s">
        <v>130</v>
      </c>
      <c r="BU2406" s="0" t="s">
        <v>130</v>
      </c>
      <c r="BV2406" s="0" t="s">
        <v>130</v>
      </c>
      <c r="BW2406" s="0" t="s">
        <v>130</v>
      </c>
      <c r="BX2406" s="0" t="s">
        <v>130</v>
      </c>
      <c r="BY2406" s="0" t="s">
        <v>130</v>
      </c>
      <c r="BZ2406" s="0" t="s">
        <v>130</v>
      </c>
      <c r="CA2406" s="0" t="s">
        <v>130</v>
      </c>
      <c r="CB2406" s="0" t="s">
        <v>130</v>
      </c>
      <c r="CC2406" s="0" t="s">
        <v>130</v>
      </c>
      <c r="CD2406" s="0" t="s">
        <v>130</v>
      </c>
      <c r="CE2406" s="0" t="s">
        <v>130</v>
      </c>
      <c r="CF2406" s="0" t="s">
        <v>130</v>
      </c>
      <c r="CG2406" s="0" t="s">
        <v>130</v>
      </c>
      <c r="CH2406" s="0" t="s">
        <v>130</v>
      </c>
      <c r="CI2406" s="0" t="s">
        <v>130</v>
      </c>
      <c r="CJ2406" s="0" t="s">
        <v>130</v>
      </c>
      <c r="CK2406" s="0" t="s">
        <v>130</v>
      </c>
      <c r="CL2406" s="0" t="s">
        <v>130</v>
      </c>
      <c r="CM2406" s="0" t="s">
        <v>130</v>
      </c>
      <c r="CN2406" s="0" t="s">
        <v>130</v>
      </c>
      <c r="CO2406" s="0" t="s">
        <v>130</v>
      </c>
      <c r="CP2406" s="0" t="s">
        <v>130</v>
      </c>
      <c r="CQ2406" s="0" t="s">
        <v>130</v>
      </c>
      <c r="CR2406" s="0" t="s">
        <v>130</v>
      </c>
      <c r="CS2406" s="0" t="s">
        <v>130</v>
      </c>
      <c r="CT2406" s="0" t="s">
        <v>6581</v>
      </c>
    </row>
    <row r="2407">
      <c r="A2407" s="14">
        <v>918049</v>
      </c>
      <c r="B2407" s="0" t="s">
        <v>3423</v>
      </c>
      <c r="C2407" s="16">
        <f>HYPERLINK("https://eosportal.federatedhermes.com/companies/Q29tcGFueQppNjQzOTQ=", "Enel SpA")</f>
      </c>
      <c r="D2407" s="0" t="s">
        <v>25</v>
      </c>
      <c r="E2407" s="0" t="s">
        <v>6582</v>
      </c>
      <c r="F2407" s="16">
        <f>HYPERLINK("https://eosportal.federatedhermes.com/engagements/RW5nYWdlbWVudAppMzM2MzQ=", "Western Sahara")</f>
      </c>
      <c r="G2407" s="14" t="s">
        <v>6583</v>
      </c>
      <c r="H2407" s="0" t="s">
        <v>141</v>
      </c>
      <c r="I2407" s="14" t="s">
        <v>636</v>
      </c>
      <c r="J2407" s="0" t="s">
        <v>153</v>
      </c>
      <c r="K2407" s="0" t="s">
        <v>243</v>
      </c>
      <c r="L2407" s="0" t="s">
        <v>456</v>
      </c>
      <c r="M2407" s="0" t="s">
        <v>378</v>
      </c>
      <c r="N2407" s="0" t="s">
        <v>2898</v>
      </c>
      <c r="O2407" s="0" t="s">
        <v>192</v>
      </c>
      <c r="Q2407" s="0" t="s">
        <v>130</v>
      </c>
      <c r="R2407" s="0" t="s">
        <v>138</v>
      </c>
      <c r="S2407" s="14">
        <v>0</v>
      </c>
      <c r="T2407" s="0" t="s">
        <v>360</v>
      </c>
      <c r="U2407" s="0" t="s">
        <v>138</v>
      </c>
      <c r="V2407" s="14" t="s">
        <v>138</v>
      </c>
      <c r="W2407" s="0" t="s">
        <v>138</v>
      </c>
      <c r="X2407" s="14" t="s">
        <v>138</v>
      </c>
      <c r="Y2407" s="0" t="s">
        <v>138</v>
      </c>
      <c r="Z2407" s="14" t="s">
        <v>138</v>
      </c>
      <c r="AA2407" s="0" t="s">
        <v>138</v>
      </c>
      <c r="AB2407" s="14" t="s">
        <v>138</v>
      </c>
      <c r="AD2407" s="0" t="s">
        <v>138</v>
      </c>
      <c r="AF2407" s="0">
        <v>0</v>
      </c>
      <c r="AG2407" s="0">
        <v>0</v>
      </c>
      <c r="AH2407" s="0" t="s">
        <v>140</v>
      </c>
      <c r="AI2407" s="0" t="s">
        <v>138</v>
      </c>
      <c r="AL2407" s="14"/>
      <c r="AN2407" s="14"/>
      <c r="AQ2407" s="0" t="s">
        <v>130</v>
      </c>
      <c r="AR2407" s="0" t="s">
        <v>130</v>
      </c>
      <c r="AS2407" s="0" t="s">
        <v>130</v>
      </c>
      <c r="AT2407" s="0" t="s">
        <v>130</v>
      </c>
      <c r="AU2407" s="0" t="s">
        <v>130</v>
      </c>
      <c r="AV2407" s="0" t="s">
        <v>130</v>
      </c>
      <c r="AW2407" s="0" t="s">
        <v>130</v>
      </c>
      <c r="AX2407" s="0" t="s">
        <v>141</v>
      </c>
      <c r="AY2407" s="0" t="s">
        <v>130</v>
      </c>
      <c r="AZ2407" s="0" t="s">
        <v>130</v>
      </c>
      <c r="BA2407" s="0" t="s">
        <v>130</v>
      </c>
      <c r="BB2407" s="0" t="s">
        <v>130</v>
      </c>
      <c r="BC2407" s="0" t="s">
        <v>130</v>
      </c>
      <c r="BD2407" s="0" t="s">
        <v>130</v>
      </c>
      <c r="BE2407" s="0" t="s">
        <v>130</v>
      </c>
      <c r="BF2407" s="0" t="s">
        <v>141</v>
      </c>
      <c r="BG2407" s="0" t="s">
        <v>130</v>
      </c>
      <c r="BH2407" s="0" t="s">
        <v>130</v>
      </c>
      <c r="BI2407" s="0" t="s">
        <v>130</v>
      </c>
      <c r="BJ2407" s="0" t="s">
        <v>130</v>
      </c>
      <c r="BK2407" s="0" t="s">
        <v>130</v>
      </c>
      <c r="BL2407" s="0" t="s">
        <v>130</v>
      </c>
      <c r="BM2407" s="0" t="s">
        <v>130</v>
      </c>
      <c r="BN2407" s="0" t="s">
        <v>130</v>
      </c>
      <c r="BO2407" s="0" t="s">
        <v>130</v>
      </c>
      <c r="BP2407" s="0" t="s">
        <v>130</v>
      </c>
      <c r="BQ2407" s="0" t="s">
        <v>130</v>
      </c>
      <c r="BR2407" s="0" t="s">
        <v>130</v>
      </c>
      <c r="BS2407" s="0" t="s">
        <v>130</v>
      </c>
      <c r="BT2407" s="0" t="s">
        <v>130</v>
      </c>
      <c r="BU2407" s="0" t="s">
        <v>130</v>
      </c>
      <c r="BV2407" s="0" t="s">
        <v>130</v>
      </c>
      <c r="BW2407" s="0" t="s">
        <v>130</v>
      </c>
      <c r="BX2407" s="0" t="s">
        <v>130</v>
      </c>
      <c r="BY2407" s="0" t="s">
        <v>130</v>
      </c>
      <c r="BZ2407" s="0" t="s">
        <v>130</v>
      </c>
      <c r="CA2407" s="0" t="s">
        <v>130</v>
      </c>
      <c r="CB2407" s="0" t="s">
        <v>130</v>
      </c>
      <c r="CC2407" s="0" t="s">
        <v>130</v>
      </c>
      <c r="CD2407" s="0" t="s">
        <v>130</v>
      </c>
      <c r="CE2407" s="0" t="s">
        <v>130</v>
      </c>
      <c r="CF2407" s="0" t="s">
        <v>130</v>
      </c>
      <c r="CG2407" s="0" t="s">
        <v>130</v>
      </c>
      <c r="CH2407" s="0" t="s">
        <v>130</v>
      </c>
      <c r="CI2407" s="0" t="s">
        <v>130</v>
      </c>
      <c r="CJ2407" s="0" t="s">
        <v>130</v>
      </c>
      <c r="CK2407" s="0" t="s">
        <v>130</v>
      </c>
      <c r="CL2407" s="0" t="s">
        <v>130</v>
      </c>
      <c r="CM2407" s="0" t="s">
        <v>130</v>
      </c>
      <c r="CN2407" s="0" t="s">
        <v>130</v>
      </c>
      <c r="CO2407" s="0" t="s">
        <v>130</v>
      </c>
      <c r="CP2407" s="0" t="s">
        <v>130</v>
      </c>
      <c r="CQ2407" s="0" t="s">
        <v>130</v>
      </c>
      <c r="CR2407" s="0" t="s">
        <v>130</v>
      </c>
      <c r="CS2407" s="0" t="s">
        <v>130</v>
      </c>
      <c r="CT2407" s="0" t="s">
        <v>6584</v>
      </c>
    </row>
    <row r="2408">
      <c r="A2408" s="14">
        <v>115694</v>
      </c>
      <c r="B2408" s="0" t="s">
        <v>2507</v>
      </c>
      <c r="C2408" s="16">
        <f>HYPERLINK("https://eosportal.federatedhermes.com/companies/Q29tcGFueQppNTQ5NDQ=", "BASF SE")</f>
      </c>
      <c r="D2408" s="0" t="s">
        <v>23</v>
      </c>
      <c r="E2408" s="0" t="s">
        <v>6055</v>
      </c>
      <c r="F2408" s="16">
        <f>HYPERLINK("https://eosportal.federatedhermes.com/engagements/RW5nYWdlbWVudAppMzM2NTg=", "Disclosure of hazardous chemicals production")</f>
      </c>
      <c r="G2408" s="14" t="s">
        <v>6585</v>
      </c>
      <c r="H2408" s="0" t="s">
        <v>141</v>
      </c>
      <c r="I2408" s="14" t="s">
        <v>1645</v>
      </c>
      <c r="J2408" s="0" t="s">
        <v>197</v>
      </c>
      <c r="K2408" s="0" t="s">
        <v>348</v>
      </c>
      <c r="L2408" s="0" t="s">
        <v>650</v>
      </c>
      <c r="M2408" s="0" t="s">
        <v>378</v>
      </c>
      <c r="N2408" s="0" t="s">
        <v>2485</v>
      </c>
      <c r="O2408" s="0" t="s">
        <v>706</v>
      </c>
      <c r="Q2408" s="0" t="s">
        <v>141</v>
      </c>
      <c r="R2408" s="0" t="s">
        <v>130</v>
      </c>
      <c r="S2408" s="14">
        <v>1</v>
      </c>
      <c r="T2408" s="0" t="s">
        <v>360</v>
      </c>
      <c r="U2408" s="0" t="s">
        <v>221</v>
      </c>
      <c r="V2408" s="14" t="s">
        <v>360</v>
      </c>
      <c r="W2408" s="0" t="s">
        <v>221</v>
      </c>
      <c r="X2408" s="14" t="s">
        <v>360</v>
      </c>
      <c r="Y2408" s="0" t="s">
        <v>221</v>
      </c>
      <c r="Z2408" s="14" t="s">
        <v>3562</v>
      </c>
      <c r="AA2408" s="0" t="s">
        <v>223</v>
      </c>
      <c r="AB2408" s="14" t="s">
        <v>138</v>
      </c>
      <c r="AD2408" s="0" t="s">
        <v>20</v>
      </c>
      <c r="AF2408" s="0">
        <v>0</v>
      </c>
      <c r="AG2408" s="0">
        <v>0</v>
      </c>
      <c r="AH2408" s="0" t="s">
        <v>140</v>
      </c>
      <c r="AI2408" s="0" t="s">
        <v>598</v>
      </c>
      <c r="AK2408" s="0" t="s">
        <v>2523</v>
      </c>
      <c r="AL2408" s="14"/>
      <c r="AN2408" s="14"/>
      <c r="AQ2408" s="0" t="s">
        <v>130</v>
      </c>
      <c r="AR2408" s="0" t="s">
        <v>130</v>
      </c>
      <c r="AS2408" s="0" t="s">
        <v>141</v>
      </c>
      <c r="AT2408" s="0" t="s">
        <v>130</v>
      </c>
      <c r="AU2408" s="0" t="s">
        <v>130</v>
      </c>
      <c r="AV2408" s="0" t="s">
        <v>130</v>
      </c>
      <c r="AW2408" s="0" t="s">
        <v>130</v>
      </c>
      <c r="AX2408" s="0" t="s">
        <v>130</v>
      </c>
      <c r="AY2408" s="0" t="s">
        <v>130</v>
      </c>
      <c r="AZ2408" s="0" t="s">
        <v>130</v>
      </c>
      <c r="BA2408" s="0" t="s">
        <v>130</v>
      </c>
      <c r="BB2408" s="0" t="s">
        <v>141</v>
      </c>
      <c r="BC2408" s="0" t="s">
        <v>130</v>
      </c>
      <c r="BD2408" s="0" t="s">
        <v>130</v>
      </c>
      <c r="BE2408" s="0" t="s">
        <v>130</v>
      </c>
      <c r="BF2408" s="0" t="s">
        <v>130</v>
      </c>
      <c r="BG2408" s="0" t="s">
        <v>130</v>
      </c>
      <c r="BH2408" s="0" t="s">
        <v>130</v>
      </c>
      <c r="BI2408" s="0" t="s">
        <v>130</v>
      </c>
      <c r="BJ2408" s="0" t="s">
        <v>130</v>
      </c>
      <c r="BK2408" s="0" t="s">
        <v>130</v>
      </c>
      <c r="BL2408" s="0" t="s">
        <v>130</v>
      </c>
      <c r="BM2408" s="0" t="s">
        <v>130</v>
      </c>
      <c r="BN2408" s="0" t="s">
        <v>130</v>
      </c>
      <c r="BO2408" s="0" t="s">
        <v>130</v>
      </c>
      <c r="BP2408" s="0" t="s">
        <v>130</v>
      </c>
      <c r="BQ2408" s="0" t="s">
        <v>130</v>
      </c>
      <c r="BR2408" s="0" t="s">
        <v>130</v>
      </c>
      <c r="BS2408" s="0" t="s">
        <v>130</v>
      </c>
      <c r="BT2408" s="0" t="s">
        <v>130</v>
      </c>
      <c r="BU2408" s="0" t="s">
        <v>130</v>
      </c>
      <c r="BV2408" s="0" t="s">
        <v>130</v>
      </c>
      <c r="BW2408" s="0" t="s">
        <v>130</v>
      </c>
      <c r="BX2408" s="0" t="s">
        <v>130</v>
      </c>
      <c r="BY2408" s="0" t="s">
        <v>130</v>
      </c>
      <c r="BZ2408" s="0" t="s">
        <v>130</v>
      </c>
      <c r="CA2408" s="0" t="s">
        <v>130</v>
      </c>
      <c r="CB2408" s="0" t="s">
        <v>130</v>
      </c>
      <c r="CC2408" s="0" t="s">
        <v>130</v>
      </c>
      <c r="CD2408" s="0" t="s">
        <v>130</v>
      </c>
      <c r="CE2408" s="0" t="s">
        <v>130</v>
      </c>
      <c r="CF2408" s="0" t="s">
        <v>130</v>
      </c>
      <c r="CG2408" s="0" t="s">
        <v>130</v>
      </c>
      <c r="CH2408" s="0" t="s">
        <v>130</v>
      </c>
      <c r="CI2408" s="0" t="s">
        <v>130</v>
      </c>
      <c r="CJ2408" s="0" t="s">
        <v>130</v>
      </c>
      <c r="CK2408" s="0" t="s">
        <v>130</v>
      </c>
      <c r="CL2408" s="0" t="s">
        <v>130</v>
      </c>
      <c r="CM2408" s="0" t="s">
        <v>130</v>
      </c>
      <c r="CN2408" s="0" t="s">
        <v>130</v>
      </c>
      <c r="CO2408" s="0" t="s">
        <v>130</v>
      </c>
      <c r="CP2408" s="0" t="s">
        <v>130</v>
      </c>
      <c r="CQ2408" s="0" t="s">
        <v>130</v>
      </c>
      <c r="CR2408" s="0" t="s">
        <v>130</v>
      </c>
      <c r="CS2408" s="0" t="s">
        <v>130</v>
      </c>
      <c r="CT2408" s="0" t="s">
        <v>6586</v>
      </c>
    </row>
    <row r="2409">
      <c r="A2409" s="14">
        <v>38799931</v>
      </c>
      <c r="B2409" s="0" t="s">
        <v>4492</v>
      </c>
      <c r="C2409" s="16">
        <f>HYPERLINK("https://eosportal.federatedhermes.com/companies/Q29tcGFueQppNzM3OTk=", "JD.com Inc")</f>
      </c>
      <c r="D2409" s="0" t="s">
        <v>23</v>
      </c>
      <c r="E2409" s="0" t="s">
        <v>4276</v>
      </c>
      <c r="F2409" s="16">
        <f>HYPERLINK("https://eosportal.federatedhermes.com/engagements/RW5nYWdlbWVudAppMzM2NjE=", "Engagement with board directors")</f>
      </c>
      <c r="G2409" s="14" t="s">
        <v>6587</v>
      </c>
      <c r="H2409" s="0" t="s">
        <v>141</v>
      </c>
      <c r="I2409" s="14" t="s">
        <v>191</v>
      </c>
      <c r="J2409" s="0" t="s">
        <v>145</v>
      </c>
      <c r="K2409" s="0" t="s">
        <v>164</v>
      </c>
      <c r="L2409" s="0" t="s">
        <v>970</v>
      </c>
      <c r="M2409" s="0" t="s">
        <v>2807</v>
      </c>
      <c r="N2409" s="0" t="s">
        <v>3272</v>
      </c>
      <c r="O2409" s="0" t="s">
        <v>643</v>
      </c>
      <c r="Q2409" s="0" t="s">
        <v>141</v>
      </c>
      <c r="R2409" s="0" t="s">
        <v>130</v>
      </c>
      <c r="S2409" s="14">
        <v>3</v>
      </c>
      <c r="T2409" s="0" t="s">
        <v>478</v>
      </c>
      <c r="U2409" s="0" t="s">
        <v>221</v>
      </c>
      <c r="V2409" s="14" t="s">
        <v>478</v>
      </c>
      <c r="W2409" s="0" t="s">
        <v>221</v>
      </c>
      <c r="X2409" s="14" t="s">
        <v>360</v>
      </c>
      <c r="Y2409" s="0" t="s">
        <v>223</v>
      </c>
      <c r="Z2409" s="14" t="s">
        <v>138</v>
      </c>
      <c r="AA2409" s="0" t="s">
        <v>224</v>
      </c>
      <c r="AB2409" s="14" t="s">
        <v>138</v>
      </c>
      <c r="AD2409" s="0" t="s">
        <v>17</v>
      </c>
      <c r="AF2409" s="0">
        <v>0</v>
      </c>
      <c r="AG2409" s="0">
        <v>0</v>
      </c>
      <c r="AH2409" s="0" t="s">
        <v>140</v>
      </c>
      <c r="AI2409" s="0" t="s">
        <v>479</v>
      </c>
      <c r="AK2409" s="0" t="s">
        <v>584</v>
      </c>
      <c r="AL2409" s="14"/>
      <c r="AN2409" s="14"/>
      <c r="AQ2409" s="0" t="s">
        <v>130</v>
      </c>
      <c r="AR2409" s="0" t="s">
        <v>130</v>
      </c>
      <c r="AS2409" s="0" t="s">
        <v>130</v>
      </c>
      <c r="AT2409" s="0" t="s">
        <v>130</v>
      </c>
      <c r="AU2409" s="0" t="s">
        <v>130</v>
      </c>
      <c r="AV2409" s="0" t="s">
        <v>130</v>
      </c>
      <c r="AW2409" s="0" t="s">
        <v>130</v>
      </c>
      <c r="AX2409" s="0" t="s">
        <v>130</v>
      </c>
      <c r="AY2409" s="0" t="s">
        <v>130</v>
      </c>
      <c r="AZ2409" s="0" t="s">
        <v>130</v>
      </c>
      <c r="BA2409" s="0" t="s">
        <v>130</v>
      </c>
      <c r="BB2409" s="0" t="s">
        <v>130</v>
      </c>
      <c r="BC2409" s="0" t="s">
        <v>130</v>
      </c>
      <c r="BD2409" s="0" t="s">
        <v>130</v>
      </c>
      <c r="BE2409" s="0" t="s">
        <v>130</v>
      </c>
      <c r="BF2409" s="0" t="s">
        <v>130</v>
      </c>
      <c r="BG2409" s="0" t="s">
        <v>130</v>
      </c>
      <c r="BH2409" s="0" t="s">
        <v>130</v>
      </c>
      <c r="BI2409" s="0" t="s">
        <v>130</v>
      </c>
      <c r="BJ2409" s="0" t="s">
        <v>130</v>
      </c>
      <c r="BK2409" s="0" t="s">
        <v>130</v>
      </c>
      <c r="BL2409" s="0" t="s">
        <v>130</v>
      </c>
      <c r="BM2409" s="0" t="s">
        <v>130</v>
      </c>
      <c r="BN2409" s="0" t="s">
        <v>130</v>
      </c>
      <c r="BO2409" s="0" t="s">
        <v>130</v>
      </c>
      <c r="BP2409" s="0" t="s">
        <v>130</v>
      </c>
      <c r="BQ2409" s="0" t="s">
        <v>130</v>
      </c>
      <c r="BR2409" s="0" t="s">
        <v>130</v>
      </c>
      <c r="BS2409" s="0" t="s">
        <v>130</v>
      </c>
      <c r="BT2409" s="0" t="s">
        <v>130</v>
      </c>
      <c r="BU2409" s="0" t="s">
        <v>130</v>
      </c>
      <c r="BV2409" s="0" t="s">
        <v>130</v>
      </c>
      <c r="BW2409" s="0" t="s">
        <v>130</v>
      </c>
      <c r="BX2409" s="0" t="s">
        <v>130</v>
      </c>
      <c r="BY2409" s="0" t="s">
        <v>130</v>
      </c>
      <c r="BZ2409" s="0" t="s">
        <v>130</v>
      </c>
      <c r="CA2409" s="0" t="s">
        <v>130</v>
      </c>
      <c r="CB2409" s="0" t="s">
        <v>130</v>
      </c>
      <c r="CC2409" s="0" t="s">
        <v>130</v>
      </c>
      <c r="CD2409" s="0" t="s">
        <v>130</v>
      </c>
      <c r="CE2409" s="0" t="s">
        <v>130</v>
      </c>
      <c r="CF2409" s="0" t="s">
        <v>130</v>
      </c>
      <c r="CG2409" s="0" t="s">
        <v>130</v>
      </c>
      <c r="CH2409" s="0" t="s">
        <v>130</v>
      </c>
      <c r="CI2409" s="0" t="s">
        <v>130</v>
      </c>
      <c r="CJ2409" s="0" t="s">
        <v>130</v>
      </c>
      <c r="CK2409" s="0" t="s">
        <v>130</v>
      </c>
      <c r="CL2409" s="0" t="s">
        <v>130</v>
      </c>
      <c r="CM2409" s="0" t="s">
        <v>130</v>
      </c>
      <c r="CN2409" s="0" t="s">
        <v>130</v>
      </c>
      <c r="CO2409" s="0" t="s">
        <v>130</v>
      </c>
      <c r="CP2409" s="0" t="s">
        <v>130</v>
      </c>
      <c r="CQ2409" s="0" t="s">
        <v>130</v>
      </c>
      <c r="CR2409" s="0" t="s">
        <v>130</v>
      </c>
      <c r="CS2409" s="0" t="s">
        <v>130</v>
      </c>
      <c r="CT2409" s="0" t="s">
        <v>6588</v>
      </c>
    </row>
    <row r="2410">
      <c r="A2410" s="14">
        <v>101174</v>
      </c>
      <c r="B2410" s="0" t="s">
        <v>1365</v>
      </c>
      <c r="C2410" s="16">
        <f>HYPERLINK("https://eosportal.federatedhermes.com/companies/Q29tcGFueQppNTg5ODc=", "ConocoPhillips")</f>
      </c>
      <c r="D2410" s="0" t="s">
        <v>25</v>
      </c>
      <c r="E2410" s="0" t="s">
        <v>6589</v>
      </c>
      <c r="F2410" s="16">
        <f>HYPERLINK("https://eosportal.federatedhermes.com/engagements/RW5nYWdlbWVudAppMzM2NjU=", "Global and disaggregated methane emissions disclosure by basin")</f>
      </c>
      <c r="G2410" s="14" t="s">
        <v>6590</v>
      </c>
      <c r="H2410" s="0" t="s">
        <v>141</v>
      </c>
      <c r="I2410" s="14" t="s">
        <v>191</v>
      </c>
      <c r="J2410" s="0" t="s">
        <v>197</v>
      </c>
      <c r="K2410" s="0" t="s">
        <v>198</v>
      </c>
      <c r="L2410" s="0" t="s">
        <v>199</v>
      </c>
      <c r="M2410" s="0" t="s">
        <v>135</v>
      </c>
      <c r="N2410" s="0" t="s">
        <v>136</v>
      </c>
      <c r="O2410" s="0" t="s">
        <v>542</v>
      </c>
      <c r="Q2410" s="0" t="s">
        <v>141</v>
      </c>
      <c r="R2410" s="0" t="s">
        <v>138</v>
      </c>
      <c r="S2410" s="14">
        <v>1</v>
      </c>
      <c r="T2410" s="0" t="s">
        <v>2629</v>
      </c>
      <c r="U2410" s="0" t="s">
        <v>138</v>
      </c>
      <c r="V2410" s="14" t="s">
        <v>138</v>
      </c>
      <c r="W2410" s="0" t="s">
        <v>138</v>
      </c>
      <c r="X2410" s="14" t="s">
        <v>138</v>
      </c>
      <c r="Y2410" s="0" t="s">
        <v>138</v>
      </c>
      <c r="Z2410" s="14" t="s">
        <v>138</v>
      </c>
      <c r="AA2410" s="0" t="s">
        <v>138</v>
      </c>
      <c r="AB2410" s="14" t="s">
        <v>138</v>
      </c>
      <c r="AD2410" s="0" t="s">
        <v>138</v>
      </c>
      <c r="AF2410" s="0">
        <v>0</v>
      </c>
      <c r="AG2410" s="0">
        <v>0</v>
      </c>
      <c r="AH2410" s="0" t="s">
        <v>140</v>
      </c>
      <c r="AI2410" s="0" t="s">
        <v>138</v>
      </c>
      <c r="AK2410" s="0" t="s">
        <v>2330</v>
      </c>
      <c r="AL2410" s="14"/>
      <c r="AN2410" s="14"/>
      <c r="AQ2410" s="0" t="s">
        <v>130</v>
      </c>
      <c r="AR2410" s="0" t="s">
        <v>130</v>
      </c>
      <c r="AS2410" s="0" t="s">
        <v>130</v>
      </c>
      <c r="AT2410" s="0" t="s">
        <v>130</v>
      </c>
      <c r="AU2410" s="0" t="s">
        <v>130</v>
      </c>
      <c r="AV2410" s="0" t="s">
        <v>130</v>
      </c>
      <c r="AW2410" s="0" t="s">
        <v>130</v>
      </c>
      <c r="AX2410" s="0" t="s">
        <v>130</v>
      </c>
      <c r="AY2410" s="0" t="s">
        <v>130</v>
      </c>
      <c r="AZ2410" s="0" t="s">
        <v>130</v>
      </c>
      <c r="BA2410" s="0" t="s">
        <v>130</v>
      </c>
      <c r="BB2410" s="0" t="s">
        <v>141</v>
      </c>
      <c r="BC2410" s="0" t="s">
        <v>141</v>
      </c>
      <c r="BD2410" s="0" t="s">
        <v>130</v>
      </c>
      <c r="BE2410" s="0" t="s">
        <v>130</v>
      </c>
      <c r="BF2410" s="0" t="s">
        <v>130</v>
      </c>
      <c r="BG2410" s="0" t="s">
        <v>130</v>
      </c>
      <c r="BH2410" s="0" t="s">
        <v>130</v>
      </c>
      <c r="BI2410" s="0" t="s">
        <v>130</v>
      </c>
      <c r="BJ2410" s="0" t="s">
        <v>130</v>
      </c>
      <c r="BK2410" s="0" t="s">
        <v>130</v>
      </c>
      <c r="BL2410" s="0" t="s">
        <v>130</v>
      </c>
      <c r="BM2410" s="0" t="s">
        <v>130</v>
      </c>
      <c r="BN2410" s="0" t="s">
        <v>130</v>
      </c>
      <c r="BO2410" s="0" t="s">
        <v>130</v>
      </c>
      <c r="BP2410" s="0" t="s">
        <v>130</v>
      </c>
      <c r="BQ2410" s="0" t="s">
        <v>130</v>
      </c>
      <c r="BR2410" s="0" t="s">
        <v>130</v>
      </c>
      <c r="BS2410" s="0" t="s">
        <v>130</v>
      </c>
      <c r="BT2410" s="0" t="s">
        <v>130</v>
      </c>
      <c r="BU2410" s="0" t="s">
        <v>130</v>
      </c>
      <c r="BV2410" s="0" t="s">
        <v>130</v>
      </c>
      <c r="BW2410" s="0" t="s">
        <v>130</v>
      </c>
      <c r="BX2410" s="0" t="s">
        <v>130</v>
      </c>
      <c r="BY2410" s="0" t="s">
        <v>130</v>
      </c>
      <c r="BZ2410" s="0" t="s">
        <v>130</v>
      </c>
      <c r="CA2410" s="0" t="s">
        <v>130</v>
      </c>
      <c r="CB2410" s="0" t="s">
        <v>130</v>
      </c>
      <c r="CC2410" s="0" t="s">
        <v>130</v>
      </c>
      <c r="CD2410" s="0" t="s">
        <v>130</v>
      </c>
      <c r="CE2410" s="0" t="s">
        <v>130</v>
      </c>
      <c r="CF2410" s="0" t="s">
        <v>130</v>
      </c>
      <c r="CG2410" s="0" t="s">
        <v>130</v>
      </c>
      <c r="CH2410" s="0" t="s">
        <v>130</v>
      </c>
      <c r="CI2410" s="0" t="s">
        <v>130</v>
      </c>
      <c r="CJ2410" s="0" t="s">
        <v>130</v>
      </c>
      <c r="CK2410" s="0" t="s">
        <v>130</v>
      </c>
      <c r="CL2410" s="0" t="s">
        <v>130</v>
      </c>
      <c r="CM2410" s="0" t="s">
        <v>130</v>
      </c>
      <c r="CN2410" s="0" t="s">
        <v>130</v>
      </c>
      <c r="CO2410" s="0" t="s">
        <v>130</v>
      </c>
      <c r="CP2410" s="0" t="s">
        <v>130</v>
      </c>
      <c r="CQ2410" s="0" t="s">
        <v>130</v>
      </c>
      <c r="CR2410" s="0" t="s">
        <v>130</v>
      </c>
      <c r="CS2410" s="0" t="s">
        <v>130</v>
      </c>
      <c r="CT2410" s="0" t="s">
        <v>6591</v>
      </c>
    </row>
    <row r="2411">
      <c r="A2411" s="14">
        <v>100315</v>
      </c>
      <c r="B2411" s="0" t="s">
        <v>539</v>
      </c>
      <c r="C2411" s="16">
        <f>HYPERLINK("https://eosportal.federatedhermes.com/companies/Q29tcGFueQppNzcwNTA=", "Chevron Corp")</f>
      </c>
      <c r="D2411" s="0" t="s">
        <v>25</v>
      </c>
      <c r="E2411" s="0" t="s">
        <v>6589</v>
      </c>
      <c r="F2411" s="16">
        <f>HYPERLINK("https://eosportal.federatedhermes.com/engagements/RW5nYWdlbWVudAppMzM2NjY=", "Global and disaggregated methane emissions disclosure by basin")</f>
      </c>
      <c r="G2411" s="14" t="s">
        <v>6590</v>
      </c>
      <c r="H2411" s="0" t="s">
        <v>141</v>
      </c>
      <c r="I2411" s="14" t="s">
        <v>191</v>
      </c>
      <c r="J2411" s="0" t="s">
        <v>197</v>
      </c>
      <c r="K2411" s="0" t="s">
        <v>198</v>
      </c>
      <c r="L2411" s="0" t="s">
        <v>199</v>
      </c>
      <c r="M2411" s="0" t="s">
        <v>135</v>
      </c>
      <c r="N2411" s="0" t="s">
        <v>136</v>
      </c>
      <c r="O2411" s="0" t="s">
        <v>542</v>
      </c>
      <c r="Q2411" s="0" t="s">
        <v>141</v>
      </c>
      <c r="R2411" s="0" t="s">
        <v>138</v>
      </c>
      <c r="S2411" s="14">
        <v>1</v>
      </c>
      <c r="T2411" s="0" t="s">
        <v>2629</v>
      </c>
      <c r="U2411" s="0" t="s">
        <v>138</v>
      </c>
      <c r="V2411" s="14" t="s">
        <v>138</v>
      </c>
      <c r="W2411" s="0" t="s">
        <v>138</v>
      </c>
      <c r="X2411" s="14" t="s">
        <v>138</v>
      </c>
      <c r="Y2411" s="0" t="s">
        <v>138</v>
      </c>
      <c r="Z2411" s="14" t="s">
        <v>138</v>
      </c>
      <c r="AA2411" s="0" t="s">
        <v>138</v>
      </c>
      <c r="AB2411" s="14" t="s">
        <v>138</v>
      </c>
      <c r="AD2411" s="0" t="s">
        <v>138</v>
      </c>
      <c r="AF2411" s="0">
        <v>0</v>
      </c>
      <c r="AG2411" s="0">
        <v>0</v>
      </c>
      <c r="AH2411" s="0" t="s">
        <v>140</v>
      </c>
      <c r="AI2411" s="0" t="s">
        <v>138</v>
      </c>
      <c r="AK2411" s="0" t="s">
        <v>2044</v>
      </c>
      <c r="AL2411" s="14"/>
      <c r="AN2411" s="14"/>
      <c r="AQ2411" s="0" t="s">
        <v>130</v>
      </c>
      <c r="AR2411" s="0" t="s">
        <v>130</v>
      </c>
      <c r="AS2411" s="0" t="s">
        <v>130</v>
      </c>
      <c r="AT2411" s="0" t="s">
        <v>130</v>
      </c>
      <c r="AU2411" s="0" t="s">
        <v>130</v>
      </c>
      <c r="AV2411" s="0" t="s">
        <v>130</v>
      </c>
      <c r="AW2411" s="0" t="s">
        <v>130</v>
      </c>
      <c r="AX2411" s="0" t="s">
        <v>130</v>
      </c>
      <c r="AY2411" s="0" t="s">
        <v>130</v>
      </c>
      <c r="AZ2411" s="0" t="s">
        <v>130</v>
      </c>
      <c r="BA2411" s="0" t="s">
        <v>130</v>
      </c>
      <c r="BB2411" s="0" t="s">
        <v>141</v>
      </c>
      <c r="BC2411" s="0" t="s">
        <v>141</v>
      </c>
      <c r="BD2411" s="0" t="s">
        <v>130</v>
      </c>
      <c r="BE2411" s="0" t="s">
        <v>130</v>
      </c>
      <c r="BF2411" s="0" t="s">
        <v>130</v>
      </c>
      <c r="BG2411" s="0" t="s">
        <v>130</v>
      </c>
      <c r="BH2411" s="0" t="s">
        <v>130</v>
      </c>
      <c r="BI2411" s="0" t="s">
        <v>130</v>
      </c>
      <c r="BJ2411" s="0" t="s">
        <v>130</v>
      </c>
      <c r="BK2411" s="0" t="s">
        <v>130</v>
      </c>
      <c r="BL2411" s="0" t="s">
        <v>130</v>
      </c>
      <c r="BM2411" s="0" t="s">
        <v>130</v>
      </c>
      <c r="BN2411" s="0" t="s">
        <v>130</v>
      </c>
      <c r="BO2411" s="0" t="s">
        <v>130</v>
      </c>
      <c r="BP2411" s="0" t="s">
        <v>130</v>
      </c>
      <c r="BQ2411" s="0" t="s">
        <v>130</v>
      </c>
      <c r="BR2411" s="0" t="s">
        <v>130</v>
      </c>
      <c r="BS2411" s="0" t="s">
        <v>130</v>
      </c>
      <c r="BT2411" s="0" t="s">
        <v>130</v>
      </c>
      <c r="BU2411" s="0" t="s">
        <v>130</v>
      </c>
      <c r="BV2411" s="0" t="s">
        <v>130</v>
      </c>
      <c r="BW2411" s="0" t="s">
        <v>130</v>
      </c>
      <c r="BX2411" s="0" t="s">
        <v>130</v>
      </c>
      <c r="BY2411" s="0" t="s">
        <v>130</v>
      </c>
      <c r="BZ2411" s="0" t="s">
        <v>130</v>
      </c>
      <c r="CA2411" s="0" t="s">
        <v>130</v>
      </c>
      <c r="CB2411" s="0" t="s">
        <v>130</v>
      </c>
      <c r="CC2411" s="0" t="s">
        <v>130</v>
      </c>
      <c r="CD2411" s="0" t="s">
        <v>130</v>
      </c>
      <c r="CE2411" s="0" t="s">
        <v>130</v>
      </c>
      <c r="CF2411" s="0" t="s">
        <v>130</v>
      </c>
      <c r="CG2411" s="0" t="s">
        <v>130</v>
      </c>
      <c r="CH2411" s="0" t="s">
        <v>130</v>
      </c>
      <c r="CI2411" s="0" t="s">
        <v>130</v>
      </c>
      <c r="CJ2411" s="0" t="s">
        <v>130</v>
      </c>
      <c r="CK2411" s="0" t="s">
        <v>130</v>
      </c>
      <c r="CL2411" s="0" t="s">
        <v>130</v>
      </c>
      <c r="CM2411" s="0" t="s">
        <v>130</v>
      </c>
      <c r="CN2411" s="0" t="s">
        <v>130</v>
      </c>
      <c r="CO2411" s="0" t="s">
        <v>130</v>
      </c>
      <c r="CP2411" s="0" t="s">
        <v>130</v>
      </c>
      <c r="CQ2411" s="0" t="s">
        <v>130</v>
      </c>
      <c r="CR2411" s="0" t="s">
        <v>130</v>
      </c>
      <c r="CS2411" s="0" t="s">
        <v>130</v>
      </c>
      <c r="CT2411" s="0" t="s">
        <v>6592</v>
      </c>
    </row>
    <row r="2412">
      <c r="A2412" s="14">
        <v>41633927</v>
      </c>
      <c r="B2412" s="0" t="s">
        <v>4569</v>
      </c>
      <c r="C2412" s="16">
        <f>HYPERLINK("https://eosportal.federatedhermes.com/companies/Q29tcGFueQppNTIxODI=", "Stellantis NV")</f>
      </c>
      <c r="D2412" s="0" t="s">
        <v>25</v>
      </c>
      <c r="E2412" s="0" t="s">
        <v>208</v>
      </c>
      <c r="F2412" s="16">
        <f>HYPERLINK("https://eosportal.federatedhermes.com/engagements/RW5nYWdlbWVudAppMzM2ODc=", "Just Transition")</f>
      </c>
      <c r="G2412" s="14" t="s">
        <v>6593</v>
      </c>
      <c r="H2412" s="0" t="s">
        <v>141</v>
      </c>
      <c r="I2412" s="14" t="s">
        <v>1645</v>
      </c>
      <c r="J2412" s="0" t="s">
        <v>197</v>
      </c>
      <c r="K2412" s="0" t="s">
        <v>198</v>
      </c>
      <c r="L2412" s="0" t="s">
        <v>199</v>
      </c>
      <c r="M2412" s="0" t="s">
        <v>378</v>
      </c>
      <c r="N2412" s="0" t="s">
        <v>2554</v>
      </c>
      <c r="O2412" s="0" t="s">
        <v>425</v>
      </c>
      <c r="Q2412" s="0" t="s">
        <v>141</v>
      </c>
      <c r="R2412" s="0" t="s">
        <v>138</v>
      </c>
      <c r="S2412" s="14">
        <v>1</v>
      </c>
      <c r="T2412" s="0" t="s">
        <v>3562</v>
      </c>
      <c r="U2412" s="0" t="s">
        <v>138</v>
      </c>
      <c r="V2412" s="14" t="s">
        <v>138</v>
      </c>
      <c r="W2412" s="0" t="s">
        <v>138</v>
      </c>
      <c r="X2412" s="14" t="s">
        <v>138</v>
      </c>
      <c r="Y2412" s="0" t="s">
        <v>138</v>
      </c>
      <c r="Z2412" s="14" t="s">
        <v>138</v>
      </c>
      <c r="AA2412" s="0" t="s">
        <v>138</v>
      </c>
      <c r="AB2412" s="14" t="s">
        <v>138</v>
      </c>
      <c r="AD2412" s="0" t="s">
        <v>138</v>
      </c>
      <c r="AF2412" s="0">
        <v>0</v>
      </c>
      <c r="AG2412" s="0">
        <v>0</v>
      </c>
      <c r="AH2412" s="0" t="s">
        <v>140</v>
      </c>
      <c r="AI2412" s="0" t="s">
        <v>138</v>
      </c>
      <c r="AK2412" s="0" t="s">
        <v>2044</v>
      </c>
      <c r="AL2412" s="14"/>
      <c r="AN2412" s="14"/>
      <c r="AQ2412" s="0" t="s">
        <v>130</v>
      </c>
      <c r="AR2412" s="0" t="s">
        <v>130</v>
      </c>
      <c r="AS2412" s="0" t="s">
        <v>130</v>
      </c>
      <c r="AT2412" s="0" t="s">
        <v>130</v>
      </c>
      <c r="AU2412" s="0" t="s">
        <v>130</v>
      </c>
      <c r="AV2412" s="0" t="s">
        <v>130</v>
      </c>
      <c r="AW2412" s="0" t="s">
        <v>130</v>
      </c>
      <c r="AX2412" s="0" t="s">
        <v>130</v>
      </c>
      <c r="AY2412" s="0" t="s">
        <v>130</v>
      </c>
      <c r="AZ2412" s="0" t="s">
        <v>130</v>
      </c>
      <c r="BA2412" s="0" t="s">
        <v>130</v>
      </c>
      <c r="BB2412" s="0" t="s">
        <v>141</v>
      </c>
      <c r="BC2412" s="0" t="s">
        <v>130</v>
      </c>
      <c r="BD2412" s="0" t="s">
        <v>130</v>
      </c>
      <c r="BE2412" s="0" t="s">
        <v>130</v>
      </c>
      <c r="BF2412" s="0" t="s">
        <v>130</v>
      </c>
      <c r="BG2412" s="0" t="s">
        <v>130</v>
      </c>
      <c r="BH2412" s="0" t="s">
        <v>130</v>
      </c>
      <c r="BI2412" s="0" t="s">
        <v>130</v>
      </c>
      <c r="BJ2412" s="0" t="s">
        <v>130</v>
      </c>
      <c r="BK2412" s="0" t="s">
        <v>130</v>
      </c>
      <c r="BL2412" s="0" t="s">
        <v>130</v>
      </c>
      <c r="BM2412" s="0" t="s">
        <v>130</v>
      </c>
      <c r="BN2412" s="0" t="s">
        <v>130</v>
      </c>
      <c r="BO2412" s="0" t="s">
        <v>130</v>
      </c>
      <c r="BP2412" s="0" t="s">
        <v>130</v>
      </c>
      <c r="BQ2412" s="0" t="s">
        <v>130</v>
      </c>
      <c r="BR2412" s="0" t="s">
        <v>130</v>
      </c>
      <c r="BS2412" s="0" t="s">
        <v>130</v>
      </c>
      <c r="BT2412" s="0" t="s">
        <v>130</v>
      </c>
      <c r="BU2412" s="0" t="s">
        <v>130</v>
      </c>
      <c r="BV2412" s="0" t="s">
        <v>130</v>
      </c>
      <c r="BW2412" s="0" t="s">
        <v>130</v>
      </c>
      <c r="BX2412" s="0" t="s">
        <v>130</v>
      </c>
      <c r="BY2412" s="0" t="s">
        <v>130</v>
      </c>
      <c r="BZ2412" s="0" t="s">
        <v>130</v>
      </c>
      <c r="CA2412" s="0" t="s">
        <v>130</v>
      </c>
      <c r="CB2412" s="0" t="s">
        <v>130</v>
      </c>
      <c r="CC2412" s="0" t="s">
        <v>130</v>
      </c>
      <c r="CD2412" s="0" t="s">
        <v>130</v>
      </c>
      <c r="CE2412" s="0" t="s">
        <v>130</v>
      </c>
      <c r="CF2412" s="0" t="s">
        <v>130</v>
      </c>
      <c r="CG2412" s="0" t="s">
        <v>130</v>
      </c>
      <c r="CH2412" s="0" t="s">
        <v>130</v>
      </c>
      <c r="CI2412" s="0" t="s">
        <v>130</v>
      </c>
      <c r="CJ2412" s="0" t="s">
        <v>130</v>
      </c>
      <c r="CK2412" s="0" t="s">
        <v>130</v>
      </c>
      <c r="CL2412" s="0" t="s">
        <v>130</v>
      </c>
      <c r="CM2412" s="0" t="s">
        <v>130</v>
      </c>
      <c r="CN2412" s="0" t="s">
        <v>130</v>
      </c>
      <c r="CO2412" s="0" t="s">
        <v>130</v>
      </c>
      <c r="CP2412" s="0" t="s">
        <v>130</v>
      </c>
      <c r="CQ2412" s="0" t="s">
        <v>130</v>
      </c>
      <c r="CR2412" s="0" t="s">
        <v>130</v>
      </c>
      <c r="CS2412" s="0" t="s">
        <v>130</v>
      </c>
      <c r="CT2412" s="0" t="s">
        <v>6594</v>
      </c>
    </row>
    <row r="2413">
      <c r="A2413" s="14">
        <v>115679</v>
      </c>
      <c r="B2413" s="0" t="s">
        <v>2603</v>
      </c>
      <c r="C2413" s="16">
        <f>HYPERLINK("https://eosportal.federatedhermes.com/companies/Q29tcGFueQppNTg5NzU=", "Bayer AG")</f>
      </c>
      <c r="D2413" s="0" t="s">
        <v>23</v>
      </c>
      <c r="E2413" s="0" t="s">
        <v>5812</v>
      </c>
      <c r="F2413" s="16">
        <f>HYPERLINK("https://eosportal.federatedhermes.com/engagements/RW5nYWdlbWVudAppMzM2OTA=", "Climate-aligned accounts")</f>
      </c>
      <c r="G2413" s="14" t="s">
        <v>6595</v>
      </c>
      <c r="H2413" s="0" t="s">
        <v>141</v>
      </c>
      <c r="I2413" s="14" t="s">
        <v>1645</v>
      </c>
      <c r="J2413" s="0" t="s">
        <v>197</v>
      </c>
      <c r="K2413" s="0" t="s">
        <v>198</v>
      </c>
      <c r="L2413" s="0" t="s">
        <v>199</v>
      </c>
      <c r="M2413" s="0" t="s">
        <v>378</v>
      </c>
      <c r="N2413" s="0" t="s">
        <v>2485</v>
      </c>
      <c r="O2413" s="0" t="s">
        <v>274</v>
      </c>
      <c r="Q2413" s="0" t="s">
        <v>130</v>
      </c>
      <c r="R2413" s="0" t="s">
        <v>141</v>
      </c>
      <c r="S2413" s="14">
        <v>0</v>
      </c>
      <c r="T2413" s="0" t="s">
        <v>3562</v>
      </c>
      <c r="U2413" s="0" t="s">
        <v>221</v>
      </c>
      <c r="V2413" s="14" t="s">
        <v>3562</v>
      </c>
      <c r="W2413" s="0" t="s">
        <v>221</v>
      </c>
      <c r="X2413" s="14" t="s">
        <v>4412</v>
      </c>
      <c r="Y2413" s="0" t="s">
        <v>221</v>
      </c>
      <c r="Z2413" s="14" t="s">
        <v>361</v>
      </c>
      <c r="AA2413" s="0" t="s">
        <v>223</v>
      </c>
      <c r="AB2413" s="14" t="s">
        <v>138</v>
      </c>
      <c r="AC2413" s="0" t="s">
        <v>17</v>
      </c>
      <c r="AD2413" s="0" t="s">
        <v>20</v>
      </c>
      <c r="AE2413" s="0" t="s">
        <v>2266</v>
      </c>
      <c r="AF2413" s="0">
        <v>1</v>
      </c>
      <c r="AG2413" s="0">
        <v>0</v>
      </c>
      <c r="AH2413" s="0" t="s">
        <v>140</v>
      </c>
      <c r="AI2413" s="0" t="s">
        <v>598</v>
      </c>
      <c r="AL2413" s="14"/>
      <c r="AN2413" s="14"/>
      <c r="AQ2413" s="0" t="s">
        <v>130</v>
      </c>
      <c r="AR2413" s="0" t="s">
        <v>130</v>
      </c>
      <c r="AS2413" s="0" t="s">
        <v>130</v>
      </c>
      <c r="AT2413" s="0" t="s">
        <v>130</v>
      </c>
      <c r="AU2413" s="0" t="s">
        <v>130</v>
      </c>
      <c r="AV2413" s="0" t="s">
        <v>130</v>
      </c>
      <c r="AW2413" s="0" t="s">
        <v>130</v>
      </c>
      <c r="AX2413" s="0" t="s">
        <v>130</v>
      </c>
      <c r="AY2413" s="0" t="s">
        <v>130</v>
      </c>
      <c r="AZ2413" s="0" t="s">
        <v>130</v>
      </c>
      <c r="BA2413" s="0" t="s">
        <v>130</v>
      </c>
      <c r="BB2413" s="0" t="s">
        <v>141</v>
      </c>
      <c r="BC2413" s="0" t="s">
        <v>130</v>
      </c>
      <c r="BD2413" s="0" t="s">
        <v>130</v>
      </c>
      <c r="BE2413" s="0" t="s">
        <v>130</v>
      </c>
      <c r="BF2413" s="0" t="s">
        <v>130</v>
      </c>
      <c r="BG2413" s="0" t="s">
        <v>130</v>
      </c>
      <c r="BH2413" s="0" t="s">
        <v>130</v>
      </c>
      <c r="BI2413" s="0" t="s">
        <v>130</v>
      </c>
      <c r="BJ2413" s="0" t="s">
        <v>130</v>
      </c>
      <c r="BK2413" s="0" t="s">
        <v>130</v>
      </c>
      <c r="BL2413" s="0" t="s">
        <v>130</v>
      </c>
      <c r="BM2413" s="0" t="s">
        <v>130</v>
      </c>
      <c r="BN2413" s="0" t="s">
        <v>130</v>
      </c>
      <c r="BO2413" s="0" t="s">
        <v>130</v>
      </c>
      <c r="BP2413" s="0" t="s">
        <v>130</v>
      </c>
      <c r="BQ2413" s="0" t="s">
        <v>130</v>
      </c>
      <c r="BR2413" s="0" t="s">
        <v>130</v>
      </c>
      <c r="BS2413" s="0" t="s">
        <v>130</v>
      </c>
      <c r="BT2413" s="0" t="s">
        <v>130</v>
      </c>
      <c r="BU2413" s="0" t="s">
        <v>130</v>
      </c>
      <c r="BV2413" s="0" t="s">
        <v>130</v>
      </c>
      <c r="BW2413" s="0" t="s">
        <v>130</v>
      </c>
      <c r="BX2413" s="0" t="s">
        <v>130</v>
      </c>
      <c r="BY2413" s="0" t="s">
        <v>130</v>
      </c>
      <c r="BZ2413" s="0" t="s">
        <v>130</v>
      </c>
      <c r="CA2413" s="0" t="s">
        <v>130</v>
      </c>
      <c r="CB2413" s="0" t="s">
        <v>130</v>
      </c>
      <c r="CC2413" s="0" t="s">
        <v>130</v>
      </c>
      <c r="CD2413" s="0" t="s">
        <v>130</v>
      </c>
      <c r="CE2413" s="0" t="s">
        <v>130</v>
      </c>
      <c r="CF2413" s="0" t="s">
        <v>130</v>
      </c>
      <c r="CG2413" s="0" t="s">
        <v>130</v>
      </c>
      <c r="CH2413" s="0" t="s">
        <v>130</v>
      </c>
      <c r="CI2413" s="0" t="s">
        <v>130</v>
      </c>
      <c r="CJ2413" s="0" t="s">
        <v>130</v>
      </c>
      <c r="CK2413" s="0" t="s">
        <v>130</v>
      </c>
      <c r="CL2413" s="0" t="s">
        <v>130</v>
      </c>
      <c r="CM2413" s="0" t="s">
        <v>130</v>
      </c>
      <c r="CN2413" s="0" t="s">
        <v>130</v>
      </c>
      <c r="CO2413" s="0" t="s">
        <v>130</v>
      </c>
      <c r="CP2413" s="0" t="s">
        <v>130</v>
      </c>
      <c r="CQ2413" s="0" t="s">
        <v>130</v>
      </c>
      <c r="CR2413" s="0" t="s">
        <v>130</v>
      </c>
      <c r="CS2413" s="0" t="s">
        <v>130</v>
      </c>
      <c r="CT2413" s="0" t="s">
        <v>6596</v>
      </c>
    </row>
    <row r="2414">
      <c r="A2414" s="14">
        <v>216952</v>
      </c>
      <c r="B2414" s="0" t="s">
        <v>3384</v>
      </c>
      <c r="C2414" s="16">
        <f>HYPERLINK("https://eosportal.federatedhermes.com/companies/Q29tcGFueQppNjc3MjM=", "Amazon.com Inc")</f>
      </c>
      <c r="D2414" s="0" t="s">
        <v>23</v>
      </c>
      <c r="E2414" s="0" t="s">
        <v>6597</v>
      </c>
      <c r="F2414" s="16">
        <f>HYPERLINK("https://eosportal.federatedhermes.com/engagements/RW5nYWdlbWVudAppMzM2OTE=", "Freedom of association")</f>
      </c>
      <c r="G2414" s="14" t="s">
        <v>6598</v>
      </c>
      <c r="H2414" s="0" t="s">
        <v>141</v>
      </c>
      <c r="I2414" s="14" t="s">
        <v>191</v>
      </c>
      <c r="J2414" s="0" t="s">
        <v>153</v>
      </c>
      <c r="K2414" s="0" t="s">
        <v>154</v>
      </c>
      <c r="L2414" s="0" t="s">
        <v>306</v>
      </c>
      <c r="M2414" s="0" t="s">
        <v>135</v>
      </c>
      <c r="N2414" s="0" t="s">
        <v>136</v>
      </c>
      <c r="O2414" s="0" t="s">
        <v>643</v>
      </c>
      <c r="Q2414" s="0" t="s">
        <v>130</v>
      </c>
      <c r="R2414" s="0" t="s">
        <v>130</v>
      </c>
      <c r="S2414" s="14">
        <v>0</v>
      </c>
      <c r="T2414" s="0" t="s">
        <v>360</v>
      </c>
      <c r="U2414" s="0" t="s">
        <v>221</v>
      </c>
      <c r="V2414" s="14" t="s">
        <v>360</v>
      </c>
      <c r="W2414" s="0" t="s">
        <v>223</v>
      </c>
      <c r="X2414" s="14" t="s">
        <v>138</v>
      </c>
      <c r="Y2414" s="0" t="s">
        <v>224</v>
      </c>
      <c r="Z2414" s="14" t="s">
        <v>138</v>
      </c>
      <c r="AA2414" s="0" t="s">
        <v>224</v>
      </c>
      <c r="AB2414" s="14" t="s">
        <v>138</v>
      </c>
      <c r="AD2414" s="0" t="s">
        <v>14</v>
      </c>
      <c r="AF2414" s="0">
        <v>0</v>
      </c>
      <c r="AG2414" s="0">
        <v>0</v>
      </c>
      <c r="AH2414" s="0" t="s">
        <v>140</v>
      </c>
      <c r="AI2414" s="0" t="s">
        <v>225</v>
      </c>
      <c r="AL2414" s="14"/>
      <c r="AN2414" s="14"/>
      <c r="AQ2414" s="0" t="s">
        <v>141</v>
      </c>
      <c r="AR2414" s="0" t="s">
        <v>130</v>
      </c>
      <c r="AS2414" s="0" t="s">
        <v>130</v>
      </c>
      <c r="AT2414" s="0" t="s">
        <v>130</v>
      </c>
      <c r="AU2414" s="0" t="s">
        <v>130</v>
      </c>
      <c r="AV2414" s="0" t="s">
        <v>130</v>
      </c>
      <c r="AW2414" s="0" t="s">
        <v>130</v>
      </c>
      <c r="AX2414" s="0" t="s">
        <v>141</v>
      </c>
      <c r="AY2414" s="0" t="s">
        <v>130</v>
      </c>
      <c r="AZ2414" s="0" t="s">
        <v>141</v>
      </c>
      <c r="BA2414" s="0" t="s">
        <v>130</v>
      </c>
      <c r="BB2414" s="0" t="s">
        <v>130</v>
      </c>
      <c r="BC2414" s="0" t="s">
        <v>130</v>
      </c>
      <c r="BD2414" s="0" t="s">
        <v>130</v>
      </c>
      <c r="BE2414" s="0" t="s">
        <v>130</v>
      </c>
      <c r="BF2414" s="0" t="s">
        <v>130</v>
      </c>
      <c r="BG2414" s="0" t="s">
        <v>130</v>
      </c>
      <c r="BH2414" s="0" t="s">
        <v>130</v>
      </c>
      <c r="BI2414" s="0" t="s">
        <v>130</v>
      </c>
      <c r="BJ2414" s="0" t="s">
        <v>130</v>
      </c>
      <c r="BK2414" s="0" t="s">
        <v>130</v>
      </c>
      <c r="BL2414" s="0" t="s">
        <v>130</v>
      </c>
      <c r="BM2414" s="0" t="s">
        <v>130</v>
      </c>
      <c r="BN2414" s="0" t="s">
        <v>130</v>
      </c>
      <c r="BO2414" s="0" t="s">
        <v>130</v>
      </c>
      <c r="BP2414" s="0" t="s">
        <v>141</v>
      </c>
      <c r="BQ2414" s="0" t="s">
        <v>130</v>
      </c>
      <c r="BR2414" s="0" t="s">
        <v>130</v>
      </c>
      <c r="BS2414" s="0" t="s">
        <v>130</v>
      </c>
      <c r="BT2414" s="0" t="s">
        <v>130</v>
      </c>
      <c r="BU2414" s="0" t="s">
        <v>130</v>
      </c>
      <c r="BV2414" s="0" t="s">
        <v>130</v>
      </c>
      <c r="BW2414" s="0" t="s">
        <v>130</v>
      </c>
      <c r="BX2414" s="0" t="s">
        <v>130</v>
      </c>
      <c r="BY2414" s="0" t="s">
        <v>130</v>
      </c>
      <c r="BZ2414" s="0" t="s">
        <v>130</v>
      </c>
      <c r="CA2414" s="0" t="s">
        <v>130</v>
      </c>
      <c r="CB2414" s="0" t="s">
        <v>130</v>
      </c>
      <c r="CC2414" s="0" t="s">
        <v>130</v>
      </c>
      <c r="CD2414" s="0" t="s">
        <v>130</v>
      </c>
      <c r="CE2414" s="0" t="s">
        <v>130</v>
      </c>
      <c r="CF2414" s="0" t="s">
        <v>130</v>
      </c>
      <c r="CG2414" s="0" t="s">
        <v>130</v>
      </c>
      <c r="CH2414" s="0" t="s">
        <v>130</v>
      </c>
      <c r="CI2414" s="0" t="s">
        <v>130</v>
      </c>
      <c r="CJ2414" s="0" t="s">
        <v>141</v>
      </c>
      <c r="CK2414" s="0" t="s">
        <v>130</v>
      </c>
      <c r="CL2414" s="0" t="s">
        <v>130</v>
      </c>
      <c r="CM2414" s="0" t="s">
        <v>130</v>
      </c>
      <c r="CN2414" s="0" t="s">
        <v>130</v>
      </c>
      <c r="CO2414" s="0" t="s">
        <v>130</v>
      </c>
      <c r="CP2414" s="0" t="s">
        <v>130</v>
      </c>
      <c r="CQ2414" s="0" t="s">
        <v>130</v>
      </c>
      <c r="CR2414" s="0" t="s">
        <v>130</v>
      </c>
      <c r="CS2414" s="0" t="s">
        <v>130</v>
      </c>
      <c r="CT2414" s="0" t="s">
        <v>6599</v>
      </c>
    </row>
    <row r="2415">
      <c r="A2415" s="14">
        <v>225547</v>
      </c>
      <c r="B2415" s="0" t="s">
        <v>3434</v>
      </c>
      <c r="C2415" s="16">
        <f>HYPERLINK("https://eosportal.federatedhermes.com/companies/Q29tcGFueQppNzQwNTc=", "ArcelorMittal SA")</f>
      </c>
      <c r="D2415" s="0" t="s">
        <v>23</v>
      </c>
      <c r="E2415" s="0" t="s">
        <v>6600</v>
      </c>
      <c r="F2415" s="16">
        <f>HYPERLINK("https://eosportal.federatedhermes.com/engagements/RW5nYWdlbWVudAppMzM2OTI=", "Human rights policy implementation")</f>
      </c>
      <c r="G2415" s="14" t="s">
        <v>6601</v>
      </c>
      <c r="H2415" s="0" t="s">
        <v>141</v>
      </c>
      <c r="I2415" s="14" t="s">
        <v>191</v>
      </c>
      <c r="J2415" s="0" t="s">
        <v>153</v>
      </c>
      <c r="K2415" s="0" t="s">
        <v>243</v>
      </c>
      <c r="L2415" s="0" t="s">
        <v>571</v>
      </c>
      <c r="M2415" s="0" t="s">
        <v>378</v>
      </c>
      <c r="N2415" s="0" t="s">
        <v>3435</v>
      </c>
      <c r="O2415" s="0" t="s">
        <v>373</v>
      </c>
      <c r="Q2415" s="0" t="s">
        <v>130</v>
      </c>
      <c r="R2415" s="0" t="s">
        <v>130</v>
      </c>
      <c r="S2415" s="14">
        <v>0</v>
      </c>
      <c r="T2415" s="0" t="s">
        <v>3562</v>
      </c>
      <c r="U2415" s="0" t="s">
        <v>221</v>
      </c>
      <c r="V2415" s="14" t="s">
        <v>3562</v>
      </c>
      <c r="W2415" s="0" t="s">
        <v>221</v>
      </c>
      <c r="X2415" s="14" t="s">
        <v>2842</v>
      </c>
      <c r="Y2415" s="0" t="s">
        <v>221</v>
      </c>
      <c r="Z2415" s="14" t="s">
        <v>449</v>
      </c>
      <c r="AA2415" s="0" t="s">
        <v>223</v>
      </c>
      <c r="AB2415" s="14" t="s">
        <v>138</v>
      </c>
      <c r="AD2415" s="0" t="s">
        <v>20</v>
      </c>
      <c r="AF2415" s="0">
        <v>0</v>
      </c>
      <c r="AG2415" s="0">
        <v>0</v>
      </c>
      <c r="AH2415" s="0" t="s">
        <v>140</v>
      </c>
      <c r="AI2415" s="0" t="s">
        <v>598</v>
      </c>
      <c r="AL2415" s="14"/>
      <c r="AN2415" s="14"/>
      <c r="AQ2415" s="0" t="s">
        <v>130</v>
      </c>
      <c r="AR2415" s="0" t="s">
        <v>130</v>
      </c>
      <c r="AS2415" s="0" t="s">
        <v>130</v>
      </c>
      <c r="AT2415" s="0" t="s">
        <v>130</v>
      </c>
      <c r="AU2415" s="0" t="s">
        <v>130</v>
      </c>
      <c r="AV2415" s="0" t="s">
        <v>130</v>
      </c>
      <c r="AW2415" s="0" t="s">
        <v>130</v>
      </c>
      <c r="AX2415" s="0" t="s">
        <v>130</v>
      </c>
      <c r="AY2415" s="0" t="s">
        <v>130</v>
      </c>
      <c r="AZ2415" s="0" t="s">
        <v>141</v>
      </c>
      <c r="BA2415" s="0" t="s">
        <v>130</v>
      </c>
      <c r="BB2415" s="0" t="s">
        <v>130</v>
      </c>
      <c r="BC2415" s="0" t="s">
        <v>130</v>
      </c>
      <c r="BD2415" s="0" t="s">
        <v>130</v>
      </c>
      <c r="BE2415" s="0" t="s">
        <v>130</v>
      </c>
      <c r="BF2415" s="0" t="s">
        <v>141</v>
      </c>
      <c r="BG2415" s="0" t="s">
        <v>130</v>
      </c>
      <c r="BH2415" s="0" t="s">
        <v>130</v>
      </c>
      <c r="BI2415" s="0" t="s">
        <v>130</v>
      </c>
      <c r="BJ2415" s="0" t="s">
        <v>130</v>
      </c>
      <c r="BK2415" s="0" t="s">
        <v>130</v>
      </c>
      <c r="BL2415" s="0" t="s">
        <v>130</v>
      </c>
      <c r="BM2415" s="0" t="s">
        <v>130</v>
      </c>
      <c r="BN2415" s="0" t="s">
        <v>130</v>
      </c>
      <c r="BO2415" s="0" t="s">
        <v>130</v>
      </c>
      <c r="BP2415" s="0" t="s">
        <v>130</v>
      </c>
      <c r="BQ2415" s="0" t="s">
        <v>130</v>
      </c>
      <c r="BR2415" s="0" t="s">
        <v>130</v>
      </c>
      <c r="BS2415" s="0" t="s">
        <v>130</v>
      </c>
      <c r="BT2415" s="0" t="s">
        <v>130</v>
      </c>
      <c r="BU2415" s="0" t="s">
        <v>130</v>
      </c>
      <c r="BV2415" s="0" t="s">
        <v>130</v>
      </c>
      <c r="BW2415" s="0" t="s">
        <v>130</v>
      </c>
      <c r="BX2415" s="0" t="s">
        <v>130</v>
      </c>
      <c r="BY2415" s="0" t="s">
        <v>130</v>
      </c>
      <c r="BZ2415" s="0" t="s">
        <v>130</v>
      </c>
      <c r="CA2415" s="0" t="s">
        <v>130</v>
      </c>
      <c r="CB2415" s="0" t="s">
        <v>130</v>
      </c>
      <c r="CC2415" s="0" t="s">
        <v>130</v>
      </c>
      <c r="CD2415" s="0" t="s">
        <v>130</v>
      </c>
      <c r="CE2415" s="0" t="s">
        <v>130</v>
      </c>
      <c r="CF2415" s="0" t="s">
        <v>130</v>
      </c>
      <c r="CG2415" s="0" t="s">
        <v>130</v>
      </c>
      <c r="CH2415" s="0" t="s">
        <v>130</v>
      </c>
      <c r="CI2415" s="0" t="s">
        <v>130</v>
      </c>
      <c r="CJ2415" s="0" t="s">
        <v>130</v>
      </c>
      <c r="CK2415" s="0" t="s">
        <v>130</v>
      </c>
      <c r="CL2415" s="0" t="s">
        <v>130</v>
      </c>
      <c r="CM2415" s="0" t="s">
        <v>130</v>
      </c>
      <c r="CN2415" s="0" t="s">
        <v>130</v>
      </c>
      <c r="CO2415" s="0" t="s">
        <v>130</v>
      </c>
      <c r="CP2415" s="0" t="s">
        <v>130</v>
      </c>
      <c r="CQ2415" s="0" t="s">
        <v>130</v>
      </c>
      <c r="CR2415" s="0" t="s">
        <v>130</v>
      </c>
      <c r="CS2415" s="0" t="s">
        <v>130</v>
      </c>
      <c r="CT2415" s="0" t="s">
        <v>6602</v>
      </c>
    </row>
    <row r="2416">
      <c r="A2416" s="14">
        <v>7281855</v>
      </c>
      <c r="B2416" s="0" t="s">
        <v>3813</v>
      </c>
      <c r="C2416" s="16">
        <f>HYPERLINK("https://eosportal.federatedhermes.com/companies/Q29tcGFueQppODU4ODE=", "LG Chem Ltd")</f>
      </c>
      <c r="D2416" s="0" t="s">
        <v>23</v>
      </c>
      <c r="E2416" s="0" t="s">
        <v>6603</v>
      </c>
      <c r="F2416" s="16">
        <f>HYPERLINK("https://eosportal.federatedhermes.com/engagements/RW5nYWdlbWVudAppMzM2OTQ=", "Disclosure of Hazardous Substance Use")</f>
      </c>
      <c r="G2416" s="14" t="s">
        <v>6604</v>
      </c>
      <c r="H2416" s="0" t="s">
        <v>141</v>
      </c>
      <c r="I2416" s="14" t="s">
        <v>191</v>
      </c>
      <c r="J2416" s="0" t="s">
        <v>197</v>
      </c>
      <c r="K2416" s="0" t="s">
        <v>348</v>
      </c>
      <c r="L2416" s="0" t="s">
        <v>650</v>
      </c>
      <c r="M2416" s="0" t="s">
        <v>802</v>
      </c>
      <c r="N2416" s="0" t="s">
        <v>2800</v>
      </c>
      <c r="O2416" s="0" t="s">
        <v>706</v>
      </c>
      <c r="Q2416" s="0" t="s">
        <v>141</v>
      </c>
      <c r="R2416" s="0" t="s">
        <v>130</v>
      </c>
      <c r="S2416" s="14">
        <v>1</v>
      </c>
      <c r="T2416" s="0" t="s">
        <v>3562</v>
      </c>
      <c r="U2416" s="0" t="s">
        <v>221</v>
      </c>
      <c r="V2416" s="14" t="s">
        <v>3562</v>
      </c>
      <c r="W2416" s="0" t="s">
        <v>223</v>
      </c>
      <c r="X2416" s="14" t="s">
        <v>138</v>
      </c>
      <c r="Y2416" s="0" t="s">
        <v>224</v>
      </c>
      <c r="Z2416" s="14" t="s">
        <v>138</v>
      </c>
      <c r="AA2416" s="0" t="s">
        <v>224</v>
      </c>
      <c r="AB2416" s="14" t="s">
        <v>138</v>
      </c>
      <c r="AD2416" s="0" t="s">
        <v>14</v>
      </c>
      <c r="AF2416" s="0">
        <v>0</v>
      </c>
      <c r="AG2416" s="0">
        <v>0</v>
      </c>
      <c r="AH2416" s="0" t="s">
        <v>140</v>
      </c>
      <c r="AI2416" s="0" t="s">
        <v>225</v>
      </c>
      <c r="AK2416" s="0" t="s">
        <v>714</v>
      </c>
      <c r="AL2416" s="14"/>
      <c r="AN2416" s="14"/>
      <c r="AQ2416" s="0" t="s">
        <v>130</v>
      </c>
      <c r="AR2416" s="0" t="s">
        <v>130</v>
      </c>
      <c r="AS2416" s="0" t="s">
        <v>141</v>
      </c>
      <c r="AT2416" s="0" t="s">
        <v>130</v>
      </c>
      <c r="AU2416" s="0" t="s">
        <v>130</v>
      </c>
      <c r="AV2416" s="0" t="s">
        <v>130</v>
      </c>
      <c r="AW2416" s="0" t="s">
        <v>130</v>
      </c>
      <c r="AX2416" s="0" t="s">
        <v>130</v>
      </c>
      <c r="AY2416" s="0" t="s">
        <v>130</v>
      </c>
      <c r="AZ2416" s="0" t="s">
        <v>130</v>
      </c>
      <c r="BA2416" s="0" t="s">
        <v>130</v>
      </c>
      <c r="BB2416" s="0" t="s">
        <v>141</v>
      </c>
      <c r="BC2416" s="0" t="s">
        <v>130</v>
      </c>
      <c r="BD2416" s="0" t="s">
        <v>130</v>
      </c>
      <c r="BE2416" s="0" t="s">
        <v>130</v>
      </c>
      <c r="BF2416" s="0" t="s">
        <v>130</v>
      </c>
      <c r="BG2416" s="0" t="s">
        <v>130</v>
      </c>
      <c r="BH2416" s="0" t="s">
        <v>130</v>
      </c>
      <c r="BI2416" s="0" t="s">
        <v>130</v>
      </c>
      <c r="BJ2416" s="0" t="s">
        <v>130</v>
      </c>
      <c r="BK2416" s="0" t="s">
        <v>130</v>
      </c>
      <c r="BL2416" s="0" t="s">
        <v>130</v>
      </c>
      <c r="BM2416" s="0" t="s">
        <v>130</v>
      </c>
      <c r="BN2416" s="0" t="s">
        <v>141</v>
      </c>
      <c r="BO2416" s="0" t="s">
        <v>141</v>
      </c>
      <c r="BP2416" s="0" t="s">
        <v>130</v>
      </c>
      <c r="BQ2416" s="0" t="s">
        <v>130</v>
      </c>
      <c r="BR2416" s="0" t="s">
        <v>130</v>
      </c>
      <c r="BS2416" s="0" t="s">
        <v>141</v>
      </c>
      <c r="BT2416" s="0" t="s">
        <v>141</v>
      </c>
      <c r="BU2416" s="0" t="s">
        <v>130</v>
      </c>
      <c r="BV2416" s="0" t="s">
        <v>130</v>
      </c>
      <c r="BW2416" s="0" t="s">
        <v>130</v>
      </c>
      <c r="BX2416" s="0" t="s">
        <v>130</v>
      </c>
      <c r="BY2416" s="0" t="s">
        <v>130</v>
      </c>
      <c r="BZ2416" s="0" t="s">
        <v>130</v>
      </c>
      <c r="CA2416" s="0" t="s">
        <v>130</v>
      </c>
      <c r="CB2416" s="0" t="s">
        <v>130</v>
      </c>
      <c r="CC2416" s="0" t="s">
        <v>130</v>
      </c>
      <c r="CD2416" s="0" t="s">
        <v>130</v>
      </c>
      <c r="CE2416" s="0" t="s">
        <v>130</v>
      </c>
      <c r="CF2416" s="0" t="s">
        <v>130</v>
      </c>
      <c r="CG2416" s="0" t="s">
        <v>130</v>
      </c>
      <c r="CH2416" s="0" t="s">
        <v>130</v>
      </c>
      <c r="CI2416" s="0" t="s">
        <v>130</v>
      </c>
      <c r="CJ2416" s="0" t="s">
        <v>130</v>
      </c>
      <c r="CK2416" s="0" t="s">
        <v>130</v>
      </c>
      <c r="CL2416" s="0" t="s">
        <v>130</v>
      </c>
      <c r="CM2416" s="0" t="s">
        <v>130</v>
      </c>
      <c r="CN2416" s="0" t="s">
        <v>130</v>
      </c>
      <c r="CO2416" s="0" t="s">
        <v>130</v>
      </c>
      <c r="CP2416" s="0" t="s">
        <v>130</v>
      </c>
      <c r="CQ2416" s="0" t="s">
        <v>130</v>
      </c>
      <c r="CR2416" s="0" t="s">
        <v>130</v>
      </c>
      <c r="CS2416" s="0" t="s">
        <v>130</v>
      </c>
      <c r="CT2416" s="0" t="s">
        <v>6605</v>
      </c>
    </row>
    <row r="2417">
      <c r="A2417" s="14">
        <v>225547</v>
      </c>
      <c r="B2417" s="0" t="s">
        <v>3434</v>
      </c>
      <c r="C2417" s="16">
        <f>HYPERLINK("https://eosportal.federatedhermes.com/companies/Q29tcGFueQppNzQwNTc=", "ArcelorMittal SA")</f>
      </c>
      <c r="D2417" s="0" t="s">
        <v>25</v>
      </c>
      <c r="E2417" s="0" t="s">
        <v>5868</v>
      </c>
      <c r="F2417" s="16">
        <f>HYPERLINK("https://eosportal.federatedhermes.com/engagements/RW5nYWdlbWVudAppMzM3MDU=", "Controversy linked to UNGC Principle 1: Human rights")</f>
      </c>
      <c r="G2417" s="14" t="s">
        <v>6606</v>
      </c>
      <c r="H2417" s="0" t="s">
        <v>141</v>
      </c>
      <c r="I2417" s="14" t="s">
        <v>191</v>
      </c>
      <c r="J2417" s="0" t="s">
        <v>153</v>
      </c>
      <c r="K2417" s="0" t="s">
        <v>154</v>
      </c>
      <c r="L2417" s="0" t="s">
        <v>155</v>
      </c>
      <c r="M2417" s="0" t="s">
        <v>378</v>
      </c>
      <c r="N2417" s="0" t="s">
        <v>3435</v>
      </c>
      <c r="O2417" s="0" t="s">
        <v>373</v>
      </c>
      <c r="Q2417" s="0" t="s">
        <v>130</v>
      </c>
      <c r="R2417" s="0" t="s">
        <v>138</v>
      </c>
      <c r="S2417" s="14">
        <v>0</v>
      </c>
      <c r="T2417" s="0" t="s">
        <v>3562</v>
      </c>
      <c r="U2417" s="0" t="s">
        <v>138</v>
      </c>
      <c r="V2417" s="14" t="s">
        <v>138</v>
      </c>
      <c r="W2417" s="0" t="s">
        <v>138</v>
      </c>
      <c r="X2417" s="14" t="s">
        <v>138</v>
      </c>
      <c r="Y2417" s="0" t="s">
        <v>138</v>
      </c>
      <c r="Z2417" s="14" t="s">
        <v>138</v>
      </c>
      <c r="AA2417" s="0" t="s">
        <v>138</v>
      </c>
      <c r="AB2417" s="14" t="s">
        <v>138</v>
      </c>
      <c r="AD2417" s="0" t="s">
        <v>138</v>
      </c>
      <c r="AF2417" s="0">
        <v>0</v>
      </c>
      <c r="AG2417" s="0">
        <v>0</v>
      </c>
      <c r="AH2417" s="0" t="s">
        <v>140</v>
      </c>
      <c r="AI2417" s="0" t="s">
        <v>138</v>
      </c>
      <c r="AL2417" s="14"/>
      <c r="AN2417" s="14"/>
      <c r="AQ2417" s="0" t="s">
        <v>130</v>
      </c>
      <c r="AR2417" s="0" t="s">
        <v>130</v>
      </c>
      <c r="AS2417" s="0" t="s">
        <v>130</v>
      </c>
      <c r="AT2417" s="0" t="s">
        <v>130</v>
      </c>
      <c r="AU2417" s="0" t="s">
        <v>130</v>
      </c>
      <c r="AV2417" s="0" t="s">
        <v>130</v>
      </c>
      <c r="AW2417" s="0" t="s">
        <v>130</v>
      </c>
      <c r="AX2417" s="0" t="s">
        <v>141</v>
      </c>
      <c r="AY2417" s="0" t="s">
        <v>130</v>
      </c>
      <c r="AZ2417" s="0" t="s">
        <v>130</v>
      </c>
      <c r="BA2417" s="0" t="s">
        <v>130</v>
      </c>
      <c r="BB2417" s="0" t="s">
        <v>130</v>
      </c>
      <c r="BC2417" s="0" t="s">
        <v>130</v>
      </c>
      <c r="BD2417" s="0" t="s">
        <v>130</v>
      </c>
      <c r="BE2417" s="0" t="s">
        <v>130</v>
      </c>
      <c r="BF2417" s="0" t="s">
        <v>130</v>
      </c>
      <c r="BG2417" s="0" t="s">
        <v>130</v>
      </c>
      <c r="BH2417" s="0" t="s">
        <v>130</v>
      </c>
      <c r="BI2417" s="0" t="s">
        <v>130</v>
      </c>
      <c r="BJ2417" s="0" t="s">
        <v>130</v>
      </c>
      <c r="BK2417" s="0" t="s">
        <v>130</v>
      </c>
      <c r="BL2417" s="0" t="s">
        <v>130</v>
      </c>
      <c r="BM2417" s="0" t="s">
        <v>130</v>
      </c>
      <c r="BN2417" s="0" t="s">
        <v>130</v>
      </c>
      <c r="BO2417" s="0" t="s">
        <v>130</v>
      </c>
      <c r="BP2417" s="0" t="s">
        <v>141</v>
      </c>
      <c r="BQ2417" s="0" t="s">
        <v>130</v>
      </c>
      <c r="BR2417" s="0" t="s">
        <v>130</v>
      </c>
      <c r="BS2417" s="0" t="s">
        <v>130</v>
      </c>
      <c r="BT2417" s="0" t="s">
        <v>130</v>
      </c>
      <c r="BU2417" s="0" t="s">
        <v>130</v>
      </c>
      <c r="BV2417" s="0" t="s">
        <v>130</v>
      </c>
      <c r="BW2417" s="0" t="s">
        <v>130</v>
      </c>
      <c r="BX2417" s="0" t="s">
        <v>130</v>
      </c>
      <c r="BY2417" s="0" t="s">
        <v>130</v>
      </c>
      <c r="BZ2417" s="0" t="s">
        <v>130</v>
      </c>
      <c r="CA2417" s="0" t="s">
        <v>130</v>
      </c>
      <c r="CB2417" s="0" t="s">
        <v>130</v>
      </c>
      <c r="CC2417" s="0" t="s">
        <v>130</v>
      </c>
      <c r="CD2417" s="0" t="s">
        <v>130</v>
      </c>
      <c r="CE2417" s="0" t="s">
        <v>130</v>
      </c>
      <c r="CF2417" s="0" t="s">
        <v>130</v>
      </c>
      <c r="CG2417" s="0" t="s">
        <v>130</v>
      </c>
      <c r="CH2417" s="0" t="s">
        <v>130</v>
      </c>
      <c r="CI2417" s="0" t="s">
        <v>141</v>
      </c>
      <c r="CJ2417" s="0" t="s">
        <v>130</v>
      </c>
      <c r="CK2417" s="0" t="s">
        <v>130</v>
      </c>
      <c r="CL2417" s="0" t="s">
        <v>130</v>
      </c>
      <c r="CM2417" s="0" t="s">
        <v>130</v>
      </c>
      <c r="CN2417" s="0" t="s">
        <v>130</v>
      </c>
      <c r="CO2417" s="0" t="s">
        <v>130</v>
      </c>
      <c r="CP2417" s="0" t="s">
        <v>130</v>
      </c>
      <c r="CQ2417" s="0" t="s">
        <v>130</v>
      </c>
      <c r="CR2417" s="0" t="s">
        <v>130</v>
      </c>
      <c r="CS2417" s="0" t="s">
        <v>130</v>
      </c>
      <c r="CT2417" s="0" t="s">
        <v>6607</v>
      </c>
    </row>
    <row r="2418">
      <c r="A2418" s="14">
        <v>304214</v>
      </c>
      <c r="B2418" s="0" t="s">
        <v>3545</v>
      </c>
      <c r="C2418" s="16">
        <f>HYPERLINK("https://eosportal.federatedhermes.com/companies/Q29tcGFueQppODU4Nzc=", "Anhui Conch Cement Co Ltd")</f>
      </c>
      <c r="D2418" s="0" t="s">
        <v>23</v>
      </c>
      <c r="E2418" s="0" t="s">
        <v>6608</v>
      </c>
      <c r="F2418" s="16">
        <f>HYPERLINK("https://eosportal.federatedhermes.com/engagements/RW5nYWdlbWVudAppMzM3MTQ=", "Disclosure against TCFD framework in ESG report")</f>
      </c>
      <c r="G2418" s="14" t="s">
        <v>6609</v>
      </c>
      <c r="H2418" s="0" t="s">
        <v>141</v>
      </c>
      <c r="I2418" s="14" t="s">
        <v>131</v>
      </c>
      <c r="J2418" s="0" t="s">
        <v>197</v>
      </c>
      <c r="K2418" s="0" t="s">
        <v>198</v>
      </c>
      <c r="L2418" s="0" t="s">
        <v>199</v>
      </c>
      <c r="M2418" s="0" t="s">
        <v>2807</v>
      </c>
      <c r="N2418" s="0" t="s">
        <v>3272</v>
      </c>
      <c r="O2418" s="0" t="s">
        <v>373</v>
      </c>
      <c r="Q2418" s="0" t="s">
        <v>141</v>
      </c>
      <c r="R2418" s="0" t="s">
        <v>130</v>
      </c>
      <c r="S2418" s="14">
        <v>3</v>
      </c>
      <c r="T2418" s="0" t="s">
        <v>360</v>
      </c>
      <c r="U2418" s="0" t="s">
        <v>221</v>
      </c>
      <c r="V2418" s="14" t="s">
        <v>360</v>
      </c>
      <c r="W2418" s="0" t="s">
        <v>221</v>
      </c>
      <c r="X2418" s="14" t="s">
        <v>360</v>
      </c>
      <c r="Y2418" s="0" t="s">
        <v>223</v>
      </c>
      <c r="Z2418" s="14" t="s">
        <v>138</v>
      </c>
      <c r="AA2418" s="0" t="s">
        <v>224</v>
      </c>
      <c r="AB2418" s="14" t="s">
        <v>138</v>
      </c>
      <c r="AD2418" s="0" t="s">
        <v>17</v>
      </c>
      <c r="AF2418" s="0">
        <v>0</v>
      </c>
      <c r="AG2418" s="0">
        <v>0</v>
      </c>
      <c r="AH2418" s="0" t="s">
        <v>140</v>
      </c>
      <c r="AI2418" s="0" t="s">
        <v>598</v>
      </c>
      <c r="AK2418" s="0" t="s">
        <v>2795</v>
      </c>
      <c r="AL2418" s="14"/>
      <c r="AN2418" s="14"/>
      <c r="AQ2418" s="0" t="s">
        <v>130</v>
      </c>
      <c r="AR2418" s="0" t="s">
        <v>130</v>
      </c>
      <c r="AS2418" s="0" t="s">
        <v>130</v>
      </c>
      <c r="AT2418" s="0" t="s">
        <v>130</v>
      </c>
      <c r="AU2418" s="0" t="s">
        <v>130</v>
      </c>
      <c r="AV2418" s="0" t="s">
        <v>130</v>
      </c>
      <c r="AW2418" s="0" t="s">
        <v>130</v>
      </c>
      <c r="AX2418" s="0" t="s">
        <v>130</v>
      </c>
      <c r="AY2418" s="0" t="s">
        <v>130</v>
      </c>
      <c r="AZ2418" s="0" t="s">
        <v>130</v>
      </c>
      <c r="BA2418" s="0" t="s">
        <v>130</v>
      </c>
      <c r="BB2418" s="0" t="s">
        <v>141</v>
      </c>
      <c r="BC2418" s="0" t="s">
        <v>141</v>
      </c>
      <c r="BD2418" s="0" t="s">
        <v>130</v>
      </c>
      <c r="BE2418" s="0" t="s">
        <v>130</v>
      </c>
      <c r="BF2418" s="0" t="s">
        <v>130</v>
      </c>
      <c r="BG2418" s="0" t="s">
        <v>130</v>
      </c>
      <c r="BH2418" s="0" t="s">
        <v>130</v>
      </c>
      <c r="BI2418" s="0" t="s">
        <v>130</v>
      </c>
      <c r="BJ2418" s="0" t="s">
        <v>130</v>
      </c>
      <c r="BK2418" s="0" t="s">
        <v>130</v>
      </c>
      <c r="BL2418" s="0" t="s">
        <v>130</v>
      </c>
      <c r="BM2418" s="0" t="s">
        <v>130</v>
      </c>
      <c r="BN2418" s="0" t="s">
        <v>130</v>
      </c>
      <c r="BO2418" s="0" t="s">
        <v>130</v>
      </c>
      <c r="BP2418" s="0" t="s">
        <v>130</v>
      </c>
      <c r="BQ2418" s="0" t="s">
        <v>130</v>
      </c>
      <c r="BR2418" s="0" t="s">
        <v>130</v>
      </c>
      <c r="BS2418" s="0" t="s">
        <v>130</v>
      </c>
      <c r="BT2418" s="0" t="s">
        <v>130</v>
      </c>
      <c r="BU2418" s="0" t="s">
        <v>130</v>
      </c>
      <c r="BV2418" s="0" t="s">
        <v>130</v>
      </c>
      <c r="BW2418" s="0" t="s">
        <v>130</v>
      </c>
      <c r="BX2418" s="0" t="s">
        <v>130</v>
      </c>
      <c r="BY2418" s="0" t="s">
        <v>130</v>
      </c>
      <c r="BZ2418" s="0" t="s">
        <v>130</v>
      </c>
      <c r="CA2418" s="0" t="s">
        <v>130</v>
      </c>
      <c r="CB2418" s="0" t="s">
        <v>130</v>
      </c>
      <c r="CC2418" s="0" t="s">
        <v>130</v>
      </c>
      <c r="CD2418" s="0" t="s">
        <v>130</v>
      </c>
      <c r="CE2418" s="0" t="s">
        <v>130</v>
      </c>
      <c r="CF2418" s="0" t="s">
        <v>130</v>
      </c>
      <c r="CG2418" s="0" t="s">
        <v>130</v>
      </c>
      <c r="CH2418" s="0" t="s">
        <v>130</v>
      </c>
      <c r="CI2418" s="0" t="s">
        <v>130</v>
      </c>
      <c r="CJ2418" s="0" t="s">
        <v>130</v>
      </c>
      <c r="CK2418" s="0" t="s">
        <v>130</v>
      </c>
      <c r="CL2418" s="0" t="s">
        <v>130</v>
      </c>
      <c r="CM2418" s="0" t="s">
        <v>130</v>
      </c>
      <c r="CN2418" s="0" t="s">
        <v>130</v>
      </c>
      <c r="CO2418" s="0" t="s">
        <v>130</v>
      </c>
      <c r="CP2418" s="0" t="s">
        <v>130</v>
      </c>
      <c r="CQ2418" s="0" t="s">
        <v>130</v>
      </c>
      <c r="CR2418" s="0" t="s">
        <v>130</v>
      </c>
      <c r="CS2418" s="0" t="s">
        <v>130</v>
      </c>
      <c r="CT2418" s="0" t="s">
        <v>6610</v>
      </c>
    </row>
    <row r="2419">
      <c r="A2419" s="14">
        <v>42602315</v>
      </c>
      <c r="B2419" s="0" t="s">
        <v>4587</v>
      </c>
      <c r="C2419" s="16">
        <f>HYPERLINK("https://eosportal.federatedhermes.com/companies/Q29tcGFueQppNDc0MzI=", "Hewlett Packard Enterprise Co")</f>
      </c>
      <c r="D2419" s="0" t="s">
        <v>25</v>
      </c>
      <c r="E2419" s="0" t="s">
        <v>6611</v>
      </c>
      <c r="F2419" s="16">
        <f>HYPERLINK("https://eosportal.federatedhermes.com/engagements/RW5nYWdlbWVudAppMzM3MTY=", "Critical minerals policy")</f>
      </c>
      <c r="G2419" s="14" t="s">
        <v>6612</v>
      </c>
      <c r="H2419" s="0" t="s">
        <v>130</v>
      </c>
      <c r="I2419" s="14" t="s">
        <v>131</v>
      </c>
      <c r="J2419" s="0" t="s">
        <v>153</v>
      </c>
      <c r="K2419" s="0" t="s">
        <v>243</v>
      </c>
      <c r="L2419" s="0" t="s">
        <v>244</v>
      </c>
      <c r="M2419" s="0" t="s">
        <v>135</v>
      </c>
      <c r="N2419" s="0" t="s">
        <v>136</v>
      </c>
      <c r="O2419" s="0" t="s">
        <v>1125</v>
      </c>
      <c r="Q2419" s="0" t="s">
        <v>130</v>
      </c>
      <c r="R2419" s="0" t="s">
        <v>138</v>
      </c>
      <c r="S2419" s="14">
        <v>0</v>
      </c>
      <c r="T2419" s="0" t="s">
        <v>3562</v>
      </c>
      <c r="U2419" s="0" t="s">
        <v>138</v>
      </c>
      <c r="V2419" s="14" t="s">
        <v>138</v>
      </c>
      <c r="W2419" s="0" t="s">
        <v>138</v>
      </c>
      <c r="X2419" s="14" t="s">
        <v>138</v>
      </c>
      <c r="Y2419" s="0" t="s">
        <v>138</v>
      </c>
      <c r="Z2419" s="14" t="s">
        <v>138</v>
      </c>
      <c r="AA2419" s="0" t="s">
        <v>138</v>
      </c>
      <c r="AB2419" s="14" t="s">
        <v>138</v>
      </c>
      <c r="AD2419" s="0" t="s">
        <v>138</v>
      </c>
      <c r="AF2419" s="0">
        <v>0</v>
      </c>
      <c r="AG2419" s="0">
        <v>0</v>
      </c>
      <c r="AH2419" s="0" t="s">
        <v>140</v>
      </c>
      <c r="AI2419" s="0" t="s">
        <v>138</v>
      </c>
      <c r="AL2419" s="14"/>
      <c r="AN2419" s="14"/>
      <c r="AQ2419" s="0" t="s">
        <v>130</v>
      </c>
      <c r="AR2419" s="0" t="s">
        <v>130</v>
      </c>
      <c r="AS2419" s="0" t="s">
        <v>130</v>
      </c>
      <c r="AT2419" s="0" t="s">
        <v>130</v>
      </c>
      <c r="AU2419" s="0" t="s">
        <v>130</v>
      </c>
      <c r="AV2419" s="0" t="s">
        <v>130</v>
      </c>
      <c r="AW2419" s="0" t="s">
        <v>130</v>
      </c>
      <c r="AX2419" s="0" t="s">
        <v>141</v>
      </c>
      <c r="AY2419" s="0" t="s">
        <v>130</v>
      </c>
      <c r="AZ2419" s="0" t="s">
        <v>130</v>
      </c>
      <c r="BA2419" s="0" t="s">
        <v>130</v>
      </c>
      <c r="BB2419" s="0" t="s">
        <v>130</v>
      </c>
      <c r="BC2419" s="0" t="s">
        <v>130</v>
      </c>
      <c r="BD2419" s="0" t="s">
        <v>130</v>
      </c>
      <c r="BE2419" s="0" t="s">
        <v>130</v>
      </c>
      <c r="BF2419" s="0" t="s">
        <v>130</v>
      </c>
      <c r="BG2419" s="0" t="s">
        <v>130</v>
      </c>
      <c r="BH2419" s="0" t="s">
        <v>130</v>
      </c>
      <c r="BI2419" s="0" t="s">
        <v>130</v>
      </c>
      <c r="BJ2419" s="0" t="s">
        <v>130</v>
      </c>
      <c r="BK2419" s="0" t="s">
        <v>130</v>
      </c>
      <c r="BL2419" s="0" t="s">
        <v>130</v>
      </c>
      <c r="BM2419" s="0" t="s">
        <v>130</v>
      </c>
      <c r="BN2419" s="0" t="s">
        <v>130</v>
      </c>
      <c r="BO2419" s="0" t="s">
        <v>130</v>
      </c>
      <c r="BP2419" s="0" t="s">
        <v>130</v>
      </c>
      <c r="BQ2419" s="0" t="s">
        <v>130</v>
      </c>
      <c r="BR2419" s="0" t="s">
        <v>130</v>
      </c>
      <c r="BS2419" s="0" t="s">
        <v>130</v>
      </c>
      <c r="BT2419" s="0" t="s">
        <v>130</v>
      </c>
      <c r="BU2419" s="0" t="s">
        <v>130</v>
      </c>
      <c r="BV2419" s="0" t="s">
        <v>130</v>
      </c>
      <c r="BW2419" s="0" t="s">
        <v>130</v>
      </c>
      <c r="BX2419" s="0" t="s">
        <v>130</v>
      </c>
      <c r="BY2419" s="0" t="s">
        <v>130</v>
      </c>
      <c r="BZ2419" s="0" t="s">
        <v>130</v>
      </c>
      <c r="CA2419" s="0" t="s">
        <v>130</v>
      </c>
      <c r="CB2419" s="0" t="s">
        <v>130</v>
      </c>
      <c r="CC2419" s="0" t="s">
        <v>130</v>
      </c>
      <c r="CD2419" s="0" t="s">
        <v>130</v>
      </c>
      <c r="CE2419" s="0" t="s">
        <v>130</v>
      </c>
      <c r="CF2419" s="0" t="s">
        <v>130</v>
      </c>
      <c r="CG2419" s="0" t="s">
        <v>130</v>
      </c>
      <c r="CH2419" s="0" t="s">
        <v>130</v>
      </c>
      <c r="CI2419" s="0" t="s">
        <v>130</v>
      </c>
      <c r="CJ2419" s="0" t="s">
        <v>130</v>
      </c>
      <c r="CK2419" s="0" t="s">
        <v>130</v>
      </c>
      <c r="CL2419" s="0" t="s">
        <v>130</v>
      </c>
      <c r="CM2419" s="0" t="s">
        <v>130</v>
      </c>
      <c r="CN2419" s="0" t="s">
        <v>130</v>
      </c>
      <c r="CO2419" s="0" t="s">
        <v>130</v>
      </c>
      <c r="CP2419" s="0" t="s">
        <v>130</v>
      </c>
      <c r="CQ2419" s="0" t="s">
        <v>130</v>
      </c>
      <c r="CR2419" s="0" t="s">
        <v>130</v>
      </c>
      <c r="CS2419" s="0" t="s">
        <v>130</v>
      </c>
      <c r="CT2419" s="0" t="s">
        <v>6613</v>
      </c>
    </row>
    <row r="2420">
      <c r="A2420" s="14">
        <v>100995</v>
      </c>
      <c r="B2420" s="0" t="s">
        <v>1122</v>
      </c>
      <c r="C2420" s="16">
        <f>HYPERLINK("https://eosportal.federatedhermes.com/companies/Q29tcGFueQppNDQ3Mjc=", "Micron Technology Inc")</f>
      </c>
      <c r="D2420" s="0" t="s">
        <v>25</v>
      </c>
      <c r="E2420" s="0" t="s">
        <v>6611</v>
      </c>
      <c r="F2420" s="16">
        <f>HYPERLINK("https://eosportal.federatedhermes.com/engagements/RW5nYWdlbWVudAppMzM3MTk=", "Critical minerals policy")</f>
      </c>
      <c r="G2420" s="14" t="s">
        <v>6612</v>
      </c>
      <c r="H2420" s="0" t="s">
        <v>141</v>
      </c>
      <c r="I2420" s="14" t="s">
        <v>191</v>
      </c>
      <c r="J2420" s="0" t="s">
        <v>153</v>
      </c>
      <c r="K2420" s="0" t="s">
        <v>243</v>
      </c>
      <c r="L2420" s="0" t="s">
        <v>244</v>
      </c>
      <c r="M2420" s="0" t="s">
        <v>135</v>
      </c>
      <c r="N2420" s="0" t="s">
        <v>136</v>
      </c>
      <c r="O2420" s="0" t="s">
        <v>1125</v>
      </c>
      <c r="Q2420" s="0" t="s">
        <v>130</v>
      </c>
      <c r="R2420" s="0" t="s">
        <v>138</v>
      </c>
      <c r="S2420" s="14">
        <v>0</v>
      </c>
      <c r="T2420" s="0" t="s">
        <v>3562</v>
      </c>
      <c r="U2420" s="0" t="s">
        <v>138</v>
      </c>
      <c r="V2420" s="14" t="s">
        <v>138</v>
      </c>
      <c r="W2420" s="0" t="s">
        <v>138</v>
      </c>
      <c r="X2420" s="14" t="s">
        <v>138</v>
      </c>
      <c r="Y2420" s="0" t="s">
        <v>138</v>
      </c>
      <c r="Z2420" s="14" t="s">
        <v>138</v>
      </c>
      <c r="AA2420" s="0" t="s">
        <v>138</v>
      </c>
      <c r="AB2420" s="14" t="s">
        <v>138</v>
      </c>
      <c r="AD2420" s="0" t="s">
        <v>138</v>
      </c>
      <c r="AF2420" s="0">
        <v>0</v>
      </c>
      <c r="AG2420" s="0">
        <v>0</v>
      </c>
      <c r="AH2420" s="0" t="s">
        <v>140</v>
      </c>
      <c r="AI2420" s="0" t="s">
        <v>138</v>
      </c>
      <c r="AL2420" s="14"/>
      <c r="AN2420" s="14"/>
      <c r="AQ2420" s="0" t="s">
        <v>130</v>
      </c>
      <c r="AR2420" s="0" t="s">
        <v>130</v>
      </c>
      <c r="AS2420" s="0" t="s">
        <v>130</v>
      </c>
      <c r="AT2420" s="0" t="s">
        <v>130</v>
      </c>
      <c r="AU2420" s="0" t="s">
        <v>130</v>
      </c>
      <c r="AV2420" s="0" t="s">
        <v>130</v>
      </c>
      <c r="AW2420" s="0" t="s">
        <v>130</v>
      </c>
      <c r="AX2420" s="0" t="s">
        <v>141</v>
      </c>
      <c r="AY2420" s="0" t="s">
        <v>130</v>
      </c>
      <c r="AZ2420" s="0" t="s">
        <v>130</v>
      </c>
      <c r="BA2420" s="0" t="s">
        <v>130</v>
      </c>
      <c r="BB2420" s="0" t="s">
        <v>130</v>
      </c>
      <c r="BC2420" s="0" t="s">
        <v>130</v>
      </c>
      <c r="BD2420" s="0" t="s">
        <v>130</v>
      </c>
      <c r="BE2420" s="0" t="s">
        <v>130</v>
      </c>
      <c r="BF2420" s="0" t="s">
        <v>130</v>
      </c>
      <c r="BG2420" s="0" t="s">
        <v>130</v>
      </c>
      <c r="BH2420" s="0" t="s">
        <v>130</v>
      </c>
      <c r="BI2420" s="0" t="s">
        <v>130</v>
      </c>
      <c r="BJ2420" s="0" t="s">
        <v>130</v>
      </c>
      <c r="BK2420" s="0" t="s">
        <v>130</v>
      </c>
      <c r="BL2420" s="0" t="s">
        <v>130</v>
      </c>
      <c r="BM2420" s="0" t="s">
        <v>130</v>
      </c>
      <c r="BN2420" s="0" t="s">
        <v>130</v>
      </c>
      <c r="BO2420" s="0" t="s">
        <v>130</v>
      </c>
      <c r="BP2420" s="0" t="s">
        <v>130</v>
      </c>
      <c r="BQ2420" s="0" t="s">
        <v>130</v>
      </c>
      <c r="BR2420" s="0" t="s">
        <v>130</v>
      </c>
      <c r="BS2420" s="0" t="s">
        <v>130</v>
      </c>
      <c r="BT2420" s="0" t="s">
        <v>130</v>
      </c>
      <c r="BU2420" s="0" t="s">
        <v>130</v>
      </c>
      <c r="BV2420" s="0" t="s">
        <v>130</v>
      </c>
      <c r="BW2420" s="0" t="s">
        <v>130</v>
      </c>
      <c r="BX2420" s="0" t="s">
        <v>130</v>
      </c>
      <c r="BY2420" s="0" t="s">
        <v>130</v>
      </c>
      <c r="BZ2420" s="0" t="s">
        <v>130</v>
      </c>
      <c r="CA2420" s="0" t="s">
        <v>130</v>
      </c>
      <c r="CB2420" s="0" t="s">
        <v>130</v>
      </c>
      <c r="CC2420" s="0" t="s">
        <v>130</v>
      </c>
      <c r="CD2420" s="0" t="s">
        <v>130</v>
      </c>
      <c r="CE2420" s="0" t="s">
        <v>130</v>
      </c>
      <c r="CF2420" s="0" t="s">
        <v>130</v>
      </c>
      <c r="CG2420" s="0" t="s">
        <v>130</v>
      </c>
      <c r="CH2420" s="0" t="s">
        <v>130</v>
      </c>
      <c r="CI2420" s="0" t="s">
        <v>130</v>
      </c>
      <c r="CJ2420" s="0" t="s">
        <v>130</v>
      </c>
      <c r="CK2420" s="0" t="s">
        <v>130</v>
      </c>
      <c r="CL2420" s="0" t="s">
        <v>130</v>
      </c>
      <c r="CM2420" s="0" t="s">
        <v>130</v>
      </c>
      <c r="CN2420" s="0" t="s">
        <v>130</v>
      </c>
      <c r="CO2420" s="0" t="s">
        <v>130</v>
      </c>
      <c r="CP2420" s="0" t="s">
        <v>130</v>
      </c>
      <c r="CQ2420" s="0" t="s">
        <v>130</v>
      </c>
      <c r="CR2420" s="0" t="s">
        <v>130</v>
      </c>
      <c r="CS2420" s="0" t="s">
        <v>130</v>
      </c>
      <c r="CT2420" s="0" t="s">
        <v>6614</v>
      </c>
    </row>
    <row r="2421">
      <c r="A2421" s="14">
        <v>101743</v>
      </c>
      <c r="B2421" s="0" t="s">
        <v>1893</v>
      </c>
      <c r="C2421" s="16">
        <f>HYPERLINK("https://eosportal.federatedhermes.com/companies/Q29tcGFueQppNjI1MDg=", "Microsoft Corp")</f>
      </c>
      <c r="D2421" s="0" t="s">
        <v>25</v>
      </c>
      <c r="E2421" s="0" t="s">
        <v>6611</v>
      </c>
      <c r="F2421" s="16">
        <f>HYPERLINK("https://eosportal.federatedhermes.com/engagements/RW5nYWdlbWVudAppMzM3MjA=", "Critical minerals policy")</f>
      </c>
      <c r="G2421" s="14" t="s">
        <v>6612</v>
      </c>
      <c r="H2421" s="0" t="s">
        <v>141</v>
      </c>
      <c r="I2421" s="14" t="s">
        <v>191</v>
      </c>
      <c r="J2421" s="0" t="s">
        <v>153</v>
      </c>
      <c r="K2421" s="0" t="s">
        <v>243</v>
      </c>
      <c r="L2421" s="0" t="s">
        <v>244</v>
      </c>
      <c r="M2421" s="0" t="s">
        <v>135</v>
      </c>
      <c r="N2421" s="0" t="s">
        <v>136</v>
      </c>
      <c r="O2421" s="0" t="s">
        <v>137</v>
      </c>
      <c r="Q2421" s="0" t="s">
        <v>130</v>
      </c>
      <c r="R2421" s="0" t="s">
        <v>138</v>
      </c>
      <c r="S2421" s="14">
        <v>0</v>
      </c>
      <c r="T2421" s="0" t="s">
        <v>3562</v>
      </c>
      <c r="U2421" s="0" t="s">
        <v>138</v>
      </c>
      <c r="V2421" s="14" t="s">
        <v>138</v>
      </c>
      <c r="W2421" s="0" t="s">
        <v>138</v>
      </c>
      <c r="X2421" s="14" t="s">
        <v>138</v>
      </c>
      <c r="Y2421" s="0" t="s">
        <v>138</v>
      </c>
      <c r="Z2421" s="14" t="s">
        <v>138</v>
      </c>
      <c r="AA2421" s="0" t="s">
        <v>138</v>
      </c>
      <c r="AB2421" s="14" t="s">
        <v>138</v>
      </c>
      <c r="AD2421" s="0" t="s">
        <v>138</v>
      </c>
      <c r="AF2421" s="0">
        <v>0</v>
      </c>
      <c r="AG2421" s="0">
        <v>0</v>
      </c>
      <c r="AH2421" s="0" t="s">
        <v>140</v>
      </c>
      <c r="AI2421" s="0" t="s">
        <v>138</v>
      </c>
      <c r="AL2421" s="14"/>
      <c r="AN2421" s="14"/>
      <c r="AQ2421" s="0" t="s">
        <v>130</v>
      </c>
      <c r="AR2421" s="0" t="s">
        <v>130</v>
      </c>
      <c r="AS2421" s="0" t="s">
        <v>130</v>
      </c>
      <c r="AT2421" s="0" t="s">
        <v>130</v>
      </c>
      <c r="AU2421" s="0" t="s">
        <v>130</v>
      </c>
      <c r="AV2421" s="0" t="s">
        <v>130</v>
      </c>
      <c r="AW2421" s="0" t="s">
        <v>130</v>
      </c>
      <c r="AX2421" s="0" t="s">
        <v>141</v>
      </c>
      <c r="AY2421" s="0" t="s">
        <v>130</v>
      </c>
      <c r="AZ2421" s="0" t="s">
        <v>130</v>
      </c>
      <c r="BA2421" s="0" t="s">
        <v>130</v>
      </c>
      <c r="BB2421" s="0" t="s">
        <v>130</v>
      </c>
      <c r="BC2421" s="0" t="s">
        <v>130</v>
      </c>
      <c r="BD2421" s="0" t="s">
        <v>130</v>
      </c>
      <c r="BE2421" s="0" t="s">
        <v>130</v>
      </c>
      <c r="BF2421" s="0" t="s">
        <v>130</v>
      </c>
      <c r="BG2421" s="0" t="s">
        <v>130</v>
      </c>
      <c r="BH2421" s="0" t="s">
        <v>130</v>
      </c>
      <c r="BI2421" s="0" t="s">
        <v>130</v>
      </c>
      <c r="BJ2421" s="0" t="s">
        <v>130</v>
      </c>
      <c r="BK2421" s="0" t="s">
        <v>130</v>
      </c>
      <c r="BL2421" s="0" t="s">
        <v>130</v>
      </c>
      <c r="BM2421" s="0" t="s">
        <v>130</v>
      </c>
      <c r="BN2421" s="0" t="s">
        <v>130</v>
      </c>
      <c r="BO2421" s="0" t="s">
        <v>130</v>
      </c>
      <c r="BP2421" s="0" t="s">
        <v>130</v>
      </c>
      <c r="BQ2421" s="0" t="s">
        <v>130</v>
      </c>
      <c r="BR2421" s="0" t="s">
        <v>130</v>
      </c>
      <c r="BS2421" s="0" t="s">
        <v>130</v>
      </c>
      <c r="BT2421" s="0" t="s">
        <v>130</v>
      </c>
      <c r="BU2421" s="0" t="s">
        <v>130</v>
      </c>
      <c r="BV2421" s="0" t="s">
        <v>130</v>
      </c>
      <c r="BW2421" s="0" t="s">
        <v>130</v>
      </c>
      <c r="BX2421" s="0" t="s">
        <v>130</v>
      </c>
      <c r="BY2421" s="0" t="s">
        <v>130</v>
      </c>
      <c r="BZ2421" s="0" t="s">
        <v>130</v>
      </c>
      <c r="CA2421" s="0" t="s">
        <v>130</v>
      </c>
      <c r="CB2421" s="0" t="s">
        <v>130</v>
      </c>
      <c r="CC2421" s="0" t="s">
        <v>130</v>
      </c>
      <c r="CD2421" s="0" t="s">
        <v>130</v>
      </c>
      <c r="CE2421" s="0" t="s">
        <v>130</v>
      </c>
      <c r="CF2421" s="0" t="s">
        <v>130</v>
      </c>
      <c r="CG2421" s="0" t="s">
        <v>130</v>
      </c>
      <c r="CH2421" s="0" t="s">
        <v>130</v>
      </c>
      <c r="CI2421" s="0" t="s">
        <v>130</v>
      </c>
      <c r="CJ2421" s="0" t="s">
        <v>130</v>
      </c>
      <c r="CK2421" s="0" t="s">
        <v>130</v>
      </c>
      <c r="CL2421" s="0" t="s">
        <v>130</v>
      </c>
      <c r="CM2421" s="0" t="s">
        <v>130</v>
      </c>
      <c r="CN2421" s="0" t="s">
        <v>130</v>
      </c>
      <c r="CO2421" s="0" t="s">
        <v>130</v>
      </c>
      <c r="CP2421" s="0" t="s">
        <v>130</v>
      </c>
      <c r="CQ2421" s="0" t="s">
        <v>130</v>
      </c>
      <c r="CR2421" s="0" t="s">
        <v>130</v>
      </c>
      <c r="CS2421" s="0" t="s">
        <v>130</v>
      </c>
      <c r="CT2421" s="0" t="s">
        <v>6615</v>
      </c>
    </row>
    <row r="2422">
      <c r="A2422" s="14">
        <v>239787</v>
      </c>
      <c r="B2422" s="0" t="s">
        <v>3523</v>
      </c>
      <c r="C2422" s="16">
        <f>HYPERLINK("https://eosportal.federatedhermes.com/companies/Q29tcGFueQppODU4NzI=", "Eurofins Scientific SE")</f>
      </c>
      <c r="D2422" s="0" t="s">
        <v>25</v>
      </c>
      <c r="E2422" s="0" t="s">
        <v>1352</v>
      </c>
      <c r="F2422" s="16">
        <f>HYPERLINK("https://eosportal.federatedhermes.com/engagements/RW5nYWdlbWVudAppMzM3MjU=", "Animal Testing")</f>
      </c>
      <c r="G2422" s="14" t="s">
        <v>6483</v>
      </c>
      <c r="H2422" s="0" t="s">
        <v>130</v>
      </c>
      <c r="I2422" s="14" t="s">
        <v>131</v>
      </c>
      <c r="J2422" s="0" t="s">
        <v>197</v>
      </c>
      <c r="K2422" s="0" t="s">
        <v>337</v>
      </c>
      <c r="L2422" s="0" t="s">
        <v>576</v>
      </c>
      <c r="M2422" s="0" t="s">
        <v>378</v>
      </c>
      <c r="N2422" s="0" t="s">
        <v>3435</v>
      </c>
      <c r="O2422" s="0" t="s">
        <v>274</v>
      </c>
      <c r="Q2422" s="0" t="s">
        <v>130</v>
      </c>
      <c r="R2422" s="0" t="s">
        <v>138</v>
      </c>
      <c r="S2422" s="14">
        <v>0</v>
      </c>
      <c r="T2422" s="0" t="s">
        <v>3562</v>
      </c>
      <c r="U2422" s="0" t="s">
        <v>138</v>
      </c>
      <c r="V2422" s="14" t="s">
        <v>138</v>
      </c>
      <c r="W2422" s="0" t="s">
        <v>138</v>
      </c>
      <c r="X2422" s="14" t="s">
        <v>138</v>
      </c>
      <c r="Y2422" s="0" t="s">
        <v>138</v>
      </c>
      <c r="Z2422" s="14" t="s">
        <v>138</v>
      </c>
      <c r="AA2422" s="0" t="s">
        <v>138</v>
      </c>
      <c r="AB2422" s="14" t="s">
        <v>138</v>
      </c>
      <c r="AD2422" s="0" t="s">
        <v>138</v>
      </c>
      <c r="AF2422" s="0">
        <v>0</v>
      </c>
      <c r="AG2422" s="0">
        <v>0</v>
      </c>
      <c r="AH2422" s="0" t="s">
        <v>140</v>
      </c>
      <c r="AI2422" s="0" t="s">
        <v>138</v>
      </c>
      <c r="AL2422" s="14"/>
      <c r="AN2422" s="14"/>
      <c r="AQ2422" s="0" t="s">
        <v>130</v>
      </c>
      <c r="AR2422" s="0" t="s">
        <v>130</v>
      </c>
      <c r="AS2422" s="0" t="s">
        <v>130</v>
      </c>
      <c r="AT2422" s="0" t="s">
        <v>130</v>
      </c>
      <c r="AU2422" s="0" t="s">
        <v>130</v>
      </c>
      <c r="AV2422" s="0" t="s">
        <v>130</v>
      </c>
      <c r="AW2422" s="0" t="s">
        <v>130</v>
      </c>
      <c r="AX2422" s="0" t="s">
        <v>130</v>
      </c>
      <c r="AY2422" s="0" t="s">
        <v>130</v>
      </c>
      <c r="AZ2422" s="0" t="s">
        <v>130</v>
      </c>
      <c r="BA2422" s="0" t="s">
        <v>130</v>
      </c>
      <c r="BB2422" s="0" t="s">
        <v>141</v>
      </c>
      <c r="BC2422" s="0" t="s">
        <v>130</v>
      </c>
      <c r="BD2422" s="0" t="s">
        <v>130</v>
      </c>
      <c r="BE2422" s="0" t="s">
        <v>141</v>
      </c>
      <c r="BF2422" s="0" t="s">
        <v>130</v>
      </c>
      <c r="BG2422" s="0" t="s">
        <v>130</v>
      </c>
      <c r="BH2422" s="0" t="s">
        <v>130</v>
      </c>
      <c r="BI2422" s="0" t="s">
        <v>130</v>
      </c>
      <c r="BJ2422" s="0" t="s">
        <v>130</v>
      </c>
      <c r="BK2422" s="0" t="s">
        <v>130</v>
      </c>
      <c r="BL2422" s="0" t="s">
        <v>130</v>
      </c>
      <c r="BM2422" s="0" t="s">
        <v>130</v>
      </c>
      <c r="BN2422" s="0" t="s">
        <v>130</v>
      </c>
      <c r="BO2422" s="0" t="s">
        <v>130</v>
      </c>
      <c r="BP2422" s="0" t="s">
        <v>130</v>
      </c>
      <c r="BQ2422" s="0" t="s">
        <v>130</v>
      </c>
      <c r="BR2422" s="0" t="s">
        <v>130</v>
      </c>
      <c r="BS2422" s="0" t="s">
        <v>130</v>
      </c>
      <c r="BT2422" s="0" t="s">
        <v>130</v>
      </c>
      <c r="BU2422" s="0" t="s">
        <v>130</v>
      </c>
      <c r="BV2422" s="0" t="s">
        <v>130</v>
      </c>
      <c r="BW2422" s="0" t="s">
        <v>130</v>
      </c>
      <c r="BX2422" s="0" t="s">
        <v>130</v>
      </c>
      <c r="BY2422" s="0" t="s">
        <v>130</v>
      </c>
      <c r="BZ2422" s="0" t="s">
        <v>130</v>
      </c>
      <c r="CA2422" s="0" t="s">
        <v>130</v>
      </c>
      <c r="CB2422" s="0" t="s">
        <v>130</v>
      </c>
      <c r="CC2422" s="0" t="s">
        <v>130</v>
      </c>
      <c r="CD2422" s="0" t="s">
        <v>130</v>
      </c>
      <c r="CE2422" s="0" t="s">
        <v>130</v>
      </c>
      <c r="CF2422" s="0" t="s">
        <v>130</v>
      </c>
      <c r="CG2422" s="0" t="s">
        <v>130</v>
      </c>
      <c r="CH2422" s="0" t="s">
        <v>130</v>
      </c>
      <c r="CI2422" s="0" t="s">
        <v>130</v>
      </c>
      <c r="CJ2422" s="0" t="s">
        <v>130</v>
      </c>
      <c r="CK2422" s="0" t="s">
        <v>130</v>
      </c>
      <c r="CL2422" s="0" t="s">
        <v>130</v>
      </c>
      <c r="CM2422" s="0" t="s">
        <v>130</v>
      </c>
      <c r="CN2422" s="0" t="s">
        <v>130</v>
      </c>
      <c r="CO2422" s="0" t="s">
        <v>130</v>
      </c>
      <c r="CP2422" s="0" t="s">
        <v>130</v>
      </c>
      <c r="CQ2422" s="0" t="s">
        <v>130</v>
      </c>
      <c r="CR2422" s="0" t="s">
        <v>130</v>
      </c>
      <c r="CS2422" s="0" t="s">
        <v>130</v>
      </c>
      <c r="CT2422" s="0" t="s">
        <v>6616</v>
      </c>
    </row>
    <row r="2423">
      <c r="A2423" s="14">
        <v>7044851</v>
      </c>
      <c r="B2423" s="0" t="s">
        <v>3763</v>
      </c>
      <c r="C2423" s="16">
        <f>HYPERLINK("https://eosportal.federatedhermes.com/companies/Q29tcGFueQppODQ2NDc=", "Compass Group PLC")</f>
      </c>
      <c r="D2423" s="0" t="s">
        <v>25</v>
      </c>
      <c r="E2423" s="0" t="s">
        <v>6617</v>
      </c>
      <c r="F2423" s="16">
        <f>HYPERLINK("https://eosportal.federatedhermes.com/engagements/RW5nYWdlbWVudAppMzM3Mjc=", "Climate aligned accounting")</f>
      </c>
      <c r="G2423" s="14" t="s">
        <v>6618</v>
      </c>
      <c r="H2423" s="0" t="s">
        <v>141</v>
      </c>
      <c r="I2423" s="14" t="s">
        <v>191</v>
      </c>
      <c r="J2423" s="0" t="s">
        <v>197</v>
      </c>
      <c r="K2423" s="0" t="s">
        <v>198</v>
      </c>
      <c r="L2423" s="0" t="s">
        <v>199</v>
      </c>
      <c r="M2423" s="0" t="s">
        <v>272</v>
      </c>
      <c r="N2423" s="0" t="s">
        <v>273</v>
      </c>
      <c r="O2423" s="0" t="s">
        <v>643</v>
      </c>
      <c r="Q2423" s="0" t="s">
        <v>130</v>
      </c>
      <c r="R2423" s="0" t="s">
        <v>138</v>
      </c>
      <c r="S2423" s="14">
        <v>0</v>
      </c>
      <c r="T2423" s="0" t="s">
        <v>3562</v>
      </c>
      <c r="U2423" s="0" t="s">
        <v>138</v>
      </c>
      <c r="V2423" s="14" t="s">
        <v>138</v>
      </c>
      <c r="W2423" s="0" t="s">
        <v>138</v>
      </c>
      <c r="X2423" s="14" t="s">
        <v>138</v>
      </c>
      <c r="Y2423" s="0" t="s">
        <v>138</v>
      </c>
      <c r="Z2423" s="14" t="s">
        <v>138</v>
      </c>
      <c r="AA2423" s="0" t="s">
        <v>138</v>
      </c>
      <c r="AB2423" s="14" t="s">
        <v>138</v>
      </c>
      <c r="AD2423" s="0" t="s">
        <v>138</v>
      </c>
      <c r="AF2423" s="0">
        <v>0</v>
      </c>
      <c r="AG2423" s="0">
        <v>0</v>
      </c>
      <c r="AH2423" s="0" t="s">
        <v>140</v>
      </c>
      <c r="AI2423" s="0" t="s">
        <v>138</v>
      </c>
      <c r="AL2423" s="14"/>
      <c r="AN2423" s="14"/>
      <c r="AQ2423" s="0" t="s">
        <v>130</v>
      </c>
      <c r="AR2423" s="0" t="s">
        <v>130</v>
      </c>
      <c r="AS2423" s="0" t="s">
        <v>130</v>
      </c>
      <c r="AT2423" s="0" t="s">
        <v>130</v>
      </c>
      <c r="AU2423" s="0" t="s">
        <v>130</v>
      </c>
      <c r="AV2423" s="0" t="s">
        <v>130</v>
      </c>
      <c r="AW2423" s="0" t="s">
        <v>130</v>
      </c>
      <c r="AX2423" s="0" t="s">
        <v>130</v>
      </c>
      <c r="AY2423" s="0" t="s">
        <v>130</v>
      </c>
      <c r="AZ2423" s="0" t="s">
        <v>130</v>
      </c>
      <c r="BA2423" s="0" t="s">
        <v>130</v>
      </c>
      <c r="BB2423" s="0" t="s">
        <v>141</v>
      </c>
      <c r="BC2423" s="0" t="s">
        <v>130</v>
      </c>
      <c r="BD2423" s="0" t="s">
        <v>130</v>
      </c>
      <c r="BE2423" s="0" t="s">
        <v>130</v>
      </c>
      <c r="BF2423" s="0" t="s">
        <v>130</v>
      </c>
      <c r="BG2423" s="0" t="s">
        <v>130</v>
      </c>
      <c r="BH2423" s="0" t="s">
        <v>130</v>
      </c>
      <c r="BI2423" s="0" t="s">
        <v>130</v>
      </c>
      <c r="BJ2423" s="0" t="s">
        <v>130</v>
      </c>
      <c r="BK2423" s="0" t="s">
        <v>130</v>
      </c>
      <c r="BL2423" s="0" t="s">
        <v>130</v>
      </c>
      <c r="BM2423" s="0" t="s">
        <v>130</v>
      </c>
      <c r="BN2423" s="0" t="s">
        <v>130</v>
      </c>
      <c r="BO2423" s="0" t="s">
        <v>130</v>
      </c>
      <c r="BP2423" s="0" t="s">
        <v>130</v>
      </c>
      <c r="BQ2423" s="0" t="s">
        <v>130</v>
      </c>
      <c r="BR2423" s="0" t="s">
        <v>130</v>
      </c>
      <c r="BS2423" s="0" t="s">
        <v>130</v>
      </c>
      <c r="BT2423" s="0" t="s">
        <v>130</v>
      </c>
      <c r="BU2423" s="0" t="s">
        <v>130</v>
      </c>
      <c r="BV2423" s="0" t="s">
        <v>130</v>
      </c>
      <c r="BW2423" s="0" t="s">
        <v>130</v>
      </c>
      <c r="BX2423" s="0" t="s">
        <v>130</v>
      </c>
      <c r="BY2423" s="0" t="s">
        <v>130</v>
      </c>
      <c r="BZ2423" s="0" t="s">
        <v>130</v>
      </c>
      <c r="CA2423" s="0" t="s">
        <v>130</v>
      </c>
      <c r="CB2423" s="0" t="s">
        <v>130</v>
      </c>
      <c r="CC2423" s="0" t="s">
        <v>130</v>
      </c>
      <c r="CD2423" s="0" t="s">
        <v>130</v>
      </c>
      <c r="CE2423" s="0" t="s">
        <v>130</v>
      </c>
      <c r="CF2423" s="0" t="s">
        <v>130</v>
      </c>
      <c r="CG2423" s="0" t="s">
        <v>130</v>
      </c>
      <c r="CH2423" s="0" t="s">
        <v>130</v>
      </c>
      <c r="CI2423" s="0" t="s">
        <v>130</v>
      </c>
      <c r="CJ2423" s="0" t="s">
        <v>130</v>
      </c>
      <c r="CK2423" s="0" t="s">
        <v>130</v>
      </c>
      <c r="CL2423" s="0" t="s">
        <v>130</v>
      </c>
      <c r="CM2423" s="0" t="s">
        <v>130</v>
      </c>
      <c r="CN2423" s="0" t="s">
        <v>130</v>
      </c>
      <c r="CO2423" s="0" t="s">
        <v>130</v>
      </c>
      <c r="CP2423" s="0" t="s">
        <v>130</v>
      </c>
      <c r="CQ2423" s="0" t="s">
        <v>130</v>
      </c>
      <c r="CR2423" s="0" t="s">
        <v>130</v>
      </c>
      <c r="CS2423" s="0" t="s">
        <v>130</v>
      </c>
      <c r="CT2423" s="0" t="s">
        <v>6619</v>
      </c>
    </row>
    <row r="2424">
      <c r="A2424" s="14">
        <v>7044851</v>
      </c>
      <c r="B2424" s="0" t="s">
        <v>3763</v>
      </c>
      <c r="C2424" s="16">
        <f>HYPERLINK("https://eosportal.federatedhermes.com/companies/Q29tcGFueQppODQ2NDc=", "Compass Group PLC")</f>
      </c>
      <c r="D2424" s="0" t="s">
        <v>25</v>
      </c>
      <c r="E2424" s="0" t="s">
        <v>729</v>
      </c>
      <c r="F2424" s="16">
        <f>HYPERLINK("https://eosportal.federatedhermes.com/engagements/RW5nYWdlbWVudAppMzM3Mjg=", "Board diversity")</f>
      </c>
      <c r="G2424" s="14" t="s">
        <v>6620</v>
      </c>
      <c r="H2424" s="0" t="s">
        <v>141</v>
      </c>
      <c r="I2424" s="14" t="s">
        <v>191</v>
      </c>
      <c r="J2424" s="0" t="s">
        <v>145</v>
      </c>
      <c r="K2424" s="0" t="s">
        <v>164</v>
      </c>
      <c r="L2424" s="0" t="s">
        <v>165</v>
      </c>
      <c r="M2424" s="0" t="s">
        <v>272</v>
      </c>
      <c r="N2424" s="0" t="s">
        <v>273</v>
      </c>
      <c r="O2424" s="0" t="s">
        <v>643</v>
      </c>
      <c r="Q2424" s="0" t="s">
        <v>130</v>
      </c>
      <c r="R2424" s="0" t="s">
        <v>138</v>
      </c>
      <c r="S2424" s="14">
        <v>0</v>
      </c>
      <c r="T2424" s="0" t="s">
        <v>3562</v>
      </c>
      <c r="U2424" s="0" t="s">
        <v>138</v>
      </c>
      <c r="V2424" s="14" t="s">
        <v>138</v>
      </c>
      <c r="W2424" s="0" t="s">
        <v>138</v>
      </c>
      <c r="X2424" s="14" t="s">
        <v>138</v>
      </c>
      <c r="Y2424" s="0" t="s">
        <v>138</v>
      </c>
      <c r="Z2424" s="14" t="s">
        <v>138</v>
      </c>
      <c r="AA2424" s="0" t="s">
        <v>138</v>
      </c>
      <c r="AB2424" s="14" t="s">
        <v>138</v>
      </c>
      <c r="AD2424" s="0" t="s">
        <v>138</v>
      </c>
      <c r="AF2424" s="0">
        <v>0</v>
      </c>
      <c r="AG2424" s="0">
        <v>0</v>
      </c>
      <c r="AH2424" s="0" t="s">
        <v>140</v>
      </c>
      <c r="AI2424" s="0" t="s">
        <v>138</v>
      </c>
      <c r="AL2424" s="14"/>
      <c r="AN2424" s="14"/>
      <c r="AQ2424" s="0" t="s">
        <v>130</v>
      </c>
      <c r="AR2424" s="0" t="s">
        <v>130</v>
      </c>
      <c r="AS2424" s="0" t="s">
        <v>130</v>
      </c>
      <c r="AT2424" s="0" t="s">
        <v>130</v>
      </c>
      <c r="AU2424" s="0" t="s">
        <v>141</v>
      </c>
      <c r="AV2424" s="0" t="s">
        <v>130</v>
      </c>
      <c r="AW2424" s="0" t="s">
        <v>130</v>
      </c>
      <c r="AX2424" s="0" t="s">
        <v>130</v>
      </c>
      <c r="AY2424" s="0" t="s">
        <v>130</v>
      </c>
      <c r="AZ2424" s="0" t="s">
        <v>130</v>
      </c>
      <c r="BA2424" s="0" t="s">
        <v>130</v>
      </c>
      <c r="BB2424" s="0" t="s">
        <v>130</v>
      </c>
      <c r="BC2424" s="0" t="s">
        <v>130</v>
      </c>
      <c r="BD2424" s="0" t="s">
        <v>130</v>
      </c>
      <c r="BE2424" s="0" t="s">
        <v>130</v>
      </c>
      <c r="BF2424" s="0" t="s">
        <v>130</v>
      </c>
      <c r="BG2424" s="0" t="s">
        <v>130</v>
      </c>
      <c r="BH2424" s="0" t="s">
        <v>130</v>
      </c>
      <c r="BI2424" s="0" t="s">
        <v>130</v>
      </c>
      <c r="BJ2424" s="0" t="s">
        <v>130</v>
      </c>
      <c r="BK2424" s="0" t="s">
        <v>130</v>
      </c>
      <c r="BL2424" s="0" t="s">
        <v>130</v>
      </c>
      <c r="BM2424" s="0" t="s">
        <v>130</v>
      </c>
      <c r="BN2424" s="0" t="s">
        <v>130</v>
      </c>
      <c r="BO2424" s="0" t="s">
        <v>130</v>
      </c>
      <c r="BP2424" s="0" t="s">
        <v>130</v>
      </c>
      <c r="BQ2424" s="0" t="s">
        <v>130</v>
      </c>
      <c r="BR2424" s="0" t="s">
        <v>130</v>
      </c>
      <c r="BS2424" s="0" t="s">
        <v>130</v>
      </c>
      <c r="BT2424" s="0" t="s">
        <v>130</v>
      </c>
      <c r="BU2424" s="0" t="s">
        <v>130</v>
      </c>
      <c r="BV2424" s="0" t="s">
        <v>130</v>
      </c>
      <c r="BW2424" s="0" t="s">
        <v>130</v>
      </c>
      <c r="BX2424" s="0" t="s">
        <v>130</v>
      </c>
      <c r="BY2424" s="0" t="s">
        <v>130</v>
      </c>
      <c r="BZ2424" s="0" t="s">
        <v>130</v>
      </c>
      <c r="CA2424" s="0" t="s">
        <v>130</v>
      </c>
      <c r="CB2424" s="0" t="s">
        <v>130</v>
      </c>
      <c r="CC2424" s="0" t="s">
        <v>130</v>
      </c>
      <c r="CD2424" s="0" t="s">
        <v>130</v>
      </c>
      <c r="CE2424" s="0" t="s">
        <v>130</v>
      </c>
      <c r="CF2424" s="0" t="s">
        <v>130</v>
      </c>
      <c r="CG2424" s="0" t="s">
        <v>130</v>
      </c>
      <c r="CH2424" s="0" t="s">
        <v>130</v>
      </c>
      <c r="CI2424" s="0" t="s">
        <v>130</v>
      </c>
      <c r="CJ2424" s="0" t="s">
        <v>130</v>
      </c>
      <c r="CK2424" s="0" t="s">
        <v>130</v>
      </c>
      <c r="CL2424" s="0" t="s">
        <v>130</v>
      </c>
      <c r="CM2424" s="0" t="s">
        <v>130</v>
      </c>
      <c r="CN2424" s="0" t="s">
        <v>130</v>
      </c>
      <c r="CO2424" s="0" t="s">
        <v>130</v>
      </c>
      <c r="CP2424" s="0" t="s">
        <v>130</v>
      </c>
      <c r="CQ2424" s="0" t="s">
        <v>130</v>
      </c>
      <c r="CR2424" s="0" t="s">
        <v>130</v>
      </c>
      <c r="CS2424" s="0" t="s">
        <v>130</v>
      </c>
      <c r="CT2424" s="0" t="s">
        <v>6621</v>
      </c>
    </row>
    <row r="2425">
      <c r="A2425" s="14">
        <v>23743170</v>
      </c>
      <c r="B2425" s="0" t="s">
        <v>4183</v>
      </c>
      <c r="C2425" s="16">
        <f>HYPERLINK("https://eosportal.federatedhermes.com/companies/Q29tcGFueQppNjY5NjY=", "Xylem Inc/NY")</f>
      </c>
      <c r="D2425" s="0" t="s">
        <v>23</v>
      </c>
      <c r="E2425" s="0" t="s">
        <v>6622</v>
      </c>
      <c r="F2425" s="16">
        <f>HYPERLINK("https://eosportal.federatedhermes.com/engagements/RW5nYWdlbWVudAppMzM3MzQ=", "Impact and dependence assessment (TNFD)")</f>
      </c>
      <c r="G2425" s="14" t="s">
        <v>6623</v>
      </c>
      <c r="H2425" s="0" t="s">
        <v>130</v>
      </c>
      <c r="I2425" s="14" t="s">
        <v>319</v>
      </c>
      <c r="J2425" s="0" t="s">
        <v>197</v>
      </c>
      <c r="K2425" s="0" t="s">
        <v>337</v>
      </c>
      <c r="L2425" s="0" t="s">
        <v>576</v>
      </c>
      <c r="M2425" s="0" t="s">
        <v>135</v>
      </c>
      <c r="N2425" s="0" t="s">
        <v>136</v>
      </c>
      <c r="O2425" s="0" t="s">
        <v>176</v>
      </c>
      <c r="Q2425" s="0" t="s">
        <v>130</v>
      </c>
      <c r="R2425" s="0" t="s">
        <v>130</v>
      </c>
      <c r="S2425" s="14">
        <v>0</v>
      </c>
      <c r="T2425" s="0" t="s">
        <v>3562</v>
      </c>
      <c r="U2425" s="0" t="s">
        <v>221</v>
      </c>
      <c r="V2425" s="14" t="s">
        <v>3562</v>
      </c>
      <c r="W2425" s="0" t="s">
        <v>221</v>
      </c>
      <c r="X2425" s="14" t="s">
        <v>3562</v>
      </c>
      <c r="Y2425" s="0" t="s">
        <v>223</v>
      </c>
      <c r="Z2425" s="14" t="s">
        <v>138</v>
      </c>
      <c r="AA2425" s="0" t="s">
        <v>224</v>
      </c>
      <c r="AB2425" s="14" t="s">
        <v>138</v>
      </c>
      <c r="AD2425" s="0" t="s">
        <v>17</v>
      </c>
      <c r="AF2425" s="0">
        <v>0</v>
      </c>
      <c r="AG2425" s="0">
        <v>0</v>
      </c>
      <c r="AH2425" s="0" t="s">
        <v>140</v>
      </c>
      <c r="AI2425" s="0" t="s">
        <v>598</v>
      </c>
      <c r="AL2425" s="14"/>
      <c r="AN2425" s="14"/>
      <c r="AQ2425" s="0" t="s">
        <v>130</v>
      </c>
      <c r="AR2425" s="0" t="s">
        <v>130</v>
      </c>
      <c r="AS2425" s="0" t="s">
        <v>130</v>
      </c>
      <c r="AT2425" s="0" t="s">
        <v>130</v>
      </c>
      <c r="AU2425" s="0" t="s">
        <v>130</v>
      </c>
      <c r="AV2425" s="0" t="s">
        <v>141</v>
      </c>
      <c r="AW2425" s="0" t="s">
        <v>130</v>
      </c>
      <c r="AX2425" s="0" t="s">
        <v>130</v>
      </c>
      <c r="AY2425" s="0" t="s">
        <v>130</v>
      </c>
      <c r="AZ2425" s="0" t="s">
        <v>130</v>
      </c>
      <c r="BA2425" s="0" t="s">
        <v>130</v>
      </c>
      <c r="BB2425" s="0" t="s">
        <v>141</v>
      </c>
      <c r="BC2425" s="0" t="s">
        <v>130</v>
      </c>
      <c r="BD2425" s="0" t="s">
        <v>141</v>
      </c>
      <c r="BE2425" s="0" t="s">
        <v>141</v>
      </c>
      <c r="BF2425" s="0" t="s">
        <v>130</v>
      </c>
      <c r="BG2425" s="0" t="s">
        <v>130</v>
      </c>
      <c r="BH2425" s="0" t="s">
        <v>130</v>
      </c>
      <c r="BI2425" s="0" t="s">
        <v>130</v>
      </c>
      <c r="BJ2425" s="0" t="s">
        <v>130</v>
      </c>
      <c r="BK2425" s="0" t="s">
        <v>130</v>
      </c>
      <c r="BL2425" s="0" t="s">
        <v>130</v>
      </c>
      <c r="BM2425" s="0" t="s">
        <v>130</v>
      </c>
      <c r="BN2425" s="0" t="s">
        <v>130</v>
      </c>
      <c r="BO2425" s="0" t="s">
        <v>130</v>
      </c>
      <c r="BP2425" s="0" t="s">
        <v>130</v>
      </c>
      <c r="BQ2425" s="0" t="s">
        <v>130</v>
      </c>
      <c r="BR2425" s="0" t="s">
        <v>130</v>
      </c>
      <c r="BS2425" s="0" t="s">
        <v>130</v>
      </c>
      <c r="BT2425" s="0" t="s">
        <v>130</v>
      </c>
      <c r="BU2425" s="0" t="s">
        <v>130</v>
      </c>
      <c r="BV2425" s="0" t="s">
        <v>130</v>
      </c>
      <c r="BW2425" s="0" t="s">
        <v>130</v>
      </c>
      <c r="BX2425" s="0" t="s">
        <v>130</v>
      </c>
      <c r="BY2425" s="0" t="s">
        <v>130</v>
      </c>
      <c r="BZ2425" s="0" t="s">
        <v>130</v>
      </c>
      <c r="CA2425" s="0" t="s">
        <v>130</v>
      </c>
      <c r="CB2425" s="0" t="s">
        <v>130</v>
      </c>
      <c r="CC2425" s="0" t="s">
        <v>130</v>
      </c>
      <c r="CD2425" s="0" t="s">
        <v>130</v>
      </c>
      <c r="CE2425" s="0" t="s">
        <v>130</v>
      </c>
      <c r="CF2425" s="0" t="s">
        <v>130</v>
      </c>
      <c r="CG2425" s="0" t="s">
        <v>130</v>
      </c>
      <c r="CH2425" s="0" t="s">
        <v>130</v>
      </c>
      <c r="CI2425" s="0" t="s">
        <v>130</v>
      </c>
      <c r="CJ2425" s="0" t="s">
        <v>130</v>
      </c>
      <c r="CK2425" s="0" t="s">
        <v>130</v>
      </c>
      <c r="CL2425" s="0" t="s">
        <v>130</v>
      </c>
      <c r="CM2425" s="0" t="s">
        <v>130</v>
      </c>
      <c r="CN2425" s="0" t="s">
        <v>130</v>
      </c>
      <c r="CO2425" s="0" t="s">
        <v>130</v>
      </c>
      <c r="CP2425" s="0" t="s">
        <v>130</v>
      </c>
      <c r="CQ2425" s="0" t="s">
        <v>130</v>
      </c>
      <c r="CR2425" s="0" t="s">
        <v>130</v>
      </c>
      <c r="CS2425" s="0" t="s">
        <v>130</v>
      </c>
      <c r="CT2425" s="0" t="s">
        <v>6624</v>
      </c>
    </row>
    <row r="2426">
      <c r="A2426" s="14">
        <v>23743170</v>
      </c>
      <c r="B2426" s="0" t="s">
        <v>4183</v>
      </c>
      <c r="C2426" s="16">
        <f>HYPERLINK("https://eosportal.federatedhermes.com/companies/Q29tcGFueQppNjY5NjY=", "Xylem Inc/NY")</f>
      </c>
      <c r="D2426" s="0" t="s">
        <v>23</v>
      </c>
      <c r="E2426" s="0" t="s">
        <v>6625</v>
      </c>
      <c r="F2426" s="16">
        <f>HYPERLINK("https://eosportal.federatedhermes.com/engagements/RW5nYWdlbWVudAppMzM3MzU=", "Nature and biodiversity strategy")</f>
      </c>
      <c r="G2426" s="14" t="s">
        <v>6626</v>
      </c>
      <c r="H2426" s="0" t="s">
        <v>130</v>
      </c>
      <c r="I2426" s="14" t="s">
        <v>319</v>
      </c>
      <c r="J2426" s="0" t="s">
        <v>197</v>
      </c>
      <c r="K2426" s="0" t="s">
        <v>337</v>
      </c>
      <c r="L2426" s="0" t="s">
        <v>576</v>
      </c>
      <c r="M2426" s="0" t="s">
        <v>135</v>
      </c>
      <c r="N2426" s="0" t="s">
        <v>136</v>
      </c>
      <c r="O2426" s="0" t="s">
        <v>176</v>
      </c>
      <c r="Q2426" s="0" t="s">
        <v>130</v>
      </c>
      <c r="R2426" s="0" t="s">
        <v>130</v>
      </c>
      <c r="S2426" s="14">
        <v>0</v>
      </c>
      <c r="T2426" s="0" t="s">
        <v>3562</v>
      </c>
      <c r="U2426" s="0" t="s">
        <v>221</v>
      </c>
      <c r="V2426" s="14" t="s">
        <v>3562</v>
      </c>
      <c r="W2426" s="0" t="s">
        <v>221</v>
      </c>
      <c r="X2426" s="14" t="s">
        <v>3562</v>
      </c>
      <c r="Y2426" s="0" t="s">
        <v>223</v>
      </c>
      <c r="Z2426" s="14" t="s">
        <v>138</v>
      </c>
      <c r="AA2426" s="0" t="s">
        <v>224</v>
      </c>
      <c r="AB2426" s="14" t="s">
        <v>138</v>
      </c>
      <c r="AD2426" s="0" t="s">
        <v>17</v>
      </c>
      <c r="AF2426" s="0">
        <v>0</v>
      </c>
      <c r="AG2426" s="0">
        <v>0</v>
      </c>
      <c r="AH2426" s="0" t="s">
        <v>140</v>
      </c>
      <c r="AI2426" s="0" t="s">
        <v>598</v>
      </c>
      <c r="AL2426" s="14"/>
      <c r="AN2426" s="14"/>
      <c r="AQ2426" s="0" t="s">
        <v>130</v>
      </c>
      <c r="AR2426" s="0" t="s">
        <v>130</v>
      </c>
      <c r="AS2426" s="0" t="s">
        <v>130</v>
      </c>
      <c r="AT2426" s="0" t="s">
        <v>130</v>
      </c>
      <c r="AU2426" s="0" t="s">
        <v>130</v>
      </c>
      <c r="AV2426" s="0" t="s">
        <v>141</v>
      </c>
      <c r="AW2426" s="0" t="s">
        <v>130</v>
      </c>
      <c r="AX2426" s="0" t="s">
        <v>130</v>
      </c>
      <c r="AY2426" s="0" t="s">
        <v>130</v>
      </c>
      <c r="AZ2426" s="0" t="s">
        <v>130</v>
      </c>
      <c r="BA2426" s="0" t="s">
        <v>130</v>
      </c>
      <c r="BB2426" s="0" t="s">
        <v>141</v>
      </c>
      <c r="BC2426" s="0" t="s">
        <v>130</v>
      </c>
      <c r="BD2426" s="0" t="s">
        <v>141</v>
      </c>
      <c r="BE2426" s="0" t="s">
        <v>141</v>
      </c>
      <c r="BF2426" s="0" t="s">
        <v>130</v>
      </c>
      <c r="BG2426" s="0" t="s">
        <v>130</v>
      </c>
      <c r="BH2426" s="0" t="s">
        <v>130</v>
      </c>
      <c r="BI2426" s="0" t="s">
        <v>130</v>
      </c>
      <c r="BJ2426" s="0" t="s">
        <v>130</v>
      </c>
      <c r="BK2426" s="0" t="s">
        <v>130</v>
      </c>
      <c r="BL2426" s="0" t="s">
        <v>130</v>
      </c>
      <c r="BM2426" s="0" t="s">
        <v>130</v>
      </c>
      <c r="BN2426" s="0" t="s">
        <v>130</v>
      </c>
      <c r="BO2426" s="0" t="s">
        <v>130</v>
      </c>
      <c r="BP2426" s="0" t="s">
        <v>130</v>
      </c>
      <c r="BQ2426" s="0" t="s">
        <v>130</v>
      </c>
      <c r="BR2426" s="0" t="s">
        <v>130</v>
      </c>
      <c r="BS2426" s="0" t="s">
        <v>130</v>
      </c>
      <c r="BT2426" s="0" t="s">
        <v>130</v>
      </c>
      <c r="BU2426" s="0" t="s">
        <v>130</v>
      </c>
      <c r="BV2426" s="0" t="s">
        <v>130</v>
      </c>
      <c r="BW2426" s="0" t="s">
        <v>130</v>
      </c>
      <c r="BX2426" s="0" t="s">
        <v>130</v>
      </c>
      <c r="BY2426" s="0" t="s">
        <v>130</v>
      </c>
      <c r="BZ2426" s="0" t="s">
        <v>130</v>
      </c>
      <c r="CA2426" s="0" t="s">
        <v>130</v>
      </c>
      <c r="CB2426" s="0" t="s">
        <v>130</v>
      </c>
      <c r="CC2426" s="0" t="s">
        <v>130</v>
      </c>
      <c r="CD2426" s="0" t="s">
        <v>130</v>
      </c>
      <c r="CE2426" s="0" t="s">
        <v>130</v>
      </c>
      <c r="CF2426" s="0" t="s">
        <v>130</v>
      </c>
      <c r="CG2426" s="0" t="s">
        <v>130</v>
      </c>
      <c r="CH2426" s="0" t="s">
        <v>130</v>
      </c>
      <c r="CI2426" s="0" t="s">
        <v>130</v>
      </c>
      <c r="CJ2426" s="0" t="s">
        <v>130</v>
      </c>
      <c r="CK2426" s="0" t="s">
        <v>130</v>
      </c>
      <c r="CL2426" s="0" t="s">
        <v>130</v>
      </c>
      <c r="CM2426" s="0" t="s">
        <v>130</v>
      </c>
      <c r="CN2426" s="0" t="s">
        <v>130</v>
      </c>
      <c r="CO2426" s="0" t="s">
        <v>130</v>
      </c>
      <c r="CP2426" s="0" t="s">
        <v>130</v>
      </c>
      <c r="CQ2426" s="0" t="s">
        <v>130</v>
      </c>
      <c r="CR2426" s="0" t="s">
        <v>130</v>
      </c>
      <c r="CS2426" s="0" t="s">
        <v>130</v>
      </c>
      <c r="CT2426" s="0" t="s">
        <v>6627</v>
      </c>
    </row>
    <row r="2427">
      <c r="A2427" s="14">
        <v>115679</v>
      </c>
      <c r="B2427" s="0" t="s">
        <v>2603</v>
      </c>
      <c r="C2427" s="16">
        <f>HYPERLINK("https://eosportal.federatedhermes.com/companies/Q29tcGFueQppNTg5NzU=", "Bayer AG")</f>
      </c>
      <c r="D2427" s="0" t="s">
        <v>23</v>
      </c>
      <c r="E2427" s="0" t="s">
        <v>6628</v>
      </c>
      <c r="F2427" s="16">
        <f>HYPERLINK("https://eosportal.federatedhermes.com/engagements/RW5nYWdlbWVudAppMzM3Mzc=", "Credible climate transition roadmap")</f>
      </c>
      <c r="G2427" s="14" t="s">
        <v>6629</v>
      </c>
      <c r="H2427" s="0" t="s">
        <v>141</v>
      </c>
      <c r="I2427" s="14" t="s">
        <v>1645</v>
      </c>
      <c r="J2427" s="0" t="s">
        <v>197</v>
      </c>
      <c r="K2427" s="0" t="s">
        <v>198</v>
      </c>
      <c r="L2427" s="0" t="s">
        <v>216</v>
      </c>
      <c r="M2427" s="0" t="s">
        <v>378</v>
      </c>
      <c r="N2427" s="0" t="s">
        <v>2485</v>
      </c>
      <c r="O2427" s="0" t="s">
        <v>274</v>
      </c>
      <c r="Q2427" s="0" t="s">
        <v>141</v>
      </c>
      <c r="R2427" s="0" t="s">
        <v>141</v>
      </c>
      <c r="S2427" s="14">
        <v>2</v>
      </c>
      <c r="T2427" s="0" t="s">
        <v>360</v>
      </c>
      <c r="U2427" s="0" t="s">
        <v>221</v>
      </c>
      <c r="V2427" s="14" t="s">
        <v>360</v>
      </c>
      <c r="W2427" s="0" t="s">
        <v>221</v>
      </c>
      <c r="X2427" s="14" t="s">
        <v>3562</v>
      </c>
      <c r="Y2427" s="0" t="s">
        <v>221</v>
      </c>
      <c r="Z2427" s="14" t="s">
        <v>3562</v>
      </c>
      <c r="AA2427" s="0" t="s">
        <v>221</v>
      </c>
      <c r="AB2427" s="14" t="s">
        <v>361</v>
      </c>
      <c r="AC2427" s="0" t="s">
        <v>20</v>
      </c>
      <c r="AD2427" s="0" t="s">
        <v>362</v>
      </c>
      <c r="AE2427" s="0" t="s">
        <v>363</v>
      </c>
      <c r="AF2427" s="0">
        <v>1</v>
      </c>
      <c r="AG2427" s="0">
        <v>0</v>
      </c>
      <c r="AH2427" s="0" t="s">
        <v>140</v>
      </c>
      <c r="AI2427" s="0" t="s">
        <v>221</v>
      </c>
      <c r="AJ2427" s="0" t="s">
        <v>577</v>
      </c>
      <c r="AK2427" s="0" t="s">
        <v>2263</v>
      </c>
      <c r="AL2427" s="14"/>
      <c r="AM2427" s="0" t="s">
        <v>580</v>
      </c>
      <c r="AN2427" s="14"/>
      <c r="AP2427" s="0" t="s">
        <v>6630</v>
      </c>
      <c r="AQ2427" s="0" t="s">
        <v>130</v>
      </c>
      <c r="AR2427" s="0" t="s">
        <v>130</v>
      </c>
      <c r="AS2427" s="0" t="s">
        <v>130</v>
      </c>
      <c r="AT2427" s="0" t="s">
        <v>130</v>
      </c>
      <c r="AU2427" s="0" t="s">
        <v>130</v>
      </c>
      <c r="AV2427" s="0" t="s">
        <v>130</v>
      </c>
      <c r="AW2427" s="0" t="s">
        <v>141</v>
      </c>
      <c r="AX2427" s="0" t="s">
        <v>130</v>
      </c>
      <c r="AY2427" s="0" t="s">
        <v>130</v>
      </c>
      <c r="AZ2427" s="0" t="s">
        <v>130</v>
      </c>
      <c r="BA2427" s="0" t="s">
        <v>130</v>
      </c>
      <c r="BB2427" s="0" t="s">
        <v>130</v>
      </c>
      <c r="BC2427" s="0" t="s">
        <v>141</v>
      </c>
      <c r="BD2427" s="0" t="s">
        <v>130</v>
      </c>
      <c r="BE2427" s="0" t="s">
        <v>130</v>
      </c>
      <c r="BF2427" s="0" t="s">
        <v>130</v>
      </c>
      <c r="BG2427" s="0" t="s">
        <v>130</v>
      </c>
      <c r="BH2427" s="0" t="s">
        <v>141</v>
      </c>
      <c r="BI2427" s="0" t="s">
        <v>141</v>
      </c>
      <c r="BJ2427" s="0" t="s">
        <v>141</v>
      </c>
      <c r="BK2427" s="0" t="s">
        <v>141</v>
      </c>
      <c r="BL2427" s="0" t="s">
        <v>141</v>
      </c>
      <c r="BM2427" s="0" t="s">
        <v>130</v>
      </c>
      <c r="BN2427" s="0" t="s">
        <v>130</v>
      </c>
      <c r="BO2427" s="0" t="s">
        <v>130</v>
      </c>
      <c r="BP2427" s="0" t="s">
        <v>130</v>
      </c>
      <c r="BQ2427" s="0" t="s">
        <v>130</v>
      </c>
      <c r="BR2427" s="0" t="s">
        <v>130</v>
      </c>
      <c r="BS2427" s="0" t="s">
        <v>130</v>
      </c>
      <c r="BT2427" s="0" t="s">
        <v>130</v>
      </c>
      <c r="BU2427" s="0" t="s">
        <v>130</v>
      </c>
      <c r="BV2427" s="0" t="s">
        <v>141</v>
      </c>
      <c r="BW2427" s="0" t="s">
        <v>141</v>
      </c>
      <c r="BX2427" s="0" t="s">
        <v>130</v>
      </c>
      <c r="BY2427" s="0" t="s">
        <v>130</v>
      </c>
      <c r="BZ2427" s="0" t="s">
        <v>130</v>
      </c>
      <c r="CA2427" s="0" t="s">
        <v>130</v>
      </c>
      <c r="CB2427" s="0" t="s">
        <v>130</v>
      </c>
      <c r="CC2427" s="0" t="s">
        <v>130</v>
      </c>
      <c r="CD2427" s="0" t="s">
        <v>130</v>
      </c>
      <c r="CE2427" s="0" t="s">
        <v>130</v>
      </c>
      <c r="CF2427" s="0" t="s">
        <v>130</v>
      </c>
      <c r="CG2427" s="0" t="s">
        <v>130</v>
      </c>
      <c r="CH2427" s="0" t="s">
        <v>130</v>
      </c>
      <c r="CI2427" s="0" t="s">
        <v>130</v>
      </c>
      <c r="CJ2427" s="0" t="s">
        <v>130</v>
      </c>
      <c r="CK2427" s="0" t="s">
        <v>130</v>
      </c>
      <c r="CL2427" s="0" t="s">
        <v>130</v>
      </c>
      <c r="CM2427" s="0" t="s">
        <v>130</v>
      </c>
      <c r="CN2427" s="0" t="s">
        <v>130</v>
      </c>
      <c r="CO2427" s="0" t="s">
        <v>130</v>
      </c>
      <c r="CP2427" s="0" t="s">
        <v>130</v>
      </c>
      <c r="CQ2427" s="0" t="s">
        <v>130</v>
      </c>
      <c r="CR2427" s="0" t="s">
        <v>130</v>
      </c>
      <c r="CS2427" s="0" t="s">
        <v>130</v>
      </c>
      <c r="CT2427" s="0" t="s">
        <v>6631</v>
      </c>
    </row>
    <row r="2428">
      <c r="A2428" s="14">
        <v>68938862</v>
      </c>
      <c r="B2428" s="0" t="s">
        <v>4962</v>
      </c>
      <c r="C2428" s="16">
        <f>HYPERLINK("https://eosportal.federatedhermes.com/companies/Q29tcGFueQppNTcwNzE=", "Siemens Energy AG")</f>
      </c>
      <c r="D2428" s="0" t="s">
        <v>23</v>
      </c>
      <c r="E2428" s="0" t="s">
        <v>6617</v>
      </c>
      <c r="F2428" s="16">
        <f>HYPERLINK("https://eosportal.federatedhermes.com/engagements/RW5nYWdlbWVudAppMzM3NDY=", "Climate aligned accounting")</f>
      </c>
      <c r="G2428" s="14" t="s">
        <v>6632</v>
      </c>
      <c r="H2428" s="0" t="s">
        <v>141</v>
      </c>
      <c r="I2428" s="14" t="s">
        <v>191</v>
      </c>
      <c r="J2428" s="0" t="s">
        <v>197</v>
      </c>
      <c r="K2428" s="0" t="s">
        <v>198</v>
      </c>
      <c r="L2428" s="0" t="s">
        <v>199</v>
      </c>
      <c r="M2428" s="0" t="s">
        <v>378</v>
      </c>
      <c r="N2428" s="0" t="s">
        <v>2485</v>
      </c>
      <c r="O2428" s="0" t="s">
        <v>176</v>
      </c>
      <c r="Q2428" s="0" t="s">
        <v>141</v>
      </c>
      <c r="R2428" s="0" t="s">
        <v>130</v>
      </c>
      <c r="S2428" s="14">
        <v>1</v>
      </c>
      <c r="T2428" s="0" t="s">
        <v>3562</v>
      </c>
      <c r="U2428" s="0" t="s">
        <v>221</v>
      </c>
      <c r="V2428" s="14" t="s">
        <v>3562</v>
      </c>
      <c r="W2428" s="0" t="s">
        <v>221</v>
      </c>
      <c r="X2428" s="14" t="s">
        <v>3562</v>
      </c>
      <c r="Y2428" s="0" t="s">
        <v>223</v>
      </c>
      <c r="Z2428" s="14" t="s">
        <v>138</v>
      </c>
      <c r="AA2428" s="0" t="s">
        <v>224</v>
      </c>
      <c r="AB2428" s="14" t="s">
        <v>138</v>
      </c>
      <c r="AD2428" s="0" t="s">
        <v>17</v>
      </c>
      <c r="AF2428" s="0">
        <v>0</v>
      </c>
      <c r="AG2428" s="0">
        <v>0</v>
      </c>
      <c r="AH2428" s="0" t="s">
        <v>140</v>
      </c>
      <c r="AI2428" s="0" t="s">
        <v>598</v>
      </c>
      <c r="AK2428" s="0" t="s">
        <v>233</v>
      </c>
      <c r="AL2428" s="14"/>
      <c r="AN2428" s="14"/>
      <c r="AQ2428" s="0" t="s">
        <v>130</v>
      </c>
      <c r="AR2428" s="0" t="s">
        <v>130</v>
      </c>
      <c r="AS2428" s="0" t="s">
        <v>130</v>
      </c>
      <c r="AT2428" s="0" t="s">
        <v>130</v>
      </c>
      <c r="AU2428" s="0" t="s">
        <v>130</v>
      </c>
      <c r="AV2428" s="0" t="s">
        <v>130</v>
      </c>
      <c r="AW2428" s="0" t="s">
        <v>130</v>
      </c>
      <c r="AX2428" s="0" t="s">
        <v>130</v>
      </c>
      <c r="AY2428" s="0" t="s">
        <v>130</v>
      </c>
      <c r="AZ2428" s="0" t="s">
        <v>130</v>
      </c>
      <c r="BA2428" s="0" t="s">
        <v>130</v>
      </c>
      <c r="BB2428" s="0" t="s">
        <v>141</v>
      </c>
      <c r="BC2428" s="0" t="s">
        <v>130</v>
      </c>
      <c r="BD2428" s="0" t="s">
        <v>130</v>
      </c>
      <c r="BE2428" s="0" t="s">
        <v>130</v>
      </c>
      <c r="BF2428" s="0" t="s">
        <v>130</v>
      </c>
      <c r="BG2428" s="0" t="s">
        <v>130</v>
      </c>
      <c r="BH2428" s="0" t="s">
        <v>130</v>
      </c>
      <c r="BI2428" s="0" t="s">
        <v>130</v>
      </c>
      <c r="BJ2428" s="0" t="s">
        <v>130</v>
      </c>
      <c r="BK2428" s="0" t="s">
        <v>130</v>
      </c>
      <c r="BL2428" s="0" t="s">
        <v>130</v>
      </c>
      <c r="BM2428" s="0" t="s">
        <v>130</v>
      </c>
      <c r="BN2428" s="0" t="s">
        <v>130</v>
      </c>
      <c r="BO2428" s="0" t="s">
        <v>130</v>
      </c>
      <c r="BP2428" s="0" t="s">
        <v>130</v>
      </c>
      <c r="BQ2428" s="0" t="s">
        <v>130</v>
      </c>
      <c r="BR2428" s="0" t="s">
        <v>130</v>
      </c>
      <c r="BS2428" s="0" t="s">
        <v>130</v>
      </c>
      <c r="BT2428" s="0" t="s">
        <v>130</v>
      </c>
      <c r="BU2428" s="0" t="s">
        <v>130</v>
      </c>
      <c r="BV2428" s="0" t="s">
        <v>130</v>
      </c>
      <c r="BW2428" s="0" t="s">
        <v>130</v>
      </c>
      <c r="BX2428" s="0" t="s">
        <v>130</v>
      </c>
      <c r="BY2428" s="0" t="s">
        <v>130</v>
      </c>
      <c r="BZ2428" s="0" t="s">
        <v>130</v>
      </c>
      <c r="CA2428" s="0" t="s">
        <v>130</v>
      </c>
      <c r="CB2428" s="0" t="s">
        <v>130</v>
      </c>
      <c r="CC2428" s="0" t="s">
        <v>130</v>
      </c>
      <c r="CD2428" s="0" t="s">
        <v>130</v>
      </c>
      <c r="CE2428" s="0" t="s">
        <v>130</v>
      </c>
      <c r="CF2428" s="0" t="s">
        <v>130</v>
      </c>
      <c r="CG2428" s="0" t="s">
        <v>130</v>
      </c>
      <c r="CH2428" s="0" t="s">
        <v>130</v>
      </c>
      <c r="CI2428" s="0" t="s">
        <v>130</v>
      </c>
      <c r="CJ2428" s="0" t="s">
        <v>130</v>
      </c>
      <c r="CK2428" s="0" t="s">
        <v>130</v>
      </c>
      <c r="CL2428" s="0" t="s">
        <v>130</v>
      </c>
      <c r="CM2428" s="0" t="s">
        <v>130</v>
      </c>
      <c r="CN2428" s="0" t="s">
        <v>130</v>
      </c>
      <c r="CO2428" s="0" t="s">
        <v>130</v>
      </c>
      <c r="CP2428" s="0" t="s">
        <v>130</v>
      </c>
      <c r="CQ2428" s="0" t="s">
        <v>130</v>
      </c>
      <c r="CR2428" s="0" t="s">
        <v>130</v>
      </c>
      <c r="CS2428" s="0" t="s">
        <v>130</v>
      </c>
      <c r="CT2428" s="0" t="s">
        <v>6633</v>
      </c>
    </row>
    <row r="2429">
      <c r="A2429" s="14">
        <v>100355</v>
      </c>
      <c r="B2429" s="0" t="s">
        <v>604</v>
      </c>
      <c r="C2429" s="16">
        <f>HYPERLINK("https://eosportal.federatedhermes.com/companies/Q29tcGFueQppNDgyOTA=", "Coca-Cola Co/The")</f>
      </c>
      <c r="D2429" s="0" t="s">
        <v>23</v>
      </c>
      <c r="E2429" s="0" t="s">
        <v>6343</v>
      </c>
      <c r="F2429" s="16">
        <f>HYPERLINK("https://eosportal.federatedhermes.com/engagements/RW5nYWdlbWVudAppMzM3NDc=", "Increased transparency on tax practices")</f>
      </c>
      <c r="G2429" s="14" t="s">
        <v>6634</v>
      </c>
      <c r="H2429" s="0" t="s">
        <v>141</v>
      </c>
      <c r="I2429" s="14" t="s">
        <v>191</v>
      </c>
      <c r="J2429" s="0" t="s">
        <v>153</v>
      </c>
      <c r="K2429" s="0" t="s">
        <v>185</v>
      </c>
      <c r="L2429" s="0" t="s">
        <v>548</v>
      </c>
      <c r="M2429" s="0" t="s">
        <v>135</v>
      </c>
      <c r="N2429" s="0" t="s">
        <v>136</v>
      </c>
      <c r="O2429" s="0" t="s">
        <v>332</v>
      </c>
      <c r="Q2429" s="0" t="s">
        <v>130</v>
      </c>
      <c r="R2429" s="0" t="s">
        <v>130</v>
      </c>
      <c r="S2429" s="14">
        <v>0</v>
      </c>
      <c r="T2429" s="0" t="s">
        <v>3562</v>
      </c>
      <c r="U2429" s="0" t="s">
        <v>221</v>
      </c>
      <c r="V2429" s="14" t="s">
        <v>3562</v>
      </c>
      <c r="W2429" s="0" t="s">
        <v>221</v>
      </c>
      <c r="X2429" s="14" t="s">
        <v>3562</v>
      </c>
      <c r="Y2429" s="0" t="s">
        <v>221</v>
      </c>
      <c r="Z2429" s="14" t="s">
        <v>3562</v>
      </c>
      <c r="AA2429" s="0" t="s">
        <v>223</v>
      </c>
      <c r="AB2429" s="14" t="s">
        <v>138</v>
      </c>
      <c r="AD2429" s="0" t="s">
        <v>20</v>
      </c>
      <c r="AF2429" s="0">
        <v>0</v>
      </c>
      <c r="AG2429" s="0">
        <v>0</v>
      </c>
      <c r="AH2429" s="0" t="s">
        <v>140</v>
      </c>
      <c r="AI2429" s="0" t="s">
        <v>598</v>
      </c>
      <c r="AL2429" s="14"/>
      <c r="AN2429" s="14"/>
      <c r="AQ2429" s="0" t="s">
        <v>130</v>
      </c>
      <c r="AR2429" s="0" t="s">
        <v>130</v>
      </c>
      <c r="AS2429" s="0" t="s">
        <v>130</v>
      </c>
      <c r="AT2429" s="0" t="s">
        <v>130</v>
      </c>
      <c r="AU2429" s="0" t="s">
        <v>130</v>
      </c>
      <c r="AV2429" s="0" t="s">
        <v>130</v>
      </c>
      <c r="AW2429" s="0" t="s">
        <v>130</v>
      </c>
      <c r="AX2429" s="0" t="s">
        <v>130</v>
      </c>
      <c r="AY2429" s="0" t="s">
        <v>130</v>
      </c>
      <c r="AZ2429" s="0" t="s">
        <v>130</v>
      </c>
      <c r="BA2429" s="0" t="s">
        <v>130</v>
      </c>
      <c r="BB2429" s="0" t="s">
        <v>130</v>
      </c>
      <c r="BC2429" s="0" t="s">
        <v>130</v>
      </c>
      <c r="BD2429" s="0" t="s">
        <v>130</v>
      </c>
      <c r="BE2429" s="0" t="s">
        <v>130</v>
      </c>
      <c r="BF2429" s="0" t="s">
        <v>130</v>
      </c>
      <c r="BG2429" s="0" t="s">
        <v>141</v>
      </c>
      <c r="BH2429" s="0" t="s">
        <v>130</v>
      </c>
      <c r="BI2429" s="0" t="s">
        <v>130</v>
      </c>
      <c r="BJ2429" s="0" t="s">
        <v>130</v>
      </c>
      <c r="BK2429" s="0" t="s">
        <v>130</v>
      </c>
      <c r="BL2429" s="0" t="s">
        <v>130</v>
      </c>
      <c r="BM2429" s="0" t="s">
        <v>130</v>
      </c>
      <c r="BN2429" s="0" t="s">
        <v>130</v>
      </c>
      <c r="BO2429" s="0" t="s">
        <v>130</v>
      </c>
      <c r="BP2429" s="0" t="s">
        <v>130</v>
      </c>
      <c r="BQ2429" s="0" t="s">
        <v>130</v>
      </c>
      <c r="BR2429" s="0" t="s">
        <v>130</v>
      </c>
      <c r="BS2429" s="0" t="s">
        <v>130</v>
      </c>
      <c r="BT2429" s="0" t="s">
        <v>130</v>
      </c>
      <c r="BU2429" s="0" t="s">
        <v>130</v>
      </c>
      <c r="BV2429" s="0" t="s">
        <v>130</v>
      </c>
      <c r="BW2429" s="0" t="s">
        <v>130</v>
      </c>
      <c r="BX2429" s="0" t="s">
        <v>130</v>
      </c>
      <c r="BY2429" s="0" t="s">
        <v>130</v>
      </c>
      <c r="BZ2429" s="0" t="s">
        <v>130</v>
      </c>
      <c r="CA2429" s="0" t="s">
        <v>130</v>
      </c>
      <c r="CB2429" s="0" t="s">
        <v>130</v>
      </c>
      <c r="CC2429" s="0" t="s">
        <v>130</v>
      </c>
      <c r="CD2429" s="0" t="s">
        <v>130</v>
      </c>
      <c r="CE2429" s="0" t="s">
        <v>130</v>
      </c>
      <c r="CF2429" s="0" t="s">
        <v>130</v>
      </c>
      <c r="CG2429" s="0" t="s">
        <v>130</v>
      </c>
      <c r="CH2429" s="0" t="s">
        <v>130</v>
      </c>
      <c r="CI2429" s="0" t="s">
        <v>130</v>
      </c>
      <c r="CJ2429" s="0" t="s">
        <v>130</v>
      </c>
      <c r="CK2429" s="0" t="s">
        <v>130</v>
      </c>
      <c r="CL2429" s="0" t="s">
        <v>130</v>
      </c>
      <c r="CM2429" s="0" t="s">
        <v>130</v>
      </c>
      <c r="CN2429" s="0" t="s">
        <v>130</v>
      </c>
      <c r="CO2429" s="0" t="s">
        <v>130</v>
      </c>
      <c r="CP2429" s="0" t="s">
        <v>130</v>
      </c>
      <c r="CQ2429" s="0" t="s">
        <v>130</v>
      </c>
      <c r="CR2429" s="0" t="s">
        <v>130</v>
      </c>
      <c r="CS2429" s="0" t="s">
        <v>130</v>
      </c>
      <c r="CT2429" s="0" t="s">
        <v>6635</v>
      </c>
    </row>
    <row r="2430">
      <c r="A2430" s="14">
        <v>111093</v>
      </c>
      <c r="B2430" s="0" t="s">
        <v>270</v>
      </c>
      <c r="C2430" s="16">
        <f>HYPERLINK("https://eosportal.federatedhermes.com/companies/Q29tcGFueQppNzY2OTg=", "AstraZeneca PLC")</f>
      </c>
      <c r="D2430" s="0" t="s">
        <v>25</v>
      </c>
      <c r="E2430" s="0" t="s">
        <v>6482</v>
      </c>
      <c r="F2430" s="16">
        <f>HYPERLINK("https://eosportal.federatedhermes.com/engagements/RW5nYWdlbWVudAppMzM3NTI=", "Animal testing")</f>
      </c>
      <c r="G2430" s="14" t="s">
        <v>6483</v>
      </c>
      <c r="H2430" s="0" t="s">
        <v>141</v>
      </c>
      <c r="I2430" s="14" t="s">
        <v>131</v>
      </c>
      <c r="J2430" s="0" t="s">
        <v>197</v>
      </c>
      <c r="K2430" s="0" t="s">
        <v>337</v>
      </c>
      <c r="L2430" s="0" t="s">
        <v>576</v>
      </c>
      <c r="M2430" s="0" t="s">
        <v>272</v>
      </c>
      <c r="N2430" s="0" t="s">
        <v>273</v>
      </c>
      <c r="O2430" s="0" t="s">
        <v>274</v>
      </c>
      <c r="Q2430" s="0" t="s">
        <v>130</v>
      </c>
      <c r="R2430" s="0" t="s">
        <v>138</v>
      </c>
      <c r="S2430" s="14">
        <v>0</v>
      </c>
      <c r="T2430" s="0" t="s">
        <v>3562</v>
      </c>
      <c r="U2430" s="0" t="s">
        <v>138</v>
      </c>
      <c r="V2430" s="14" t="s">
        <v>138</v>
      </c>
      <c r="W2430" s="0" t="s">
        <v>138</v>
      </c>
      <c r="X2430" s="14" t="s">
        <v>138</v>
      </c>
      <c r="Y2430" s="0" t="s">
        <v>138</v>
      </c>
      <c r="Z2430" s="14" t="s">
        <v>138</v>
      </c>
      <c r="AA2430" s="0" t="s">
        <v>138</v>
      </c>
      <c r="AB2430" s="14" t="s">
        <v>138</v>
      </c>
      <c r="AD2430" s="0" t="s">
        <v>138</v>
      </c>
      <c r="AF2430" s="0">
        <v>0</v>
      </c>
      <c r="AG2430" s="0">
        <v>0</v>
      </c>
      <c r="AH2430" s="0" t="s">
        <v>140</v>
      </c>
      <c r="AI2430" s="0" t="s">
        <v>138</v>
      </c>
      <c r="AL2430" s="14"/>
      <c r="AN2430" s="14"/>
      <c r="AQ2430" s="0" t="s">
        <v>130</v>
      </c>
      <c r="AR2430" s="0" t="s">
        <v>130</v>
      </c>
      <c r="AS2430" s="0" t="s">
        <v>130</v>
      </c>
      <c r="AT2430" s="0" t="s">
        <v>130</v>
      </c>
      <c r="AU2430" s="0" t="s">
        <v>130</v>
      </c>
      <c r="AV2430" s="0" t="s">
        <v>130</v>
      </c>
      <c r="AW2430" s="0" t="s">
        <v>130</v>
      </c>
      <c r="AX2430" s="0" t="s">
        <v>130</v>
      </c>
      <c r="AY2430" s="0" t="s">
        <v>130</v>
      </c>
      <c r="AZ2430" s="0" t="s">
        <v>130</v>
      </c>
      <c r="BA2430" s="0" t="s">
        <v>130</v>
      </c>
      <c r="BB2430" s="0" t="s">
        <v>141</v>
      </c>
      <c r="BC2430" s="0" t="s">
        <v>130</v>
      </c>
      <c r="BD2430" s="0" t="s">
        <v>130</v>
      </c>
      <c r="BE2430" s="0" t="s">
        <v>141</v>
      </c>
      <c r="BF2430" s="0" t="s">
        <v>130</v>
      </c>
      <c r="BG2430" s="0" t="s">
        <v>130</v>
      </c>
      <c r="BH2430" s="0" t="s">
        <v>130</v>
      </c>
      <c r="BI2430" s="0" t="s">
        <v>130</v>
      </c>
      <c r="BJ2430" s="0" t="s">
        <v>130</v>
      </c>
      <c r="BK2430" s="0" t="s">
        <v>130</v>
      </c>
      <c r="BL2430" s="0" t="s">
        <v>130</v>
      </c>
      <c r="BM2430" s="0" t="s">
        <v>130</v>
      </c>
      <c r="BN2430" s="0" t="s">
        <v>130</v>
      </c>
      <c r="BO2430" s="0" t="s">
        <v>130</v>
      </c>
      <c r="BP2430" s="0" t="s">
        <v>130</v>
      </c>
      <c r="BQ2430" s="0" t="s">
        <v>130</v>
      </c>
      <c r="BR2430" s="0" t="s">
        <v>130</v>
      </c>
      <c r="BS2430" s="0" t="s">
        <v>130</v>
      </c>
      <c r="BT2430" s="0" t="s">
        <v>130</v>
      </c>
      <c r="BU2430" s="0" t="s">
        <v>130</v>
      </c>
      <c r="BV2430" s="0" t="s">
        <v>130</v>
      </c>
      <c r="BW2430" s="0" t="s">
        <v>130</v>
      </c>
      <c r="BX2430" s="0" t="s">
        <v>130</v>
      </c>
      <c r="BY2430" s="0" t="s">
        <v>130</v>
      </c>
      <c r="BZ2430" s="0" t="s">
        <v>130</v>
      </c>
      <c r="CA2430" s="0" t="s">
        <v>130</v>
      </c>
      <c r="CB2430" s="0" t="s">
        <v>130</v>
      </c>
      <c r="CC2430" s="0" t="s">
        <v>130</v>
      </c>
      <c r="CD2430" s="0" t="s">
        <v>130</v>
      </c>
      <c r="CE2430" s="0" t="s">
        <v>130</v>
      </c>
      <c r="CF2430" s="0" t="s">
        <v>130</v>
      </c>
      <c r="CG2430" s="0" t="s">
        <v>130</v>
      </c>
      <c r="CH2430" s="0" t="s">
        <v>130</v>
      </c>
      <c r="CI2430" s="0" t="s">
        <v>130</v>
      </c>
      <c r="CJ2430" s="0" t="s">
        <v>130</v>
      </c>
      <c r="CK2430" s="0" t="s">
        <v>130</v>
      </c>
      <c r="CL2430" s="0" t="s">
        <v>130</v>
      </c>
      <c r="CM2430" s="0" t="s">
        <v>130</v>
      </c>
      <c r="CN2430" s="0" t="s">
        <v>130</v>
      </c>
      <c r="CO2430" s="0" t="s">
        <v>130</v>
      </c>
      <c r="CP2430" s="0" t="s">
        <v>130</v>
      </c>
      <c r="CQ2430" s="0" t="s">
        <v>130</v>
      </c>
      <c r="CR2430" s="0" t="s">
        <v>130</v>
      </c>
      <c r="CS2430" s="0" t="s">
        <v>130</v>
      </c>
      <c r="CT2430" s="0" t="s">
        <v>6636</v>
      </c>
    </row>
    <row r="2431">
      <c r="A2431" s="14">
        <v>8957976</v>
      </c>
      <c r="B2431" s="0" t="s">
        <v>3934</v>
      </c>
      <c r="C2431" s="16">
        <f>HYPERLINK("https://eosportal.federatedhermes.com/companies/Q29tcGFueQppNTg5NDk=", "Tencent Holdings Ltd")</f>
      </c>
      <c r="D2431" s="0" t="s">
        <v>23</v>
      </c>
      <c r="E2431" s="0" t="s">
        <v>6637</v>
      </c>
      <c r="F2431" s="16">
        <f>HYPERLINK("https://eosportal.federatedhermes.com/engagements/RW5nYWdlbWVudAppMzM3NTY=", "AI and human capital management")</f>
      </c>
      <c r="G2431" s="14" t="s">
        <v>6638</v>
      </c>
      <c r="H2431" s="0" t="s">
        <v>141</v>
      </c>
      <c r="I2431" s="14" t="s">
        <v>191</v>
      </c>
      <c r="J2431" s="0" t="s">
        <v>153</v>
      </c>
      <c r="K2431" s="0" t="s">
        <v>243</v>
      </c>
      <c r="L2431" s="0" t="s">
        <v>537</v>
      </c>
      <c r="M2431" s="0" t="s">
        <v>2807</v>
      </c>
      <c r="N2431" s="0" t="s">
        <v>3272</v>
      </c>
      <c r="O2431" s="0" t="s">
        <v>137</v>
      </c>
      <c r="Q2431" s="0" t="s">
        <v>130</v>
      </c>
      <c r="R2431" s="0" t="s">
        <v>130</v>
      </c>
      <c r="S2431" s="14">
        <v>0</v>
      </c>
      <c r="T2431" s="0" t="s">
        <v>3562</v>
      </c>
      <c r="U2431" s="0" t="s">
        <v>221</v>
      </c>
      <c r="V2431" s="14" t="s">
        <v>3562</v>
      </c>
      <c r="W2431" s="0" t="s">
        <v>223</v>
      </c>
      <c r="X2431" s="14" t="s">
        <v>138</v>
      </c>
      <c r="Y2431" s="0" t="s">
        <v>224</v>
      </c>
      <c r="Z2431" s="14" t="s">
        <v>138</v>
      </c>
      <c r="AA2431" s="0" t="s">
        <v>224</v>
      </c>
      <c r="AB2431" s="14" t="s">
        <v>138</v>
      </c>
      <c r="AD2431" s="0" t="s">
        <v>14</v>
      </c>
      <c r="AF2431" s="0">
        <v>0</v>
      </c>
      <c r="AG2431" s="0">
        <v>0</v>
      </c>
      <c r="AH2431" s="0" t="s">
        <v>140</v>
      </c>
      <c r="AI2431" s="0" t="s">
        <v>479</v>
      </c>
      <c r="AL2431" s="14"/>
      <c r="AN2431" s="14"/>
      <c r="AQ2431" s="0" t="s">
        <v>130</v>
      </c>
      <c r="AR2431" s="0" t="s">
        <v>130</v>
      </c>
      <c r="AS2431" s="0" t="s">
        <v>130</v>
      </c>
      <c r="AT2431" s="0" t="s">
        <v>130</v>
      </c>
      <c r="AU2431" s="0" t="s">
        <v>130</v>
      </c>
      <c r="AV2431" s="0" t="s">
        <v>130</v>
      </c>
      <c r="AW2431" s="0" t="s">
        <v>130</v>
      </c>
      <c r="AX2431" s="0" t="s">
        <v>130</v>
      </c>
      <c r="AY2431" s="0" t="s">
        <v>130</v>
      </c>
      <c r="AZ2431" s="0" t="s">
        <v>141</v>
      </c>
      <c r="BA2431" s="0" t="s">
        <v>130</v>
      </c>
      <c r="BB2431" s="0" t="s">
        <v>130</v>
      </c>
      <c r="BC2431" s="0" t="s">
        <v>130</v>
      </c>
      <c r="BD2431" s="0" t="s">
        <v>130</v>
      </c>
      <c r="BE2431" s="0" t="s">
        <v>130</v>
      </c>
      <c r="BF2431" s="0" t="s">
        <v>141</v>
      </c>
      <c r="BG2431" s="0" t="s">
        <v>130</v>
      </c>
      <c r="BH2431" s="0" t="s">
        <v>130</v>
      </c>
      <c r="BI2431" s="0" t="s">
        <v>130</v>
      </c>
      <c r="BJ2431" s="0" t="s">
        <v>130</v>
      </c>
      <c r="BK2431" s="0" t="s">
        <v>130</v>
      </c>
      <c r="BL2431" s="0" t="s">
        <v>130</v>
      </c>
      <c r="BM2431" s="0" t="s">
        <v>130</v>
      </c>
      <c r="BN2431" s="0" t="s">
        <v>130</v>
      </c>
      <c r="BO2431" s="0" t="s">
        <v>130</v>
      </c>
      <c r="BP2431" s="0" t="s">
        <v>130</v>
      </c>
      <c r="BQ2431" s="0" t="s">
        <v>130</v>
      </c>
      <c r="BR2431" s="0" t="s">
        <v>130</v>
      </c>
      <c r="BS2431" s="0" t="s">
        <v>130</v>
      </c>
      <c r="BT2431" s="0" t="s">
        <v>130</v>
      </c>
      <c r="BU2431" s="0" t="s">
        <v>130</v>
      </c>
      <c r="BV2431" s="0" t="s">
        <v>130</v>
      </c>
      <c r="BW2431" s="0" t="s">
        <v>130</v>
      </c>
      <c r="BX2431" s="0" t="s">
        <v>130</v>
      </c>
      <c r="BY2431" s="0" t="s">
        <v>130</v>
      </c>
      <c r="BZ2431" s="0" t="s">
        <v>130</v>
      </c>
      <c r="CA2431" s="0" t="s">
        <v>130</v>
      </c>
      <c r="CB2431" s="0" t="s">
        <v>130</v>
      </c>
      <c r="CC2431" s="0" t="s">
        <v>130</v>
      </c>
      <c r="CD2431" s="0" t="s">
        <v>130</v>
      </c>
      <c r="CE2431" s="0" t="s">
        <v>130</v>
      </c>
      <c r="CF2431" s="0" t="s">
        <v>130</v>
      </c>
      <c r="CG2431" s="0" t="s">
        <v>130</v>
      </c>
      <c r="CH2431" s="0" t="s">
        <v>130</v>
      </c>
      <c r="CI2431" s="0" t="s">
        <v>130</v>
      </c>
      <c r="CJ2431" s="0" t="s">
        <v>130</v>
      </c>
      <c r="CK2431" s="0" t="s">
        <v>130</v>
      </c>
      <c r="CL2431" s="0" t="s">
        <v>130</v>
      </c>
      <c r="CM2431" s="0" t="s">
        <v>130</v>
      </c>
      <c r="CN2431" s="0" t="s">
        <v>130</v>
      </c>
      <c r="CO2431" s="0" t="s">
        <v>130</v>
      </c>
      <c r="CP2431" s="0" t="s">
        <v>130</v>
      </c>
      <c r="CQ2431" s="0" t="s">
        <v>130</v>
      </c>
      <c r="CR2431" s="0" t="s">
        <v>130</v>
      </c>
      <c r="CS2431" s="0" t="s">
        <v>130</v>
      </c>
      <c r="CT2431" s="0" t="s">
        <v>6639</v>
      </c>
    </row>
    <row r="2432">
      <c r="A2432" s="14">
        <v>100743</v>
      </c>
      <c r="B2432" s="0" t="s">
        <v>927</v>
      </c>
      <c r="C2432" s="16">
        <f>HYPERLINK("https://eosportal.federatedhermes.com/companies/Q29tcGFueQppNjQzNzc=", "Home Depot Inc/The")</f>
      </c>
      <c r="D2432" s="0" t="s">
        <v>23</v>
      </c>
      <c r="E2432" s="0" t="s">
        <v>6640</v>
      </c>
      <c r="F2432" s="16">
        <f>HYPERLINK("https://eosportal.federatedhermes.com/engagements/RW5nYWdlbWVudAppMzM3NTc=", "A time-bound commitment on deforestation- and conversion-free products")</f>
      </c>
      <c r="G2432" s="14" t="s">
        <v>6641</v>
      </c>
      <c r="H2432" s="0" t="s">
        <v>141</v>
      </c>
      <c r="I2432" s="14" t="s">
        <v>191</v>
      </c>
      <c r="J2432" s="0" t="s">
        <v>197</v>
      </c>
      <c r="K2432" s="0" t="s">
        <v>337</v>
      </c>
      <c r="L2432" s="0" t="s">
        <v>576</v>
      </c>
      <c r="M2432" s="0" t="s">
        <v>135</v>
      </c>
      <c r="N2432" s="0" t="s">
        <v>136</v>
      </c>
      <c r="O2432" s="0" t="s">
        <v>643</v>
      </c>
      <c r="Q2432" s="0" t="s">
        <v>141</v>
      </c>
      <c r="R2432" s="0" t="s">
        <v>130</v>
      </c>
      <c r="S2432" s="14">
        <v>1</v>
      </c>
      <c r="T2432" s="0" t="s">
        <v>3562</v>
      </c>
      <c r="U2432" s="0" t="s">
        <v>221</v>
      </c>
      <c r="V2432" s="14" t="s">
        <v>3562</v>
      </c>
      <c r="W2432" s="0" t="s">
        <v>221</v>
      </c>
      <c r="X2432" s="14" t="s">
        <v>3562</v>
      </c>
      <c r="Y2432" s="0" t="s">
        <v>223</v>
      </c>
      <c r="Z2432" s="14" t="s">
        <v>138</v>
      </c>
      <c r="AA2432" s="0" t="s">
        <v>224</v>
      </c>
      <c r="AB2432" s="14" t="s">
        <v>138</v>
      </c>
      <c r="AD2432" s="0" t="s">
        <v>17</v>
      </c>
      <c r="AF2432" s="0">
        <v>0</v>
      </c>
      <c r="AG2432" s="0">
        <v>0</v>
      </c>
      <c r="AH2432" s="0" t="s">
        <v>140</v>
      </c>
      <c r="AI2432" s="0" t="s">
        <v>598</v>
      </c>
      <c r="AK2432" s="0" t="s">
        <v>2239</v>
      </c>
      <c r="AL2432" s="14"/>
      <c r="AN2432" s="14"/>
      <c r="AQ2432" s="0" t="s">
        <v>130</v>
      </c>
      <c r="AR2432" s="0" t="s">
        <v>130</v>
      </c>
      <c r="AS2432" s="0" t="s">
        <v>130</v>
      </c>
      <c r="AT2432" s="0" t="s">
        <v>130</v>
      </c>
      <c r="AU2432" s="0" t="s">
        <v>130</v>
      </c>
      <c r="AV2432" s="0" t="s">
        <v>130</v>
      </c>
      <c r="AW2432" s="0" t="s">
        <v>130</v>
      </c>
      <c r="AX2432" s="0" t="s">
        <v>130</v>
      </c>
      <c r="AY2432" s="0" t="s">
        <v>130</v>
      </c>
      <c r="AZ2432" s="0" t="s">
        <v>130</v>
      </c>
      <c r="BA2432" s="0" t="s">
        <v>130</v>
      </c>
      <c r="BB2432" s="0" t="s">
        <v>141</v>
      </c>
      <c r="BC2432" s="0" t="s">
        <v>141</v>
      </c>
      <c r="BD2432" s="0" t="s">
        <v>130</v>
      </c>
      <c r="BE2432" s="0" t="s">
        <v>141</v>
      </c>
      <c r="BF2432" s="0" t="s">
        <v>130</v>
      </c>
      <c r="BG2432" s="0" t="s">
        <v>130</v>
      </c>
      <c r="BH2432" s="0" t="s">
        <v>130</v>
      </c>
      <c r="BI2432" s="0" t="s">
        <v>130</v>
      </c>
      <c r="BJ2432" s="0" t="s">
        <v>130</v>
      </c>
      <c r="BK2432" s="0" t="s">
        <v>130</v>
      </c>
      <c r="BL2432" s="0" t="s">
        <v>130</v>
      </c>
      <c r="BM2432" s="0" t="s">
        <v>130</v>
      </c>
      <c r="BN2432" s="0" t="s">
        <v>130</v>
      </c>
      <c r="BO2432" s="0" t="s">
        <v>130</v>
      </c>
      <c r="BP2432" s="0" t="s">
        <v>130</v>
      </c>
      <c r="BQ2432" s="0" t="s">
        <v>130</v>
      </c>
      <c r="BR2432" s="0" t="s">
        <v>130</v>
      </c>
      <c r="BS2432" s="0" t="s">
        <v>130</v>
      </c>
      <c r="BT2432" s="0" t="s">
        <v>130</v>
      </c>
      <c r="BU2432" s="0" t="s">
        <v>130</v>
      </c>
      <c r="BV2432" s="0" t="s">
        <v>130</v>
      </c>
      <c r="BW2432" s="0" t="s">
        <v>130</v>
      </c>
      <c r="BX2432" s="0" t="s">
        <v>130</v>
      </c>
      <c r="BY2432" s="0" t="s">
        <v>130</v>
      </c>
      <c r="BZ2432" s="0" t="s">
        <v>130</v>
      </c>
      <c r="CA2432" s="0" t="s">
        <v>130</v>
      </c>
      <c r="CB2432" s="0" t="s">
        <v>130</v>
      </c>
      <c r="CC2432" s="0" t="s">
        <v>130</v>
      </c>
      <c r="CD2432" s="0" t="s">
        <v>130</v>
      </c>
      <c r="CE2432" s="0" t="s">
        <v>141</v>
      </c>
      <c r="CF2432" s="0" t="s">
        <v>141</v>
      </c>
      <c r="CG2432" s="0" t="s">
        <v>130</v>
      </c>
      <c r="CH2432" s="0" t="s">
        <v>130</v>
      </c>
      <c r="CI2432" s="0" t="s">
        <v>130</v>
      </c>
      <c r="CJ2432" s="0" t="s">
        <v>130</v>
      </c>
      <c r="CK2432" s="0" t="s">
        <v>130</v>
      </c>
      <c r="CL2432" s="0" t="s">
        <v>130</v>
      </c>
      <c r="CM2432" s="0" t="s">
        <v>130</v>
      </c>
      <c r="CN2432" s="0" t="s">
        <v>130</v>
      </c>
      <c r="CO2432" s="0" t="s">
        <v>130</v>
      </c>
      <c r="CP2432" s="0" t="s">
        <v>130</v>
      </c>
      <c r="CQ2432" s="0" t="s">
        <v>130</v>
      </c>
      <c r="CR2432" s="0" t="s">
        <v>130</v>
      </c>
      <c r="CS2432" s="0" t="s">
        <v>130</v>
      </c>
      <c r="CT2432" s="0" t="s">
        <v>6642</v>
      </c>
    </row>
    <row r="2433">
      <c r="A2433" s="14">
        <v>41633927</v>
      </c>
      <c r="B2433" s="0" t="s">
        <v>4569</v>
      </c>
      <c r="C2433" s="16">
        <f>HYPERLINK("https://eosportal.federatedhermes.com/companies/Q29tcGFueQppNTIxODI=", "Stellantis NV")</f>
      </c>
      <c r="D2433" s="0" t="s">
        <v>23</v>
      </c>
      <c r="E2433" s="0" t="s">
        <v>5527</v>
      </c>
      <c r="F2433" s="16">
        <f>HYPERLINK("https://eosportal.federatedhermes.com/engagements/RW5nYWdlbWVudAppMzM3NjA=", "Assurance of sufficiency of climate strategy")</f>
      </c>
      <c r="G2433" s="14" t="s">
        <v>6643</v>
      </c>
      <c r="H2433" s="0" t="s">
        <v>141</v>
      </c>
      <c r="I2433" s="14" t="s">
        <v>1645</v>
      </c>
      <c r="J2433" s="0" t="s">
        <v>197</v>
      </c>
      <c r="K2433" s="0" t="s">
        <v>198</v>
      </c>
      <c r="L2433" s="0" t="s">
        <v>199</v>
      </c>
      <c r="M2433" s="0" t="s">
        <v>378</v>
      </c>
      <c r="N2433" s="0" t="s">
        <v>2554</v>
      </c>
      <c r="O2433" s="0" t="s">
        <v>425</v>
      </c>
      <c r="Q2433" s="0" t="s">
        <v>141</v>
      </c>
      <c r="R2433" s="0" t="s">
        <v>130</v>
      </c>
      <c r="S2433" s="14">
        <v>1</v>
      </c>
      <c r="T2433" s="0" t="s">
        <v>3562</v>
      </c>
      <c r="U2433" s="0" t="s">
        <v>221</v>
      </c>
      <c r="V2433" s="14" t="s">
        <v>3562</v>
      </c>
      <c r="W2433" s="0" t="s">
        <v>221</v>
      </c>
      <c r="X2433" s="14" t="s">
        <v>3562</v>
      </c>
      <c r="Y2433" s="0" t="s">
        <v>221</v>
      </c>
      <c r="Z2433" s="14" t="s">
        <v>2842</v>
      </c>
      <c r="AA2433" s="0" t="s">
        <v>223</v>
      </c>
      <c r="AB2433" s="14" t="s">
        <v>138</v>
      </c>
      <c r="AD2433" s="0" t="s">
        <v>20</v>
      </c>
      <c r="AF2433" s="0">
        <v>0</v>
      </c>
      <c r="AG2433" s="0">
        <v>0</v>
      </c>
      <c r="AH2433" s="0" t="s">
        <v>140</v>
      </c>
      <c r="AI2433" s="0" t="s">
        <v>598</v>
      </c>
      <c r="AK2433" s="0" t="s">
        <v>2044</v>
      </c>
      <c r="AL2433" s="14"/>
      <c r="AN2433" s="14"/>
      <c r="AQ2433" s="0" t="s">
        <v>130</v>
      </c>
      <c r="AR2433" s="0" t="s">
        <v>130</v>
      </c>
      <c r="AS2433" s="0" t="s">
        <v>130</v>
      </c>
      <c r="AT2433" s="0" t="s">
        <v>130</v>
      </c>
      <c r="AU2433" s="0" t="s">
        <v>130</v>
      </c>
      <c r="AV2433" s="0" t="s">
        <v>130</v>
      </c>
      <c r="AW2433" s="0" t="s">
        <v>130</v>
      </c>
      <c r="AX2433" s="0" t="s">
        <v>130</v>
      </c>
      <c r="AY2433" s="0" t="s">
        <v>130</v>
      </c>
      <c r="AZ2433" s="0" t="s">
        <v>130</v>
      </c>
      <c r="BA2433" s="0" t="s">
        <v>130</v>
      </c>
      <c r="BB2433" s="0" t="s">
        <v>141</v>
      </c>
      <c r="BC2433" s="0" t="s">
        <v>130</v>
      </c>
      <c r="BD2433" s="0" t="s">
        <v>130</v>
      </c>
      <c r="BE2433" s="0" t="s">
        <v>130</v>
      </c>
      <c r="BF2433" s="0" t="s">
        <v>130</v>
      </c>
      <c r="BG2433" s="0" t="s">
        <v>130</v>
      </c>
      <c r="BH2433" s="0" t="s">
        <v>130</v>
      </c>
      <c r="BI2433" s="0" t="s">
        <v>130</v>
      </c>
      <c r="BJ2433" s="0" t="s">
        <v>130</v>
      </c>
      <c r="BK2433" s="0" t="s">
        <v>130</v>
      </c>
      <c r="BL2433" s="0" t="s">
        <v>130</v>
      </c>
      <c r="BM2433" s="0" t="s">
        <v>130</v>
      </c>
      <c r="BN2433" s="0" t="s">
        <v>130</v>
      </c>
      <c r="BO2433" s="0" t="s">
        <v>130</v>
      </c>
      <c r="BP2433" s="0" t="s">
        <v>130</v>
      </c>
      <c r="BQ2433" s="0" t="s">
        <v>130</v>
      </c>
      <c r="BR2433" s="0" t="s">
        <v>130</v>
      </c>
      <c r="BS2433" s="0" t="s">
        <v>130</v>
      </c>
      <c r="BT2433" s="0" t="s">
        <v>130</v>
      </c>
      <c r="BU2433" s="0" t="s">
        <v>130</v>
      </c>
      <c r="BV2433" s="0" t="s">
        <v>130</v>
      </c>
      <c r="BW2433" s="0" t="s">
        <v>130</v>
      </c>
      <c r="BX2433" s="0" t="s">
        <v>130</v>
      </c>
      <c r="BY2433" s="0" t="s">
        <v>130</v>
      </c>
      <c r="BZ2433" s="0" t="s">
        <v>130</v>
      </c>
      <c r="CA2433" s="0" t="s">
        <v>130</v>
      </c>
      <c r="CB2433" s="0" t="s">
        <v>130</v>
      </c>
      <c r="CC2433" s="0" t="s">
        <v>130</v>
      </c>
      <c r="CD2433" s="0" t="s">
        <v>130</v>
      </c>
      <c r="CE2433" s="0" t="s">
        <v>130</v>
      </c>
      <c r="CF2433" s="0" t="s">
        <v>130</v>
      </c>
      <c r="CG2433" s="0" t="s">
        <v>130</v>
      </c>
      <c r="CH2433" s="0" t="s">
        <v>130</v>
      </c>
      <c r="CI2433" s="0" t="s">
        <v>130</v>
      </c>
      <c r="CJ2433" s="0" t="s">
        <v>130</v>
      </c>
      <c r="CK2433" s="0" t="s">
        <v>130</v>
      </c>
      <c r="CL2433" s="0" t="s">
        <v>130</v>
      </c>
      <c r="CM2433" s="0" t="s">
        <v>130</v>
      </c>
      <c r="CN2433" s="0" t="s">
        <v>130</v>
      </c>
      <c r="CO2433" s="0" t="s">
        <v>130</v>
      </c>
      <c r="CP2433" s="0" t="s">
        <v>130</v>
      </c>
      <c r="CQ2433" s="0" t="s">
        <v>130</v>
      </c>
      <c r="CR2433" s="0" t="s">
        <v>130</v>
      </c>
      <c r="CS2433" s="0" t="s">
        <v>130</v>
      </c>
      <c r="CT2433" s="0" t="s">
        <v>6644</v>
      </c>
    </row>
    <row r="2434">
      <c r="A2434" s="14">
        <v>17085420</v>
      </c>
      <c r="B2434" s="0" t="s">
        <v>4306</v>
      </c>
      <c r="C2434" s="16">
        <f>HYPERLINK("https://eosportal.federatedhermes.com/companies/Q29tcGFueQppNTIwNTI=", "Argenx SE")</f>
      </c>
      <c r="D2434" s="0" t="s">
        <v>25</v>
      </c>
      <c r="E2434" s="0" t="s">
        <v>341</v>
      </c>
      <c r="F2434" s="16">
        <f>HYPERLINK("https://eosportal.federatedhermes.com/engagements/RW5nYWdlbWVudAppMzM3Njg=", "Remuneration")</f>
      </c>
      <c r="G2434" s="14" t="s">
        <v>2696</v>
      </c>
      <c r="H2434" s="0" t="s">
        <v>130</v>
      </c>
      <c r="I2434" s="14" t="s">
        <v>319</v>
      </c>
      <c r="J2434" s="0" t="s">
        <v>145</v>
      </c>
      <c r="K2434" s="0" t="s">
        <v>146</v>
      </c>
      <c r="L2434" s="0" t="s">
        <v>147</v>
      </c>
      <c r="M2434" s="0" t="s">
        <v>378</v>
      </c>
      <c r="N2434" s="0" t="s">
        <v>2554</v>
      </c>
      <c r="O2434" s="0" t="s">
        <v>274</v>
      </c>
      <c r="Q2434" s="0" t="s">
        <v>141</v>
      </c>
      <c r="R2434" s="0" t="s">
        <v>138</v>
      </c>
      <c r="S2434" s="14">
        <v>1</v>
      </c>
      <c r="T2434" s="0" t="s">
        <v>3562</v>
      </c>
      <c r="U2434" s="0" t="s">
        <v>138</v>
      </c>
      <c r="V2434" s="14" t="s">
        <v>138</v>
      </c>
      <c r="W2434" s="0" t="s">
        <v>138</v>
      </c>
      <c r="X2434" s="14" t="s">
        <v>138</v>
      </c>
      <c r="Y2434" s="0" t="s">
        <v>138</v>
      </c>
      <c r="Z2434" s="14" t="s">
        <v>138</v>
      </c>
      <c r="AA2434" s="0" t="s">
        <v>138</v>
      </c>
      <c r="AB2434" s="14" t="s">
        <v>138</v>
      </c>
      <c r="AD2434" s="0" t="s">
        <v>138</v>
      </c>
      <c r="AF2434" s="0">
        <v>0</v>
      </c>
      <c r="AG2434" s="0">
        <v>0</v>
      </c>
      <c r="AH2434" s="0" t="s">
        <v>140</v>
      </c>
      <c r="AI2434" s="0" t="s">
        <v>138</v>
      </c>
      <c r="AK2434" s="0" t="s">
        <v>930</v>
      </c>
      <c r="AL2434" s="14"/>
      <c r="AN2434" s="14"/>
      <c r="AQ2434" s="0" t="s">
        <v>130</v>
      </c>
      <c r="AR2434" s="0" t="s">
        <v>130</v>
      </c>
      <c r="AS2434" s="0" t="s">
        <v>130</v>
      </c>
      <c r="AT2434" s="0" t="s">
        <v>130</v>
      </c>
      <c r="AU2434" s="0" t="s">
        <v>130</v>
      </c>
      <c r="AV2434" s="0" t="s">
        <v>130</v>
      </c>
      <c r="AW2434" s="0" t="s">
        <v>130</v>
      </c>
      <c r="AX2434" s="0" t="s">
        <v>130</v>
      </c>
      <c r="AY2434" s="0" t="s">
        <v>130</v>
      </c>
      <c r="AZ2434" s="0" t="s">
        <v>130</v>
      </c>
      <c r="BA2434" s="0" t="s">
        <v>130</v>
      </c>
      <c r="BB2434" s="0" t="s">
        <v>130</v>
      </c>
      <c r="BC2434" s="0" t="s">
        <v>130</v>
      </c>
      <c r="BD2434" s="0" t="s">
        <v>130</v>
      </c>
      <c r="BE2434" s="0" t="s">
        <v>130</v>
      </c>
      <c r="BF2434" s="0" t="s">
        <v>130</v>
      </c>
      <c r="BG2434" s="0" t="s">
        <v>130</v>
      </c>
      <c r="BH2434" s="0" t="s">
        <v>130</v>
      </c>
      <c r="BI2434" s="0" t="s">
        <v>130</v>
      </c>
      <c r="BJ2434" s="0" t="s">
        <v>130</v>
      </c>
      <c r="BK2434" s="0" t="s">
        <v>130</v>
      </c>
      <c r="BL2434" s="0" t="s">
        <v>130</v>
      </c>
      <c r="BM2434" s="0" t="s">
        <v>130</v>
      </c>
      <c r="BN2434" s="0" t="s">
        <v>130</v>
      </c>
      <c r="BO2434" s="0" t="s">
        <v>130</v>
      </c>
      <c r="BP2434" s="0" t="s">
        <v>130</v>
      </c>
      <c r="BQ2434" s="0" t="s">
        <v>130</v>
      </c>
      <c r="BR2434" s="0" t="s">
        <v>130</v>
      </c>
      <c r="BS2434" s="0" t="s">
        <v>130</v>
      </c>
      <c r="BT2434" s="0" t="s">
        <v>130</v>
      </c>
      <c r="BU2434" s="0" t="s">
        <v>130</v>
      </c>
      <c r="BV2434" s="0" t="s">
        <v>130</v>
      </c>
      <c r="BW2434" s="0" t="s">
        <v>130</v>
      </c>
      <c r="BX2434" s="0" t="s">
        <v>130</v>
      </c>
      <c r="BY2434" s="0" t="s">
        <v>130</v>
      </c>
      <c r="BZ2434" s="0" t="s">
        <v>130</v>
      </c>
      <c r="CA2434" s="0" t="s">
        <v>130</v>
      </c>
      <c r="CB2434" s="0" t="s">
        <v>130</v>
      </c>
      <c r="CC2434" s="0" t="s">
        <v>130</v>
      </c>
      <c r="CD2434" s="0" t="s">
        <v>130</v>
      </c>
      <c r="CE2434" s="0" t="s">
        <v>130</v>
      </c>
      <c r="CF2434" s="0" t="s">
        <v>130</v>
      </c>
      <c r="CG2434" s="0" t="s">
        <v>130</v>
      </c>
      <c r="CH2434" s="0" t="s">
        <v>130</v>
      </c>
      <c r="CI2434" s="0" t="s">
        <v>130</v>
      </c>
      <c r="CJ2434" s="0" t="s">
        <v>130</v>
      </c>
      <c r="CK2434" s="0" t="s">
        <v>130</v>
      </c>
      <c r="CL2434" s="0" t="s">
        <v>130</v>
      </c>
      <c r="CM2434" s="0" t="s">
        <v>130</v>
      </c>
      <c r="CN2434" s="0" t="s">
        <v>130</v>
      </c>
      <c r="CO2434" s="0" t="s">
        <v>130</v>
      </c>
      <c r="CP2434" s="0" t="s">
        <v>130</v>
      </c>
      <c r="CQ2434" s="0" t="s">
        <v>130</v>
      </c>
      <c r="CR2434" s="0" t="s">
        <v>130</v>
      </c>
      <c r="CS2434" s="0" t="s">
        <v>130</v>
      </c>
      <c r="CT2434" s="0" t="s">
        <v>6645</v>
      </c>
    </row>
    <row r="2435">
      <c r="A2435" s="14">
        <v>41633927</v>
      </c>
      <c r="B2435" s="0" t="s">
        <v>4569</v>
      </c>
      <c r="C2435" s="16">
        <f>HYPERLINK("https://eosportal.federatedhermes.com/companies/Q29tcGFueQppNTIxODI=", "Stellantis NV")</f>
      </c>
      <c r="D2435" s="0" t="s">
        <v>25</v>
      </c>
      <c r="E2435" s="0" t="s">
        <v>6646</v>
      </c>
      <c r="F2435" s="16">
        <f>HYPERLINK("https://eosportal.federatedhermes.com/engagements/RW5nYWdlbWVudAppMzM3Njk=", "Safety of workers")</f>
      </c>
      <c r="G2435" s="14" t="s">
        <v>6647</v>
      </c>
      <c r="H2435" s="0" t="s">
        <v>141</v>
      </c>
      <c r="I2435" s="14" t="s">
        <v>1645</v>
      </c>
      <c r="J2435" s="0" t="s">
        <v>153</v>
      </c>
      <c r="K2435" s="0" t="s">
        <v>154</v>
      </c>
      <c r="L2435" s="0" t="s">
        <v>155</v>
      </c>
      <c r="M2435" s="0" t="s">
        <v>378</v>
      </c>
      <c r="N2435" s="0" t="s">
        <v>2554</v>
      </c>
      <c r="O2435" s="0" t="s">
        <v>425</v>
      </c>
      <c r="Q2435" s="0" t="s">
        <v>130</v>
      </c>
      <c r="R2435" s="0" t="s">
        <v>138</v>
      </c>
      <c r="S2435" s="14">
        <v>0</v>
      </c>
      <c r="T2435" s="0" t="s">
        <v>3562</v>
      </c>
      <c r="U2435" s="0" t="s">
        <v>138</v>
      </c>
      <c r="V2435" s="14" t="s">
        <v>138</v>
      </c>
      <c r="W2435" s="0" t="s">
        <v>138</v>
      </c>
      <c r="X2435" s="14" t="s">
        <v>138</v>
      </c>
      <c r="Y2435" s="0" t="s">
        <v>138</v>
      </c>
      <c r="Z2435" s="14" t="s">
        <v>138</v>
      </c>
      <c r="AA2435" s="0" t="s">
        <v>138</v>
      </c>
      <c r="AB2435" s="14" t="s">
        <v>138</v>
      </c>
      <c r="AD2435" s="0" t="s">
        <v>138</v>
      </c>
      <c r="AF2435" s="0">
        <v>0</v>
      </c>
      <c r="AG2435" s="0">
        <v>0</v>
      </c>
      <c r="AH2435" s="0" t="s">
        <v>140</v>
      </c>
      <c r="AI2435" s="0" t="s">
        <v>138</v>
      </c>
      <c r="AL2435" s="14"/>
      <c r="AN2435" s="14"/>
      <c r="AQ2435" s="0" t="s">
        <v>130</v>
      </c>
      <c r="AR2435" s="0" t="s">
        <v>130</v>
      </c>
      <c r="AS2435" s="0" t="s">
        <v>141</v>
      </c>
      <c r="AT2435" s="0" t="s">
        <v>130</v>
      </c>
      <c r="AU2435" s="0" t="s">
        <v>130</v>
      </c>
      <c r="AV2435" s="0" t="s">
        <v>130</v>
      </c>
      <c r="AW2435" s="0" t="s">
        <v>130</v>
      </c>
      <c r="AX2435" s="0" t="s">
        <v>130</v>
      </c>
      <c r="AY2435" s="0" t="s">
        <v>130</v>
      </c>
      <c r="AZ2435" s="0" t="s">
        <v>130</v>
      </c>
      <c r="BA2435" s="0" t="s">
        <v>130</v>
      </c>
      <c r="BB2435" s="0" t="s">
        <v>130</v>
      </c>
      <c r="BC2435" s="0" t="s">
        <v>130</v>
      </c>
      <c r="BD2435" s="0" t="s">
        <v>130</v>
      </c>
      <c r="BE2435" s="0" t="s">
        <v>130</v>
      </c>
      <c r="BF2435" s="0" t="s">
        <v>130</v>
      </c>
      <c r="BG2435" s="0" t="s">
        <v>130</v>
      </c>
      <c r="BH2435" s="0" t="s">
        <v>130</v>
      </c>
      <c r="BI2435" s="0" t="s">
        <v>130</v>
      </c>
      <c r="BJ2435" s="0" t="s">
        <v>130</v>
      </c>
      <c r="BK2435" s="0" t="s">
        <v>130</v>
      </c>
      <c r="BL2435" s="0" t="s">
        <v>130</v>
      </c>
      <c r="BM2435" s="0" t="s">
        <v>130</v>
      </c>
      <c r="BN2435" s="0" t="s">
        <v>130</v>
      </c>
      <c r="BO2435" s="0" t="s">
        <v>130</v>
      </c>
      <c r="BP2435" s="0" t="s">
        <v>130</v>
      </c>
      <c r="BQ2435" s="0" t="s">
        <v>130</v>
      </c>
      <c r="BR2435" s="0" t="s">
        <v>130</v>
      </c>
      <c r="BS2435" s="0" t="s">
        <v>130</v>
      </c>
      <c r="BT2435" s="0" t="s">
        <v>130</v>
      </c>
      <c r="BU2435" s="0" t="s">
        <v>130</v>
      </c>
      <c r="BV2435" s="0" t="s">
        <v>130</v>
      </c>
      <c r="BW2435" s="0" t="s">
        <v>130</v>
      </c>
      <c r="BX2435" s="0" t="s">
        <v>130</v>
      </c>
      <c r="BY2435" s="0" t="s">
        <v>130</v>
      </c>
      <c r="BZ2435" s="0" t="s">
        <v>130</v>
      </c>
      <c r="CA2435" s="0" t="s">
        <v>130</v>
      </c>
      <c r="CB2435" s="0" t="s">
        <v>130</v>
      </c>
      <c r="CC2435" s="0" t="s">
        <v>130</v>
      </c>
      <c r="CD2435" s="0" t="s">
        <v>130</v>
      </c>
      <c r="CE2435" s="0" t="s">
        <v>130</v>
      </c>
      <c r="CF2435" s="0" t="s">
        <v>130</v>
      </c>
      <c r="CG2435" s="0" t="s">
        <v>130</v>
      </c>
      <c r="CH2435" s="0" t="s">
        <v>130</v>
      </c>
      <c r="CI2435" s="0" t="s">
        <v>141</v>
      </c>
      <c r="CJ2435" s="0" t="s">
        <v>130</v>
      </c>
      <c r="CK2435" s="0" t="s">
        <v>130</v>
      </c>
      <c r="CL2435" s="0" t="s">
        <v>130</v>
      </c>
      <c r="CM2435" s="0" t="s">
        <v>130</v>
      </c>
      <c r="CN2435" s="0" t="s">
        <v>130</v>
      </c>
      <c r="CO2435" s="0" t="s">
        <v>130</v>
      </c>
      <c r="CP2435" s="0" t="s">
        <v>130</v>
      </c>
      <c r="CQ2435" s="0" t="s">
        <v>130</v>
      </c>
      <c r="CR2435" s="0" t="s">
        <v>130</v>
      </c>
      <c r="CS2435" s="0" t="s">
        <v>130</v>
      </c>
      <c r="CT2435" s="0" t="s">
        <v>6648</v>
      </c>
    </row>
    <row r="2436">
      <c r="A2436" s="14">
        <v>60854400</v>
      </c>
      <c r="B2436" s="0" t="s">
        <v>4761</v>
      </c>
      <c r="C2436" s="16">
        <f>HYPERLINK("https://eosportal.federatedhermes.com/companies/Q29tcGFueQppODU0NTA=", "Walt Disney Co/The")</f>
      </c>
      <c r="D2436" s="0" t="s">
        <v>25</v>
      </c>
      <c r="E2436" s="0" t="s">
        <v>6649</v>
      </c>
      <c r="F2436" s="16">
        <f>HYPERLINK("https://eosportal.federatedhermes.com/engagements/RW5nYWdlbWVudAppMzM3NzY=", "Pay equity")</f>
      </c>
      <c r="G2436" s="14" t="s">
        <v>6650</v>
      </c>
      <c r="H2436" s="0" t="s">
        <v>141</v>
      </c>
      <c r="I2436" s="14" t="s">
        <v>636</v>
      </c>
      <c r="J2436" s="0" t="s">
        <v>153</v>
      </c>
      <c r="K2436" s="0" t="s">
        <v>154</v>
      </c>
      <c r="L2436" s="0" t="s">
        <v>268</v>
      </c>
      <c r="M2436" s="0" t="s">
        <v>135</v>
      </c>
      <c r="N2436" s="0" t="s">
        <v>136</v>
      </c>
      <c r="O2436" s="0" t="s">
        <v>137</v>
      </c>
      <c r="Q2436" s="0" t="s">
        <v>130</v>
      </c>
      <c r="R2436" s="0" t="s">
        <v>138</v>
      </c>
      <c r="S2436" s="14">
        <v>0</v>
      </c>
      <c r="T2436" s="0" t="s">
        <v>3562</v>
      </c>
      <c r="U2436" s="0" t="s">
        <v>138</v>
      </c>
      <c r="V2436" s="14" t="s">
        <v>138</v>
      </c>
      <c r="W2436" s="0" t="s">
        <v>138</v>
      </c>
      <c r="X2436" s="14" t="s">
        <v>138</v>
      </c>
      <c r="Y2436" s="0" t="s">
        <v>138</v>
      </c>
      <c r="Z2436" s="14" t="s">
        <v>138</v>
      </c>
      <c r="AA2436" s="0" t="s">
        <v>138</v>
      </c>
      <c r="AB2436" s="14" t="s">
        <v>138</v>
      </c>
      <c r="AD2436" s="0" t="s">
        <v>138</v>
      </c>
      <c r="AF2436" s="0">
        <v>0</v>
      </c>
      <c r="AG2436" s="0">
        <v>0</v>
      </c>
      <c r="AH2436" s="0" t="s">
        <v>140</v>
      </c>
      <c r="AI2436" s="0" t="s">
        <v>138</v>
      </c>
      <c r="AL2436" s="14"/>
      <c r="AN2436" s="14"/>
      <c r="AQ2436" s="0" t="s">
        <v>130</v>
      </c>
      <c r="AR2436" s="0" t="s">
        <v>130</v>
      </c>
      <c r="AS2436" s="0" t="s">
        <v>130</v>
      </c>
      <c r="AT2436" s="0" t="s">
        <v>130</v>
      </c>
      <c r="AU2436" s="0" t="s">
        <v>130</v>
      </c>
      <c r="AV2436" s="0" t="s">
        <v>130</v>
      </c>
      <c r="AW2436" s="0" t="s">
        <v>130</v>
      </c>
      <c r="AX2436" s="0" t="s">
        <v>141</v>
      </c>
      <c r="AY2436" s="0" t="s">
        <v>130</v>
      </c>
      <c r="AZ2436" s="0" t="s">
        <v>141</v>
      </c>
      <c r="BA2436" s="0" t="s">
        <v>130</v>
      </c>
      <c r="BB2436" s="0" t="s">
        <v>130</v>
      </c>
      <c r="BC2436" s="0" t="s">
        <v>130</v>
      </c>
      <c r="BD2436" s="0" t="s">
        <v>130</v>
      </c>
      <c r="BE2436" s="0" t="s">
        <v>130</v>
      </c>
      <c r="BF2436" s="0" t="s">
        <v>130</v>
      </c>
      <c r="BG2436" s="0" t="s">
        <v>130</v>
      </c>
      <c r="BH2436" s="0" t="s">
        <v>130</v>
      </c>
      <c r="BI2436" s="0" t="s">
        <v>130</v>
      </c>
      <c r="BJ2436" s="0" t="s">
        <v>130</v>
      </c>
      <c r="BK2436" s="0" t="s">
        <v>130</v>
      </c>
      <c r="BL2436" s="0" t="s">
        <v>130</v>
      </c>
      <c r="BM2436" s="0" t="s">
        <v>130</v>
      </c>
      <c r="BN2436" s="0" t="s">
        <v>130</v>
      </c>
      <c r="BO2436" s="0" t="s">
        <v>130</v>
      </c>
      <c r="BP2436" s="0" t="s">
        <v>130</v>
      </c>
      <c r="BQ2436" s="0" t="s">
        <v>130</v>
      </c>
      <c r="BR2436" s="0" t="s">
        <v>130</v>
      </c>
      <c r="BS2436" s="0" t="s">
        <v>130</v>
      </c>
      <c r="BT2436" s="0" t="s">
        <v>130</v>
      </c>
      <c r="BU2436" s="0" t="s">
        <v>130</v>
      </c>
      <c r="BV2436" s="0" t="s">
        <v>130</v>
      </c>
      <c r="BW2436" s="0" t="s">
        <v>130</v>
      </c>
      <c r="BX2436" s="0" t="s">
        <v>130</v>
      </c>
      <c r="BY2436" s="0" t="s">
        <v>130</v>
      </c>
      <c r="BZ2436" s="0" t="s">
        <v>130</v>
      </c>
      <c r="CA2436" s="0" t="s">
        <v>130</v>
      </c>
      <c r="CB2436" s="0" t="s">
        <v>130</v>
      </c>
      <c r="CC2436" s="0" t="s">
        <v>130</v>
      </c>
      <c r="CD2436" s="0" t="s">
        <v>130</v>
      </c>
      <c r="CE2436" s="0" t="s">
        <v>130</v>
      </c>
      <c r="CF2436" s="0" t="s">
        <v>130</v>
      </c>
      <c r="CG2436" s="0" t="s">
        <v>130</v>
      </c>
      <c r="CH2436" s="0" t="s">
        <v>130</v>
      </c>
      <c r="CI2436" s="0" t="s">
        <v>130</v>
      </c>
      <c r="CJ2436" s="0" t="s">
        <v>130</v>
      </c>
      <c r="CK2436" s="0" t="s">
        <v>141</v>
      </c>
      <c r="CL2436" s="0" t="s">
        <v>130</v>
      </c>
      <c r="CM2436" s="0" t="s">
        <v>130</v>
      </c>
      <c r="CN2436" s="0" t="s">
        <v>130</v>
      </c>
      <c r="CO2436" s="0" t="s">
        <v>130</v>
      </c>
      <c r="CP2436" s="0" t="s">
        <v>130</v>
      </c>
      <c r="CQ2436" s="0" t="s">
        <v>130</v>
      </c>
      <c r="CR2436" s="0" t="s">
        <v>130</v>
      </c>
      <c r="CS2436" s="0" t="s">
        <v>130</v>
      </c>
      <c r="CT2436" s="0" t="s">
        <v>6651</v>
      </c>
    </row>
    <row r="2437">
      <c r="A2437" s="14">
        <v>9545052</v>
      </c>
      <c r="B2437" s="0" t="s">
        <v>127</v>
      </c>
      <c r="C2437" s="16">
        <f>HYPERLINK("https://eosportal.federatedhermes.com/companies/Q29tcGFueQppODM4MjI=", "Warner Bros Discovery Inc")</f>
      </c>
      <c r="D2437" s="0" t="s">
        <v>25</v>
      </c>
      <c r="E2437" s="0" t="s">
        <v>6652</v>
      </c>
      <c r="F2437" s="16">
        <f>HYPERLINK("https://eosportal.federatedhermes.com/engagements/RW5nYWdlbWVudAppMzM3Nzg=", "Board ESG Expertise")</f>
      </c>
      <c r="G2437" s="14" t="s">
        <v>6653</v>
      </c>
      <c r="H2437" s="0" t="s">
        <v>130</v>
      </c>
      <c r="I2437" s="14" t="s">
        <v>131</v>
      </c>
      <c r="J2437" s="0" t="s">
        <v>145</v>
      </c>
      <c r="K2437" s="0" t="s">
        <v>164</v>
      </c>
      <c r="L2437" s="0" t="s">
        <v>165</v>
      </c>
      <c r="M2437" s="0" t="s">
        <v>135</v>
      </c>
      <c r="N2437" s="0" t="s">
        <v>136</v>
      </c>
      <c r="O2437" s="0" t="s">
        <v>137</v>
      </c>
      <c r="Q2437" s="0" t="s">
        <v>130</v>
      </c>
      <c r="R2437" s="0" t="s">
        <v>138</v>
      </c>
      <c r="S2437" s="14">
        <v>0</v>
      </c>
      <c r="T2437" s="0" t="s">
        <v>3562</v>
      </c>
      <c r="U2437" s="0" t="s">
        <v>138</v>
      </c>
      <c r="V2437" s="14" t="s">
        <v>138</v>
      </c>
      <c r="W2437" s="0" t="s">
        <v>138</v>
      </c>
      <c r="X2437" s="14" t="s">
        <v>138</v>
      </c>
      <c r="Y2437" s="0" t="s">
        <v>138</v>
      </c>
      <c r="Z2437" s="14" t="s">
        <v>138</v>
      </c>
      <c r="AA2437" s="0" t="s">
        <v>138</v>
      </c>
      <c r="AB2437" s="14" t="s">
        <v>138</v>
      </c>
      <c r="AD2437" s="0" t="s">
        <v>138</v>
      </c>
      <c r="AF2437" s="0">
        <v>0</v>
      </c>
      <c r="AG2437" s="0">
        <v>0</v>
      </c>
      <c r="AH2437" s="0" t="s">
        <v>140</v>
      </c>
      <c r="AI2437" s="0" t="s">
        <v>138</v>
      </c>
      <c r="AL2437" s="14"/>
      <c r="AN2437" s="14"/>
      <c r="AQ2437" s="0" t="s">
        <v>130</v>
      </c>
      <c r="AR2437" s="0" t="s">
        <v>130</v>
      </c>
      <c r="AS2437" s="0" t="s">
        <v>130</v>
      </c>
      <c r="AT2437" s="0" t="s">
        <v>130</v>
      </c>
      <c r="AU2437" s="0" t="s">
        <v>130</v>
      </c>
      <c r="AV2437" s="0" t="s">
        <v>130</v>
      </c>
      <c r="AW2437" s="0" t="s">
        <v>130</v>
      </c>
      <c r="AX2437" s="0" t="s">
        <v>130</v>
      </c>
      <c r="AY2437" s="0" t="s">
        <v>130</v>
      </c>
      <c r="AZ2437" s="0" t="s">
        <v>130</v>
      </c>
      <c r="BA2437" s="0" t="s">
        <v>130</v>
      </c>
      <c r="BB2437" s="0" t="s">
        <v>130</v>
      </c>
      <c r="BC2437" s="0" t="s">
        <v>130</v>
      </c>
      <c r="BD2437" s="0" t="s">
        <v>130</v>
      </c>
      <c r="BE2437" s="0" t="s">
        <v>130</v>
      </c>
      <c r="BF2437" s="0" t="s">
        <v>130</v>
      </c>
      <c r="BG2437" s="0" t="s">
        <v>130</v>
      </c>
      <c r="BH2437" s="0" t="s">
        <v>130</v>
      </c>
      <c r="BI2437" s="0" t="s">
        <v>130</v>
      </c>
      <c r="BJ2437" s="0" t="s">
        <v>130</v>
      </c>
      <c r="BK2437" s="0" t="s">
        <v>130</v>
      </c>
      <c r="BL2437" s="0" t="s">
        <v>130</v>
      </c>
      <c r="BM2437" s="0" t="s">
        <v>130</v>
      </c>
      <c r="BN2437" s="0" t="s">
        <v>130</v>
      </c>
      <c r="BO2437" s="0" t="s">
        <v>130</v>
      </c>
      <c r="BP2437" s="0" t="s">
        <v>130</v>
      </c>
      <c r="BQ2437" s="0" t="s">
        <v>130</v>
      </c>
      <c r="BR2437" s="0" t="s">
        <v>130</v>
      </c>
      <c r="BS2437" s="0" t="s">
        <v>130</v>
      </c>
      <c r="BT2437" s="0" t="s">
        <v>130</v>
      </c>
      <c r="BU2437" s="0" t="s">
        <v>130</v>
      </c>
      <c r="BV2437" s="0" t="s">
        <v>130</v>
      </c>
      <c r="BW2437" s="0" t="s">
        <v>130</v>
      </c>
      <c r="BX2437" s="0" t="s">
        <v>130</v>
      </c>
      <c r="BY2437" s="0" t="s">
        <v>130</v>
      </c>
      <c r="BZ2437" s="0" t="s">
        <v>130</v>
      </c>
      <c r="CA2437" s="0" t="s">
        <v>130</v>
      </c>
      <c r="CB2437" s="0" t="s">
        <v>130</v>
      </c>
      <c r="CC2437" s="0" t="s">
        <v>130</v>
      </c>
      <c r="CD2437" s="0" t="s">
        <v>130</v>
      </c>
      <c r="CE2437" s="0" t="s">
        <v>130</v>
      </c>
      <c r="CF2437" s="0" t="s">
        <v>130</v>
      </c>
      <c r="CG2437" s="0" t="s">
        <v>130</v>
      </c>
      <c r="CH2437" s="0" t="s">
        <v>130</v>
      </c>
      <c r="CI2437" s="0" t="s">
        <v>130</v>
      </c>
      <c r="CJ2437" s="0" t="s">
        <v>130</v>
      </c>
      <c r="CK2437" s="0" t="s">
        <v>130</v>
      </c>
      <c r="CL2437" s="0" t="s">
        <v>130</v>
      </c>
      <c r="CM2437" s="0" t="s">
        <v>130</v>
      </c>
      <c r="CN2437" s="0" t="s">
        <v>130</v>
      </c>
      <c r="CO2437" s="0" t="s">
        <v>130</v>
      </c>
      <c r="CP2437" s="0" t="s">
        <v>130</v>
      </c>
      <c r="CQ2437" s="0" t="s">
        <v>130</v>
      </c>
      <c r="CR2437" s="0" t="s">
        <v>130</v>
      </c>
      <c r="CS2437" s="0" t="s">
        <v>130</v>
      </c>
      <c r="CT2437" s="0" t="s">
        <v>6654</v>
      </c>
    </row>
    <row r="2438">
      <c r="A2438" s="14">
        <v>9545052</v>
      </c>
      <c r="B2438" s="0" t="s">
        <v>127</v>
      </c>
      <c r="C2438" s="16">
        <f>HYPERLINK("https://eosportal.federatedhermes.com/companies/Q29tcGFueQppODM4MjI=", "Warner Bros Discovery Inc")</f>
      </c>
      <c r="D2438" s="0" t="s">
        <v>25</v>
      </c>
      <c r="E2438" s="0" t="s">
        <v>821</v>
      </c>
      <c r="F2438" s="16">
        <f>HYPERLINK("https://eosportal.federatedhermes.com/engagements/RW5nYWdlbWVudAppMzM3Nzk=", "Board Diversity")</f>
      </c>
      <c r="G2438" s="14" t="s">
        <v>6655</v>
      </c>
      <c r="H2438" s="0" t="s">
        <v>130</v>
      </c>
      <c r="I2438" s="14" t="s">
        <v>131</v>
      </c>
      <c r="J2438" s="0" t="s">
        <v>145</v>
      </c>
      <c r="K2438" s="0" t="s">
        <v>164</v>
      </c>
      <c r="L2438" s="0" t="s">
        <v>165</v>
      </c>
      <c r="M2438" s="0" t="s">
        <v>135</v>
      </c>
      <c r="N2438" s="0" t="s">
        <v>136</v>
      </c>
      <c r="O2438" s="0" t="s">
        <v>137</v>
      </c>
      <c r="Q2438" s="0" t="s">
        <v>130</v>
      </c>
      <c r="R2438" s="0" t="s">
        <v>138</v>
      </c>
      <c r="S2438" s="14">
        <v>0</v>
      </c>
      <c r="T2438" s="0" t="s">
        <v>3562</v>
      </c>
      <c r="U2438" s="0" t="s">
        <v>138</v>
      </c>
      <c r="V2438" s="14" t="s">
        <v>138</v>
      </c>
      <c r="W2438" s="0" t="s">
        <v>138</v>
      </c>
      <c r="X2438" s="14" t="s">
        <v>138</v>
      </c>
      <c r="Y2438" s="0" t="s">
        <v>138</v>
      </c>
      <c r="Z2438" s="14" t="s">
        <v>138</v>
      </c>
      <c r="AA2438" s="0" t="s">
        <v>138</v>
      </c>
      <c r="AB2438" s="14" t="s">
        <v>138</v>
      </c>
      <c r="AD2438" s="0" t="s">
        <v>138</v>
      </c>
      <c r="AF2438" s="0">
        <v>0</v>
      </c>
      <c r="AG2438" s="0">
        <v>0</v>
      </c>
      <c r="AH2438" s="0" t="s">
        <v>140</v>
      </c>
      <c r="AI2438" s="0" t="s">
        <v>138</v>
      </c>
      <c r="AL2438" s="14"/>
      <c r="AN2438" s="14"/>
      <c r="AQ2438" s="0" t="s">
        <v>130</v>
      </c>
      <c r="AR2438" s="0" t="s">
        <v>130</v>
      </c>
      <c r="AS2438" s="0" t="s">
        <v>130</v>
      </c>
      <c r="AT2438" s="0" t="s">
        <v>130</v>
      </c>
      <c r="AU2438" s="0" t="s">
        <v>141</v>
      </c>
      <c r="AV2438" s="0" t="s">
        <v>130</v>
      </c>
      <c r="AW2438" s="0" t="s">
        <v>130</v>
      </c>
      <c r="AX2438" s="0" t="s">
        <v>130</v>
      </c>
      <c r="AY2438" s="0" t="s">
        <v>130</v>
      </c>
      <c r="AZ2438" s="0" t="s">
        <v>141</v>
      </c>
      <c r="BA2438" s="0" t="s">
        <v>130</v>
      </c>
      <c r="BB2438" s="0" t="s">
        <v>130</v>
      </c>
      <c r="BC2438" s="0" t="s">
        <v>130</v>
      </c>
      <c r="BD2438" s="0" t="s">
        <v>130</v>
      </c>
      <c r="BE2438" s="0" t="s">
        <v>130</v>
      </c>
      <c r="BF2438" s="0" t="s">
        <v>130</v>
      </c>
      <c r="BG2438" s="0" t="s">
        <v>130</v>
      </c>
      <c r="BH2438" s="0" t="s">
        <v>130</v>
      </c>
      <c r="BI2438" s="0" t="s">
        <v>130</v>
      </c>
      <c r="BJ2438" s="0" t="s">
        <v>130</v>
      </c>
      <c r="BK2438" s="0" t="s">
        <v>130</v>
      </c>
      <c r="BL2438" s="0" t="s">
        <v>130</v>
      </c>
      <c r="BM2438" s="0" t="s">
        <v>130</v>
      </c>
      <c r="BN2438" s="0" t="s">
        <v>130</v>
      </c>
      <c r="BO2438" s="0" t="s">
        <v>130</v>
      </c>
      <c r="BP2438" s="0" t="s">
        <v>130</v>
      </c>
      <c r="BQ2438" s="0" t="s">
        <v>141</v>
      </c>
      <c r="BR2438" s="0" t="s">
        <v>130</v>
      </c>
      <c r="BS2438" s="0" t="s">
        <v>130</v>
      </c>
      <c r="BT2438" s="0" t="s">
        <v>130</v>
      </c>
      <c r="BU2438" s="0" t="s">
        <v>130</v>
      </c>
      <c r="BV2438" s="0" t="s">
        <v>130</v>
      </c>
      <c r="BW2438" s="0" t="s">
        <v>130</v>
      </c>
      <c r="BX2438" s="0" t="s">
        <v>130</v>
      </c>
      <c r="BY2438" s="0" t="s">
        <v>130</v>
      </c>
      <c r="BZ2438" s="0" t="s">
        <v>130</v>
      </c>
      <c r="CA2438" s="0" t="s">
        <v>130</v>
      </c>
      <c r="CB2438" s="0" t="s">
        <v>130</v>
      </c>
      <c r="CC2438" s="0" t="s">
        <v>130</v>
      </c>
      <c r="CD2438" s="0" t="s">
        <v>130</v>
      </c>
      <c r="CE2438" s="0" t="s">
        <v>130</v>
      </c>
      <c r="CF2438" s="0" t="s">
        <v>130</v>
      </c>
      <c r="CG2438" s="0" t="s">
        <v>130</v>
      </c>
      <c r="CH2438" s="0" t="s">
        <v>130</v>
      </c>
      <c r="CI2438" s="0" t="s">
        <v>130</v>
      </c>
      <c r="CJ2438" s="0" t="s">
        <v>130</v>
      </c>
      <c r="CK2438" s="0" t="s">
        <v>130</v>
      </c>
      <c r="CL2438" s="0" t="s">
        <v>130</v>
      </c>
      <c r="CM2438" s="0" t="s">
        <v>130</v>
      </c>
      <c r="CN2438" s="0" t="s">
        <v>130</v>
      </c>
      <c r="CO2438" s="0" t="s">
        <v>130</v>
      </c>
      <c r="CP2438" s="0" t="s">
        <v>130</v>
      </c>
      <c r="CQ2438" s="0" t="s">
        <v>130</v>
      </c>
      <c r="CR2438" s="0" t="s">
        <v>130</v>
      </c>
      <c r="CS2438" s="0" t="s">
        <v>130</v>
      </c>
      <c r="CT2438" s="0" t="s">
        <v>6656</v>
      </c>
    </row>
    <row r="2439">
      <c r="A2439" s="14">
        <v>111093</v>
      </c>
      <c r="B2439" s="0" t="s">
        <v>270</v>
      </c>
      <c r="C2439" s="16">
        <f>HYPERLINK("https://eosportal.federatedhermes.com/companies/Q29tcGFueQppNzY2OTg=", "AstraZeneca PLC")</f>
      </c>
      <c r="D2439" s="0" t="s">
        <v>25</v>
      </c>
      <c r="E2439" s="0" t="s">
        <v>6657</v>
      </c>
      <c r="F2439" s="16">
        <f>HYPERLINK("https://eosportal.federatedhermes.com/engagements/RW5nYWdlbWVudAppMzM3ODQ=", "AI governance")</f>
      </c>
      <c r="G2439" s="14" t="s">
        <v>6658</v>
      </c>
      <c r="H2439" s="0" t="s">
        <v>141</v>
      </c>
      <c r="I2439" s="14" t="s">
        <v>131</v>
      </c>
      <c r="J2439" s="0" t="s">
        <v>153</v>
      </c>
      <c r="K2439" s="0" t="s">
        <v>243</v>
      </c>
      <c r="L2439" s="0" t="s">
        <v>537</v>
      </c>
      <c r="M2439" s="0" t="s">
        <v>272</v>
      </c>
      <c r="N2439" s="0" t="s">
        <v>273</v>
      </c>
      <c r="O2439" s="0" t="s">
        <v>274</v>
      </c>
      <c r="Q2439" s="0" t="s">
        <v>130</v>
      </c>
      <c r="R2439" s="0" t="s">
        <v>138</v>
      </c>
      <c r="S2439" s="14">
        <v>0</v>
      </c>
      <c r="T2439" s="0" t="s">
        <v>3562</v>
      </c>
      <c r="U2439" s="0" t="s">
        <v>138</v>
      </c>
      <c r="V2439" s="14" t="s">
        <v>138</v>
      </c>
      <c r="W2439" s="0" t="s">
        <v>138</v>
      </c>
      <c r="X2439" s="14" t="s">
        <v>138</v>
      </c>
      <c r="Y2439" s="0" t="s">
        <v>138</v>
      </c>
      <c r="Z2439" s="14" t="s">
        <v>138</v>
      </c>
      <c r="AA2439" s="0" t="s">
        <v>138</v>
      </c>
      <c r="AB2439" s="14" t="s">
        <v>138</v>
      </c>
      <c r="AD2439" s="0" t="s">
        <v>138</v>
      </c>
      <c r="AF2439" s="0">
        <v>0</v>
      </c>
      <c r="AG2439" s="0">
        <v>0</v>
      </c>
      <c r="AH2439" s="0" t="s">
        <v>140</v>
      </c>
      <c r="AI2439" s="0" t="s">
        <v>138</v>
      </c>
      <c r="AL2439" s="14"/>
      <c r="AN2439" s="14"/>
      <c r="AQ2439" s="0" t="s">
        <v>130</v>
      </c>
      <c r="AR2439" s="0" t="s">
        <v>130</v>
      </c>
      <c r="AS2439" s="0" t="s">
        <v>130</v>
      </c>
      <c r="AT2439" s="0" t="s">
        <v>130</v>
      </c>
      <c r="AU2439" s="0" t="s">
        <v>130</v>
      </c>
      <c r="AV2439" s="0" t="s">
        <v>130</v>
      </c>
      <c r="AW2439" s="0" t="s">
        <v>130</v>
      </c>
      <c r="AX2439" s="0" t="s">
        <v>130</v>
      </c>
      <c r="AY2439" s="0" t="s">
        <v>130</v>
      </c>
      <c r="AZ2439" s="0" t="s">
        <v>130</v>
      </c>
      <c r="BA2439" s="0" t="s">
        <v>130</v>
      </c>
      <c r="BB2439" s="0" t="s">
        <v>130</v>
      </c>
      <c r="BC2439" s="0" t="s">
        <v>130</v>
      </c>
      <c r="BD2439" s="0" t="s">
        <v>130</v>
      </c>
      <c r="BE2439" s="0" t="s">
        <v>130</v>
      </c>
      <c r="BF2439" s="0" t="s">
        <v>141</v>
      </c>
      <c r="BG2439" s="0" t="s">
        <v>130</v>
      </c>
      <c r="BH2439" s="0" t="s">
        <v>130</v>
      </c>
      <c r="BI2439" s="0" t="s">
        <v>130</v>
      </c>
      <c r="BJ2439" s="0" t="s">
        <v>130</v>
      </c>
      <c r="BK2439" s="0" t="s">
        <v>130</v>
      </c>
      <c r="BL2439" s="0" t="s">
        <v>130</v>
      </c>
      <c r="BM2439" s="0" t="s">
        <v>130</v>
      </c>
      <c r="BN2439" s="0" t="s">
        <v>130</v>
      </c>
      <c r="BO2439" s="0" t="s">
        <v>130</v>
      </c>
      <c r="BP2439" s="0" t="s">
        <v>130</v>
      </c>
      <c r="BQ2439" s="0" t="s">
        <v>130</v>
      </c>
      <c r="BR2439" s="0" t="s">
        <v>130</v>
      </c>
      <c r="BS2439" s="0" t="s">
        <v>130</v>
      </c>
      <c r="BT2439" s="0" t="s">
        <v>130</v>
      </c>
      <c r="BU2439" s="0" t="s">
        <v>130</v>
      </c>
      <c r="BV2439" s="0" t="s">
        <v>130</v>
      </c>
      <c r="BW2439" s="0" t="s">
        <v>130</v>
      </c>
      <c r="BX2439" s="0" t="s">
        <v>130</v>
      </c>
      <c r="BY2439" s="0" t="s">
        <v>130</v>
      </c>
      <c r="BZ2439" s="0" t="s">
        <v>130</v>
      </c>
      <c r="CA2439" s="0" t="s">
        <v>130</v>
      </c>
      <c r="CB2439" s="0" t="s">
        <v>130</v>
      </c>
      <c r="CC2439" s="0" t="s">
        <v>130</v>
      </c>
      <c r="CD2439" s="0" t="s">
        <v>130</v>
      </c>
      <c r="CE2439" s="0" t="s">
        <v>130</v>
      </c>
      <c r="CF2439" s="0" t="s">
        <v>130</v>
      </c>
      <c r="CG2439" s="0" t="s">
        <v>130</v>
      </c>
      <c r="CH2439" s="0" t="s">
        <v>130</v>
      </c>
      <c r="CI2439" s="0" t="s">
        <v>130</v>
      </c>
      <c r="CJ2439" s="0" t="s">
        <v>130</v>
      </c>
      <c r="CK2439" s="0" t="s">
        <v>130</v>
      </c>
      <c r="CL2439" s="0" t="s">
        <v>130</v>
      </c>
      <c r="CM2439" s="0" t="s">
        <v>130</v>
      </c>
      <c r="CN2439" s="0" t="s">
        <v>130</v>
      </c>
      <c r="CO2439" s="0" t="s">
        <v>130</v>
      </c>
      <c r="CP2439" s="0" t="s">
        <v>130</v>
      </c>
      <c r="CQ2439" s="0" t="s">
        <v>130</v>
      </c>
      <c r="CR2439" s="0" t="s">
        <v>130</v>
      </c>
      <c r="CS2439" s="0" t="s">
        <v>130</v>
      </c>
      <c r="CT2439" s="0" t="s">
        <v>6659</v>
      </c>
    </row>
    <row r="2440">
      <c r="A2440" s="14">
        <v>171258</v>
      </c>
      <c r="B2440" s="0" t="s">
        <v>3052</v>
      </c>
      <c r="C2440" s="16">
        <f>HYPERLINK("https://eosportal.federatedhermes.com/companies/Q29tcGFueQppNjc3MzQ=", "Credicorp Ltd")</f>
      </c>
      <c r="D2440" s="0" t="s">
        <v>23</v>
      </c>
      <c r="E2440" s="0" t="s">
        <v>6660</v>
      </c>
      <c r="F2440" s="16">
        <f>HYPERLINK("https://eosportal.federatedhermes.com/engagements/RW5nYWdlbWVudAppMzM3ODY=", "Mental Health in the Workplace")</f>
      </c>
      <c r="G2440" s="14" t="s">
        <v>6661</v>
      </c>
      <c r="H2440" s="0" t="s">
        <v>130</v>
      </c>
      <c r="I2440" s="14" t="s">
        <v>131</v>
      </c>
      <c r="J2440" s="0" t="s">
        <v>153</v>
      </c>
      <c r="K2440" s="0" t="s">
        <v>154</v>
      </c>
      <c r="L2440" s="0" t="s">
        <v>155</v>
      </c>
      <c r="M2440" s="0" t="s">
        <v>2807</v>
      </c>
      <c r="N2440" s="0" t="s">
        <v>3055</v>
      </c>
      <c r="O2440" s="0" t="s">
        <v>238</v>
      </c>
      <c r="Q2440" s="0" t="s">
        <v>130</v>
      </c>
      <c r="R2440" s="0" t="s">
        <v>130</v>
      </c>
      <c r="S2440" s="14">
        <v>0</v>
      </c>
      <c r="T2440" s="0" t="s">
        <v>3562</v>
      </c>
      <c r="U2440" s="0" t="s">
        <v>221</v>
      </c>
      <c r="V2440" s="14" t="s">
        <v>3562</v>
      </c>
      <c r="W2440" s="0" t="s">
        <v>221</v>
      </c>
      <c r="X2440" s="14" t="s">
        <v>2842</v>
      </c>
      <c r="Y2440" s="0" t="s">
        <v>223</v>
      </c>
      <c r="Z2440" s="14" t="s">
        <v>138</v>
      </c>
      <c r="AA2440" s="0" t="s">
        <v>224</v>
      </c>
      <c r="AB2440" s="14" t="s">
        <v>138</v>
      </c>
      <c r="AD2440" s="0" t="s">
        <v>17</v>
      </c>
      <c r="AF2440" s="0">
        <v>0</v>
      </c>
      <c r="AG2440" s="0">
        <v>0</v>
      </c>
      <c r="AH2440" s="0" t="s">
        <v>140</v>
      </c>
      <c r="AI2440" s="0" t="s">
        <v>598</v>
      </c>
      <c r="AL2440" s="14"/>
      <c r="AN2440" s="14"/>
      <c r="AQ2440" s="0" t="s">
        <v>130</v>
      </c>
      <c r="AR2440" s="0" t="s">
        <v>130</v>
      </c>
      <c r="AS2440" s="0" t="s">
        <v>141</v>
      </c>
      <c r="AT2440" s="0" t="s">
        <v>130</v>
      </c>
      <c r="AU2440" s="0" t="s">
        <v>130</v>
      </c>
      <c r="AV2440" s="0" t="s">
        <v>130</v>
      </c>
      <c r="AW2440" s="0" t="s">
        <v>130</v>
      </c>
      <c r="AX2440" s="0" t="s">
        <v>141</v>
      </c>
      <c r="AY2440" s="0" t="s">
        <v>130</v>
      </c>
      <c r="AZ2440" s="0" t="s">
        <v>130</v>
      </c>
      <c r="BA2440" s="0" t="s">
        <v>130</v>
      </c>
      <c r="BB2440" s="0" t="s">
        <v>130</v>
      </c>
      <c r="BC2440" s="0" t="s">
        <v>130</v>
      </c>
      <c r="BD2440" s="0" t="s">
        <v>130</v>
      </c>
      <c r="BE2440" s="0" t="s">
        <v>130</v>
      </c>
      <c r="BF2440" s="0" t="s">
        <v>130</v>
      </c>
      <c r="BG2440" s="0" t="s">
        <v>130</v>
      </c>
      <c r="BH2440" s="0" t="s">
        <v>130</v>
      </c>
      <c r="BI2440" s="0" t="s">
        <v>130</v>
      </c>
      <c r="BJ2440" s="0" t="s">
        <v>130</v>
      </c>
      <c r="BK2440" s="0" t="s">
        <v>130</v>
      </c>
      <c r="BL2440" s="0" t="s">
        <v>130</v>
      </c>
      <c r="BM2440" s="0" t="s">
        <v>130</v>
      </c>
      <c r="BN2440" s="0" t="s">
        <v>130</v>
      </c>
      <c r="BO2440" s="0" t="s">
        <v>130</v>
      </c>
      <c r="BP2440" s="0" t="s">
        <v>130</v>
      </c>
      <c r="BQ2440" s="0" t="s">
        <v>130</v>
      </c>
      <c r="BR2440" s="0" t="s">
        <v>130</v>
      </c>
      <c r="BS2440" s="0" t="s">
        <v>130</v>
      </c>
      <c r="BT2440" s="0" t="s">
        <v>130</v>
      </c>
      <c r="BU2440" s="0" t="s">
        <v>130</v>
      </c>
      <c r="BV2440" s="0" t="s">
        <v>130</v>
      </c>
      <c r="BW2440" s="0" t="s">
        <v>130</v>
      </c>
      <c r="BX2440" s="0" t="s">
        <v>130</v>
      </c>
      <c r="BY2440" s="0" t="s">
        <v>130</v>
      </c>
      <c r="BZ2440" s="0" t="s">
        <v>130</v>
      </c>
      <c r="CA2440" s="0" t="s">
        <v>130</v>
      </c>
      <c r="CB2440" s="0" t="s">
        <v>130</v>
      </c>
      <c r="CC2440" s="0" t="s">
        <v>130</v>
      </c>
      <c r="CD2440" s="0" t="s">
        <v>130</v>
      </c>
      <c r="CE2440" s="0" t="s">
        <v>130</v>
      </c>
      <c r="CF2440" s="0" t="s">
        <v>130</v>
      </c>
      <c r="CG2440" s="0" t="s">
        <v>130</v>
      </c>
      <c r="CH2440" s="0" t="s">
        <v>130</v>
      </c>
      <c r="CI2440" s="0" t="s">
        <v>141</v>
      </c>
      <c r="CJ2440" s="0" t="s">
        <v>130</v>
      </c>
      <c r="CK2440" s="0" t="s">
        <v>130</v>
      </c>
      <c r="CL2440" s="0" t="s">
        <v>130</v>
      </c>
      <c r="CM2440" s="0" t="s">
        <v>130</v>
      </c>
      <c r="CN2440" s="0" t="s">
        <v>130</v>
      </c>
      <c r="CO2440" s="0" t="s">
        <v>130</v>
      </c>
      <c r="CP2440" s="0" t="s">
        <v>130</v>
      </c>
      <c r="CQ2440" s="0" t="s">
        <v>130</v>
      </c>
      <c r="CR2440" s="0" t="s">
        <v>130</v>
      </c>
      <c r="CS2440" s="0" t="s">
        <v>130</v>
      </c>
      <c r="CT2440" s="0" t="s">
        <v>6662</v>
      </c>
    </row>
    <row r="2441">
      <c r="A2441" s="14">
        <v>116563</v>
      </c>
      <c r="B2441" s="0" t="s">
        <v>2780</v>
      </c>
      <c r="C2441" s="16">
        <f>HYPERLINK("https://eosportal.federatedhermes.com/companies/Q29tcGFueQppNzU2NjU=", "Techtronic Industries Co Ltd")</f>
      </c>
      <c r="D2441" s="0" t="s">
        <v>23</v>
      </c>
      <c r="E2441" s="0" t="s">
        <v>6663</v>
      </c>
      <c r="F2441" s="16">
        <f>HYPERLINK("https://eosportal.federatedhermes.com/engagements/RW5nYWdlbWVudAppMzM3ODg=", "Mental health support")</f>
      </c>
      <c r="G2441" s="14" t="s">
        <v>6664</v>
      </c>
      <c r="H2441" s="0" t="s">
        <v>130</v>
      </c>
      <c r="I2441" s="14" t="s">
        <v>131</v>
      </c>
      <c r="J2441" s="0" t="s">
        <v>153</v>
      </c>
      <c r="K2441" s="0" t="s">
        <v>154</v>
      </c>
      <c r="L2441" s="0" t="s">
        <v>155</v>
      </c>
      <c r="M2441" s="0" t="s">
        <v>802</v>
      </c>
      <c r="N2441" s="0" t="s">
        <v>803</v>
      </c>
      <c r="O2441" s="0" t="s">
        <v>176</v>
      </c>
      <c r="Q2441" s="0" t="s">
        <v>130</v>
      </c>
      <c r="R2441" s="0" t="s">
        <v>130</v>
      </c>
      <c r="S2441" s="14">
        <v>0</v>
      </c>
      <c r="T2441" s="0" t="s">
        <v>3562</v>
      </c>
      <c r="U2441" s="0" t="s">
        <v>221</v>
      </c>
      <c r="V2441" s="14" t="s">
        <v>3562</v>
      </c>
      <c r="W2441" s="0" t="s">
        <v>221</v>
      </c>
      <c r="X2441" s="14" t="s">
        <v>446</v>
      </c>
      <c r="Y2441" s="0" t="s">
        <v>223</v>
      </c>
      <c r="Z2441" s="14" t="s">
        <v>138</v>
      </c>
      <c r="AA2441" s="0" t="s">
        <v>224</v>
      </c>
      <c r="AB2441" s="14" t="s">
        <v>138</v>
      </c>
      <c r="AD2441" s="0" t="s">
        <v>17</v>
      </c>
      <c r="AF2441" s="0">
        <v>0</v>
      </c>
      <c r="AG2441" s="0">
        <v>0</v>
      </c>
      <c r="AH2441" s="0" t="s">
        <v>140</v>
      </c>
      <c r="AI2441" s="0" t="s">
        <v>598</v>
      </c>
      <c r="AL2441" s="14"/>
      <c r="AN2441" s="14"/>
      <c r="AQ2441" s="0" t="s">
        <v>130</v>
      </c>
      <c r="AR2441" s="0" t="s">
        <v>130</v>
      </c>
      <c r="AS2441" s="0" t="s">
        <v>141</v>
      </c>
      <c r="AT2441" s="0" t="s">
        <v>130</v>
      </c>
      <c r="AU2441" s="0" t="s">
        <v>130</v>
      </c>
      <c r="AV2441" s="0" t="s">
        <v>130</v>
      </c>
      <c r="AW2441" s="0" t="s">
        <v>130</v>
      </c>
      <c r="AX2441" s="0" t="s">
        <v>141</v>
      </c>
      <c r="AY2441" s="0" t="s">
        <v>130</v>
      </c>
      <c r="AZ2441" s="0" t="s">
        <v>130</v>
      </c>
      <c r="BA2441" s="0" t="s">
        <v>130</v>
      </c>
      <c r="BB2441" s="0" t="s">
        <v>130</v>
      </c>
      <c r="BC2441" s="0" t="s">
        <v>130</v>
      </c>
      <c r="BD2441" s="0" t="s">
        <v>130</v>
      </c>
      <c r="BE2441" s="0" t="s">
        <v>130</v>
      </c>
      <c r="BF2441" s="0" t="s">
        <v>130</v>
      </c>
      <c r="BG2441" s="0" t="s">
        <v>130</v>
      </c>
      <c r="BH2441" s="0" t="s">
        <v>130</v>
      </c>
      <c r="BI2441" s="0" t="s">
        <v>130</v>
      </c>
      <c r="BJ2441" s="0" t="s">
        <v>130</v>
      </c>
      <c r="BK2441" s="0" t="s">
        <v>130</v>
      </c>
      <c r="BL2441" s="0" t="s">
        <v>130</v>
      </c>
      <c r="BM2441" s="0" t="s">
        <v>130</v>
      </c>
      <c r="BN2441" s="0" t="s">
        <v>130</v>
      </c>
      <c r="BO2441" s="0" t="s">
        <v>130</v>
      </c>
      <c r="BP2441" s="0" t="s">
        <v>130</v>
      </c>
      <c r="BQ2441" s="0" t="s">
        <v>130</v>
      </c>
      <c r="BR2441" s="0" t="s">
        <v>130</v>
      </c>
      <c r="BS2441" s="0" t="s">
        <v>130</v>
      </c>
      <c r="BT2441" s="0" t="s">
        <v>130</v>
      </c>
      <c r="BU2441" s="0" t="s">
        <v>130</v>
      </c>
      <c r="BV2441" s="0" t="s">
        <v>130</v>
      </c>
      <c r="BW2441" s="0" t="s">
        <v>130</v>
      </c>
      <c r="BX2441" s="0" t="s">
        <v>130</v>
      </c>
      <c r="BY2441" s="0" t="s">
        <v>130</v>
      </c>
      <c r="BZ2441" s="0" t="s">
        <v>130</v>
      </c>
      <c r="CA2441" s="0" t="s">
        <v>130</v>
      </c>
      <c r="CB2441" s="0" t="s">
        <v>130</v>
      </c>
      <c r="CC2441" s="0" t="s">
        <v>130</v>
      </c>
      <c r="CD2441" s="0" t="s">
        <v>130</v>
      </c>
      <c r="CE2441" s="0" t="s">
        <v>130</v>
      </c>
      <c r="CF2441" s="0" t="s">
        <v>130</v>
      </c>
      <c r="CG2441" s="0" t="s">
        <v>130</v>
      </c>
      <c r="CH2441" s="0" t="s">
        <v>130</v>
      </c>
      <c r="CI2441" s="0" t="s">
        <v>141</v>
      </c>
      <c r="CJ2441" s="0" t="s">
        <v>130</v>
      </c>
      <c r="CK2441" s="0" t="s">
        <v>130</v>
      </c>
      <c r="CL2441" s="0" t="s">
        <v>130</v>
      </c>
      <c r="CM2441" s="0" t="s">
        <v>130</v>
      </c>
      <c r="CN2441" s="0" t="s">
        <v>130</v>
      </c>
      <c r="CO2441" s="0" t="s">
        <v>130</v>
      </c>
      <c r="CP2441" s="0" t="s">
        <v>130</v>
      </c>
      <c r="CQ2441" s="0" t="s">
        <v>130</v>
      </c>
      <c r="CR2441" s="0" t="s">
        <v>130</v>
      </c>
      <c r="CS2441" s="0" t="s">
        <v>130</v>
      </c>
      <c r="CT2441" s="0" t="s">
        <v>6665</v>
      </c>
    </row>
    <row r="2442">
      <c r="A2442" s="14">
        <v>115675</v>
      </c>
      <c r="B2442" s="0" t="s">
        <v>2585</v>
      </c>
      <c r="C2442" s="16">
        <f>HYPERLINK("https://eosportal.federatedhermes.com/companies/Q29tcGFueQppNjI0NzI=", "RWE AG")</f>
      </c>
      <c r="D2442" s="0" t="s">
        <v>25</v>
      </c>
      <c r="E2442" s="0" t="s">
        <v>5178</v>
      </c>
      <c r="F2442" s="16">
        <f>HYPERLINK("https://eosportal.federatedhermes.com/engagements/RW5nYWdlbWVudAppMzM3OTI=", "Gender pay gap reporting")</f>
      </c>
      <c r="G2442" s="14" t="s">
        <v>6666</v>
      </c>
      <c r="H2442" s="0" t="s">
        <v>141</v>
      </c>
      <c r="I2442" s="14" t="s">
        <v>191</v>
      </c>
      <c r="J2442" s="0" t="s">
        <v>153</v>
      </c>
      <c r="K2442" s="0" t="s">
        <v>154</v>
      </c>
      <c r="L2442" s="0" t="s">
        <v>268</v>
      </c>
      <c r="M2442" s="0" t="s">
        <v>378</v>
      </c>
      <c r="N2442" s="0" t="s">
        <v>2485</v>
      </c>
      <c r="O2442" s="0" t="s">
        <v>192</v>
      </c>
      <c r="Q2442" s="0" t="s">
        <v>130</v>
      </c>
      <c r="R2442" s="0" t="s">
        <v>138</v>
      </c>
      <c r="S2442" s="14">
        <v>0</v>
      </c>
      <c r="T2442" s="0" t="s">
        <v>3562</v>
      </c>
      <c r="U2442" s="0" t="s">
        <v>138</v>
      </c>
      <c r="V2442" s="14" t="s">
        <v>138</v>
      </c>
      <c r="W2442" s="0" t="s">
        <v>138</v>
      </c>
      <c r="X2442" s="14" t="s">
        <v>138</v>
      </c>
      <c r="Y2442" s="0" t="s">
        <v>138</v>
      </c>
      <c r="Z2442" s="14" t="s">
        <v>138</v>
      </c>
      <c r="AA2442" s="0" t="s">
        <v>138</v>
      </c>
      <c r="AB2442" s="14" t="s">
        <v>138</v>
      </c>
      <c r="AD2442" s="0" t="s">
        <v>138</v>
      </c>
      <c r="AF2442" s="0">
        <v>0</v>
      </c>
      <c r="AG2442" s="0">
        <v>0</v>
      </c>
      <c r="AH2442" s="0" t="s">
        <v>140</v>
      </c>
      <c r="AI2442" s="0" t="s">
        <v>138</v>
      </c>
      <c r="AL2442" s="14"/>
      <c r="AN2442" s="14"/>
      <c r="AQ2442" s="0" t="s">
        <v>130</v>
      </c>
      <c r="AR2442" s="0" t="s">
        <v>130</v>
      </c>
      <c r="AS2442" s="0" t="s">
        <v>130</v>
      </c>
      <c r="AT2442" s="0" t="s">
        <v>130</v>
      </c>
      <c r="AU2442" s="0" t="s">
        <v>141</v>
      </c>
      <c r="AV2442" s="0" t="s">
        <v>130</v>
      </c>
      <c r="AW2442" s="0" t="s">
        <v>130</v>
      </c>
      <c r="AX2442" s="0" t="s">
        <v>130</v>
      </c>
      <c r="AY2442" s="0" t="s">
        <v>130</v>
      </c>
      <c r="AZ2442" s="0" t="s">
        <v>130</v>
      </c>
      <c r="BA2442" s="0" t="s">
        <v>130</v>
      </c>
      <c r="BB2442" s="0" t="s">
        <v>130</v>
      </c>
      <c r="BC2442" s="0" t="s">
        <v>130</v>
      </c>
      <c r="BD2442" s="0" t="s">
        <v>130</v>
      </c>
      <c r="BE2442" s="0" t="s">
        <v>130</v>
      </c>
      <c r="BF2442" s="0" t="s">
        <v>130</v>
      </c>
      <c r="BG2442" s="0" t="s">
        <v>130</v>
      </c>
      <c r="BH2442" s="0" t="s">
        <v>130</v>
      </c>
      <c r="BI2442" s="0" t="s">
        <v>130</v>
      </c>
      <c r="BJ2442" s="0" t="s">
        <v>130</v>
      </c>
      <c r="BK2442" s="0" t="s">
        <v>130</v>
      </c>
      <c r="BL2442" s="0" t="s">
        <v>130</v>
      </c>
      <c r="BM2442" s="0" t="s">
        <v>130</v>
      </c>
      <c r="BN2442" s="0" t="s">
        <v>130</v>
      </c>
      <c r="BO2442" s="0" t="s">
        <v>130</v>
      </c>
      <c r="BP2442" s="0" t="s">
        <v>130</v>
      </c>
      <c r="BQ2442" s="0" t="s">
        <v>130</v>
      </c>
      <c r="BR2442" s="0" t="s">
        <v>130</v>
      </c>
      <c r="BS2442" s="0" t="s">
        <v>130</v>
      </c>
      <c r="BT2442" s="0" t="s">
        <v>130</v>
      </c>
      <c r="BU2442" s="0" t="s">
        <v>130</v>
      </c>
      <c r="BV2442" s="0" t="s">
        <v>130</v>
      </c>
      <c r="BW2442" s="0" t="s">
        <v>130</v>
      </c>
      <c r="BX2442" s="0" t="s">
        <v>130</v>
      </c>
      <c r="BY2442" s="0" t="s">
        <v>130</v>
      </c>
      <c r="BZ2442" s="0" t="s">
        <v>130</v>
      </c>
      <c r="CA2442" s="0" t="s">
        <v>130</v>
      </c>
      <c r="CB2442" s="0" t="s">
        <v>130</v>
      </c>
      <c r="CC2442" s="0" t="s">
        <v>130</v>
      </c>
      <c r="CD2442" s="0" t="s">
        <v>130</v>
      </c>
      <c r="CE2442" s="0" t="s">
        <v>130</v>
      </c>
      <c r="CF2442" s="0" t="s">
        <v>130</v>
      </c>
      <c r="CG2442" s="0" t="s">
        <v>130</v>
      </c>
      <c r="CH2442" s="0" t="s">
        <v>130</v>
      </c>
      <c r="CI2442" s="0" t="s">
        <v>130</v>
      </c>
      <c r="CJ2442" s="0" t="s">
        <v>130</v>
      </c>
      <c r="CK2442" s="0" t="s">
        <v>141</v>
      </c>
      <c r="CL2442" s="0" t="s">
        <v>130</v>
      </c>
      <c r="CM2442" s="0" t="s">
        <v>130</v>
      </c>
      <c r="CN2442" s="0" t="s">
        <v>130</v>
      </c>
      <c r="CO2442" s="0" t="s">
        <v>130</v>
      </c>
      <c r="CP2442" s="0" t="s">
        <v>130</v>
      </c>
      <c r="CQ2442" s="0" t="s">
        <v>130</v>
      </c>
      <c r="CR2442" s="0" t="s">
        <v>130</v>
      </c>
      <c r="CS2442" s="0" t="s">
        <v>130</v>
      </c>
      <c r="CT2442" s="0" t="s">
        <v>6667</v>
      </c>
    </row>
    <row r="2443">
      <c r="A2443" s="14">
        <v>918049</v>
      </c>
      <c r="B2443" s="0" t="s">
        <v>3423</v>
      </c>
      <c r="C2443" s="16">
        <f>HYPERLINK("https://eosportal.federatedhermes.com/companies/Q29tcGFueQppNjQzOTQ=", "Enel SpA")</f>
      </c>
      <c r="D2443" s="0" t="s">
        <v>25</v>
      </c>
      <c r="E2443" s="0" t="s">
        <v>146</v>
      </c>
      <c r="F2443" s="16">
        <f>HYPERLINK("https://eosportal.federatedhermes.com/engagements/RW5nYWdlbWVudAppMzM3OTM=", "Executive Remuneration")</f>
      </c>
      <c r="G2443" s="14" t="s">
        <v>6668</v>
      </c>
      <c r="H2443" s="0" t="s">
        <v>141</v>
      </c>
      <c r="I2443" s="14" t="s">
        <v>636</v>
      </c>
      <c r="J2443" s="0" t="s">
        <v>145</v>
      </c>
      <c r="K2443" s="0" t="s">
        <v>146</v>
      </c>
      <c r="L2443" s="0" t="s">
        <v>147</v>
      </c>
      <c r="M2443" s="0" t="s">
        <v>378</v>
      </c>
      <c r="N2443" s="0" t="s">
        <v>2898</v>
      </c>
      <c r="O2443" s="0" t="s">
        <v>192</v>
      </c>
      <c r="Q2443" s="0" t="s">
        <v>130</v>
      </c>
      <c r="R2443" s="0" t="s">
        <v>138</v>
      </c>
      <c r="S2443" s="14">
        <v>0</v>
      </c>
      <c r="T2443" s="0" t="s">
        <v>3562</v>
      </c>
      <c r="U2443" s="0" t="s">
        <v>138</v>
      </c>
      <c r="V2443" s="14" t="s">
        <v>138</v>
      </c>
      <c r="W2443" s="0" t="s">
        <v>138</v>
      </c>
      <c r="X2443" s="14" t="s">
        <v>138</v>
      </c>
      <c r="Y2443" s="0" t="s">
        <v>138</v>
      </c>
      <c r="Z2443" s="14" t="s">
        <v>138</v>
      </c>
      <c r="AA2443" s="0" t="s">
        <v>138</v>
      </c>
      <c r="AB2443" s="14" t="s">
        <v>138</v>
      </c>
      <c r="AD2443" s="0" t="s">
        <v>138</v>
      </c>
      <c r="AF2443" s="0">
        <v>0</v>
      </c>
      <c r="AG2443" s="0">
        <v>0</v>
      </c>
      <c r="AH2443" s="0" t="s">
        <v>140</v>
      </c>
      <c r="AI2443" s="0" t="s">
        <v>138</v>
      </c>
      <c r="AL2443" s="14"/>
      <c r="AN2443" s="14"/>
      <c r="AQ2443" s="0" t="s">
        <v>130</v>
      </c>
      <c r="AR2443" s="0" t="s">
        <v>130</v>
      </c>
      <c r="AS2443" s="0" t="s">
        <v>130</v>
      </c>
      <c r="AT2443" s="0" t="s">
        <v>130</v>
      </c>
      <c r="AU2443" s="0" t="s">
        <v>130</v>
      </c>
      <c r="AV2443" s="0" t="s">
        <v>130</v>
      </c>
      <c r="AW2443" s="0" t="s">
        <v>130</v>
      </c>
      <c r="AX2443" s="0" t="s">
        <v>130</v>
      </c>
      <c r="AY2443" s="0" t="s">
        <v>130</v>
      </c>
      <c r="AZ2443" s="0" t="s">
        <v>130</v>
      </c>
      <c r="BA2443" s="0" t="s">
        <v>130</v>
      </c>
      <c r="BB2443" s="0" t="s">
        <v>130</v>
      </c>
      <c r="BC2443" s="0" t="s">
        <v>130</v>
      </c>
      <c r="BD2443" s="0" t="s">
        <v>130</v>
      </c>
      <c r="BE2443" s="0" t="s">
        <v>130</v>
      </c>
      <c r="BF2443" s="0" t="s">
        <v>130</v>
      </c>
      <c r="BG2443" s="0" t="s">
        <v>130</v>
      </c>
      <c r="BH2443" s="0" t="s">
        <v>130</v>
      </c>
      <c r="BI2443" s="0" t="s">
        <v>130</v>
      </c>
      <c r="BJ2443" s="0" t="s">
        <v>130</v>
      </c>
      <c r="BK2443" s="0" t="s">
        <v>130</v>
      </c>
      <c r="BL2443" s="0" t="s">
        <v>130</v>
      </c>
      <c r="BM2443" s="0" t="s">
        <v>130</v>
      </c>
      <c r="BN2443" s="0" t="s">
        <v>130</v>
      </c>
      <c r="BO2443" s="0" t="s">
        <v>130</v>
      </c>
      <c r="BP2443" s="0" t="s">
        <v>130</v>
      </c>
      <c r="BQ2443" s="0" t="s">
        <v>130</v>
      </c>
      <c r="BR2443" s="0" t="s">
        <v>130</v>
      </c>
      <c r="BS2443" s="0" t="s">
        <v>130</v>
      </c>
      <c r="BT2443" s="0" t="s">
        <v>130</v>
      </c>
      <c r="BU2443" s="0" t="s">
        <v>130</v>
      </c>
      <c r="BV2443" s="0" t="s">
        <v>130</v>
      </c>
      <c r="BW2443" s="0" t="s">
        <v>130</v>
      </c>
      <c r="BX2443" s="0" t="s">
        <v>130</v>
      </c>
      <c r="BY2443" s="0" t="s">
        <v>130</v>
      </c>
      <c r="BZ2443" s="0" t="s">
        <v>130</v>
      </c>
      <c r="CA2443" s="0" t="s">
        <v>130</v>
      </c>
      <c r="CB2443" s="0" t="s">
        <v>130</v>
      </c>
      <c r="CC2443" s="0" t="s">
        <v>130</v>
      </c>
      <c r="CD2443" s="0" t="s">
        <v>130</v>
      </c>
      <c r="CE2443" s="0" t="s">
        <v>130</v>
      </c>
      <c r="CF2443" s="0" t="s">
        <v>130</v>
      </c>
      <c r="CG2443" s="0" t="s">
        <v>130</v>
      </c>
      <c r="CH2443" s="0" t="s">
        <v>130</v>
      </c>
      <c r="CI2443" s="0" t="s">
        <v>130</v>
      </c>
      <c r="CJ2443" s="0" t="s">
        <v>130</v>
      </c>
      <c r="CK2443" s="0" t="s">
        <v>130</v>
      </c>
      <c r="CL2443" s="0" t="s">
        <v>130</v>
      </c>
      <c r="CM2443" s="0" t="s">
        <v>130</v>
      </c>
      <c r="CN2443" s="0" t="s">
        <v>130</v>
      </c>
      <c r="CO2443" s="0" t="s">
        <v>130</v>
      </c>
      <c r="CP2443" s="0" t="s">
        <v>130</v>
      </c>
      <c r="CQ2443" s="0" t="s">
        <v>130</v>
      </c>
      <c r="CR2443" s="0" t="s">
        <v>130</v>
      </c>
      <c r="CS2443" s="0" t="s">
        <v>130</v>
      </c>
      <c r="CT2443" s="0" t="s">
        <v>6669</v>
      </c>
    </row>
    <row r="2444">
      <c r="A2444" s="14">
        <v>129309</v>
      </c>
      <c r="B2444" s="0" t="s">
        <v>2992</v>
      </c>
      <c r="C2444" s="16">
        <f>HYPERLINK("https://eosportal.federatedhermes.com/companies/Q29tcGFueQppNzc5MzY=", "POSCO Holdings Inc")</f>
      </c>
      <c r="D2444" s="0" t="s">
        <v>23</v>
      </c>
      <c r="E2444" s="0" t="s">
        <v>5615</v>
      </c>
      <c r="F2444" s="16">
        <f>HYPERLINK("https://eosportal.federatedhermes.com/engagements/RW5nYWdlbWVudAppMzM3OTc=", "Workforce gender diversity")</f>
      </c>
      <c r="G2444" s="14" t="s">
        <v>4986</v>
      </c>
      <c r="H2444" s="0" t="s">
        <v>141</v>
      </c>
      <c r="I2444" s="14" t="s">
        <v>191</v>
      </c>
      <c r="J2444" s="0" t="s">
        <v>153</v>
      </c>
      <c r="K2444" s="0" t="s">
        <v>154</v>
      </c>
      <c r="L2444" s="0" t="s">
        <v>268</v>
      </c>
      <c r="M2444" s="0" t="s">
        <v>802</v>
      </c>
      <c r="N2444" s="0" t="s">
        <v>2800</v>
      </c>
      <c r="O2444" s="0" t="s">
        <v>373</v>
      </c>
      <c r="Q2444" s="0" t="s">
        <v>130</v>
      </c>
      <c r="R2444" s="0" t="s">
        <v>130</v>
      </c>
      <c r="S2444" s="14">
        <v>0</v>
      </c>
      <c r="T2444" s="0" t="s">
        <v>3562</v>
      </c>
      <c r="U2444" s="0" t="s">
        <v>221</v>
      </c>
      <c r="V2444" s="14" t="s">
        <v>3562</v>
      </c>
      <c r="W2444" s="0" t="s">
        <v>223</v>
      </c>
      <c r="X2444" s="14" t="s">
        <v>138</v>
      </c>
      <c r="Y2444" s="0" t="s">
        <v>224</v>
      </c>
      <c r="Z2444" s="14" t="s">
        <v>138</v>
      </c>
      <c r="AA2444" s="0" t="s">
        <v>224</v>
      </c>
      <c r="AB2444" s="14" t="s">
        <v>138</v>
      </c>
      <c r="AD2444" s="0" t="s">
        <v>14</v>
      </c>
      <c r="AF2444" s="0">
        <v>0</v>
      </c>
      <c r="AG2444" s="0">
        <v>0</v>
      </c>
      <c r="AH2444" s="0" t="s">
        <v>140</v>
      </c>
      <c r="AI2444" s="0" t="s">
        <v>225</v>
      </c>
      <c r="AL2444" s="14"/>
      <c r="AN2444" s="14"/>
      <c r="AQ2444" s="0" t="s">
        <v>130</v>
      </c>
      <c r="AR2444" s="0" t="s">
        <v>130</v>
      </c>
      <c r="AS2444" s="0" t="s">
        <v>130</v>
      </c>
      <c r="AT2444" s="0" t="s">
        <v>130</v>
      </c>
      <c r="AU2444" s="0" t="s">
        <v>141</v>
      </c>
      <c r="AV2444" s="0" t="s">
        <v>130</v>
      </c>
      <c r="AW2444" s="0" t="s">
        <v>130</v>
      </c>
      <c r="AX2444" s="0" t="s">
        <v>130</v>
      </c>
      <c r="AY2444" s="0" t="s">
        <v>130</v>
      </c>
      <c r="AZ2444" s="0" t="s">
        <v>130</v>
      </c>
      <c r="BA2444" s="0" t="s">
        <v>130</v>
      </c>
      <c r="BB2444" s="0" t="s">
        <v>130</v>
      </c>
      <c r="BC2444" s="0" t="s">
        <v>130</v>
      </c>
      <c r="BD2444" s="0" t="s">
        <v>130</v>
      </c>
      <c r="BE2444" s="0" t="s">
        <v>130</v>
      </c>
      <c r="BF2444" s="0" t="s">
        <v>130</v>
      </c>
      <c r="BG2444" s="0" t="s">
        <v>130</v>
      </c>
      <c r="BH2444" s="0" t="s">
        <v>130</v>
      </c>
      <c r="BI2444" s="0" t="s">
        <v>130</v>
      </c>
      <c r="BJ2444" s="0" t="s">
        <v>130</v>
      </c>
      <c r="BK2444" s="0" t="s">
        <v>130</v>
      </c>
      <c r="BL2444" s="0" t="s">
        <v>130</v>
      </c>
      <c r="BM2444" s="0" t="s">
        <v>130</v>
      </c>
      <c r="BN2444" s="0" t="s">
        <v>130</v>
      </c>
      <c r="BO2444" s="0" t="s">
        <v>130</v>
      </c>
      <c r="BP2444" s="0" t="s">
        <v>130</v>
      </c>
      <c r="BQ2444" s="0" t="s">
        <v>130</v>
      </c>
      <c r="BR2444" s="0" t="s">
        <v>130</v>
      </c>
      <c r="BS2444" s="0" t="s">
        <v>130</v>
      </c>
      <c r="BT2444" s="0" t="s">
        <v>130</v>
      </c>
      <c r="BU2444" s="0" t="s">
        <v>130</v>
      </c>
      <c r="BV2444" s="0" t="s">
        <v>130</v>
      </c>
      <c r="BW2444" s="0" t="s">
        <v>130</v>
      </c>
      <c r="BX2444" s="0" t="s">
        <v>130</v>
      </c>
      <c r="BY2444" s="0" t="s">
        <v>130</v>
      </c>
      <c r="BZ2444" s="0" t="s">
        <v>130</v>
      </c>
      <c r="CA2444" s="0" t="s">
        <v>130</v>
      </c>
      <c r="CB2444" s="0" t="s">
        <v>130</v>
      </c>
      <c r="CC2444" s="0" t="s">
        <v>130</v>
      </c>
      <c r="CD2444" s="0" t="s">
        <v>130</v>
      </c>
      <c r="CE2444" s="0" t="s">
        <v>130</v>
      </c>
      <c r="CF2444" s="0" t="s">
        <v>130</v>
      </c>
      <c r="CG2444" s="0" t="s">
        <v>130</v>
      </c>
      <c r="CH2444" s="0" t="s">
        <v>130</v>
      </c>
      <c r="CI2444" s="0" t="s">
        <v>130</v>
      </c>
      <c r="CJ2444" s="0" t="s">
        <v>130</v>
      </c>
      <c r="CK2444" s="0" t="s">
        <v>141</v>
      </c>
      <c r="CL2444" s="0" t="s">
        <v>130</v>
      </c>
      <c r="CM2444" s="0" t="s">
        <v>130</v>
      </c>
      <c r="CN2444" s="0" t="s">
        <v>130</v>
      </c>
      <c r="CO2444" s="0" t="s">
        <v>130</v>
      </c>
      <c r="CP2444" s="0" t="s">
        <v>130</v>
      </c>
      <c r="CQ2444" s="0" t="s">
        <v>130</v>
      </c>
      <c r="CR2444" s="0" t="s">
        <v>130</v>
      </c>
      <c r="CS2444" s="0" t="s">
        <v>130</v>
      </c>
      <c r="CT2444" s="0" t="s">
        <v>6670</v>
      </c>
    </row>
    <row r="2445">
      <c r="A2445" s="14">
        <v>344500</v>
      </c>
      <c r="B2445" s="0" t="s">
        <v>3697</v>
      </c>
      <c r="C2445" s="16">
        <f>HYPERLINK("https://eosportal.federatedhermes.com/companies/Q29tcGFueQppNjY1MDA=", "Republic Services Inc")</f>
      </c>
      <c r="D2445" s="0" t="s">
        <v>23</v>
      </c>
      <c r="E2445" s="0" t="s">
        <v>6663</v>
      </c>
      <c r="F2445" s="16">
        <f>HYPERLINK("https://eosportal.federatedhermes.com/engagements/RW5nYWdlbWVudAppMzM3OTk=", "Mental health support")</f>
      </c>
      <c r="G2445" s="14" t="s">
        <v>6671</v>
      </c>
      <c r="H2445" s="0" t="s">
        <v>130</v>
      </c>
      <c r="I2445" s="14" t="s">
        <v>319</v>
      </c>
      <c r="J2445" s="0" t="s">
        <v>153</v>
      </c>
      <c r="K2445" s="0" t="s">
        <v>154</v>
      </c>
      <c r="L2445" s="0" t="s">
        <v>155</v>
      </c>
      <c r="M2445" s="0" t="s">
        <v>135</v>
      </c>
      <c r="N2445" s="0" t="s">
        <v>136</v>
      </c>
      <c r="O2445" s="0" t="s">
        <v>176</v>
      </c>
      <c r="Q2445" s="0" t="s">
        <v>130</v>
      </c>
      <c r="R2445" s="0" t="s">
        <v>130</v>
      </c>
      <c r="S2445" s="14">
        <v>0</v>
      </c>
      <c r="T2445" s="0" t="s">
        <v>3562</v>
      </c>
      <c r="U2445" s="0" t="s">
        <v>221</v>
      </c>
      <c r="V2445" s="14" t="s">
        <v>3562</v>
      </c>
      <c r="W2445" s="0" t="s">
        <v>221</v>
      </c>
      <c r="X2445" s="14" t="s">
        <v>446</v>
      </c>
      <c r="Y2445" s="0" t="s">
        <v>223</v>
      </c>
      <c r="Z2445" s="14" t="s">
        <v>138</v>
      </c>
      <c r="AA2445" s="0" t="s">
        <v>224</v>
      </c>
      <c r="AB2445" s="14" t="s">
        <v>138</v>
      </c>
      <c r="AD2445" s="0" t="s">
        <v>17</v>
      </c>
      <c r="AF2445" s="0">
        <v>0</v>
      </c>
      <c r="AG2445" s="0">
        <v>0</v>
      </c>
      <c r="AH2445" s="0" t="s">
        <v>140</v>
      </c>
      <c r="AI2445" s="0" t="s">
        <v>598</v>
      </c>
      <c r="AL2445" s="14"/>
      <c r="AN2445" s="14"/>
      <c r="AQ2445" s="0" t="s">
        <v>130</v>
      </c>
      <c r="AR2445" s="0" t="s">
        <v>130</v>
      </c>
      <c r="AS2445" s="0" t="s">
        <v>141</v>
      </c>
      <c r="AT2445" s="0" t="s">
        <v>130</v>
      </c>
      <c r="AU2445" s="0" t="s">
        <v>130</v>
      </c>
      <c r="AV2445" s="0" t="s">
        <v>130</v>
      </c>
      <c r="AW2445" s="0" t="s">
        <v>130</v>
      </c>
      <c r="AX2445" s="0" t="s">
        <v>141</v>
      </c>
      <c r="AY2445" s="0" t="s">
        <v>130</v>
      </c>
      <c r="AZ2445" s="0" t="s">
        <v>130</v>
      </c>
      <c r="BA2445" s="0" t="s">
        <v>130</v>
      </c>
      <c r="BB2445" s="0" t="s">
        <v>130</v>
      </c>
      <c r="BC2445" s="0" t="s">
        <v>130</v>
      </c>
      <c r="BD2445" s="0" t="s">
        <v>130</v>
      </c>
      <c r="BE2445" s="0" t="s">
        <v>130</v>
      </c>
      <c r="BF2445" s="0" t="s">
        <v>130</v>
      </c>
      <c r="BG2445" s="0" t="s">
        <v>130</v>
      </c>
      <c r="BH2445" s="0" t="s">
        <v>130</v>
      </c>
      <c r="BI2445" s="0" t="s">
        <v>130</v>
      </c>
      <c r="BJ2445" s="0" t="s">
        <v>130</v>
      </c>
      <c r="BK2445" s="0" t="s">
        <v>130</v>
      </c>
      <c r="BL2445" s="0" t="s">
        <v>130</v>
      </c>
      <c r="BM2445" s="0" t="s">
        <v>130</v>
      </c>
      <c r="BN2445" s="0" t="s">
        <v>130</v>
      </c>
      <c r="BO2445" s="0" t="s">
        <v>130</v>
      </c>
      <c r="BP2445" s="0" t="s">
        <v>130</v>
      </c>
      <c r="BQ2445" s="0" t="s">
        <v>130</v>
      </c>
      <c r="BR2445" s="0" t="s">
        <v>130</v>
      </c>
      <c r="BS2445" s="0" t="s">
        <v>130</v>
      </c>
      <c r="BT2445" s="0" t="s">
        <v>130</v>
      </c>
      <c r="BU2445" s="0" t="s">
        <v>130</v>
      </c>
      <c r="BV2445" s="0" t="s">
        <v>130</v>
      </c>
      <c r="BW2445" s="0" t="s">
        <v>130</v>
      </c>
      <c r="BX2445" s="0" t="s">
        <v>130</v>
      </c>
      <c r="BY2445" s="0" t="s">
        <v>130</v>
      </c>
      <c r="BZ2445" s="0" t="s">
        <v>130</v>
      </c>
      <c r="CA2445" s="0" t="s">
        <v>130</v>
      </c>
      <c r="CB2445" s="0" t="s">
        <v>130</v>
      </c>
      <c r="CC2445" s="0" t="s">
        <v>130</v>
      </c>
      <c r="CD2445" s="0" t="s">
        <v>130</v>
      </c>
      <c r="CE2445" s="0" t="s">
        <v>130</v>
      </c>
      <c r="CF2445" s="0" t="s">
        <v>130</v>
      </c>
      <c r="CG2445" s="0" t="s">
        <v>130</v>
      </c>
      <c r="CH2445" s="0" t="s">
        <v>130</v>
      </c>
      <c r="CI2445" s="0" t="s">
        <v>141</v>
      </c>
      <c r="CJ2445" s="0" t="s">
        <v>130</v>
      </c>
      <c r="CK2445" s="0" t="s">
        <v>130</v>
      </c>
      <c r="CL2445" s="0" t="s">
        <v>130</v>
      </c>
      <c r="CM2445" s="0" t="s">
        <v>130</v>
      </c>
      <c r="CN2445" s="0" t="s">
        <v>130</v>
      </c>
      <c r="CO2445" s="0" t="s">
        <v>130</v>
      </c>
      <c r="CP2445" s="0" t="s">
        <v>130</v>
      </c>
      <c r="CQ2445" s="0" t="s">
        <v>130</v>
      </c>
      <c r="CR2445" s="0" t="s">
        <v>130</v>
      </c>
      <c r="CS2445" s="0" t="s">
        <v>130</v>
      </c>
      <c r="CT2445" s="0" t="s">
        <v>6672</v>
      </c>
    </row>
    <row r="2446">
      <c r="A2446" s="14">
        <v>313657</v>
      </c>
      <c r="B2446" s="0" t="s">
        <v>3594</v>
      </c>
      <c r="C2446" s="16">
        <f>HYPERLINK("https://eosportal.federatedhermes.com/companies/Q29tcGFueQppODU4NzU=", "NVIDIA Corp")</f>
      </c>
      <c r="D2446" s="0" t="s">
        <v>23</v>
      </c>
      <c r="E2446" s="0" t="s">
        <v>6663</v>
      </c>
      <c r="F2446" s="16">
        <f>HYPERLINK("https://eosportal.federatedhermes.com/engagements/RW5nYWdlbWVudAppMzM4MDQ=", "Mental health support")</f>
      </c>
      <c r="G2446" s="14" t="s">
        <v>6673</v>
      </c>
      <c r="H2446" s="0" t="s">
        <v>141</v>
      </c>
      <c r="I2446" s="14" t="s">
        <v>191</v>
      </c>
      <c r="J2446" s="0" t="s">
        <v>153</v>
      </c>
      <c r="K2446" s="0" t="s">
        <v>154</v>
      </c>
      <c r="L2446" s="0" t="s">
        <v>155</v>
      </c>
      <c r="M2446" s="0" t="s">
        <v>135</v>
      </c>
      <c r="N2446" s="0" t="s">
        <v>136</v>
      </c>
      <c r="O2446" s="0" t="s">
        <v>1125</v>
      </c>
      <c r="Q2446" s="0" t="s">
        <v>141</v>
      </c>
      <c r="R2446" s="0" t="s">
        <v>130</v>
      </c>
      <c r="S2446" s="14">
        <v>1</v>
      </c>
      <c r="T2446" s="0" t="s">
        <v>3562</v>
      </c>
      <c r="U2446" s="0" t="s">
        <v>221</v>
      </c>
      <c r="V2446" s="14" t="s">
        <v>3562</v>
      </c>
      <c r="W2446" s="0" t="s">
        <v>223</v>
      </c>
      <c r="X2446" s="14" t="s">
        <v>138</v>
      </c>
      <c r="Y2446" s="0" t="s">
        <v>224</v>
      </c>
      <c r="Z2446" s="14" t="s">
        <v>138</v>
      </c>
      <c r="AA2446" s="0" t="s">
        <v>224</v>
      </c>
      <c r="AB2446" s="14" t="s">
        <v>138</v>
      </c>
      <c r="AD2446" s="0" t="s">
        <v>14</v>
      </c>
      <c r="AF2446" s="0">
        <v>0</v>
      </c>
      <c r="AG2446" s="0">
        <v>0</v>
      </c>
      <c r="AH2446" s="0" t="s">
        <v>140</v>
      </c>
      <c r="AI2446" s="0" t="s">
        <v>225</v>
      </c>
      <c r="AK2446" s="0" t="s">
        <v>3596</v>
      </c>
      <c r="AL2446" s="14"/>
      <c r="AN2446" s="14"/>
      <c r="AQ2446" s="0" t="s">
        <v>130</v>
      </c>
      <c r="AR2446" s="0" t="s">
        <v>130</v>
      </c>
      <c r="AS2446" s="0" t="s">
        <v>141</v>
      </c>
      <c r="AT2446" s="0" t="s">
        <v>130</v>
      </c>
      <c r="AU2446" s="0" t="s">
        <v>130</v>
      </c>
      <c r="AV2446" s="0" t="s">
        <v>130</v>
      </c>
      <c r="AW2446" s="0" t="s">
        <v>130</v>
      </c>
      <c r="AX2446" s="0" t="s">
        <v>141</v>
      </c>
      <c r="AY2446" s="0" t="s">
        <v>130</v>
      </c>
      <c r="AZ2446" s="0" t="s">
        <v>130</v>
      </c>
      <c r="BA2446" s="0" t="s">
        <v>130</v>
      </c>
      <c r="BB2446" s="0" t="s">
        <v>130</v>
      </c>
      <c r="BC2446" s="0" t="s">
        <v>130</v>
      </c>
      <c r="BD2446" s="0" t="s">
        <v>130</v>
      </c>
      <c r="BE2446" s="0" t="s">
        <v>130</v>
      </c>
      <c r="BF2446" s="0" t="s">
        <v>130</v>
      </c>
      <c r="BG2446" s="0" t="s">
        <v>130</v>
      </c>
      <c r="BH2446" s="0" t="s">
        <v>130</v>
      </c>
      <c r="BI2446" s="0" t="s">
        <v>130</v>
      </c>
      <c r="BJ2446" s="0" t="s">
        <v>130</v>
      </c>
      <c r="BK2446" s="0" t="s">
        <v>130</v>
      </c>
      <c r="BL2446" s="0" t="s">
        <v>130</v>
      </c>
      <c r="BM2446" s="0" t="s">
        <v>130</v>
      </c>
      <c r="BN2446" s="0" t="s">
        <v>130</v>
      </c>
      <c r="BO2446" s="0" t="s">
        <v>130</v>
      </c>
      <c r="BP2446" s="0" t="s">
        <v>130</v>
      </c>
      <c r="BQ2446" s="0" t="s">
        <v>130</v>
      </c>
      <c r="BR2446" s="0" t="s">
        <v>130</v>
      </c>
      <c r="BS2446" s="0" t="s">
        <v>130</v>
      </c>
      <c r="BT2446" s="0" t="s">
        <v>130</v>
      </c>
      <c r="BU2446" s="0" t="s">
        <v>130</v>
      </c>
      <c r="BV2446" s="0" t="s">
        <v>130</v>
      </c>
      <c r="BW2446" s="0" t="s">
        <v>130</v>
      </c>
      <c r="BX2446" s="0" t="s">
        <v>130</v>
      </c>
      <c r="BY2446" s="0" t="s">
        <v>130</v>
      </c>
      <c r="BZ2446" s="0" t="s">
        <v>130</v>
      </c>
      <c r="CA2446" s="0" t="s">
        <v>130</v>
      </c>
      <c r="CB2446" s="0" t="s">
        <v>130</v>
      </c>
      <c r="CC2446" s="0" t="s">
        <v>130</v>
      </c>
      <c r="CD2446" s="0" t="s">
        <v>130</v>
      </c>
      <c r="CE2446" s="0" t="s">
        <v>130</v>
      </c>
      <c r="CF2446" s="0" t="s">
        <v>130</v>
      </c>
      <c r="CG2446" s="0" t="s">
        <v>130</v>
      </c>
      <c r="CH2446" s="0" t="s">
        <v>130</v>
      </c>
      <c r="CI2446" s="0" t="s">
        <v>141</v>
      </c>
      <c r="CJ2446" s="0" t="s">
        <v>130</v>
      </c>
      <c r="CK2446" s="0" t="s">
        <v>130</v>
      </c>
      <c r="CL2446" s="0" t="s">
        <v>130</v>
      </c>
      <c r="CM2446" s="0" t="s">
        <v>130</v>
      </c>
      <c r="CN2446" s="0" t="s">
        <v>130</v>
      </c>
      <c r="CO2446" s="0" t="s">
        <v>130</v>
      </c>
      <c r="CP2446" s="0" t="s">
        <v>130</v>
      </c>
      <c r="CQ2446" s="0" t="s">
        <v>130</v>
      </c>
      <c r="CR2446" s="0" t="s">
        <v>130</v>
      </c>
      <c r="CS2446" s="0" t="s">
        <v>130</v>
      </c>
      <c r="CT2446" s="0" t="s">
        <v>6674</v>
      </c>
    </row>
    <row r="2447">
      <c r="A2447" s="14">
        <v>101758</v>
      </c>
      <c r="B2447" s="0" t="s">
        <v>1952</v>
      </c>
      <c r="C2447" s="16">
        <f>HYPERLINK("https://eosportal.federatedhermes.com/companies/Q29tcGFueQppNTg5MzI=", "Costco Wholesale Corp")</f>
      </c>
      <c r="D2447" s="0" t="s">
        <v>23</v>
      </c>
      <c r="E2447" s="0" t="s">
        <v>6660</v>
      </c>
      <c r="F2447" s="16">
        <f>HYPERLINK("https://eosportal.federatedhermes.com/engagements/RW5nYWdlbWVudAppMzM4MDU=", "Mental Health in the Workplace")</f>
      </c>
      <c r="G2447" s="14" t="s">
        <v>6675</v>
      </c>
      <c r="H2447" s="0" t="s">
        <v>141</v>
      </c>
      <c r="I2447" s="14" t="s">
        <v>636</v>
      </c>
      <c r="J2447" s="0" t="s">
        <v>153</v>
      </c>
      <c r="K2447" s="0" t="s">
        <v>154</v>
      </c>
      <c r="L2447" s="0" t="s">
        <v>155</v>
      </c>
      <c r="M2447" s="0" t="s">
        <v>135</v>
      </c>
      <c r="N2447" s="0" t="s">
        <v>136</v>
      </c>
      <c r="O2447" s="0" t="s">
        <v>643</v>
      </c>
      <c r="Q2447" s="0" t="s">
        <v>130</v>
      </c>
      <c r="R2447" s="0" t="s">
        <v>130</v>
      </c>
      <c r="S2447" s="14">
        <v>0</v>
      </c>
      <c r="T2447" s="0" t="s">
        <v>3562</v>
      </c>
      <c r="U2447" s="0" t="s">
        <v>221</v>
      </c>
      <c r="V2447" s="14" t="s">
        <v>3562</v>
      </c>
      <c r="W2447" s="0" t="s">
        <v>223</v>
      </c>
      <c r="X2447" s="14" t="s">
        <v>138</v>
      </c>
      <c r="Y2447" s="0" t="s">
        <v>224</v>
      </c>
      <c r="Z2447" s="14" t="s">
        <v>138</v>
      </c>
      <c r="AA2447" s="0" t="s">
        <v>224</v>
      </c>
      <c r="AB2447" s="14" t="s">
        <v>138</v>
      </c>
      <c r="AD2447" s="0" t="s">
        <v>14</v>
      </c>
      <c r="AF2447" s="0">
        <v>0</v>
      </c>
      <c r="AG2447" s="0">
        <v>0</v>
      </c>
      <c r="AH2447" s="0" t="s">
        <v>140</v>
      </c>
      <c r="AI2447" s="0" t="s">
        <v>225</v>
      </c>
      <c r="AL2447" s="14"/>
      <c r="AN2447" s="14"/>
      <c r="AQ2447" s="0" t="s">
        <v>130</v>
      </c>
      <c r="AR2447" s="0" t="s">
        <v>130</v>
      </c>
      <c r="AS2447" s="0" t="s">
        <v>141</v>
      </c>
      <c r="AT2447" s="0" t="s">
        <v>130</v>
      </c>
      <c r="AU2447" s="0" t="s">
        <v>130</v>
      </c>
      <c r="AV2447" s="0" t="s">
        <v>130</v>
      </c>
      <c r="AW2447" s="0" t="s">
        <v>130</v>
      </c>
      <c r="AX2447" s="0" t="s">
        <v>141</v>
      </c>
      <c r="AY2447" s="0" t="s">
        <v>130</v>
      </c>
      <c r="AZ2447" s="0" t="s">
        <v>130</v>
      </c>
      <c r="BA2447" s="0" t="s">
        <v>130</v>
      </c>
      <c r="BB2447" s="0" t="s">
        <v>130</v>
      </c>
      <c r="BC2447" s="0" t="s">
        <v>130</v>
      </c>
      <c r="BD2447" s="0" t="s">
        <v>130</v>
      </c>
      <c r="BE2447" s="0" t="s">
        <v>130</v>
      </c>
      <c r="BF2447" s="0" t="s">
        <v>130</v>
      </c>
      <c r="BG2447" s="0" t="s">
        <v>130</v>
      </c>
      <c r="BH2447" s="0" t="s">
        <v>130</v>
      </c>
      <c r="BI2447" s="0" t="s">
        <v>130</v>
      </c>
      <c r="BJ2447" s="0" t="s">
        <v>130</v>
      </c>
      <c r="BK2447" s="0" t="s">
        <v>130</v>
      </c>
      <c r="BL2447" s="0" t="s">
        <v>130</v>
      </c>
      <c r="BM2447" s="0" t="s">
        <v>130</v>
      </c>
      <c r="BN2447" s="0" t="s">
        <v>130</v>
      </c>
      <c r="BO2447" s="0" t="s">
        <v>130</v>
      </c>
      <c r="BP2447" s="0" t="s">
        <v>130</v>
      </c>
      <c r="BQ2447" s="0" t="s">
        <v>130</v>
      </c>
      <c r="BR2447" s="0" t="s">
        <v>130</v>
      </c>
      <c r="BS2447" s="0" t="s">
        <v>130</v>
      </c>
      <c r="BT2447" s="0" t="s">
        <v>130</v>
      </c>
      <c r="BU2447" s="0" t="s">
        <v>130</v>
      </c>
      <c r="BV2447" s="0" t="s">
        <v>130</v>
      </c>
      <c r="BW2447" s="0" t="s">
        <v>130</v>
      </c>
      <c r="BX2447" s="0" t="s">
        <v>130</v>
      </c>
      <c r="BY2447" s="0" t="s">
        <v>130</v>
      </c>
      <c r="BZ2447" s="0" t="s">
        <v>130</v>
      </c>
      <c r="CA2447" s="0" t="s">
        <v>130</v>
      </c>
      <c r="CB2447" s="0" t="s">
        <v>130</v>
      </c>
      <c r="CC2447" s="0" t="s">
        <v>130</v>
      </c>
      <c r="CD2447" s="0" t="s">
        <v>130</v>
      </c>
      <c r="CE2447" s="0" t="s">
        <v>130</v>
      </c>
      <c r="CF2447" s="0" t="s">
        <v>130</v>
      </c>
      <c r="CG2447" s="0" t="s">
        <v>130</v>
      </c>
      <c r="CH2447" s="0" t="s">
        <v>130</v>
      </c>
      <c r="CI2447" s="0" t="s">
        <v>141</v>
      </c>
      <c r="CJ2447" s="0" t="s">
        <v>130</v>
      </c>
      <c r="CK2447" s="0" t="s">
        <v>130</v>
      </c>
      <c r="CL2447" s="0" t="s">
        <v>130</v>
      </c>
      <c r="CM2447" s="0" t="s">
        <v>130</v>
      </c>
      <c r="CN2447" s="0" t="s">
        <v>130</v>
      </c>
      <c r="CO2447" s="0" t="s">
        <v>130</v>
      </c>
      <c r="CP2447" s="0" t="s">
        <v>130</v>
      </c>
      <c r="CQ2447" s="0" t="s">
        <v>130</v>
      </c>
      <c r="CR2447" s="0" t="s">
        <v>130</v>
      </c>
      <c r="CS2447" s="0" t="s">
        <v>130</v>
      </c>
      <c r="CT2447" s="0" t="s">
        <v>6676</v>
      </c>
    </row>
    <row r="2448">
      <c r="A2448" s="14">
        <v>101095</v>
      </c>
      <c r="B2448" s="0" t="s">
        <v>1337</v>
      </c>
      <c r="C2448" s="16">
        <f>HYPERLINK("https://eosportal.federatedhermes.com/companies/Q29tcGFueQppNDk4MzA=", "Novo Nordisk A/S")</f>
      </c>
      <c r="D2448" s="0" t="s">
        <v>23</v>
      </c>
      <c r="E2448" s="0" t="s">
        <v>6660</v>
      </c>
      <c r="F2448" s="16">
        <f>HYPERLINK("https://eosportal.federatedhermes.com/engagements/RW5nYWdlbWVudAppMzM4MTE=", "Mental Health in the Workplace")</f>
      </c>
      <c r="G2448" s="14" t="s">
        <v>6675</v>
      </c>
      <c r="H2448" s="0" t="s">
        <v>141</v>
      </c>
      <c r="I2448" s="14" t="s">
        <v>131</v>
      </c>
      <c r="J2448" s="0" t="s">
        <v>153</v>
      </c>
      <c r="K2448" s="0" t="s">
        <v>154</v>
      </c>
      <c r="L2448" s="0" t="s">
        <v>155</v>
      </c>
      <c r="M2448" s="0" t="s">
        <v>378</v>
      </c>
      <c r="N2448" s="0" t="s">
        <v>1339</v>
      </c>
      <c r="O2448" s="0" t="s">
        <v>274</v>
      </c>
      <c r="Q2448" s="0" t="s">
        <v>130</v>
      </c>
      <c r="R2448" s="0" t="s">
        <v>141</v>
      </c>
      <c r="S2448" s="14">
        <v>0</v>
      </c>
      <c r="T2448" s="0" t="s">
        <v>3562</v>
      </c>
      <c r="U2448" s="0" t="s">
        <v>221</v>
      </c>
      <c r="V2448" s="14" t="s">
        <v>3562</v>
      </c>
      <c r="W2448" s="0" t="s">
        <v>221</v>
      </c>
      <c r="X2448" s="14" t="s">
        <v>446</v>
      </c>
      <c r="Y2448" s="0" t="s">
        <v>221</v>
      </c>
      <c r="Z2448" s="14" t="s">
        <v>4412</v>
      </c>
      <c r="AA2448" s="0" t="s">
        <v>221</v>
      </c>
      <c r="AB2448" s="14" t="s">
        <v>361</v>
      </c>
      <c r="AC2448" s="0" t="s">
        <v>20</v>
      </c>
      <c r="AD2448" s="0" t="s">
        <v>362</v>
      </c>
      <c r="AE2448" s="0" t="s">
        <v>363</v>
      </c>
      <c r="AF2448" s="0">
        <v>1</v>
      </c>
      <c r="AG2448" s="0">
        <v>0</v>
      </c>
      <c r="AH2448" s="0" t="s">
        <v>140</v>
      </c>
      <c r="AI2448" s="0" t="s">
        <v>221</v>
      </c>
      <c r="AJ2448" s="0" t="s">
        <v>577</v>
      </c>
      <c r="AL2448" s="14" t="s">
        <v>6677</v>
      </c>
      <c r="AM2448" s="0" t="s">
        <v>580</v>
      </c>
      <c r="AN2448" s="14"/>
      <c r="AQ2448" s="0" t="s">
        <v>130</v>
      </c>
      <c r="AR2448" s="0" t="s">
        <v>130</v>
      </c>
      <c r="AS2448" s="0" t="s">
        <v>141</v>
      </c>
      <c r="AT2448" s="0" t="s">
        <v>130</v>
      </c>
      <c r="AU2448" s="0" t="s">
        <v>130</v>
      </c>
      <c r="AV2448" s="0" t="s">
        <v>130</v>
      </c>
      <c r="AW2448" s="0" t="s">
        <v>130</v>
      </c>
      <c r="AX2448" s="0" t="s">
        <v>141</v>
      </c>
      <c r="AY2448" s="0" t="s">
        <v>130</v>
      </c>
      <c r="AZ2448" s="0" t="s">
        <v>130</v>
      </c>
      <c r="BA2448" s="0" t="s">
        <v>130</v>
      </c>
      <c r="BB2448" s="0" t="s">
        <v>130</v>
      </c>
      <c r="BC2448" s="0" t="s">
        <v>130</v>
      </c>
      <c r="BD2448" s="0" t="s">
        <v>130</v>
      </c>
      <c r="BE2448" s="0" t="s">
        <v>130</v>
      </c>
      <c r="BF2448" s="0" t="s">
        <v>130</v>
      </c>
      <c r="BG2448" s="0" t="s">
        <v>130</v>
      </c>
      <c r="BH2448" s="0" t="s">
        <v>130</v>
      </c>
      <c r="BI2448" s="0" t="s">
        <v>130</v>
      </c>
      <c r="BJ2448" s="0" t="s">
        <v>130</v>
      </c>
      <c r="BK2448" s="0" t="s">
        <v>130</v>
      </c>
      <c r="BL2448" s="0" t="s">
        <v>130</v>
      </c>
      <c r="BM2448" s="0" t="s">
        <v>130</v>
      </c>
      <c r="BN2448" s="0" t="s">
        <v>130</v>
      </c>
      <c r="BO2448" s="0" t="s">
        <v>130</v>
      </c>
      <c r="BP2448" s="0" t="s">
        <v>130</v>
      </c>
      <c r="BQ2448" s="0" t="s">
        <v>130</v>
      </c>
      <c r="BR2448" s="0" t="s">
        <v>130</v>
      </c>
      <c r="BS2448" s="0" t="s">
        <v>130</v>
      </c>
      <c r="BT2448" s="0" t="s">
        <v>130</v>
      </c>
      <c r="BU2448" s="0" t="s">
        <v>130</v>
      </c>
      <c r="BV2448" s="0" t="s">
        <v>130</v>
      </c>
      <c r="BW2448" s="0" t="s">
        <v>130</v>
      </c>
      <c r="BX2448" s="0" t="s">
        <v>130</v>
      </c>
      <c r="BY2448" s="0" t="s">
        <v>130</v>
      </c>
      <c r="BZ2448" s="0" t="s">
        <v>130</v>
      </c>
      <c r="CA2448" s="0" t="s">
        <v>130</v>
      </c>
      <c r="CB2448" s="0" t="s">
        <v>130</v>
      </c>
      <c r="CC2448" s="0" t="s">
        <v>130</v>
      </c>
      <c r="CD2448" s="0" t="s">
        <v>130</v>
      </c>
      <c r="CE2448" s="0" t="s">
        <v>130</v>
      </c>
      <c r="CF2448" s="0" t="s">
        <v>130</v>
      </c>
      <c r="CG2448" s="0" t="s">
        <v>130</v>
      </c>
      <c r="CH2448" s="0" t="s">
        <v>130</v>
      </c>
      <c r="CI2448" s="0" t="s">
        <v>141</v>
      </c>
      <c r="CJ2448" s="0" t="s">
        <v>130</v>
      </c>
      <c r="CK2448" s="0" t="s">
        <v>130</v>
      </c>
      <c r="CL2448" s="0" t="s">
        <v>130</v>
      </c>
      <c r="CM2448" s="0" t="s">
        <v>130</v>
      </c>
      <c r="CN2448" s="0" t="s">
        <v>130</v>
      </c>
      <c r="CO2448" s="0" t="s">
        <v>130</v>
      </c>
      <c r="CP2448" s="0" t="s">
        <v>130</v>
      </c>
      <c r="CQ2448" s="0" t="s">
        <v>130</v>
      </c>
      <c r="CR2448" s="0" t="s">
        <v>130</v>
      </c>
      <c r="CS2448" s="0" t="s">
        <v>130</v>
      </c>
      <c r="CT2448" s="0" t="s">
        <v>6678</v>
      </c>
    </row>
    <row r="2449">
      <c r="A2449" s="14">
        <v>100537</v>
      </c>
      <c r="B2449" s="0" t="s">
        <v>728</v>
      </c>
      <c r="C2449" s="16">
        <f>HYPERLINK("https://eosportal.federatedhermes.com/companies/Q29tcGFueQppNTQ1MDY=", "Equifax Inc")</f>
      </c>
      <c r="D2449" s="0" t="s">
        <v>23</v>
      </c>
      <c r="E2449" s="0" t="s">
        <v>6660</v>
      </c>
      <c r="F2449" s="16">
        <f>HYPERLINK("https://eosportal.federatedhermes.com/engagements/RW5nYWdlbWVudAppMzM4MTI=", "Mental Health in the Workplace")</f>
      </c>
      <c r="G2449" s="14" t="s">
        <v>6661</v>
      </c>
      <c r="H2449" s="0" t="s">
        <v>130</v>
      </c>
      <c r="I2449" s="14" t="s">
        <v>131</v>
      </c>
      <c r="J2449" s="0" t="s">
        <v>153</v>
      </c>
      <c r="K2449" s="0" t="s">
        <v>154</v>
      </c>
      <c r="L2449" s="0" t="s">
        <v>155</v>
      </c>
      <c r="M2449" s="0" t="s">
        <v>135</v>
      </c>
      <c r="N2449" s="0" t="s">
        <v>136</v>
      </c>
      <c r="O2449" s="0" t="s">
        <v>176</v>
      </c>
      <c r="Q2449" s="0" t="s">
        <v>130</v>
      </c>
      <c r="R2449" s="0" t="s">
        <v>130</v>
      </c>
      <c r="S2449" s="14">
        <v>0</v>
      </c>
      <c r="T2449" s="0" t="s">
        <v>3562</v>
      </c>
      <c r="U2449" s="0" t="s">
        <v>221</v>
      </c>
      <c r="V2449" s="14" t="s">
        <v>3562</v>
      </c>
      <c r="W2449" s="0" t="s">
        <v>221</v>
      </c>
      <c r="X2449" s="14" t="s">
        <v>2842</v>
      </c>
      <c r="Y2449" s="0" t="s">
        <v>223</v>
      </c>
      <c r="Z2449" s="14" t="s">
        <v>138</v>
      </c>
      <c r="AA2449" s="0" t="s">
        <v>224</v>
      </c>
      <c r="AB2449" s="14" t="s">
        <v>138</v>
      </c>
      <c r="AD2449" s="0" t="s">
        <v>17</v>
      </c>
      <c r="AF2449" s="0">
        <v>0</v>
      </c>
      <c r="AG2449" s="0">
        <v>0</v>
      </c>
      <c r="AH2449" s="0" t="s">
        <v>140</v>
      </c>
      <c r="AI2449" s="0" t="s">
        <v>598</v>
      </c>
      <c r="AL2449" s="14"/>
      <c r="AN2449" s="14"/>
      <c r="AQ2449" s="0" t="s">
        <v>130</v>
      </c>
      <c r="AR2449" s="0" t="s">
        <v>130</v>
      </c>
      <c r="AS2449" s="0" t="s">
        <v>141</v>
      </c>
      <c r="AT2449" s="0" t="s">
        <v>130</v>
      </c>
      <c r="AU2449" s="0" t="s">
        <v>130</v>
      </c>
      <c r="AV2449" s="0" t="s">
        <v>130</v>
      </c>
      <c r="AW2449" s="0" t="s">
        <v>130</v>
      </c>
      <c r="AX2449" s="0" t="s">
        <v>141</v>
      </c>
      <c r="AY2449" s="0" t="s">
        <v>130</v>
      </c>
      <c r="AZ2449" s="0" t="s">
        <v>130</v>
      </c>
      <c r="BA2449" s="0" t="s">
        <v>130</v>
      </c>
      <c r="BB2449" s="0" t="s">
        <v>130</v>
      </c>
      <c r="BC2449" s="0" t="s">
        <v>130</v>
      </c>
      <c r="BD2449" s="0" t="s">
        <v>130</v>
      </c>
      <c r="BE2449" s="0" t="s">
        <v>130</v>
      </c>
      <c r="BF2449" s="0" t="s">
        <v>130</v>
      </c>
      <c r="BG2449" s="0" t="s">
        <v>130</v>
      </c>
      <c r="BH2449" s="0" t="s">
        <v>130</v>
      </c>
      <c r="BI2449" s="0" t="s">
        <v>130</v>
      </c>
      <c r="BJ2449" s="0" t="s">
        <v>130</v>
      </c>
      <c r="BK2449" s="0" t="s">
        <v>130</v>
      </c>
      <c r="BL2449" s="0" t="s">
        <v>130</v>
      </c>
      <c r="BM2449" s="0" t="s">
        <v>130</v>
      </c>
      <c r="BN2449" s="0" t="s">
        <v>130</v>
      </c>
      <c r="BO2449" s="0" t="s">
        <v>130</v>
      </c>
      <c r="BP2449" s="0" t="s">
        <v>130</v>
      </c>
      <c r="BQ2449" s="0" t="s">
        <v>130</v>
      </c>
      <c r="BR2449" s="0" t="s">
        <v>130</v>
      </c>
      <c r="BS2449" s="0" t="s">
        <v>130</v>
      </c>
      <c r="BT2449" s="0" t="s">
        <v>130</v>
      </c>
      <c r="BU2449" s="0" t="s">
        <v>130</v>
      </c>
      <c r="BV2449" s="0" t="s">
        <v>130</v>
      </c>
      <c r="BW2449" s="0" t="s">
        <v>130</v>
      </c>
      <c r="BX2449" s="0" t="s">
        <v>130</v>
      </c>
      <c r="BY2449" s="0" t="s">
        <v>130</v>
      </c>
      <c r="BZ2449" s="0" t="s">
        <v>130</v>
      </c>
      <c r="CA2449" s="0" t="s">
        <v>130</v>
      </c>
      <c r="CB2449" s="0" t="s">
        <v>130</v>
      </c>
      <c r="CC2449" s="0" t="s">
        <v>130</v>
      </c>
      <c r="CD2449" s="0" t="s">
        <v>130</v>
      </c>
      <c r="CE2449" s="0" t="s">
        <v>130</v>
      </c>
      <c r="CF2449" s="0" t="s">
        <v>130</v>
      </c>
      <c r="CG2449" s="0" t="s">
        <v>130</v>
      </c>
      <c r="CH2449" s="0" t="s">
        <v>130</v>
      </c>
      <c r="CI2449" s="0" t="s">
        <v>141</v>
      </c>
      <c r="CJ2449" s="0" t="s">
        <v>130</v>
      </c>
      <c r="CK2449" s="0" t="s">
        <v>130</v>
      </c>
      <c r="CL2449" s="0" t="s">
        <v>130</v>
      </c>
      <c r="CM2449" s="0" t="s">
        <v>130</v>
      </c>
      <c r="CN2449" s="0" t="s">
        <v>130</v>
      </c>
      <c r="CO2449" s="0" t="s">
        <v>130</v>
      </c>
      <c r="CP2449" s="0" t="s">
        <v>130</v>
      </c>
      <c r="CQ2449" s="0" t="s">
        <v>130</v>
      </c>
      <c r="CR2449" s="0" t="s">
        <v>130</v>
      </c>
      <c r="CS2449" s="0" t="s">
        <v>130</v>
      </c>
      <c r="CT2449" s="0" t="s">
        <v>6679</v>
      </c>
    </row>
    <row r="2450">
      <c r="A2450" s="14">
        <v>100438</v>
      </c>
      <c r="B2450" s="0" t="s">
        <v>573</v>
      </c>
      <c r="C2450" s="16">
        <f>HYPERLINK("https://eosportal.federatedhermes.com/companies/Q29tcGFueQppNjQzODk=", "Deere &amp; Co")</f>
      </c>
      <c r="D2450" s="0" t="s">
        <v>23</v>
      </c>
      <c r="E2450" s="0" t="s">
        <v>6660</v>
      </c>
      <c r="F2450" s="16">
        <f>HYPERLINK("https://eosportal.federatedhermes.com/engagements/RW5nYWdlbWVudAppMzM4MTY=", "Mental Health in the Workplace")</f>
      </c>
      <c r="G2450" s="14" t="s">
        <v>6675</v>
      </c>
      <c r="H2450" s="0" t="s">
        <v>141</v>
      </c>
      <c r="I2450" s="14" t="s">
        <v>191</v>
      </c>
      <c r="J2450" s="0" t="s">
        <v>153</v>
      </c>
      <c r="K2450" s="0" t="s">
        <v>154</v>
      </c>
      <c r="L2450" s="0" t="s">
        <v>155</v>
      </c>
      <c r="M2450" s="0" t="s">
        <v>135</v>
      </c>
      <c r="N2450" s="0" t="s">
        <v>136</v>
      </c>
      <c r="O2450" s="0" t="s">
        <v>176</v>
      </c>
      <c r="Q2450" s="0" t="s">
        <v>141</v>
      </c>
      <c r="R2450" s="0" t="s">
        <v>130</v>
      </c>
      <c r="S2450" s="14">
        <v>1</v>
      </c>
      <c r="T2450" s="0" t="s">
        <v>3562</v>
      </c>
      <c r="U2450" s="0" t="s">
        <v>221</v>
      </c>
      <c r="V2450" s="14" t="s">
        <v>3562</v>
      </c>
      <c r="W2450" s="0" t="s">
        <v>223</v>
      </c>
      <c r="X2450" s="14" t="s">
        <v>138</v>
      </c>
      <c r="Y2450" s="0" t="s">
        <v>224</v>
      </c>
      <c r="Z2450" s="14" t="s">
        <v>138</v>
      </c>
      <c r="AA2450" s="0" t="s">
        <v>224</v>
      </c>
      <c r="AB2450" s="14" t="s">
        <v>138</v>
      </c>
      <c r="AD2450" s="0" t="s">
        <v>14</v>
      </c>
      <c r="AF2450" s="0">
        <v>0</v>
      </c>
      <c r="AG2450" s="0">
        <v>0</v>
      </c>
      <c r="AH2450" s="0" t="s">
        <v>140</v>
      </c>
      <c r="AI2450" s="0" t="s">
        <v>479</v>
      </c>
      <c r="AK2450" s="0" t="s">
        <v>584</v>
      </c>
      <c r="AL2450" s="14"/>
      <c r="AN2450" s="14"/>
      <c r="AQ2450" s="0" t="s">
        <v>130</v>
      </c>
      <c r="AR2450" s="0" t="s">
        <v>130</v>
      </c>
      <c r="AS2450" s="0" t="s">
        <v>141</v>
      </c>
      <c r="AT2450" s="0" t="s">
        <v>130</v>
      </c>
      <c r="AU2450" s="0" t="s">
        <v>130</v>
      </c>
      <c r="AV2450" s="0" t="s">
        <v>130</v>
      </c>
      <c r="AW2450" s="0" t="s">
        <v>130</v>
      </c>
      <c r="AX2450" s="0" t="s">
        <v>141</v>
      </c>
      <c r="AY2450" s="0" t="s">
        <v>130</v>
      </c>
      <c r="AZ2450" s="0" t="s">
        <v>130</v>
      </c>
      <c r="BA2450" s="0" t="s">
        <v>130</v>
      </c>
      <c r="BB2450" s="0" t="s">
        <v>130</v>
      </c>
      <c r="BC2450" s="0" t="s">
        <v>130</v>
      </c>
      <c r="BD2450" s="0" t="s">
        <v>130</v>
      </c>
      <c r="BE2450" s="0" t="s">
        <v>130</v>
      </c>
      <c r="BF2450" s="0" t="s">
        <v>130</v>
      </c>
      <c r="BG2450" s="0" t="s">
        <v>130</v>
      </c>
      <c r="BH2450" s="0" t="s">
        <v>130</v>
      </c>
      <c r="BI2450" s="0" t="s">
        <v>130</v>
      </c>
      <c r="BJ2450" s="0" t="s">
        <v>130</v>
      </c>
      <c r="BK2450" s="0" t="s">
        <v>130</v>
      </c>
      <c r="BL2450" s="0" t="s">
        <v>130</v>
      </c>
      <c r="BM2450" s="0" t="s">
        <v>130</v>
      </c>
      <c r="BN2450" s="0" t="s">
        <v>130</v>
      </c>
      <c r="BO2450" s="0" t="s">
        <v>130</v>
      </c>
      <c r="BP2450" s="0" t="s">
        <v>130</v>
      </c>
      <c r="BQ2450" s="0" t="s">
        <v>130</v>
      </c>
      <c r="BR2450" s="0" t="s">
        <v>130</v>
      </c>
      <c r="BS2450" s="0" t="s">
        <v>130</v>
      </c>
      <c r="BT2450" s="0" t="s">
        <v>130</v>
      </c>
      <c r="BU2450" s="0" t="s">
        <v>130</v>
      </c>
      <c r="BV2450" s="0" t="s">
        <v>130</v>
      </c>
      <c r="BW2450" s="0" t="s">
        <v>130</v>
      </c>
      <c r="BX2450" s="0" t="s">
        <v>130</v>
      </c>
      <c r="BY2450" s="0" t="s">
        <v>130</v>
      </c>
      <c r="BZ2450" s="0" t="s">
        <v>130</v>
      </c>
      <c r="CA2450" s="0" t="s">
        <v>130</v>
      </c>
      <c r="CB2450" s="0" t="s">
        <v>130</v>
      </c>
      <c r="CC2450" s="0" t="s">
        <v>130</v>
      </c>
      <c r="CD2450" s="0" t="s">
        <v>130</v>
      </c>
      <c r="CE2450" s="0" t="s">
        <v>130</v>
      </c>
      <c r="CF2450" s="0" t="s">
        <v>130</v>
      </c>
      <c r="CG2450" s="0" t="s">
        <v>130</v>
      </c>
      <c r="CH2450" s="0" t="s">
        <v>130</v>
      </c>
      <c r="CI2450" s="0" t="s">
        <v>141</v>
      </c>
      <c r="CJ2450" s="0" t="s">
        <v>130</v>
      </c>
      <c r="CK2450" s="0" t="s">
        <v>130</v>
      </c>
      <c r="CL2450" s="0" t="s">
        <v>130</v>
      </c>
      <c r="CM2450" s="0" t="s">
        <v>130</v>
      </c>
      <c r="CN2450" s="0" t="s">
        <v>130</v>
      </c>
      <c r="CO2450" s="0" t="s">
        <v>130</v>
      </c>
      <c r="CP2450" s="0" t="s">
        <v>130</v>
      </c>
      <c r="CQ2450" s="0" t="s">
        <v>130</v>
      </c>
      <c r="CR2450" s="0" t="s">
        <v>130</v>
      </c>
      <c r="CS2450" s="0" t="s">
        <v>130</v>
      </c>
      <c r="CT2450" s="0" t="s">
        <v>6680</v>
      </c>
    </row>
    <row r="2451">
      <c r="A2451" s="14">
        <v>21445200</v>
      </c>
      <c r="B2451" s="0" t="s">
        <v>4467</v>
      </c>
      <c r="C2451" s="16">
        <f>HYPERLINK("https://eosportal.federatedhermes.com/companies/Q29tcGFueQppNzM3NjM=", "HCA Healthcare Inc")</f>
      </c>
      <c r="D2451" s="0" t="s">
        <v>23</v>
      </c>
      <c r="E2451" s="0" t="s">
        <v>6660</v>
      </c>
      <c r="F2451" s="16">
        <f>HYPERLINK("https://eosportal.federatedhermes.com/engagements/RW5nYWdlbWVudAppMzM4MTc=", "Mental Health in the Workplace")</f>
      </c>
      <c r="G2451" s="14" t="s">
        <v>6675</v>
      </c>
      <c r="H2451" s="0" t="s">
        <v>141</v>
      </c>
      <c r="I2451" s="14" t="s">
        <v>131</v>
      </c>
      <c r="J2451" s="0" t="s">
        <v>153</v>
      </c>
      <c r="K2451" s="0" t="s">
        <v>154</v>
      </c>
      <c r="L2451" s="0" t="s">
        <v>155</v>
      </c>
      <c r="M2451" s="0" t="s">
        <v>135</v>
      </c>
      <c r="N2451" s="0" t="s">
        <v>136</v>
      </c>
      <c r="O2451" s="0" t="s">
        <v>274</v>
      </c>
      <c r="Q2451" s="0" t="s">
        <v>141</v>
      </c>
      <c r="R2451" s="0" t="s">
        <v>130</v>
      </c>
      <c r="S2451" s="14">
        <v>1</v>
      </c>
      <c r="T2451" s="0" t="s">
        <v>3562</v>
      </c>
      <c r="U2451" s="0" t="s">
        <v>221</v>
      </c>
      <c r="V2451" s="14" t="s">
        <v>3562</v>
      </c>
      <c r="W2451" s="0" t="s">
        <v>223</v>
      </c>
      <c r="X2451" s="14" t="s">
        <v>138</v>
      </c>
      <c r="Y2451" s="0" t="s">
        <v>224</v>
      </c>
      <c r="Z2451" s="14" t="s">
        <v>138</v>
      </c>
      <c r="AA2451" s="0" t="s">
        <v>224</v>
      </c>
      <c r="AB2451" s="14" t="s">
        <v>138</v>
      </c>
      <c r="AD2451" s="0" t="s">
        <v>14</v>
      </c>
      <c r="AF2451" s="0">
        <v>0</v>
      </c>
      <c r="AG2451" s="0">
        <v>0</v>
      </c>
      <c r="AH2451" s="0" t="s">
        <v>140</v>
      </c>
      <c r="AI2451" s="0" t="s">
        <v>225</v>
      </c>
      <c r="AK2451" s="0" t="s">
        <v>587</v>
      </c>
      <c r="AL2451" s="14"/>
      <c r="AN2451" s="14"/>
      <c r="AQ2451" s="0" t="s">
        <v>130</v>
      </c>
      <c r="AR2451" s="0" t="s">
        <v>130</v>
      </c>
      <c r="AS2451" s="0" t="s">
        <v>141</v>
      </c>
      <c r="AT2451" s="0" t="s">
        <v>130</v>
      </c>
      <c r="AU2451" s="0" t="s">
        <v>130</v>
      </c>
      <c r="AV2451" s="0" t="s">
        <v>130</v>
      </c>
      <c r="AW2451" s="0" t="s">
        <v>130</v>
      </c>
      <c r="AX2451" s="0" t="s">
        <v>141</v>
      </c>
      <c r="AY2451" s="0" t="s">
        <v>130</v>
      </c>
      <c r="AZ2451" s="0" t="s">
        <v>130</v>
      </c>
      <c r="BA2451" s="0" t="s">
        <v>130</v>
      </c>
      <c r="BB2451" s="0" t="s">
        <v>130</v>
      </c>
      <c r="BC2451" s="0" t="s">
        <v>130</v>
      </c>
      <c r="BD2451" s="0" t="s">
        <v>130</v>
      </c>
      <c r="BE2451" s="0" t="s">
        <v>130</v>
      </c>
      <c r="BF2451" s="0" t="s">
        <v>130</v>
      </c>
      <c r="BG2451" s="0" t="s">
        <v>130</v>
      </c>
      <c r="BH2451" s="0" t="s">
        <v>130</v>
      </c>
      <c r="BI2451" s="0" t="s">
        <v>130</v>
      </c>
      <c r="BJ2451" s="0" t="s">
        <v>130</v>
      </c>
      <c r="BK2451" s="0" t="s">
        <v>130</v>
      </c>
      <c r="BL2451" s="0" t="s">
        <v>130</v>
      </c>
      <c r="BM2451" s="0" t="s">
        <v>130</v>
      </c>
      <c r="BN2451" s="0" t="s">
        <v>130</v>
      </c>
      <c r="BO2451" s="0" t="s">
        <v>130</v>
      </c>
      <c r="BP2451" s="0" t="s">
        <v>130</v>
      </c>
      <c r="BQ2451" s="0" t="s">
        <v>130</v>
      </c>
      <c r="BR2451" s="0" t="s">
        <v>130</v>
      </c>
      <c r="BS2451" s="0" t="s">
        <v>130</v>
      </c>
      <c r="BT2451" s="0" t="s">
        <v>130</v>
      </c>
      <c r="BU2451" s="0" t="s">
        <v>130</v>
      </c>
      <c r="BV2451" s="0" t="s">
        <v>130</v>
      </c>
      <c r="BW2451" s="0" t="s">
        <v>130</v>
      </c>
      <c r="BX2451" s="0" t="s">
        <v>130</v>
      </c>
      <c r="BY2451" s="0" t="s">
        <v>130</v>
      </c>
      <c r="BZ2451" s="0" t="s">
        <v>130</v>
      </c>
      <c r="CA2451" s="0" t="s">
        <v>130</v>
      </c>
      <c r="CB2451" s="0" t="s">
        <v>130</v>
      </c>
      <c r="CC2451" s="0" t="s">
        <v>130</v>
      </c>
      <c r="CD2451" s="0" t="s">
        <v>130</v>
      </c>
      <c r="CE2451" s="0" t="s">
        <v>130</v>
      </c>
      <c r="CF2451" s="0" t="s">
        <v>130</v>
      </c>
      <c r="CG2451" s="0" t="s">
        <v>130</v>
      </c>
      <c r="CH2451" s="0" t="s">
        <v>130</v>
      </c>
      <c r="CI2451" s="0" t="s">
        <v>141</v>
      </c>
      <c r="CJ2451" s="0" t="s">
        <v>130</v>
      </c>
      <c r="CK2451" s="0" t="s">
        <v>130</v>
      </c>
      <c r="CL2451" s="0" t="s">
        <v>130</v>
      </c>
      <c r="CM2451" s="0" t="s">
        <v>130</v>
      </c>
      <c r="CN2451" s="0" t="s">
        <v>130</v>
      </c>
      <c r="CO2451" s="0" t="s">
        <v>130</v>
      </c>
      <c r="CP2451" s="0" t="s">
        <v>130</v>
      </c>
      <c r="CQ2451" s="0" t="s">
        <v>130</v>
      </c>
      <c r="CR2451" s="0" t="s">
        <v>130</v>
      </c>
      <c r="CS2451" s="0" t="s">
        <v>130</v>
      </c>
      <c r="CT2451" s="0" t="s">
        <v>6681</v>
      </c>
    </row>
    <row r="2452">
      <c r="A2452" s="14">
        <v>112319</v>
      </c>
      <c r="B2452" s="0" t="s">
        <v>4913</v>
      </c>
      <c r="C2452" s="16">
        <f>HYPERLINK("https://eosportal.federatedhermes.com/companies/Q29tcGFueQppNjI0NzU=", "Standard Chartered PLC")</f>
      </c>
      <c r="D2452" s="0" t="s">
        <v>25</v>
      </c>
      <c r="E2452" s="0" t="s">
        <v>6682</v>
      </c>
      <c r="F2452" s="16">
        <f>HYPERLINK("https://eosportal.federatedhermes.com/engagements/RW5nYWdlbWVudAppMzM4Mjg=", "AI Governance")</f>
      </c>
      <c r="G2452" s="14" t="s">
        <v>6683</v>
      </c>
      <c r="H2452" s="0" t="s">
        <v>141</v>
      </c>
      <c r="I2452" s="14" t="s">
        <v>191</v>
      </c>
      <c r="J2452" s="0" t="s">
        <v>153</v>
      </c>
      <c r="K2452" s="0" t="s">
        <v>243</v>
      </c>
      <c r="L2452" s="0" t="s">
        <v>537</v>
      </c>
      <c r="M2452" s="0" t="s">
        <v>272</v>
      </c>
      <c r="N2452" s="0" t="s">
        <v>273</v>
      </c>
      <c r="O2452" s="0" t="s">
        <v>238</v>
      </c>
      <c r="Q2452" s="0" t="s">
        <v>130</v>
      </c>
      <c r="R2452" s="0" t="s">
        <v>138</v>
      </c>
      <c r="S2452" s="14">
        <v>0</v>
      </c>
      <c r="T2452" s="0" t="s">
        <v>3562</v>
      </c>
      <c r="U2452" s="0" t="s">
        <v>138</v>
      </c>
      <c r="V2452" s="14" t="s">
        <v>138</v>
      </c>
      <c r="W2452" s="0" t="s">
        <v>138</v>
      </c>
      <c r="X2452" s="14" t="s">
        <v>138</v>
      </c>
      <c r="Y2452" s="0" t="s">
        <v>138</v>
      </c>
      <c r="Z2452" s="14" t="s">
        <v>138</v>
      </c>
      <c r="AA2452" s="0" t="s">
        <v>138</v>
      </c>
      <c r="AB2452" s="14" t="s">
        <v>138</v>
      </c>
      <c r="AD2452" s="0" t="s">
        <v>138</v>
      </c>
      <c r="AF2452" s="0">
        <v>0</v>
      </c>
      <c r="AG2452" s="0">
        <v>0</v>
      </c>
      <c r="AH2452" s="0" t="s">
        <v>140</v>
      </c>
      <c r="AI2452" s="0" t="s">
        <v>138</v>
      </c>
      <c r="AL2452" s="14"/>
      <c r="AN2452" s="14"/>
      <c r="AQ2452" s="0" t="s">
        <v>130</v>
      </c>
      <c r="AR2452" s="0" t="s">
        <v>130</v>
      </c>
      <c r="AS2452" s="0" t="s">
        <v>130</v>
      </c>
      <c r="AT2452" s="0" t="s">
        <v>130</v>
      </c>
      <c r="AU2452" s="0" t="s">
        <v>130</v>
      </c>
      <c r="AV2452" s="0" t="s">
        <v>130</v>
      </c>
      <c r="AW2452" s="0" t="s">
        <v>130</v>
      </c>
      <c r="AX2452" s="0" t="s">
        <v>130</v>
      </c>
      <c r="AY2452" s="0" t="s">
        <v>130</v>
      </c>
      <c r="AZ2452" s="0" t="s">
        <v>130</v>
      </c>
      <c r="BA2452" s="0" t="s">
        <v>130</v>
      </c>
      <c r="BB2452" s="0" t="s">
        <v>130</v>
      </c>
      <c r="BC2452" s="0" t="s">
        <v>130</v>
      </c>
      <c r="BD2452" s="0" t="s">
        <v>130</v>
      </c>
      <c r="BE2452" s="0" t="s">
        <v>130</v>
      </c>
      <c r="BF2452" s="0" t="s">
        <v>141</v>
      </c>
      <c r="BG2452" s="0" t="s">
        <v>130</v>
      </c>
      <c r="BH2452" s="0" t="s">
        <v>130</v>
      </c>
      <c r="BI2452" s="0" t="s">
        <v>130</v>
      </c>
      <c r="BJ2452" s="0" t="s">
        <v>130</v>
      </c>
      <c r="BK2452" s="0" t="s">
        <v>130</v>
      </c>
      <c r="BL2452" s="0" t="s">
        <v>130</v>
      </c>
      <c r="BM2452" s="0" t="s">
        <v>130</v>
      </c>
      <c r="BN2452" s="0" t="s">
        <v>130</v>
      </c>
      <c r="BO2452" s="0" t="s">
        <v>130</v>
      </c>
      <c r="BP2452" s="0" t="s">
        <v>130</v>
      </c>
      <c r="BQ2452" s="0" t="s">
        <v>130</v>
      </c>
      <c r="BR2452" s="0" t="s">
        <v>130</v>
      </c>
      <c r="BS2452" s="0" t="s">
        <v>130</v>
      </c>
      <c r="BT2452" s="0" t="s">
        <v>130</v>
      </c>
      <c r="BU2452" s="0" t="s">
        <v>130</v>
      </c>
      <c r="BV2452" s="0" t="s">
        <v>130</v>
      </c>
      <c r="BW2452" s="0" t="s">
        <v>130</v>
      </c>
      <c r="BX2452" s="0" t="s">
        <v>130</v>
      </c>
      <c r="BY2452" s="0" t="s">
        <v>130</v>
      </c>
      <c r="BZ2452" s="0" t="s">
        <v>130</v>
      </c>
      <c r="CA2452" s="0" t="s">
        <v>130</v>
      </c>
      <c r="CB2452" s="0" t="s">
        <v>130</v>
      </c>
      <c r="CC2452" s="0" t="s">
        <v>130</v>
      </c>
      <c r="CD2452" s="0" t="s">
        <v>130</v>
      </c>
      <c r="CE2452" s="0" t="s">
        <v>130</v>
      </c>
      <c r="CF2452" s="0" t="s">
        <v>130</v>
      </c>
      <c r="CG2452" s="0" t="s">
        <v>130</v>
      </c>
      <c r="CH2452" s="0" t="s">
        <v>130</v>
      </c>
      <c r="CI2452" s="0" t="s">
        <v>130</v>
      </c>
      <c r="CJ2452" s="0" t="s">
        <v>130</v>
      </c>
      <c r="CK2452" s="0" t="s">
        <v>130</v>
      </c>
      <c r="CL2452" s="0" t="s">
        <v>130</v>
      </c>
      <c r="CM2452" s="0" t="s">
        <v>130</v>
      </c>
      <c r="CN2452" s="0" t="s">
        <v>130</v>
      </c>
      <c r="CO2452" s="0" t="s">
        <v>130</v>
      </c>
      <c r="CP2452" s="0" t="s">
        <v>130</v>
      </c>
      <c r="CQ2452" s="0" t="s">
        <v>130</v>
      </c>
      <c r="CR2452" s="0" t="s">
        <v>130</v>
      </c>
      <c r="CS2452" s="0" t="s">
        <v>130</v>
      </c>
      <c r="CT2452" s="0" t="s">
        <v>6684</v>
      </c>
    </row>
    <row r="2453">
      <c r="A2453" s="14">
        <v>101639</v>
      </c>
      <c r="B2453" s="0" t="s">
        <v>1867</v>
      </c>
      <c r="C2453" s="16">
        <f>HYPERLINK("https://eosportal.federatedhermes.com/companies/Q29tcGFueQppNzU2NzE=", "West Pharmaceutical Services Inc")</f>
      </c>
      <c r="D2453" s="0" t="s">
        <v>23</v>
      </c>
      <c r="E2453" s="0" t="s">
        <v>6663</v>
      </c>
      <c r="F2453" s="16">
        <f>HYPERLINK("https://eosportal.federatedhermes.com/engagements/RW5nYWdlbWVudAppMzM4Mzc=", "Mental health support")</f>
      </c>
      <c r="G2453" s="14" t="s">
        <v>6675</v>
      </c>
      <c r="H2453" s="0" t="s">
        <v>130</v>
      </c>
      <c r="I2453" s="14" t="s">
        <v>131</v>
      </c>
      <c r="J2453" s="0" t="s">
        <v>153</v>
      </c>
      <c r="K2453" s="0" t="s">
        <v>154</v>
      </c>
      <c r="L2453" s="0" t="s">
        <v>155</v>
      </c>
      <c r="M2453" s="0" t="s">
        <v>135</v>
      </c>
      <c r="N2453" s="0" t="s">
        <v>136</v>
      </c>
      <c r="O2453" s="0" t="s">
        <v>274</v>
      </c>
      <c r="Q2453" s="0" t="s">
        <v>130</v>
      </c>
      <c r="R2453" s="0" t="s">
        <v>130</v>
      </c>
      <c r="S2453" s="14">
        <v>0</v>
      </c>
      <c r="T2453" s="0" t="s">
        <v>3562</v>
      </c>
      <c r="U2453" s="0" t="s">
        <v>221</v>
      </c>
      <c r="V2453" s="14" t="s">
        <v>3562</v>
      </c>
      <c r="W2453" s="0" t="s">
        <v>221</v>
      </c>
      <c r="X2453" s="14" t="s">
        <v>2428</v>
      </c>
      <c r="Y2453" s="0" t="s">
        <v>223</v>
      </c>
      <c r="Z2453" s="14" t="s">
        <v>138</v>
      </c>
      <c r="AA2453" s="0" t="s">
        <v>224</v>
      </c>
      <c r="AB2453" s="14" t="s">
        <v>138</v>
      </c>
      <c r="AD2453" s="0" t="s">
        <v>17</v>
      </c>
      <c r="AF2453" s="0">
        <v>0</v>
      </c>
      <c r="AG2453" s="0">
        <v>0</v>
      </c>
      <c r="AH2453" s="0" t="s">
        <v>140</v>
      </c>
      <c r="AI2453" s="0" t="s">
        <v>598</v>
      </c>
      <c r="AL2453" s="14"/>
      <c r="AN2453" s="14"/>
      <c r="AQ2453" s="0" t="s">
        <v>130</v>
      </c>
      <c r="AR2453" s="0" t="s">
        <v>130</v>
      </c>
      <c r="AS2453" s="0" t="s">
        <v>141</v>
      </c>
      <c r="AT2453" s="0" t="s">
        <v>130</v>
      </c>
      <c r="AU2453" s="0" t="s">
        <v>130</v>
      </c>
      <c r="AV2453" s="0" t="s">
        <v>130</v>
      </c>
      <c r="AW2453" s="0" t="s">
        <v>130</v>
      </c>
      <c r="AX2453" s="0" t="s">
        <v>141</v>
      </c>
      <c r="AY2453" s="0" t="s">
        <v>130</v>
      </c>
      <c r="AZ2453" s="0" t="s">
        <v>130</v>
      </c>
      <c r="BA2453" s="0" t="s">
        <v>130</v>
      </c>
      <c r="BB2453" s="0" t="s">
        <v>130</v>
      </c>
      <c r="BC2453" s="0" t="s">
        <v>130</v>
      </c>
      <c r="BD2453" s="0" t="s">
        <v>130</v>
      </c>
      <c r="BE2453" s="0" t="s">
        <v>130</v>
      </c>
      <c r="BF2453" s="0" t="s">
        <v>130</v>
      </c>
      <c r="BG2453" s="0" t="s">
        <v>130</v>
      </c>
      <c r="BH2453" s="0" t="s">
        <v>130</v>
      </c>
      <c r="BI2453" s="0" t="s">
        <v>130</v>
      </c>
      <c r="BJ2453" s="0" t="s">
        <v>130</v>
      </c>
      <c r="BK2453" s="0" t="s">
        <v>130</v>
      </c>
      <c r="BL2453" s="0" t="s">
        <v>130</v>
      </c>
      <c r="BM2453" s="0" t="s">
        <v>130</v>
      </c>
      <c r="BN2453" s="0" t="s">
        <v>130</v>
      </c>
      <c r="BO2453" s="0" t="s">
        <v>130</v>
      </c>
      <c r="BP2453" s="0" t="s">
        <v>130</v>
      </c>
      <c r="BQ2453" s="0" t="s">
        <v>130</v>
      </c>
      <c r="BR2453" s="0" t="s">
        <v>130</v>
      </c>
      <c r="BS2453" s="0" t="s">
        <v>130</v>
      </c>
      <c r="BT2453" s="0" t="s">
        <v>130</v>
      </c>
      <c r="BU2453" s="0" t="s">
        <v>130</v>
      </c>
      <c r="BV2453" s="0" t="s">
        <v>130</v>
      </c>
      <c r="BW2453" s="0" t="s">
        <v>130</v>
      </c>
      <c r="BX2453" s="0" t="s">
        <v>130</v>
      </c>
      <c r="BY2453" s="0" t="s">
        <v>130</v>
      </c>
      <c r="BZ2453" s="0" t="s">
        <v>130</v>
      </c>
      <c r="CA2453" s="0" t="s">
        <v>130</v>
      </c>
      <c r="CB2453" s="0" t="s">
        <v>130</v>
      </c>
      <c r="CC2453" s="0" t="s">
        <v>130</v>
      </c>
      <c r="CD2453" s="0" t="s">
        <v>130</v>
      </c>
      <c r="CE2453" s="0" t="s">
        <v>130</v>
      </c>
      <c r="CF2453" s="0" t="s">
        <v>130</v>
      </c>
      <c r="CG2453" s="0" t="s">
        <v>130</v>
      </c>
      <c r="CH2453" s="0" t="s">
        <v>130</v>
      </c>
      <c r="CI2453" s="0" t="s">
        <v>141</v>
      </c>
      <c r="CJ2453" s="0" t="s">
        <v>130</v>
      </c>
      <c r="CK2453" s="0" t="s">
        <v>130</v>
      </c>
      <c r="CL2453" s="0" t="s">
        <v>130</v>
      </c>
      <c r="CM2453" s="0" t="s">
        <v>130</v>
      </c>
      <c r="CN2453" s="0" t="s">
        <v>130</v>
      </c>
      <c r="CO2453" s="0" t="s">
        <v>130</v>
      </c>
      <c r="CP2453" s="0" t="s">
        <v>130</v>
      </c>
      <c r="CQ2453" s="0" t="s">
        <v>130</v>
      </c>
      <c r="CR2453" s="0" t="s">
        <v>130</v>
      </c>
      <c r="CS2453" s="0" t="s">
        <v>130</v>
      </c>
      <c r="CT2453" s="0" t="s">
        <v>6685</v>
      </c>
    </row>
    <row r="2454">
      <c r="A2454" s="14">
        <v>112319</v>
      </c>
      <c r="B2454" s="0" t="s">
        <v>4913</v>
      </c>
      <c r="C2454" s="16">
        <f>HYPERLINK("https://eosportal.federatedhermes.com/companies/Q29tcGFueQppNjI0NzU=", "Standard Chartered PLC")</f>
      </c>
      <c r="D2454" s="0" t="s">
        <v>25</v>
      </c>
      <c r="E2454" s="0" t="s">
        <v>6686</v>
      </c>
      <c r="F2454" s="16">
        <f>HYPERLINK("https://eosportal.federatedhermes.com/engagements/RW5nYWdlbWVudAppMzM4NDM=", "Human Rights Due Diligence")</f>
      </c>
      <c r="G2454" s="14" t="s">
        <v>6687</v>
      </c>
      <c r="H2454" s="0" t="s">
        <v>141</v>
      </c>
      <c r="I2454" s="14" t="s">
        <v>191</v>
      </c>
      <c r="J2454" s="0" t="s">
        <v>153</v>
      </c>
      <c r="K2454" s="0" t="s">
        <v>243</v>
      </c>
      <c r="L2454" s="0" t="s">
        <v>571</v>
      </c>
      <c r="M2454" s="0" t="s">
        <v>272</v>
      </c>
      <c r="N2454" s="0" t="s">
        <v>273</v>
      </c>
      <c r="O2454" s="0" t="s">
        <v>238</v>
      </c>
      <c r="Q2454" s="0" t="s">
        <v>130</v>
      </c>
      <c r="R2454" s="0" t="s">
        <v>138</v>
      </c>
      <c r="S2454" s="14">
        <v>0</v>
      </c>
      <c r="T2454" s="0" t="s">
        <v>3562</v>
      </c>
      <c r="U2454" s="0" t="s">
        <v>138</v>
      </c>
      <c r="V2454" s="14" t="s">
        <v>138</v>
      </c>
      <c r="W2454" s="0" t="s">
        <v>138</v>
      </c>
      <c r="X2454" s="14" t="s">
        <v>138</v>
      </c>
      <c r="Y2454" s="0" t="s">
        <v>138</v>
      </c>
      <c r="Z2454" s="14" t="s">
        <v>138</v>
      </c>
      <c r="AA2454" s="0" t="s">
        <v>138</v>
      </c>
      <c r="AB2454" s="14" t="s">
        <v>138</v>
      </c>
      <c r="AD2454" s="0" t="s">
        <v>138</v>
      </c>
      <c r="AF2454" s="0">
        <v>0</v>
      </c>
      <c r="AG2454" s="0">
        <v>0</v>
      </c>
      <c r="AH2454" s="0" t="s">
        <v>140</v>
      </c>
      <c r="AI2454" s="0" t="s">
        <v>138</v>
      </c>
      <c r="AL2454" s="14"/>
      <c r="AN2454" s="14"/>
      <c r="AQ2454" s="0" t="s">
        <v>130</v>
      </c>
      <c r="AR2454" s="0" t="s">
        <v>130</v>
      </c>
      <c r="AS2454" s="0" t="s">
        <v>130</v>
      </c>
      <c r="AT2454" s="0" t="s">
        <v>130</v>
      </c>
      <c r="AU2454" s="0" t="s">
        <v>130</v>
      </c>
      <c r="AV2454" s="0" t="s">
        <v>130</v>
      </c>
      <c r="AW2454" s="0" t="s">
        <v>130</v>
      </c>
      <c r="AX2454" s="0" t="s">
        <v>130</v>
      </c>
      <c r="AY2454" s="0" t="s">
        <v>130</v>
      </c>
      <c r="AZ2454" s="0" t="s">
        <v>130</v>
      </c>
      <c r="BA2454" s="0" t="s">
        <v>130</v>
      </c>
      <c r="BB2454" s="0" t="s">
        <v>130</v>
      </c>
      <c r="BC2454" s="0" t="s">
        <v>130</v>
      </c>
      <c r="BD2454" s="0" t="s">
        <v>130</v>
      </c>
      <c r="BE2454" s="0" t="s">
        <v>130</v>
      </c>
      <c r="BF2454" s="0" t="s">
        <v>141</v>
      </c>
      <c r="BG2454" s="0" t="s">
        <v>130</v>
      </c>
      <c r="BH2454" s="0" t="s">
        <v>130</v>
      </c>
      <c r="BI2454" s="0" t="s">
        <v>130</v>
      </c>
      <c r="BJ2454" s="0" t="s">
        <v>130</v>
      </c>
      <c r="BK2454" s="0" t="s">
        <v>130</v>
      </c>
      <c r="BL2454" s="0" t="s">
        <v>130</v>
      </c>
      <c r="BM2454" s="0" t="s">
        <v>130</v>
      </c>
      <c r="BN2454" s="0" t="s">
        <v>130</v>
      </c>
      <c r="BO2454" s="0" t="s">
        <v>130</v>
      </c>
      <c r="BP2454" s="0" t="s">
        <v>130</v>
      </c>
      <c r="BQ2454" s="0" t="s">
        <v>130</v>
      </c>
      <c r="BR2454" s="0" t="s">
        <v>130</v>
      </c>
      <c r="BS2454" s="0" t="s">
        <v>130</v>
      </c>
      <c r="BT2454" s="0" t="s">
        <v>130</v>
      </c>
      <c r="BU2454" s="0" t="s">
        <v>130</v>
      </c>
      <c r="BV2454" s="0" t="s">
        <v>130</v>
      </c>
      <c r="BW2454" s="0" t="s">
        <v>130</v>
      </c>
      <c r="BX2454" s="0" t="s">
        <v>130</v>
      </c>
      <c r="BY2454" s="0" t="s">
        <v>130</v>
      </c>
      <c r="BZ2454" s="0" t="s">
        <v>130</v>
      </c>
      <c r="CA2454" s="0" t="s">
        <v>130</v>
      </c>
      <c r="CB2454" s="0" t="s">
        <v>130</v>
      </c>
      <c r="CC2454" s="0" t="s">
        <v>130</v>
      </c>
      <c r="CD2454" s="0" t="s">
        <v>130</v>
      </c>
      <c r="CE2454" s="0" t="s">
        <v>130</v>
      </c>
      <c r="CF2454" s="0" t="s">
        <v>130</v>
      </c>
      <c r="CG2454" s="0" t="s">
        <v>130</v>
      </c>
      <c r="CH2454" s="0" t="s">
        <v>130</v>
      </c>
      <c r="CI2454" s="0" t="s">
        <v>130</v>
      </c>
      <c r="CJ2454" s="0" t="s">
        <v>130</v>
      </c>
      <c r="CK2454" s="0" t="s">
        <v>130</v>
      </c>
      <c r="CL2454" s="0" t="s">
        <v>130</v>
      </c>
      <c r="CM2454" s="0" t="s">
        <v>130</v>
      </c>
      <c r="CN2454" s="0" t="s">
        <v>130</v>
      </c>
      <c r="CO2454" s="0" t="s">
        <v>130</v>
      </c>
      <c r="CP2454" s="0" t="s">
        <v>130</v>
      </c>
      <c r="CQ2454" s="0" t="s">
        <v>130</v>
      </c>
      <c r="CR2454" s="0" t="s">
        <v>130</v>
      </c>
      <c r="CS2454" s="0" t="s">
        <v>130</v>
      </c>
      <c r="CT2454" s="0" t="s">
        <v>6688</v>
      </c>
    </row>
    <row r="2455">
      <c r="A2455" s="14">
        <v>115675</v>
      </c>
      <c r="B2455" s="0" t="s">
        <v>2585</v>
      </c>
      <c r="C2455" s="16">
        <f>HYPERLINK("https://eosportal.federatedhermes.com/companies/Q29tcGFueQppNjI0NzI=", "RWE AG")</f>
      </c>
      <c r="D2455" s="0" t="s">
        <v>23</v>
      </c>
      <c r="E2455" s="0" t="s">
        <v>6689</v>
      </c>
      <c r="F2455" s="16">
        <f>HYPERLINK("https://eosportal.federatedhermes.com/engagements/RW5nYWdlbWVudAppMzM4NDY=", "Improved processes to identify and manage human rights risks")</f>
      </c>
      <c r="G2455" s="14" t="s">
        <v>6690</v>
      </c>
      <c r="H2455" s="0" t="s">
        <v>141</v>
      </c>
      <c r="I2455" s="14" t="s">
        <v>191</v>
      </c>
      <c r="J2455" s="0" t="s">
        <v>153</v>
      </c>
      <c r="K2455" s="0" t="s">
        <v>243</v>
      </c>
      <c r="L2455" s="0" t="s">
        <v>571</v>
      </c>
      <c r="M2455" s="0" t="s">
        <v>378</v>
      </c>
      <c r="N2455" s="0" t="s">
        <v>2485</v>
      </c>
      <c r="O2455" s="0" t="s">
        <v>192</v>
      </c>
      <c r="Q2455" s="0" t="s">
        <v>130</v>
      </c>
      <c r="R2455" s="0" t="s">
        <v>130</v>
      </c>
      <c r="S2455" s="14">
        <v>0</v>
      </c>
      <c r="T2455" s="0" t="s">
        <v>478</v>
      </c>
      <c r="U2455" s="0" t="s">
        <v>221</v>
      </c>
      <c r="V2455" s="14" t="s">
        <v>478</v>
      </c>
      <c r="W2455" s="0" t="s">
        <v>221</v>
      </c>
      <c r="X2455" s="14" t="s">
        <v>3562</v>
      </c>
      <c r="Y2455" s="0" t="s">
        <v>223</v>
      </c>
      <c r="Z2455" s="14" t="s">
        <v>138</v>
      </c>
      <c r="AA2455" s="0" t="s">
        <v>224</v>
      </c>
      <c r="AB2455" s="14" t="s">
        <v>138</v>
      </c>
      <c r="AD2455" s="0" t="s">
        <v>17</v>
      </c>
      <c r="AF2455" s="0">
        <v>0</v>
      </c>
      <c r="AG2455" s="0">
        <v>0</v>
      </c>
      <c r="AH2455" s="0" t="s">
        <v>140</v>
      </c>
      <c r="AI2455" s="0" t="s">
        <v>479</v>
      </c>
      <c r="AL2455" s="14"/>
      <c r="AN2455" s="14"/>
      <c r="AQ2455" s="0" t="s">
        <v>130</v>
      </c>
      <c r="AR2455" s="0" t="s">
        <v>130</v>
      </c>
      <c r="AS2455" s="0" t="s">
        <v>130</v>
      </c>
      <c r="AT2455" s="0" t="s">
        <v>130</v>
      </c>
      <c r="AU2455" s="0" t="s">
        <v>130</v>
      </c>
      <c r="AV2455" s="0" t="s">
        <v>130</v>
      </c>
      <c r="AW2455" s="0" t="s">
        <v>130</v>
      </c>
      <c r="AX2455" s="0" t="s">
        <v>130</v>
      </c>
      <c r="AY2455" s="0" t="s">
        <v>130</v>
      </c>
      <c r="AZ2455" s="0" t="s">
        <v>130</v>
      </c>
      <c r="BA2455" s="0" t="s">
        <v>130</v>
      </c>
      <c r="BB2455" s="0" t="s">
        <v>130</v>
      </c>
      <c r="BC2455" s="0" t="s">
        <v>130</v>
      </c>
      <c r="BD2455" s="0" t="s">
        <v>130</v>
      </c>
      <c r="BE2455" s="0" t="s">
        <v>130</v>
      </c>
      <c r="BF2455" s="0" t="s">
        <v>141</v>
      </c>
      <c r="BG2455" s="0" t="s">
        <v>130</v>
      </c>
      <c r="BH2455" s="0" t="s">
        <v>130</v>
      </c>
      <c r="BI2455" s="0" t="s">
        <v>130</v>
      </c>
      <c r="BJ2455" s="0" t="s">
        <v>130</v>
      </c>
      <c r="BK2455" s="0" t="s">
        <v>130</v>
      </c>
      <c r="BL2455" s="0" t="s">
        <v>130</v>
      </c>
      <c r="BM2455" s="0" t="s">
        <v>130</v>
      </c>
      <c r="BN2455" s="0" t="s">
        <v>130</v>
      </c>
      <c r="BO2455" s="0" t="s">
        <v>130</v>
      </c>
      <c r="BP2455" s="0" t="s">
        <v>130</v>
      </c>
      <c r="BQ2455" s="0" t="s">
        <v>130</v>
      </c>
      <c r="BR2455" s="0" t="s">
        <v>130</v>
      </c>
      <c r="BS2455" s="0" t="s">
        <v>130</v>
      </c>
      <c r="BT2455" s="0" t="s">
        <v>130</v>
      </c>
      <c r="BU2455" s="0" t="s">
        <v>130</v>
      </c>
      <c r="BV2455" s="0" t="s">
        <v>130</v>
      </c>
      <c r="BW2455" s="0" t="s">
        <v>130</v>
      </c>
      <c r="BX2455" s="0" t="s">
        <v>130</v>
      </c>
      <c r="BY2455" s="0" t="s">
        <v>130</v>
      </c>
      <c r="BZ2455" s="0" t="s">
        <v>130</v>
      </c>
      <c r="CA2455" s="0" t="s">
        <v>130</v>
      </c>
      <c r="CB2455" s="0" t="s">
        <v>130</v>
      </c>
      <c r="CC2455" s="0" t="s">
        <v>130</v>
      </c>
      <c r="CD2455" s="0" t="s">
        <v>130</v>
      </c>
      <c r="CE2455" s="0" t="s">
        <v>130</v>
      </c>
      <c r="CF2455" s="0" t="s">
        <v>130</v>
      </c>
      <c r="CG2455" s="0" t="s">
        <v>130</v>
      </c>
      <c r="CH2455" s="0" t="s">
        <v>130</v>
      </c>
      <c r="CI2455" s="0" t="s">
        <v>130</v>
      </c>
      <c r="CJ2455" s="0" t="s">
        <v>130</v>
      </c>
      <c r="CK2455" s="0" t="s">
        <v>130</v>
      </c>
      <c r="CL2455" s="0" t="s">
        <v>130</v>
      </c>
      <c r="CM2455" s="0" t="s">
        <v>130</v>
      </c>
      <c r="CN2455" s="0" t="s">
        <v>141</v>
      </c>
      <c r="CO2455" s="0" t="s">
        <v>130</v>
      </c>
      <c r="CP2455" s="0" t="s">
        <v>130</v>
      </c>
      <c r="CQ2455" s="0" t="s">
        <v>130</v>
      </c>
      <c r="CR2455" s="0" t="s">
        <v>130</v>
      </c>
      <c r="CS2455" s="0" t="s">
        <v>130</v>
      </c>
      <c r="CT2455" s="0" t="s">
        <v>6691</v>
      </c>
    </row>
    <row r="2456">
      <c r="A2456" s="14">
        <v>112428</v>
      </c>
      <c r="B2456" s="0" t="s">
        <v>975</v>
      </c>
      <c r="C2456" s="16">
        <f>HYPERLINK("https://eosportal.federatedhermes.com/companies/Q29tcGFueQppNDQ0Mjg=", "Lloyds Banking Group PLC")</f>
      </c>
      <c r="D2456" s="0" t="s">
        <v>25</v>
      </c>
      <c r="E2456" s="0" t="s">
        <v>6682</v>
      </c>
      <c r="F2456" s="16">
        <f>HYPERLINK("https://eosportal.federatedhermes.com/engagements/RW5nYWdlbWVudAppMzM4NDg=", "AI Governance")</f>
      </c>
      <c r="G2456" s="14" t="s">
        <v>6683</v>
      </c>
      <c r="H2456" s="0" t="s">
        <v>141</v>
      </c>
      <c r="I2456" s="14" t="s">
        <v>636</v>
      </c>
      <c r="J2456" s="0" t="s">
        <v>153</v>
      </c>
      <c r="K2456" s="0" t="s">
        <v>243</v>
      </c>
      <c r="L2456" s="0" t="s">
        <v>537</v>
      </c>
      <c r="M2456" s="0" t="s">
        <v>272</v>
      </c>
      <c r="N2456" s="0" t="s">
        <v>273</v>
      </c>
      <c r="O2456" s="0" t="s">
        <v>238</v>
      </c>
      <c r="Q2456" s="0" t="s">
        <v>141</v>
      </c>
      <c r="R2456" s="0" t="s">
        <v>138</v>
      </c>
      <c r="S2456" s="14">
        <v>1</v>
      </c>
      <c r="T2456" s="0" t="s">
        <v>3562</v>
      </c>
      <c r="U2456" s="0" t="s">
        <v>138</v>
      </c>
      <c r="V2456" s="14" t="s">
        <v>138</v>
      </c>
      <c r="W2456" s="0" t="s">
        <v>138</v>
      </c>
      <c r="X2456" s="14" t="s">
        <v>138</v>
      </c>
      <c r="Y2456" s="0" t="s">
        <v>138</v>
      </c>
      <c r="Z2456" s="14" t="s">
        <v>138</v>
      </c>
      <c r="AA2456" s="0" t="s">
        <v>138</v>
      </c>
      <c r="AB2456" s="14" t="s">
        <v>138</v>
      </c>
      <c r="AD2456" s="0" t="s">
        <v>138</v>
      </c>
      <c r="AF2456" s="0">
        <v>0</v>
      </c>
      <c r="AG2456" s="0">
        <v>0</v>
      </c>
      <c r="AH2456" s="0" t="s">
        <v>140</v>
      </c>
      <c r="AI2456" s="0" t="s">
        <v>138</v>
      </c>
      <c r="AK2456" s="0" t="s">
        <v>413</v>
      </c>
      <c r="AL2456" s="14"/>
      <c r="AN2456" s="14"/>
      <c r="AQ2456" s="0" t="s">
        <v>130</v>
      </c>
      <c r="AR2456" s="0" t="s">
        <v>130</v>
      </c>
      <c r="AS2456" s="0" t="s">
        <v>130</v>
      </c>
      <c r="AT2456" s="0" t="s">
        <v>130</v>
      </c>
      <c r="AU2456" s="0" t="s">
        <v>130</v>
      </c>
      <c r="AV2456" s="0" t="s">
        <v>130</v>
      </c>
      <c r="AW2456" s="0" t="s">
        <v>130</v>
      </c>
      <c r="AX2456" s="0" t="s">
        <v>130</v>
      </c>
      <c r="AY2456" s="0" t="s">
        <v>130</v>
      </c>
      <c r="AZ2456" s="0" t="s">
        <v>130</v>
      </c>
      <c r="BA2456" s="0" t="s">
        <v>130</v>
      </c>
      <c r="BB2456" s="0" t="s">
        <v>130</v>
      </c>
      <c r="BC2456" s="0" t="s">
        <v>130</v>
      </c>
      <c r="BD2456" s="0" t="s">
        <v>130</v>
      </c>
      <c r="BE2456" s="0" t="s">
        <v>130</v>
      </c>
      <c r="BF2456" s="0" t="s">
        <v>141</v>
      </c>
      <c r="BG2456" s="0" t="s">
        <v>130</v>
      </c>
      <c r="BH2456" s="0" t="s">
        <v>130</v>
      </c>
      <c r="BI2456" s="0" t="s">
        <v>130</v>
      </c>
      <c r="BJ2456" s="0" t="s">
        <v>130</v>
      </c>
      <c r="BK2456" s="0" t="s">
        <v>130</v>
      </c>
      <c r="BL2456" s="0" t="s">
        <v>130</v>
      </c>
      <c r="BM2456" s="0" t="s">
        <v>130</v>
      </c>
      <c r="BN2456" s="0" t="s">
        <v>130</v>
      </c>
      <c r="BO2456" s="0" t="s">
        <v>130</v>
      </c>
      <c r="BP2456" s="0" t="s">
        <v>130</v>
      </c>
      <c r="BQ2456" s="0" t="s">
        <v>130</v>
      </c>
      <c r="BR2456" s="0" t="s">
        <v>130</v>
      </c>
      <c r="BS2456" s="0" t="s">
        <v>130</v>
      </c>
      <c r="BT2456" s="0" t="s">
        <v>130</v>
      </c>
      <c r="BU2456" s="0" t="s">
        <v>130</v>
      </c>
      <c r="BV2456" s="0" t="s">
        <v>130</v>
      </c>
      <c r="BW2456" s="0" t="s">
        <v>130</v>
      </c>
      <c r="BX2456" s="0" t="s">
        <v>130</v>
      </c>
      <c r="BY2456" s="0" t="s">
        <v>130</v>
      </c>
      <c r="BZ2456" s="0" t="s">
        <v>130</v>
      </c>
      <c r="CA2456" s="0" t="s">
        <v>130</v>
      </c>
      <c r="CB2456" s="0" t="s">
        <v>130</v>
      </c>
      <c r="CC2456" s="0" t="s">
        <v>130</v>
      </c>
      <c r="CD2456" s="0" t="s">
        <v>130</v>
      </c>
      <c r="CE2456" s="0" t="s">
        <v>130</v>
      </c>
      <c r="CF2456" s="0" t="s">
        <v>130</v>
      </c>
      <c r="CG2456" s="0" t="s">
        <v>130</v>
      </c>
      <c r="CH2456" s="0" t="s">
        <v>130</v>
      </c>
      <c r="CI2456" s="0" t="s">
        <v>130</v>
      </c>
      <c r="CJ2456" s="0" t="s">
        <v>130</v>
      </c>
      <c r="CK2456" s="0" t="s">
        <v>130</v>
      </c>
      <c r="CL2456" s="0" t="s">
        <v>130</v>
      </c>
      <c r="CM2456" s="0" t="s">
        <v>130</v>
      </c>
      <c r="CN2456" s="0" t="s">
        <v>130</v>
      </c>
      <c r="CO2456" s="0" t="s">
        <v>130</v>
      </c>
      <c r="CP2456" s="0" t="s">
        <v>130</v>
      </c>
      <c r="CQ2456" s="0" t="s">
        <v>130</v>
      </c>
      <c r="CR2456" s="0" t="s">
        <v>130</v>
      </c>
      <c r="CS2456" s="0" t="s">
        <v>130</v>
      </c>
      <c r="CT2456" s="0" t="s">
        <v>6692</v>
      </c>
    </row>
    <row r="2457">
      <c r="A2457" s="14">
        <v>112428</v>
      </c>
      <c r="B2457" s="0" t="s">
        <v>975</v>
      </c>
      <c r="C2457" s="16">
        <f>HYPERLINK("https://eosportal.federatedhermes.com/companies/Q29tcGFueQppNDQ0Mjg=", "Lloyds Banking Group PLC")</f>
      </c>
      <c r="D2457" s="0" t="s">
        <v>25</v>
      </c>
      <c r="E2457" s="0" t="s">
        <v>6686</v>
      </c>
      <c r="F2457" s="16">
        <f>HYPERLINK("https://eosportal.federatedhermes.com/engagements/RW5nYWdlbWVudAppMzM4NDk=", "Human Rights Due Diligence")</f>
      </c>
      <c r="G2457" s="14" t="s">
        <v>6687</v>
      </c>
      <c r="H2457" s="0" t="s">
        <v>141</v>
      </c>
      <c r="I2457" s="14" t="s">
        <v>636</v>
      </c>
      <c r="J2457" s="0" t="s">
        <v>153</v>
      </c>
      <c r="K2457" s="0" t="s">
        <v>243</v>
      </c>
      <c r="L2457" s="0" t="s">
        <v>571</v>
      </c>
      <c r="M2457" s="0" t="s">
        <v>272</v>
      </c>
      <c r="N2457" s="0" t="s">
        <v>273</v>
      </c>
      <c r="O2457" s="0" t="s">
        <v>238</v>
      </c>
      <c r="Q2457" s="0" t="s">
        <v>141</v>
      </c>
      <c r="R2457" s="0" t="s">
        <v>138</v>
      </c>
      <c r="S2457" s="14">
        <v>1</v>
      </c>
      <c r="T2457" s="0" t="s">
        <v>3562</v>
      </c>
      <c r="U2457" s="0" t="s">
        <v>138</v>
      </c>
      <c r="V2457" s="14" t="s">
        <v>138</v>
      </c>
      <c r="W2457" s="0" t="s">
        <v>138</v>
      </c>
      <c r="X2457" s="14" t="s">
        <v>138</v>
      </c>
      <c r="Y2457" s="0" t="s">
        <v>138</v>
      </c>
      <c r="Z2457" s="14" t="s">
        <v>138</v>
      </c>
      <c r="AA2457" s="0" t="s">
        <v>138</v>
      </c>
      <c r="AB2457" s="14" t="s">
        <v>138</v>
      </c>
      <c r="AD2457" s="0" t="s">
        <v>138</v>
      </c>
      <c r="AF2457" s="0">
        <v>0</v>
      </c>
      <c r="AG2457" s="0">
        <v>0</v>
      </c>
      <c r="AH2457" s="0" t="s">
        <v>140</v>
      </c>
      <c r="AI2457" s="0" t="s">
        <v>138</v>
      </c>
      <c r="AK2457" s="0" t="s">
        <v>413</v>
      </c>
      <c r="AL2457" s="14"/>
      <c r="AN2457" s="14"/>
      <c r="AQ2457" s="0" t="s">
        <v>130</v>
      </c>
      <c r="AR2457" s="0" t="s">
        <v>130</v>
      </c>
      <c r="AS2457" s="0" t="s">
        <v>130</v>
      </c>
      <c r="AT2457" s="0" t="s">
        <v>130</v>
      </c>
      <c r="AU2457" s="0" t="s">
        <v>130</v>
      </c>
      <c r="AV2457" s="0" t="s">
        <v>130</v>
      </c>
      <c r="AW2457" s="0" t="s">
        <v>130</v>
      </c>
      <c r="AX2457" s="0" t="s">
        <v>130</v>
      </c>
      <c r="AY2457" s="0" t="s">
        <v>130</v>
      </c>
      <c r="AZ2457" s="0" t="s">
        <v>130</v>
      </c>
      <c r="BA2457" s="0" t="s">
        <v>130</v>
      </c>
      <c r="BB2457" s="0" t="s">
        <v>130</v>
      </c>
      <c r="BC2457" s="0" t="s">
        <v>130</v>
      </c>
      <c r="BD2457" s="0" t="s">
        <v>130</v>
      </c>
      <c r="BE2457" s="0" t="s">
        <v>130</v>
      </c>
      <c r="BF2457" s="0" t="s">
        <v>141</v>
      </c>
      <c r="BG2457" s="0" t="s">
        <v>130</v>
      </c>
      <c r="BH2457" s="0" t="s">
        <v>130</v>
      </c>
      <c r="BI2457" s="0" t="s">
        <v>130</v>
      </c>
      <c r="BJ2457" s="0" t="s">
        <v>130</v>
      </c>
      <c r="BK2457" s="0" t="s">
        <v>130</v>
      </c>
      <c r="BL2457" s="0" t="s">
        <v>130</v>
      </c>
      <c r="BM2457" s="0" t="s">
        <v>130</v>
      </c>
      <c r="BN2457" s="0" t="s">
        <v>130</v>
      </c>
      <c r="BO2457" s="0" t="s">
        <v>130</v>
      </c>
      <c r="BP2457" s="0" t="s">
        <v>130</v>
      </c>
      <c r="BQ2457" s="0" t="s">
        <v>130</v>
      </c>
      <c r="BR2457" s="0" t="s">
        <v>130</v>
      </c>
      <c r="BS2457" s="0" t="s">
        <v>130</v>
      </c>
      <c r="BT2457" s="0" t="s">
        <v>130</v>
      </c>
      <c r="BU2457" s="0" t="s">
        <v>130</v>
      </c>
      <c r="BV2457" s="0" t="s">
        <v>130</v>
      </c>
      <c r="BW2457" s="0" t="s">
        <v>130</v>
      </c>
      <c r="BX2457" s="0" t="s">
        <v>130</v>
      </c>
      <c r="BY2457" s="0" t="s">
        <v>130</v>
      </c>
      <c r="BZ2457" s="0" t="s">
        <v>130</v>
      </c>
      <c r="CA2457" s="0" t="s">
        <v>130</v>
      </c>
      <c r="CB2457" s="0" t="s">
        <v>130</v>
      </c>
      <c r="CC2457" s="0" t="s">
        <v>130</v>
      </c>
      <c r="CD2457" s="0" t="s">
        <v>130</v>
      </c>
      <c r="CE2457" s="0" t="s">
        <v>130</v>
      </c>
      <c r="CF2457" s="0" t="s">
        <v>130</v>
      </c>
      <c r="CG2457" s="0" t="s">
        <v>130</v>
      </c>
      <c r="CH2457" s="0" t="s">
        <v>130</v>
      </c>
      <c r="CI2457" s="0" t="s">
        <v>130</v>
      </c>
      <c r="CJ2457" s="0" t="s">
        <v>130</v>
      </c>
      <c r="CK2457" s="0" t="s">
        <v>130</v>
      </c>
      <c r="CL2457" s="0" t="s">
        <v>130</v>
      </c>
      <c r="CM2457" s="0" t="s">
        <v>130</v>
      </c>
      <c r="CN2457" s="0" t="s">
        <v>130</v>
      </c>
      <c r="CO2457" s="0" t="s">
        <v>130</v>
      </c>
      <c r="CP2457" s="0" t="s">
        <v>130</v>
      </c>
      <c r="CQ2457" s="0" t="s">
        <v>130</v>
      </c>
      <c r="CR2457" s="0" t="s">
        <v>130</v>
      </c>
      <c r="CS2457" s="0" t="s">
        <v>130</v>
      </c>
      <c r="CT2457" s="0" t="s">
        <v>6693</v>
      </c>
    </row>
    <row r="2458">
      <c r="A2458" s="14">
        <v>101372</v>
      </c>
      <c r="B2458" s="0" t="s">
        <v>1566</v>
      </c>
      <c r="C2458" s="16">
        <f>HYPERLINK("https://eosportal.federatedhermes.com/companies/Q29tcGFueQppNjI0NjU=", "Truist Financial Corp")</f>
      </c>
      <c r="D2458" s="0" t="s">
        <v>23</v>
      </c>
      <c r="E2458" s="0" t="s">
        <v>5543</v>
      </c>
      <c r="F2458" s="16">
        <f>HYPERLINK("https://eosportal.federatedhermes.com/engagements/RW5nYWdlbWVudAppMzM4NzI=", "Methane management best practices")</f>
      </c>
      <c r="G2458" s="14" t="s">
        <v>5008</v>
      </c>
      <c r="H2458" s="0" t="s">
        <v>130</v>
      </c>
      <c r="I2458" s="14" t="s">
        <v>131</v>
      </c>
      <c r="J2458" s="0" t="s">
        <v>197</v>
      </c>
      <c r="K2458" s="0" t="s">
        <v>198</v>
      </c>
      <c r="L2458" s="0" t="s">
        <v>220</v>
      </c>
      <c r="M2458" s="0" t="s">
        <v>135</v>
      </c>
      <c r="N2458" s="0" t="s">
        <v>136</v>
      </c>
      <c r="O2458" s="0" t="s">
        <v>238</v>
      </c>
      <c r="Q2458" s="0" t="s">
        <v>141</v>
      </c>
      <c r="R2458" s="0" t="s">
        <v>141</v>
      </c>
      <c r="S2458" s="14">
        <v>2</v>
      </c>
      <c r="T2458" s="0" t="s">
        <v>3562</v>
      </c>
      <c r="U2458" s="0" t="s">
        <v>221</v>
      </c>
      <c r="V2458" s="14" t="s">
        <v>3562</v>
      </c>
      <c r="W2458" s="0" t="s">
        <v>221</v>
      </c>
      <c r="X2458" s="14" t="s">
        <v>361</v>
      </c>
      <c r="Y2458" s="0" t="s">
        <v>223</v>
      </c>
      <c r="Z2458" s="14" t="s">
        <v>138</v>
      </c>
      <c r="AA2458" s="0" t="s">
        <v>224</v>
      </c>
      <c r="AB2458" s="14" t="s">
        <v>138</v>
      </c>
      <c r="AC2458" s="0" t="s">
        <v>14</v>
      </c>
      <c r="AD2458" s="0" t="s">
        <v>17</v>
      </c>
      <c r="AE2458" s="0" t="s">
        <v>5508</v>
      </c>
      <c r="AF2458" s="0">
        <v>1</v>
      </c>
      <c r="AG2458" s="0">
        <v>0</v>
      </c>
      <c r="AH2458" s="0" t="s">
        <v>140</v>
      </c>
      <c r="AI2458" s="0" t="s">
        <v>598</v>
      </c>
      <c r="AK2458" s="0" t="s">
        <v>226</v>
      </c>
      <c r="AL2458" s="14"/>
      <c r="AN2458" s="14"/>
      <c r="AQ2458" s="0" t="s">
        <v>130</v>
      </c>
      <c r="AR2458" s="0" t="s">
        <v>130</v>
      </c>
      <c r="AS2458" s="0" t="s">
        <v>130</v>
      </c>
      <c r="AT2458" s="0" t="s">
        <v>130</v>
      </c>
      <c r="AU2458" s="0" t="s">
        <v>130</v>
      </c>
      <c r="AV2458" s="0" t="s">
        <v>130</v>
      </c>
      <c r="AW2458" s="0" t="s">
        <v>141</v>
      </c>
      <c r="AX2458" s="0" t="s">
        <v>130</v>
      </c>
      <c r="AY2458" s="0" t="s">
        <v>141</v>
      </c>
      <c r="AZ2458" s="0" t="s">
        <v>130</v>
      </c>
      <c r="BA2458" s="0" t="s">
        <v>130</v>
      </c>
      <c r="BB2458" s="0" t="s">
        <v>130</v>
      </c>
      <c r="BC2458" s="0" t="s">
        <v>141</v>
      </c>
      <c r="BD2458" s="0" t="s">
        <v>130</v>
      </c>
      <c r="BE2458" s="0" t="s">
        <v>130</v>
      </c>
      <c r="BF2458" s="0" t="s">
        <v>130</v>
      </c>
      <c r="BG2458" s="0" t="s">
        <v>130</v>
      </c>
      <c r="BH2458" s="0" t="s">
        <v>130</v>
      </c>
      <c r="BI2458" s="0" t="s">
        <v>130</v>
      </c>
      <c r="BJ2458" s="0" t="s">
        <v>130</v>
      </c>
      <c r="BK2458" s="0" t="s">
        <v>130</v>
      </c>
      <c r="BL2458" s="0" t="s">
        <v>141</v>
      </c>
      <c r="BM2458" s="0" t="s">
        <v>130</v>
      </c>
      <c r="BN2458" s="0" t="s">
        <v>130</v>
      </c>
      <c r="BO2458" s="0" t="s">
        <v>130</v>
      </c>
      <c r="BP2458" s="0" t="s">
        <v>130</v>
      </c>
      <c r="BQ2458" s="0" t="s">
        <v>130</v>
      </c>
      <c r="BR2458" s="0" t="s">
        <v>130</v>
      </c>
      <c r="BS2458" s="0" t="s">
        <v>130</v>
      </c>
      <c r="BT2458" s="0" t="s">
        <v>130</v>
      </c>
      <c r="BU2458" s="0" t="s">
        <v>130</v>
      </c>
      <c r="BV2458" s="0" t="s">
        <v>130</v>
      </c>
      <c r="BW2458" s="0" t="s">
        <v>130</v>
      </c>
      <c r="BX2458" s="0" t="s">
        <v>130</v>
      </c>
      <c r="BY2458" s="0" t="s">
        <v>130</v>
      </c>
      <c r="BZ2458" s="0" t="s">
        <v>130</v>
      </c>
      <c r="CA2458" s="0" t="s">
        <v>130</v>
      </c>
      <c r="CB2458" s="0" t="s">
        <v>130</v>
      </c>
      <c r="CC2458" s="0" t="s">
        <v>130</v>
      </c>
      <c r="CD2458" s="0" t="s">
        <v>130</v>
      </c>
      <c r="CE2458" s="0" t="s">
        <v>130</v>
      </c>
      <c r="CF2458" s="0" t="s">
        <v>130</v>
      </c>
      <c r="CG2458" s="0" t="s">
        <v>130</v>
      </c>
      <c r="CH2458" s="0" t="s">
        <v>130</v>
      </c>
      <c r="CI2458" s="0" t="s">
        <v>130</v>
      </c>
      <c r="CJ2458" s="0" t="s">
        <v>130</v>
      </c>
      <c r="CK2458" s="0" t="s">
        <v>130</v>
      </c>
      <c r="CL2458" s="0" t="s">
        <v>130</v>
      </c>
      <c r="CM2458" s="0" t="s">
        <v>130</v>
      </c>
      <c r="CN2458" s="0" t="s">
        <v>130</v>
      </c>
      <c r="CO2458" s="0" t="s">
        <v>130</v>
      </c>
      <c r="CP2458" s="0" t="s">
        <v>130</v>
      </c>
      <c r="CQ2458" s="0" t="s">
        <v>130</v>
      </c>
      <c r="CR2458" s="0" t="s">
        <v>130</v>
      </c>
      <c r="CS2458" s="0" t="s">
        <v>130</v>
      </c>
      <c r="CT2458" s="0" t="s">
        <v>6694</v>
      </c>
    </row>
    <row r="2459">
      <c r="A2459" s="14">
        <v>115518</v>
      </c>
      <c r="B2459" s="0" t="s">
        <v>2451</v>
      </c>
      <c r="C2459" s="16">
        <f>HYPERLINK("https://eosportal.federatedhermes.com/companies/Q29tcGFueQppNjMxNjU=", "Schneider Electric SE")</f>
      </c>
      <c r="D2459" s="0" t="s">
        <v>23</v>
      </c>
      <c r="E2459" s="0" t="s">
        <v>6695</v>
      </c>
      <c r="F2459" s="16">
        <f>HYPERLINK("https://eosportal.federatedhermes.com/engagements/RW5nYWdlbWVudAppMzM4NzU=", "Publish a responsible use of AI policy")</f>
      </c>
      <c r="G2459" s="14" t="s">
        <v>6696</v>
      </c>
      <c r="H2459" s="0" t="s">
        <v>141</v>
      </c>
      <c r="I2459" s="14" t="s">
        <v>131</v>
      </c>
      <c r="J2459" s="0" t="s">
        <v>153</v>
      </c>
      <c r="K2459" s="0" t="s">
        <v>243</v>
      </c>
      <c r="L2459" s="0" t="s">
        <v>537</v>
      </c>
      <c r="M2459" s="0" t="s">
        <v>378</v>
      </c>
      <c r="N2459" s="0" t="s">
        <v>1646</v>
      </c>
      <c r="O2459" s="0" t="s">
        <v>176</v>
      </c>
      <c r="Q2459" s="0" t="s">
        <v>130</v>
      </c>
      <c r="R2459" s="0" t="s">
        <v>130</v>
      </c>
      <c r="S2459" s="14">
        <v>0</v>
      </c>
      <c r="T2459" s="0" t="s">
        <v>3562</v>
      </c>
      <c r="U2459" s="0" t="s">
        <v>221</v>
      </c>
      <c r="V2459" s="14" t="s">
        <v>3562</v>
      </c>
      <c r="W2459" s="0" t="s">
        <v>223</v>
      </c>
      <c r="X2459" s="14" t="s">
        <v>138</v>
      </c>
      <c r="Y2459" s="0" t="s">
        <v>224</v>
      </c>
      <c r="Z2459" s="14" t="s">
        <v>138</v>
      </c>
      <c r="AA2459" s="0" t="s">
        <v>224</v>
      </c>
      <c r="AB2459" s="14" t="s">
        <v>138</v>
      </c>
      <c r="AD2459" s="0" t="s">
        <v>14</v>
      </c>
      <c r="AF2459" s="0">
        <v>0</v>
      </c>
      <c r="AG2459" s="0">
        <v>0</v>
      </c>
      <c r="AH2459" s="0" t="s">
        <v>140</v>
      </c>
      <c r="AI2459" s="0" t="s">
        <v>225</v>
      </c>
      <c r="AL2459" s="14"/>
      <c r="AN2459" s="14"/>
      <c r="AQ2459" s="0" t="s">
        <v>130</v>
      </c>
      <c r="AR2459" s="0" t="s">
        <v>130</v>
      </c>
      <c r="AS2459" s="0" t="s">
        <v>130</v>
      </c>
      <c r="AT2459" s="0" t="s">
        <v>130</v>
      </c>
      <c r="AU2459" s="0" t="s">
        <v>130</v>
      </c>
      <c r="AV2459" s="0" t="s">
        <v>130</v>
      </c>
      <c r="AW2459" s="0" t="s">
        <v>130</v>
      </c>
      <c r="AX2459" s="0" t="s">
        <v>130</v>
      </c>
      <c r="AY2459" s="0" t="s">
        <v>130</v>
      </c>
      <c r="AZ2459" s="0" t="s">
        <v>130</v>
      </c>
      <c r="BA2459" s="0" t="s">
        <v>130</v>
      </c>
      <c r="BB2459" s="0" t="s">
        <v>130</v>
      </c>
      <c r="BC2459" s="0" t="s">
        <v>130</v>
      </c>
      <c r="BD2459" s="0" t="s">
        <v>130</v>
      </c>
      <c r="BE2459" s="0" t="s">
        <v>130</v>
      </c>
      <c r="BF2459" s="0" t="s">
        <v>141</v>
      </c>
      <c r="BG2459" s="0" t="s">
        <v>130</v>
      </c>
      <c r="BH2459" s="0" t="s">
        <v>130</v>
      </c>
      <c r="BI2459" s="0" t="s">
        <v>130</v>
      </c>
      <c r="BJ2459" s="0" t="s">
        <v>130</v>
      </c>
      <c r="BK2459" s="0" t="s">
        <v>130</v>
      </c>
      <c r="BL2459" s="0" t="s">
        <v>130</v>
      </c>
      <c r="BM2459" s="0" t="s">
        <v>130</v>
      </c>
      <c r="BN2459" s="0" t="s">
        <v>130</v>
      </c>
      <c r="BO2459" s="0" t="s">
        <v>130</v>
      </c>
      <c r="BP2459" s="0" t="s">
        <v>130</v>
      </c>
      <c r="BQ2459" s="0" t="s">
        <v>130</v>
      </c>
      <c r="BR2459" s="0" t="s">
        <v>130</v>
      </c>
      <c r="BS2459" s="0" t="s">
        <v>130</v>
      </c>
      <c r="BT2459" s="0" t="s">
        <v>130</v>
      </c>
      <c r="BU2459" s="0" t="s">
        <v>130</v>
      </c>
      <c r="BV2459" s="0" t="s">
        <v>130</v>
      </c>
      <c r="BW2459" s="0" t="s">
        <v>130</v>
      </c>
      <c r="BX2459" s="0" t="s">
        <v>130</v>
      </c>
      <c r="BY2459" s="0" t="s">
        <v>130</v>
      </c>
      <c r="BZ2459" s="0" t="s">
        <v>130</v>
      </c>
      <c r="CA2459" s="0" t="s">
        <v>130</v>
      </c>
      <c r="CB2459" s="0" t="s">
        <v>130</v>
      </c>
      <c r="CC2459" s="0" t="s">
        <v>130</v>
      </c>
      <c r="CD2459" s="0" t="s">
        <v>130</v>
      </c>
      <c r="CE2459" s="0" t="s">
        <v>130</v>
      </c>
      <c r="CF2459" s="0" t="s">
        <v>130</v>
      </c>
      <c r="CG2459" s="0" t="s">
        <v>130</v>
      </c>
      <c r="CH2459" s="0" t="s">
        <v>130</v>
      </c>
      <c r="CI2459" s="0" t="s">
        <v>130</v>
      </c>
      <c r="CJ2459" s="0" t="s">
        <v>130</v>
      </c>
      <c r="CK2459" s="0" t="s">
        <v>130</v>
      </c>
      <c r="CL2459" s="0" t="s">
        <v>130</v>
      </c>
      <c r="CM2459" s="0" t="s">
        <v>130</v>
      </c>
      <c r="CN2459" s="0" t="s">
        <v>130</v>
      </c>
      <c r="CO2459" s="0" t="s">
        <v>130</v>
      </c>
      <c r="CP2459" s="0" t="s">
        <v>130</v>
      </c>
      <c r="CQ2459" s="0" t="s">
        <v>130</v>
      </c>
      <c r="CR2459" s="0" t="s">
        <v>130</v>
      </c>
      <c r="CS2459" s="0" t="s">
        <v>130</v>
      </c>
      <c r="CT2459" s="0" t="s">
        <v>6697</v>
      </c>
    </row>
    <row r="2460">
      <c r="A2460" s="14">
        <v>7281855</v>
      </c>
      <c r="B2460" s="0" t="s">
        <v>3813</v>
      </c>
      <c r="C2460" s="16">
        <f>HYPERLINK("https://eosportal.federatedhermes.com/companies/Q29tcGFueQppODU4ODE=", "LG Chem Ltd")</f>
      </c>
      <c r="D2460" s="0" t="s">
        <v>25</v>
      </c>
      <c r="E2460" s="0" t="s">
        <v>6698</v>
      </c>
      <c r="F2460" s="16">
        <f>HYPERLINK("https://eosportal.federatedhermes.com/engagements/RW5nYWdlbWVudAppMzM4ODU=", "Shareholder returns &amp; capital allocation")</f>
      </c>
      <c r="G2460" s="14" t="s">
        <v>6699</v>
      </c>
      <c r="H2460" s="0" t="s">
        <v>141</v>
      </c>
      <c r="I2460" s="14" t="s">
        <v>191</v>
      </c>
      <c r="J2460" s="0" t="s">
        <v>132</v>
      </c>
      <c r="K2460" s="0" t="s">
        <v>133</v>
      </c>
      <c r="L2460" s="0" t="s">
        <v>753</v>
      </c>
      <c r="M2460" s="0" t="s">
        <v>802</v>
      </c>
      <c r="N2460" s="0" t="s">
        <v>2800</v>
      </c>
      <c r="O2460" s="0" t="s">
        <v>706</v>
      </c>
      <c r="Q2460" s="0" t="s">
        <v>130</v>
      </c>
      <c r="R2460" s="0" t="s">
        <v>138</v>
      </c>
      <c r="S2460" s="14">
        <v>0</v>
      </c>
      <c r="T2460" s="0" t="s">
        <v>3562</v>
      </c>
      <c r="U2460" s="0" t="s">
        <v>138</v>
      </c>
      <c r="V2460" s="14" t="s">
        <v>138</v>
      </c>
      <c r="W2460" s="0" t="s">
        <v>138</v>
      </c>
      <c r="X2460" s="14" t="s">
        <v>138</v>
      </c>
      <c r="Y2460" s="0" t="s">
        <v>138</v>
      </c>
      <c r="Z2460" s="14" t="s">
        <v>138</v>
      </c>
      <c r="AA2460" s="0" t="s">
        <v>138</v>
      </c>
      <c r="AB2460" s="14" t="s">
        <v>138</v>
      </c>
      <c r="AD2460" s="0" t="s">
        <v>138</v>
      </c>
      <c r="AF2460" s="0">
        <v>0</v>
      </c>
      <c r="AG2460" s="0">
        <v>0</v>
      </c>
      <c r="AH2460" s="0" t="s">
        <v>140</v>
      </c>
      <c r="AI2460" s="0" t="s">
        <v>138</v>
      </c>
      <c r="AL2460" s="14"/>
      <c r="AN2460" s="14"/>
      <c r="AQ2460" s="0" t="s">
        <v>130</v>
      </c>
      <c r="AR2460" s="0" t="s">
        <v>130</v>
      </c>
      <c r="AS2460" s="0" t="s">
        <v>130</v>
      </c>
      <c r="AT2460" s="0" t="s">
        <v>130</v>
      </c>
      <c r="AU2460" s="0" t="s">
        <v>130</v>
      </c>
      <c r="AV2460" s="0" t="s">
        <v>130</v>
      </c>
      <c r="AW2460" s="0" t="s">
        <v>130</v>
      </c>
      <c r="AX2460" s="0" t="s">
        <v>130</v>
      </c>
      <c r="AY2460" s="0" t="s">
        <v>130</v>
      </c>
      <c r="AZ2460" s="0" t="s">
        <v>130</v>
      </c>
      <c r="BA2460" s="0" t="s">
        <v>130</v>
      </c>
      <c r="BB2460" s="0" t="s">
        <v>130</v>
      </c>
      <c r="BC2460" s="0" t="s">
        <v>130</v>
      </c>
      <c r="BD2460" s="0" t="s">
        <v>130</v>
      </c>
      <c r="BE2460" s="0" t="s">
        <v>130</v>
      </c>
      <c r="BF2460" s="0" t="s">
        <v>130</v>
      </c>
      <c r="BG2460" s="0" t="s">
        <v>130</v>
      </c>
      <c r="BH2460" s="0" t="s">
        <v>130</v>
      </c>
      <c r="BI2460" s="0" t="s">
        <v>130</v>
      </c>
      <c r="BJ2460" s="0" t="s">
        <v>130</v>
      </c>
      <c r="BK2460" s="0" t="s">
        <v>130</v>
      </c>
      <c r="BL2460" s="0" t="s">
        <v>130</v>
      </c>
      <c r="BM2460" s="0" t="s">
        <v>130</v>
      </c>
      <c r="BN2460" s="0" t="s">
        <v>130</v>
      </c>
      <c r="BO2460" s="0" t="s">
        <v>130</v>
      </c>
      <c r="BP2460" s="0" t="s">
        <v>130</v>
      </c>
      <c r="BQ2460" s="0" t="s">
        <v>130</v>
      </c>
      <c r="BR2460" s="0" t="s">
        <v>130</v>
      </c>
      <c r="BS2460" s="0" t="s">
        <v>130</v>
      </c>
      <c r="BT2460" s="0" t="s">
        <v>130</v>
      </c>
      <c r="BU2460" s="0" t="s">
        <v>130</v>
      </c>
      <c r="BV2460" s="0" t="s">
        <v>130</v>
      </c>
      <c r="BW2460" s="0" t="s">
        <v>130</v>
      </c>
      <c r="BX2460" s="0" t="s">
        <v>130</v>
      </c>
      <c r="BY2460" s="0" t="s">
        <v>130</v>
      </c>
      <c r="BZ2460" s="0" t="s">
        <v>130</v>
      </c>
      <c r="CA2460" s="0" t="s">
        <v>130</v>
      </c>
      <c r="CB2460" s="0" t="s">
        <v>130</v>
      </c>
      <c r="CC2460" s="0" t="s">
        <v>130</v>
      </c>
      <c r="CD2460" s="0" t="s">
        <v>130</v>
      </c>
      <c r="CE2460" s="0" t="s">
        <v>130</v>
      </c>
      <c r="CF2460" s="0" t="s">
        <v>130</v>
      </c>
      <c r="CG2460" s="0" t="s">
        <v>130</v>
      </c>
      <c r="CH2460" s="0" t="s">
        <v>130</v>
      </c>
      <c r="CI2460" s="0" t="s">
        <v>130</v>
      </c>
      <c r="CJ2460" s="0" t="s">
        <v>130</v>
      </c>
      <c r="CK2460" s="0" t="s">
        <v>130</v>
      </c>
      <c r="CL2460" s="0" t="s">
        <v>130</v>
      </c>
      <c r="CM2460" s="0" t="s">
        <v>130</v>
      </c>
      <c r="CN2460" s="0" t="s">
        <v>130</v>
      </c>
      <c r="CO2460" s="0" t="s">
        <v>130</v>
      </c>
      <c r="CP2460" s="0" t="s">
        <v>130</v>
      </c>
      <c r="CQ2460" s="0" t="s">
        <v>130</v>
      </c>
      <c r="CR2460" s="0" t="s">
        <v>130</v>
      </c>
      <c r="CS2460" s="0" t="s">
        <v>130</v>
      </c>
      <c r="CT2460" s="0" t="s">
        <v>6700</v>
      </c>
    </row>
    <row r="2461">
      <c r="A2461" s="14">
        <v>101491</v>
      </c>
      <c r="B2461" s="0" t="s">
        <v>1642</v>
      </c>
      <c r="C2461" s="16">
        <f>HYPERLINK("https://eosportal.federatedhermes.com/companies/Q29tcGFueQppNjMzMzM=", "TotalEnergies SE")</f>
      </c>
      <c r="D2461" s="0" t="s">
        <v>25</v>
      </c>
      <c r="E2461" s="0" t="s">
        <v>5868</v>
      </c>
      <c r="F2461" s="16">
        <f>HYPERLINK("https://eosportal.federatedhermes.com/engagements/RW5nYWdlbWVudAppMzM4OTE=", "Controversy linked to UNGC Principle 1: Human rights")</f>
      </c>
      <c r="G2461" s="14" t="s">
        <v>6701</v>
      </c>
      <c r="H2461" s="0" t="s">
        <v>141</v>
      </c>
      <c r="I2461" s="14" t="s">
        <v>1645</v>
      </c>
      <c r="J2461" s="0" t="s">
        <v>153</v>
      </c>
      <c r="K2461" s="0" t="s">
        <v>154</v>
      </c>
      <c r="L2461" s="0" t="s">
        <v>155</v>
      </c>
      <c r="M2461" s="0" t="s">
        <v>378</v>
      </c>
      <c r="N2461" s="0" t="s">
        <v>1646</v>
      </c>
      <c r="O2461" s="0" t="s">
        <v>542</v>
      </c>
      <c r="Q2461" s="0" t="s">
        <v>141</v>
      </c>
      <c r="R2461" s="0" t="s">
        <v>138</v>
      </c>
      <c r="S2461" s="14">
        <v>2</v>
      </c>
      <c r="T2461" s="0" t="s">
        <v>3562</v>
      </c>
      <c r="U2461" s="0" t="s">
        <v>138</v>
      </c>
      <c r="V2461" s="14" t="s">
        <v>138</v>
      </c>
      <c r="W2461" s="0" t="s">
        <v>138</v>
      </c>
      <c r="X2461" s="14" t="s">
        <v>138</v>
      </c>
      <c r="Y2461" s="0" t="s">
        <v>138</v>
      </c>
      <c r="Z2461" s="14" t="s">
        <v>138</v>
      </c>
      <c r="AA2461" s="0" t="s">
        <v>138</v>
      </c>
      <c r="AB2461" s="14" t="s">
        <v>138</v>
      </c>
      <c r="AD2461" s="0" t="s">
        <v>138</v>
      </c>
      <c r="AF2461" s="0">
        <v>0</v>
      </c>
      <c r="AG2461" s="0">
        <v>0</v>
      </c>
      <c r="AH2461" s="0" t="s">
        <v>140</v>
      </c>
      <c r="AI2461" s="0" t="s">
        <v>138</v>
      </c>
      <c r="AK2461" s="0" t="s">
        <v>2976</v>
      </c>
      <c r="AL2461" s="14"/>
      <c r="AN2461" s="14"/>
      <c r="AQ2461" s="0" t="s">
        <v>141</v>
      </c>
      <c r="AR2461" s="0" t="s">
        <v>130</v>
      </c>
      <c r="AS2461" s="0" t="s">
        <v>130</v>
      </c>
      <c r="AT2461" s="0" t="s">
        <v>130</v>
      </c>
      <c r="AU2461" s="0" t="s">
        <v>130</v>
      </c>
      <c r="AV2461" s="0" t="s">
        <v>130</v>
      </c>
      <c r="AW2461" s="0" t="s">
        <v>130</v>
      </c>
      <c r="AX2461" s="0" t="s">
        <v>130</v>
      </c>
      <c r="AY2461" s="0" t="s">
        <v>130</v>
      </c>
      <c r="AZ2461" s="0" t="s">
        <v>141</v>
      </c>
      <c r="BA2461" s="0" t="s">
        <v>130</v>
      </c>
      <c r="BB2461" s="0" t="s">
        <v>130</v>
      </c>
      <c r="BC2461" s="0" t="s">
        <v>130</v>
      </c>
      <c r="BD2461" s="0" t="s">
        <v>130</v>
      </c>
      <c r="BE2461" s="0" t="s">
        <v>130</v>
      </c>
      <c r="BF2461" s="0" t="s">
        <v>141</v>
      </c>
      <c r="BG2461" s="0" t="s">
        <v>130</v>
      </c>
      <c r="BH2461" s="0" t="s">
        <v>130</v>
      </c>
      <c r="BI2461" s="0" t="s">
        <v>130</v>
      </c>
      <c r="BJ2461" s="0" t="s">
        <v>130</v>
      </c>
      <c r="BK2461" s="0" t="s">
        <v>130</v>
      </c>
      <c r="BL2461" s="0" t="s">
        <v>130</v>
      </c>
      <c r="BM2461" s="0" t="s">
        <v>130</v>
      </c>
      <c r="BN2461" s="0" t="s">
        <v>130</v>
      </c>
      <c r="BO2461" s="0" t="s">
        <v>130</v>
      </c>
      <c r="BP2461" s="0" t="s">
        <v>141</v>
      </c>
      <c r="BQ2461" s="0" t="s">
        <v>130</v>
      </c>
      <c r="BR2461" s="0" t="s">
        <v>130</v>
      </c>
      <c r="BS2461" s="0" t="s">
        <v>130</v>
      </c>
      <c r="BT2461" s="0" t="s">
        <v>130</v>
      </c>
      <c r="BU2461" s="0" t="s">
        <v>130</v>
      </c>
      <c r="BV2461" s="0" t="s">
        <v>130</v>
      </c>
      <c r="BW2461" s="0" t="s">
        <v>130</v>
      </c>
      <c r="BX2461" s="0" t="s">
        <v>130</v>
      </c>
      <c r="BY2461" s="0" t="s">
        <v>130</v>
      </c>
      <c r="BZ2461" s="0" t="s">
        <v>130</v>
      </c>
      <c r="CA2461" s="0" t="s">
        <v>130</v>
      </c>
      <c r="CB2461" s="0" t="s">
        <v>130</v>
      </c>
      <c r="CC2461" s="0" t="s">
        <v>130</v>
      </c>
      <c r="CD2461" s="0" t="s">
        <v>130</v>
      </c>
      <c r="CE2461" s="0" t="s">
        <v>130</v>
      </c>
      <c r="CF2461" s="0" t="s">
        <v>130</v>
      </c>
      <c r="CG2461" s="0" t="s">
        <v>130</v>
      </c>
      <c r="CH2461" s="0" t="s">
        <v>130</v>
      </c>
      <c r="CI2461" s="0" t="s">
        <v>141</v>
      </c>
      <c r="CJ2461" s="0" t="s">
        <v>130</v>
      </c>
      <c r="CK2461" s="0" t="s">
        <v>130</v>
      </c>
      <c r="CL2461" s="0" t="s">
        <v>130</v>
      </c>
      <c r="CM2461" s="0" t="s">
        <v>130</v>
      </c>
      <c r="CN2461" s="0" t="s">
        <v>130</v>
      </c>
      <c r="CO2461" s="0" t="s">
        <v>130</v>
      </c>
      <c r="CP2461" s="0" t="s">
        <v>130</v>
      </c>
      <c r="CQ2461" s="0" t="s">
        <v>130</v>
      </c>
      <c r="CR2461" s="0" t="s">
        <v>130</v>
      </c>
      <c r="CS2461" s="0" t="s">
        <v>130</v>
      </c>
      <c r="CT2461" s="0" t="s">
        <v>6702</v>
      </c>
    </row>
    <row r="2462">
      <c r="A2462" s="14">
        <v>825197</v>
      </c>
      <c r="B2462" s="0" t="s">
        <v>3349</v>
      </c>
      <c r="C2462" s="16">
        <f>HYPERLINK("https://eosportal.federatedhermes.com/companies/Q29tcGFueQppNTU3NDQ=", "ABB Ltd")</f>
      </c>
      <c r="D2462" s="0" t="s">
        <v>23</v>
      </c>
      <c r="E2462" s="0" t="s">
        <v>6695</v>
      </c>
      <c r="F2462" s="16">
        <f>HYPERLINK("https://eosportal.federatedhermes.com/engagements/RW5nYWdlbWVudAppMzM4OTM=", "Publish a responsible use of AI policy")</f>
      </c>
      <c r="G2462" s="14" t="s">
        <v>6703</v>
      </c>
      <c r="H2462" s="0" t="s">
        <v>141</v>
      </c>
      <c r="I2462" s="14" t="s">
        <v>191</v>
      </c>
      <c r="J2462" s="0" t="s">
        <v>153</v>
      </c>
      <c r="K2462" s="0" t="s">
        <v>243</v>
      </c>
      <c r="L2462" s="0" t="s">
        <v>537</v>
      </c>
      <c r="M2462" s="0" t="s">
        <v>378</v>
      </c>
      <c r="N2462" s="0" t="s">
        <v>1059</v>
      </c>
      <c r="O2462" s="0" t="s">
        <v>176</v>
      </c>
      <c r="Q2462" s="0" t="s">
        <v>130</v>
      </c>
      <c r="R2462" s="0" t="s">
        <v>130</v>
      </c>
      <c r="S2462" s="14">
        <v>0</v>
      </c>
      <c r="T2462" s="0" t="s">
        <v>3562</v>
      </c>
      <c r="U2462" s="0" t="s">
        <v>221</v>
      </c>
      <c r="V2462" s="14" t="s">
        <v>3562</v>
      </c>
      <c r="W2462" s="0" t="s">
        <v>221</v>
      </c>
      <c r="X2462" s="14" t="s">
        <v>2428</v>
      </c>
      <c r="Y2462" s="0" t="s">
        <v>223</v>
      </c>
      <c r="Z2462" s="14" t="s">
        <v>138</v>
      </c>
      <c r="AA2462" s="0" t="s">
        <v>224</v>
      </c>
      <c r="AB2462" s="14" t="s">
        <v>138</v>
      </c>
      <c r="AD2462" s="0" t="s">
        <v>17</v>
      </c>
      <c r="AF2462" s="0">
        <v>0</v>
      </c>
      <c r="AG2462" s="0">
        <v>0</v>
      </c>
      <c r="AH2462" s="0" t="s">
        <v>140</v>
      </c>
      <c r="AI2462" s="0" t="s">
        <v>598</v>
      </c>
      <c r="AL2462" s="14"/>
      <c r="AN2462" s="14"/>
      <c r="AQ2462" s="0" t="s">
        <v>130</v>
      </c>
      <c r="AR2462" s="0" t="s">
        <v>130</v>
      </c>
      <c r="AS2462" s="0" t="s">
        <v>130</v>
      </c>
      <c r="AT2462" s="0" t="s">
        <v>130</v>
      </c>
      <c r="AU2462" s="0" t="s">
        <v>130</v>
      </c>
      <c r="AV2462" s="0" t="s">
        <v>130</v>
      </c>
      <c r="AW2462" s="0" t="s">
        <v>130</v>
      </c>
      <c r="AX2462" s="0" t="s">
        <v>130</v>
      </c>
      <c r="AY2462" s="0" t="s">
        <v>130</v>
      </c>
      <c r="AZ2462" s="0" t="s">
        <v>130</v>
      </c>
      <c r="BA2462" s="0" t="s">
        <v>130</v>
      </c>
      <c r="BB2462" s="0" t="s">
        <v>130</v>
      </c>
      <c r="BC2462" s="0" t="s">
        <v>130</v>
      </c>
      <c r="BD2462" s="0" t="s">
        <v>130</v>
      </c>
      <c r="BE2462" s="0" t="s">
        <v>130</v>
      </c>
      <c r="BF2462" s="0" t="s">
        <v>141</v>
      </c>
      <c r="BG2462" s="0" t="s">
        <v>130</v>
      </c>
      <c r="BH2462" s="0" t="s">
        <v>130</v>
      </c>
      <c r="BI2462" s="0" t="s">
        <v>130</v>
      </c>
      <c r="BJ2462" s="0" t="s">
        <v>130</v>
      </c>
      <c r="BK2462" s="0" t="s">
        <v>130</v>
      </c>
      <c r="BL2462" s="0" t="s">
        <v>130</v>
      </c>
      <c r="BM2462" s="0" t="s">
        <v>130</v>
      </c>
      <c r="BN2462" s="0" t="s">
        <v>130</v>
      </c>
      <c r="BO2462" s="0" t="s">
        <v>130</v>
      </c>
      <c r="BP2462" s="0" t="s">
        <v>130</v>
      </c>
      <c r="BQ2462" s="0" t="s">
        <v>130</v>
      </c>
      <c r="BR2462" s="0" t="s">
        <v>130</v>
      </c>
      <c r="BS2462" s="0" t="s">
        <v>130</v>
      </c>
      <c r="BT2462" s="0" t="s">
        <v>130</v>
      </c>
      <c r="BU2462" s="0" t="s">
        <v>130</v>
      </c>
      <c r="BV2462" s="0" t="s">
        <v>130</v>
      </c>
      <c r="BW2462" s="0" t="s">
        <v>130</v>
      </c>
      <c r="BX2462" s="0" t="s">
        <v>130</v>
      </c>
      <c r="BY2462" s="0" t="s">
        <v>130</v>
      </c>
      <c r="BZ2462" s="0" t="s">
        <v>130</v>
      </c>
      <c r="CA2462" s="0" t="s">
        <v>130</v>
      </c>
      <c r="CB2462" s="0" t="s">
        <v>130</v>
      </c>
      <c r="CC2462" s="0" t="s">
        <v>130</v>
      </c>
      <c r="CD2462" s="0" t="s">
        <v>130</v>
      </c>
      <c r="CE2462" s="0" t="s">
        <v>130</v>
      </c>
      <c r="CF2462" s="0" t="s">
        <v>130</v>
      </c>
      <c r="CG2462" s="0" t="s">
        <v>130</v>
      </c>
      <c r="CH2462" s="0" t="s">
        <v>130</v>
      </c>
      <c r="CI2462" s="0" t="s">
        <v>130</v>
      </c>
      <c r="CJ2462" s="0" t="s">
        <v>130</v>
      </c>
      <c r="CK2462" s="0" t="s">
        <v>130</v>
      </c>
      <c r="CL2462" s="0" t="s">
        <v>130</v>
      </c>
      <c r="CM2462" s="0" t="s">
        <v>130</v>
      </c>
      <c r="CN2462" s="0" t="s">
        <v>130</v>
      </c>
      <c r="CO2462" s="0" t="s">
        <v>130</v>
      </c>
      <c r="CP2462" s="0" t="s">
        <v>130</v>
      </c>
      <c r="CQ2462" s="0" t="s">
        <v>130</v>
      </c>
      <c r="CR2462" s="0" t="s">
        <v>130</v>
      </c>
      <c r="CS2462" s="0" t="s">
        <v>130</v>
      </c>
      <c r="CT2462" s="0" t="s">
        <v>6704</v>
      </c>
    </row>
    <row r="2463">
      <c r="A2463" s="14">
        <v>117976</v>
      </c>
      <c r="B2463" s="0" t="s">
        <v>4944</v>
      </c>
      <c r="C2463" s="16">
        <f>HYPERLINK("https://eosportal.federatedhermes.com/companies/Q29tcGFueQppNTg5MTU=", "Sika AG")</f>
      </c>
      <c r="D2463" s="0" t="s">
        <v>23</v>
      </c>
      <c r="E2463" s="0" t="s">
        <v>6705</v>
      </c>
      <c r="F2463" s="16">
        <f>HYPERLINK("https://eosportal.federatedhermes.com/engagements/RW5nYWdlbWVudAppMzM4OTQ=", "Strategy to phase-out most persistent chemicals")</f>
      </c>
      <c r="G2463" s="14" t="s">
        <v>6706</v>
      </c>
      <c r="H2463" s="0" t="s">
        <v>141</v>
      </c>
      <c r="I2463" s="14" t="s">
        <v>191</v>
      </c>
      <c r="J2463" s="0" t="s">
        <v>197</v>
      </c>
      <c r="K2463" s="0" t="s">
        <v>348</v>
      </c>
      <c r="L2463" s="0" t="s">
        <v>650</v>
      </c>
      <c r="M2463" s="0" t="s">
        <v>378</v>
      </c>
      <c r="N2463" s="0" t="s">
        <v>1059</v>
      </c>
      <c r="O2463" s="0" t="s">
        <v>706</v>
      </c>
      <c r="Q2463" s="0" t="s">
        <v>141</v>
      </c>
      <c r="R2463" s="0" t="s">
        <v>130</v>
      </c>
      <c r="S2463" s="14">
        <v>1</v>
      </c>
      <c r="T2463" s="0" t="s">
        <v>478</v>
      </c>
      <c r="U2463" s="0" t="s">
        <v>221</v>
      </c>
      <c r="V2463" s="14" t="s">
        <v>478</v>
      </c>
      <c r="W2463" s="0" t="s">
        <v>221</v>
      </c>
      <c r="X2463" s="14" t="s">
        <v>360</v>
      </c>
      <c r="Y2463" s="0" t="s">
        <v>223</v>
      </c>
      <c r="Z2463" s="14" t="s">
        <v>138</v>
      </c>
      <c r="AA2463" s="0" t="s">
        <v>224</v>
      </c>
      <c r="AB2463" s="14" t="s">
        <v>138</v>
      </c>
      <c r="AD2463" s="0" t="s">
        <v>17</v>
      </c>
      <c r="AF2463" s="0">
        <v>0</v>
      </c>
      <c r="AG2463" s="0">
        <v>0</v>
      </c>
      <c r="AH2463" s="0" t="s">
        <v>140</v>
      </c>
      <c r="AI2463" s="0" t="s">
        <v>479</v>
      </c>
      <c r="AK2463" s="0" t="s">
        <v>714</v>
      </c>
      <c r="AL2463" s="14"/>
      <c r="AN2463" s="14"/>
      <c r="AQ2463" s="0" t="s">
        <v>130</v>
      </c>
      <c r="AR2463" s="0" t="s">
        <v>130</v>
      </c>
      <c r="AS2463" s="0" t="s">
        <v>141</v>
      </c>
      <c r="AT2463" s="0" t="s">
        <v>130</v>
      </c>
      <c r="AU2463" s="0" t="s">
        <v>130</v>
      </c>
      <c r="AV2463" s="0" t="s">
        <v>130</v>
      </c>
      <c r="AW2463" s="0" t="s">
        <v>130</v>
      </c>
      <c r="AX2463" s="0" t="s">
        <v>130</v>
      </c>
      <c r="AY2463" s="0" t="s">
        <v>130</v>
      </c>
      <c r="AZ2463" s="0" t="s">
        <v>130</v>
      </c>
      <c r="BA2463" s="0" t="s">
        <v>130</v>
      </c>
      <c r="BB2463" s="0" t="s">
        <v>141</v>
      </c>
      <c r="BC2463" s="0" t="s">
        <v>130</v>
      </c>
      <c r="BD2463" s="0" t="s">
        <v>130</v>
      </c>
      <c r="BE2463" s="0" t="s">
        <v>130</v>
      </c>
      <c r="BF2463" s="0" t="s">
        <v>130</v>
      </c>
      <c r="BG2463" s="0" t="s">
        <v>130</v>
      </c>
      <c r="BH2463" s="0" t="s">
        <v>130</v>
      </c>
      <c r="BI2463" s="0" t="s">
        <v>130</v>
      </c>
      <c r="BJ2463" s="0" t="s">
        <v>130</v>
      </c>
      <c r="BK2463" s="0" t="s">
        <v>130</v>
      </c>
      <c r="BL2463" s="0" t="s">
        <v>130</v>
      </c>
      <c r="BM2463" s="0" t="s">
        <v>130</v>
      </c>
      <c r="BN2463" s="0" t="s">
        <v>130</v>
      </c>
      <c r="BO2463" s="0" t="s">
        <v>130</v>
      </c>
      <c r="BP2463" s="0" t="s">
        <v>130</v>
      </c>
      <c r="BQ2463" s="0" t="s">
        <v>130</v>
      </c>
      <c r="BR2463" s="0" t="s">
        <v>130</v>
      </c>
      <c r="BS2463" s="0" t="s">
        <v>130</v>
      </c>
      <c r="BT2463" s="0" t="s">
        <v>130</v>
      </c>
      <c r="BU2463" s="0" t="s">
        <v>130</v>
      </c>
      <c r="BV2463" s="0" t="s">
        <v>130</v>
      </c>
      <c r="BW2463" s="0" t="s">
        <v>130</v>
      </c>
      <c r="BX2463" s="0" t="s">
        <v>130</v>
      </c>
      <c r="BY2463" s="0" t="s">
        <v>130</v>
      </c>
      <c r="BZ2463" s="0" t="s">
        <v>130</v>
      </c>
      <c r="CA2463" s="0" t="s">
        <v>130</v>
      </c>
      <c r="CB2463" s="0" t="s">
        <v>130</v>
      </c>
      <c r="CC2463" s="0" t="s">
        <v>130</v>
      </c>
      <c r="CD2463" s="0" t="s">
        <v>130</v>
      </c>
      <c r="CE2463" s="0" t="s">
        <v>130</v>
      </c>
      <c r="CF2463" s="0" t="s">
        <v>130</v>
      </c>
      <c r="CG2463" s="0" t="s">
        <v>130</v>
      </c>
      <c r="CH2463" s="0" t="s">
        <v>130</v>
      </c>
      <c r="CI2463" s="0" t="s">
        <v>130</v>
      </c>
      <c r="CJ2463" s="0" t="s">
        <v>130</v>
      </c>
      <c r="CK2463" s="0" t="s">
        <v>130</v>
      </c>
      <c r="CL2463" s="0" t="s">
        <v>130</v>
      </c>
      <c r="CM2463" s="0" t="s">
        <v>130</v>
      </c>
      <c r="CN2463" s="0" t="s">
        <v>130</v>
      </c>
      <c r="CO2463" s="0" t="s">
        <v>130</v>
      </c>
      <c r="CP2463" s="0" t="s">
        <v>130</v>
      </c>
      <c r="CQ2463" s="0" t="s">
        <v>130</v>
      </c>
      <c r="CR2463" s="0" t="s">
        <v>130</v>
      </c>
      <c r="CS2463" s="0" t="s">
        <v>130</v>
      </c>
      <c r="CT2463" s="0" t="s">
        <v>6707</v>
      </c>
    </row>
    <row r="2464">
      <c r="A2464" s="14">
        <v>180001</v>
      </c>
      <c r="B2464" s="0" t="s">
        <v>3137</v>
      </c>
      <c r="C2464" s="16">
        <f>HYPERLINK("https://eosportal.federatedhermes.com/companies/Q29tcGFueQppNzcwNDM=", "adidas AG")</f>
      </c>
      <c r="D2464" s="0" t="s">
        <v>25</v>
      </c>
      <c r="E2464" s="0" t="s">
        <v>6708</v>
      </c>
      <c r="F2464" s="16">
        <f>HYPERLINK("https://eosportal.federatedhermes.com/engagements/RW5nYWdlbWVudAppMzM4OTY=", "Supply Chain Risk Management")</f>
      </c>
      <c r="G2464" s="14" t="s">
        <v>6709</v>
      </c>
      <c r="H2464" s="0" t="s">
        <v>141</v>
      </c>
      <c r="I2464" s="14" t="s">
        <v>191</v>
      </c>
      <c r="J2464" s="0" t="s">
        <v>132</v>
      </c>
      <c r="K2464" s="0" t="s">
        <v>260</v>
      </c>
      <c r="L2464" s="0" t="s">
        <v>261</v>
      </c>
      <c r="M2464" s="0" t="s">
        <v>378</v>
      </c>
      <c r="N2464" s="0" t="s">
        <v>2485</v>
      </c>
      <c r="O2464" s="0" t="s">
        <v>332</v>
      </c>
      <c r="Q2464" s="0" t="s">
        <v>141</v>
      </c>
      <c r="R2464" s="0" t="s">
        <v>138</v>
      </c>
      <c r="S2464" s="14">
        <v>2</v>
      </c>
      <c r="T2464" s="0" t="s">
        <v>3562</v>
      </c>
      <c r="U2464" s="0" t="s">
        <v>138</v>
      </c>
      <c r="V2464" s="14" t="s">
        <v>138</v>
      </c>
      <c r="W2464" s="0" t="s">
        <v>138</v>
      </c>
      <c r="X2464" s="14" t="s">
        <v>138</v>
      </c>
      <c r="Y2464" s="0" t="s">
        <v>138</v>
      </c>
      <c r="Z2464" s="14" t="s">
        <v>138</v>
      </c>
      <c r="AA2464" s="0" t="s">
        <v>138</v>
      </c>
      <c r="AB2464" s="14" t="s">
        <v>138</v>
      </c>
      <c r="AD2464" s="0" t="s">
        <v>138</v>
      </c>
      <c r="AF2464" s="0">
        <v>0</v>
      </c>
      <c r="AG2464" s="0">
        <v>0</v>
      </c>
      <c r="AH2464" s="0" t="s">
        <v>140</v>
      </c>
      <c r="AI2464" s="0" t="s">
        <v>138</v>
      </c>
      <c r="AK2464" s="0" t="s">
        <v>749</v>
      </c>
      <c r="AL2464" s="14"/>
      <c r="AN2464" s="14"/>
      <c r="AQ2464" s="0" t="s">
        <v>130</v>
      </c>
      <c r="AR2464" s="0" t="s">
        <v>130</v>
      </c>
      <c r="AS2464" s="0" t="s">
        <v>130</v>
      </c>
      <c r="AT2464" s="0" t="s">
        <v>130</v>
      </c>
      <c r="AU2464" s="0" t="s">
        <v>130</v>
      </c>
      <c r="AV2464" s="0" t="s">
        <v>130</v>
      </c>
      <c r="AW2464" s="0" t="s">
        <v>130</v>
      </c>
      <c r="AX2464" s="0" t="s">
        <v>130</v>
      </c>
      <c r="AY2464" s="0" t="s">
        <v>130</v>
      </c>
      <c r="AZ2464" s="0" t="s">
        <v>130</v>
      </c>
      <c r="BA2464" s="0" t="s">
        <v>130</v>
      </c>
      <c r="BB2464" s="0" t="s">
        <v>141</v>
      </c>
      <c r="BC2464" s="0" t="s">
        <v>130</v>
      </c>
      <c r="BD2464" s="0" t="s">
        <v>130</v>
      </c>
      <c r="BE2464" s="0" t="s">
        <v>130</v>
      </c>
      <c r="BF2464" s="0" t="s">
        <v>130</v>
      </c>
      <c r="BG2464" s="0" t="s">
        <v>130</v>
      </c>
      <c r="BH2464" s="0" t="s">
        <v>130</v>
      </c>
      <c r="BI2464" s="0" t="s">
        <v>130</v>
      </c>
      <c r="BJ2464" s="0" t="s">
        <v>130</v>
      </c>
      <c r="BK2464" s="0" t="s">
        <v>130</v>
      </c>
      <c r="BL2464" s="0" t="s">
        <v>130</v>
      </c>
      <c r="BM2464" s="0" t="s">
        <v>130</v>
      </c>
      <c r="BN2464" s="0" t="s">
        <v>130</v>
      </c>
      <c r="BO2464" s="0" t="s">
        <v>130</v>
      </c>
      <c r="BP2464" s="0" t="s">
        <v>130</v>
      </c>
      <c r="BQ2464" s="0" t="s">
        <v>130</v>
      </c>
      <c r="BR2464" s="0" t="s">
        <v>130</v>
      </c>
      <c r="BS2464" s="0" t="s">
        <v>130</v>
      </c>
      <c r="BT2464" s="0" t="s">
        <v>130</v>
      </c>
      <c r="BU2464" s="0" t="s">
        <v>130</v>
      </c>
      <c r="BV2464" s="0" t="s">
        <v>130</v>
      </c>
      <c r="BW2464" s="0" t="s">
        <v>130</v>
      </c>
      <c r="BX2464" s="0" t="s">
        <v>130</v>
      </c>
      <c r="BY2464" s="0" t="s">
        <v>130</v>
      </c>
      <c r="BZ2464" s="0" t="s">
        <v>130</v>
      </c>
      <c r="CA2464" s="0" t="s">
        <v>130</v>
      </c>
      <c r="CB2464" s="0" t="s">
        <v>130</v>
      </c>
      <c r="CC2464" s="0" t="s">
        <v>130</v>
      </c>
      <c r="CD2464" s="0" t="s">
        <v>130</v>
      </c>
      <c r="CE2464" s="0" t="s">
        <v>130</v>
      </c>
      <c r="CF2464" s="0" t="s">
        <v>130</v>
      </c>
      <c r="CG2464" s="0" t="s">
        <v>130</v>
      </c>
      <c r="CH2464" s="0" t="s">
        <v>130</v>
      </c>
      <c r="CI2464" s="0" t="s">
        <v>130</v>
      </c>
      <c r="CJ2464" s="0" t="s">
        <v>130</v>
      </c>
      <c r="CK2464" s="0" t="s">
        <v>130</v>
      </c>
      <c r="CL2464" s="0" t="s">
        <v>130</v>
      </c>
      <c r="CM2464" s="0" t="s">
        <v>130</v>
      </c>
      <c r="CN2464" s="0" t="s">
        <v>130</v>
      </c>
      <c r="CO2464" s="0" t="s">
        <v>130</v>
      </c>
      <c r="CP2464" s="0" t="s">
        <v>130</v>
      </c>
      <c r="CQ2464" s="0" t="s">
        <v>130</v>
      </c>
      <c r="CR2464" s="0" t="s">
        <v>130</v>
      </c>
      <c r="CS2464" s="0" t="s">
        <v>130</v>
      </c>
      <c r="CT2464" s="0" t="s">
        <v>6710</v>
      </c>
    </row>
    <row r="2465">
      <c r="A2465" s="14">
        <v>115694</v>
      </c>
      <c r="B2465" s="0" t="s">
        <v>2507</v>
      </c>
      <c r="C2465" s="16">
        <f>HYPERLINK("https://eosportal.federatedhermes.com/companies/Q29tcGFueQppNTQ5NDQ=", "BASF SE")</f>
      </c>
      <c r="D2465" s="0" t="s">
        <v>23</v>
      </c>
      <c r="E2465" s="0" t="s">
        <v>6711</v>
      </c>
      <c r="F2465" s="16">
        <f>HYPERLINK("https://eosportal.federatedhermes.com/engagements/RW5nYWdlbWVudAppMzM4OTg=", "Net-zero target to include downstream scope 3 emissions")</f>
      </c>
      <c r="G2465" s="14" t="s">
        <v>6712</v>
      </c>
      <c r="H2465" s="0" t="s">
        <v>141</v>
      </c>
      <c r="I2465" s="14" t="s">
        <v>1645</v>
      </c>
      <c r="J2465" s="0" t="s">
        <v>197</v>
      </c>
      <c r="K2465" s="0" t="s">
        <v>198</v>
      </c>
      <c r="L2465" s="0" t="s">
        <v>216</v>
      </c>
      <c r="M2465" s="0" t="s">
        <v>378</v>
      </c>
      <c r="N2465" s="0" t="s">
        <v>2485</v>
      </c>
      <c r="O2465" s="0" t="s">
        <v>706</v>
      </c>
      <c r="Q2465" s="0" t="s">
        <v>141</v>
      </c>
      <c r="R2465" s="0" t="s">
        <v>130</v>
      </c>
      <c r="S2465" s="14">
        <v>1</v>
      </c>
      <c r="T2465" s="0" t="s">
        <v>3562</v>
      </c>
      <c r="U2465" s="0" t="s">
        <v>221</v>
      </c>
      <c r="V2465" s="14" t="s">
        <v>3562</v>
      </c>
      <c r="W2465" s="0" t="s">
        <v>221</v>
      </c>
      <c r="X2465" s="14" t="s">
        <v>2842</v>
      </c>
      <c r="Y2465" s="0" t="s">
        <v>223</v>
      </c>
      <c r="Z2465" s="14" t="s">
        <v>138</v>
      </c>
      <c r="AA2465" s="0" t="s">
        <v>224</v>
      </c>
      <c r="AB2465" s="14" t="s">
        <v>138</v>
      </c>
      <c r="AD2465" s="0" t="s">
        <v>17</v>
      </c>
      <c r="AF2465" s="0">
        <v>0</v>
      </c>
      <c r="AG2465" s="0">
        <v>0</v>
      </c>
      <c r="AH2465" s="0" t="s">
        <v>140</v>
      </c>
      <c r="AI2465" s="0" t="s">
        <v>598</v>
      </c>
      <c r="AK2465" s="0" t="s">
        <v>2529</v>
      </c>
      <c r="AL2465" s="14"/>
      <c r="AN2465" s="14"/>
      <c r="AQ2465" s="0" t="s">
        <v>130</v>
      </c>
      <c r="AR2465" s="0" t="s">
        <v>130</v>
      </c>
      <c r="AS2465" s="0" t="s">
        <v>130</v>
      </c>
      <c r="AT2465" s="0" t="s">
        <v>130</v>
      </c>
      <c r="AU2465" s="0" t="s">
        <v>130</v>
      </c>
      <c r="AV2465" s="0" t="s">
        <v>130</v>
      </c>
      <c r="AW2465" s="0" t="s">
        <v>141</v>
      </c>
      <c r="AX2465" s="0" t="s">
        <v>130</v>
      </c>
      <c r="AY2465" s="0" t="s">
        <v>130</v>
      </c>
      <c r="AZ2465" s="0" t="s">
        <v>130</v>
      </c>
      <c r="BA2465" s="0" t="s">
        <v>130</v>
      </c>
      <c r="BB2465" s="0" t="s">
        <v>130</v>
      </c>
      <c r="BC2465" s="0" t="s">
        <v>141</v>
      </c>
      <c r="BD2465" s="0" t="s">
        <v>130</v>
      </c>
      <c r="BE2465" s="0" t="s">
        <v>130</v>
      </c>
      <c r="BF2465" s="0" t="s">
        <v>130</v>
      </c>
      <c r="BG2465" s="0" t="s">
        <v>130</v>
      </c>
      <c r="BH2465" s="0" t="s">
        <v>141</v>
      </c>
      <c r="BI2465" s="0" t="s">
        <v>141</v>
      </c>
      <c r="BJ2465" s="0" t="s">
        <v>141</v>
      </c>
      <c r="BK2465" s="0" t="s">
        <v>130</v>
      </c>
      <c r="BL2465" s="0" t="s">
        <v>130</v>
      </c>
      <c r="BM2465" s="0" t="s">
        <v>130</v>
      </c>
      <c r="BN2465" s="0" t="s">
        <v>130</v>
      </c>
      <c r="BO2465" s="0" t="s">
        <v>130</v>
      </c>
      <c r="BP2465" s="0" t="s">
        <v>130</v>
      </c>
      <c r="BQ2465" s="0" t="s">
        <v>130</v>
      </c>
      <c r="BR2465" s="0" t="s">
        <v>130</v>
      </c>
      <c r="BS2465" s="0" t="s">
        <v>130</v>
      </c>
      <c r="BT2465" s="0" t="s">
        <v>130</v>
      </c>
      <c r="BU2465" s="0" t="s">
        <v>130</v>
      </c>
      <c r="BV2465" s="0" t="s">
        <v>141</v>
      </c>
      <c r="BW2465" s="0" t="s">
        <v>141</v>
      </c>
      <c r="BX2465" s="0" t="s">
        <v>130</v>
      </c>
      <c r="BY2465" s="0" t="s">
        <v>130</v>
      </c>
      <c r="BZ2465" s="0" t="s">
        <v>130</v>
      </c>
      <c r="CA2465" s="0" t="s">
        <v>130</v>
      </c>
      <c r="CB2465" s="0" t="s">
        <v>130</v>
      </c>
      <c r="CC2465" s="0" t="s">
        <v>130</v>
      </c>
      <c r="CD2465" s="0" t="s">
        <v>130</v>
      </c>
      <c r="CE2465" s="0" t="s">
        <v>130</v>
      </c>
      <c r="CF2465" s="0" t="s">
        <v>130</v>
      </c>
      <c r="CG2465" s="0" t="s">
        <v>130</v>
      </c>
      <c r="CH2465" s="0" t="s">
        <v>130</v>
      </c>
      <c r="CI2465" s="0" t="s">
        <v>130</v>
      </c>
      <c r="CJ2465" s="0" t="s">
        <v>130</v>
      </c>
      <c r="CK2465" s="0" t="s">
        <v>130</v>
      </c>
      <c r="CL2465" s="0" t="s">
        <v>130</v>
      </c>
      <c r="CM2465" s="0" t="s">
        <v>130</v>
      </c>
      <c r="CN2465" s="0" t="s">
        <v>130</v>
      </c>
      <c r="CO2465" s="0" t="s">
        <v>130</v>
      </c>
      <c r="CP2465" s="0" t="s">
        <v>130</v>
      </c>
      <c r="CQ2465" s="0" t="s">
        <v>130</v>
      </c>
      <c r="CR2465" s="0" t="s">
        <v>130</v>
      </c>
      <c r="CS2465" s="0" t="s">
        <v>130</v>
      </c>
      <c r="CT2465" s="0" t="s">
        <v>6713</v>
      </c>
    </row>
    <row r="2466">
      <c r="A2466" s="14">
        <v>16857643</v>
      </c>
      <c r="B2466" s="0" t="s">
        <v>4271</v>
      </c>
      <c r="C2466" s="16">
        <f>HYPERLINK("https://eosportal.federatedhermes.com/companies/Q29tcGFueQppNzgyNzY=", "Alibaba Group Holding Ltd")</f>
      </c>
      <c r="D2466" s="0" t="s">
        <v>25</v>
      </c>
      <c r="E2466" s="0" t="s">
        <v>6714</v>
      </c>
      <c r="F2466" s="16">
        <f>HYPERLINK("https://eosportal.federatedhermes.com/engagements/RW5nYWdlbWVudAppMzM5MTA=", "Appointment of lead independent director")</f>
      </c>
      <c r="G2466" s="14" t="s">
        <v>6715</v>
      </c>
      <c r="H2466" s="0" t="s">
        <v>141</v>
      </c>
      <c r="I2466" s="14" t="s">
        <v>1645</v>
      </c>
      <c r="J2466" s="0" t="s">
        <v>145</v>
      </c>
      <c r="K2466" s="0" t="s">
        <v>164</v>
      </c>
      <c r="L2466" s="0" t="s">
        <v>165</v>
      </c>
      <c r="M2466" s="0" t="s">
        <v>802</v>
      </c>
      <c r="N2466" s="0" t="s">
        <v>803</v>
      </c>
      <c r="O2466" s="0" t="s">
        <v>643</v>
      </c>
      <c r="Q2466" s="0" t="s">
        <v>141</v>
      </c>
      <c r="R2466" s="0" t="s">
        <v>138</v>
      </c>
      <c r="S2466" s="14">
        <v>2</v>
      </c>
      <c r="T2466" s="0" t="s">
        <v>3562</v>
      </c>
      <c r="U2466" s="0" t="s">
        <v>138</v>
      </c>
      <c r="V2466" s="14" t="s">
        <v>138</v>
      </c>
      <c r="W2466" s="0" t="s">
        <v>138</v>
      </c>
      <c r="X2466" s="14" t="s">
        <v>138</v>
      </c>
      <c r="Y2466" s="0" t="s">
        <v>138</v>
      </c>
      <c r="Z2466" s="14" t="s">
        <v>138</v>
      </c>
      <c r="AA2466" s="0" t="s">
        <v>138</v>
      </c>
      <c r="AB2466" s="14" t="s">
        <v>138</v>
      </c>
      <c r="AD2466" s="0" t="s">
        <v>138</v>
      </c>
      <c r="AF2466" s="0">
        <v>0</v>
      </c>
      <c r="AG2466" s="0">
        <v>0</v>
      </c>
      <c r="AH2466" s="0" t="s">
        <v>140</v>
      </c>
      <c r="AI2466" s="0" t="s">
        <v>138</v>
      </c>
      <c r="AK2466" s="0" t="s">
        <v>4274</v>
      </c>
      <c r="AL2466" s="14"/>
      <c r="AN2466" s="14"/>
      <c r="AQ2466" s="0" t="s">
        <v>130</v>
      </c>
      <c r="AR2466" s="0" t="s">
        <v>130</v>
      </c>
      <c r="AS2466" s="0" t="s">
        <v>130</v>
      </c>
      <c r="AT2466" s="0" t="s">
        <v>130</v>
      </c>
      <c r="AU2466" s="0" t="s">
        <v>130</v>
      </c>
      <c r="AV2466" s="0" t="s">
        <v>130</v>
      </c>
      <c r="AW2466" s="0" t="s">
        <v>130</v>
      </c>
      <c r="AX2466" s="0" t="s">
        <v>130</v>
      </c>
      <c r="AY2466" s="0" t="s">
        <v>130</v>
      </c>
      <c r="AZ2466" s="0" t="s">
        <v>130</v>
      </c>
      <c r="BA2466" s="0" t="s">
        <v>130</v>
      </c>
      <c r="BB2466" s="0" t="s">
        <v>130</v>
      </c>
      <c r="BC2466" s="0" t="s">
        <v>130</v>
      </c>
      <c r="BD2466" s="0" t="s">
        <v>130</v>
      </c>
      <c r="BE2466" s="0" t="s">
        <v>130</v>
      </c>
      <c r="BF2466" s="0" t="s">
        <v>130</v>
      </c>
      <c r="BG2466" s="0" t="s">
        <v>130</v>
      </c>
      <c r="BH2466" s="0" t="s">
        <v>130</v>
      </c>
      <c r="BI2466" s="0" t="s">
        <v>130</v>
      </c>
      <c r="BJ2466" s="0" t="s">
        <v>130</v>
      </c>
      <c r="BK2466" s="0" t="s">
        <v>130</v>
      </c>
      <c r="BL2466" s="0" t="s">
        <v>130</v>
      </c>
      <c r="BM2466" s="0" t="s">
        <v>130</v>
      </c>
      <c r="BN2466" s="0" t="s">
        <v>130</v>
      </c>
      <c r="BO2466" s="0" t="s">
        <v>130</v>
      </c>
      <c r="BP2466" s="0" t="s">
        <v>130</v>
      </c>
      <c r="BQ2466" s="0" t="s">
        <v>130</v>
      </c>
      <c r="BR2466" s="0" t="s">
        <v>130</v>
      </c>
      <c r="BS2466" s="0" t="s">
        <v>130</v>
      </c>
      <c r="BT2466" s="0" t="s">
        <v>130</v>
      </c>
      <c r="BU2466" s="0" t="s">
        <v>130</v>
      </c>
      <c r="BV2466" s="0" t="s">
        <v>130</v>
      </c>
      <c r="BW2466" s="0" t="s">
        <v>130</v>
      </c>
      <c r="BX2466" s="0" t="s">
        <v>130</v>
      </c>
      <c r="BY2466" s="0" t="s">
        <v>130</v>
      </c>
      <c r="BZ2466" s="0" t="s">
        <v>130</v>
      </c>
      <c r="CA2466" s="0" t="s">
        <v>130</v>
      </c>
      <c r="CB2466" s="0" t="s">
        <v>130</v>
      </c>
      <c r="CC2466" s="0" t="s">
        <v>130</v>
      </c>
      <c r="CD2466" s="0" t="s">
        <v>130</v>
      </c>
      <c r="CE2466" s="0" t="s">
        <v>130</v>
      </c>
      <c r="CF2466" s="0" t="s">
        <v>130</v>
      </c>
      <c r="CG2466" s="0" t="s">
        <v>130</v>
      </c>
      <c r="CH2466" s="0" t="s">
        <v>130</v>
      </c>
      <c r="CI2466" s="0" t="s">
        <v>130</v>
      </c>
      <c r="CJ2466" s="0" t="s">
        <v>130</v>
      </c>
      <c r="CK2466" s="0" t="s">
        <v>130</v>
      </c>
      <c r="CL2466" s="0" t="s">
        <v>130</v>
      </c>
      <c r="CM2466" s="0" t="s">
        <v>130</v>
      </c>
      <c r="CN2466" s="0" t="s">
        <v>130</v>
      </c>
      <c r="CO2466" s="0" t="s">
        <v>130</v>
      </c>
      <c r="CP2466" s="0" t="s">
        <v>130</v>
      </c>
      <c r="CQ2466" s="0" t="s">
        <v>130</v>
      </c>
      <c r="CR2466" s="0" t="s">
        <v>130</v>
      </c>
      <c r="CS2466" s="0" t="s">
        <v>130</v>
      </c>
      <c r="CT2466" s="0" t="s">
        <v>6716</v>
      </c>
    </row>
    <row r="2467">
      <c r="A2467" s="14">
        <v>26404285</v>
      </c>
      <c r="B2467" s="0" t="s">
        <v>6717</v>
      </c>
      <c r="C2467" s="16">
        <f>HYPERLINK("https://eosportal.federatedhermes.com/companies/Q29tcGFueQppNzc5MjA=", "Airbnb Inc")</f>
      </c>
      <c r="D2467" s="0" t="s">
        <v>25</v>
      </c>
      <c r="E2467" s="0" t="s">
        <v>3397</v>
      </c>
      <c r="F2467" s="16">
        <f>HYPERLINK("https://eosportal.federatedhermes.com/engagements/RW5nYWdlbWVudAppMzM5MTI=", "High geographic risks")</f>
      </c>
      <c r="G2467" s="14" t="s">
        <v>4048</v>
      </c>
      <c r="H2467" s="0" t="s">
        <v>130</v>
      </c>
      <c r="I2467" s="14" t="s">
        <v>319</v>
      </c>
      <c r="J2467" s="0" t="s">
        <v>153</v>
      </c>
      <c r="K2467" s="0" t="s">
        <v>243</v>
      </c>
      <c r="L2467" s="0" t="s">
        <v>456</v>
      </c>
      <c r="M2467" s="0" t="s">
        <v>135</v>
      </c>
      <c r="N2467" s="0" t="s">
        <v>136</v>
      </c>
      <c r="O2467" s="0" t="s">
        <v>643</v>
      </c>
      <c r="Q2467" s="0" t="s">
        <v>141</v>
      </c>
      <c r="R2467" s="0" t="s">
        <v>138</v>
      </c>
      <c r="S2467" s="14">
        <v>1</v>
      </c>
      <c r="T2467" s="0" t="s">
        <v>3562</v>
      </c>
      <c r="U2467" s="0" t="s">
        <v>138</v>
      </c>
      <c r="V2467" s="14" t="s">
        <v>138</v>
      </c>
      <c r="W2467" s="0" t="s">
        <v>138</v>
      </c>
      <c r="X2467" s="14" t="s">
        <v>138</v>
      </c>
      <c r="Y2467" s="0" t="s">
        <v>138</v>
      </c>
      <c r="Z2467" s="14" t="s">
        <v>138</v>
      </c>
      <c r="AA2467" s="0" t="s">
        <v>138</v>
      </c>
      <c r="AB2467" s="14" t="s">
        <v>138</v>
      </c>
      <c r="AD2467" s="0" t="s">
        <v>138</v>
      </c>
      <c r="AF2467" s="0">
        <v>0</v>
      </c>
      <c r="AG2467" s="0">
        <v>0</v>
      </c>
      <c r="AH2467" s="0" t="s">
        <v>140</v>
      </c>
      <c r="AI2467" s="0" t="s">
        <v>138</v>
      </c>
      <c r="AK2467" s="0" t="s">
        <v>1470</v>
      </c>
      <c r="AL2467" s="14"/>
      <c r="AN2467" s="14"/>
      <c r="AQ2467" s="0" t="s">
        <v>130</v>
      </c>
      <c r="AR2467" s="0" t="s">
        <v>130</v>
      </c>
      <c r="AS2467" s="0" t="s">
        <v>130</v>
      </c>
      <c r="AT2467" s="0" t="s">
        <v>130</v>
      </c>
      <c r="AU2467" s="0" t="s">
        <v>130</v>
      </c>
      <c r="AV2467" s="0" t="s">
        <v>130</v>
      </c>
      <c r="AW2467" s="0" t="s">
        <v>130</v>
      </c>
      <c r="AX2467" s="0" t="s">
        <v>141</v>
      </c>
      <c r="AY2467" s="0" t="s">
        <v>130</v>
      </c>
      <c r="AZ2467" s="0" t="s">
        <v>130</v>
      </c>
      <c r="BA2467" s="0" t="s">
        <v>130</v>
      </c>
      <c r="BB2467" s="0" t="s">
        <v>130</v>
      </c>
      <c r="BC2467" s="0" t="s">
        <v>130</v>
      </c>
      <c r="BD2467" s="0" t="s">
        <v>130</v>
      </c>
      <c r="BE2467" s="0" t="s">
        <v>130</v>
      </c>
      <c r="BF2467" s="0" t="s">
        <v>141</v>
      </c>
      <c r="BG2467" s="0" t="s">
        <v>130</v>
      </c>
      <c r="BH2467" s="0" t="s">
        <v>130</v>
      </c>
      <c r="BI2467" s="0" t="s">
        <v>130</v>
      </c>
      <c r="BJ2467" s="0" t="s">
        <v>130</v>
      </c>
      <c r="BK2467" s="0" t="s">
        <v>130</v>
      </c>
      <c r="BL2467" s="0" t="s">
        <v>130</v>
      </c>
      <c r="BM2467" s="0" t="s">
        <v>130</v>
      </c>
      <c r="BN2467" s="0" t="s">
        <v>130</v>
      </c>
      <c r="BO2467" s="0" t="s">
        <v>130</v>
      </c>
      <c r="BP2467" s="0" t="s">
        <v>130</v>
      </c>
      <c r="BQ2467" s="0" t="s">
        <v>130</v>
      </c>
      <c r="BR2467" s="0" t="s">
        <v>130</v>
      </c>
      <c r="BS2467" s="0" t="s">
        <v>130</v>
      </c>
      <c r="BT2467" s="0" t="s">
        <v>130</v>
      </c>
      <c r="BU2467" s="0" t="s">
        <v>130</v>
      </c>
      <c r="BV2467" s="0" t="s">
        <v>130</v>
      </c>
      <c r="BW2467" s="0" t="s">
        <v>130</v>
      </c>
      <c r="BX2467" s="0" t="s">
        <v>130</v>
      </c>
      <c r="BY2467" s="0" t="s">
        <v>130</v>
      </c>
      <c r="BZ2467" s="0" t="s">
        <v>130</v>
      </c>
      <c r="CA2467" s="0" t="s">
        <v>130</v>
      </c>
      <c r="CB2467" s="0" t="s">
        <v>130</v>
      </c>
      <c r="CC2467" s="0" t="s">
        <v>130</v>
      </c>
      <c r="CD2467" s="0" t="s">
        <v>130</v>
      </c>
      <c r="CE2467" s="0" t="s">
        <v>130</v>
      </c>
      <c r="CF2467" s="0" t="s">
        <v>130</v>
      </c>
      <c r="CG2467" s="0" t="s">
        <v>130</v>
      </c>
      <c r="CH2467" s="0" t="s">
        <v>130</v>
      </c>
      <c r="CI2467" s="0" t="s">
        <v>130</v>
      </c>
      <c r="CJ2467" s="0" t="s">
        <v>130</v>
      </c>
      <c r="CK2467" s="0" t="s">
        <v>130</v>
      </c>
      <c r="CL2467" s="0" t="s">
        <v>130</v>
      </c>
      <c r="CM2467" s="0" t="s">
        <v>130</v>
      </c>
      <c r="CN2467" s="0" t="s">
        <v>130</v>
      </c>
      <c r="CO2467" s="0" t="s">
        <v>130</v>
      </c>
      <c r="CP2467" s="0" t="s">
        <v>130</v>
      </c>
      <c r="CQ2467" s="0" t="s">
        <v>130</v>
      </c>
      <c r="CR2467" s="0" t="s">
        <v>130</v>
      </c>
      <c r="CS2467" s="0" t="s">
        <v>130</v>
      </c>
      <c r="CT2467" s="0" t="s">
        <v>6718</v>
      </c>
    </row>
    <row r="2468">
      <c r="A2468" s="14">
        <v>16632863</v>
      </c>
      <c r="B2468" s="0" t="s">
        <v>4220</v>
      </c>
      <c r="C2468" s="16">
        <f>HYPERLINK("https://eosportal.federatedhermes.com/companies/Q29tcGFueQppNDQ5NjA=", "General Motors Co")</f>
      </c>
      <c r="D2468" s="0" t="s">
        <v>23</v>
      </c>
      <c r="E2468" s="0" t="s">
        <v>6719</v>
      </c>
      <c r="F2468" s="16">
        <f>HYPERLINK("https://eosportal.federatedhermes.com/engagements/RW5nYWdlbWVudAppMzM5MjE=", "Increased transparency on tax reporting")</f>
      </c>
      <c r="G2468" s="14" t="s">
        <v>6720</v>
      </c>
      <c r="H2468" s="0" t="s">
        <v>141</v>
      </c>
      <c r="I2468" s="14" t="s">
        <v>191</v>
      </c>
      <c r="J2468" s="0" t="s">
        <v>153</v>
      </c>
      <c r="K2468" s="0" t="s">
        <v>185</v>
      </c>
      <c r="L2468" s="0" t="s">
        <v>548</v>
      </c>
      <c r="M2468" s="0" t="s">
        <v>135</v>
      </c>
      <c r="N2468" s="0" t="s">
        <v>136</v>
      </c>
      <c r="O2468" s="0" t="s">
        <v>425</v>
      </c>
      <c r="Q2468" s="0" t="s">
        <v>130</v>
      </c>
      <c r="R2468" s="0" t="s">
        <v>130</v>
      </c>
      <c r="S2468" s="14">
        <v>0</v>
      </c>
      <c r="T2468" s="0" t="s">
        <v>3562</v>
      </c>
      <c r="U2468" s="0" t="s">
        <v>221</v>
      </c>
      <c r="V2468" s="14" t="s">
        <v>3562</v>
      </c>
      <c r="W2468" s="0" t="s">
        <v>221</v>
      </c>
      <c r="X2468" s="14" t="s">
        <v>2842</v>
      </c>
      <c r="Y2468" s="0" t="s">
        <v>223</v>
      </c>
      <c r="Z2468" s="14" t="s">
        <v>138</v>
      </c>
      <c r="AA2468" s="0" t="s">
        <v>224</v>
      </c>
      <c r="AB2468" s="14" t="s">
        <v>138</v>
      </c>
      <c r="AD2468" s="0" t="s">
        <v>17</v>
      </c>
      <c r="AF2468" s="0">
        <v>0</v>
      </c>
      <c r="AG2468" s="0">
        <v>0</v>
      </c>
      <c r="AH2468" s="0" t="s">
        <v>140</v>
      </c>
      <c r="AI2468" s="0" t="s">
        <v>598</v>
      </c>
      <c r="AL2468" s="14"/>
      <c r="AN2468" s="14"/>
      <c r="AQ2468" s="0" t="s">
        <v>130</v>
      </c>
      <c r="AR2468" s="0" t="s">
        <v>130</v>
      </c>
      <c r="AS2468" s="0" t="s">
        <v>130</v>
      </c>
      <c r="AT2468" s="0" t="s">
        <v>130</v>
      </c>
      <c r="AU2468" s="0" t="s">
        <v>130</v>
      </c>
      <c r="AV2468" s="0" t="s">
        <v>130</v>
      </c>
      <c r="AW2468" s="0" t="s">
        <v>130</v>
      </c>
      <c r="AX2468" s="0" t="s">
        <v>130</v>
      </c>
      <c r="AY2468" s="0" t="s">
        <v>130</v>
      </c>
      <c r="AZ2468" s="0" t="s">
        <v>130</v>
      </c>
      <c r="BA2468" s="0" t="s">
        <v>130</v>
      </c>
      <c r="BB2468" s="0" t="s">
        <v>130</v>
      </c>
      <c r="BC2468" s="0" t="s">
        <v>130</v>
      </c>
      <c r="BD2468" s="0" t="s">
        <v>130</v>
      </c>
      <c r="BE2468" s="0" t="s">
        <v>130</v>
      </c>
      <c r="BF2468" s="0" t="s">
        <v>130</v>
      </c>
      <c r="BG2468" s="0" t="s">
        <v>141</v>
      </c>
      <c r="BH2468" s="0" t="s">
        <v>130</v>
      </c>
      <c r="BI2468" s="0" t="s">
        <v>130</v>
      </c>
      <c r="BJ2468" s="0" t="s">
        <v>130</v>
      </c>
      <c r="BK2468" s="0" t="s">
        <v>130</v>
      </c>
      <c r="BL2468" s="0" t="s">
        <v>130</v>
      </c>
      <c r="BM2468" s="0" t="s">
        <v>130</v>
      </c>
      <c r="BN2468" s="0" t="s">
        <v>130</v>
      </c>
      <c r="BO2468" s="0" t="s">
        <v>130</v>
      </c>
      <c r="BP2468" s="0" t="s">
        <v>130</v>
      </c>
      <c r="BQ2468" s="0" t="s">
        <v>130</v>
      </c>
      <c r="BR2468" s="0" t="s">
        <v>130</v>
      </c>
      <c r="BS2468" s="0" t="s">
        <v>130</v>
      </c>
      <c r="BT2468" s="0" t="s">
        <v>130</v>
      </c>
      <c r="BU2468" s="0" t="s">
        <v>130</v>
      </c>
      <c r="BV2468" s="0" t="s">
        <v>130</v>
      </c>
      <c r="BW2468" s="0" t="s">
        <v>130</v>
      </c>
      <c r="BX2468" s="0" t="s">
        <v>130</v>
      </c>
      <c r="BY2468" s="0" t="s">
        <v>130</v>
      </c>
      <c r="BZ2468" s="0" t="s">
        <v>130</v>
      </c>
      <c r="CA2468" s="0" t="s">
        <v>130</v>
      </c>
      <c r="CB2468" s="0" t="s">
        <v>130</v>
      </c>
      <c r="CC2468" s="0" t="s">
        <v>130</v>
      </c>
      <c r="CD2468" s="0" t="s">
        <v>130</v>
      </c>
      <c r="CE2468" s="0" t="s">
        <v>130</v>
      </c>
      <c r="CF2468" s="0" t="s">
        <v>130</v>
      </c>
      <c r="CG2468" s="0" t="s">
        <v>130</v>
      </c>
      <c r="CH2468" s="0" t="s">
        <v>130</v>
      </c>
      <c r="CI2468" s="0" t="s">
        <v>130</v>
      </c>
      <c r="CJ2468" s="0" t="s">
        <v>130</v>
      </c>
      <c r="CK2468" s="0" t="s">
        <v>130</v>
      </c>
      <c r="CL2468" s="0" t="s">
        <v>130</v>
      </c>
      <c r="CM2468" s="0" t="s">
        <v>130</v>
      </c>
      <c r="CN2468" s="0" t="s">
        <v>130</v>
      </c>
      <c r="CO2468" s="0" t="s">
        <v>130</v>
      </c>
      <c r="CP2468" s="0" t="s">
        <v>130</v>
      </c>
      <c r="CQ2468" s="0" t="s">
        <v>130</v>
      </c>
      <c r="CR2468" s="0" t="s">
        <v>130</v>
      </c>
      <c r="CS2468" s="0" t="s">
        <v>130</v>
      </c>
      <c r="CT2468" s="0" t="s">
        <v>6721</v>
      </c>
    </row>
    <row r="2469">
      <c r="A2469" s="14">
        <v>815394</v>
      </c>
      <c r="B2469" s="0" t="s">
        <v>3281</v>
      </c>
      <c r="C2469" s="16">
        <f>HYPERLINK("https://eosportal.federatedhermes.com/companies/Q29tcGFueQppODA0ODY=", "Veolia Environnement SA")</f>
      </c>
      <c r="D2469" s="0" t="s">
        <v>25</v>
      </c>
      <c r="E2469" s="0" t="s">
        <v>2466</v>
      </c>
      <c r="F2469" s="16">
        <f>HYPERLINK("https://eosportal.federatedhermes.com/engagements/RW5nYWdlbWVudAppMzM5MzQ=", "Voting rights")</f>
      </c>
      <c r="G2469" s="14" t="s">
        <v>6722</v>
      </c>
      <c r="H2469" s="0" t="s">
        <v>130</v>
      </c>
      <c r="I2469" s="14" t="s">
        <v>131</v>
      </c>
      <c r="J2469" s="0" t="s">
        <v>145</v>
      </c>
      <c r="K2469" s="0" t="s">
        <v>400</v>
      </c>
      <c r="L2469" s="0" t="s">
        <v>507</v>
      </c>
      <c r="M2469" s="0" t="s">
        <v>378</v>
      </c>
      <c r="N2469" s="0" t="s">
        <v>1646</v>
      </c>
      <c r="O2469" s="0" t="s">
        <v>192</v>
      </c>
      <c r="Q2469" s="0" t="s">
        <v>130</v>
      </c>
      <c r="R2469" s="0" t="s">
        <v>138</v>
      </c>
      <c r="S2469" s="14">
        <v>0</v>
      </c>
      <c r="T2469" s="0" t="s">
        <v>3562</v>
      </c>
      <c r="U2469" s="0" t="s">
        <v>138</v>
      </c>
      <c r="V2469" s="14" t="s">
        <v>138</v>
      </c>
      <c r="W2469" s="0" t="s">
        <v>138</v>
      </c>
      <c r="X2469" s="14" t="s">
        <v>138</v>
      </c>
      <c r="Y2469" s="0" t="s">
        <v>138</v>
      </c>
      <c r="Z2469" s="14" t="s">
        <v>138</v>
      </c>
      <c r="AA2469" s="0" t="s">
        <v>138</v>
      </c>
      <c r="AB2469" s="14" t="s">
        <v>138</v>
      </c>
      <c r="AD2469" s="0" t="s">
        <v>138</v>
      </c>
      <c r="AF2469" s="0">
        <v>0</v>
      </c>
      <c r="AG2469" s="0">
        <v>0</v>
      </c>
      <c r="AH2469" s="0" t="s">
        <v>140</v>
      </c>
      <c r="AI2469" s="0" t="s">
        <v>138</v>
      </c>
      <c r="AL2469" s="14"/>
      <c r="AN2469" s="14"/>
      <c r="AQ2469" s="0" t="s">
        <v>130</v>
      </c>
      <c r="AR2469" s="0" t="s">
        <v>130</v>
      </c>
      <c r="AS2469" s="0" t="s">
        <v>130</v>
      </c>
      <c r="AT2469" s="0" t="s">
        <v>130</v>
      </c>
      <c r="AU2469" s="0" t="s">
        <v>130</v>
      </c>
      <c r="AV2469" s="0" t="s">
        <v>130</v>
      </c>
      <c r="AW2469" s="0" t="s">
        <v>130</v>
      </c>
      <c r="AX2469" s="0" t="s">
        <v>130</v>
      </c>
      <c r="AY2469" s="0" t="s">
        <v>130</v>
      </c>
      <c r="AZ2469" s="0" t="s">
        <v>130</v>
      </c>
      <c r="BA2469" s="0" t="s">
        <v>130</v>
      </c>
      <c r="BB2469" s="0" t="s">
        <v>130</v>
      </c>
      <c r="BC2469" s="0" t="s">
        <v>130</v>
      </c>
      <c r="BD2469" s="0" t="s">
        <v>130</v>
      </c>
      <c r="BE2469" s="0" t="s">
        <v>130</v>
      </c>
      <c r="BF2469" s="0" t="s">
        <v>130</v>
      </c>
      <c r="BG2469" s="0" t="s">
        <v>130</v>
      </c>
      <c r="BH2469" s="0" t="s">
        <v>130</v>
      </c>
      <c r="BI2469" s="0" t="s">
        <v>130</v>
      </c>
      <c r="BJ2469" s="0" t="s">
        <v>130</v>
      </c>
      <c r="BK2469" s="0" t="s">
        <v>130</v>
      </c>
      <c r="BL2469" s="0" t="s">
        <v>130</v>
      </c>
      <c r="BM2469" s="0" t="s">
        <v>130</v>
      </c>
      <c r="BN2469" s="0" t="s">
        <v>130</v>
      </c>
      <c r="BO2469" s="0" t="s">
        <v>130</v>
      </c>
      <c r="BP2469" s="0" t="s">
        <v>130</v>
      </c>
      <c r="BQ2469" s="0" t="s">
        <v>130</v>
      </c>
      <c r="BR2469" s="0" t="s">
        <v>130</v>
      </c>
      <c r="BS2469" s="0" t="s">
        <v>130</v>
      </c>
      <c r="BT2469" s="0" t="s">
        <v>130</v>
      </c>
      <c r="BU2469" s="0" t="s">
        <v>130</v>
      </c>
      <c r="BV2469" s="0" t="s">
        <v>130</v>
      </c>
      <c r="BW2469" s="0" t="s">
        <v>130</v>
      </c>
      <c r="BX2469" s="0" t="s">
        <v>130</v>
      </c>
      <c r="BY2469" s="0" t="s">
        <v>130</v>
      </c>
      <c r="BZ2469" s="0" t="s">
        <v>130</v>
      </c>
      <c r="CA2469" s="0" t="s">
        <v>130</v>
      </c>
      <c r="CB2469" s="0" t="s">
        <v>130</v>
      </c>
      <c r="CC2469" s="0" t="s">
        <v>130</v>
      </c>
      <c r="CD2469" s="0" t="s">
        <v>130</v>
      </c>
      <c r="CE2469" s="0" t="s">
        <v>130</v>
      </c>
      <c r="CF2469" s="0" t="s">
        <v>130</v>
      </c>
      <c r="CG2469" s="0" t="s">
        <v>130</v>
      </c>
      <c r="CH2469" s="0" t="s">
        <v>130</v>
      </c>
      <c r="CI2469" s="0" t="s">
        <v>130</v>
      </c>
      <c r="CJ2469" s="0" t="s">
        <v>130</v>
      </c>
      <c r="CK2469" s="0" t="s">
        <v>130</v>
      </c>
      <c r="CL2469" s="0" t="s">
        <v>130</v>
      </c>
      <c r="CM2469" s="0" t="s">
        <v>130</v>
      </c>
      <c r="CN2469" s="0" t="s">
        <v>130</v>
      </c>
      <c r="CO2469" s="0" t="s">
        <v>130</v>
      </c>
      <c r="CP2469" s="0" t="s">
        <v>130</v>
      </c>
      <c r="CQ2469" s="0" t="s">
        <v>130</v>
      </c>
      <c r="CR2469" s="0" t="s">
        <v>130</v>
      </c>
      <c r="CS2469" s="0" t="s">
        <v>130</v>
      </c>
      <c r="CT2469" s="0" t="s">
        <v>6723</v>
      </c>
    </row>
    <row r="2470">
      <c r="A2470" s="14">
        <v>100787</v>
      </c>
      <c r="B2470" s="0" t="s">
        <v>1050</v>
      </c>
      <c r="C2470" s="16">
        <f>HYPERLINK("https://eosportal.federatedhermes.com/companies/Q29tcGFueQppODU5MzI=", "Trane Technologies plc")</f>
      </c>
      <c r="D2470" s="0" t="s">
        <v>23</v>
      </c>
      <c r="E2470" s="0" t="s">
        <v>6663</v>
      </c>
      <c r="F2470" s="16">
        <f>HYPERLINK("https://eosportal.federatedhermes.com/engagements/RW5nYWdlbWVudAppMzM5Mzc=", "Mental health support")</f>
      </c>
      <c r="G2470" s="14" t="s">
        <v>6664</v>
      </c>
      <c r="H2470" s="0" t="s">
        <v>141</v>
      </c>
      <c r="I2470" s="14" t="s">
        <v>131</v>
      </c>
      <c r="J2470" s="0" t="s">
        <v>153</v>
      </c>
      <c r="K2470" s="0" t="s">
        <v>154</v>
      </c>
      <c r="L2470" s="0" t="s">
        <v>155</v>
      </c>
      <c r="M2470" s="0" t="s">
        <v>378</v>
      </c>
      <c r="N2470" s="0" t="s">
        <v>409</v>
      </c>
      <c r="O2470" s="0" t="s">
        <v>176</v>
      </c>
      <c r="Q2470" s="0" t="s">
        <v>130</v>
      </c>
      <c r="R2470" s="0" t="s">
        <v>130</v>
      </c>
      <c r="S2470" s="14">
        <v>0</v>
      </c>
      <c r="T2470" s="0" t="s">
        <v>3562</v>
      </c>
      <c r="U2470" s="0" t="s">
        <v>221</v>
      </c>
      <c r="V2470" s="14" t="s">
        <v>3562</v>
      </c>
      <c r="W2470" s="0" t="s">
        <v>223</v>
      </c>
      <c r="X2470" s="14" t="s">
        <v>138</v>
      </c>
      <c r="Y2470" s="0" t="s">
        <v>224</v>
      </c>
      <c r="Z2470" s="14" t="s">
        <v>138</v>
      </c>
      <c r="AA2470" s="0" t="s">
        <v>224</v>
      </c>
      <c r="AB2470" s="14" t="s">
        <v>138</v>
      </c>
      <c r="AD2470" s="0" t="s">
        <v>14</v>
      </c>
      <c r="AF2470" s="0">
        <v>0</v>
      </c>
      <c r="AG2470" s="0">
        <v>0</v>
      </c>
      <c r="AH2470" s="0" t="s">
        <v>140</v>
      </c>
      <c r="AI2470" s="0" t="s">
        <v>479</v>
      </c>
      <c r="AL2470" s="14"/>
      <c r="AN2470" s="14"/>
      <c r="AQ2470" s="0" t="s">
        <v>130</v>
      </c>
      <c r="AR2470" s="0" t="s">
        <v>130</v>
      </c>
      <c r="AS2470" s="0" t="s">
        <v>141</v>
      </c>
      <c r="AT2470" s="0" t="s">
        <v>130</v>
      </c>
      <c r="AU2470" s="0" t="s">
        <v>130</v>
      </c>
      <c r="AV2470" s="0" t="s">
        <v>130</v>
      </c>
      <c r="AW2470" s="0" t="s">
        <v>130</v>
      </c>
      <c r="AX2470" s="0" t="s">
        <v>141</v>
      </c>
      <c r="AY2470" s="0" t="s">
        <v>130</v>
      </c>
      <c r="AZ2470" s="0" t="s">
        <v>130</v>
      </c>
      <c r="BA2470" s="0" t="s">
        <v>130</v>
      </c>
      <c r="BB2470" s="0" t="s">
        <v>130</v>
      </c>
      <c r="BC2470" s="0" t="s">
        <v>130</v>
      </c>
      <c r="BD2470" s="0" t="s">
        <v>130</v>
      </c>
      <c r="BE2470" s="0" t="s">
        <v>130</v>
      </c>
      <c r="BF2470" s="0" t="s">
        <v>130</v>
      </c>
      <c r="BG2470" s="0" t="s">
        <v>130</v>
      </c>
      <c r="BH2470" s="0" t="s">
        <v>130</v>
      </c>
      <c r="BI2470" s="0" t="s">
        <v>130</v>
      </c>
      <c r="BJ2470" s="0" t="s">
        <v>130</v>
      </c>
      <c r="BK2470" s="0" t="s">
        <v>130</v>
      </c>
      <c r="BL2470" s="0" t="s">
        <v>130</v>
      </c>
      <c r="BM2470" s="0" t="s">
        <v>130</v>
      </c>
      <c r="BN2470" s="0" t="s">
        <v>130</v>
      </c>
      <c r="BO2470" s="0" t="s">
        <v>130</v>
      </c>
      <c r="BP2470" s="0" t="s">
        <v>130</v>
      </c>
      <c r="BQ2470" s="0" t="s">
        <v>130</v>
      </c>
      <c r="BR2470" s="0" t="s">
        <v>130</v>
      </c>
      <c r="BS2470" s="0" t="s">
        <v>130</v>
      </c>
      <c r="BT2470" s="0" t="s">
        <v>130</v>
      </c>
      <c r="BU2470" s="0" t="s">
        <v>130</v>
      </c>
      <c r="BV2470" s="0" t="s">
        <v>130</v>
      </c>
      <c r="BW2470" s="0" t="s">
        <v>130</v>
      </c>
      <c r="BX2470" s="0" t="s">
        <v>130</v>
      </c>
      <c r="BY2470" s="0" t="s">
        <v>130</v>
      </c>
      <c r="BZ2470" s="0" t="s">
        <v>130</v>
      </c>
      <c r="CA2470" s="0" t="s">
        <v>130</v>
      </c>
      <c r="CB2470" s="0" t="s">
        <v>130</v>
      </c>
      <c r="CC2470" s="0" t="s">
        <v>130</v>
      </c>
      <c r="CD2470" s="0" t="s">
        <v>130</v>
      </c>
      <c r="CE2470" s="0" t="s">
        <v>130</v>
      </c>
      <c r="CF2470" s="0" t="s">
        <v>130</v>
      </c>
      <c r="CG2470" s="0" t="s">
        <v>130</v>
      </c>
      <c r="CH2470" s="0" t="s">
        <v>130</v>
      </c>
      <c r="CI2470" s="0" t="s">
        <v>141</v>
      </c>
      <c r="CJ2470" s="0" t="s">
        <v>130</v>
      </c>
      <c r="CK2470" s="0" t="s">
        <v>130</v>
      </c>
      <c r="CL2470" s="0" t="s">
        <v>130</v>
      </c>
      <c r="CM2470" s="0" t="s">
        <v>130</v>
      </c>
      <c r="CN2470" s="0" t="s">
        <v>130</v>
      </c>
      <c r="CO2470" s="0" t="s">
        <v>130</v>
      </c>
      <c r="CP2470" s="0" t="s">
        <v>130</v>
      </c>
      <c r="CQ2470" s="0" t="s">
        <v>130</v>
      </c>
      <c r="CR2470" s="0" t="s">
        <v>130</v>
      </c>
      <c r="CS2470" s="0" t="s">
        <v>130</v>
      </c>
      <c r="CT2470" s="0" t="s">
        <v>6724</v>
      </c>
    </row>
    <row r="2471">
      <c r="A2471" s="14">
        <v>100312</v>
      </c>
      <c r="B2471" s="0" t="s">
        <v>476</v>
      </c>
      <c r="C2471" s="16">
        <f>HYPERLINK("https://eosportal.federatedhermes.com/companies/Q29tcGFueQppNTg5OTQ=", "JPMorgan Chase &amp; Co")</f>
      </c>
      <c r="D2471" s="0" t="s">
        <v>25</v>
      </c>
      <c r="E2471" s="0" t="s">
        <v>6725</v>
      </c>
      <c r="F2471" s="16">
        <f>HYPERLINK("https://eosportal.federatedhermes.com/engagements/RW5nYWdlbWVudAppMzM5NDE=", "Disaggregated O&amp;G client methane disclosure by region/technology")</f>
      </c>
      <c r="G2471" s="14" t="s">
        <v>6726</v>
      </c>
      <c r="H2471" s="0" t="s">
        <v>141</v>
      </c>
      <c r="I2471" s="14" t="s">
        <v>191</v>
      </c>
      <c r="J2471" s="0" t="s">
        <v>197</v>
      </c>
      <c r="K2471" s="0" t="s">
        <v>198</v>
      </c>
      <c r="L2471" s="0" t="s">
        <v>216</v>
      </c>
      <c r="M2471" s="0" t="s">
        <v>135</v>
      </c>
      <c r="N2471" s="0" t="s">
        <v>136</v>
      </c>
      <c r="O2471" s="0" t="s">
        <v>238</v>
      </c>
      <c r="Q2471" s="0" t="s">
        <v>130</v>
      </c>
      <c r="R2471" s="0" t="s">
        <v>138</v>
      </c>
      <c r="S2471" s="14">
        <v>0</v>
      </c>
      <c r="T2471" s="0" t="s">
        <v>446</v>
      </c>
      <c r="U2471" s="0" t="s">
        <v>138</v>
      </c>
      <c r="V2471" s="14" t="s">
        <v>138</v>
      </c>
      <c r="W2471" s="0" t="s">
        <v>138</v>
      </c>
      <c r="X2471" s="14" t="s">
        <v>138</v>
      </c>
      <c r="Y2471" s="0" t="s">
        <v>138</v>
      </c>
      <c r="Z2471" s="14" t="s">
        <v>138</v>
      </c>
      <c r="AA2471" s="0" t="s">
        <v>138</v>
      </c>
      <c r="AB2471" s="14" t="s">
        <v>138</v>
      </c>
      <c r="AD2471" s="0" t="s">
        <v>138</v>
      </c>
      <c r="AF2471" s="0">
        <v>0</v>
      </c>
      <c r="AG2471" s="0">
        <v>0</v>
      </c>
      <c r="AH2471" s="0" t="s">
        <v>140</v>
      </c>
      <c r="AI2471" s="0" t="s">
        <v>138</v>
      </c>
      <c r="AL2471" s="14"/>
      <c r="AN2471" s="14"/>
      <c r="AQ2471" s="0" t="s">
        <v>130</v>
      </c>
      <c r="AR2471" s="0" t="s">
        <v>130</v>
      </c>
      <c r="AS2471" s="0" t="s">
        <v>130</v>
      </c>
      <c r="AT2471" s="0" t="s">
        <v>130</v>
      </c>
      <c r="AU2471" s="0" t="s">
        <v>130</v>
      </c>
      <c r="AV2471" s="0" t="s">
        <v>130</v>
      </c>
      <c r="AW2471" s="0" t="s">
        <v>141</v>
      </c>
      <c r="AX2471" s="0" t="s">
        <v>130</v>
      </c>
      <c r="AY2471" s="0" t="s">
        <v>130</v>
      </c>
      <c r="AZ2471" s="0" t="s">
        <v>130</v>
      </c>
      <c r="BA2471" s="0" t="s">
        <v>130</v>
      </c>
      <c r="BB2471" s="0" t="s">
        <v>130</v>
      </c>
      <c r="BC2471" s="0" t="s">
        <v>141</v>
      </c>
      <c r="BD2471" s="0" t="s">
        <v>130</v>
      </c>
      <c r="BE2471" s="0" t="s">
        <v>130</v>
      </c>
      <c r="BF2471" s="0" t="s">
        <v>130</v>
      </c>
      <c r="BG2471" s="0" t="s">
        <v>130</v>
      </c>
      <c r="BH2471" s="0" t="s">
        <v>141</v>
      </c>
      <c r="BI2471" s="0" t="s">
        <v>141</v>
      </c>
      <c r="BJ2471" s="0" t="s">
        <v>141</v>
      </c>
      <c r="BK2471" s="0" t="s">
        <v>130</v>
      </c>
      <c r="BL2471" s="0" t="s">
        <v>130</v>
      </c>
      <c r="BM2471" s="0" t="s">
        <v>130</v>
      </c>
      <c r="BN2471" s="0" t="s">
        <v>130</v>
      </c>
      <c r="BO2471" s="0" t="s">
        <v>130</v>
      </c>
      <c r="BP2471" s="0" t="s">
        <v>130</v>
      </c>
      <c r="BQ2471" s="0" t="s">
        <v>130</v>
      </c>
      <c r="BR2471" s="0" t="s">
        <v>130</v>
      </c>
      <c r="BS2471" s="0" t="s">
        <v>130</v>
      </c>
      <c r="BT2471" s="0" t="s">
        <v>130</v>
      </c>
      <c r="BU2471" s="0" t="s">
        <v>130</v>
      </c>
      <c r="BV2471" s="0" t="s">
        <v>141</v>
      </c>
      <c r="BW2471" s="0" t="s">
        <v>141</v>
      </c>
      <c r="BX2471" s="0" t="s">
        <v>130</v>
      </c>
      <c r="BY2471" s="0" t="s">
        <v>130</v>
      </c>
      <c r="BZ2471" s="0" t="s">
        <v>130</v>
      </c>
      <c r="CA2471" s="0" t="s">
        <v>130</v>
      </c>
      <c r="CB2471" s="0" t="s">
        <v>130</v>
      </c>
      <c r="CC2471" s="0" t="s">
        <v>130</v>
      </c>
      <c r="CD2471" s="0" t="s">
        <v>130</v>
      </c>
      <c r="CE2471" s="0" t="s">
        <v>130</v>
      </c>
      <c r="CF2471" s="0" t="s">
        <v>130</v>
      </c>
      <c r="CG2471" s="0" t="s">
        <v>130</v>
      </c>
      <c r="CH2471" s="0" t="s">
        <v>130</v>
      </c>
      <c r="CI2471" s="0" t="s">
        <v>130</v>
      </c>
      <c r="CJ2471" s="0" t="s">
        <v>130</v>
      </c>
      <c r="CK2471" s="0" t="s">
        <v>130</v>
      </c>
      <c r="CL2471" s="0" t="s">
        <v>130</v>
      </c>
      <c r="CM2471" s="0" t="s">
        <v>130</v>
      </c>
      <c r="CN2471" s="0" t="s">
        <v>130</v>
      </c>
      <c r="CO2471" s="0" t="s">
        <v>130</v>
      </c>
      <c r="CP2471" s="0" t="s">
        <v>130</v>
      </c>
      <c r="CQ2471" s="0" t="s">
        <v>130</v>
      </c>
      <c r="CR2471" s="0" t="s">
        <v>130</v>
      </c>
      <c r="CS2471" s="0" t="s">
        <v>130</v>
      </c>
      <c r="CT2471" s="0" t="s">
        <v>6727</v>
      </c>
    </row>
    <row r="2472">
      <c r="A2472" s="14">
        <v>100312</v>
      </c>
      <c r="B2472" s="0" t="s">
        <v>476</v>
      </c>
      <c r="C2472" s="16">
        <f>HYPERLINK("https://eosportal.federatedhermes.com/companies/Q29tcGFueQppNTg5OTQ=", "JPMorgan Chase &amp; Co")</f>
      </c>
      <c r="D2472" s="0" t="s">
        <v>25</v>
      </c>
      <c r="E2472" s="0" t="s">
        <v>6728</v>
      </c>
      <c r="F2472" s="16">
        <f>HYPERLINK("https://eosportal.federatedhermes.com/engagements/RW5nYWdlbWVudAppMzM5NDI=", "Economy-wide/Agricultural Value Chain Client Methane Disclosure")</f>
      </c>
      <c r="G2472" s="14" t="s">
        <v>6729</v>
      </c>
      <c r="H2472" s="0" t="s">
        <v>141</v>
      </c>
      <c r="I2472" s="14" t="s">
        <v>191</v>
      </c>
      <c r="J2472" s="0" t="s">
        <v>197</v>
      </c>
      <c r="K2472" s="0" t="s">
        <v>198</v>
      </c>
      <c r="L2472" s="0" t="s">
        <v>216</v>
      </c>
      <c r="M2472" s="0" t="s">
        <v>135</v>
      </c>
      <c r="N2472" s="0" t="s">
        <v>136</v>
      </c>
      <c r="O2472" s="0" t="s">
        <v>238</v>
      </c>
      <c r="Q2472" s="0" t="s">
        <v>130</v>
      </c>
      <c r="R2472" s="0" t="s">
        <v>138</v>
      </c>
      <c r="S2472" s="14">
        <v>0</v>
      </c>
      <c r="T2472" s="0" t="s">
        <v>446</v>
      </c>
      <c r="U2472" s="0" t="s">
        <v>138</v>
      </c>
      <c r="V2472" s="14" t="s">
        <v>138</v>
      </c>
      <c r="W2472" s="0" t="s">
        <v>138</v>
      </c>
      <c r="X2472" s="14" t="s">
        <v>138</v>
      </c>
      <c r="Y2472" s="0" t="s">
        <v>138</v>
      </c>
      <c r="Z2472" s="14" t="s">
        <v>138</v>
      </c>
      <c r="AA2472" s="0" t="s">
        <v>138</v>
      </c>
      <c r="AB2472" s="14" t="s">
        <v>138</v>
      </c>
      <c r="AD2472" s="0" t="s">
        <v>138</v>
      </c>
      <c r="AF2472" s="0">
        <v>0</v>
      </c>
      <c r="AG2472" s="0">
        <v>0</v>
      </c>
      <c r="AH2472" s="0" t="s">
        <v>140</v>
      </c>
      <c r="AI2472" s="0" t="s">
        <v>138</v>
      </c>
      <c r="AL2472" s="14"/>
      <c r="AN2472" s="14"/>
      <c r="AQ2472" s="0" t="s">
        <v>130</v>
      </c>
      <c r="AR2472" s="0" t="s">
        <v>130</v>
      </c>
      <c r="AS2472" s="0" t="s">
        <v>130</v>
      </c>
      <c r="AT2472" s="0" t="s">
        <v>130</v>
      </c>
      <c r="AU2472" s="0" t="s">
        <v>130</v>
      </c>
      <c r="AV2472" s="0" t="s">
        <v>130</v>
      </c>
      <c r="AW2472" s="0" t="s">
        <v>141</v>
      </c>
      <c r="AX2472" s="0" t="s">
        <v>130</v>
      </c>
      <c r="AY2472" s="0" t="s">
        <v>130</v>
      </c>
      <c r="AZ2472" s="0" t="s">
        <v>130</v>
      </c>
      <c r="BA2472" s="0" t="s">
        <v>130</v>
      </c>
      <c r="BB2472" s="0" t="s">
        <v>130</v>
      </c>
      <c r="BC2472" s="0" t="s">
        <v>141</v>
      </c>
      <c r="BD2472" s="0" t="s">
        <v>130</v>
      </c>
      <c r="BE2472" s="0" t="s">
        <v>130</v>
      </c>
      <c r="BF2472" s="0" t="s">
        <v>130</v>
      </c>
      <c r="BG2472" s="0" t="s">
        <v>130</v>
      </c>
      <c r="BH2472" s="0" t="s">
        <v>141</v>
      </c>
      <c r="BI2472" s="0" t="s">
        <v>141</v>
      </c>
      <c r="BJ2472" s="0" t="s">
        <v>141</v>
      </c>
      <c r="BK2472" s="0" t="s">
        <v>130</v>
      </c>
      <c r="BL2472" s="0" t="s">
        <v>130</v>
      </c>
      <c r="BM2472" s="0" t="s">
        <v>130</v>
      </c>
      <c r="BN2472" s="0" t="s">
        <v>130</v>
      </c>
      <c r="BO2472" s="0" t="s">
        <v>130</v>
      </c>
      <c r="BP2472" s="0" t="s">
        <v>130</v>
      </c>
      <c r="BQ2472" s="0" t="s">
        <v>130</v>
      </c>
      <c r="BR2472" s="0" t="s">
        <v>130</v>
      </c>
      <c r="BS2472" s="0" t="s">
        <v>130</v>
      </c>
      <c r="BT2472" s="0" t="s">
        <v>130</v>
      </c>
      <c r="BU2472" s="0" t="s">
        <v>130</v>
      </c>
      <c r="BV2472" s="0" t="s">
        <v>141</v>
      </c>
      <c r="BW2472" s="0" t="s">
        <v>141</v>
      </c>
      <c r="BX2472" s="0" t="s">
        <v>130</v>
      </c>
      <c r="BY2472" s="0" t="s">
        <v>130</v>
      </c>
      <c r="BZ2472" s="0" t="s">
        <v>130</v>
      </c>
      <c r="CA2472" s="0" t="s">
        <v>130</v>
      </c>
      <c r="CB2472" s="0" t="s">
        <v>130</v>
      </c>
      <c r="CC2472" s="0" t="s">
        <v>130</v>
      </c>
      <c r="CD2472" s="0" t="s">
        <v>130</v>
      </c>
      <c r="CE2472" s="0" t="s">
        <v>130</v>
      </c>
      <c r="CF2472" s="0" t="s">
        <v>130</v>
      </c>
      <c r="CG2472" s="0" t="s">
        <v>130</v>
      </c>
      <c r="CH2472" s="0" t="s">
        <v>130</v>
      </c>
      <c r="CI2472" s="0" t="s">
        <v>130</v>
      </c>
      <c r="CJ2472" s="0" t="s">
        <v>130</v>
      </c>
      <c r="CK2472" s="0" t="s">
        <v>130</v>
      </c>
      <c r="CL2472" s="0" t="s">
        <v>130</v>
      </c>
      <c r="CM2472" s="0" t="s">
        <v>130</v>
      </c>
      <c r="CN2472" s="0" t="s">
        <v>130</v>
      </c>
      <c r="CO2472" s="0" t="s">
        <v>130</v>
      </c>
      <c r="CP2472" s="0" t="s">
        <v>130</v>
      </c>
      <c r="CQ2472" s="0" t="s">
        <v>130</v>
      </c>
      <c r="CR2472" s="0" t="s">
        <v>130</v>
      </c>
      <c r="CS2472" s="0" t="s">
        <v>130</v>
      </c>
      <c r="CT2472" s="0" t="s">
        <v>6730</v>
      </c>
    </row>
    <row r="2473">
      <c r="A2473" s="14">
        <v>58890738</v>
      </c>
      <c r="B2473" s="0" t="s">
        <v>4704</v>
      </c>
      <c r="C2473" s="16">
        <f>HYPERLINK("https://eosportal.federatedhermes.com/companies/Q29tcGFueQppNjE1MTM=", "Epiroc AB")</f>
      </c>
      <c r="D2473" s="0" t="s">
        <v>23</v>
      </c>
      <c r="E2473" s="0" t="s">
        <v>6660</v>
      </c>
      <c r="F2473" s="16">
        <f>HYPERLINK("https://eosportal.federatedhermes.com/engagements/RW5nYWdlbWVudAppMzM5NDk=", "Mental Health in the Workplace")</f>
      </c>
      <c r="G2473" s="14" t="s">
        <v>6664</v>
      </c>
      <c r="H2473" s="0" t="s">
        <v>130</v>
      </c>
      <c r="I2473" s="14" t="s">
        <v>131</v>
      </c>
      <c r="J2473" s="0" t="s">
        <v>153</v>
      </c>
      <c r="K2473" s="0" t="s">
        <v>154</v>
      </c>
      <c r="L2473" s="0" t="s">
        <v>155</v>
      </c>
      <c r="M2473" s="0" t="s">
        <v>378</v>
      </c>
      <c r="N2473" s="0" t="s">
        <v>4706</v>
      </c>
      <c r="O2473" s="0" t="s">
        <v>425</v>
      </c>
      <c r="Q2473" s="0" t="s">
        <v>130</v>
      </c>
      <c r="R2473" s="0" t="s">
        <v>130</v>
      </c>
      <c r="S2473" s="14">
        <v>0</v>
      </c>
      <c r="T2473" s="0" t="s">
        <v>3562</v>
      </c>
      <c r="U2473" s="0" t="s">
        <v>221</v>
      </c>
      <c r="V2473" s="14" t="s">
        <v>3562</v>
      </c>
      <c r="W2473" s="0" t="s">
        <v>223</v>
      </c>
      <c r="X2473" s="14" t="s">
        <v>138</v>
      </c>
      <c r="Y2473" s="0" t="s">
        <v>224</v>
      </c>
      <c r="Z2473" s="14" t="s">
        <v>138</v>
      </c>
      <c r="AA2473" s="0" t="s">
        <v>224</v>
      </c>
      <c r="AB2473" s="14" t="s">
        <v>138</v>
      </c>
      <c r="AD2473" s="0" t="s">
        <v>14</v>
      </c>
      <c r="AF2473" s="0">
        <v>0</v>
      </c>
      <c r="AG2473" s="0">
        <v>0</v>
      </c>
      <c r="AH2473" s="0" t="s">
        <v>140</v>
      </c>
      <c r="AI2473" s="0" t="s">
        <v>225</v>
      </c>
      <c r="AL2473" s="14"/>
      <c r="AN2473" s="14"/>
      <c r="AQ2473" s="0" t="s">
        <v>130</v>
      </c>
      <c r="AR2473" s="0" t="s">
        <v>130</v>
      </c>
      <c r="AS2473" s="0" t="s">
        <v>141</v>
      </c>
      <c r="AT2473" s="0" t="s">
        <v>130</v>
      </c>
      <c r="AU2473" s="0" t="s">
        <v>130</v>
      </c>
      <c r="AV2473" s="0" t="s">
        <v>130</v>
      </c>
      <c r="AW2473" s="0" t="s">
        <v>130</v>
      </c>
      <c r="AX2473" s="0" t="s">
        <v>141</v>
      </c>
      <c r="AY2473" s="0" t="s">
        <v>130</v>
      </c>
      <c r="AZ2473" s="0" t="s">
        <v>130</v>
      </c>
      <c r="BA2473" s="0" t="s">
        <v>130</v>
      </c>
      <c r="BB2473" s="0" t="s">
        <v>130</v>
      </c>
      <c r="BC2473" s="0" t="s">
        <v>130</v>
      </c>
      <c r="BD2473" s="0" t="s">
        <v>130</v>
      </c>
      <c r="BE2473" s="0" t="s">
        <v>130</v>
      </c>
      <c r="BF2473" s="0" t="s">
        <v>130</v>
      </c>
      <c r="BG2473" s="0" t="s">
        <v>130</v>
      </c>
      <c r="BH2473" s="0" t="s">
        <v>130</v>
      </c>
      <c r="BI2473" s="0" t="s">
        <v>130</v>
      </c>
      <c r="BJ2473" s="0" t="s">
        <v>130</v>
      </c>
      <c r="BK2473" s="0" t="s">
        <v>130</v>
      </c>
      <c r="BL2473" s="0" t="s">
        <v>130</v>
      </c>
      <c r="BM2473" s="0" t="s">
        <v>130</v>
      </c>
      <c r="BN2473" s="0" t="s">
        <v>130</v>
      </c>
      <c r="BO2473" s="0" t="s">
        <v>130</v>
      </c>
      <c r="BP2473" s="0" t="s">
        <v>130</v>
      </c>
      <c r="BQ2473" s="0" t="s">
        <v>130</v>
      </c>
      <c r="BR2473" s="0" t="s">
        <v>130</v>
      </c>
      <c r="BS2473" s="0" t="s">
        <v>130</v>
      </c>
      <c r="BT2473" s="0" t="s">
        <v>130</v>
      </c>
      <c r="BU2473" s="0" t="s">
        <v>130</v>
      </c>
      <c r="BV2473" s="0" t="s">
        <v>130</v>
      </c>
      <c r="BW2473" s="0" t="s">
        <v>130</v>
      </c>
      <c r="BX2473" s="0" t="s">
        <v>130</v>
      </c>
      <c r="BY2473" s="0" t="s">
        <v>130</v>
      </c>
      <c r="BZ2473" s="0" t="s">
        <v>130</v>
      </c>
      <c r="CA2473" s="0" t="s">
        <v>130</v>
      </c>
      <c r="CB2473" s="0" t="s">
        <v>130</v>
      </c>
      <c r="CC2473" s="0" t="s">
        <v>130</v>
      </c>
      <c r="CD2473" s="0" t="s">
        <v>130</v>
      </c>
      <c r="CE2473" s="0" t="s">
        <v>130</v>
      </c>
      <c r="CF2473" s="0" t="s">
        <v>130</v>
      </c>
      <c r="CG2473" s="0" t="s">
        <v>130</v>
      </c>
      <c r="CH2473" s="0" t="s">
        <v>130</v>
      </c>
      <c r="CI2473" s="0" t="s">
        <v>141</v>
      </c>
      <c r="CJ2473" s="0" t="s">
        <v>130</v>
      </c>
      <c r="CK2473" s="0" t="s">
        <v>130</v>
      </c>
      <c r="CL2473" s="0" t="s">
        <v>130</v>
      </c>
      <c r="CM2473" s="0" t="s">
        <v>130</v>
      </c>
      <c r="CN2473" s="0" t="s">
        <v>130</v>
      </c>
      <c r="CO2473" s="0" t="s">
        <v>130</v>
      </c>
      <c r="CP2473" s="0" t="s">
        <v>130</v>
      </c>
      <c r="CQ2473" s="0" t="s">
        <v>130</v>
      </c>
      <c r="CR2473" s="0" t="s">
        <v>130</v>
      </c>
      <c r="CS2473" s="0" t="s">
        <v>130</v>
      </c>
      <c r="CT2473" s="0" t="s">
        <v>6731</v>
      </c>
    </row>
    <row r="2474">
      <c r="A2474" s="14">
        <v>11948451</v>
      </c>
      <c r="B2474" s="0" t="s">
        <v>4079</v>
      </c>
      <c r="C2474" s="16">
        <f>HYPERLINK("https://eosportal.federatedhermes.com/companies/Q29tcGFueQppNjMzMTI=", "Tesla Inc")</f>
      </c>
      <c r="D2474" s="0" t="s">
        <v>25</v>
      </c>
      <c r="E2474" s="0" t="s">
        <v>6249</v>
      </c>
      <c r="F2474" s="16">
        <f>HYPERLINK("https://eosportal.federatedhermes.com/engagements/RW5nYWdlbWVudAppMzM5NTM=", "Climate Change Vote Policy (Laggard)")</f>
      </c>
      <c r="G2474" s="14" t="s">
        <v>6732</v>
      </c>
      <c r="H2474" s="0" t="s">
        <v>141</v>
      </c>
      <c r="I2474" s="14" t="s">
        <v>191</v>
      </c>
      <c r="J2474" s="0" t="s">
        <v>197</v>
      </c>
      <c r="K2474" s="0" t="s">
        <v>198</v>
      </c>
      <c r="L2474" s="0" t="s">
        <v>199</v>
      </c>
      <c r="M2474" s="0" t="s">
        <v>135</v>
      </c>
      <c r="N2474" s="0" t="s">
        <v>136</v>
      </c>
      <c r="O2474" s="0" t="s">
        <v>425</v>
      </c>
      <c r="Q2474" s="0" t="s">
        <v>130</v>
      </c>
      <c r="R2474" s="0" t="s">
        <v>138</v>
      </c>
      <c r="S2474" s="14">
        <v>0</v>
      </c>
      <c r="T2474" s="0" t="s">
        <v>446</v>
      </c>
      <c r="U2474" s="0" t="s">
        <v>138</v>
      </c>
      <c r="V2474" s="14" t="s">
        <v>138</v>
      </c>
      <c r="W2474" s="0" t="s">
        <v>138</v>
      </c>
      <c r="X2474" s="14" t="s">
        <v>138</v>
      </c>
      <c r="Y2474" s="0" t="s">
        <v>138</v>
      </c>
      <c r="Z2474" s="14" t="s">
        <v>138</v>
      </c>
      <c r="AA2474" s="0" t="s">
        <v>138</v>
      </c>
      <c r="AB2474" s="14" t="s">
        <v>138</v>
      </c>
      <c r="AD2474" s="0" t="s">
        <v>138</v>
      </c>
      <c r="AF2474" s="0">
        <v>0</v>
      </c>
      <c r="AG2474" s="0">
        <v>0</v>
      </c>
      <c r="AH2474" s="0" t="s">
        <v>140</v>
      </c>
      <c r="AI2474" s="0" t="s">
        <v>138</v>
      </c>
      <c r="AL2474" s="14"/>
      <c r="AN2474" s="14"/>
      <c r="AQ2474" s="0" t="s">
        <v>130</v>
      </c>
      <c r="AR2474" s="0" t="s">
        <v>130</v>
      </c>
      <c r="AS2474" s="0" t="s">
        <v>130</v>
      </c>
      <c r="AT2474" s="0" t="s">
        <v>130</v>
      </c>
      <c r="AU2474" s="0" t="s">
        <v>130</v>
      </c>
      <c r="AV2474" s="0" t="s">
        <v>130</v>
      </c>
      <c r="AW2474" s="0" t="s">
        <v>130</v>
      </c>
      <c r="AX2474" s="0" t="s">
        <v>130</v>
      </c>
      <c r="AY2474" s="0" t="s">
        <v>130</v>
      </c>
      <c r="AZ2474" s="0" t="s">
        <v>130</v>
      </c>
      <c r="BA2474" s="0" t="s">
        <v>130</v>
      </c>
      <c r="BB2474" s="0" t="s">
        <v>141</v>
      </c>
      <c r="BC2474" s="0" t="s">
        <v>141</v>
      </c>
      <c r="BD2474" s="0" t="s">
        <v>130</v>
      </c>
      <c r="BE2474" s="0" t="s">
        <v>130</v>
      </c>
      <c r="BF2474" s="0" t="s">
        <v>130</v>
      </c>
      <c r="BG2474" s="0" t="s">
        <v>130</v>
      </c>
      <c r="BH2474" s="0" t="s">
        <v>130</v>
      </c>
      <c r="BI2474" s="0" t="s">
        <v>130</v>
      </c>
      <c r="BJ2474" s="0" t="s">
        <v>130</v>
      </c>
      <c r="BK2474" s="0" t="s">
        <v>130</v>
      </c>
      <c r="BL2474" s="0" t="s">
        <v>130</v>
      </c>
      <c r="BM2474" s="0" t="s">
        <v>130</v>
      </c>
      <c r="BN2474" s="0" t="s">
        <v>130</v>
      </c>
      <c r="BO2474" s="0" t="s">
        <v>130</v>
      </c>
      <c r="BP2474" s="0" t="s">
        <v>130</v>
      </c>
      <c r="BQ2474" s="0" t="s">
        <v>130</v>
      </c>
      <c r="BR2474" s="0" t="s">
        <v>130</v>
      </c>
      <c r="BS2474" s="0" t="s">
        <v>130</v>
      </c>
      <c r="BT2474" s="0" t="s">
        <v>130</v>
      </c>
      <c r="BU2474" s="0" t="s">
        <v>130</v>
      </c>
      <c r="BV2474" s="0" t="s">
        <v>130</v>
      </c>
      <c r="BW2474" s="0" t="s">
        <v>130</v>
      </c>
      <c r="BX2474" s="0" t="s">
        <v>130</v>
      </c>
      <c r="BY2474" s="0" t="s">
        <v>130</v>
      </c>
      <c r="BZ2474" s="0" t="s">
        <v>130</v>
      </c>
      <c r="CA2474" s="0" t="s">
        <v>130</v>
      </c>
      <c r="CB2474" s="0" t="s">
        <v>130</v>
      </c>
      <c r="CC2474" s="0" t="s">
        <v>130</v>
      </c>
      <c r="CD2474" s="0" t="s">
        <v>130</v>
      </c>
      <c r="CE2474" s="0" t="s">
        <v>130</v>
      </c>
      <c r="CF2474" s="0" t="s">
        <v>130</v>
      </c>
      <c r="CG2474" s="0" t="s">
        <v>130</v>
      </c>
      <c r="CH2474" s="0" t="s">
        <v>130</v>
      </c>
      <c r="CI2474" s="0" t="s">
        <v>130</v>
      </c>
      <c r="CJ2474" s="0" t="s">
        <v>130</v>
      </c>
      <c r="CK2474" s="0" t="s">
        <v>130</v>
      </c>
      <c r="CL2474" s="0" t="s">
        <v>130</v>
      </c>
      <c r="CM2474" s="0" t="s">
        <v>130</v>
      </c>
      <c r="CN2474" s="0" t="s">
        <v>130</v>
      </c>
      <c r="CO2474" s="0" t="s">
        <v>130</v>
      </c>
      <c r="CP2474" s="0" t="s">
        <v>130</v>
      </c>
      <c r="CQ2474" s="0" t="s">
        <v>130</v>
      </c>
      <c r="CR2474" s="0" t="s">
        <v>130</v>
      </c>
      <c r="CS2474" s="0" t="s">
        <v>130</v>
      </c>
      <c r="CT2474" s="0" t="s">
        <v>6733</v>
      </c>
    </row>
    <row r="2475">
      <c r="A2475" s="14">
        <v>108620</v>
      </c>
      <c r="B2475" s="0" t="s">
        <v>2194</v>
      </c>
      <c r="C2475" s="16">
        <f>HYPERLINK("https://eosportal.federatedhermes.com/companies/Q29tcGFueQppNzU3MjE=", "Canadian Imperial Bank of Commerce")</f>
      </c>
      <c r="D2475" s="0" t="s">
        <v>25</v>
      </c>
      <c r="E2475" s="0" t="s">
        <v>3394</v>
      </c>
      <c r="F2475" s="16">
        <f>HYPERLINK("https://eosportal.federatedhermes.com/engagements/RW5nYWdlbWVudAppMzM5NTQ=", "Responsible tax")</f>
      </c>
      <c r="G2475" s="14" t="s">
        <v>6734</v>
      </c>
      <c r="H2475" s="0" t="s">
        <v>141</v>
      </c>
      <c r="I2475" s="14" t="s">
        <v>191</v>
      </c>
      <c r="J2475" s="0" t="s">
        <v>153</v>
      </c>
      <c r="K2475" s="0" t="s">
        <v>185</v>
      </c>
      <c r="L2475" s="0" t="s">
        <v>548</v>
      </c>
      <c r="M2475" s="0" t="s">
        <v>135</v>
      </c>
      <c r="N2475" s="0" t="s">
        <v>1678</v>
      </c>
      <c r="O2475" s="0" t="s">
        <v>238</v>
      </c>
      <c r="Q2475" s="0" t="s">
        <v>130</v>
      </c>
      <c r="R2475" s="0" t="s">
        <v>138</v>
      </c>
      <c r="S2475" s="14">
        <v>0</v>
      </c>
      <c r="T2475" s="0" t="s">
        <v>446</v>
      </c>
      <c r="U2475" s="0" t="s">
        <v>138</v>
      </c>
      <c r="V2475" s="14" t="s">
        <v>138</v>
      </c>
      <c r="W2475" s="0" t="s">
        <v>138</v>
      </c>
      <c r="X2475" s="14" t="s">
        <v>138</v>
      </c>
      <c r="Y2475" s="0" t="s">
        <v>138</v>
      </c>
      <c r="Z2475" s="14" t="s">
        <v>138</v>
      </c>
      <c r="AA2475" s="0" t="s">
        <v>138</v>
      </c>
      <c r="AB2475" s="14" t="s">
        <v>138</v>
      </c>
      <c r="AD2475" s="0" t="s">
        <v>138</v>
      </c>
      <c r="AF2475" s="0">
        <v>0</v>
      </c>
      <c r="AG2475" s="0">
        <v>0</v>
      </c>
      <c r="AH2475" s="0" t="s">
        <v>140</v>
      </c>
      <c r="AI2475" s="0" t="s">
        <v>138</v>
      </c>
      <c r="AL2475" s="14"/>
      <c r="AN2475" s="14"/>
      <c r="AQ2475" s="0" t="s">
        <v>130</v>
      </c>
      <c r="AR2475" s="0" t="s">
        <v>130</v>
      </c>
      <c r="AS2475" s="0" t="s">
        <v>130</v>
      </c>
      <c r="AT2475" s="0" t="s">
        <v>130</v>
      </c>
      <c r="AU2475" s="0" t="s">
        <v>130</v>
      </c>
      <c r="AV2475" s="0" t="s">
        <v>130</v>
      </c>
      <c r="AW2475" s="0" t="s">
        <v>130</v>
      </c>
      <c r="AX2475" s="0" t="s">
        <v>130</v>
      </c>
      <c r="AY2475" s="0" t="s">
        <v>130</v>
      </c>
      <c r="AZ2475" s="0" t="s">
        <v>130</v>
      </c>
      <c r="BA2475" s="0" t="s">
        <v>130</v>
      </c>
      <c r="BB2475" s="0" t="s">
        <v>130</v>
      </c>
      <c r="BC2475" s="0" t="s">
        <v>130</v>
      </c>
      <c r="BD2475" s="0" t="s">
        <v>130</v>
      </c>
      <c r="BE2475" s="0" t="s">
        <v>130</v>
      </c>
      <c r="BF2475" s="0" t="s">
        <v>130</v>
      </c>
      <c r="BG2475" s="0" t="s">
        <v>141</v>
      </c>
      <c r="BH2475" s="0" t="s">
        <v>130</v>
      </c>
      <c r="BI2475" s="0" t="s">
        <v>130</v>
      </c>
      <c r="BJ2475" s="0" t="s">
        <v>130</v>
      </c>
      <c r="BK2475" s="0" t="s">
        <v>130</v>
      </c>
      <c r="BL2475" s="0" t="s">
        <v>130</v>
      </c>
      <c r="BM2475" s="0" t="s">
        <v>130</v>
      </c>
      <c r="BN2475" s="0" t="s">
        <v>130</v>
      </c>
      <c r="BO2475" s="0" t="s">
        <v>130</v>
      </c>
      <c r="BP2475" s="0" t="s">
        <v>130</v>
      </c>
      <c r="BQ2475" s="0" t="s">
        <v>130</v>
      </c>
      <c r="BR2475" s="0" t="s">
        <v>130</v>
      </c>
      <c r="BS2475" s="0" t="s">
        <v>130</v>
      </c>
      <c r="BT2475" s="0" t="s">
        <v>130</v>
      </c>
      <c r="BU2475" s="0" t="s">
        <v>130</v>
      </c>
      <c r="BV2475" s="0" t="s">
        <v>130</v>
      </c>
      <c r="BW2475" s="0" t="s">
        <v>130</v>
      </c>
      <c r="BX2475" s="0" t="s">
        <v>130</v>
      </c>
      <c r="BY2475" s="0" t="s">
        <v>130</v>
      </c>
      <c r="BZ2475" s="0" t="s">
        <v>130</v>
      </c>
      <c r="CA2475" s="0" t="s">
        <v>130</v>
      </c>
      <c r="CB2475" s="0" t="s">
        <v>130</v>
      </c>
      <c r="CC2475" s="0" t="s">
        <v>130</v>
      </c>
      <c r="CD2475" s="0" t="s">
        <v>130</v>
      </c>
      <c r="CE2475" s="0" t="s">
        <v>130</v>
      </c>
      <c r="CF2475" s="0" t="s">
        <v>130</v>
      </c>
      <c r="CG2475" s="0" t="s">
        <v>130</v>
      </c>
      <c r="CH2475" s="0" t="s">
        <v>130</v>
      </c>
      <c r="CI2475" s="0" t="s">
        <v>130</v>
      </c>
      <c r="CJ2475" s="0" t="s">
        <v>130</v>
      </c>
      <c r="CK2475" s="0" t="s">
        <v>130</v>
      </c>
      <c r="CL2475" s="0" t="s">
        <v>130</v>
      </c>
      <c r="CM2475" s="0" t="s">
        <v>130</v>
      </c>
      <c r="CN2475" s="0" t="s">
        <v>130</v>
      </c>
      <c r="CO2475" s="0" t="s">
        <v>130</v>
      </c>
      <c r="CP2475" s="0" t="s">
        <v>130</v>
      </c>
      <c r="CQ2475" s="0" t="s">
        <v>130</v>
      </c>
      <c r="CR2475" s="0" t="s">
        <v>130</v>
      </c>
      <c r="CS2475" s="0" t="s">
        <v>130</v>
      </c>
      <c r="CT2475" s="0" t="s">
        <v>6735</v>
      </c>
    </row>
    <row r="2476">
      <c r="A2476" s="14">
        <v>115467</v>
      </c>
      <c r="B2476" s="0" t="s">
        <v>2421</v>
      </c>
      <c r="C2476" s="16">
        <f>HYPERLINK("https://eosportal.federatedhermes.com/companies/Q29tcGFueQppNTg0Nzc=", "Kering SA")</f>
      </c>
      <c r="D2476" s="0" t="s">
        <v>25</v>
      </c>
      <c r="E2476" s="0" t="s">
        <v>4947</v>
      </c>
      <c r="F2476" s="16">
        <f>HYPERLINK("https://eosportal.federatedhermes.com/engagements/RW5nYWdlbWVudAppMzM5NjE=", "Audit committee independence")</f>
      </c>
      <c r="G2476" s="14" t="s">
        <v>6736</v>
      </c>
      <c r="H2476" s="0" t="s">
        <v>141</v>
      </c>
      <c r="I2476" s="14" t="s">
        <v>131</v>
      </c>
      <c r="J2476" s="0" t="s">
        <v>145</v>
      </c>
      <c r="K2476" s="0" t="s">
        <v>164</v>
      </c>
      <c r="L2476" s="0" t="s">
        <v>165</v>
      </c>
      <c r="M2476" s="0" t="s">
        <v>378</v>
      </c>
      <c r="N2476" s="0" t="s">
        <v>1646</v>
      </c>
      <c r="O2476" s="0" t="s">
        <v>332</v>
      </c>
      <c r="Q2476" s="0" t="s">
        <v>130</v>
      </c>
      <c r="R2476" s="0" t="s">
        <v>138</v>
      </c>
      <c r="S2476" s="14">
        <v>0</v>
      </c>
      <c r="T2476" s="0" t="s">
        <v>446</v>
      </c>
      <c r="U2476" s="0" t="s">
        <v>138</v>
      </c>
      <c r="V2476" s="14" t="s">
        <v>138</v>
      </c>
      <c r="W2476" s="0" t="s">
        <v>138</v>
      </c>
      <c r="X2476" s="14" t="s">
        <v>138</v>
      </c>
      <c r="Y2476" s="0" t="s">
        <v>138</v>
      </c>
      <c r="Z2476" s="14" t="s">
        <v>138</v>
      </c>
      <c r="AA2476" s="0" t="s">
        <v>138</v>
      </c>
      <c r="AB2476" s="14" t="s">
        <v>138</v>
      </c>
      <c r="AD2476" s="0" t="s">
        <v>138</v>
      </c>
      <c r="AF2476" s="0">
        <v>0</v>
      </c>
      <c r="AG2476" s="0">
        <v>0</v>
      </c>
      <c r="AH2476" s="0" t="s">
        <v>140</v>
      </c>
      <c r="AI2476" s="0" t="s">
        <v>138</v>
      </c>
      <c r="AL2476" s="14"/>
      <c r="AN2476" s="14"/>
      <c r="AQ2476" s="0" t="s">
        <v>130</v>
      </c>
      <c r="AR2476" s="0" t="s">
        <v>130</v>
      </c>
      <c r="AS2476" s="0" t="s">
        <v>130</v>
      </c>
      <c r="AT2476" s="0" t="s">
        <v>130</v>
      </c>
      <c r="AU2476" s="0" t="s">
        <v>130</v>
      </c>
      <c r="AV2476" s="0" t="s">
        <v>130</v>
      </c>
      <c r="AW2476" s="0" t="s">
        <v>130</v>
      </c>
      <c r="AX2476" s="0" t="s">
        <v>130</v>
      </c>
      <c r="AY2476" s="0" t="s">
        <v>130</v>
      </c>
      <c r="AZ2476" s="0" t="s">
        <v>130</v>
      </c>
      <c r="BA2476" s="0" t="s">
        <v>130</v>
      </c>
      <c r="BB2476" s="0" t="s">
        <v>130</v>
      </c>
      <c r="BC2476" s="0" t="s">
        <v>130</v>
      </c>
      <c r="BD2476" s="0" t="s">
        <v>130</v>
      </c>
      <c r="BE2476" s="0" t="s">
        <v>130</v>
      </c>
      <c r="BF2476" s="0" t="s">
        <v>130</v>
      </c>
      <c r="BG2476" s="0" t="s">
        <v>130</v>
      </c>
      <c r="BH2476" s="0" t="s">
        <v>130</v>
      </c>
      <c r="BI2476" s="0" t="s">
        <v>130</v>
      </c>
      <c r="BJ2476" s="0" t="s">
        <v>130</v>
      </c>
      <c r="BK2476" s="0" t="s">
        <v>130</v>
      </c>
      <c r="BL2476" s="0" t="s">
        <v>130</v>
      </c>
      <c r="BM2476" s="0" t="s">
        <v>130</v>
      </c>
      <c r="BN2476" s="0" t="s">
        <v>130</v>
      </c>
      <c r="BO2476" s="0" t="s">
        <v>130</v>
      </c>
      <c r="BP2476" s="0" t="s">
        <v>130</v>
      </c>
      <c r="BQ2476" s="0" t="s">
        <v>130</v>
      </c>
      <c r="BR2476" s="0" t="s">
        <v>130</v>
      </c>
      <c r="BS2476" s="0" t="s">
        <v>130</v>
      </c>
      <c r="BT2476" s="0" t="s">
        <v>130</v>
      </c>
      <c r="BU2476" s="0" t="s">
        <v>130</v>
      </c>
      <c r="BV2476" s="0" t="s">
        <v>130</v>
      </c>
      <c r="BW2476" s="0" t="s">
        <v>130</v>
      </c>
      <c r="BX2476" s="0" t="s">
        <v>130</v>
      </c>
      <c r="BY2476" s="0" t="s">
        <v>130</v>
      </c>
      <c r="BZ2476" s="0" t="s">
        <v>130</v>
      </c>
      <c r="CA2476" s="0" t="s">
        <v>130</v>
      </c>
      <c r="CB2476" s="0" t="s">
        <v>130</v>
      </c>
      <c r="CC2476" s="0" t="s">
        <v>130</v>
      </c>
      <c r="CD2476" s="0" t="s">
        <v>130</v>
      </c>
      <c r="CE2476" s="0" t="s">
        <v>130</v>
      </c>
      <c r="CF2476" s="0" t="s">
        <v>130</v>
      </c>
      <c r="CG2476" s="0" t="s">
        <v>130</v>
      </c>
      <c r="CH2476" s="0" t="s">
        <v>130</v>
      </c>
      <c r="CI2476" s="0" t="s">
        <v>130</v>
      </c>
      <c r="CJ2476" s="0" t="s">
        <v>130</v>
      </c>
      <c r="CK2476" s="0" t="s">
        <v>130</v>
      </c>
      <c r="CL2476" s="0" t="s">
        <v>130</v>
      </c>
      <c r="CM2476" s="0" t="s">
        <v>130</v>
      </c>
      <c r="CN2476" s="0" t="s">
        <v>130</v>
      </c>
      <c r="CO2476" s="0" t="s">
        <v>130</v>
      </c>
      <c r="CP2476" s="0" t="s">
        <v>130</v>
      </c>
      <c r="CQ2476" s="0" t="s">
        <v>130</v>
      </c>
      <c r="CR2476" s="0" t="s">
        <v>130</v>
      </c>
      <c r="CS2476" s="0" t="s">
        <v>130</v>
      </c>
      <c r="CT2476" s="0" t="s">
        <v>6737</v>
      </c>
    </row>
    <row r="2477">
      <c r="A2477" s="14">
        <v>115467</v>
      </c>
      <c r="B2477" s="0" t="s">
        <v>2421</v>
      </c>
      <c r="C2477" s="16">
        <f>HYPERLINK("https://eosportal.federatedhermes.com/companies/Q29tcGFueQppNTg0Nzc=", "Kering SA")</f>
      </c>
      <c r="D2477" s="0" t="s">
        <v>25</v>
      </c>
      <c r="E2477" s="0" t="s">
        <v>912</v>
      </c>
      <c r="F2477" s="16">
        <f>HYPERLINK("https://eosportal.federatedhermes.com/engagements/RW5nYWdlbWVudAppMzM5NjI=", "Executive remuneration")</f>
      </c>
      <c r="G2477" s="14" t="s">
        <v>6738</v>
      </c>
      <c r="H2477" s="0" t="s">
        <v>141</v>
      </c>
      <c r="I2477" s="14" t="s">
        <v>131</v>
      </c>
      <c r="J2477" s="0" t="s">
        <v>145</v>
      </c>
      <c r="K2477" s="0" t="s">
        <v>146</v>
      </c>
      <c r="L2477" s="0" t="s">
        <v>147</v>
      </c>
      <c r="M2477" s="0" t="s">
        <v>378</v>
      </c>
      <c r="N2477" s="0" t="s">
        <v>1646</v>
      </c>
      <c r="O2477" s="0" t="s">
        <v>332</v>
      </c>
      <c r="Q2477" s="0" t="s">
        <v>130</v>
      </c>
      <c r="R2477" s="0" t="s">
        <v>138</v>
      </c>
      <c r="S2477" s="14">
        <v>0</v>
      </c>
      <c r="T2477" s="0" t="s">
        <v>446</v>
      </c>
      <c r="U2477" s="0" t="s">
        <v>138</v>
      </c>
      <c r="V2477" s="14" t="s">
        <v>138</v>
      </c>
      <c r="W2477" s="0" t="s">
        <v>138</v>
      </c>
      <c r="X2477" s="14" t="s">
        <v>138</v>
      </c>
      <c r="Y2477" s="0" t="s">
        <v>138</v>
      </c>
      <c r="Z2477" s="14" t="s">
        <v>138</v>
      </c>
      <c r="AA2477" s="0" t="s">
        <v>138</v>
      </c>
      <c r="AB2477" s="14" t="s">
        <v>138</v>
      </c>
      <c r="AD2477" s="0" t="s">
        <v>138</v>
      </c>
      <c r="AF2477" s="0">
        <v>0</v>
      </c>
      <c r="AG2477" s="0">
        <v>0</v>
      </c>
      <c r="AH2477" s="0" t="s">
        <v>140</v>
      </c>
      <c r="AI2477" s="0" t="s">
        <v>138</v>
      </c>
      <c r="AL2477" s="14"/>
      <c r="AN2477" s="14"/>
      <c r="AQ2477" s="0" t="s">
        <v>130</v>
      </c>
      <c r="AR2477" s="0" t="s">
        <v>130</v>
      </c>
      <c r="AS2477" s="0" t="s">
        <v>130</v>
      </c>
      <c r="AT2477" s="0" t="s">
        <v>130</v>
      </c>
      <c r="AU2477" s="0" t="s">
        <v>130</v>
      </c>
      <c r="AV2477" s="0" t="s">
        <v>130</v>
      </c>
      <c r="AW2477" s="0" t="s">
        <v>130</v>
      </c>
      <c r="AX2477" s="0" t="s">
        <v>130</v>
      </c>
      <c r="AY2477" s="0" t="s">
        <v>130</v>
      </c>
      <c r="AZ2477" s="0" t="s">
        <v>130</v>
      </c>
      <c r="BA2477" s="0" t="s">
        <v>130</v>
      </c>
      <c r="BB2477" s="0" t="s">
        <v>130</v>
      </c>
      <c r="BC2477" s="0" t="s">
        <v>130</v>
      </c>
      <c r="BD2477" s="0" t="s">
        <v>130</v>
      </c>
      <c r="BE2477" s="0" t="s">
        <v>130</v>
      </c>
      <c r="BF2477" s="0" t="s">
        <v>130</v>
      </c>
      <c r="BG2477" s="0" t="s">
        <v>130</v>
      </c>
      <c r="BH2477" s="0" t="s">
        <v>130</v>
      </c>
      <c r="BI2477" s="0" t="s">
        <v>130</v>
      </c>
      <c r="BJ2477" s="0" t="s">
        <v>130</v>
      </c>
      <c r="BK2477" s="0" t="s">
        <v>130</v>
      </c>
      <c r="BL2477" s="0" t="s">
        <v>130</v>
      </c>
      <c r="BM2477" s="0" t="s">
        <v>130</v>
      </c>
      <c r="BN2477" s="0" t="s">
        <v>130</v>
      </c>
      <c r="BO2477" s="0" t="s">
        <v>130</v>
      </c>
      <c r="BP2477" s="0" t="s">
        <v>130</v>
      </c>
      <c r="BQ2477" s="0" t="s">
        <v>130</v>
      </c>
      <c r="BR2477" s="0" t="s">
        <v>130</v>
      </c>
      <c r="BS2477" s="0" t="s">
        <v>130</v>
      </c>
      <c r="BT2477" s="0" t="s">
        <v>130</v>
      </c>
      <c r="BU2477" s="0" t="s">
        <v>130</v>
      </c>
      <c r="BV2477" s="0" t="s">
        <v>130</v>
      </c>
      <c r="BW2477" s="0" t="s">
        <v>130</v>
      </c>
      <c r="BX2477" s="0" t="s">
        <v>130</v>
      </c>
      <c r="BY2477" s="0" t="s">
        <v>130</v>
      </c>
      <c r="BZ2477" s="0" t="s">
        <v>130</v>
      </c>
      <c r="CA2477" s="0" t="s">
        <v>130</v>
      </c>
      <c r="CB2477" s="0" t="s">
        <v>130</v>
      </c>
      <c r="CC2477" s="0" t="s">
        <v>130</v>
      </c>
      <c r="CD2477" s="0" t="s">
        <v>130</v>
      </c>
      <c r="CE2477" s="0" t="s">
        <v>130</v>
      </c>
      <c r="CF2477" s="0" t="s">
        <v>130</v>
      </c>
      <c r="CG2477" s="0" t="s">
        <v>130</v>
      </c>
      <c r="CH2477" s="0" t="s">
        <v>130</v>
      </c>
      <c r="CI2477" s="0" t="s">
        <v>130</v>
      </c>
      <c r="CJ2477" s="0" t="s">
        <v>130</v>
      </c>
      <c r="CK2477" s="0" t="s">
        <v>130</v>
      </c>
      <c r="CL2477" s="0" t="s">
        <v>130</v>
      </c>
      <c r="CM2477" s="0" t="s">
        <v>130</v>
      </c>
      <c r="CN2477" s="0" t="s">
        <v>130</v>
      </c>
      <c r="CO2477" s="0" t="s">
        <v>130</v>
      </c>
      <c r="CP2477" s="0" t="s">
        <v>130</v>
      </c>
      <c r="CQ2477" s="0" t="s">
        <v>130</v>
      </c>
      <c r="CR2477" s="0" t="s">
        <v>130</v>
      </c>
      <c r="CS2477" s="0" t="s">
        <v>130</v>
      </c>
      <c r="CT2477" s="0" t="s">
        <v>6739</v>
      </c>
    </row>
    <row r="2478">
      <c r="A2478" s="14">
        <v>136124</v>
      </c>
      <c r="B2478" s="0" t="s">
        <v>3066</v>
      </c>
      <c r="C2478" s="16">
        <f>HYPERLINK("https://eosportal.federatedhermes.com/companies/Q29tcGFueQppODQ3NTU=", "AP Moller - Maersk A/S")</f>
      </c>
      <c r="D2478" s="0" t="s">
        <v>25</v>
      </c>
      <c r="E2478" s="0" t="s">
        <v>6740</v>
      </c>
      <c r="F2478" s="16">
        <f>HYPERLINK("https://eosportal.federatedhermes.com/engagements/RW5nYWdlbWVudAppMzM5NjQ=", "Francis Scott Key Bridge")</f>
      </c>
      <c r="G2478" s="14" t="s">
        <v>6741</v>
      </c>
      <c r="H2478" s="0" t="s">
        <v>141</v>
      </c>
      <c r="I2478" s="14" t="s">
        <v>191</v>
      </c>
      <c r="J2478" s="0" t="s">
        <v>132</v>
      </c>
      <c r="K2478" s="0" t="s">
        <v>260</v>
      </c>
      <c r="L2478" s="0" t="s">
        <v>261</v>
      </c>
      <c r="M2478" s="0" t="s">
        <v>378</v>
      </c>
      <c r="N2478" s="0" t="s">
        <v>1339</v>
      </c>
      <c r="O2478" s="0" t="s">
        <v>425</v>
      </c>
      <c r="Q2478" s="0" t="s">
        <v>130</v>
      </c>
      <c r="R2478" s="0" t="s">
        <v>138</v>
      </c>
      <c r="S2478" s="14">
        <v>0</v>
      </c>
      <c r="T2478" s="0" t="s">
        <v>3562</v>
      </c>
      <c r="U2478" s="0" t="s">
        <v>138</v>
      </c>
      <c r="V2478" s="14" t="s">
        <v>138</v>
      </c>
      <c r="W2478" s="0" t="s">
        <v>138</v>
      </c>
      <c r="X2478" s="14" t="s">
        <v>138</v>
      </c>
      <c r="Y2478" s="0" t="s">
        <v>138</v>
      </c>
      <c r="Z2478" s="14" t="s">
        <v>138</v>
      </c>
      <c r="AA2478" s="0" t="s">
        <v>138</v>
      </c>
      <c r="AB2478" s="14" t="s">
        <v>138</v>
      </c>
      <c r="AD2478" s="0" t="s">
        <v>138</v>
      </c>
      <c r="AF2478" s="0">
        <v>0</v>
      </c>
      <c r="AG2478" s="0">
        <v>0</v>
      </c>
      <c r="AH2478" s="0" t="s">
        <v>140</v>
      </c>
      <c r="AI2478" s="0" t="s">
        <v>138</v>
      </c>
      <c r="AL2478" s="14"/>
      <c r="AN2478" s="14"/>
      <c r="AQ2478" s="0" t="s">
        <v>130</v>
      </c>
      <c r="AR2478" s="0" t="s">
        <v>130</v>
      </c>
      <c r="AS2478" s="0" t="s">
        <v>130</v>
      </c>
      <c r="AT2478" s="0" t="s">
        <v>130</v>
      </c>
      <c r="AU2478" s="0" t="s">
        <v>130</v>
      </c>
      <c r="AV2478" s="0" t="s">
        <v>130</v>
      </c>
      <c r="AW2478" s="0" t="s">
        <v>130</v>
      </c>
      <c r="AX2478" s="0" t="s">
        <v>130</v>
      </c>
      <c r="AY2478" s="0" t="s">
        <v>130</v>
      </c>
      <c r="AZ2478" s="0" t="s">
        <v>130</v>
      </c>
      <c r="BA2478" s="0" t="s">
        <v>130</v>
      </c>
      <c r="BB2478" s="0" t="s">
        <v>130</v>
      </c>
      <c r="BC2478" s="0" t="s">
        <v>130</v>
      </c>
      <c r="BD2478" s="0" t="s">
        <v>130</v>
      </c>
      <c r="BE2478" s="0" t="s">
        <v>130</v>
      </c>
      <c r="BF2478" s="0" t="s">
        <v>130</v>
      </c>
      <c r="BG2478" s="0" t="s">
        <v>130</v>
      </c>
      <c r="BH2478" s="0" t="s">
        <v>130</v>
      </c>
      <c r="BI2478" s="0" t="s">
        <v>130</v>
      </c>
      <c r="BJ2478" s="0" t="s">
        <v>130</v>
      </c>
      <c r="BK2478" s="0" t="s">
        <v>130</v>
      </c>
      <c r="BL2478" s="0" t="s">
        <v>130</v>
      </c>
      <c r="BM2478" s="0" t="s">
        <v>130</v>
      </c>
      <c r="BN2478" s="0" t="s">
        <v>130</v>
      </c>
      <c r="BO2478" s="0" t="s">
        <v>130</v>
      </c>
      <c r="BP2478" s="0" t="s">
        <v>130</v>
      </c>
      <c r="BQ2478" s="0" t="s">
        <v>130</v>
      </c>
      <c r="BR2478" s="0" t="s">
        <v>130</v>
      </c>
      <c r="BS2478" s="0" t="s">
        <v>130</v>
      </c>
      <c r="BT2478" s="0" t="s">
        <v>130</v>
      </c>
      <c r="BU2478" s="0" t="s">
        <v>130</v>
      </c>
      <c r="BV2478" s="0" t="s">
        <v>130</v>
      </c>
      <c r="BW2478" s="0" t="s">
        <v>130</v>
      </c>
      <c r="BX2478" s="0" t="s">
        <v>130</v>
      </c>
      <c r="BY2478" s="0" t="s">
        <v>130</v>
      </c>
      <c r="BZ2478" s="0" t="s">
        <v>130</v>
      </c>
      <c r="CA2478" s="0" t="s">
        <v>130</v>
      </c>
      <c r="CB2478" s="0" t="s">
        <v>130</v>
      </c>
      <c r="CC2478" s="0" t="s">
        <v>130</v>
      </c>
      <c r="CD2478" s="0" t="s">
        <v>130</v>
      </c>
      <c r="CE2478" s="0" t="s">
        <v>130</v>
      </c>
      <c r="CF2478" s="0" t="s">
        <v>130</v>
      </c>
      <c r="CG2478" s="0" t="s">
        <v>130</v>
      </c>
      <c r="CH2478" s="0" t="s">
        <v>130</v>
      </c>
      <c r="CI2478" s="0" t="s">
        <v>130</v>
      </c>
      <c r="CJ2478" s="0" t="s">
        <v>130</v>
      </c>
      <c r="CK2478" s="0" t="s">
        <v>130</v>
      </c>
      <c r="CL2478" s="0" t="s">
        <v>130</v>
      </c>
      <c r="CM2478" s="0" t="s">
        <v>130</v>
      </c>
      <c r="CN2478" s="0" t="s">
        <v>130</v>
      </c>
      <c r="CO2478" s="0" t="s">
        <v>130</v>
      </c>
      <c r="CP2478" s="0" t="s">
        <v>130</v>
      </c>
      <c r="CQ2478" s="0" t="s">
        <v>130</v>
      </c>
      <c r="CR2478" s="0" t="s">
        <v>130</v>
      </c>
      <c r="CS2478" s="0" t="s">
        <v>130</v>
      </c>
      <c r="CT2478" s="0" t="s">
        <v>6742</v>
      </c>
    </row>
    <row r="2479">
      <c r="A2479" s="14">
        <v>153693</v>
      </c>
      <c r="B2479" s="0" t="s">
        <v>2920</v>
      </c>
      <c r="C2479" s="16">
        <f>HYPERLINK("https://eosportal.federatedhermes.com/companies/Q29tcGFueQppNDYwMzI=", "Fortescue Ltd")</f>
      </c>
      <c r="D2479" s="0" t="s">
        <v>25</v>
      </c>
      <c r="E2479" s="0" t="s">
        <v>6743</v>
      </c>
      <c r="F2479" s="16">
        <f>HYPERLINK("https://eosportal.federatedhermes.com/engagements/RW5nYWdlbWVudAppMzM5NjU=", "Science-based emission reduction targets")</f>
      </c>
      <c r="G2479" s="14" t="s">
        <v>6744</v>
      </c>
      <c r="H2479" s="0" t="s">
        <v>130</v>
      </c>
      <c r="I2479" s="14" t="s">
        <v>131</v>
      </c>
      <c r="J2479" s="0" t="s">
        <v>197</v>
      </c>
      <c r="K2479" s="0" t="s">
        <v>198</v>
      </c>
      <c r="L2479" s="0" t="s">
        <v>216</v>
      </c>
      <c r="M2479" s="0" t="s">
        <v>371</v>
      </c>
      <c r="N2479" s="0" t="s">
        <v>372</v>
      </c>
      <c r="O2479" s="0" t="s">
        <v>373</v>
      </c>
      <c r="Q2479" s="0" t="s">
        <v>130</v>
      </c>
      <c r="R2479" s="0" t="s">
        <v>138</v>
      </c>
      <c r="S2479" s="14">
        <v>0</v>
      </c>
      <c r="T2479" s="0" t="s">
        <v>446</v>
      </c>
      <c r="U2479" s="0" t="s">
        <v>138</v>
      </c>
      <c r="V2479" s="14" t="s">
        <v>138</v>
      </c>
      <c r="W2479" s="0" t="s">
        <v>138</v>
      </c>
      <c r="X2479" s="14" t="s">
        <v>138</v>
      </c>
      <c r="Y2479" s="0" t="s">
        <v>138</v>
      </c>
      <c r="Z2479" s="14" t="s">
        <v>138</v>
      </c>
      <c r="AA2479" s="0" t="s">
        <v>138</v>
      </c>
      <c r="AB2479" s="14" t="s">
        <v>138</v>
      </c>
      <c r="AD2479" s="0" t="s">
        <v>138</v>
      </c>
      <c r="AF2479" s="0">
        <v>0</v>
      </c>
      <c r="AG2479" s="0">
        <v>0</v>
      </c>
      <c r="AH2479" s="0" t="s">
        <v>140</v>
      </c>
      <c r="AI2479" s="0" t="s">
        <v>138</v>
      </c>
      <c r="AL2479" s="14"/>
      <c r="AN2479" s="14"/>
      <c r="AQ2479" s="0" t="s">
        <v>130</v>
      </c>
      <c r="AR2479" s="0" t="s">
        <v>130</v>
      </c>
      <c r="AS2479" s="0" t="s">
        <v>130</v>
      </c>
      <c r="AT2479" s="0" t="s">
        <v>130</v>
      </c>
      <c r="AU2479" s="0" t="s">
        <v>130</v>
      </c>
      <c r="AV2479" s="0" t="s">
        <v>130</v>
      </c>
      <c r="AW2479" s="0" t="s">
        <v>141</v>
      </c>
      <c r="AX2479" s="0" t="s">
        <v>130</v>
      </c>
      <c r="AY2479" s="0" t="s">
        <v>130</v>
      </c>
      <c r="AZ2479" s="0" t="s">
        <v>130</v>
      </c>
      <c r="BA2479" s="0" t="s">
        <v>130</v>
      </c>
      <c r="BB2479" s="0" t="s">
        <v>130</v>
      </c>
      <c r="BC2479" s="0" t="s">
        <v>141</v>
      </c>
      <c r="BD2479" s="0" t="s">
        <v>130</v>
      </c>
      <c r="BE2479" s="0" t="s">
        <v>130</v>
      </c>
      <c r="BF2479" s="0" t="s">
        <v>130</v>
      </c>
      <c r="BG2479" s="0" t="s">
        <v>130</v>
      </c>
      <c r="BH2479" s="0" t="s">
        <v>141</v>
      </c>
      <c r="BI2479" s="0" t="s">
        <v>141</v>
      </c>
      <c r="BJ2479" s="0" t="s">
        <v>141</v>
      </c>
      <c r="BK2479" s="0" t="s">
        <v>130</v>
      </c>
      <c r="BL2479" s="0" t="s">
        <v>130</v>
      </c>
      <c r="BM2479" s="0" t="s">
        <v>130</v>
      </c>
      <c r="BN2479" s="0" t="s">
        <v>130</v>
      </c>
      <c r="BO2479" s="0" t="s">
        <v>130</v>
      </c>
      <c r="BP2479" s="0" t="s">
        <v>130</v>
      </c>
      <c r="BQ2479" s="0" t="s">
        <v>130</v>
      </c>
      <c r="BR2479" s="0" t="s">
        <v>130</v>
      </c>
      <c r="BS2479" s="0" t="s">
        <v>130</v>
      </c>
      <c r="BT2479" s="0" t="s">
        <v>130</v>
      </c>
      <c r="BU2479" s="0" t="s">
        <v>130</v>
      </c>
      <c r="BV2479" s="0" t="s">
        <v>141</v>
      </c>
      <c r="BW2479" s="0" t="s">
        <v>141</v>
      </c>
      <c r="BX2479" s="0" t="s">
        <v>130</v>
      </c>
      <c r="BY2479" s="0" t="s">
        <v>130</v>
      </c>
      <c r="BZ2479" s="0" t="s">
        <v>130</v>
      </c>
      <c r="CA2479" s="0" t="s">
        <v>130</v>
      </c>
      <c r="CB2479" s="0" t="s">
        <v>130</v>
      </c>
      <c r="CC2479" s="0" t="s">
        <v>130</v>
      </c>
      <c r="CD2479" s="0" t="s">
        <v>130</v>
      </c>
      <c r="CE2479" s="0" t="s">
        <v>130</v>
      </c>
      <c r="CF2479" s="0" t="s">
        <v>130</v>
      </c>
      <c r="CG2479" s="0" t="s">
        <v>130</v>
      </c>
      <c r="CH2479" s="0" t="s">
        <v>130</v>
      </c>
      <c r="CI2479" s="0" t="s">
        <v>130</v>
      </c>
      <c r="CJ2479" s="0" t="s">
        <v>130</v>
      </c>
      <c r="CK2479" s="0" t="s">
        <v>130</v>
      </c>
      <c r="CL2479" s="0" t="s">
        <v>130</v>
      </c>
      <c r="CM2479" s="0" t="s">
        <v>130</v>
      </c>
      <c r="CN2479" s="0" t="s">
        <v>130</v>
      </c>
      <c r="CO2479" s="0" t="s">
        <v>130</v>
      </c>
      <c r="CP2479" s="0" t="s">
        <v>130</v>
      </c>
      <c r="CQ2479" s="0" t="s">
        <v>130</v>
      </c>
      <c r="CR2479" s="0" t="s">
        <v>130</v>
      </c>
      <c r="CS2479" s="0" t="s">
        <v>130</v>
      </c>
      <c r="CT2479" s="0" t="s">
        <v>6745</v>
      </c>
    </row>
    <row r="2480">
      <c r="A2480" s="14">
        <v>153693</v>
      </c>
      <c r="B2480" s="0" t="s">
        <v>2920</v>
      </c>
      <c r="C2480" s="16">
        <f>HYPERLINK("https://eosportal.federatedhermes.com/companies/Q29tcGFueQppNDYwMzI=", "Fortescue Ltd")</f>
      </c>
      <c r="D2480" s="0" t="s">
        <v>25</v>
      </c>
      <c r="E2480" s="0" t="s">
        <v>6746</v>
      </c>
      <c r="F2480" s="16">
        <f>HYPERLINK("https://eosportal.federatedhermes.com/engagements/RW5nYWdlbWVudAppMzM5NjY=", "Climate-aligned capex")</f>
      </c>
      <c r="G2480" s="14" t="s">
        <v>6747</v>
      </c>
      <c r="H2480" s="0" t="s">
        <v>130</v>
      </c>
      <c r="I2480" s="14" t="s">
        <v>131</v>
      </c>
      <c r="J2480" s="0" t="s">
        <v>197</v>
      </c>
      <c r="K2480" s="0" t="s">
        <v>198</v>
      </c>
      <c r="L2480" s="0" t="s">
        <v>199</v>
      </c>
      <c r="M2480" s="0" t="s">
        <v>371</v>
      </c>
      <c r="N2480" s="0" t="s">
        <v>372</v>
      </c>
      <c r="O2480" s="0" t="s">
        <v>373</v>
      </c>
      <c r="Q2480" s="0" t="s">
        <v>130</v>
      </c>
      <c r="R2480" s="0" t="s">
        <v>138</v>
      </c>
      <c r="S2480" s="14">
        <v>0</v>
      </c>
      <c r="T2480" s="0" t="s">
        <v>446</v>
      </c>
      <c r="U2480" s="0" t="s">
        <v>138</v>
      </c>
      <c r="V2480" s="14" t="s">
        <v>138</v>
      </c>
      <c r="W2480" s="0" t="s">
        <v>138</v>
      </c>
      <c r="X2480" s="14" t="s">
        <v>138</v>
      </c>
      <c r="Y2480" s="0" t="s">
        <v>138</v>
      </c>
      <c r="Z2480" s="14" t="s">
        <v>138</v>
      </c>
      <c r="AA2480" s="0" t="s">
        <v>138</v>
      </c>
      <c r="AB2480" s="14" t="s">
        <v>138</v>
      </c>
      <c r="AD2480" s="0" t="s">
        <v>138</v>
      </c>
      <c r="AF2480" s="0">
        <v>0</v>
      </c>
      <c r="AG2480" s="0">
        <v>0</v>
      </c>
      <c r="AH2480" s="0" t="s">
        <v>140</v>
      </c>
      <c r="AI2480" s="0" t="s">
        <v>138</v>
      </c>
      <c r="AL2480" s="14"/>
      <c r="AN2480" s="14"/>
      <c r="AQ2480" s="0" t="s">
        <v>130</v>
      </c>
      <c r="AR2480" s="0" t="s">
        <v>130</v>
      </c>
      <c r="AS2480" s="0" t="s">
        <v>130</v>
      </c>
      <c r="AT2480" s="0" t="s">
        <v>130</v>
      </c>
      <c r="AU2480" s="0" t="s">
        <v>130</v>
      </c>
      <c r="AV2480" s="0" t="s">
        <v>130</v>
      </c>
      <c r="AW2480" s="0" t="s">
        <v>130</v>
      </c>
      <c r="AX2480" s="0" t="s">
        <v>130</v>
      </c>
      <c r="AY2480" s="0" t="s">
        <v>130</v>
      </c>
      <c r="AZ2480" s="0" t="s">
        <v>130</v>
      </c>
      <c r="BA2480" s="0" t="s">
        <v>130</v>
      </c>
      <c r="BB2480" s="0" t="s">
        <v>130</v>
      </c>
      <c r="BC2480" s="0" t="s">
        <v>141</v>
      </c>
      <c r="BD2480" s="0" t="s">
        <v>130</v>
      </c>
      <c r="BE2480" s="0" t="s">
        <v>130</v>
      </c>
      <c r="BF2480" s="0" t="s">
        <v>130</v>
      </c>
      <c r="BG2480" s="0" t="s">
        <v>130</v>
      </c>
      <c r="BH2480" s="0" t="s">
        <v>130</v>
      </c>
      <c r="BI2480" s="0" t="s">
        <v>130</v>
      </c>
      <c r="BJ2480" s="0" t="s">
        <v>130</v>
      </c>
      <c r="BK2480" s="0" t="s">
        <v>130</v>
      </c>
      <c r="BL2480" s="0" t="s">
        <v>130</v>
      </c>
      <c r="BM2480" s="0" t="s">
        <v>130</v>
      </c>
      <c r="BN2480" s="0" t="s">
        <v>130</v>
      </c>
      <c r="BO2480" s="0" t="s">
        <v>130</v>
      </c>
      <c r="BP2480" s="0" t="s">
        <v>130</v>
      </c>
      <c r="BQ2480" s="0" t="s">
        <v>130</v>
      </c>
      <c r="BR2480" s="0" t="s">
        <v>130</v>
      </c>
      <c r="BS2480" s="0" t="s">
        <v>130</v>
      </c>
      <c r="BT2480" s="0" t="s">
        <v>130</v>
      </c>
      <c r="BU2480" s="0" t="s">
        <v>130</v>
      </c>
      <c r="BV2480" s="0" t="s">
        <v>130</v>
      </c>
      <c r="BW2480" s="0" t="s">
        <v>130</v>
      </c>
      <c r="BX2480" s="0" t="s">
        <v>130</v>
      </c>
      <c r="BY2480" s="0" t="s">
        <v>130</v>
      </c>
      <c r="BZ2480" s="0" t="s">
        <v>130</v>
      </c>
      <c r="CA2480" s="0" t="s">
        <v>130</v>
      </c>
      <c r="CB2480" s="0" t="s">
        <v>130</v>
      </c>
      <c r="CC2480" s="0" t="s">
        <v>130</v>
      </c>
      <c r="CD2480" s="0" t="s">
        <v>130</v>
      </c>
      <c r="CE2480" s="0" t="s">
        <v>130</v>
      </c>
      <c r="CF2480" s="0" t="s">
        <v>130</v>
      </c>
      <c r="CG2480" s="0" t="s">
        <v>130</v>
      </c>
      <c r="CH2480" s="0" t="s">
        <v>130</v>
      </c>
      <c r="CI2480" s="0" t="s">
        <v>130</v>
      </c>
      <c r="CJ2480" s="0" t="s">
        <v>130</v>
      </c>
      <c r="CK2480" s="0" t="s">
        <v>130</v>
      </c>
      <c r="CL2480" s="0" t="s">
        <v>130</v>
      </c>
      <c r="CM2480" s="0" t="s">
        <v>130</v>
      </c>
      <c r="CN2480" s="0" t="s">
        <v>130</v>
      </c>
      <c r="CO2480" s="0" t="s">
        <v>130</v>
      </c>
      <c r="CP2480" s="0" t="s">
        <v>130</v>
      </c>
      <c r="CQ2480" s="0" t="s">
        <v>130</v>
      </c>
      <c r="CR2480" s="0" t="s">
        <v>130</v>
      </c>
      <c r="CS2480" s="0" t="s">
        <v>130</v>
      </c>
      <c r="CT2480" s="0" t="s">
        <v>6748</v>
      </c>
    </row>
    <row r="2481">
      <c r="A2481" s="14">
        <v>153693</v>
      </c>
      <c r="B2481" s="0" t="s">
        <v>2920</v>
      </c>
      <c r="C2481" s="16">
        <f>HYPERLINK("https://eosportal.federatedhermes.com/companies/Q29tcGFueQppNDYwMzI=", "Fortescue Ltd")</f>
      </c>
      <c r="D2481" s="0" t="s">
        <v>25</v>
      </c>
      <c r="E2481" s="0" t="s">
        <v>5737</v>
      </c>
      <c r="F2481" s="16">
        <f>HYPERLINK("https://eosportal.federatedhermes.com/engagements/RW5nYWdlbWVudAppMzM5Njc=", "Climate-aligned accounting")</f>
      </c>
      <c r="G2481" s="14" t="s">
        <v>6749</v>
      </c>
      <c r="H2481" s="0" t="s">
        <v>130</v>
      </c>
      <c r="I2481" s="14" t="s">
        <v>131</v>
      </c>
      <c r="J2481" s="0" t="s">
        <v>197</v>
      </c>
      <c r="K2481" s="0" t="s">
        <v>198</v>
      </c>
      <c r="L2481" s="0" t="s">
        <v>199</v>
      </c>
      <c r="M2481" s="0" t="s">
        <v>371</v>
      </c>
      <c r="N2481" s="0" t="s">
        <v>372</v>
      </c>
      <c r="O2481" s="0" t="s">
        <v>373</v>
      </c>
      <c r="Q2481" s="0" t="s">
        <v>130</v>
      </c>
      <c r="R2481" s="0" t="s">
        <v>138</v>
      </c>
      <c r="S2481" s="14">
        <v>0</v>
      </c>
      <c r="T2481" s="0" t="s">
        <v>446</v>
      </c>
      <c r="U2481" s="0" t="s">
        <v>138</v>
      </c>
      <c r="V2481" s="14" t="s">
        <v>138</v>
      </c>
      <c r="W2481" s="0" t="s">
        <v>138</v>
      </c>
      <c r="X2481" s="14" t="s">
        <v>138</v>
      </c>
      <c r="Y2481" s="0" t="s">
        <v>138</v>
      </c>
      <c r="Z2481" s="14" t="s">
        <v>138</v>
      </c>
      <c r="AA2481" s="0" t="s">
        <v>138</v>
      </c>
      <c r="AB2481" s="14" t="s">
        <v>138</v>
      </c>
      <c r="AD2481" s="0" t="s">
        <v>138</v>
      </c>
      <c r="AF2481" s="0">
        <v>0</v>
      </c>
      <c r="AG2481" s="0">
        <v>0</v>
      </c>
      <c r="AH2481" s="0" t="s">
        <v>140</v>
      </c>
      <c r="AI2481" s="0" t="s">
        <v>138</v>
      </c>
      <c r="AL2481" s="14"/>
      <c r="AN2481" s="14"/>
      <c r="AQ2481" s="0" t="s">
        <v>130</v>
      </c>
      <c r="AR2481" s="0" t="s">
        <v>130</v>
      </c>
      <c r="AS2481" s="0" t="s">
        <v>130</v>
      </c>
      <c r="AT2481" s="0" t="s">
        <v>130</v>
      </c>
      <c r="AU2481" s="0" t="s">
        <v>130</v>
      </c>
      <c r="AV2481" s="0" t="s">
        <v>130</v>
      </c>
      <c r="AW2481" s="0" t="s">
        <v>130</v>
      </c>
      <c r="AX2481" s="0" t="s">
        <v>130</v>
      </c>
      <c r="AY2481" s="0" t="s">
        <v>130</v>
      </c>
      <c r="AZ2481" s="0" t="s">
        <v>130</v>
      </c>
      <c r="BA2481" s="0" t="s">
        <v>130</v>
      </c>
      <c r="BB2481" s="0" t="s">
        <v>141</v>
      </c>
      <c r="BC2481" s="0" t="s">
        <v>141</v>
      </c>
      <c r="BD2481" s="0" t="s">
        <v>130</v>
      </c>
      <c r="BE2481" s="0" t="s">
        <v>130</v>
      </c>
      <c r="BF2481" s="0" t="s">
        <v>130</v>
      </c>
      <c r="BG2481" s="0" t="s">
        <v>130</v>
      </c>
      <c r="BH2481" s="0" t="s">
        <v>130</v>
      </c>
      <c r="BI2481" s="0" t="s">
        <v>130</v>
      </c>
      <c r="BJ2481" s="0" t="s">
        <v>130</v>
      </c>
      <c r="BK2481" s="0" t="s">
        <v>130</v>
      </c>
      <c r="BL2481" s="0" t="s">
        <v>130</v>
      </c>
      <c r="BM2481" s="0" t="s">
        <v>130</v>
      </c>
      <c r="BN2481" s="0" t="s">
        <v>130</v>
      </c>
      <c r="BO2481" s="0" t="s">
        <v>130</v>
      </c>
      <c r="BP2481" s="0" t="s">
        <v>130</v>
      </c>
      <c r="BQ2481" s="0" t="s">
        <v>130</v>
      </c>
      <c r="BR2481" s="0" t="s">
        <v>130</v>
      </c>
      <c r="BS2481" s="0" t="s">
        <v>130</v>
      </c>
      <c r="BT2481" s="0" t="s">
        <v>130</v>
      </c>
      <c r="BU2481" s="0" t="s">
        <v>130</v>
      </c>
      <c r="BV2481" s="0" t="s">
        <v>130</v>
      </c>
      <c r="BW2481" s="0" t="s">
        <v>130</v>
      </c>
      <c r="BX2481" s="0" t="s">
        <v>130</v>
      </c>
      <c r="BY2481" s="0" t="s">
        <v>130</v>
      </c>
      <c r="BZ2481" s="0" t="s">
        <v>130</v>
      </c>
      <c r="CA2481" s="0" t="s">
        <v>130</v>
      </c>
      <c r="CB2481" s="0" t="s">
        <v>130</v>
      </c>
      <c r="CC2481" s="0" t="s">
        <v>130</v>
      </c>
      <c r="CD2481" s="0" t="s">
        <v>130</v>
      </c>
      <c r="CE2481" s="0" t="s">
        <v>130</v>
      </c>
      <c r="CF2481" s="0" t="s">
        <v>130</v>
      </c>
      <c r="CG2481" s="0" t="s">
        <v>130</v>
      </c>
      <c r="CH2481" s="0" t="s">
        <v>130</v>
      </c>
      <c r="CI2481" s="0" t="s">
        <v>130</v>
      </c>
      <c r="CJ2481" s="0" t="s">
        <v>130</v>
      </c>
      <c r="CK2481" s="0" t="s">
        <v>130</v>
      </c>
      <c r="CL2481" s="0" t="s">
        <v>130</v>
      </c>
      <c r="CM2481" s="0" t="s">
        <v>130</v>
      </c>
      <c r="CN2481" s="0" t="s">
        <v>130</v>
      </c>
      <c r="CO2481" s="0" t="s">
        <v>130</v>
      </c>
      <c r="CP2481" s="0" t="s">
        <v>130</v>
      </c>
      <c r="CQ2481" s="0" t="s">
        <v>130</v>
      </c>
      <c r="CR2481" s="0" t="s">
        <v>130</v>
      </c>
      <c r="CS2481" s="0" t="s">
        <v>130</v>
      </c>
      <c r="CT2481" s="0" t="s">
        <v>6750</v>
      </c>
    </row>
    <row r="2482">
      <c r="A2482" s="14">
        <v>153693</v>
      </c>
      <c r="B2482" s="0" t="s">
        <v>2920</v>
      </c>
      <c r="C2482" s="16">
        <f>HYPERLINK("https://eosportal.federatedhermes.com/companies/Q29tcGFueQppNDYwMzI=", "Fortescue Ltd")</f>
      </c>
      <c r="D2482" s="0" t="s">
        <v>25</v>
      </c>
      <c r="E2482" s="0" t="s">
        <v>341</v>
      </c>
      <c r="F2482" s="16">
        <f>HYPERLINK("https://eosportal.federatedhermes.com/engagements/RW5nYWdlbWVudAppMzM5Njg=", "Remuneration")</f>
      </c>
      <c r="G2482" s="14" t="s">
        <v>6751</v>
      </c>
      <c r="H2482" s="0" t="s">
        <v>130</v>
      </c>
      <c r="I2482" s="14" t="s">
        <v>131</v>
      </c>
      <c r="J2482" s="0" t="s">
        <v>145</v>
      </c>
      <c r="K2482" s="0" t="s">
        <v>146</v>
      </c>
      <c r="L2482" s="0" t="s">
        <v>147</v>
      </c>
      <c r="M2482" s="0" t="s">
        <v>371</v>
      </c>
      <c r="N2482" s="0" t="s">
        <v>372</v>
      </c>
      <c r="O2482" s="0" t="s">
        <v>373</v>
      </c>
      <c r="Q2482" s="0" t="s">
        <v>141</v>
      </c>
      <c r="R2482" s="0" t="s">
        <v>138</v>
      </c>
      <c r="S2482" s="14">
        <v>3</v>
      </c>
      <c r="T2482" s="0" t="s">
        <v>446</v>
      </c>
      <c r="U2482" s="0" t="s">
        <v>138</v>
      </c>
      <c r="V2482" s="14" t="s">
        <v>138</v>
      </c>
      <c r="W2482" s="0" t="s">
        <v>138</v>
      </c>
      <c r="X2482" s="14" t="s">
        <v>138</v>
      </c>
      <c r="Y2482" s="0" t="s">
        <v>138</v>
      </c>
      <c r="Z2482" s="14" t="s">
        <v>138</v>
      </c>
      <c r="AA2482" s="0" t="s">
        <v>138</v>
      </c>
      <c r="AB2482" s="14" t="s">
        <v>138</v>
      </c>
      <c r="AD2482" s="0" t="s">
        <v>138</v>
      </c>
      <c r="AF2482" s="0">
        <v>0</v>
      </c>
      <c r="AG2482" s="0">
        <v>0</v>
      </c>
      <c r="AH2482" s="0" t="s">
        <v>140</v>
      </c>
      <c r="AI2482" s="0" t="s">
        <v>138</v>
      </c>
      <c r="AK2482" s="0" t="s">
        <v>226</v>
      </c>
      <c r="AL2482" s="14"/>
      <c r="AN2482" s="14"/>
      <c r="AQ2482" s="0" t="s">
        <v>130</v>
      </c>
      <c r="AR2482" s="0" t="s">
        <v>130</v>
      </c>
      <c r="AS2482" s="0" t="s">
        <v>130</v>
      </c>
      <c r="AT2482" s="0" t="s">
        <v>130</v>
      </c>
      <c r="AU2482" s="0" t="s">
        <v>130</v>
      </c>
      <c r="AV2482" s="0" t="s">
        <v>130</v>
      </c>
      <c r="AW2482" s="0" t="s">
        <v>130</v>
      </c>
      <c r="AX2482" s="0" t="s">
        <v>130</v>
      </c>
      <c r="AY2482" s="0" t="s">
        <v>141</v>
      </c>
      <c r="AZ2482" s="0" t="s">
        <v>130</v>
      </c>
      <c r="BA2482" s="0" t="s">
        <v>130</v>
      </c>
      <c r="BB2482" s="0" t="s">
        <v>130</v>
      </c>
      <c r="BC2482" s="0" t="s">
        <v>130</v>
      </c>
      <c r="BD2482" s="0" t="s">
        <v>130</v>
      </c>
      <c r="BE2482" s="0" t="s">
        <v>130</v>
      </c>
      <c r="BF2482" s="0" t="s">
        <v>130</v>
      </c>
      <c r="BG2482" s="0" t="s">
        <v>130</v>
      </c>
      <c r="BH2482" s="0" t="s">
        <v>130</v>
      </c>
      <c r="BI2482" s="0" t="s">
        <v>130</v>
      </c>
      <c r="BJ2482" s="0" t="s">
        <v>130</v>
      </c>
      <c r="BK2482" s="0" t="s">
        <v>130</v>
      </c>
      <c r="BL2482" s="0" t="s">
        <v>130</v>
      </c>
      <c r="BM2482" s="0" t="s">
        <v>130</v>
      </c>
      <c r="BN2482" s="0" t="s">
        <v>130</v>
      </c>
      <c r="BO2482" s="0" t="s">
        <v>130</v>
      </c>
      <c r="BP2482" s="0" t="s">
        <v>130</v>
      </c>
      <c r="BQ2482" s="0" t="s">
        <v>130</v>
      </c>
      <c r="BR2482" s="0" t="s">
        <v>130</v>
      </c>
      <c r="BS2482" s="0" t="s">
        <v>130</v>
      </c>
      <c r="BT2482" s="0" t="s">
        <v>130</v>
      </c>
      <c r="BU2482" s="0" t="s">
        <v>130</v>
      </c>
      <c r="BV2482" s="0" t="s">
        <v>130</v>
      </c>
      <c r="BW2482" s="0" t="s">
        <v>130</v>
      </c>
      <c r="BX2482" s="0" t="s">
        <v>130</v>
      </c>
      <c r="BY2482" s="0" t="s">
        <v>130</v>
      </c>
      <c r="BZ2482" s="0" t="s">
        <v>130</v>
      </c>
      <c r="CA2482" s="0" t="s">
        <v>130</v>
      </c>
      <c r="CB2482" s="0" t="s">
        <v>130</v>
      </c>
      <c r="CC2482" s="0" t="s">
        <v>130</v>
      </c>
      <c r="CD2482" s="0" t="s">
        <v>130</v>
      </c>
      <c r="CE2482" s="0" t="s">
        <v>130</v>
      </c>
      <c r="CF2482" s="0" t="s">
        <v>130</v>
      </c>
      <c r="CG2482" s="0" t="s">
        <v>130</v>
      </c>
      <c r="CH2482" s="0" t="s">
        <v>130</v>
      </c>
      <c r="CI2482" s="0" t="s">
        <v>130</v>
      </c>
      <c r="CJ2482" s="0" t="s">
        <v>130</v>
      </c>
      <c r="CK2482" s="0" t="s">
        <v>130</v>
      </c>
      <c r="CL2482" s="0" t="s">
        <v>130</v>
      </c>
      <c r="CM2482" s="0" t="s">
        <v>130</v>
      </c>
      <c r="CN2482" s="0" t="s">
        <v>130</v>
      </c>
      <c r="CO2482" s="0" t="s">
        <v>130</v>
      </c>
      <c r="CP2482" s="0" t="s">
        <v>130</v>
      </c>
      <c r="CQ2482" s="0" t="s">
        <v>130</v>
      </c>
      <c r="CR2482" s="0" t="s">
        <v>130</v>
      </c>
      <c r="CS2482" s="0" t="s">
        <v>130</v>
      </c>
      <c r="CT2482" s="0" t="s">
        <v>6752</v>
      </c>
    </row>
    <row r="2483">
      <c r="A2483" s="14">
        <v>8779219</v>
      </c>
      <c r="B2483" s="0" t="s">
        <v>3920</v>
      </c>
      <c r="C2483" s="16">
        <f>HYPERLINK("https://eosportal.federatedhermes.com/companies/Q29tcGFueQppNTIxNzU=", "T-Mobile US Inc")</f>
      </c>
      <c r="D2483" s="0" t="s">
        <v>25</v>
      </c>
      <c r="E2483" s="0" t="s">
        <v>3027</v>
      </c>
      <c r="F2483" s="16">
        <f>HYPERLINK("https://eosportal.federatedhermes.com/engagements/RW5nYWdlbWVudAppMzM5Njk=", "Board gender diversity")</f>
      </c>
      <c r="G2483" s="14" t="s">
        <v>6753</v>
      </c>
      <c r="H2483" s="0" t="s">
        <v>141</v>
      </c>
      <c r="I2483" s="14" t="s">
        <v>636</v>
      </c>
      <c r="J2483" s="0" t="s">
        <v>145</v>
      </c>
      <c r="K2483" s="0" t="s">
        <v>164</v>
      </c>
      <c r="L2483" s="0" t="s">
        <v>165</v>
      </c>
      <c r="M2483" s="0" t="s">
        <v>135</v>
      </c>
      <c r="N2483" s="0" t="s">
        <v>136</v>
      </c>
      <c r="O2483" s="0" t="s">
        <v>137</v>
      </c>
      <c r="Q2483" s="0" t="s">
        <v>130</v>
      </c>
      <c r="R2483" s="0" t="s">
        <v>138</v>
      </c>
      <c r="S2483" s="14">
        <v>0</v>
      </c>
      <c r="T2483" s="0" t="s">
        <v>446</v>
      </c>
      <c r="U2483" s="0" t="s">
        <v>138</v>
      </c>
      <c r="V2483" s="14" t="s">
        <v>138</v>
      </c>
      <c r="W2483" s="0" t="s">
        <v>138</v>
      </c>
      <c r="X2483" s="14" t="s">
        <v>138</v>
      </c>
      <c r="Y2483" s="0" t="s">
        <v>138</v>
      </c>
      <c r="Z2483" s="14" t="s">
        <v>138</v>
      </c>
      <c r="AA2483" s="0" t="s">
        <v>138</v>
      </c>
      <c r="AB2483" s="14" t="s">
        <v>138</v>
      </c>
      <c r="AD2483" s="0" t="s">
        <v>138</v>
      </c>
      <c r="AF2483" s="0">
        <v>0</v>
      </c>
      <c r="AG2483" s="0">
        <v>0</v>
      </c>
      <c r="AH2483" s="0" t="s">
        <v>140</v>
      </c>
      <c r="AI2483" s="0" t="s">
        <v>138</v>
      </c>
      <c r="AL2483" s="14"/>
      <c r="AN2483" s="14"/>
      <c r="AQ2483" s="0" t="s">
        <v>130</v>
      </c>
      <c r="AR2483" s="0" t="s">
        <v>130</v>
      </c>
      <c r="AS2483" s="0" t="s">
        <v>130</v>
      </c>
      <c r="AT2483" s="0" t="s">
        <v>130</v>
      </c>
      <c r="AU2483" s="0" t="s">
        <v>141</v>
      </c>
      <c r="AV2483" s="0" t="s">
        <v>130</v>
      </c>
      <c r="AW2483" s="0" t="s">
        <v>130</v>
      </c>
      <c r="AX2483" s="0" t="s">
        <v>130</v>
      </c>
      <c r="AY2483" s="0" t="s">
        <v>130</v>
      </c>
      <c r="AZ2483" s="0" t="s">
        <v>141</v>
      </c>
      <c r="BA2483" s="0" t="s">
        <v>130</v>
      </c>
      <c r="BB2483" s="0" t="s">
        <v>130</v>
      </c>
      <c r="BC2483" s="0" t="s">
        <v>130</v>
      </c>
      <c r="BD2483" s="0" t="s">
        <v>130</v>
      </c>
      <c r="BE2483" s="0" t="s">
        <v>130</v>
      </c>
      <c r="BF2483" s="0" t="s">
        <v>130</v>
      </c>
      <c r="BG2483" s="0" t="s">
        <v>130</v>
      </c>
      <c r="BH2483" s="0" t="s">
        <v>130</v>
      </c>
      <c r="BI2483" s="0" t="s">
        <v>130</v>
      </c>
      <c r="BJ2483" s="0" t="s">
        <v>130</v>
      </c>
      <c r="BK2483" s="0" t="s">
        <v>130</v>
      </c>
      <c r="BL2483" s="0" t="s">
        <v>130</v>
      </c>
      <c r="BM2483" s="0" t="s">
        <v>130</v>
      </c>
      <c r="BN2483" s="0" t="s">
        <v>130</v>
      </c>
      <c r="BO2483" s="0" t="s">
        <v>130</v>
      </c>
      <c r="BP2483" s="0" t="s">
        <v>130</v>
      </c>
      <c r="BQ2483" s="0" t="s">
        <v>130</v>
      </c>
      <c r="BR2483" s="0" t="s">
        <v>130</v>
      </c>
      <c r="BS2483" s="0" t="s">
        <v>130</v>
      </c>
      <c r="BT2483" s="0" t="s">
        <v>130</v>
      </c>
      <c r="BU2483" s="0" t="s">
        <v>130</v>
      </c>
      <c r="BV2483" s="0" t="s">
        <v>130</v>
      </c>
      <c r="BW2483" s="0" t="s">
        <v>130</v>
      </c>
      <c r="BX2483" s="0" t="s">
        <v>130</v>
      </c>
      <c r="BY2483" s="0" t="s">
        <v>130</v>
      </c>
      <c r="BZ2483" s="0" t="s">
        <v>130</v>
      </c>
      <c r="CA2483" s="0" t="s">
        <v>130</v>
      </c>
      <c r="CB2483" s="0" t="s">
        <v>130</v>
      </c>
      <c r="CC2483" s="0" t="s">
        <v>130</v>
      </c>
      <c r="CD2483" s="0" t="s">
        <v>130</v>
      </c>
      <c r="CE2483" s="0" t="s">
        <v>130</v>
      </c>
      <c r="CF2483" s="0" t="s">
        <v>130</v>
      </c>
      <c r="CG2483" s="0" t="s">
        <v>130</v>
      </c>
      <c r="CH2483" s="0" t="s">
        <v>130</v>
      </c>
      <c r="CI2483" s="0" t="s">
        <v>130</v>
      </c>
      <c r="CJ2483" s="0" t="s">
        <v>130</v>
      </c>
      <c r="CK2483" s="0" t="s">
        <v>141</v>
      </c>
      <c r="CL2483" s="0" t="s">
        <v>130</v>
      </c>
      <c r="CM2483" s="0" t="s">
        <v>130</v>
      </c>
      <c r="CN2483" s="0" t="s">
        <v>130</v>
      </c>
      <c r="CO2483" s="0" t="s">
        <v>130</v>
      </c>
      <c r="CP2483" s="0" t="s">
        <v>130</v>
      </c>
      <c r="CQ2483" s="0" t="s">
        <v>130</v>
      </c>
      <c r="CR2483" s="0" t="s">
        <v>130</v>
      </c>
      <c r="CS2483" s="0" t="s">
        <v>130</v>
      </c>
      <c r="CT2483" s="0" t="s">
        <v>6754</v>
      </c>
    </row>
    <row r="2484">
      <c r="A2484" s="14">
        <v>51257766</v>
      </c>
      <c r="B2484" s="0" t="s">
        <v>4538</v>
      </c>
      <c r="C2484" s="16">
        <f>HYPERLINK("https://eosportal.federatedhermes.com/companies/Q29tcGFueQppNTg5NzM=", "Vistra Corp")</f>
      </c>
      <c r="D2484" s="0" t="s">
        <v>23</v>
      </c>
      <c r="E2484" s="0" t="s">
        <v>684</v>
      </c>
      <c r="F2484" s="16">
        <f>HYPERLINK("https://eosportal.federatedhermes.com/engagements/RW5nYWdlbWVudAppMzM5NzY=", "Just transition for employees and the community")</f>
      </c>
      <c r="G2484" s="14" t="s">
        <v>685</v>
      </c>
      <c r="H2484" s="0" t="s">
        <v>141</v>
      </c>
      <c r="I2484" s="14" t="s">
        <v>131</v>
      </c>
      <c r="J2484" s="0" t="s">
        <v>197</v>
      </c>
      <c r="K2484" s="0" t="s">
        <v>198</v>
      </c>
      <c r="L2484" s="0" t="s">
        <v>199</v>
      </c>
      <c r="M2484" s="0" t="s">
        <v>135</v>
      </c>
      <c r="N2484" s="0" t="s">
        <v>136</v>
      </c>
      <c r="O2484" s="0" t="s">
        <v>192</v>
      </c>
      <c r="Q2484" s="0" t="s">
        <v>141</v>
      </c>
      <c r="R2484" s="0" t="s">
        <v>141</v>
      </c>
      <c r="S2484" s="14">
        <v>1</v>
      </c>
      <c r="T2484" s="0" t="s">
        <v>3562</v>
      </c>
      <c r="U2484" s="0" t="s">
        <v>221</v>
      </c>
      <c r="V2484" s="14" t="s">
        <v>3562</v>
      </c>
      <c r="W2484" s="0" t="s">
        <v>221</v>
      </c>
      <c r="X2484" s="14" t="s">
        <v>3562</v>
      </c>
      <c r="Y2484" s="0" t="s">
        <v>221</v>
      </c>
      <c r="Z2484" s="14" t="s">
        <v>361</v>
      </c>
      <c r="AA2484" s="0" t="s">
        <v>223</v>
      </c>
      <c r="AB2484" s="14" t="s">
        <v>138</v>
      </c>
      <c r="AC2484" s="0" t="s">
        <v>17</v>
      </c>
      <c r="AD2484" s="0" t="s">
        <v>20</v>
      </c>
      <c r="AE2484" s="0" t="s">
        <v>2266</v>
      </c>
      <c r="AF2484" s="0">
        <v>1</v>
      </c>
      <c r="AG2484" s="0">
        <v>0</v>
      </c>
      <c r="AH2484" s="0" t="s">
        <v>140</v>
      </c>
      <c r="AI2484" s="0" t="s">
        <v>598</v>
      </c>
      <c r="AK2484" s="0" t="s">
        <v>749</v>
      </c>
      <c r="AL2484" s="14"/>
      <c r="AN2484" s="14"/>
      <c r="AQ2484" s="0" t="s">
        <v>130</v>
      </c>
      <c r="AR2484" s="0" t="s">
        <v>130</v>
      </c>
      <c r="AS2484" s="0" t="s">
        <v>130</v>
      </c>
      <c r="AT2484" s="0" t="s">
        <v>130</v>
      </c>
      <c r="AU2484" s="0" t="s">
        <v>130</v>
      </c>
      <c r="AV2484" s="0" t="s">
        <v>130</v>
      </c>
      <c r="AW2484" s="0" t="s">
        <v>130</v>
      </c>
      <c r="AX2484" s="0" t="s">
        <v>130</v>
      </c>
      <c r="AY2484" s="0" t="s">
        <v>130</v>
      </c>
      <c r="AZ2484" s="0" t="s">
        <v>130</v>
      </c>
      <c r="BA2484" s="0" t="s">
        <v>130</v>
      </c>
      <c r="BB2484" s="0" t="s">
        <v>141</v>
      </c>
      <c r="BC2484" s="0" t="s">
        <v>130</v>
      </c>
      <c r="BD2484" s="0" t="s">
        <v>130</v>
      </c>
      <c r="BE2484" s="0" t="s">
        <v>130</v>
      </c>
      <c r="BF2484" s="0" t="s">
        <v>130</v>
      </c>
      <c r="BG2484" s="0" t="s">
        <v>130</v>
      </c>
      <c r="BH2484" s="0" t="s">
        <v>130</v>
      </c>
      <c r="BI2484" s="0" t="s">
        <v>130</v>
      </c>
      <c r="BJ2484" s="0" t="s">
        <v>130</v>
      </c>
      <c r="BK2484" s="0" t="s">
        <v>130</v>
      </c>
      <c r="BL2484" s="0" t="s">
        <v>130</v>
      </c>
      <c r="BM2484" s="0" t="s">
        <v>130</v>
      </c>
      <c r="BN2484" s="0" t="s">
        <v>130</v>
      </c>
      <c r="BO2484" s="0" t="s">
        <v>130</v>
      </c>
      <c r="BP2484" s="0" t="s">
        <v>130</v>
      </c>
      <c r="BQ2484" s="0" t="s">
        <v>130</v>
      </c>
      <c r="BR2484" s="0" t="s">
        <v>130</v>
      </c>
      <c r="BS2484" s="0" t="s">
        <v>130</v>
      </c>
      <c r="BT2484" s="0" t="s">
        <v>130</v>
      </c>
      <c r="BU2484" s="0" t="s">
        <v>130</v>
      </c>
      <c r="BV2484" s="0" t="s">
        <v>130</v>
      </c>
      <c r="BW2484" s="0" t="s">
        <v>130</v>
      </c>
      <c r="BX2484" s="0" t="s">
        <v>130</v>
      </c>
      <c r="BY2484" s="0" t="s">
        <v>130</v>
      </c>
      <c r="BZ2484" s="0" t="s">
        <v>130</v>
      </c>
      <c r="CA2484" s="0" t="s">
        <v>130</v>
      </c>
      <c r="CB2484" s="0" t="s">
        <v>130</v>
      </c>
      <c r="CC2484" s="0" t="s">
        <v>130</v>
      </c>
      <c r="CD2484" s="0" t="s">
        <v>130</v>
      </c>
      <c r="CE2484" s="0" t="s">
        <v>130</v>
      </c>
      <c r="CF2484" s="0" t="s">
        <v>130</v>
      </c>
      <c r="CG2484" s="0" t="s">
        <v>130</v>
      </c>
      <c r="CH2484" s="0" t="s">
        <v>130</v>
      </c>
      <c r="CI2484" s="0" t="s">
        <v>130</v>
      </c>
      <c r="CJ2484" s="0" t="s">
        <v>130</v>
      </c>
      <c r="CK2484" s="0" t="s">
        <v>130</v>
      </c>
      <c r="CL2484" s="0" t="s">
        <v>130</v>
      </c>
      <c r="CM2484" s="0" t="s">
        <v>130</v>
      </c>
      <c r="CN2484" s="0" t="s">
        <v>130</v>
      </c>
      <c r="CO2484" s="0" t="s">
        <v>130</v>
      </c>
      <c r="CP2484" s="0" t="s">
        <v>130</v>
      </c>
      <c r="CQ2484" s="0" t="s">
        <v>130</v>
      </c>
      <c r="CR2484" s="0" t="s">
        <v>130</v>
      </c>
      <c r="CS2484" s="0" t="s">
        <v>130</v>
      </c>
      <c r="CT2484" s="0" t="s">
        <v>6755</v>
      </c>
    </row>
    <row r="2485">
      <c r="A2485" s="14">
        <v>115268</v>
      </c>
      <c r="B2485" s="0" t="s">
        <v>2415</v>
      </c>
      <c r="C2485" s="16">
        <f>HYPERLINK("https://eosportal.federatedhermes.com/companies/Q29tcGFueQppODU4NzM=", "Carrefour SA")</f>
      </c>
      <c r="D2485" s="0" t="s">
        <v>23</v>
      </c>
      <c r="E2485" s="0" t="s">
        <v>6756</v>
      </c>
      <c r="F2485" s="16">
        <f>HYPERLINK("https://eosportal.federatedhermes.com/engagements/RW5nYWdlbWVudAppMzM5Nzc=", "Climate Lobbying in line with 1.5C climate targets")</f>
      </c>
      <c r="G2485" s="14" t="s">
        <v>6757</v>
      </c>
      <c r="H2485" s="0" t="s">
        <v>141</v>
      </c>
      <c r="I2485" s="14" t="s">
        <v>131</v>
      </c>
      <c r="J2485" s="0" t="s">
        <v>197</v>
      </c>
      <c r="K2485" s="0" t="s">
        <v>198</v>
      </c>
      <c r="L2485" s="0" t="s">
        <v>199</v>
      </c>
      <c r="M2485" s="0" t="s">
        <v>378</v>
      </c>
      <c r="N2485" s="0" t="s">
        <v>1646</v>
      </c>
      <c r="O2485" s="0" t="s">
        <v>643</v>
      </c>
      <c r="Q2485" s="0" t="s">
        <v>141</v>
      </c>
      <c r="R2485" s="0" t="s">
        <v>141</v>
      </c>
      <c r="S2485" s="14">
        <v>3</v>
      </c>
      <c r="T2485" s="0" t="s">
        <v>3562</v>
      </c>
      <c r="U2485" s="0" t="s">
        <v>221</v>
      </c>
      <c r="V2485" s="14" t="s">
        <v>3562</v>
      </c>
      <c r="W2485" s="0" t="s">
        <v>221</v>
      </c>
      <c r="X2485" s="14" t="s">
        <v>361</v>
      </c>
      <c r="Y2485" s="0" t="s">
        <v>223</v>
      </c>
      <c r="Z2485" s="14" t="s">
        <v>138</v>
      </c>
      <c r="AA2485" s="0" t="s">
        <v>224</v>
      </c>
      <c r="AB2485" s="14" t="s">
        <v>138</v>
      </c>
      <c r="AC2485" s="0" t="s">
        <v>14</v>
      </c>
      <c r="AD2485" s="0" t="s">
        <v>17</v>
      </c>
      <c r="AE2485" s="0" t="s">
        <v>5508</v>
      </c>
      <c r="AF2485" s="0">
        <v>1</v>
      </c>
      <c r="AG2485" s="0">
        <v>0</v>
      </c>
      <c r="AH2485" s="0" t="s">
        <v>140</v>
      </c>
      <c r="AI2485" s="0" t="s">
        <v>598</v>
      </c>
      <c r="AK2485" s="0" t="s">
        <v>578</v>
      </c>
      <c r="AL2485" s="14"/>
      <c r="AN2485" s="14"/>
      <c r="AQ2485" s="0" t="s">
        <v>130</v>
      </c>
      <c r="AR2485" s="0" t="s">
        <v>130</v>
      </c>
      <c r="AS2485" s="0" t="s">
        <v>130</v>
      </c>
      <c r="AT2485" s="0" t="s">
        <v>130</v>
      </c>
      <c r="AU2485" s="0" t="s">
        <v>130</v>
      </c>
      <c r="AV2485" s="0" t="s">
        <v>130</v>
      </c>
      <c r="AW2485" s="0" t="s">
        <v>130</v>
      </c>
      <c r="AX2485" s="0" t="s">
        <v>130</v>
      </c>
      <c r="AY2485" s="0" t="s">
        <v>130</v>
      </c>
      <c r="AZ2485" s="0" t="s">
        <v>130</v>
      </c>
      <c r="BA2485" s="0" t="s">
        <v>130</v>
      </c>
      <c r="BB2485" s="0" t="s">
        <v>141</v>
      </c>
      <c r="BC2485" s="0" t="s">
        <v>141</v>
      </c>
      <c r="BD2485" s="0" t="s">
        <v>130</v>
      </c>
      <c r="BE2485" s="0" t="s">
        <v>130</v>
      </c>
      <c r="BF2485" s="0" t="s">
        <v>130</v>
      </c>
      <c r="BG2485" s="0" t="s">
        <v>130</v>
      </c>
      <c r="BH2485" s="0" t="s">
        <v>130</v>
      </c>
      <c r="BI2485" s="0" t="s">
        <v>130</v>
      </c>
      <c r="BJ2485" s="0" t="s">
        <v>130</v>
      </c>
      <c r="BK2485" s="0" t="s">
        <v>130</v>
      </c>
      <c r="BL2485" s="0" t="s">
        <v>130</v>
      </c>
      <c r="BM2485" s="0" t="s">
        <v>130</v>
      </c>
      <c r="BN2485" s="0" t="s">
        <v>130</v>
      </c>
      <c r="BO2485" s="0" t="s">
        <v>130</v>
      </c>
      <c r="BP2485" s="0" t="s">
        <v>130</v>
      </c>
      <c r="BQ2485" s="0" t="s">
        <v>130</v>
      </c>
      <c r="BR2485" s="0" t="s">
        <v>130</v>
      </c>
      <c r="BS2485" s="0" t="s">
        <v>130</v>
      </c>
      <c r="BT2485" s="0" t="s">
        <v>130</v>
      </c>
      <c r="BU2485" s="0" t="s">
        <v>130</v>
      </c>
      <c r="BV2485" s="0" t="s">
        <v>130</v>
      </c>
      <c r="BW2485" s="0" t="s">
        <v>130</v>
      </c>
      <c r="BX2485" s="0" t="s">
        <v>130</v>
      </c>
      <c r="BY2485" s="0" t="s">
        <v>130</v>
      </c>
      <c r="BZ2485" s="0" t="s">
        <v>130</v>
      </c>
      <c r="CA2485" s="0" t="s">
        <v>130</v>
      </c>
      <c r="CB2485" s="0" t="s">
        <v>130</v>
      </c>
      <c r="CC2485" s="0" t="s">
        <v>130</v>
      </c>
      <c r="CD2485" s="0" t="s">
        <v>130</v>
      </c>
      <c r="CE2485" s="0" t="s">
        <v>130</v>
      </c>
      <c r="CF2485" s="0" t="s">
        <v>130</v>
      </c>
      <c r="CG2485" s="0" t="s">
        <v>130</v>
      </c>
      <c r="CH2485" s="0" t="s">
        <v>130</v>
      </c>
      <c r="CI2485" s="0" t="s">
        <v>130</v>
      </c>
      <c r="CJ2485" s="0" t="s">
        <v>130</v>
      </c>
      <c r="CK2485" s="0" t="s">
        <v>130</v>
      </c>
      <c r="CL2485" s="0" t="s">
        <v>130</v>
      </c>
      <c r="CM2485" s="0" t="s">
        <v>130</v>
      </c>
      <c r="CN2485" s="0" t="s">
        <v>130</v>
      </c>
      <c r="CO2485" s="0" t="s">
        <v>130</v>
      </c>
      <c r="CP2485" s="0" t="s">
        <v>130</v>
      </c>
      <c r="CQ2485" s="0" t="s">
        <v>130</v>
      </c>
      <c r="CR2485" s="0" t="s">
        <v>130</v>
      </c>
      <c r="CS2485" s="0" t="s">
        <v>130</v>
      </c>
      <c r="CT2485" s="0" t="s">
        <v>6758</v>
      </c>
    </row>
    <row r="2486">
      <c r="A2486" s="14">
        <v>20469486</v>
      </c>
      <c r="B2486" s="0" t="s">
        <v>6432</v>
      </c>
      <c r="C2486" s="16">
        <f>HYPERLINK("https://eosportal.federatedhermes.com/companies/Q29tcGFueQppNTE3NjI=", "Airtac International Group")</f>
      </c>
      <c r="D2486" s="0" t="s">
        <v>25</v>
      </c>
      <c r="E2486" s="0" t="s">
        <v>1034</v>
      </c>
      <c r="F2486" s="16">
        <f>HYPERLINK("https://eosportal.federatedhermes.com/engagements/RW5nYWdlbWVudAppMzM5Nzg=", "Board composition")</f>
      </c>
      <c r="G2486" s="14" t="s">
        <v>6759</v>
      </c>
      <c r="H2486" s="0" t="s">
        <v>130</v>
      </c>
      <c r="I2486" s="14" t="s">
        <v>319</v>
      </c>
      <c r="J2486" s="0" t="s">
        <v>145</v>
      </c>
      <c r="K2486" s="0" t="s">
        <v>164</v>
      </c>
      <c r="L2486" s="0" t="s">
        <v>165</v>
      </c>
      <c r="M2486" s="0" t="s">
        <v>802</v>
      </c>
      <c r="N2486" s="0" t="s">
        <v>2941</v>
      </c>
      <c r="O2486" s="0" t="s">
        <v>176</v>
      </c>
      <c r="Q2486" s="0" t="s">
        <v>141</v>
      </c>
      <c r="R2486" s="0" t="s">
        <v>138</v>
      </c>
      <c r="S2486" s="14">
        <v>2</v>
      </c>
      <c r="T2486" s="0" t="s">
        <v>446</v>
      </c>
      <c r="U2486" s="0" t="s">
        <v>138</v>
      </c>
      <c r="V2486" s="14" t="s">
        <v>138</v>
      </c>
      <c r="W2486" s="0" t="s">
        <v>138</v>
      </c>
      <c r="X2486" s="14" t="s">
        <v>138</v>
      </c>
      <c r="Y2486" s="0" t="s">
        <v>138</v>
      </c>
      <c r="Z2486" s="14" t="s">
        <v>138</v>
      </c>
      <c r="AA2486" s="0" t="s">
        <v>138</v>
      </c>
      <c r="AB2486" s="14" t="s">
        <v>138</v>
      </c>
      <c r="AD2486" s="0" t="s">
        <v>138</v>
      </c>
      <c r="AF2486" s="0">
        <v>0</v>
      </c>
      <c r="AG2486" s="0">
        <v>0</v>
      </c>
      <c r="AH2486" s="0" t="s">
        <v>140</v>
      </c>
      <c r="AI2486" s="0" t="s">
        <v>138</v>
      </c>
      <c r="AK2486" s="0" t="s">
        <v>233</v>
      </c>
      <c r="AL2486" s="14"/>
      <c r="AN2486" s="14"/>
      <c r="AQ2486" s="0" t="s">
        <v>130</v>
      </c>
      <c r="AR2486" s="0" t="s">
        <v>130</v>
      </c>
      <c r="AS2486" s="0" t="s">
        <v>130</v>
      </c>
      <c r="AT2486" s="0" t="s">
        <v>130</v>
      </c>
      <c r="AU2486" s="0" t="s">
        <v>141</v>
      </c>
      <c r="AV2486" s="0" t="s">
        <v>130</v>
      </c>
      <c r="AW2486" s="0" t="s">
        <v>130</v>
      </c>
      <c r="AX2486" s="0" t="s">
        <v>130</v>
      </c>
      <c r="AY2486" s="0" t="s">
        <v>130</v>
      </c>
      <c r="AZ2486" s="0" t="s">
        <v>130</v>
      </c>
      <c r="BA2486" s="0" t="s">
        <v>130</v>
      </c>
      <c r="BB2486" s="0" t="s">
        <v>130</v>
      </c>
      <c r="BC2486" s="0" t="s">
        <v>130</v>
      </c>
      <c r="BD2486" s="0" t="s">
        <v>130</v>
      </c>
      <c r="BE2486" s="0" t="s">
        <v>130</v>
      </c>
      <c r="BF2486" s="0" t="s">
        <v>130</v>
      </c>
      <c r="BG2486" s="0" t="s">
        <v>130</v>
      </c>
      <c r="BH2486" s="0" t="s">
        <v>130</v>
      </c>
      <c r="BI2486" s="0" t="s">
        <v>130</v>
      </c>
      <c r="BJ2486" s="0" t="s">
        <v>130</v>
      </c>
      <c r="BK2486" s="0" t="s">
        <v>130</v>
      </c>
      <c r="BL2486" s="0" t="s">
        <v>130</v>
      </c>
      <c r="BM2486" s="0" t="s">
        <v>130</v>
      </c>
      <c r="BN2486" s="0" t="s">
        <v>130</v>
      </c>
      <c r="BO2486" s="0" t="s">
        <v>130</v>
      </c>
      <c r="BP2486" s="0" t="s">
        <v>130</v>
      </c>
      <c r="BQ2486" s="0" t="s">
        <v>141</v>
      </c>
      <c r="BR2486" s="0" t="s">
        <v>130</v>
      </c>
      <c r="BS2486" s="0" t="s">
        <v>130</v>
      </c>
      <c r="BT2486" s="0" t="s">
        <v>130</v>
      </c>
      <c r="BU2486" s="0" t="s">
        <v>130</v>
      </c>
      <c r="BV2486" s="0" t="s">
        <v>130</v>
      </c>
      <c r="BW2486" s="0" t="s">
        <v>130</v>
      </c>
      <c r="BX2486" s="0" t="s">
        <v>130</v>
      </c>
      <c r="BY2486" s="0" t="s">
        <v>130</v>
      </c>
      <c r="BZ2486" s="0" t="s">
        <v>130</v>
      </c>
      <c r="CA2486" s="0" t="s">
        <v>130</v>
      </c>
      <c r="CB2486" s="0" t="s">
        <v>130</v>
      </c>
      <c r="CC2486" s="0" t="s">
        <v>130</v>
      </c>
      <c r="CD2486" s="0" t="s">
        <v>130</v>
      </c>
      <c r="CE2486" s="0" t="s">
        <v>130</v>
      </c>
      <c r="CF2486" s="0" t="s">
        <v>130</v>
      </c>
      <c r="CG2486" s="0" t="s">
        <v>130</v>
      </c>
      <c r="CH2486" s="0" t="s">
        <v>130</v>
      </c>
      <c r="CI2486" s="0" t="s">
        <v>130</v>
      </c>
      <c r="CJ2486" s="0" t="s">
        <v>130</v>
      </c>
      <c r="CK2486" s="0" t="s">
        <v>130</v>
      </c>
      <c r="CL2486" s="0" t="s">
        <v>130</v>
      </c>
      <c r="CM2486" s="0" t="s">
        <v>130</v>
      </c>
      <c r="CN2486" s="0" t="s">
        <v>130</v>
      </c>
      <c r="CO2486" s="0" t="s">
        <v>130</v>
      </c>
      <c r="CP2486" s="0" t="s">
        <v>130</v>
      </c>
      <c r="CQ2486" s="0" t="s">
        <v>130</v>
      </c>
      <c r="CR2486" s="0" t="s">
        <v>130</v>
      </c>
      <c r="CS2486" s="0" t="s">
        <v>130</v>
      </c>
      <c r="CT2486" s="0" t="s">
        <v>6760</v>
      </c>
    </row>
    <row r="2487">
      <c r="A2487" s="14">
        <v>100532</v>
      </c>
      <c r="B2487" s="0" t="s">
        <v>724</v>
      </c>
      <c r="C2487" s="16">
        <f>HYPERLINK("https://eosportal.federatedhermes.com/companies/Q29tcGFueQppNTQ1MDU=", "Entergy Corp")</f>
      </c>
      <c r="D2487" s="0" t="s">
        <v>25</v>
      </c>
      <c r="E2487" s="0" t="s">
        <v>6761</v>
      </c>
      <c r="F2487" s="16">
        <f>HYPERLINK("https://eosportal.federatedhermes.com/engagements/RW5nYWdlbWVudAppMzM5Nzk=", "Methane emissions strategy")</f>
      </c>
      <c r="G2487" s="14" t="s">
        <v>6762</v>
      </c>
      <c r="H2487" s="0" t="s">
        <v>141</v>
      </c>
      <c r="I2487" s="14" t="s">
        <v>636</v>
      </c>
      <c r="J2487" s="0" t="s">
        <v>197</v>
      </c>
      <c r="K2487" s="0" t="s">
        <v>198</v>
      </c>
      <c r="L2487" s="0" t="s">
        <v>216</v>
      </c>
      <c r="M2487" s="0" t="s">
        <v>135</v>
      </c>
      <c r="N2487" s="0" t="s">
        <v>136</v>
      </c>
      <c r="O2487" s="0" t="s">
        <v>192</v>
      </c>
      <c r="Q2487" s="0" t="s">
        <v>130</v>
      </c>
      <c r="R2487" s="0" t="s">
        <v>138</v>
      </c>
      <c r="S2487" s="14">
        <v>0</v>
      </c>
      <c r="T2487" s="0" t="s">
        <v>446</v>
      </c>
      <c r="U2487" s="0" t="s">
        <v>138</v>
      </c>
      <c r="V2487" s="14" t="s">
        <v>138</v>
      </c>
      <c r="W2487" s="0" t="s">
        <v>138</v>
      </c>
      <c r="X2487" s="14" t="s">
        <v>138</v>
      </c>
      <c r="Y2487" s="0" t="s">
        <v>138</v>
      </c>
      <c r="Z2487" s="14" t="s">
        <v>138</v>
      </c>
      <c r="AA2487" s="0" t="s">
        <v>138</v>
      </c>
      <c r="AB2487" s="14" t="s">
        <v>138</v>
      </c>
      <c r="AD2487" s="0" t="s">
        <v>138</v>
      </c>
      <c r="AF2487" s="0">
        <v>0</v>
      </c>
      <c r="AG2487" s="0">
        <v>0</v>
      </c>
      <c r="AH2487" s="0" t="s">
        <v>140</v>
      </c>
      <c r="AI2487" s="0" t="s">
        <v>138</v>
      </c>
      <c r="AL2487" s="14"/>
      <c r="AN2487" s="14"/>
      <c r="AQ2487" s="0" t="s">
        <v>130</v>
      </c>
      <c r="AR2487" s="0" t="s">
        <v>130</v>
      </c>
      <c r="AS2487" s="0" t="s">
        <v>130</v>
      </c>
      <c r="AT2487" s="0" t="s">
        <v>130</v>
      </c>
      <c r="AU2487" s="0" t="s">
        <v>130</v>
      </c>
      <c r="AV2487" s="0" t="s">
        <v>130</v>
      </c>
      <c r="AW2487" s="0" t="s">
        <v>141</v>
      </c>
      <c r="AX2487" s="0" t="s">
        <v>130</v>
      </c>
      <c r="AY2487" s="0" t="s">
        <v>130</v>
      </c>
      <c r="AZ2487" s="0" t="s">
        <v>130</v>
      </c>
      <c r="BA2487" s="0" t="s">
        <v>130</v>
      </c>
      <c r="BB2487" s="0" t="s">
        <v>130</v>
      </c>
      <c r="BC2487" s="0" t="s">
        <v>141</v>
      </c>
      <c r="BD2487" s="0" t="s">
        <v>130</v>
      </c>
      <c r="BE2487" s="0" t="s">
        <v>130</v>
      </c>
      <c r="BF2487" s="0" t="s">
        <v>130</v>
      </c>
      <c r="BG2487" s="0" t="s">
        <v>130</v>
      </c>
      <c r="BH2487" s="0" t="s">
        <v>141</v>
      </c>
      <c r="BI2487" s="0" t="s">
        <v>141</v>
      </c>
      <c r="BJ2487" s="0" t="s">
        <v>141</v>
      </c>
      <c r="BK2487" s="0" t="s">
        <v>130</v>
      </c>
      <c r="BL2487" s="0" t="s">
        <v>130</v>
      </c>
      <c r="BM2487" s="0" t="s">
        <v>130</v>
      </c>
      <c r="BN2487" s="0" t="s">
        <v>130</v>
      </c>
      <c r="BO2487" s="0" t="s">
        <v>130</v>
      </c>
      <c r="BP2487" s="0" t="s">
        <v>130</v>
      </c>
      <c r="BQ2487" s="0" t="s">
        <v>130</v>
      </c>
      <c r="BR2487" s="0" t="s">
        <v>130</v>
      </c>
      <c r="BS2487" s="0" t="s">
        <v>130</v>
      </c>
      <c r="BT2487" s="0" t="s">
        <v>130</v>
      </c>
      <c r="BU2487" s="0" t="s">
        <v>130</v>
      </c>
      <c r="BV2487" s="0" t="s">
        <v>141</v>
      </c>
      <c r="BW2487" s="0" t="s">
        <v>141</v>
      </c>
      <c r="BX2487" s="0" t="s">
        <v>130</v>
      </c>
      <c r="BY2487" s="0" t="s">
        <v>130</v>
      </c>
      <c r="BZ2487" s="0" t="s">
        <v>130</v>
      </c>
      <c r="CA2487" s="0" t="s">
        <v>130</v>
      </c>
      <c r="CB2487" s="0" t="s">
        <v>130</v>
      </c>
      <c r="CC2487" s="0" t="s">
        <v>130</v>
      </c>
      <c r="CD2487" s="0" t="s">
        <v>130</v>
      </c>
      <c r="CE2487" s="0" t="s">
        <v>130</v>
      </c>
      <c r="CF2487" s="0" t="s">
        <v>130</v>
      </c>
      <c r="CG2487" s="0" t="s">
        <v>130</v>
      </c>
      <c r="CH2487" s="0" t="s">
        <v>130</v>
      </c>
      <c r="CI2487" s="0" t="s">
        <v>130</v>
      </c>
      <c r="CJ2487" s="0" t="s">
        <v>130</v>
      </c>
      <c r="CK2487" s="0" t="s">
        <v>130</v>
      </c>
      <c r="CL2487" s="0" t="s">
        <v>130</v>
      </c>
      <c r="CM2487" s="0" t="s">
        <v>130</v>
      </c>
      <c r="CN2487" s="0" t="s">
        <v>130</v>
      </c>
      <c r="CO2487" s="0" t="s">
        <v>130</v>
      </c>
      <c r="CP2487" s="0" t="s">
        <v>130</v>
      </c>
      <c r="CQ2487" s="0" t="s">
        <v>130</v>
      </c>
      <c r="CR2487" s="0" t="s">
        <v>130</v>
      </c>
      <c r="CS2487" s="0" t="s">
        <v>130</v>
      </c>
      <c r="CT2487" s="0" t="s">
        <v>6763</v>
      </c>
    </row>
    <row r="2488">
      <c r="A2488" s="14">
        <v>100532</v>
      </c>
      <c r="B2488" s="0" t="s">
        <v>724</v>
      </c>
      <c r="C2488" s="16">
        <f>HYPERLINK("https://eosportal.federatedhermes.com/companies/Q29tcGFueQppNTQ1MDU=", "Entergy Corp")</f>
      </c>
      <c r="D2488" s="0" t="s">
        <v>25</v>
      </c>
      <c r="E2488" s="0" t="s">
        <v>6764</v>
      </c>
      <c r="F2488" s="16">
        <f>HYPERLINK("https://eosportal.federatedhermes.com/engagements/RW5nYWdlbWVudAppMzM5ODA=", "Climate - physical risk disclosure, mitigation and adaptation")</f>
      </c>
      <c r="G2488" s="14" t="s">
        <v>6765</v>
      </c>
      <c r="H2488" s="0" t="s">
        <v>141</v>
      </c>
      <c r="I2488" s="14" t="s">
        <v>636</v>
      </c>
      <c r="J2488" s="0" t="s">
        <v>197</v>
      </c>
      <c r="K2488" s="0" t="s">
        <v>198</v>
      </c>
      <c r="L2488" s="0" t="s">
        <v>682</v>
      </c>
      <c r="M2488" s="0" t="s">
        <v>135</v>
      </c>
      <c r="N2488" s="0" t="s">
        <v>136</v>
      </c>
      <c r="O2488" s="0" t="s">
        <v>192</v>
      </c>
      <c r="Q2488" s="0" t="s">
        <v>141</v>
      </c>
      <c r="R2488" s="0" t="s">
        <v>138</v>
      </c>
      <c r="S2488" s="14">
        <v>1</v>
      </c>
      <c r="T2488" s="0" t="s">
        <v>3562</v>
      </c>
      <c r="U2488" s="0" t="s">
        <v>138</v>
      </c>
      <c r="V2488" s="14" t="s">
        <v>138</v>
      </c>
      <c r="W2488" s="0" t="s">
        <v>138</v>
      </c>
      <c r="X2488" s="14" t="s">
        <v>138</v>
      </c>
      <c r="Y2488" s="0" t="s">
        <v>138</v>
      </c>
      <c r="Z2488" s="14" t="s">
        <v>138</v>
      </c>
      <c r="AA2488" s="0" t="s">
        <v>138</v>
      </c>
      <c r="AB2488" s="14" t="s">
        <v>138</v>
      </c>
      <c r="AD2488" s="0" t="s">
        <v>138</v>
      </c>
      <c r="AF2488" s="0">
        <v>0</v>
      </c>
      <c r="AG2488" s="0">
        <v>0</v>
      </c>
      <c r="AH2488" s="0" t="s">
        <v>140</v>
      </c>
      <c r="AI2488" s="0" t="s">
        <v>138</v>
      </c>
      <c r="AK2488" s="0" t="s">
        <v>1196</v>
      </c>
      <c r="AL2488" s="14"/>
      <c r="AN2488" s="14"/>
      <c r="AQ2488" s="0" t="s">
        <v>130</v>
      </c>
      <c r="AR2488" s="0" t="s">
        <v>130</v>
      </c>
      <c r="AS2488" s="0" t="s">
        <v>130</v>
      </c>
      <c r="AT2488" s="0" t="s">
        <v>130</v>
      </c>
      <c r="AU2488" s="0" t="s">
        <v>130</v>
      </c>
      <c r="AV2488" s="0" t="s">
        <v>130</v>
      </c>
      <c r="AW2488" s="0" t="s">
        <v>130</v>
      </c>
      <c r="AX2488" s="0" t="s">
        <v>130</v>
      </c>
      <c r="AY2488" s="0" t="s">
        <v>130</v>
      </c>
      <c r="AZ2488" s="0" t="s">
        <v>130</v>
      </c>
      <c r="BA2488" s="0" t="s">
        <v>130</v>
      </c>
      <c r="BB2488" s="0" t="s">
        <v>130</v>
      </c>
      <c r="BC2488" s="0" t="s">
        <v>141</v>
      </c>
      <c r="BD2488" s="0" t="s">
        <v>130</v>
      </c>
      <c r="BE2488" s="0" t="s">
        <v>130</v>
      </c>
      <c r="BF2488" s="0" t="s">
        <v>130</v>
      </c>
      <c r="BG2488" s="0" t="s">
        <v>130</v>
      </c>
      <c r="BH2488" s="0" t="s">
        <v>130</v>
      </c>
      <c r="BI2488" s="0" t="s">
        <v>130</v>
      </c>
      <c r="BJ2488" s="0" t="s">
        <v>130</v>
      </c>
      <c r="BK2488" s="0" t="s">
        <v>130</v>
      </c>
      <c r="BL2488" s="0" t="s">
        <v>130</v>
      </c>
      <c r="BM2488" s="0" t="s">
        <v>130</v>
      </c>
      <c r="BN2488" s="0" t="s">
        <v>130</v>
      </c>
      <c r="BO2488" s="0" t="s">
        <v>130</v>
      </c>
      <c r="BP2488" s="0" t="s">
        <v>130</v>
      </c>
      <c r="BQ2488" s="0" t="s">
        <v>130</v>
      </c>
      <c r="BR2488" s="0" t="s">
        <v>130</v>
      </c>
      <c r="BS2488" s="0" t="s">
        <v>130</v>
      </c>
      <c r="BT2488" s="0" t="s">
        <v>130</v>
      </c>
      <c r="BU2488" s="0" t="s">
        <v>130</v>
      </c>
      <c r="BV2488" s="0" t="s">
        <v>130</v>
      </c>
      <c r="BW2488" s="0" t="s">
        <v>130</v>
      </c>
      <c r="BX2488" s="0" t="s">
        <v>130</v>
      </c>
      <c r="BY2488" s="0" t="s">
        <v>130</v>
      </c>
      <c r="BZ2488" s="0" t="s">
        <v>130</v>
      </c>
      <c r="CA2488" s="0" t="s">
        <v>130</v>
      </c>
      <c r="CB2488" s="0" t="s">
        <v>130</v>
      </c>
      <c r="CC2488" s="0" t="s">
        <v>130</v>
      </c>
      <c r="CD2488" s="0" t="s">
        <v>130</v>
      </c>
      <c r="CE2488" s="0" t="s">
        <v>130</v>
      </c>
      <c r="CF2488" s="0" t="s">
        <v>130</v>
      </c>
      <c r="CG2488" s="0" t="s">
        <v>130</v>
      </c>
      <c r="CH2488" s="0" t="s">
        <v>130</v>
      </c>
      <c r="CI2488" s="0" t="s">
        <v>130</v>
      </c>
      <c r="CJ2488" s="0" t="s">
        <v>130</v>
      </c>
      <c r="CK2488" s="0" t="s">
        <v>130</v>
      </c>
      <c r="CL2488" s="0" t="s">
        <v>130</v>
      </c>
      <c r="CM2488" s="0" t="s">
        <v>130</v>
      </c>
      <c r="CN2488" s="0" t="s">
        <v>130</v>
      </c>
      <c r="CO2488" s="0" t="s">
        <v>130</v>
      </c>
      <c r="CP2488" s="0" t="s">
        <v>130</v>
      </c>
      <c r="CQ2488" s="0" t="s">
        <v>130</v>
      </c>
      <c r="CR2488" s="0" t="s">
        <v>130</v>
      </c>
      <c r="CS2488" s="0" t="s">
        <v>130</v>
      </c>
      <c r="CT2488" s="0" t="s">
        <v>6766</v>
      </c>
    </row>
    <row r="2489">
      <c r="A2489" s="14">
        <v>101372</v>
      </c>
      <c r="B2489" s="0" t="s">
        <v>1566</v>
      </c>
      <c r="C2489" s="16">
        <f>HYPERLINK("https://eosportal.federatedhermes.com/companies/Q29tcGFueQppNjI0NjU=", "Truist Financial Corp")</f>
      </c>
      <c r="D2489" s="0" t="s">
        <v>23</v>
      </c>
      <c r="E2489" s="0" t="s">
        <v>6767</v>
      </c>
      <c r="F2489" s="16">
        <f>HYPERLINK("https://eosportal.federatedhermes.com/engagements/RW5nYWdlbWVudAppMzM5ODE=", "Turnover and unwanted attrition")</f>
      </c>
      <c r="G2489" s="14" t="s">
        <v>6768</v>
      </c>
      <c r="H2489" s="0" t="s">
        <v>130</v>
      </c>
      <c r="I2489" s="14" t="s">
        <v>131</v>
      </c>
      <c r="J2489" s="0" t="s">
        <v>153</v>
      </c>
      <c r="K2489" s="0" t="s">
        <v>154</v>
      </c>
      <c r="L2489" s="0" t="s">
        <v>268</v>
      </c>
      <c r="M2489" s="0" t="s">
        <v>135</v>
      </c>
      <c r="N2489" s="0" t="s">
        <v>136</v>
      </c>
      <c r="O2489" s="0" t="s">
        <v>238</v>
      </c>
      <c r="Q2489" s="0" t="s">
        <v>141</v>
      </c>
      <c r="R2489" s="0" t="s">
        <v>141</v>
      </c>
      <c r="S2489" s="14">
        <v>2</v>
      </c>
      <c r="T2489" s="0" t="s">
        <v>446</v>
      </c>
      <c r="U2489" s="0" t="s">
        <v>221</v>
      </c>
      <c r="V2489" s="14" t="s">
        <v>446</v>
      </c>
      <c r="W2489" s="0" t="s">
        <v>221</v>
      </c>
      <c r="X2489" s="14" t="s">
        <v>361</v>
      </c>
      <c r="Y2489" s="0" t="s">
        <v>223</v>
      </c>
      <c r="Z2489" s="14" t="s">
        <v>138</v>
      </c>
      <c r="AA2489" s="0" t="s">
        <v>224</v>
      </c>
      <c r="AB2489" s="14" t="s">
        <v>138</v>
      </c>
      <c r="AC2489" s="0" t="s">
        <v>14</v>
      </c>
      <c r="AD2489" s="0" t="s">
        <v>17</v>
      </c>
      <c r="AE2489" s="0" t="s">
        <v>5508</v>
      </c>
      <c r="AF2489" s="0">
        <v>1</v>
      </c>
      <c r="AG2489" s="0">
        <v>0</v>
      </c>
      <c r="AH2489" s="0" t="s">
        <v>140</v>
      </c>
      <c r="AI2489" s="0" t="s">
        <v>598</v>
      </c>
      <c r="AK2489" s="0" t="s">
        <v>226</v>
      </c>
      <c r="AL2489" s="14"/>
      <c r="AN2489" s="14"/>
      <c r="AQ2489" s="0" t="s">
        <v>130</v>
      </c>
      <c r="AR2489" s="0" t="s">
        <v>130</v>
      </c>
      <c r="AS2489" s="0" t="s">
        <v>141</v>
      </c>
      <c r="AT2489" s="0" t="s">
        <v>141</v>
      </c>
      <c r="AU2489" s="0" t="s">
        <v>141</v>
      </c>
      <c r="AV2489" s="0" t="s">
        <v>130</v>
      </c>
      <c r="AW2489" s="0" t="s">
        <v>130</v>
      </c>
      <c r="AX2489" s="0" t="s">
        <v>141</v>
      </c>
      <c r="AY2489" s="0" t="s">
        <v>130</v>
      </c>
      <c r="AZ2489" s="0" t="s">
        <v>141</v>
      </c>
      <c r="BA2489" s="0" t="s">
        <v>130</v>
      </c>
      <c r="BB2489" s="0" t="s">
        <v>130</v>
      </c>
      <c r="BC2489" s="0" t="s">
        <v>130</v>
      </c>
      <c r="BD2489" s="0" t="s">
        <v>130</v>
      </c>
      <c r="BE2489" s="0" t="s">
        <v>130</v>
      </c>
      <c r="BF2489" s="0" t="s">
        <v>141</v>
      </c>
      <c r="BG2489" s="0" t="s">
        <v>130</v>
      </c>
      <c r="BH2489" s="0" t="s">
        <v>130</v>
      </c>
      <c r="BI2489" s="0" t="s">
        <v>130</v>
      </c>
      <c r="BJ2489" s="0" t="s">
        <v>130</v>
      </c>
      <c r="BK2489" s="0" t="s">
        <v>130</v>
      </c>
      <c r="BL2489" s="0" t="s">
        <v>130</v>
      </c>
      <c r="BM2489" s="0" t="s">
        <v>130</v>
      </c>
      <c r="BN2489" s="0" t="s">
        <v>130</v>
      </c>
      <c r="BO2489" s="0" t="s">
        <v>130</v>
      </c>
      <c r="BP2489" s="0" t="s">
        <v>130</v>
      </c>
      <c r="BQ2489" s="0" t="s">
        <v>130</v>
      </c>
      <c r="BR2489" s="0" t="s">
        <v>130</v>
      </c>
      <c r="BS2489" s="0" t="s">
        <v>130</v>
      </c>
      <c r="BT2489" s="0" t="s">
        <v>130</v>
      </c>
      <c r="BU2489" s="0" t="s">
        <v>130</v>
      </c>
      <c r="BV2489" s="0" t="s">
        <v>130</v>
      </c>
      <c r="BW2489" s="0" t="s">
        <v>130</v>
      </c>
      <c r="BX2489" s="0" t="s">
        <v>130</v>
      </c>
      <c r="BY2489" s="0" t="s">
        <v>130</v>
      </c>
      <c r="BZ2489" s="0" t="s">
        <v>130</v>
      </c>
      <c r="CA2489" s="0" t="s">
        <v>130</v>
      </c>
      <c r="CB2489" s="0" t="s">
        <v>130</v>
      </c>
      <c r="CC2489" s="0" t="s">
        <v>130</v>
      </c>
      <c r="CD2489" s="0" t="s">
        <v>130</v>
      </c>
      <c r="CE2489" s="0" t="s">
        <v>130</v>
      </c>
      <c r="CF2489" s="0" t="s">
        <v>130</v>
      </c>
      <c r="CG2489" s="0" t="s">
        <v>130</v>
      </c>
      <c r="CH2489" s="0" t="s">
        <v>130</v>
      </c>
      <c r="CI2489" s="0" t="s">
        <v>130</v>
      </c>
      <c r="CJ2489" s="0" t="s">
        <v>130</v>
      </c>
      <c r="CK2489" s="0" t="s">
        <v>141</v>
      </c>
      <c r="CL2489" s="0" t="s">
        <v>130</v>
      </c>
      <c r="CM2489" s="0" t="s">
        <v>130</v>
      </c>
      <c r="CN2489" s="0" t="s">
        <v>130</v>
      </c>
      <c r="CO2489" s="0" t="s">
        <v>130</v>
      </c>
      <c r="CP2489" s="0" t="s">
        <v>130</v>
      </c>
      <c r="CQ2489" s="0" t="s">
        <v>130</v>
      </c>
      <c r="CR2489" s="0" t="s">
        <v>130</v>
      </c>
      <c r="CS2489" s="0" t="s">
        <v>130</v>
      </c>
      <c r="CT2489" s="0" t="s">
        <v>6769</v>
      </c>
    </row>
    <row r="2490">
      <c r="A2490" s="14">
        <v>101372</v>
      </c>
      <c r="B2490" s="0" t="s">
        <v>1566</v>
      </c>
      <c r="C2490" s="16">
        <f>HYPERLINK("https://eosportal.federatedhermes.com/companies/Q29tcGFueQppNjI0NjU=", "Truist Financial Corp")</f>
      </c>
      <c r="D2490" s="0" t="s">
        <v>23</v>
      </c>
      <c r="E2490" s="0" t="s">
        <v>5457</v>
      </c>
      <c r="F2490" s="16">
        <f>HYPERLINK("https://eosportal.federatedhermes.com/engagements/RW5nYWdlbWVudAppMzM5ODI=", "Living wages in value chain")</f>
      </c>
      <c r="G2490" s="14" t="s">
        <v>5458</v>
      </c>
      <c r="H2490" s="0" t="s">
        <v>130</v>
      </c>
      <c r="I2490" s="14" t="s">
        <v>131</v>
      </c>
      <c r="J2490" s="0" t="s">
        <v>153</v>
      </c>
      <c r="K2490" s="0" t="s">
        <v>154</v>
      </c>
      <c r="L2490" s="0" t="s">
        <v>306</v>
      </c>
      <c r="M2490" s="0" t="s">
        <v>135</v>
      </c>
      <c r="N2490" s="0" t="s">
        <v>136</v>
      </c>
      <c r="O2490" s="0" t="s">
        <v>238</v>
      </c>
      <c r="Q2490" s="0" t="s">
        <v>141</v>
      </c>
      <c r="R2490" s="0" t="s">
        <v>141</v>
      </c>
      <c r="S2490" s="14">
        <v>2</v>
      </c>
      <c r="T2490" s="0" t="s">
        <v>446</v>
      </c>
      <c r="U2490" s="0" t="s">
        <v>221</v>
      </c>
      <c r="V2490" s="14" t="s">
        <v>446</v>
      </c>
      <c r="W2490" s="0" t="s">
        <v>221</v>
      </c>
      <c r="X2490" s="14" t="s">
        <v>361</v>
      </c>
      <c r="Y2490" s="0" t="s">
        <v>223</v>
      </c>
      <c r="Z2490" s="14" t="s">
        <v>138</v>
      </c>
      <c r="AA2490" s="0" t="s">
        <v>224</v>
      </c>
      <c r="AB2490" s="14" t="s">
        <v>138</v>
      </c>
      <c r="AC2490" s="0" t="s">
        <v>14</v>
      </c>
      <c r="AD2490" s="0" t="s">
        <v>17</v>
      </c>
      <c r="AE2490" s="0" t="s">
        <v>5508</v>
      </c>
      <c r="AF2490" s="0">
        <v>1</v>
      </c>
      <c r="AG2490" s="0">
        <v>0</v>
      </c>
      <c r="AH2490" s="0" t="s">
        <v>140</v>
      </c>
      <c r="AI2490" s="0" t="s">
        <v>598</v>
      </c>
      <c r="AK2490" s="0" t="s">
        <v>226</v>
      </c>
      <c r="AL2490" s="14"/>
      <c r="AN2490" s="14"/>
      <c r="AQ2490" s="0" t="s">
        <v>130</v>
      </c>
      <c r="AR2490" s="0" t="s">
        <v>130</v>
      </c>
      <c r="AS2490" s="0" t="s">
        <v>130</v>
      </c>
      <c r="AT2490" s="0" t="s">
        <v>130</v>
      </c>
      <c r="AU2490" s="0" t="s">
        <v>130</v>
      </c>
      <c r="AV2490" s="0" t="s">
        <v>130</v>
      </c>
      <c r="AW2490" s="0" t="s">
        <v>130</v>
      </c>
      <c r="AX2490" s="0" t="s">
        <v>141</v>
      </c>
      <c r="AY2490" s="0" t="s">
        <v>130</v>
      </c>
      <c r="AZ2490" s="0" t="s">
        <v>141</v>
      </c>
      <c r="BA2490" s="0" t="s">
        <v>130</v>
      </c>
      <c r="BB2490" s="0" t="s">
        <v>130</v>
      </c>
      <c r="BC2490" s="0" t="s">
        <v>130</v>
      </c>
      <c r="BD2490" s="0" t="s">
        <v>130</v>
      </c>
      <c r="BE2490" s="0" t="s">
        <v>130</v>
      </c>
      <c r="BF2490" s="0" t="s">
        <v>130</v>
      </c>
      <c r="BG2490" s="0" t="s">
        <v>130</v>
      </c>
      <c r="BH2490" s="0" t="s">
        <v>130</v>
      </c>
      <c r="BI2490" s="0" t="s">
        <v>130</v>
      </c>
      <c r="BJ2490" s="0" t="s">
        <v>130</v>
      </c>
      <c r="BK2490" s="0" t="s">
        <v>130</v>
      </c>
      <c r="BL2490" s="0" t="s">
        <v>130</v>
      </c>
      <c r="BM2490" s="0" t="s">
        <v>130</v>
      </c>
      <c r="BN2490" s="0" t="s">
        <v>130</v>
      </c>
      <c r="BO2490" s="0" t="s">
        <v>130</v>
      </c>
      <c r="BP2490" s="0" t="s">
        <v>130</v>
      </c>
      <c r="BQ2490" s="0" t="s">
        <v>130</v>
      </c>
      <c r="BR2490" s="0" t="s">
        <v>130</v>
      </c>
      <c r="BS2490" s="0" t="s">
        <v>130</v>
      </c>
      <c r="BT2490" s="0" t="s">
        <v>130</v>
      </c>
      <c r="BU2490" s="0" t="s">
        <v>130</v>
      </c>
      <c r="BV2490" s="0" t="s">
        <v>130</v>
      </c>
      <c r="BW2490" s="0" t="s">
        <v>130</v>
      </c>
      <c r="BX2490" s="0" t="s">
        <v>130</v>
      </c>
      <c r="BY2490" s="0" t="s">
        <v>130</v>
      </c>
      <c r="BZ2490" s="0" t="s">
        <v>130</v>
      </c>
      <c r="CA2490" s="0" t="s">
        <v>130</v>
      </c>
      <c r="CB2490" s="0" t="s">
        <v>130</v>
      </c>
      <c r="CC2490" s="0" t="s">
        <v>130</v>
      </c>
      <c r="CD2490" s="0" t="s">
        <v>130</v>
      </c>
      <c r="CE2490" s="0" t="s">
        <v>130</v>
      </c>
      <c r="CF2490" s="0" t="s">
        <v>130</v>
      </c>
      <c r="CG2490" s="0" t="s">
        <v>130</v>
      </c>
      <c r="CH2490" s="0" t="s">
        <v>130</v>
      </c>
      <c r="CI2490" s="0" t="s">
        <v>130</v>
      </c>
      <c r="CJ2490" s="0" t="s">
        <v>130</v>
      </c>
      <c r="CK2490" s="0" t="s">
        <v>130</v>
      </c>
      <c r="CL2490" s="0" t="s">
        <v>130</v>
      </c>
      <c r="CM2490" s="0" t="s">
        <v>130</v>
      </c>
      <c r="CN2490" s="0" t="s">
        <v>130</v>
      </c>
      <c r="CO2490" s="0" t="s">
        <v>130</v>
      </c>
      <c r="CP2490" s="0" t="s">
        <v>130</v>
      </c>
      <c r="CQ2490" s="0" t="s">
        <v>130</v>
      </c>
      <c r="CR2490" s="0" t="s">
        <v>130</v>
      </c>
      <c r="CS2490" s="0" t="s">
        <v>130</v>
      </c>
      <c r="CT2490" s="0" t="s">
        <v>6770</v>
      </c>
    </row>
    <row r="2491">
      <c r="A2491" s="14">
        <v>115757</v>
      </c>
      <c r="B2491" s="0" t="s">
        <v>2655</v>
      </c>
      <c r="C2491" s="16">
        <f>HYPERLINK("https://eosportal.federatedhermes.com/companies/Q29tcGFueQppNTg5Mjc=", "Volkswagen AG")</f>
      </c>
      <c r="D2491" s="0" t="s">
        <v>25</v>
      </c>
      <c r="E2491" s="0" t="s">
        <v>6771</v>
      </c>
      <c r="F2491" s="16">
        <f>HYPERLINK("https://eosportal.federatedhermes.com/engagements/RW5nYWdlbWVudAppMzM5ODU=", "Deep-sea mining")</f>
      </c>
      <c r="G2491" s="14" t="s">
        <v>6772</v>
      </c>
      <c r="H2491" s="0" t="s">
        <v>141</v>
      </c>
      <c r="I2491" s="14" t="s">
        <v>1645</v>
      </c>
      <c r="J2491" s="0" t="s">
        <v>197</v>
      </c>
      <c r="K2491" s="0" t="s">
        <v>337</v>
      </c>
      <c r="L2491" s="0" t="s">
        <v>576</v>
      </c>
      <c r="M2491" s="0" t="s">
        <v>378</v>
      </c>
      <c r="N2491" s="0" t="s">
        <v>2485</v>
      </c>
      <c r="O2491" s="0" t="s">
        <v>425</v>
      </c>
      <c r="Q2491" s="0" t="s">
        <v>130</v>
      </c>
      <c r="R2491" s="0" t="s">
        <v>138</v>
      </c>
      <c r="S2491" s="14">
        <v>0</v>
      </c>
      <c r="T2491" s="0" t="s">
        <v>446</v>
      </c>
      <c r="U2491" s="0" t="s">
        <v>138</v>
      </c>
      <c r="V2491" s="14" t="s">
        <v>138</v>
      </c>
      <c r="W2491" s="0" t="s">
        <v>138</v>
      </c>
      <c r="X2491" s="14" t="s">
        <v>138</v>
      </c>
      <c r="Y2491" s="0" t="s">
        <v>138</v>
      </c>
      <c r="Z2491" s="14" t="s">
        <v>138</v>
      </c>
      <c r="AA2491" s="0" t="s">
        <v>138</v>
      </c>
      <c r="AB2491" s="14" t="s">
        <v>138</v>
      </c>
      <c r="AD2491" s="0" t="s">
        <v>138</v>
      </c>
      <c r="AF2491" s="0">
        <v>0</v>
      </c>
      <c r="AG2491" s="0">
        <v>0</v>
      </c>
      <c r="AH2491" s="0" t="s">
        <v>140</v>
      </c>
      <c r="AI2491" s="0" t="s">
        <v>138</v>
      </c>
      <c r="AL2491" s="14"/>
      <c r="AN2491" s="14"/>
      <c r="AQ2491" s="0" t="s">
        <v>130</v>
      </c>
      <c r="AR2491" s="0" t="s">
        <v>130</v>
      </c>
      <c r="AS2491" s="0" t="s">
        <v>130</v>
      </c>
      <c r="AT2491" s="0" t="s">
        <v>130</v>
      </c>
      <c r="AU2491" s="0" t="s">
        <v>130</v>
      </c>
      <c r="AV2491" s="0" t="s">
        <v>130</v>
      </c>
      <c r="AW2491" s="0" t="s">
        <v>130</v>
      </c>
      <c r="AX2491" s="0" t="s">
        <v>130</v>
      </c>
      <c r="AY2491" s="0" t="s">
        <v>130</v>
      </c>
      <c r="AZ2491" s="0" t="s">
        <v>130</v>
      </c>
      <c r="BA2491" s="0" t="s">
        <v>130</v>
      </c>
      <c r="BB2491" s="0" t="s">
        <v>141</v>
      </c>
      <c r="BC2491" s="0" t="s">
        <v>130</v>
      </c>
      <c r="BD2491" s="0" t="s">
        <v>141</v>
      </c>
      <c r="BE2491" s="0" t="s">
        <v>130</v>
      </c>
      <c r="BF2491" s="0" t="s">
        <v>130</v>
      </c>
      <c r="BG2491" s="0" t="s">
        <v>130</v>
      </c>
      <c r="BH2491" s="0" t="s">
        <v>130</v>
      </c>
      <c r="BI2491" s="0" t="s">
        <v>130</v>
      </c>
      <c r="BJ2491" s="0" t="s">
        <v>130</v>
      </c>
      <c r="BK2491" s="0" t="s">
        <v>130</v>
      </c>
      <c r="BL2491" s="0" t="s">
        <v>130</v>
      </c>
      <c r="BM2491" s="0" t="s">
        <v>141</v>
      </c>
      <c r="BN2491" s="0" t="s">
        <v>130</v>
      </c>
      <c r="BO2491" s="0" t="s">
        <v>130</v>
      </c>
      <c r="BP2491" s="0" t="s">
        <v>130</v>
      </c>
      <c r="BQ2491" s="0" t="s">
        <v>130</v>
      </c>
      <c r="BR2491" s="0" t="s">
        <v>130</v>
      </c>
      <c r="BS2491" s="0" t="s">
        <v>130</v>
      </c>
      <c r="BT2491" s="0" t="s">
        <v>130</v>
      </c>
      <c r="BU2491" s="0" t="s">
        <v>130</v>
      </c>
      <c r="BV2491" s="0" t="s">
        <v>130</v>
      </c>
      <c r="BW2491" s="0" t="s">
        <v>130</v>
      </c>
      <c r="BX2491" s="0" t="s">
        <v>130</v>
      </c>
      <c r="BY2491" s="0" t="s">
        <v>130</v>
      </c>
      <c r="BZ2491" s="0" t="s">
        <v>130</v>
      </c>
      <c r="CA2491" s="0" t="s">
        <v>130</v>
      </c>
      <c r="CB2491" s="0" t="s">
        <v>130</v>
      </c>
      <c r="CC2491" s="0" t="s">
        <v>141</v>
      </c>
      <c r="CD2491" s="0" t="s">
        <v>130</v>
      </c>
      <c r="CE2491" s="0" t="s">
        <v>141</v>
      </c>
      <c r="CF2491" s="0" t="s">
        <v>130</v>
      </c>
      <c r="CG2491" s="0" t="s">
        <v>130</v>
      </c>
      <c r="CH2491" s="0" t="s">
        <v>130</v>
      </c>
      <c r="CI2491" s="0" t="s">
        <v>130</v>
      </c>
      <c r="CJ2491" s="0" t="s">
        <v>130</v>
      </c>
      <c r="CK2491" s="0" t="s">
        <v>130</v>
      </c>
      <c r="CL2491" s="0" t="s">
        <v>130</v>
      </c>
      <c r="CM2491" s="0" t="s">
        <v>130</v>
      </c>
      <c r="CN2491" s="0" t="s">
        <v>130</v>
      </c>
      <c r="CO2491" s="0" t="s">
        <v>130</v>
      </c>
      <c r="CP2491" s="0" t="s">
        <v>130</v>
      </c>
      <c r="CQ2491" s="0" t="s">
        <v>130</v>
      </c>
      <c r="CR2491" s="0" t="s">
        <v>130</v>
      </c>
      <c r="CS2491" s="0" t="s">
        <v>130</v>
      </c>
      <c r="CT2491" s="0" t="s">
        <v>6773</v>
      </c>
    </row>
    <row r="2492">
      <c r="A2492" s="14">
        <v>115757</v>
      </c>
      <c r="B2492" s="0" t="s">
        <v>2655</v>
      </c>
      <c r="C2492" s="16">
        <f>HYPERLINK("https://eosportal.federatedhermes.com/companies/Q29tcGFueQppNTg5Mjc=", "Volkswagen AG")</f>
      </c>
      <c r="D2492" s="0" t="s">
        <v>25</v>
      </c>
      <c r="E2492" s="0" t="s">
        <v>922</v>
      </c>
      <c r="F2492" s="16">
        <f>HYPERLINK("https://eosportal.federatedhermes.com/engagements/RW5nYWdlbWVudAppMzM5ODY=", "Human rights")</f>
      </c>
      <c r="G2492" s="14" t="s">
        <v>6774</v>
      </c>
      <c r="H2492" s="0" t="s">
        <v>141</v>
      </c>
      <c r="I2492" s="14" t="s">
        <v>1645</v>
      </c>
      <c r="J2492" s="0" t="s">
        <v>153</v>
      </c>
      <c r="K2492" s="0" t="s">
        <v>243</v>
      </c>
      <c r="L2492" s="0" t="s">
        <v>571</v>
      </c>
      <c r="M2492" s="0" t="s">
        <v>378</v>
      </c>
      <c r="N2492" s="0" t="s">
        <v>2485</v>
      </c>
      <c r="O2492" s="0" t="s">
        <v>425</v>
      </c>
      <c r="Q2492" s="0" t="s">
        <v>141</v>
      </c>
      <c r="R2492" s="0" t="s">
        <v>138</v>
      </c>
      <c r="S2492" s="14">
        <v>1</v>
      </c>
      <c r="T2492" s="0" t="s">
        <v>446</v>
      </c>
      <c r="U2492" s="0" t="s">
        <v>138</v>
      </c>
      <c r="V2492" s="14" t="s">
        <v>138</v>
      </c>
      <c r="W2492" s="0" t="s">
        <v>138</v>
      </c>
      <c r="X2492" s="14" t="s">
        <v>138</v>
      </c>
      <c r="Y2492" s="0" t="s">
        <v>138</v>
      </c>
      <c r="Z2492" s="14" t="s">
        <v>138</v>
      </c>
      <c r="AA2492" s="0" t="s">
        <v>138</v>
      </c>
      <c r="AB2492" s="14" t="s">
        <v>138</v>
      </c>
      <c r="AD2492" s="0" t="s">
        <v>138</v>
      </c>
      <c r="AF2492" s="0">
        <v>0</v>
      </c>
      <c r="AG2492" s="0">
        <v>0</v>
      </c>
      <c r="AH2492" s="0" t="s">
        <v>140</v>
      </c>
      <c r="AI2492" s="0" t="s">
        <v>138</v>
      </c>
      <c r="AK2492" s="0" t="s">
        <v>413</v>
      </c>
      <c r="AL2492" s="14"/>
      <c r="AN2492" s="14"/>
      <c r="AQ2492" s="0" t="s">
        <v>130</v>
      </c>
      <c r="AR2492" s="0" t="s">
        <v>130</v>
      </c>
      <c r="AS2492" s="0" t="s">
        <v>130</v>
      </c>
      <c r="AT2492" s="0" t="s">
        <v>130</v>
      </c>
      <c r="AU2492" s="0" t="s">
        <v>130</v>
      </c>
      <c r="AV2492" s="0" t="s">
        <v>130</v>
      </c>
      <c r="AW2492" s="0" t="s">
        <v>130</v>
      </c>
      <c r="AX2492" s="0" t="s">
        <v>130</v>
      </c>
      <c r="AY2492" s="0" t="s">
        <v>130</v>
      </c>
      <c r="AZ2492" s="0" t="s">
        <v>130</v>
      </c>
      <c r="BA2492" s="0" t="s">
        <v>130</v>
      </c>
      <c r="BB2492" s="0" t="s">
        <v>130</v>
      </c>
      <c r="BC2492" s="0" t="s">
        <v>130</v>
      </c>
      <c r="BD2492" s="0" t="s">
        <v>130</v>
      </c>
      <c r="BE2492" s="0" t="s">
        <v>130</v>
      </c>
      <c r="BF2492" s="0" t="s">
        <v>141</v>
      </c>
      <c r="BG2492" s="0" t="s">
        <v>130</v>
      </c>
      <c r="BH2492" s="0" t="s">
        <v>130</v>
      </c>
      <c r="BI2492" s="0" t="s">
        <v>130</v>
      </c>
      <c r="BJ2492" s="0" t="s">
        <v>130</v>
      </c>
      <c r="BK2492" s="0" t="s">
        <v>130</v>
      </c>
      <c r="BL2492" s="0" t="s">
        <v>130</v>
      </c>
      <c r="BM2492" s="0" t="s">
        <v>130</v>
      </c>
      <c r="BN2492" s="0" t="s">
        <v>130</v>
      </c>
      <c r="BO2492" s="0" t="s">
        <v>130</v>
      </c>
      <c r="BP2492" s="0" t="s">
        <v>130</v>
      </c>
      <c r="BQ2492" s="0" t="s">
        <v>130</v>
      </c>
      <c r="BR2492" s="0" t="s">
        <v>130</v>
      </c>
      <c r="BS2492" s="0" t="s">
        <v>130</v>
      </c>
      <c r="BT2492" s="0" t="s">
        <v>130</v>
      </c>
      <c r="BU2492" s="0" t="s">
        <v>130</v>
      </c>
      <c r="BV2492" s="0" t="s">
        <v>130</v>
      </c>
      <c r="BW2492" s="0" t="s">
        <v>130</v>
      </c>
      <c r="BX2492" s="0" t="s">
        <v>130</v>
      </c>
      <c r="BY2492" s="0" t="s">
        <v>130</v>
      </c>
      <c r="BZ2492" s="0" t="s">
        <v>130</v>
      </c>
      <c r="CA2492" s="0" t="s">
        <v>130</v>
      </c>
      <c r="CB2492" s="0" t="s">
        <v>130</v>
      </c>
      <c r="CC2492" s="0" t="s">
        <v>130</v>
      </c>
      <c r="CD2492" s="0" t="s">
        <v>130</v>
      </c>
      <c r="CE2492" s="0" t="s">
        <v>130</v>
      </c>
      <c r="CF2492" s="0" t="s">
        <v>130</v>
      </c>
      <c r="CG2492" s="0" t="s">
        <v>130</v>
      </c>
      <c r="CH2492" s="0" t="s">
        <v>130</v>
      </c>
      <c r="CI2492" s="0" t="s">
        <v>130</v>
      </c>
      <c r="CJ2492" s="0" t="s">
        <v>130</v>
      </c>
      <c r="CK2492" s="0" t="s">
        <v>130</v>
      </c>
      <c r="CL2492" s="0" t="s">
        <v>130</v>
      </c>
      <c r="CM2492" s="0" t="s">
        <v>130</v>
      </c>
      <c r="CN2492" s="0" t="s">
        <v>130</v>
      </c>
      <c r="CO2492" s="0" t="s">
        <v>130</v>
      </c>
      <c r="CP2492" s="0" t="s">
        <v>130</v>
      </c>
      <c r="CQ2492" s="0" t="s">
        <v>130</v>
      </c>
      <c r="CR2492" s="0" t="s">
        <v>130</v>
      </c>
      <c r="CS2492" s="0" t="s">
        <v>130</v>
      </c>
      <c r="CT2492" s="0" t="s">
        <v>6775</v>
      </c>
    </row>
    <row r="2493">
      <c r="A2493" s="14">
        <v>68938862</v>
      </c>
      <c r="B2493" s="0" t="s">
        <v>4962</v>
      </c>
      <c r="C2493" s="16">
        <f>HYPERLINK("https://eosportal.federatedhermes.com/companies/Q29tcGFueQppNTcwNzE=", "Siemens Energy AG")</f>
      </c>
      <c r="D2493" s="0" t="s">
        <v>25</v>
      </c>
      <c r="E2493" s="0" t="s">
        <v>6776</v>
      </c>
      <c r="F2493" s="16">
        <f>HYPERLINK("https://eosportal.federatedhermes.com/engagements/RW5nYWdlbWVudAppMzQwMDE=", "Activity in Occupied Territories")</f>
      </c>
      <c r="G2493" s="14" t="s">
        <v>6777</v>
      </c>
      <c r="H2493" s="0" t="s">
        <v>141</v>
      </c>
      <c r="I2493" s="14" t="s">
        <v>191</v>
      </c>
      <c r="J2493" s="0" t="s">
        <v>153</v>
      </c>
      <c r="K2493" s="0" t="s">
        <v>243</v>
      </c>
      <c r="L2493" s="0" t="s">
        <v>456</v>
      </c>
      <c r="M2493" s="0" t="s">
        <v>378</v>
      </c>
      <c r="N2493" s="0" t="s">
        <v>2485</v>
      </c>
      <c r="O2493" s="0" t="s">
        <v>176</v>
      </c>
      <c r="Q2493" s="0" t="s">
        <v>130</v>
      </c>
      <c r="R2493" s="0" t="s">
        <v>138</v>
      </c>
      <c r="S2493" s="14">
        <v>0</v>
      </c>
      <c r="T2493" s="0" t="s">
        <v>446</v>
      </c>
      <c r="U2493" s="0" t="s">
        <v>138</v>
      </c>
      <c r="V2493" s="14" t="s">
        <v>138</v>
      </c>
      <c r="W2493" s="0" t="s">
        <v>138</v>
      </c>
      <c r="X2493" s="14" t="s">
        <v>138</v>
      </c>
      <c r="Y2493" s="0" t="s">
        <v>138</v>
      </c>
      <c r="Z2493" s="14" t="s">
        <v>138</v>
      </c>
      <c r="AA2493" s="0" t="s">
        <v>138</v>
      </c>
      <c r="AB2493" s="14" t="s">
        <v>138</v>
      </c>
      <c r="AD2493" s="0" t="s">
        <v>138</v>
      </c>
      <c r="AF2493" s="0">
        <v>0</v>
      </c>
      <c r="AG2493" s="0">
        <v>0</v>
      </c>
      <c r="AH2493" s="0" t="s">
        <v>140</v>
      </c>
      <c r="AI2493" s="0" t="s">
        <v>138</v>
      </c>
      <c r="AL2493" s="14"/>
      <c r="AN2493" s="14"/>
      <c r="AQ2493" s="0" t="s">
        <v>130</v>
      </c>
      <c r="AR2493" s="0" t="s">
        <v>130</v>
      </c>
      <c r="AS2493" s="0" t="s">
        <v>130</v>
      </c>
      <c r="AT2493" s="0" t="s">
        <v>130</v>
      </c>
      <c r="AU2493" s="0" t="s">
        <v>130</v>
      </c>
      <c r="AV2493" s="0" t="s">
        <v>130</v>
      </c>
      <c r="AW2493" s="0" t="s">
        <v>130</v>
      </c>
      <c r="AX2493" s="0" t="s">
        <v>141</v>
      </c>
      <c r="AY2493" s="0" t="s">
        <v>130</v>
      </c>
      <c r="AZ2493" s="0" t="s">
        <v>130</v>
      </c>
      <c r="BA2493" s="0" t="s">
        <v>130</v>
      </c>
      <c r="BB2493" s="0" t="s">
        <v>130</v>
      </c>
      <c r="BC2493" s="0" t="s">
        <v>130</v>
      </c>
      <c r="BD2493" s="0" t="s">
        <v>130</v>
      </c>
      <c r="BE2493" s="0" t="s">
        <v>130</v>
      </c>
      <c r="BF2493" s="0" t="s">
        <v>141</v>
      </c>
      <c r="BG2493" s="0" t="s">
        <v>130</v>
      </c>
      <c r="BH2493" s="0" t="s">
        <v>130</v>
      </c>
      <c r="BI2493" s="0" t="s">
        <v>130</v>
      </c>
      <c r="BJ2493" s="0" t="s">
        <v>130</v>
      </c>
      <c r="BK2493" s="0" t="s">
        <v>130</v>
      </c>
      <c r="BL2493" s="0" t="s">
        <v>130</v>
      </c>
      <c r="BM2493" s="0" t="s">
        <v>130</v>
      </c>
      <c r="BN2493" s="0" t="s">
        <v>130</v>
      </c>
      <c r="BO2493" s="0" t="s">
        <v>130</v>
      </c>
      <c r="BP2493" s="0" t="s">
        <v>130</v>
      </c>
      <c r="BQ2493" s="0" t="s">
        <v>130</v>
      </c>
      <c r="BR2493" s="0" t="s">
        <v>130</v>
      </c>
      <c r="BS2493" s="0" t="s">
        <v>130</v>
      </c>
      <c r="BT2493" s="0" t="s">
        <v>130</v>
      </c>
      <c r="BU2493" s="0" t="s">
        <v>130</v>
      </c>
      <c r="BV2493" s="0" t="s">
        <v>130</v>
      </c>
      <c r="BW2493" s="0" t="s">
        <v>130</v>
      </c>
      <c r="BX2493" s="0" t="s">
        <v>130</v>
      </c>
      <c r="BY2493" s="0" t="s">
        <v>130</v>
      </c>
      <c r="BZ2493" s="0" t="s">
        <v>130</v>
      </c>
      <c r="CA2493" s="0" t="s">
        <v>130</v>
      </c>
      <c r="CB2493" s="0" t="s">
        <v>130</v>
      </c>
      <c r="CC2493" s="0" t="s">
        <v>130</v>
      </c>
      <c r="CD2493" s="0" t="s">
        <v>130</v>
      </c>
      <c r="CE2493" s="0" t="s">
        <v>130</v>
      </c>
      <c r="CF2493" s="0" t="s">
        <v>130</v>
      </c>
      <c r="CG2493" s="0" t="s">
        <v>130</v>
      </c>
      <c r="CH2493" s="0" t="s">
        <v>130</v>
      </c>
      <c r="CI2493" s="0" t="s">
        <v>130</v>
      </c>
      <c r="CJ2493" s="0" t="s">
        <v>130</v>
      </c>
      <c r="CK2493" s="0" t="s">
        <v>130</v>
      </c>
      <c r="CL2493" s="0" t="s">
        <v>130</v>
      </c>
      <c r="CM2493" s="0" t="s">
        <v>130</v>
      </c>
      <c r="CN2493" s="0" t="s">
        <v>141</v>
      </c>
      <c r="CO2493" s="0" t="s">
        <v>130</v>
      </c>
      <c r="CP2493" s="0" t="s">
        <v>130</v>
      </c>
      <c r="CQ2493" s="0" t="s">
        <v>130</v>
      </c>
      <c r="CR2493" s="0" t="s">
        <v>130</v>
      </c>
      <c r="CS2493" s="0" t="s">
        <v>130</v>
      </c>
      <c r="CT2493" s="0" t="s">
        <v>6778</v>
      </c>
    </row>
    <row r="2494">
      <c r="A2494" s="14">
        <v>41234897</v>
      </c>
      <c r="B2494" s="0" t="s">
        <v>4547</v>
      </c>
      <c r="C2494" s="16">
        <f>HYPERLINK("https://eosportal.federatedhermes.com/companies/Q29tcGFueQppNzkwOTY=", "UBS Group AG")</f>
      </c>
      <c r="D2494" s="0" t="s">
        <v>23</v>
      </c>
      <c r="E2494" s="0" t="s">
        <v>1266</v>
      </c>
      <c r="F2494" s="16">
        <f>HYPERLINK("https://eosportal.federatedhermes.com/engagements/RW5nYWdlbWVudAppMzQwMDY=", "Climate resilient asset plan")</f>
      </c>
      <c r="G2494" s="14" t="s">
        <v>6779</v>
      </c>
      <c r="H2494" s="0" t="s">
        <v>141</v>
      </c>
      <c r="I2494" s="14" t="s">
        <v>131</v>
      </c>
      <c r="J2494" s="0" t="s">
        <v>197</v>
      </c>
      <c r="K2494" s="0" t="s">
        <v>198</v>
      </c>
      <c r="L2494" s="0" t="s">
        <v>220</v>
      </c>
      <c r="M2494" s="0" t="s">
        <v>378</v>
      </c>
      <c r="N2494" s="0" t="s">
        <v>1059</v>
      </c>
      <c r="O2494" s="0" t="s">
        <v>238</v>
      </c>
      <c r="Q2494" s="0" t="s">
        <v>141</v>
      </c>
      <c r="R2494" s="0" t="s">
        <v>130</v>
      </c>
      <c r="S2494" s="14">
        <v>1</v>
      </c>
      <c r="T2494" s="0" t="s">
        <v>446</v>
      </c>
      <c r="U2494" s="0" t="s">
        <v>221</v>
      </c>
      <c r="V2494" s="14" t="s">
        <v>446</v>
      </c>
      <c r="W2494" s="0" t="s">
        <v>221</v>
      </c>
      <c r="X2494" s="14" t="s">
        <v>446</v>
      </c>
      <c r="Y2494" s="0" t="s">
        <v>223</v>
      </c>
      <c r="Z2494" s="14" t="s">
        <v>138</v>
      </c>
      <c r="AA2494" s="0" t="s">
        <v>224</v>
      </c>
      <c r="AB2494" s="14" t="s">
        <v>138</v>
      </c>
      <c r="AD2494" s="0" t="s">
        <v>17</v>
      </c>
      <c r="AF2494" s="0">
        <v>0</v>
      </c>
      <c r="AG2494" s="0">
        <v>0</v>
      </c>
      <c r="AH2494" s="0" t="s">
        <v>140</v>
      </c>
      <c r="AI2494" s="0" t="s">
        <v>598</v>
      </c>
      <c r="AK2494" s="0" t="s">
        <v>1834</v>
      </c>
      <c r="AL2494" s="14"/>
      <c r="AN2494" s="14"/>
      <c r="AQ2494" s="0" t="s">
        <v>130</v>
      </c>
      <c r="AR2494" s="0" t="s">
        <v>130</v>
      </c>
      <c r="AS2494" s="0" t="s">
        <v>130</v>
      </c>
      <c r="AT2494" s="0" t="s">
        <v>130</v>
      </c>
      <c r="AU2494" s="0" t="s">
        <v>130</v>
      </c>
      <c r="AV2494" s="0" t="s">
        <v>130</v>
      </c>
      <c r="AW2494" s="0" t="s">
        <v>141</v>
      </c>
      <c r="AX2494" s="0" t="s">
        <v>130</v>
      </c>
      <c r="AY2494" s="0" t="s">
        <v>141</v>
      </c>
      <c r="AZ2494" s="0" t="s">
        <v>130</v>
      </c>
      <c r="BA2494" s="0" t="s">
        <v>130</v>
      </c>
      <c r="BB2494" s="0" t="s">
        <v>130</v>
      </c>
      <c r="BC2494" s="0" t="s">
        <v>141</v>
      </c>
      <c r="BD2494" s="0" t="s">
        <v>130</v>
      </c>
      <c r="BE2494" s="0" t="s">
        <v>130</v>
      </c>
      <c r="BF2494" s="0" t="s">
        <v>130</v>
      </c>
      <c r="BG2494" s="0" t="s">
        <v>130</v>
      </c>
      <c r="BH2494" s="0" t="s">
        <v>130</v>
      </c>
      <c r="BI2494" s="0" t="s">
        <v>130</v>
      </c>
      <c r="BJ2494" s="0" t="s">
        <v>130</v>
      </c>
      <c r="BK2494" s="0" t="s">
        <v>141</v>
      </c>
      <c r="BL2494" s="0" t="s">
        <v>130</v>
      </c>
      <c r="BM2494" s="0" t="s">
        <v>130</v>
      </c>
      <c r="BN2494" s="0" t="s">
        <v>130</v>
      </c>
      <c r="BO2494" s="0" t="s">
        <v>130</v>
      </c>
      <c r="BP2494" s="0" t="s">
        <v>130</v>
      </c>
      <c r="BQ2494" s="0" t="s">
        <v>130</v>
      </c>
      <c r="BR2494" s="0" t="s">
        <v>130</v>
      </c>
      <c r="BS2494" s="0" t="s">
        <v>130</v>
      </c>
      <c r="BT2494" s="0" t="s">
        <v>130</v>
      </c>
      <c r="BU2494" s="0" t="s">
        <v>130</v>
      </c>
      <c r="BV2494" s="0" t="s">
        <v>130</v>
      </c>
      <c r="BW2494" s="0" t="s">
        <v>130</v>
      </c>
      <c r="BX2494" s="0" t="s">
        <v>130</v>
      </c>
      <c r="BY2494" s="0" t="s">
        <v>130</v>
      </c>
      <c r="BZ2494" s="0" t="s">
        <v>130</v>
      </c>
      <c r="CA2494" s="0" t="s">
        <v>130</v>
      </c>
      <c r="CB2494" s="0" t="s">
        <v>130</v>
      </c>
      <c r="CC2494" s="0" t="s">
        <v>130</v>
      </c>
      <c r="CD2494" s="0" t="s">
        <v>130</v>
      </c>
      <c r="CE2494" s="0" t="s">
        <v>130</v>
      </c>
      <c r="CF2494" s="0" t="s">
        <v>130</v>
      </c>
      <c r="CG2494" s="0" t="s">
        <v>130</v>
      </c>
      <c r="CH2494" s="0" t="s">
        <v>130</v>
      </c>
      <c r="CI2494" s="0" t="s">
        <v>130</v>
      </c>
      <c r="CJ2494" s="0" t="s">
        <v>130</v>
      </c>
      <c r="CK2494" s="0" t="s">
        <v>130</v>
      </c>
      <c r="CL2494" s="0" t="s">
        <v>130</v>
      </c>
      <c r="CM2494" s="0" t="s">
        <v>130</v>
      </c>
      <c r="CN2494" s="0" t="s">
        <v>130</v>
      </c>
      <c r="CO2494" s="0" t="s">
        <v>130</v>
      </c>
      <c r="CP2494" s="0" t="s">
        <v>130</v>
      </c>
      <c r="CQ2494" s="0" t="s">
        <v>130</v>
      </c>
      <c r="CR2494" s="0" t="s">
        <v>130</v>
      </c>
      <c r="CS2494" s="0" t="s">
        <v>130</v>
      </c>
      <c r="CT2494" s="0" t="s">
        <v>6780</v>
      </c>
    </row>
    <row r="2495">
      <c r="A2495" s="14">
        <v>918049</v>
      </c>
      <c r="B2495" s="0" t="s">
        <v>3423</v>
      </c>
      <c r="C2495" s="16">
        <f>HYPERLINK("https://eosportal.federatedhermes.com/companies/Q29tcGFueQppNjQzOTQ=", "Enel SpA")</f>
      </c>
      <c r="D2495" s="0" t="s">
        <v>25</v>
      </c>
      <c r="E2495" s="0" t="s">
        <v>6781</v>
      </c>
      <c r="F2495" s="16">
        <f>HYPERLINK("https://eosportal.federatedhermes.com/engagements/RW5nYWdlbWVudAppMzQwMTA=", "Bergi Plant")</f>
      </c>
      <c r="G2495" s="14" t="s">
        <v>6782</v>
      </c>
      <c r="H2495" s="0" t="s">
        <v>141</v>
      </c>
      <c r="I2495" s="14" t="s">
        <v>636</v>
      </c>
      <c r="J2495" s="0" t="s">
        <v>132</v>
      </c>
      <c r="K2495" s="0" t="s">
        <v>260</v>
      </c>
      <c r="L2495" s="0" t="s">
        <v>261</v>
      </c>
      <c r="M2495" s="0" t="s">
        <v>378</v>
      </c>
      <c r="N2495" s="0" t="s">
        <v>2898</v>
      </c>
      <c r="O2495" s="0" t="s">
        <v>192</v>
      </c>
      <c r="Q2495" s="0" t="s">
        <v>130</v>
      </c>
      <c r="R2495" s="0" t="s">
        <v>138</v>
      </c>
      <c r="S2495" s="14">
        <v>0</v>
      </c>
      <c r="T2495" s="0" t="s">
        <v>446</v>
      </c>
      <c r="U2495" s="0" t="s">
        <v>138</v>
      </c>
      <c r="V2495" s="14" t="s">
        <v>138</v>
      </c>
      <c r="W2495" s="0" t="s">
        <v>138</v>
      </c>
      <c r="X2495" s="14" t="s">
        <v>138</v>
      </c>
      <c r="Y2495" s="0" t="s">
        <v>138</v>
      </c>
      <c r="Z2495" s="14" t="s">
        <v>138</v>
      </c>
      <c r="AA2495" s="0" t="s">
        <v>138</v>
      </c>
      <c r="AB2495" s="14" t="s">
        <v>138</v>
      </c>
      <c r="AD2495" s="0" t="s">
        <v>138</v>
      </c>
      <c r="AF2495" s="0">
        <v>0</v>
      </c>
      <c r="AG2495" s="0">
        <v>0</v>
      </c>
      <c r="AH2495" s="0" t="s">
        <v>140</v>
      </c>
      <c r="AI2495" s="0" t="s">
        <v>138</v>
      </c>
      <c r="AL2495" s="14"/>
      <c r="AN2495" s="14"/>
      <c r="AQ2495" s="0" t="s">
        <v>130</v>
      </c>
      <c r="AR2495" s="0" t="s">
        <v>130</v>
      </c>
      <c r="AS2495" s="0" t="s">
        <v>130</v>
      </c>
      <c r="AT2495" s="0" t="s">
        <v>130</v>
      </c>
      <c r="AU2495" s="0" t="s">
        <v>130</v>
      </c>
      <c r="AV2495" s="0" t="s">
        <v>130</v>
      </c>
      <c r="AW2495" s="0" t="s">
        <v>130</v>
      </c>
      <c r="AX2495" s="0" t="s">
        <v>130</v>
      </c>
      <c r="AY2495" s="0" t="s">
        <v>130</v>
      </c>
      <c r="AZ2495" s="0" t="s">
        <v>130</v>
      </c>
      <c r="BA2495" s="0" t="s">
        <v>130</v>
      </c>
      <c r="BB2495" s="0" t="s">
        <v>130</v>
      </c>
      <c r="BC2495" s="0" t="s">
        <v>130</v>
      </c>
      <c r="BD2495" s="0" t="s">
        <v>130</v>
      </c>
      <c r="BE2495" s="0" t="s">
        <v>130</v>
      </c>
      <c r="BF2495" s="0" t="s">
        <v>130</v>
      </c>
      <c r="BG2495" s="0" t="s">
        <v>130</v>
      </c>
      <c r="BH2495" s="0" t="s">
        <v>130</v>
      </c>
      <c r="BI2495" s="0" t="s">
        <v>130</v>
      </c>
      <c r="BJ2495" s="0" t="s">
        <v>130</v>
      </c>
      <c r="BK2495" s="0" t="s">
        <v>130</v>
      </c>
      <c r="BL2495" s="0" t="s">
        <v>130</v>
      </c>
      <c r="BM2495" s="0" t="s">
        <v>130</v>
      </c>
      <c r="BN2495" s="0" t="s">
        <v>130</v>
      </c>
      <c r="BO2495" s="0" t="s">
        <v>130</v>
      </c>
      <c r="BP2495" s="0" t="s">
        <v>130</v>
      </c>
      <c r="BQ2495" s="0" t="s">
        <v>130</v>
      </c>
      <c r="BR2495" s="0" t="s">
        <v>130</v>
      </c>
      <c r="BS2495" s="0" t="s">
        <v>130</v>
      </c>
      <c r="BT2495" s="0" t="s">
        <v>130</v>
      </c>
      <c r="BU2495" s="0" t="s">
        <v>130</v>
      </c>
      <c r="BV2495" s="0" t="s">
        <v>130</v>
      </c>
      <c r="BW2495" s="0" t="s">
        <v>130</v>
      </c>
      <c r="BX2495" s="0" t="s">
        <v>130</v>
      </c>
      <c r="BY2495" s="0" t="s">
        <v>130</v>
      </c>
      <c r="BZ2495" s="0" t="s">
        <v>130</v>
      </c>
      <c r="CA2495" s="0" t="s">
        <v>130</v>
      </c>
      <c r="CB2495" s="0" t="s">
        <v>130</v>
      </c>
      <c r="CC2495" s="0" t="s">
        <v>130</v>
      </c>
      <c r="CD2495" s="0" t="s">
        <v>130</v>
      </c>
      <c r="CE2495" s="0" t="s">
        <v>130</v>
      </c>
      <c r="CF2495" s="0" t="s">
        <v>130</v>
      </c>
      <c r="CG2495" s="0" t="s">
        <v>130</v>
      </c>
      <c r="CH2495" s="0" t="s">
        <v>130</v>
      </c>
      <c r="CI2495" s="0" t="s">
        <v>130</v>
      </c>
      <c r="CJ2495" s="0" t="s">
        <v>130</v>
      </c>
      <c r="CK2495" s="0" t="s">
        <v>130</v>
      </c>
      <c r="CL2495" s="0" t="s">
        <v>130</v>
      </c>
      <c r="CM2495" s="0" t="s">
        <v>130</v>
      </c>
      <c r="CN2495" s="0" t="s">
        <v>130</v>
      </c>
      <c r="CO2495" s="0" t="s">
        <v>130</v>
      </c>
      <c r="CP2495" s="0" t="s">
        <v>130</v>
      </c>
      <c r="CQ2495" s="0" t="s">
        <v>130</v>
      </c>
      <c r="CR2495" s="0" t="s">
        <v>130</v>
      </c>
      <c r="CS2495" s="0" t="s">
        <v>130</v>
      </c>
      <c r="CT2495" s="0" t="s">
        <v>6783</v>
      </c>
    </row>
    <row r="2496">
      <c r="A2496" s="14">
        <v>23743170</v>
      </c>
      <c r="B2496" s="0" t="s">
        <v>4183</v>
      </c>
      <c r="C2496" s="16">
        <f>HYPERLINK("https://eosportal.federatedhermes.com/companies/Q29tcGFueQppNjY5NjY=", "Xylem Inc/NY")</f>
      </c>
      <c r="D2496" s="0" t="s">
        <v>25</v>
      </c>
      <c r="E2496" s="0" t="s">
        <v>6663</v>
      </c>
      <c r="F2496" s="16">
        <f>HYPERLINK("https://eosportal.federatedhermes.com/engagements/RW5nYWdlbWVudAppMzQwMjE=", "Mental health support")</f>
      </c>
      <c r="G2496" s="14" t="s">
        <v>6784</v>
      </c>
      <c r="H2496" s="0" t="s">
        <v>130</v>
      </c>
      <c r="I2496" s="14" t="s">
        <v>319</v>
      </c>
      <c r="J2496" s="0" t="s">
        <v>153</v>
      </c>
      <c r="K2496" s="0" t="s">
        <v>154</v>
      </c>
      <c r="L2496" s="0" t="s">
        <v>155</v>
      </c>
      <c r="M2496" s="0" t="s">
        <v>135</v>
      </c>
      <c r="N2496" s="0" t="s">
        <v>136</v>
      </c>
      <c r="O2496" s="0" t="s">
        <v>176</v>
      </c>
      <c r="Q2496" s="0" t="s">
        <v>130</v>
      </c>
      <c r="R2496" s="0" t="s">
        <v>138</v>
      </c>
      <c r="S2496" s="14">
        <v>0</v>
      </c>
      <c r="T2496" s="0" t="s">
        <v>3562</v>
      </c>
      <c r="U2496" s="0" t="s">
        <v>138</v>
      </c>
      <c r="V2496" s="14" t="s">
        <v>138</v>
      </c>
      <c r="W2496" s="0" t="s">
        <v>138</v>
      </c>
      <c r="X2496" s="14" t="s">
        <v>138</v>
      </c>
      <c r="Y2496" s="0" t="s">
        <v>138</v>
      </c>
      <c r="Z2496" s="14" t="s">
        <v>138</v>
      </c>
      <c r="AA2496" s="0" t="s">
        <v>138</v>
      </c>
      <c r="AB2496" s="14" t="s">
        <v>138</v>
      </c>
      <c r="AD2496" s="0" t="s">
        <v>138</v>
      </c>
      <c r="AF2496" s="0">
        <v>0</v>
      </c>
      <c r="AG2496" s="0">
        <v>0</v>
      </c>
      <c r="AH2496" s="0" t="s">
        <v>140</v>
      </c>
      <c r="AI2496" s="0" t="s">
        <v>138</v>
      </c>
      <c r="AL2496" s="14"/>
      <c r="AN2496" s="14"/>
      <c r="AQ2496" s="0" t="s">
        <v>130</v>
      </c>
      <c r="AR2496" s="0" t="s">
        <v>130</v>
      </c>
      <c r="AS2496" s="0" t="s">
        <v>141</v>
      </c>
      <c r="AT2496" s="0" t="s">
        <v>130</v>
      </c>
      <c r="AU2496" s="0" t="s">
        <v>130</v>
      </c>
      <c r="AV2496" s="0" t="s">
        <v>130</v>
      </c>
      <c r="AW2496" s="0" t="s">
        <v>130</v>
      </c>
      <c r="AX2496" s="0" t="s">
        <v>141</v>
      </c>
      <c r="AY2496" s="0" t="s">
        <v>130</v>
      </c>
      <c r="AZ2496" s="0" t="s">
        <v>130</v>
      </c>
      <c r="BA2496" s="0" t="s">
        <v>130</v>
      </c>
      <c r="BB2496" s="0" t="s">
        <v>130</v>
      </c>
      <c r="BC2496" s="0" t="s">
        <v>130</v>
      </c>
      <c r="BD2496" s="0" t="s">
        <v>130</v>
      </c>
      <c r="BE2496" s="0" t="s">
        <v>130</v>
      </c>
      <c r="BF2496" s="0" t="s">
        <v>130</v>
      </c>
      <c r="BG2496" s="0" t="s">
        <v>130</v>
      </c>
      <c r="BH2496" s="0" t="s">
        <v>130</v>
      </c>
      <c r="BI2496" s="0" t="s">
        <v>130</v>
      </c>
      <c r="BJ2496" s="0" t="s">
        <v>130</v>
      </c>
      <c r="BK2496" s="0" t="s">
        <v>130</v>
      </c>
      <c r="BL2496" s="0" t="s">
        <v>130</v>
      </c>
      <c r="BM2496" s="0" t="s">
        <v>130</v>
      </c>
      <c r="BN2496" s="0" t="s">
        <v>130</v>
      </c>
      <c r="BO2496" s="0" t="s">
        <v>130</v>
      </c>
      <c r="BP2496" s="0" t="s">
        <v>130</v>
      </c>
      <c r="BQ2496" s="0" t="s">
        <v>130</v>
      </c>
      <c r="BR2496" s="0" t="s">
        <v>130</v>
      </c>
      <c r="BS2496" s="0" t="s">
        <v>130</v>
      </c>
      <c r="BT2496" s="0" t="s">
        <v>130</v>
      </c>
      <c r="BU2496" s="0" t="s">
        <v>130</v>
      </c>
      <c r="BV2496" s="0" t="s">
        <v>130</v>
      </c>
      <c r="BW2496" s="0" t="s">
        <v>130</v>
      </c>
      <c r="BX2496" s="0" t="s">
        <v>130</v>
      </c>
      <c r="BY2496" s="0" t="s">
        <v>130</v>
      </c>
      <c r="BZ2496" s="0" t="s">
        <v>130</v>
      </c>
      <c r="CA2496" s="0" t="s">
        <v>130</v>
      </c>
      <c r="CB2496" s="0" t="s">
        <v>130</v>
      </c>
      <c r="CC2496" s="0" t="s">
        <v>130</v>
      </c>
      <c r="CD2496" s="0" t="s">
        <v>130</v>
      </c>
      <c r="CE2496" s="0" t="s">
        <v>130</v>
      </c>
      <c r="CF2496" s="0" t="s">
        <v>130</v>
      </c>
      <c r="CG2496" s="0" t="s">
        <v>130</v>
      </c>
      <c r="CH2496" s="0" t="s">
        <v>130</v>
      </c>
      <c r="CI2496" s="0" t="s">
        <v>141</v>
      </c>
      <c r="CJ2496" s="0" t="s">
        <v>130</v>
      </c>
      <c r="CK2496" s="0" t="s">
        <v>130</v>
      </c>
      <c r="CL2496" s="0" t="s">
        <v>130</v>
      </c>
      <c r="CM2496" s="0" t="s">
        <v>130</v>
      </c>
      <c r="CN2496" s="0" t="s">
        <v>130</v>
      </c>
      <c r="CO2496" s="0" t="s">
        <v>130</v>
      </c>
      <c r="CP2496" s="0" t="s">
        <v>130</v>
      </c>
      <c r="CQ2496" s="0" t="s">
        <v>130</v>
      </c>
      <c r="CR2496" s="0" t="s">
        <v>130</v>
      </c>
      <c r="CS2496" s="0" t="s">
        <v>130</v>
      </c>
      <c r="CT2496" s="0" t="s">
        <v>6785</v>
      </c>
    </row>
    <row r="2497">
      <c r="A2497" s="14">
        <v>305366</v>
      </c>
      <c r="B2497" s="0" t="s">
        <v>3558</v>
      </c>
      <c r="C2497" s="16">
        <f>HYPERLINK("https://eosportal.federatedhermes.com/companies/Q29tcGFueQppODQ0MTc=", "Quanta Services Inc")</f>
      </c>
      <c r="D2497" s="0" t="s">
        <v>25</v>
      </c>
      <c r="E2497" s="0" t="s">
        <v>154</v>
      </c>
      <c r="F2497" s="16">
        <f>HYPERLINK("https://eosportal.federatedhermes.com/engagements/RW5nYWdlbWVudAppMzQwMjI=", "Human Capital")</f>
      </c>
      <c r="G2497" s="14" t="s">
        <v>6786</v>
      </c>
      <c r="H2497" s="0" t="s">
        <v>130</v>
      </c>
      <c r="I2497" s="14" t="s">
        <v>131</v>
      </c>
      <c r="J2497" s="0" t="s">
        <v>153</v>
      </c>
      <c r="K2497" s="0" t="s">
        <v>154</v>
      </c>
      <c r="L2497" s="0" t="s">
        <v>306</v>
      </c>
      <c r="M2497" s="0" t="s">
        <v>135</v>
      </c>
      <c r="N2497" s="0" t="s">
        <v>136</v>
      </c>
      <c r="O2497" s="0" t="s">
        <v>176</v>
      </c>
      <c r="Q2497" s="0" t="s">
        <v>130</v>
      </c>
      <c r="R2497" s="0" t="s">
        <v>138</v>
      </c>
      <c r="S2497" s="14">
        <v>0</v>
      </c>
      <c r="T2497" s="0" t="s">
        <v>446</v>
      </c>
      <c r="U2497" s="0" t="s">
        <v>138</v>
      </c>
      <c r="V2497" s="14" t="s">
        <v>138</v>
      </c>
      <c r="W2497" s="0" t="s">
        <v>138</v>
      </c>
      <c r="X2497" s="14" t="s">
        <v>138</v>
      </c>
      <c r="Y2497" s="0" t="s">
        <v>138</v>
      </c>
      <c r="Z2497" s="14" t="s">
        <v>138</v>
      </c>
      <c r="AA2497" s="0" t="s">
        <v>138</v>
      </c>
      <c r="AB2497" s="14" t="s">
        <v>138</v>
      </c>
      <c r="AD2497" s="0" t="s">
        <v>138</v>
      </c>
      <c r="AF2497" s="0">
        <v>0</v>
      </c>
      <c r="AG2497" s="0">
        <v>0</v>
      </c>
      <c r="AH2497" s="0" t="s">
        <v>140</v>
      </c>
      <c r="AI2497" s="0" t="s">
        <v>138</v>
      </c>
      <c r="AL2497" s="14"/>
      <c r="AN2497" s="14"/>
      <c r="AQ2497" s="0" t="s">
        <v>130</v>
      </c>
      <c r="AR2497" s="0" t="s">
        <v>130</v>
      </c>
      <c r="AS2497" s="0" t="s">
        <v>130</v>
      </c>
      <c r="AT2497" s="0" t="s">
        <v>130</v>
      </c>
      <c r="AU2497" s="0" t="s">
        <v>130</v>
      </c>
      <c r="AV2497" s="0" t="s">
        <v>130</v>
      </c>
      <c r="AW2497" s="0" t="s">
        <v>130</v>
      </c>
      <c r="AX2497" s="0" t="s">
        <v>141</v>
      </c>
      <c r="AY2497" s="0" t="s">
        <v>130</v>
      </c>
      <c r="AZ2497" s="0" t="s">
        <v>141</v>
      </c>
      <c r="BA2497" s="0" t="s">
        <v>130</v>
      </c>
      <c r="BB2497" s="0" t="s">
        <v>130</v>
      </c>
      <c r="BC2497" s="0" t="s">
        <v>130</v>
      </c>
      <c r="BD2497" s="0" t="s">
        <v>130</v>
      </c>
      <c r="BE2497" s="0" t="s">
        <v>130</v>
      </c>
      <c r="BF2497" s="0" t="s">
        <v>130</v>
      </c>
      <c r="BG2497" s="0" t="s">
        <v>130</v>
      </c>
      <c r="BH2497" s="0" t="s">
        <v>130</v>
      </c>
      <c r="BI2497" s="0" t="s">
        <v>130</v>
      </c>
      <c r="BJ2497" s="0" t="s">
        <v>130</v>
      </c>
      <c r="BK2497" s="0" t="s">
        <v>130</v>
      </c>
      <c r="BL2497" s="0" t="s">
        <v>130</v>
      </c>
      <c r="BM2497" s="0" t="s">
        <v>130</v>
      </c>
      <c r="BN2497" s="0" t="s">
        <v>130</v>
      </c>
      <c r="BO2497" s="0" t="s">
        <v>130</v>
      </c>
      <c r="BP2497" s="0" t="s">
        <v>130</v>
      </c>
      <c r="BQ2497" s="0" t="s">
        <v>130</v>
      </c>
      <c r="BR2497" s="0" t="s">
        <v>130</v>
      </c>
      <c r="BS2497" s="0" t="s">
        <v>130</v>
      </c>
      <c r="BT2497" s="0" t="s">
        <v>130</v>
      </c>
      <c r="BU2497" s="0" t="s">
        <v>130</v>
      </c>
      <c r="BV2497" s="0" t="s">
        <v>130</v>
      </c>
      <c r="BW2497" s="0" t="s">
        <v>130</v>
      </c>
      <c r="BX2497" s="0" t="s">
        <v>130</v>
      </c>
      <c r="BY2497" s="0" t="s">
        <v>130</v>
      </c>
      <c r="BZ2497" s="0" t="s">
        <v>130</v>
      </c>
      <c r="CA2497" s="0" t="s">
        <v>130</v>
      </c>
      <c r="CB2497" s="0" t="s">
        <v>130</v>
      </c>
      <c r="CC2497" s="0" t="s">
        <v>130</v>
      </c>
      <c r="CD2497" s="0" t="s">
        <v>130</v>
      </c>
      <c r="CE2497" s="0" t="s">
        <v>130</v>
      </c>
      <c r="CF2497" s="0" t="s">
        <v>130</v>
      </c>
      <c r="CG2497" s="0" t="s">
        <v>130</v>
      </c>
      <c r="CH2497" s="0" t="s">
        <v>130</v>
      </c>
      <c r="CI2497" s="0" t="s">
        <v>130</v>
      </c>
      <c r="CJ2497" s="0" t="s">
        <v>130</v>
      </c>
      <c r="CK2497" s="0" t="s">
        <v>130</v>
      </c>
      <c r="CL2497" s="0" t="s">
        <v>130</v>
      </c>
      <c r="CM2497" s="0" t="s">
        <v>130</v>
      </c>
      <c r="CN2497" s="0" t="s">
        <v>130</v>
      </c>
      <c r="CO2497" s="0" t="s">
        <v>130</v>
      </c>
      <c r="CP2497" s="0" t="s">
        <v>130</v>
      </c>
      <c r="CQ2497" s="0" t="s">
        <v>130</v>
      </c>
      <c r="CR2497" s="0" t="s">
        <v>130</v>
      </c>
      <c r="CS2497" s="0" t="s">
        <v>130</v>
      </c>
      <c r="CT2497" s="0" t="s">
        <v>6787</v>
      </c>
    </row>
    <row r="2498">
      <c r="A2498" s="14">
        <v>71820725</v>
      </c>
      <c r="B2498" s="0" t="s">
        <v>6788</v>
      </c>
      <c r="C2498" s="16">
        <f>HYPERLINK("https://eosportal.federatedhermes.com/companies/Q29tcGFueQppNDQxMzM=", "Agnico Eagle Mines Ltd")</f>
      </c>
      <c r="D2498" s="0" t="s">
        <v>25</v>
      </c>
      <c r="E2498" s="0" t="s">
        <v>3400</v>
      </c>
      <c r="F2498" s="16">
        <f>HYPERLINK("https://eosportal.federatedhermes.com/engagements/RW5nYWdlbWVudAppMzQwMjM=", "Living wages")</f>
      </c>
      <c r="G2498" s="14" t="s">
        <v>6789</v>
      </c>
      <c r="H2498" s="0" t="s">
        <v>130</v>
      </c>
      <c r="I2498" s="14" t="s">
        <v>319</v>
      </c>
      <c r="J2498" s="0" t="s">
        <v>153</v>
      </c>
      <c r="K2498" s="0" t="s">
        <v>154</v>
      </c>
      <c r="L2498" s="0" t="s">
        <v>306</v>
      </c>
      <c r="M2498" s="0" t="s">
        <v>135</v>
      </c>
      <c r="N2498" s="0" t="s">
        <v>1678</v>
      </c>
      <c r="O2498" s="0" t="s">
        <v>373</v>
      </c>
      <c r="Q2498" s="0" t="s">
        <v>141</v>
      </c>
      <c r="R2498" s="0" t="s">
        <v>138</v>
      </c>
      <c r="S2498" s="14">
        <v>1</v>
      </c>
      <c r="T2498" s="0" t="s">
        <v>446</v>
      </c>
      <c r="U2498" s="0" t="s">
        <v>138</v>
      </c>
      <c r="V2498" s="14" t="s">
        <v>138</v>
      </c>
      <c r="W2498" s="0" t="s">
        <v>138</v>
      </c>
      <c r="X2498" s="14" t="s">
        <v>138</v>
      </c>
      <c r="Y2498" s="0" t="s">
        <v>138</v>
      </c>
      <c r="Z2498" s="14" t="s">
        <v>138</v>
      </c>
      <c r="AA2498" s="0" t="s">
        <v>138</v>
      </c>
      <c r="AB2498" s="14" t="s">
        <v>138</v>
      </c>
      <c r="AD2498" s="0" t="s">
        <v>138</v>
      </c>
      <c r="AF2498" s="0">
        <v>0</v>
      </c>
      <c r="AG2498" s="0">
        <v>0</v>
      </c>
      <c r="AH2498" s="0" t="s">
        <v>140</v>
      </c>
      <c r="AI2498" s="0" t="s">
        <v>138</v>
      </c>
      <c r="AK2498" s="0" t="s">
        <v>1950</v>
      </c>
      <c r="AL2498" s="14"/>
      <c r="AN2498" s="14"/>
      <c r="AQ2498" s="0" t="s">
        <v>130</v>
      </c>
      <c r="AR2498" s="0" t="s">
        <v>130</v>
      </c>
      <c r="AS2498" s="0" t="s">
        <v>130</v>
      </c>
      <c r="AT2498" s="0" t="s">
        <v>130</v>
      </c>
      <c r="AU2498" s="0" t="s">
        <v>130</v>
      </c>
      <c r="AV2498" s="0" t="s">
        <v>130</v>
      </c>
      <c r="AW2498" s="0" t="s">
        <v>130</v>
      </c>
      <c r="AX2498" s="0" t="s">
        <v>141</v>
      </c>
      <c r="AY2498" s="0" t="s">
        <v>130</v>
      </c>
      <c r="AZ2498" s="0" t="s">
        <v>130</v>
      </c>
      <c r="BA2498" s="0" t="s">
        <v>130</v>
      </c>
      <c r="BB2498" s="0" t="s">
        <v>130</v>
      </c>
      <c r="BC2498" s="0" t="s">
        <v>130</v>
      </c>
      <c r="BD2498" s="0" t="s">
        <v>130</v>
      </c>
      <c r="BE2498" s="0" t="s">
        <v>130</v>
      </c>
      <c r="BF2498" s="0" t="s">
        <v>130</v>
      </c>
      <c r="BG2498" s="0" t="s">
        <v>130</v>
      </c>
      <c r="BH2498" s="0" t="s">
        <v>130</v>
      </c>
      <c r="BI2498" s="0" t="s">
        <v>130</v>
      </c>
      <c r="BJ2498" s="0" t="s">
        <v>130</v>
      </c>
      <c r="BK2498" s="0" t="s">
        <v>130</v>
      </c>
      <c r="BL2498" s="0" t="s">
        <v>130</v>
      </c>
      <c r="BM2498" s="0" t="s">
        <v>130</v>
      </c>
      <c r="BN2498" s="0" t="s">
        <v>130</v>
      </c>
      <c r="BO2498" s="0" t="s">
        <v>130</v>
      </c>
      <c r="BP2498" s="0" t="s">
        <v>130</v>
      </c>
      <c r="BQ2498" s="0" t="s">
        <v>130</v>
      </c>
      <c r="BR2498" s="0" t="s">
        <v>130</v>
      </c>
      <c r="BS2498" s="0" t="s">
        <v>130</v>
      </c>
      <c r="BT2498" s="0" t="s">
        <v>130</v>
      </c>
      <c r="BU2498" s="0" t="s">
        <v>130</v>
      </c>
      <c r="BV2498" s="0" t="s">
        <v>130</v>
      </c>
      <c r="BW2498" s="0" t="s">
        <v>130</v>
      </c>
      <c r="BX2498" s="0" t="s">
        <v>130</v>
      </c>
      <c r="BY2498" s="0" t="s">
        <v>130</v>
      </c>
      <c r="BZ2498" s="0" t="s">
        <v>130</v>
      </c>
      <c r="CA2498" s="0" t="s">
        <v>130</v>
      </c>
      <c r="CB2498" s="0" t="s">
        <v>130</v>
      </c>
      <c r="CC2498" s="0" t="s">
        <v>130</v>
      </c>
      <c r="CD2498" s="0" t="s">
        <v>130</v>
      </c>
      <c r="CE2498" s="0" t="s">
        <v>130</v>
      </c>
      <c r="CF2498" s="0" t="s">
        <v>130</v>
      </c>
      <c r="CG2498" s="0" t="s">
        <v>130</v>
      </c>
      <c r="CH2498" s="0" t="s">
        <v>130</v>
      </c>
      <c r="CI2498" s="0" t="s">
        <v>130</v>
      </c>
      <c r="CJ2498" s="0" t="s">
        <v>130</v>
      </c>
      <c r="CK2498" s="0" t="s">
        <v>130</v>
      </c>
      <c r="CL2498" s="0" t="s">
        <v>130</v>
      </c>
      <c r="CM2498" s="0" t="s">
        <v>130</v>
      </c>
      <c r="CN2498" s="0" t="s">
        <v>130</v>
      </c>
      <c r="CO2498" s="0" t="s">
        <v>130</v>
      </c>
      <c r="CP2498" s="0" t="s">
        <v>130</v>
      </c>
      <c r="CQ2498" s="0" t="s">
        <v>130</v>
      </c>
      <c r="CR2498" s="0" t="s">
        <v>130</v>
      </c>
      <c r="CS2498" s="0" t="s">
        <v>130</v>
      </c>
      <c r="CT2498" s="0" t="s">
        <v>6790</v>
      </c>
    </row>
    <row r="2499">
      <c r="A2499" s="14">
        <v>115682</v>
      </c>
      <c r="B2499" s="0" t="s">
        <v>2620</v>
      </c>
      <c r="C2499" s="16">
        <f>HYPERLINK("https://eosportal.federatedhermes.com/companies/Q29tcGFueQppNTMxNDc=", "Bayerische Motoren Werke AG (BMW)")</f>
      </c>
      <c r="D2499" s="0" t="s">
        <v>25</v>
      </c>
      <c r="E2499" s="0" t="s">
        <v>6791</v>
      </c>
      <c r="F2499" s="16">
        <f>HYPERLINK("https://eosportal.federatedhermes.com/engagements/RW5nYWdlbWVudAppMzQwMjc=", "Board committee Independence")</f>
      </c>
      <c r="G2499" s="14" t="s">
        <v>6792</v>
      </c>
      <c r="H2499" s="0" t="s">
        <v>141</v>
      </c>
      <c r="I2499" s="14" t="s">
        <v>1645</v>
      </c>
      <c r="J2499" s="0" t="s">
        <v>145</v>
      </c>
      <c r="K2499" s="0" t="s">
        <v>164</v>
      </c>
      <c r="L2499" s="0" t="s">
        <v>165</v>
      </c>
      <c r="M2499" s="0" t="s">
        <v>378</v>
      </c>
      <c r="N2499" s="0" t="s">
        <v>2485</v>
      </c>
      <c r="O2499" s="0" t="s">
        <v>425</v>
      </c>
      <c r="Q2499" s="0" t="s">
        <v>130</v>
      </c>
      <c r="R2499" s="0" t="s">
        <v>138</v>
      </c>
      <c r="S2499" s="14">
        <v>0</v>
      </c>
      <c r="T2499" s="0" t="s">
        <v>446</v>
      </c>
      <c r="U2499" s="0" t="s">
        <v>138</v>
      </c>
      <c r="V2499" s="14" t="s">
        <v>138</v>
      </c>
      <c r="W2499" s="0" t="s">
        <v>138</v>
      </c>
      <c r="X2499" s="14" t="s">
        <v>138</v>
      </c>
      <c r="Y2499" s="0" t="s">
        <v>138</v>
      </c>
      <c r="Z2499" s="14" t="s">
        <v>138</v>
      </c>
      <c r="AA2499" s="0" t="s">
        <v>138</v>
      </c>
      <c r="AB2499" s="14" t="s">
        <v>138</v>
      </c>
      <c r="AD2499" s="0" t="s">
        <v>138</v>
      </c>
      <c r="AF2499" s="0">
        <v>0</v>
      </c>
      <c r="AG2499" s="0">
        <v>0</v>
      </c>
      <c r="AH2499" s="0" t="s">
        <v>140</v>
      </c>
      <c r="AI2499" s="0" t="s">
        <v>138</v>
      </c>
      <c r="AL2499" s="14"/>
      <c r="AN2499" s="14"/>
      <c r="AQ2499" s="0" t="s">
        <v>130</v>
      </c>
      <c r="AR2499" s="0" t="s">
        <v>130</v>
      </c>
      <c r="AS2499" s="0" t="s">
        <v>130</v>
      </c>
      <c r="AT2499" s="0" t="s">
        <v>130</v>
      </c>
      <c r="AU2499" s="0" t="s">
        <v>141</v>
      </c>
      <c r="AV2499" s="0" t="s">
        <v>130</v>
      </c>
      <c r="AW2499" s="0" t="s">
        <v>130</v>
      </c>
      <c r="AX2499" s="0" t="s">
        <v>130</v>
      </c>
      <c r="AY2499" s="0" t="s">
        <v>130</v>
      </c>
      <c r="AZ2499" s="0" t="s">
        <v>141</v>
      </c>
      <c r="BA2499" s="0" t="s">
        <v>130</v>
      </c>
      <c r="BB2499" s="0" t="s">
        <v>130</v>
      </c>
      <c r="BC2499" s="0" t="s">
        <v>130</v>
      </c>
      <c r="BD2499" s="0" t="s">
        <v>130</v>
      </c>
      <c r="BE2499" s="0" t="s">
        <v>130</v>
      </c>
      <c r="BF2499" s="0" t="s">
        <v>130</v>
      </c>
      <c r="BG2499" s="0" t="s">
        <v>130</v>
      </c>
      <c r="BH2499" s="0" t="s">
        <v>130</v>
      </c>
      <c r="BI2499" s="0" t="s">
        <v>130</v>
      </c>
      <c r="BJ2499" s="0" t="s">
        <v>130</v>
      </c>
      <c r="BK2499" s="0" t="s">
        <v>130</v>
      </c>
      <c r="BL2499" s="0" t="s">
        <v>130</v>
      </c>
      <c r="BM2499" s="0" t="s">
        <v>130</v>
      </c>
      <c r="BN2499" s="0" t="s">
        <v>130</v>
      </c>
      <c r="BO2499" s="0" t="s">
        <v>130</v>
      </c>
      <c r="BP2499" s="0" t="s">
        <v>130</v>
      </c>
      <c r="BQ2499" s="0" t="s">
        <v>141</v>
      </c>
      <c r="BR2499" s="0" t="s">
        <v>130</v>
      </c>
      <c r="BS2499" s="0" t="s">
        <v>130</v>
      </c>
      <c r="BT2499" s="0" t="s">
        <v>130</v>
      </c>
      <c r="BU2499" s="0" t="s">
        <v>130</v>
      </c>
      <c r="BV2499" s="0" t="s">
        <v>130</v>
      </c>
      <c r="BW2499" s="0" t="s">
        <v>130</v>
      </c>
      <c r="BX2499" s="0" t="s">
        <v>130</v>
      </c>
      <c r="BY2499" s="0" t="s">
        <v>130</v>
      </c>
      <c r="BZ2499" s="0" t="s">
        <v>130</v>
      </c>
      <c r="CA2499" s="0" t="s">
        <v>130</v>
      </c>
      <c r="CB2499" s="0" t="s">
        <v>130</v>
      </c>
      <c r="CC2499" s="0" t="s">
        <v>130</v>
      </c>
      <c r="CD2499" s="0" t="s">
        <v>130</v>
      </c>
      <c r="CE2499" s="0" t="s">
        <v>130</v>
      </c>
      <c r="CF2499" s="0" t="s">
        <v>130</v>
      </c>
      <c r="CG2499" s="0" t="s">
        <v>130</v>
      </c>
      <c r="CH2499" s="0" t="s">
        <v>130</v>
      </c>
      <c r="CI2499" s="0" t="s">
        <v>130</v>
      </c>
      <c r="CJ2499" s="0" t="s">
        <v>130</v>
      </c>
      <c r="CK2499" s="0" t="s">
        <v>130</v>
      </c>
      <c r="CL2499" s="0" t="s">
        <v>130</v>
      </c>
      <c r="CM2499" s="0" t="s">
        <v>130</v>
      </c>
      <c r="CN2499" s="0" t="s">
        <v>130</v>
      </c>
      <c r="CO2499" s="0" t="s">
        <v>130</v>
      </c>
      <c r="CP2499" s="0" t="s">
        <v>130</v>
      </c>
      <c r="CQ2499" s="0" t="s">
        <v>130</v>
      </c>
      <c r="CR2499" s="0" t="s">
        <v>130</v>
      </c>
      <c r="CS2499" s="0" t="s">
        <v>130</v>
      </c>
      <c r="CT2499" s="0" t="s">
        <v>6793</v>
      </c>
    </row>
    <row r="2500">
      <c r="A2500" s="14">
        <v>111680</v>
      </c>
      <c r="B2500" s="0" t="s">
        <v>633</v>
      </c>
      <c r="C2500" s="16">
        <f>HYPERLINK("https://eosportal.federatedhermes.com/companies/Q29tcGFueQppNTg5Njc=", "Diageo PLC")</f>
      </c>
      <c r="D2500" s="0" t="s">
        <v>25</v>
      </c>
      <c r="E2500" s="0" t="s">
        <v>6794</v>
      </c>
      <c r="F2500" s="16">
        <f>HYPERLINK("https://eosportal.federatedhermes.com/engagements/RW5nYWdlbWVudAppMzQwMjk=", "Net zero deforestation targets")</f>
      </c>
      <c r="G2500" s="14" t="s">
        <v>6795</v>
      </c>
      <c r="H2500" s="0" t="s">
        <v>141</v>
      </c>
      <c r="I2500" s="14" t="s">
        <v>636</v>
      </c>
      <c r="J2500" s="0" t="s">
        <v>197</v>
      </c>
      <c r="K2500" s="0" t="s">
        <v>337</v>
      </c>
      <c r="L2500" s="0" t="s">
        <v>576</v>
      </c>
      <c r="M2500" s="0" t="s">
        <v>272</v>
      </c>
      <c r="N2500" s="0" t="s">
        <v>273</v>
      </c>
      <c r="O2500" s="0" t="s">
        <v>332</v>
      </c>
      <c r="Q2500" s="0" t="s">
        <v>141</v>
      </c>
      <c r="R2500" s="0" t="s">
        <v>138</v>
      </c>
      <c r="S2500" s="14">
        <v>1</v>
      </c>
      <c r="T2500" s="0" t="s">
        <v>446</v>
      </c>
      <c r="U2500" s="0" t="s">
        <v>138</v>
      </c>
      <c r="V2500" s="14" t="s">
        <v>138</v>
      </c>
      <c r="W2500" s="0" t="s">
        <v>138</v>
      </c>
      <c r="X2500" s="14" t="s">
        <v>138</v>
      </c>
      <c r="Y2500" s="0" t="s">
        <v>138</v>
      </c>
      <c r="Z2500" s="14" t="s">
        <v>138</v>
      </c>
      <c r="AA2500" s="0" t="s">
        <v>138</v>
      </c>
      <c r="AB2500" s="14" t="s">
        <v>138</v>
      </c>
      <c r="AD2500" s="0" t="s">
        <v>138</v>
      </c>
      <c r="AF2500" s="0">
        <v>0</v>
      </c>
      <c r="AG2500" s="0">
        <v>0</v>
      </c>
      <c r="AH2500" s="0" t="s">
        <v>140</v>
      </c>
      <c r="AI2500" s="0" t="s">
        <v>138</v>
      </c>
      <c r="AK2500" s="0" t="s">
        <v>2241</v>
      </c>
      <c r="AL2500" s="14"/>
      <c r="AN2500" s="14"/>
      <c r="AQ2500" s="0" t="s">
        <v>130</v>
      </c>
      <c r="AR2500" s="0" t="s">
        <v>141</v>
      </c>
      <c r="AS2500" s="0" t="s">
        <v>130</v>
      </c>
      <c r="AT2500" s="0" t="s">
        <v>130</v>
      </c>
      <c r="AU2500" s="0" t="s">
        <v>130</v>
      </c>
      <c r="AV2500" s="0" t="s">
        <v>130</v>
      </c>
      <c r="AW2500" s="0" t="s">
        <v>130</v>
      </c>
      <c r="AX2500" s="0" t="s">
        <v>130</v>
      </c>
      <c r="AY2500" s="0" t="s">
        <v>130</v>
      </c>
      <c r="AZ2500" s="0" t="s">
        <v>130</v>
      </c>
      <c r="BA2500" s="0" t="s">
        <v>130</v>
      </c>
      <c r="BB2500" s="0" t="s">
        <v>141</v>
      </c>
      <c r="BC2500" s="0" t="s">
        <v>141</v>
      </c>
      <c r="BD2500" s="0" t="s">
        <v>130</v>
      </c>
      <c r="BE2500" s="0" t="s">
        <v>141</v>
      </c>
      <c r="BF2500" s="0" t="s">
        <v>130</v>
      </c>
      <c r="BG2500" s="0" t="s">
        <v>130</v>
      </c>
      <c r="BH2500" s="0" t="s">
        <v>130</v>
      </c>
      <c r="BI2500" s="0" t="s">
        <v>130</v>
      </c>
      <c r="BJ2500" s="0" t="s">
        <v>130</v>
      </c>
      <c r="BK2500" s="0" t="s">
        <v>130</v>
      </c>
      <c r="BL2500" s="0" t="s">
        <v>130</v>
      </c>
      <c r="BM2500" s="0" t="s">
        <v>141</v>
      </c>
      <c r="BN2500" s="0" t="s">
        <v>130</v>
      </c>
      <c r="BO2500" s="0" t="s">
        <v>130</v>
      </c>
      <c r="BP2500" s="0" t="s">
        <v>130</v>
      </c>
      <c r="BQ2500" s="0" t="s">
        <v>130</v>
      </c>
      <c r="BR2500" s="0" t="s">
        <v>130</v>
      </c>
      <c r="BS2500" s="0" t="s">
        <v>130</v>
      </c>
      <c r="BT2500" s="0" t="s">
        <v>130</v>
      </c>
      <c r="BU2500" s="0" t="s">
        <v>130</v>
      </c>
      <c r="BV2500" s="0" t="s">
        <v>130</v>
      </c>
      <c r="BW2500" s="0" t="s">
        <v>130</v>
      </c>
      <c r="BX2500" s="0" t="s">
        <v>130</v>
      </c>
      <c r="BY2500" s="0" t="s">
        <v>130</v>
      </c>
      <c r="BZ2500" s="0" t="s">
        <v>130</v>
      </c>
      <c r="CA2500" s="0" t="s">
        <v>130</v>
      </c>
      <c r="CB2500" s="0" t="s">
        <v>130</v>
      </c>
      <c r="CC2500" s="0" t="s">
        <v>130</v>
      </c>
      <c r="CD2500" s="0" t="s">
        <v>130</v>
      </c>
      <c r="CE2500" s="0" t="s">
        <v>130</v>
      </c>
      <c r="CF2500" s="0" t="s">
        <v>141</v>
      </c>
      <c r="CG2500" s="0" t="s">
        <v>130</v>
      </c>
      <c r="CH2500" s="0" t="s">
        <v>130</v>
      </c>
      <c r="CI2500" s="0" t="s">
        <v>130</v>
      </c>
      <c r="CJ2500" s="0" t="s">
        <v>130</v>
      </c>
      <c r="CK2500" s="0" t="s">
        <v>130</v>
      </c>
      <c r="CL2500" s="0" t="s">
        <v>130</v>
      </c>
      <c r="CM2500" s="0" t="s">
        <v>130</v>
      </c>
      <c r="CN2500" s="0" t="s">
        <v>130</v>
      </c>
      <c r="CO2500" s="0" t="s">
        <v>130</v>
      </c>
      <c r="CP2500" s="0" t="s">
        <v>130</v>
      </c>
      <c r="CQ2500" s="0" t="s">
        <v>130</v>
      </c>
      <c r="CR2500" s="0" t="s">
        <v>130</v>
      </c>
      <c r="CS2500" s="0" t="s">
        <v>130</v>
      </c>
      <c r="CT2500" s="0" t="s">
        <v>6796</v>
      </c>
    </row>
    <row r="2501">
      <c r="A2501" s="14">
        <v>115757</v>
      </c>
      <c r="B2501" s="0" t="s">
        <v>2655</v>
      </c>
      <c r="C2501" s="16">
        <f>HYPERLINK("https://eosportal.federatedhermes.com/companies/Q29tcGFueQppNTg5Mjc=", "Volkswagen AG")</f>
      </c>
      <c r="D2501" s="0" t="s">
        <v>25</v>
      </c>
      <c r="E2501" s="0" t="s">
        <v>6797</v>
      </c>
      <c r="F2501" s="16">
        <f>HYPERLINK("https://eosportal.federatedhermes.com/engagements/RW5nYWdlbWVudAppMzQwMzU=", "Factory visit")</f>
      </c>
      <c r="G2501" s="14" t="s">
        <v>6798</v>
      </c>
      <c r="H2501" s="0" t="s">
        <v>141</v>
      </c>
      <c r="I2501" s="14" t="s">
        <v>1645</v>
      </c>
      <c r="J2501" s="0" t="s">
        <v>132</v>
      </c>
      <c r="K2501" s="0" t="s">
        <v>260</v>
      </c>
      <c r="L2501" s="0" t="s">
        <v>261</v>
      </c>
      <c r="M2501" s="0" t="s">
        <v>378</v>
      </c>
      <c r="N2501" s="0" t="s">
        <v>2485</v>
      </c>
      <c r="O2501" s="0" t="s">
        <v>425</v>
      </c>
      <c r="Q2501" s="0" t="s">
        <v>130</v>
      </c>
      <c r="R2501" s="0" t="s">
        <v>138</v>
      </c>
      <c r="S2501" s="14">
        <v>0</v>
      </c>
      <c r="T2501" s="0" t="s">
        <v>446</v>
      </c>
      <c r="U2501" s="0" t="s">
        <v>138</v>
      </c>
      <c r="V2501" s="14" t="s">
        <v>138</v>
      </c>
      <c r="W2501" s="0" t="s">
        <v>138</v>
      </c>
      <c r="X2501" s="14" t="s">
        <v>138</v>
      </c>
      <c r="Y2501" s="0" t="s">
        <v>138</v>
      </c>
      <c r="Z2501" s="14" t="s">
        <v>138</v>
      </c>
      <c r="AA2501" s="0" t="s">
        <v>138</v>
      </c>
      <c r="AB2501" s="14" t="s">
        <v>138</v>
      </c>
      <c r="AD2501" s="0" t="s">
        <v>138</v>
      </c>
      <c r="AF2501" s="0">
        <v>0</v>
      </c>
      <c r="AG2501" s="0">
        <v>0</v>
      </c>
      <c r="AH2501" s="0" t="s">
        <v>140</v>
      </c>
      <c r="AI2501" s="0" t="s">
        <v>138</v>
      </c>
      <c r="AL2501" s="14"/>
      <c r="AN2501" s="14"/>
      <c r="AQ2501" s="0" t="s">
        <v>130</v>
      </c>
      <c r="AR2501" s="0" t="s">
        <v>130</v>
      </c>
      <c r="AS2501" s="0" t="s">
        <v>130</v>
      </c>
      <c r="AT2501" s="0" t="s">
        <v>130</v>
      </c>
      <c r="AU2501" s="0" t="s">
        <v>130</v>
      </c>
      <c r="AV2501" s="0" t="s">
        <v>130</v>
      </c>
      <c r="AW2501" s="0" t="s">
        <v>130</v>
      </c>
      <c r="AX2501" s="0" t="s">
        <v>130</v>
      </c>
      <c r="AY2501" s="0" t="s">
        <v>130</v>
      </c>
      <c r="AZ2501" s="0" t="s">
        <v>130</v>
      </c>
      <c r="BA2501" s="0" t="s">
        <v>130</v>
      </c>
      <c r="BB2501" s="0" t="s">
        <v>130</v>
      </c>
      <c r="BC2501" s="0" t="s">
        <v>130</v>
      </c>
      <c r="BD2501" s="0" t="s">
        <v>130</v>
      </c>
      <c r="BE2501" s="0" t="s">
        <v>130</v>
      </c>
      <c r="BF2501" s="0" t="s">
        <v>130</v>
      </c>
      <c r="BG2501" s="0" t="s">
        <v>130</v>
      </c>
      <c r="BH2501" s="0" t="s">
        <v>130</v>
      </c>
      <c r="BI2501" s="0" t="s">
        <v>130</v>
      </c>
      <c r="BJ2501" s="0" t="s">
        <v>130</v>
      </c>
      <c r="BK2501" s="0" t="s">
        <v>130</v>
      </c>
      <c r="BL2501" s="0" t="s">
        <v>130</v>
      </c>
      <c r="BM2501" s="0" t="s">
        <v>130</v>
      </c>
      <c r="BN2501" s="0" t="s">
        <v>130</v>
      </c>
      <c r="BO2501" s="0" t="s">
        <v>130</v>
      </c>
      <c r="BP2501" s="0" t="s">
        <v>130</v>
      </c>
      <c r="BQ2501" s="0" t="s">
        <v>130</v>
      </c>
      <c r="BR2501" s="0" t="s">
        <v>130</v>
      </c>
      <c r="BS2501" s="0" t="s">
        <v>130</v>
      </c>
      <c r="BT2501" s="0" t="s">
        <v>130</v>
      </c>
      <c r="BU2501" s="0" t="s">
        <v>130</v>
      </c>
      <c r="BV2501" s="0" t="s">
        <v>130</v>
      </c>
      <c r="BW2501" s="0" t="s">
        <v>130</v>
      </c>
      <c r="BX2501" s="0" t="s">
        <v>130</v>
      </c>
      <c r="BY2501" s="0" t="s">
        <v>130</v>
      </c>
      <c r="BZ2501" s="0" t="s">
        <v>130</v>
      </c>
      <c r="CA2501" s="0" t="s">
        <v>130</v>
      </c>
      <c r="CB2501" s="0" t="s">
        <v>130</v>
      </c>
      <c r="CC2501" s="0" t="s">
        <v>130</v>
      </c>
      <c r="CD2501" s="0" t="s">
        <v>130</v>
      </c>
      <c r="CE2501" s="0" t="s">
        <v>130</v>
      </c>
      <c r="CF2501" s="0" t="s">
        <v>130</v>
      </c>
      <c r="CG2501" s="0" t="s">
        <v>130</v>
      </c>
      <c r="CH2501" s="0" t="s">
        <v>130</v>
      </c>
      <c r="CI2501" s="0" t="s">
        <v>130</v>
      </c>
      <c r="CJ2501" s="0" t="s">
        <v>130</v>
      </c>
      <c r="CK2501" s="0" t="s">
        <v>130</v>
      </c>
      <c r="CL2501" s="0" t="s">
        <v>130</v>
      </c>
      <c r="CM2501" s="0" t="s">
        <v>130</v>
      </c>
      <c r="CN2501" s="0" t="s">
        <v>130</v>
      </c>
      <c r="CO2501" s="0" t="s">
        <v>130</v>
      </c>
      <c r="CP2501" s="0" t="s">
        <v>130</v>
      </c>
      <c r="CQ2501" s="0" t="s">
        <v>130</v>
      </c>
      <c r="CR2501" s="0" t="s">
        <v>130</v>
      </c>
      <c r="CS2501" s="0" t="s">
        <v>130</v>
      </c>
      <c r="CT2501" s="0" t="s">
        <v>6799</v>
      </c>
    </row>
    <row r="2502">
      <c r="A2502" s="14">
        <v>119133</v>
      </c>
      <c r="B2502" s="0" t="s">
        <v>2973</v>
      </c>
      <c r="C2502" s="16">
        <f>HYPERLINK("https://eosportal.federatedhermes.com/companies/Q29tcGFueQppNzU2NjY=", "Hon Hai Precision Industry Co Ltd")</f>
      </c>
      <c r="D2502" s="0" t="s">
        <v>23</v>
      </c>
      <c r="E2502" s="0" t="s">
        <v>6800</v>
      </c>
      <c r="F2502" s="16">
        <f>HYPERLINK("https://eosportal.federatedhermes.com/engagements/RW5nYWdlbWVudAppMzQwNDE=", "Supply chain and human rights due diligence")</f>
      </c>
      <c r="G2502" s="14" t="s">
        <v>6801</v>
      </c>
      <c r="H2502" s="0" t="s">
        <v>141</v>
      </c>
      <c r="I2502" s="14" t="s">
        <v>191</v>
      </c>
      <c r="J2502" s="0" t="s">
        <v>153</v>
      </c>
      <c r="K2502" s="0" t="s">
        <v>243</v>
      </c>
      <c r="L2502" s="0" t="s">
        <v>244</v>
      </c>
      <c r="M2502" s="0" t="s">
        <v>802</v>
      </c>
      <c r="N2502" s="0" t="s">
        <v>2941</v>
      </c>
      <c r="O2502" s="0" t="s">
        <v>1125</v>
      </c>
      <c r="Q2502" s="0" t="s">
        <v>141</v>
      </c>
      <c r="R2502" s="0" t="s">
        <v>130</v>
      </c>
      <c r="S2502" s="14">
        <v>1</v>
      </c>
      <c r="T2502" s="0" t="s">
        <v>3562</v>
      </c>
      <c r="U2502" s="0" t="s">
        <v>221</v>
      </c>
      <c r="V2502" s="14" t="s">
        <v>3562</v>
      </c>
      <c r="W2502" s="0" t="s">
        <v>221</v>
      </c>
      <c r="X2502" s="14" t="s">
        <v>3562</v>
      </c>
      <c r="Y2502" s="0" t="s">
        <v>223</v>
      </c>
      <c r="Z2502" s="14" t="s">
        <v>138</v>
      </c>
      <c r="AA2502" s="0" t="s">
        <v>224</v>
      </c>
      <c r="AB2502" s="14" t="s">
        <v>138</v>
      </c>
      <c r="AD2502" s="0" t="s">
        <v>17</v>
      </c>
      <c r="AF2502" s="0">
        <v>0</v>
      </c>
      <c r="AG2502" s="0">
        <v>0</v>
      </c>
      <c r="AH2502" s="0" t="s">
        <v>140</v>
      </c>
      <c r="AI2502" s="0" t="s">
        <v>598</v>
      </c>
      <c r="AK2502" s="0" t="s">
        <v>2976</v>
      </c>
      <c r="AL2502" s="14"/>
      <c r="AN2502" s="14"/>
      <c r="AQ2502" s="0" t="s">
        <v>130</v>
      </c>
      <c r="AR2502" s="0" t="s">
        <v>130</v>
      </c>
      <c r="AS2502" s="0" t="s">
        <v>130</v>
      </c>
      <c r="AT2502" s="0" t="s">
        <v>130</v>
      </c>
      <c r="AU2502" s="0" t="s">
        <v>141</v>
      </c>
      <c r="AV2502" s="0" t="s">
        <v>130</v>
      </c>
      <c r="AW2502" s="0" t="s">
        <v>130</v>
      </c>
      <c r="AX2502" s="0" t="s">
        <v>141</v>
      </c>
      <c r="AY2502" s="0" t="s">
        <v>130</v>
      </c>
      <c r="AZ2502" s="0" t="s">
        <v>130</v>
      </c>
      <c r="BA2502" s="0" t="s">
        <v>130</v>
      </c>
      <c r="BB2502" s="0" t="s">
        <v>130</v>
      </c>
      <c r="BC2502" s="0" t="s">
        <v>130</v>
      </c>
      <c r="BD2502" s="0" t="s">
        <v>130</v>
      </c>
      <c r="BE2502" s="0" t="s">
        <v>130</v>
      </c>
      <c r="BF2502" s="0" t="s">
        <v>130</v>
      </c>
      <c r="BG2502" s="0" t="s">
        <v>130</v>
      </c>
      <c r="BH2502" s="0" t="s">
        <v>130</v>
      </c>
      <c r="BI2502" s="0" t="s">
        <v>130</v>
      </c>
      <c r="BJ2502" s="0" t="s">
        <v>130</v>
      </c>
      <c r="BK2502" s="0" t="s">
        <v>130</v>
      </c>
      <c r="BL2502" s="0" t="s">
        <v>130</v>
      </c>
      <c r="BM2502" s="0" t="s">
        <v>130</v>
      </c>
      <c r="BN2502" s="0" t="s">
        <v>130</v>
      </c>
      <c r="BO2502" s="0" t="s">
        <v>130</v>
      </c>
      <c r="BP2502" s="0" t="s">
        <v>130</v>
      </c>
      <c r="BQ2502" s="0" t="s">
        <v>130</v>
      </c>
      <c r="BR2502" s="0" t="s">
        <v>130</v>
      </c>
      <c r="BS2502" s="0" t="s">
        <v>130</v>
      </c>
      <c r="BT2502" s="0" t="s">
        <v>130</v>
      </c>
      <c r="BU2502" s="0" t="s">
        <v>130</v>
      </c>
      <c r="BV2502" s="0" t="s">
        <v>130</v>
      </c>
      <c r="BW2502" s="0" t="s">
        <v>130</v>
      </c>
      <c r="BX2502" s="0" t="s">
        <v>130</v>
      </c>
      <c r="BY2502" s="0" t="s">
        <v>130</v>
      </c>
      <c r="BZ2502" s="0" t="s">
        <v>130</v>
      </c>
      <c r="CA2502" s="0" t="s">
        <v>130</v>
      </c>
      <c r="CB2502" s="0" t="s">
        <v>130</v>
      </c>
      <c r="CC2502" s="0" t="s">
        <v>130</v>
      </c>
      <c r="CD2502" s="0" t="s">
        <v>130</v>
      </c>
      <c r="CE2502" s="0" t="s">
        <v>130</v>
      </c>
      <c r="CF2502" s="0" t="s">
        <v>130</v>
      </c>
      <c r="CG2502" s="0" t="s">
        <v>130</v>
      </c>
      <c r="CH2502" s="0" t="s">
        <v>130</v>
      </c>
      <c r="CI2502" s="0" t="s">
        <v>130</v>
      </c>
      <c r="CJ2502" s="0" t="s">
        <v>130</v>
      </c>
      <c r="CK2502" s="0" t="s">
        <v>130</v>
      </c>
      <c r="CL2502" s="0" t="s">
        <v>130</v>
      </c>
      <c r="CM2502" s="0" t="s">
        <v>130</v>
      </c>
      <c r="CN2502" s="0" t="s">
        <v>141</v>
      </c>
      <c r="CO2502" s="0" t="s">
        <v>130</v>
      </c>
      <c r="CP2502" s="0" t="s">
        <v>141</v>
      </c>
      <c r="CQ2502" s="0" t="s">
        <v>130</v>
      </c>
      <c r="CR2502" s="0" t="s">
        <v>130</v>
      </c>
      <c r="CS2502" s="0" t="s">
        <v>130</v>
      </c>
      <c r="CT2502" s="0" t="s">
        <v>6802</v>
      </c>
    </row>
    <row r="2503">
      <c r="A2503" s="14">
        <v>815394</v>
      </c>
      <c r="B2503" s="0" t="s">
        <v>3281</v>
      </c>
      <c r="C2503" s="16">
        <f>HYPERLINK("https://eosportal.federatedhermes.com/companies/Q29tcGFueQppODA0ODY=", "Veolia Environnement SA")</f>
      </c>
      <c r="D2503" s="0" t="s">
        <v>25</v>
      </c>
      <c r="E2503" s="0" t="s">
        <v>6803</v>
      </c>
      <c r="F2503" s="16">
        <f>HYPERLINK("https://eosportal.federatedhermes.com/engagements/RW5nYWdlbWVudAppMzQwNDQ=", "Audit tenure")</f>
      </c>
      <c r="G2503" s="14" t="s">
        <v>6804</v>
      </c>
      <c r="H2503" s="0" t="s">
        <v>130</v>
      </c>
      <c r="I2503" s="14" t="s">
        <v>131</v>
      </c>
      <c r="J2503" s="0" t="s">
        <v>132</v>
      </c>
      <c r="K2503" s="0" t="s">
        <v>170</v>
      </c>
      <c r="L2503" s="0" t="s">
        <v>310</v>
      </c>
      <c r="M2503" s="0" t="s">
        <v>378</v>
      </c>
      <c r="N2503" s="0" t="s">
        <v>1646</v>
      </c>
      <c r="O2503" s="0" t="s">
        <v>192</v>
      </c>
      <c r="Q2503" s="0" t="s">
        <v>130</v>
      </c>
      <c r="R2503" s="0" t="s">
        <v>138</v>
      </c>
      <c r="S2503" s="14">
        <v>0</v>
      </c>
      <c r="T2503" s="0" t="s">
        <v>446</v>
      </c>
      <c r="U2503" s="0" t="s">
        <v>138</v>
      </c>
      <c r="V2503" s="14" t="s">
        <v>138</v>
      </c>
      <c r="W2503" s="0" t="s">
        <v>138</v>
      </c>
      <c r="X2503" s="14" t="s">
        <v>138</v>
      </c>
      <c r="Y2503" s="0" t="s">
        <v>138</v>
      </c>
      <c r="Z2503" s="14" t="s">
        <v>138</v>
      </c>
      <c r="AA2503" s="0" t="s">
        <v>138</v>
      </c>
      <c r="AB2503" s="14" t="s">
        <v>138</v>
      </c>
      <c r="AD2503" s="0" t="s">
        <v>138</v>
      </c>
      <c r="AF2503" s="0">
        <v>0</v>
      </c>
      <c r="AG2503" s="0">
        <v>0</v>
      </c>
      <c r="AH2503" s="0" t="s">
        <v>140</v>
      </c>
      <c r="AI2503" s="0" t="s">
        <v>138</v>
      </c>
      <c r="AL2503" s="14"/>
      <c r="AN2503" s="14"/>
      <c r="AQ2503" s="0" t="s">
        <v>130</v>
      </c>
      <c r="AR2503" s="0" t="s">
        <v>130</v>
      </c>
      <c r="AS2503" s="0" t="s">
        <v>130</v>
      </c>
      <c r="AT2503" s="0" t="s">
        <v>130</v>
      </c>
      <c r="AU2503" s="0" t="s">
        <v>130</v>
      </c>
      <c r="AV2503" s="0" t="s">
        <v>130</v>
      </c>
      <c r="AW2503" s="0" t="s">
        <v>130</v>
      </c>
      <c r="AX2503" s="0" t="s">
        <v>130</v>
      </c>
      <c r="AY2503" s="0" t="s">
        <v>130</v>
      </c>
      <c r="AZ2503" s="0" t="s">
        <v>130</v>
      </c>
      <c r="BA2503" s="0" t="s">
        <v>130</v>
      </c>
      <c r="BB2503" s="0" t="s">
        <v>130</v>
      </c>
      <c r="BC2503" s="0" t="s">
        <v>130</v>
      </c>
      <c r="BD2503" s="0" t="s">
        <v>130</v>
      </c>
      <c r="BE2503" s="0" t="s">
        <v>130</v>
      </c>
      <c r="BF2503" s="0" t="s">
        <v>130</v>
      </c>
      <c r="BG2503" s="0" t="s">
        <v>130</v>
      </c>
      <c r="BH2503" s="0" t="s">
        <v>130</v>
      </c>
      <c r="BI2503" s="0" t="s">
        <v>130</v>
      </c>
      <c r="BJ2503" s="0" t="s">
        <v>130</v>
      </c>
      <c r="BK2503" s="0" t="s">
        <v>130</v>
      </c>
      <c r="BL2503" s="0" t="s">
        <v>130</v>
      </c>
      <c r="BM2503" s="0" t="s">
        <v>130</v>
      </c>
      <c r="BN2503" s="0" t="s">
        <v>130</v>
      </c>
      <c r="BO2503" s="0" t="s">
        <v>130</v>
      </c>
      <c r="BP2503" s="0" t="s">
        <v>130</v>
      </c>
      <c r="BQ2503" s="0" t="s">
        <v>130</v>
      </c>
      <c r="BR2503" s="0" t="s">
        <v>130</v>
      </c>
      <c r="BS2503" s="0" t="s">
        <v>130</v>
      </c>
      <c r="BT2503" s="0" t="s">
        <v>130</v>
      </c>
      <c r="BU2503" s="0" t="s">
        <v>130</v>
      </c>
      <c r="BV2503" s="0" t="s">
        <v>130</v>
      </c>
      <c r="BW2503" s="0" t="s">
        <v>130</v>
      </c>
      <c r="BX2503" s="0" t="s">
        <v>130</v>
      </c>
      <c r="BY2503" s="0" t="s">
        <v>130</v>
      </c>
      <c r="BZ2503" s="0" t="s">
        <v>130</v>
      </c>
      <c r="CA2503" s="0" t="s">
        <v>130</v>
      </c>
      <c r="CB2503" s="0" t="s">
        <v>130</v>
      </c>
      <c r="CC2503" s="0" t="s">
        <v>130</v>
      </c>
      <c r="CD2503" s="0" t="s">
        <v>130</v>
      </c>
      <c r="CE2503" s="0" t="s">
        <v>130</v>
      </c>
      <c r="CF2503" s="0" t="s">
        <v>130</v>
      </c>
      <c r="CG2503" s="0" t="s">
        <v>130</v>
      </c>
      <c r="CH2503" s="0" t="s">
        <v>130</v>
      </c>
      <c r="CI2503" s="0" t="s">
        <v>130</v>
      </c>
      <c r="CJ2503" s="0" t="s">
        <v>130</v>
      </c>
      <c r="CK2503" s="0" t="s">
        <v>130</v>
      </c>
      <c r="CL2503" s="0" t="s">
        <v>130</v>
      </c>
      <c r="CM2503" s="0" t="s">
        <v>130</v>
      </c>
      <c r="CN2503" s="0" t="s">
        <v>130</v>
      </c>
      <c r="CO2503" s="0" t="s">
        <v>130</v>
      </c>
      <c r="CP2503" s="0" t="s">
        <v>130</v>
      </c>
      <c r="CQ2503" s="0" t="s">
        <v>130</v>
      </c>
      <c r="CR2503" s="0" t="s">
        <v>130</v>
      </c>
      <c r="CS2503" s="0" t="s">
        <v>130</v>
      </c>
      <c r="CT2503" s="0" t="s">
        <v>6805</v>
      </c>
    </row>
    <row r="2504">
      <c r="A2504" s="14">
        <v>101491</v>
      </c>
      <c r="B2504" s="0" t="s">
        <v>1642</v>
      </c>
      <c r="C2504" s="16">
        <f>HYPERLINK("https://eosportal.federatedhermes.com/companies/Q29tcGFueQppNjMzMzM=", "TotalEnergies SE")</f>
      </c>
      <c r="D2504" s="0" t="s">
        <v>23</v>
      </c>
      <c r="E2504" s="0" t="s">
        <v>6806</v>
      </c>
      <c r="F2504" s="16">
        <f>HYPERLINK("https://eosportal.federatedhermes.com/engagements/RW5nYWdlbWVudAppMzQwNDc=", "Consideration of circularity in fossil fuel demand outlook")</f>
      </c>
      <c r="G2504" s="14" t="s">
        <v>6807</v>
      </c>
      <c r="H2504" s="0" t="s">
        <v>141</v>
      </c>
      <c r="I2504" s="14" t="s">
        <v>1645</v>
      </c>
      <c r="J2504" s="0" t="s">
        <v>197</v>
      </c>
      <c r="K2504" s="0" t="s">
        <v>348</v>
      </c>
      <c r="L2504" s="0" t="s">
        <v>349</v>
      </c>
      <c r="M2504" s="0" t="s">
        <v>378</v>
      </c>
      <c r="N2504" s="0" t="s">
        <v>1646</v>
      </c>
      <c r="O2504" s="0" t="s">
        <v>542</v>
      </c>
      <c r="Q2504" s="0" t="s">
        <v>141</v>
      </c>
      <c r="R2504" s="0" t="s">
        <v>130</v>
      </c>
      <c r="S2504" s="14">
        <v>1</v>
      </c>
      <c r="T2504" s="0" t="s">
        <v>3562</v>
      </c>
      <c r="U2504" s="0" t="s">
        <v>221</v>
      </c>
      <c r="V2504" s="14" t="s">
        <v>3562</v>
      </c>
      <c r="W2504" s="0" t="s">
        <v>221</v>
      </c>
      <c r="X2504" s="14" t="s">
        <v>2428</v>
      </c>
      <c r="Y2504" s="0" t="s">
        <v>223</v>
      </c>
      <c r="Z2504" s="14" t="s">
        <v>138</v>
      </c>
      <c r="AA2504" s="0" t="s">
        <v>224</v>
      </c>
      <c r="AB2504" s="14" t="s">
        <v>138</v>
      </c>
      <c r="AD2504" s="0" t="s">
        <v>17</v>
      </c>
      <c r="AF2504" s="0">
        <v>0</v>
      </c>
      <c r="AG2504" s="0">
        <v>0</v>
      </c>
      <c r="AH2504" s="0" t="s">
        <v>140</v>
      </c>
      <c r="AI2504" s="0" t="s">
        <v>598</v>
      </c>
      <c r="AK2504" s="0" t="s">
        <v>847</v>
      </c>
      <c r="AL2504" s="14"/>
      <c r="AN2504" s="14"/>
      <c r="AQ2504" s="0" t="s">
        <v>130</v>
      </c>
      <c r="AR2504" s="0" t="s">
        <v>130</v>
      </c>
      <c r="AS2504" s="0" t="s">
        <v>130</v>
      </c>
      <c r="AT2504" s="0" t="s">
        <v>130</v>
      </c>
      <c r="AU2504" s="0" t="s">
        <v>130</v>
      </c>
      <c r="AV2504" s="0" t="s">
        <v>130</v>
      </c>
      <c r="AW2504" s="0" t="s">
        <v>130</v>
      </c>
      <c r="AX2504" s="0" t="s">
        <v>130</v>
      </c>
      <c r="AY2504" s="0" t="s">
        <v>130</v>
      </c>
      <c r="AZ2504" s="0" t="s">
        <v>130</v>
      </c>
      <c r="BA2504" s="0" t="s">
        <v>130</v>
      </c>
      <c r="BB2504" s="0" t="s">
        <v>141</v>
      </c>
      <c r="BC2504" s="0" t="s">
        <v>130</v>
      </c>
      <c r="BD2504" s="0" t="s">
        <v>130</v>
      </c>
      <c r="BE2504" s="0" t="s">
        <v>130</v>
      </c>
      <c r="BF2504" s="0" t="s">
        <v>130</v>
      </c>
      <c r="BG2504" s="0" t="s">
        <v>130</v>
      </c>
      <c r="BH2504" s="0" t="s">
        <v>130</v>
      </c>
      <c r="BI2504" s="0" t="s">
        <v>130</v>
      </c>
      <c r="BJ2504" s="0" t="s">
        <v>130</v>
      </c>
      <c r="BK2504" s="0" t="s">
        <v>130</v>
      </c>
      <c r="BL2504" s="0" t="s">
        <v>130</v>
      </c>
      <c r="BM2504" s="0" t="s">
        <v>130</v>
      </c>
      <c r="BN2504" s="0" t="s">
        <v>130</v>
      </c>
      <c r="BO2504" s="0" t="s">
        <v>130</v>
      </c>
      <c r="BP2504" s="0" t="s">
        <v>130</v>
      </c>
      <c r="BQ2504" s="0" t="s">
        <v>130</v>
      </c>
      <c r="BR2504" s="0" t="s">
        <v>130</v>
      </c>
      <c r="BS2504" s="0" t="s">
        <v>130</v>
      </c>
      <c r="BT2504" s="0" t="s">
        <v>130</v>
      </c>
      <c r="BU2504" s="0" t="s">
        <v>130</v>
      </c>
      <c r="BV2504" s="0" t="s">
        <v>130</v>
      </c>
      <c r="BW2504" s="0" t="s">
        <v>130</v>
      </c>
      <c r="BX2504" s="0" t="s">
        <v>130</v>
      </c>
      <c r="BY2504" s="0" t="s">
        <v>130</v>
      </c>
      <c r="BZ2504" s="0" t="s">
        <v>130</v>
      </c>
      <c r="CA2504" s="0" t="s">
        <v>130</v>
      </c>
      <c r="CB2504" s="0" t="s">
        <v>130</v>
      </c>
      <c r="CC2504" s="0" t="s">
        <v>130</v>
      </c>
      <c r="CD2504" s="0" t="s">
        <v>141</v>
      </c>
      <c r="CE2504" s="0" t="s">
        <v>130</v>
      </c>
      <c r="CF2504" s="0" t="s">
        <v>130</v>
      </c>
      <c r="CG2504" s="0" t="s">
        <v>130</v>
      </c>
      <c r="CH2504" s="0" t="s">
        <v>130</v>
      </c>
      <c r="CI2504" s="0" t="s">
        <v>130</v>
      </c>
      <c r="CJ2504" s="0" t="s">
        <v>130</v>
      </c>
      <c r="CK2504" s="0" t="s">
        <v>130</v>
      </c>
      <c r="CL2504" s="0" t="s">
        <v>130</v>
      </c>
      <c r="CM2504" s="0" t="s">
        <v>130</v>
      </c>
      <c r="CN2504" s="0" t="s">
        <v>130</v>
      </c>
      <c r="CO2504" s="0" t="s">
        <v>130</v>
      </c>
      <c r="CP2504" s="0" t="s">
        <v>130</v>
      </c>
      <c r="CQ2504" s="0" t="s">
        <v>130</v>
      </c>
      <c r="CR2504" s="0" t="s">
        <v>130</v>
      </c>
      <c r="CS2504" s="0" t="s">
        <v>130</v>
      </c>
      <c r="CT2504" s="0" t="s">
        <v>6808</v>
      </c>
    </row>
    <row r="2505">
      <c r="A2505" s="14">
        <v>100315</v>
      </c>
      <c r="B2505" s="0" t="s">
        <v>539</v>
      </c>
      <c r="C2505" s="16">
        <f>HYPERLINK("https://eosportal.federatedhermes.com/companies/Q29tcGFueQppNzcwNTA=", "Chevron Corp")</f>
      </c>
      <c r="D2505" s="0" t="s">
        <v>25</v>
      </c>
      <c r="E2505" s="0" t="s">
        <v>6809</v>
      </c>
      <c r="F2505" s="16">
        <f>HYPERLINK("https://eosportal.federatedhermes.com/engagements/RW5nYWdlbWVudAppMzQwNTI=", "Plastics scenario analysis")</f>
      </c>
      <c r="G2505" s="14" t="s">
        <v>6810</v>
      </c>
      <c r="H2505" s="0" t="s">
        <v>141</v>
      </c>
      <c r="I2505" s="14" t="s">
        <v>191</v>
      </c>
      <c r="J2505" s="0" t="s">
        <v>197</v>
      </c>
      <c r="K2505" s="0" t="s">
        <v>348</v>
      </c>
      <c r="L2505" s="0" t="s">
        <v>349</v>
      </c>
      <c r="M2505" s="0" t="s">
        <v>135</v>
      </c>
      <c r="N2505" s="0" t="s">
        <v>136</v>
      </c>
      <c r="O2505" s="0" t="s">
        <v>542</v>
      </c>
      <c r="Q2505" s="0" t="s">
        <v>130</v>
      </c>
      <c r="R2505" s="0" t="s">
        <v>138</v>
      </c>
      <c r="S2505" s="14">
        <v>0</v>
      </c>
      <c r="T2505" s="0" t="s">
        <v>446</v>
      </c>
      <c r="U2505" s="0" t="s">
        <v>138</v>
      </c>
      <c r="V2505" s="14" t="s">
        <v>138</v>
      </c>
      <c r="W2505" s="0" t="s">
        <v>138</v>
      </c>
      <c r="X2505" s="14" t="s">
        <v>138</v>
      </c>
      <c r="Y2505" s="0" t="s">
        <v>138</v>
      </c>
      <c r="Z2505" s="14" t="s">
        <v>138</v>
      </c>
      <c r="AA2505" s="0" t="s">
        <v>138</v>
      </c>
      <c r="AB2505" s="14" t="s">
        <v>138</v>
      </c>
      <c r="AD2505" s="0" t="s">
        <v>138</v>
      </c>
      <c r="AF2505" s="0">
        <v>0</v>
      </c>
      <c r="AG2505" s="0">
        <v>0</v>
      </c>
      <c r="AH2505" s="0" t="s">
        <v>140</v>
      </c>
      <c r="AI2505" s="0" t="s">
        <v>138</v>
      </c>
      <c r="AL2505" s="14"/>
      <c r="AN2505" s="14"/>
      <c r="AQ2505" s="0" t="s">
        <v>130</v>
      </c>
      <c r="AR2505" s="0" t="s">
        <v>130</v>
      </c>
      <c r="AS2505" s="0" t="s">
        <v>130</v>
      </c>
      <c r="AT2505" s="0" t="s">
        <v>130</v>
      </c>
      <c r="AU2505" s="0" t="s">
        <v>130</v>
      </c>
      <c r="AV2505" s="0" t="s">
        <v>130</v>
      </c>
      <c r="AW2505" s="0" t="s">
        <v>130</v>
      </c>
      <c r="AX2505" s="0" t="s">
        <v>130</v>
      </c>
      <c r="AY2505" s="0" t="s">
        <v>130</v>
      </c>
      <c r="AZ2505" s="0" t="s">
        <v>130</v>
      </c>
      <c r="BA2505" s="0" t="s">
        <v>130</v>
      </c>
      <c r="BB2505" s="0" t="s">
        <v>141</v>
      </c>
      <c r="BC2505" s="0" t="s">
        <v>130</v>
      </c>
      <c r="BD2505" s="0" t="s">
        <v>130</v>
      </c>
      <c r="BE2505" s="0" t="s">
        <v>130</v>
      </c>
      <c r="BF2505" s="0" t="s">
        <v>130</v>
      </c>
      <c r="BG2505" s="0" t="s">
        <v>130</v>
      </c>
      <c r="BH2505" s="0" t="s">
        <v>130</v>
      </c>
      <c r="BI2505" s="0" t="s">
        <v>130</v>
      </c>
      <c r="BJ2505" s="0" t="s">
        <v>130</v>
      </c>
      <c r="BK2505" s="0" t="s">
        <v>130</v>
      </c>
      <c r="BL2505" s="0" t="s">
        <v>130</v>
      </c>
      <c r="BM2505" s="0" t="s">
        <v>130</v>
      </c>
      <c r="BN2505" s="0" t="s">
        <v>130</v>
      </c>
      <c r="BO2505" s="0" t="s">
        <v>130</v>
      </c>
      <c r="BP2505" s="0" t="s">
        <v>130</v>
      </c>
      <c r="BQ2505" s="0" t="s">
        <v>130</v>
      </c>
      <c r="BR2505" s="0" t="s">
        <v>130</v>
      </c>
      <c r="BS2505" s="0" t="s">
        <v>130</v>
      </c>
      <c r="BT2505" s="0" t="s">
        <v>130</v>
      </c>
      <c r="BU2505" s="0" t="s">
        <v>130</v>
      </c>
      <c r="BV2505" s="0" t="s">
        <v>130</v>
      </c>
      <c r="BW2505" s="0" t="s">
        <v>130</v>
      </c>
      <c r="BX2505" s="0" t="s">
        <v>130</v>
      </c>
      <c r="BY2505" s="0" t="s">
        <v>130</v>
      </c>
      <c r="BZ2505" s="0" t="s">
        <v>130</v>
      </c>
      <c r="CA2505" s="0" t="s">
        <v>130</v>
      </c>
      <c r="CB2505" s="0" t="s">
        <v>130</v>
      </c>
      <c r="CC2505" s="0" t="s">
        <v>130</v>
      </c>
      <c r="CD2505" s="0" t="s">
        <v>141</v>
      </c>
      <c r="CE2505" s="0" t="s">
        <v>130</v>
      </c>
      <c r="CF2505" s="0" t="s">
        <v>130</v>
      </c>
      <c r="CG2505" s="0" t="s">
        <v>130</v>
      </c>
      <c r="CH2505" s="0" t="s">
        <v>130</v>
      </c>
      <c r="CI2505" s="0" t="s">
        <v>130</v>
      </c>
      <c r="CJ2505" s="0" t="s">
        <v>130</v>
      </c>
      <c r="CK2505" s="0" t="s">
        <v>130</v>
      </c>
      <c r="CL2505" s="0" t="s">
        <v>130</v>
      </c>
      <c r="CM2505" s="0" t="s">
        <v>130</v>
      </c>
      <c r="CN2505" s="0" t="s">
        <v>130</v>
      </c>
      <c r="CO2505" s="0" t="s">
        <v>130</v>
      </c>
      <c r="CP2505" s="0" t="s">
        <v>130</v>
      </c>
      <c r="CQ2505" s="0" t="s">
        <v>130</v>
      </c>
      <c r="CR2505" s="0" t="s">
        <v>130</v>
      </c>
      <c r="CS2505" s="0" t="s">
        <v>130</v>
      </c>
      <c r="CT2505" s="0" t="s">
        <v>6811</v>
      </c>
    </row>
    <row r="2506">
      <c r="A2506" s="14">
        <v>112571</v>
      </c>
      <c r="B2506" s="0" t="s">
        <v>1056</v>
      </c>
      <c r="C2506" s="16">
        <f>HYPERLINK("https://eosportal.federatedhermes.com/companies/Q29tcGFueQppNTIxNzE=", "Nestle SA")</f>
      </c>
      <c r="D2506" s="0" t="s">
        <v>23</v>
      </c>
      <c r="E2506" s="0" t="s">
        <v>6812</v>
      </c>
      <c r="F2506" s="16">
        <f>HYPERLINK("https://eosportal.federatedhermes.com/engagements/RW5nYWdlbWVudAppMzQwNTM=", "Health and Nutrition")</f>
      </c>
      <c r="G2506" s="14" t="s">
        <v>6813</v>
      </c>
      <c r="H2506" s="0" t="s">
        <v>141</v>
      </c>
      <c r="I2506" s="14" t="s">
        <v>191</v>
      </c>
      <c r="J2506" s="0" t="s">
        <v>153</v>
      </c>
      <c r="K2506" s="0" t="s">
        <v>185</v>
      </c>
      <c r="L2506" s="0" t="s">
        <v>626</v>
      </c>
      <c r="M2506" s="0" t="s">
        <v>378</v>
      </c>
      <c r="N2506" s="0" t="s">
        <v>1059</v>
      </c>
      <c r="O2506" s="0" t="s">
        <v>332</v>
      </c>
      <c r="Q2506" s="0" t="s">
        <v>141</v>
      </c>
      <c r="R2506" s="0" t="s">
        <v>130</v>
      </c>
      <c r="S2506" s="14">
        <v>1</v>
      </c>
      <c r="T2506" s="0" t="s">
        <v>3562</v>
      </c>
      <c r="U2506" s="0" t="s">
        <v>221</v>
      </c>
      <c r="V2506" s="14" t="s">
        <v>3562</v>
      </c>
      <c r="W2506" s="0" t="s">
        <v>221</v>
      </c>
      <c r="X2506" s="14" t="s">
        <v>446</v>
      </c>
      <c r="Y2506" s="0" t="s">
        <v>223</v>
      </c>
      <c r="Z2506" s="14" t="s">
        <v>138</v>
      </c>
      <c r="AA2506" s="0" t="s">
        <v>224</v>
      </c>
      <c r="AB2506" s="14" t="s">
        <v>138</v>
      </c>
      <c r="AD2506" s="0" t="s">
        <v>17</v>
      </c>
      <c r="AF2506" s="0">
        <v>0</v>
      </c>
      <c r="AG2506" s="0">
        <v>0</v>
      </c>
      <c r="AH2506" s="0" t="s">
        <v>140</v>
      </c>
      <c r="AI2506" s="0" t="s">
        <v>598</v>
      </c>
      <c r="AK2506" s="0" t="s">
        <v>578</v>
      </c>
      <c r="AL2506" s="14"/>
      <c r="AN2506" s="14"/>
      <c r="AQ2506" s="0" t="s">
        <v>130</v>
      </c>
      <c r="AR2506" s="0" t="s">
        <v>130</v>
      </c>
      <c r="AS2506" s="0" t="s">
        <v>141</v>
      </c>
      <c r="AT2506" s="0" t="s">
        <v>130</v>
      </c>
      <c r="AU2506" s="0" t="s">
        <v>130</v>
      </c>
      <c r="AV2506" s="0" t="s">
        <v>130</v>
      </c>
      <c r="AW2506" s="0" t="s">
        <v>130</v>
      </c>
      <c r="AX2506" s="0" t="s">
        <v>130</v>
      </c>
      <c r="AY2506" s="0" t="s">
        <v>130</v>
      </c>
      <c r="AZ2506" s="0" t="s">
        <v>130</v>
      </c>
      <c r="BA2506" s="0" t="s">
        <v>130</v>
      </c>
      <c r="BB2506" s="0" t="s">
        <v>130</v>
      </c>
      <c r="BC2506" s="0" t="s">
        <v>130</v>
      </c>
      <c r="BD2506" s="0" t="s">
        <v>130</v>
      </c>
      <c r="BE2506" s="0" t="s">
        <v>130</v>
      </c>
      <c r="BF2506" s="0" t="s">
        <v>130</v>
      </c>
      <c r="BG2506" s="0" t="s">
        <v>130</v>
      </c>
      <c r="BH2506" s="0" t="s">
        <v>130</v>
      </c>
      <c r="BI2506" s="0" t="s">
        <v>130</v>
      </c>
      <c r="BJ2506" s="0" t="s">
        <v>130</v>
      </c>
      <c r="BK2506" s="0" t="s">
        <v>130</v>
      </c>
      <c r="BL2506" s="0" t="s">
        <v>130</v>
      </c>
      <c r="BM2506" s="0" t="s">
        <v>130</v>
      </c>
      <c r="BN2506" s="0" t="s">
        <v>130</v>
      </c>
      <c r="BO2506" s="0" t="s">
        <v>130</v>
      </c>
      <c r="BP2506" s="0" t="s">
        <v>130</v>
      </c>
      <c r="BQ2506" s="0" t="s">
        <v>130</v>
      </c>
      <c r="BR2506" s="0" t="s">
        <v>130</v>
      </c>
      <c r="BS2506" s="0" t="s">
        <v>130</v>
      </c>
      <c r="BT2506" s="0" t="s">
        <v>130</v>
      </c>
      <c r="BU2506" s="0" t="s">
        <v>130</v>
      </c>
      <c r="BV2506" s="0" t="s">
        <v>130</v>
      </c>
      <c r="BW2506" s="0" t="s">
        <v>130</v>
      </c>
      <c r="BX2506" s="0" t="s">
        <v>130</v>
      </c>
      <c r="BY2506" s="0" t="s">
        <v>130</v>
      </c>
      <c r="BZ2506" s="0" t="s">
        <v>130</v>
      </c>
      <c r="CA2506" s="0" t="s">
        <v>130</v>
      </c>
      <c r="CB2506" s="0" t="s">
        <v>130</v>
      </c>
      <c r="CC2506" s="0" t="s">
        <v>130</v>
      </c>
      <c r="CD2506" s="0" t="s">
        <v>130</v>
      </c>
      <c r="CE2506" s="0" t="s">
        <v>130</v>
      </c>
      <c r="CF2506" s="0" t="s">
        <v>130</v>
      </c>
      <c r="CG2506" s="0" t="s">
        <v>130</v>
      </c>
      <c r="CH2506" s="0" t="s">
        <v>130</v>
      </c>
      <c r="CI2506" s="0" t="s">
        <v>130</v>
      </c>
      <c r="CJ2506" s="0" t="s">
        <v>130</v>
      </c>
      <c r="CK2506" s="0" t="s">
        <v>130</v>
      </c>
      <c r="CL2506" s="0" t="s">
        <v>130</v>
      </c>
      <c r="CM2506" s="0" t="s">
        <v>130</v>
      </c>
      <c r="CN2506" s="0" t="s">
        <v>130</v>
      </c>
      <c r="CO2506" s="0" t="s">
        <v>130</v>
      </c>
      <c r="CP2506" s="0" t="s">
        <v>130</v>
      </c>
      <c r="CQ2506" s="0" t="s">
        <v>130</v>
      </c>
      <c r="CR2506" s="0" t="s">
        <v>130</v>
      </c>
      <c r="CS2506" s="0" t="s">
        <v>130</v>
      </c>
      <c r="CT2506" s="0" t="s">
        <v>6814</v>
      </c>
    </row>
    <row r="2507">
      <c r="A2507" s="14">
        <v>36507453</v>
      </c>
      <c r="B2507" s="0" t="s">
        <v>4479</v>
      </c>
      <c r="C2507" s="16">
        <f>HYPERLINK("https://eosportal.federatedhermes.com/companies/Q29tcGFueQppNjI0Njg=", "CNH Industrial NV")</f>
      </c>
      <c r="D2507" s="0" t="s">
        <v>25</v>
      </c>
      <c r="E2507" s="0" t="s">
        <v>433</v>
      </c>
      <c r="F2507" s="16">
        <f>HYPERLINK("https://eosportal.federatedhermes.com/engagements/RW5nYWdlbWVudAppMzQwNTg=", "Human rights policy")</f>
      </c>
      <c r="G2507" s="14" t="s">
        <v>6815</v>
      </c>
      <c r="H2507" s="0" t="s">
        <v>130</v>
      </c>
      <c r="I2507" s="14" t="s">
        <v>131</v>
      </c>
      <c r="J2507" s="0" t="s">
        <v>153</v>
      </c>
      <c r="K2507" s="0" t="s">
        <v>243</v>
      </c>
      <c r="L2507" s="0" t="s">
        <v>456</v>
      </c>
      <c r="M2507" s="0" t="s">
        <v>272</v>
      </c>
      <c r="N2507" s="0" t="s">
        <v>273</v>
      </c>
      <c r="O2507" s="0" t="s">
        <v>176</v>
      </c>
      <c r="Q2507" s="0" t="s">
        <v>130</v>
      </c>
      <c r="R2507" s="0" t="s">
        <v>138</v>
      </c>
      <c r="S2507" s="14">
        <v>0</v>
      </c>
      <c r="T2507" s="0" t="s">
        <v>446</v>
      </c>
      <c r="U2507" s="0" t="s">
        <v>138</v>
      </c>
      <c r="V2507" s="14" t="s">
        <v>138</v>
      </c>
      <c r="W2507" s="0" t="s">
        <v>138</v>
      </c>
      <c r="X2507" s="14" t="s">
        <v>138</v>
      </c>
      <c r="Y2507" s="0" t="s">
        <v>138</v>
      </c>
      <c r="Z2507" s="14" t="s">
        <v>138</v>
      </c>
      <c r="AA2507" s="0" t="s">
        <v>138</v>
      </c>
      <c r="AB2507" s="14" t="s">
        <v>138</v>
      </c>
      <c r="AD2507" s="0" t="s">
        <v>138</v>
      </c>
      <c r="AF2507" s="0">
        <v>0</v>
      </c>
      <c r="AG2507" s="0">
        <v>0</v>
      </c>
      <c r="AH2507" s="0" t="s">
        <v>140</v>
      </c>
      <c r="AI2507" s="0" t="s">
        <v>138</v>
      </c>
      <c r="AL2507" s="14"/>
      <c r="AN2507" s="14"/>
      <c r="AQ2507" s="0" t="s">
        <v>130</v>
      </c>
      <c r="AR2507" s="0" t="s">
        <v>130</v>
      </c>
      <c r="AS2507" s="0" t="s">
        <v>130</v>
      </c>
      <c r="AT2507" s="0" t="s">
        <v>130</v>
      </c>
      <c r="AU2507" s="0" t="s">
        <v>130</v>
      </c>
      <c r="AV2507" s="0" t="s">
        <v>130</v>
      </c>
      <c r="AW2507" s="0" t="s">
        <v>130</v>
      </c>
      <c r="AX2507" s="0" t="s">
        <v>141</v>
      </c>
      <c r="AY2507" s="0" t="s">
        <v>130</v>
      </c>
      <c r="AZ2507" s="0" t="s">
        <v>130</v>
      </c>
      <c r="BA2507" s="0" t="s">
        <v>130</v>
      </c>
      <c r="BB2507" s="0" t="s">
        <v>130</v>
      </c>
      <c r="BC2507" s="0" t="s">
        <v>130</v>
      </c>
      <c r="BD2507" s="0" t="s">
        <v>130</v>
      </c>
      <c r="BE2507" s="0" t="s">
        <v>130</v>
      </c>
      <c r="BF2507" s="0" t="s">
        <v>141</v>
      </c>
      <c r="BG2507" s="0" t="s">
        <v>130</v>
      </c>
      <c r="BH2507" s="0" t="s">
        <v>130</v>
      </c>
      <c r="BI2507" s="0" t="s">
        <v>130</v>
      </c>
      <c r="BJ2507" s="0" t="s">
        <v>130</v>
      </c>
      <c r="BK2507" s="0" t="s">
        <v>130</v>
      </c>
      <c r="BL2507" s="0" t="s">
        <v>130</v>
      </c>
      <c r="BM2507" s="0" t="s">
        <v>130</v>
      </c>
      <c r="BN2507" s="0" t="s">
        <v>130</v>
      </c>
      <c r="BO2507" s="0" t="s">
        <v>130</v>
      </c>
      <c r="BP2507" s="0" t="s">
        <v>130</v>
      </c>
      <c r="BQ2507" s="0" t="s">
        <v>130</v>
      </c>
      <c r="BR2507" s="0" t="s">
        <v>130</v>
      </c>
      <c r="BS2507" s="0" t="s">
        <v>130</v>
      </c>
      <c r="BT2507" s="0" t="s">
        <v>130</v>
      </c>
      <c r="BU2507" s="0" t="s">
        <v>130</v>
      </c>
      <c r="BV2507" s="0" t="s">
        <v>130</v>
      </c>
      <c r="BW2507" s="0" t="s">
        <v>130</v>
      </c>
      <c r="BX2507" s="0" t="s">
        <v>130</v>
      </c>
      <c r="BY2507" s="0" t="s">
        <v>130</v>
      </c>
      <c r="BZ2507" s="0" t="s">
        <v>130</v>
      </c>
      <c r="CA2507" s="0" t="s">
        <v>130</v>
      </c>
      <c r="CB2507" s="0" t="s">
        <v>130</v>
      </c>
      <c r="CC2507" s="0" t="s">
        <v>130</v>
      </c>
      <c r="CD2507" s="0" t="s">
        <v>130</v>
      </c>
      <c r="CE2507" s="0" t="s">
        <v>130</v>
      </c>
      <c r="CF2507" s="0" t="s">
        <v>130</v>
      </c>
      <c r="CG2507" s="0" t="s">
        <v>130</v>
      </c>
      <c r="CH2507" s="0" t="s">
        <v>130</v>
      </c>
      <c r="CI2507" s="0" t="s">
        <v>130</v>
      </c>
      <c r="CJ2507" s="0" t="s">
        <v>130</v>
      </c>
      <c r="CK2507" s="0" t="s">
        <v>130</v>
      </c>
      <c r="CL2507" s="0" t="s">
        <v>130</v>
      </c>
      <c r="CM2507" s="0" t="s">
        <v>130</v>
      </c>
      <c r="CN2507" s="0" t="s">
        <v>130</v>
      </c>
      <c r="CO2507" s="0" t="s">
        <v>130</v>
      </c>
      <c r="CP2507" s="0" t="s">
        <v>130</v>
      </c>
      <c r="CQ2507" s="0" t="s">
        <v>130</v>
      </c>
      <c r="CR2507" s="0" t="s">
        <v>130</v>
      </c>
      <c r="CS2507" s="0" t="s">
        <v>130</v>
      </c>
      <c r="CT2507" s="0" t="s">
        <v>6816</v>
      </c>
    </row>
    <row r="2508">
      <c r="A2508" s="14">
        <v>313098</v>
      </c>
      <c r="B2508" s="0" t="s">
        <v>3614</v>
      </c>
      <c r="C2508" s="16">
        <f>HYPERLINK("https://eosportal.federatedhermes.com/companies/Q29tcGFueQppNzMyNzk=", "Ameren Corp")</f>
      </c>
      <c r="D2508" s="0" t="s">
        <v>25</v>
      </c>
      <c r="E2508" s="0" t="s">
        <v>441</v>
      </c>
      <c r="F2508" s="16">
        <f>HYPERLINK("https://eosportal.federatedhermes.com/engagements/RW5nYWdlbWVudAppMzQwNjA=", "Auditor tenure")</f>
      </c>
      <c r="G2508" s="14" t="s">
        <v>6817</v>
      </c>
      <c r="H2508" s="0" t="s">
        <v>141</v>
      </c>
      <c r="I2508" s="14" t="s">
        <v>636</v>
      </c>
      <c r="J2508" s="0" t="s">
        <v>132</v>
      </c>
      <c r="K2508" s="0" t="s">
        <v>170</v>
      </c>
      <c r="L2508" s="0" t="s">
        <v>310</v>
      </c>
      <c r="M2508" s="0" t="s">
        <v>135</v>
      </c>
      <c r="N2508" s="0" t="s">
        <v>136</v>
      </c>
      <c r="O2508" s="0" t="s">
        <v>192</v>
      </c>
      <c r="Q2508" s="0" t="s">
        <v>141</v>
      </c>
      <c r="R2508" s="0" t="s">
        <v>138</v>
      </c>
      <c r="S2508" s="14">
        <v>2</v>
      </c>
      <c r="T2508" s="0" t="s">
        <v>446</v>
      </c>
      <c r="U2508" s="0" t="s">
        <v>138</v>
      </c>
      <c r="V2508" s="14" t="s">
        <v>138</v>
      </c>
      <c r="W2508" s="0" t="s">
        <v>138</v>
      </c>
      <c r="X2508" s="14" t="s">
        <v>138</v>
      </c>
      <c r="Y2508" s="0" t="s">
        <v>138</v>
      </c>
      <c r="Z2508" s="14" t="s">
        <v>138</v>
      </c>
      <c r="AA2508" s="0" t="s">
        <v>138</v>
      </c>
      <c r="AB2508" s="14" t="s">
        <v>138</v>
      </c>
      <c r="AD2508" s="0" t="s">
        <v>138</v>
      </c>
      <c r="AF2508" s="0">
        <v>0</v>
      </c>
      <c r="AG2508" s="0">
        <v>0</v>
      </c>
      <c r="AH2508" s="0" t="s">
        <v>140</v>
      </c>
      <c r="AI2508" s="0" t="s">
        <v>138</v>
      </c>
      <c r="AK2508" s="0" t="s">
        <v>149</v>
      </c>
      <c r="AL2508" s="14"/>
      <c r="AN2508" s="14"/>
      <c r="AQ2508" s="0" t="s">
        <v>130</v>
      </c>
      <c r="AR2508" s="0" t="s">
        <v>130</v>
      </c>
      <c r="AS2508" s="0" t="s">
        <v>130</v>
      </c>
      <c r="AT2508" s="0" t="s">
        <v>130</v>
      </c>
      <c r="AU2508" s="0" t="s">
        <v>130</v>
      </c>
      <c r="AV2508" s="0" t="s">
        <v>130</v>
      </c>
      <c r="AW2508" s="0" t="s">
        <v>130</v>
      </c>
      <c r="AX2508" s="0" t="s">
        <v>130</v>
      </c>
      <c r="AY2508" s="0" t="s">
        <v>130</v>
      </c>
      <c r="AZ2508" s="0" t="s">
        <v>130</v>
      </c>
      <c r="BA2508" s="0" t="s">
        <v>130</v>
      </c>
      <c r="BB2508" s="0" t="s">
        <v>130</v>
      </c>
      <c r="BC2508" s="0" t="s">
        <v>130</v>
      </c>
      <c r="BD2508" s="0" t="s">
        <v>130</v>
      </c>
      <c r="BE2508" s="0" t="s">
        <v>130</v>
      </c>
      <c r="BF2508" s="0" t="s">
        <v>130</v>
      </c>
      <c r="BG2508" s="0" t="s">
        <v>130</v>
      </c>
      <c r="BH2508" s="0" t="s">
        <v>130</v>
      </c>
      <c r="BI2508" s="0" t="s">
        <v>130</v>
      </c>
      <c r="BJ2508" s="0" t="s">
        <v>130</v>
      </c>
      <c r="BK2508" s="0" t="s">
        <v>130</v>
      </c>
      <c r="BL2508" s="0" t="s">
        <v>130</v>
      </c>
      <c r="BM2508" s="0" t="s">
        <v>130</v>
      </c>
      <c r="BN2508" s="0" t="s">
        <v>130</v>
      </c>
      <c r="BO2508" s="0" t="s">
        <v>130</v>
      </c>
      <c r="BP2508" s="0" t="s">
        <v>130</v>
      </c>
      <c r="BQ2508" s="0" t="s">
        <v>130</v>
      </c>
      <c r="BR2508" s="0" t="s">
        <v>130</v>
      </c>
      <c r="BS2508" s="0" t="s">
        <v>130</v>
      </c>
      <c r="BT2508" s="0" t="s">
        <v>130</v>
      </c>
      <c r="BU2508" s="0" t="s">
        <v>130</v>
      </c>
      <c r="BV2508" s="0" t="s">
        <v>130</v>
      </c>
      <c r="BW2508" s="0" t="s">
        <v>130</v>
      </c>
      <c r="BX2508" s="0" t="s">
        <v>130</v>
      </c>
      <c r="BY2508" s="0" t="s">
        <v>130</v>
      </c>
      <c r="BZ2508" s="0" t="s">
        <v>130</v>
      </c>
      <c r="CA2508" s="0" t="s">
        <v>130</v>
      </c>
      <c r="CB2508" s="0" t="s">
        <v>130</v>
      </c>
      <c r="CC2508" s="0" t="s">
        <v>130</v>
      </c>
      <c r="CD2508" s="0" t="s">
        <v>130</v>
      </c>
      <c r="CE2508" s="0" t="s">
        <v>130</v>
      </c>
      <c r="CF2508" s="0" t="s">
        <v>130</v>
      </c>
      <c r="CG2508" s="0" t="s">
        <v>130</v>
      </c>
      <c r="CH2508" s="0" t="s">
        <v>130</v>
      </c>
      <c r="CI2508" s="0" t="s">
        <v>130</v>
      </c>
      <c r="CJ2508" s="0" t="s">
        <v>130</v>
      </c>
      <c r="CK2508" s="0" t="s">
        <v>130</v>
      </c>
      <c r="CL2508" s="0" t="s">
        <v>130</v>
      </c>
      <c r="CM2508" s="0" t="s">
        <v>130</v>
      </c>
      <c r="CN2508" s="0" t="s">
        <v>130</v>
      </c>
      <c r="CO2508" s="0" t="s">
        <v>130</v>
      </c>
      <c r="CP2508" s="0" t="s">
        <v>130</v>
      </c>
      <c r="CQ2508" s="0" t="s">
        <v>130</v>
      </c>
      <c r="CR2508" s="0" t="s">
        <v>130</v>
      </c>
      <c r="CS2508" s="0" t="s">
        <v>130</v>
      </c>
      <c r="CT2508" s="0" t="s">
        <v>6818</v>
      </c>
    </row>
    <row r="2509">
      <c r="A2509" s="14">
        <v>101092</v>
      </c>
      <c r="B2509" s="0" t="s">
        <v>1319</v>
      </c>
      <c r="C2509" s="16">
        <f>HYPERLINK("https://eosportal.federatedhermes.com/companies/Q29tcGFueQppNzc5MzU=", "Wells Fargo &amp; Co")</f>
      </c>
      <c r="D2509" s="0" t="s">
        <v>25</v>
      </c>
      <c r="E2509" s="0" t="s">
        <v>459</v>
      </c>
      <c r="F2509" s="16">
        <f>HYPERLINK("https://eosportal.federatedhermes.com/engagements/RW5nYWdlbWVudAppMzQwNjI=", "Human capital management")</f>
      </c>
      <c r="G2509" s="14" t="s">
        <v>6819</v>
      </c>
      <c r="H2509" s="0" t="s">
        <v>141</v>
      </c>
      <c r="I2509" s="14" t="s">
        <v>191</v>
      </c>
      <c r="J2509" s="0" t="s">
        <v>153</v>
      </c>
      <c r="K2509" s="0" t="s">
        <v>154</v>
      </c>
      <c r="L2509" s="0" t="s">
        <v>306</v>
      </c>
      <c r="M2509" s="0" t="s">
        <v>135</v>
      </c>
      <c r="N2509" s="0" t="s">
        <v>136</v>
      </c>
      <c r="O2509" s="0" t="s">
        <v>238</v>
      </c>
      <c r="Q2509" s="0" t="s">
        <v>130</v>
      </c>
      <c r="R2509" s="0" t="s">
        <v>138</v>
      </c>
      <c r="S2509" s="14">
        <v>0</v>
      </c>
      <c r="T2509" s="0" t="s">
        <v>446</v>
      </c>
      <c r="U2509" s="0" t="s">
        <v>138</v>
      </c>
      <c r="V2509" s="14" t="s">
        <v>138</v>
      </c>
      <c r="W2509" s="0" t="s">
        <v>138</v>
      </c>
      <c r="X2509" s="14" t="s">
        <v>138</v>
      </c>
      <c r="Y2509" s="0" t="s">
        <v>138</v>
      </c>
      <c r="Z2509" s="14" t="s">
        <v>138</v>
      </c>
      <c r="AA2509" s="0" t="s">
        <v>138</v>
      </c>
      <c r="AB2509" s="14" t="s">
        <v>138</v>
      </c>
      <c r="AD2509" s="0" t="s">
        <v>138</v>
      </c>
      <c r="AF2509" s="0">
        <v>0</v>
      </c>
      <c r="AG2509" s="0">
        <v>0</v>
      </c>
      <c r="AH2509" s="0" t="s">
        <v>140</v>
      </c>
      <c r="AI2509" s="0" t="s">
        <v>138</v>
      </c>
      <c r="AL2509" s="14"/>
      <c r="AN2509" s="14"/>
      <c r="AQ2509" s="0" t="s">
        <v>141</v>
      </c>
      <c r="AR2509" s="0" t="s">
        <v>130</v>
      </c>
      <c r="AS2509" s="0" t="s">
        <v>130</v>
      </c>
      <c r="AT2509" s="0" t="s">
        <v>130</v>
      </c>
      <c r="AU2509" s="0" t="s">
        <v>130</v>
      </c>
      <c r="AV2509" s="0" t="s">
        <v>130</v>
      </c>
      <c r="AW2509" s="0" t="s">
        <v>130</v>
      </c>
      <c r="AX2509" s="0" t="s">
        <v>141</v>
      </c>
      <c r="AY2509" s="0" t="s">
        <v>130</v>
      </c>
      <c r="AZ2509" s="0" t="s">
        <v>141</v>
      </c>
      <c r="BA2509" s="0" t="s">
        <v>130</v>
      </c>
      <c r="BB2509" s="0" t="s">
        <v>130</v>
      </c>
      <c r="BC2509" s="0" t="s">
        <v>130</v>
      </c>
      <c r="BD2509" s="0" t="s">
        <v>130</v>
      </c>
      <c r="BE2509" s="0" t="s">
        <v>130</v>
      </c>
      <c r="BF2509" s="0" t="s">
        <v>130</v>
      </c>
      <c r="BG2509" s="0" t="s">
        <v>130</v>
      </c>
      <c r="BH2509" s="0" t="s">
        <v>130</v>
      </c>
      <c r="BI2509" s="0" t="s">
        <v>130</v>
      </c>
      <c r="BJ2509" s="0" t="s">
        <v>130</v>
      </c>
      <c r="BK2509" s="0" t="s">
        <v>130</v>
      </c>
      <c r="BL2509" s="0" t="s">
        <v>130</v>
      </c>
      <c r="BM2509" s="0" t="s">
        <v>130</v>
      </c>
      <c r="BN2509" s="0" t="s">
        <v>130</v>
      </c>
      <c r="BO2509" s="0" t="s">
        <v>130</v>
      </c>
      <c r="BP2509" s="0" t="s">
        <v>130</v>
      </c>
      <c r="BQ2509" s="0" t="s">
        <v>130</v>
      </c>
      <c r="BR2509" s="0" t="s">
        <v>130</v>
      </c>
      <c r="BS2509" s="0" t="s">
        <v>130</v>
      </c>
      <c r="BT2509" s="0" t="s">
        <v>130</v>
      </c>
      <c r="BU2509" s="0" t="s">
        <v>130</v>
      </c>
      <c r="BV2509" s="0" t="s">
        <v>130</v>
      </c>
      <c r="BW2509" s="0" t="s">
        <v>130</v>
      </c>
      <c r="BX2509" s="0" t="s">
        <v>130</v>
      </c>
      <c r="BY2509" s="0" t="s">
        <v>130</v>
      </c>
      <c r="BZ2509" s="0" t="s">
        <v>130</v>
      </c>
      <c r="CA2509" s="0" t="s">
        <v>130</v>
      </c>
      <c r="CB2509" s="0" t="s">
        <v>130</v>
      </c>
      <c r="CC2509" s="0" t="s">
        <v>130</v>
      </c>
      <c r="CD2509" s="0" t="s">
        <v>130</v>
      </c>
      <c r="CE2509" s="0" t="s">
        <v>130</v>
      </c>
      <c r="CF2509" s="0" t="s">
        <v>130</v>
      </c>
      <c r="CG2509" s="0" t="s">
        <v>130</v>
      </c>
      <c r="CH2509" s="0" t="s">
        <v>130</v>
      </c>
      <c r="CI2509" s="0" t="s">
        <v>130</v>
      </c>
      <c r="CJ2509" s="0" t="s">
        <v>130</v>
      </c>
      <c r="CK2509" s="0" t="s">
        <v>130</v>
      </c>
      <c r="CL2509" s="0" t="s">
        <v>130</v>
      </c>
      <c r="CM2509" s="0" t="s">
        <v>130</v>
      </c>
      <c r="CN2509" s="0" t="s">
        <v>130</v>
      </c>
      <c r="CO2509" s="0" t="s">
        <v>130</v>
      </c>
      <c r="CP2509" s="0" t="s">
        <v>130</v>
      </c>
      <c r="CQ2509" s="0" t="s">
        <v>130</v>
      </c>
      <c r="CR2509" s="0" t="s">
        <v>130</v>
      </c>
      <c r="CS2509" s="0" t="s">
        <v>130</v>
      </c>
      <c r="CT2509" s="0" t="s">
        <v>6820</v>
      </c>
    </row>
    <row r="2510">
      <c r="A2510" s="14">
        <v>18154628</v>
      </c>
      <c r="B2510" s="0" t="s">
        <v>4393</v>
      </c>
      <c r="C2510" s="16">
        <f>HYPERLINK("https://eosportal.federatedhermes.com/companies/Q29tcGFueQppODUyMTU=", "AIA Group Ltd")</f>
      </c>
      <c r="D2510" s="0" t="s">
        <v>25</v>
      </c>
      <c r="E2510" s="0" t="s">
        <v>2508</v>
      </c>
      <c r="F2510" s="16">
        <f>HYPERLINK("https://eosportal.federatedhermes.com/engagements/RW5nYWdlbWVudAppMzQwNjQ=", "Capital allocation")</f>
      </c>
      <c r="G2510" s="14" t="s">
        <v>6821</v>
      </c>
      <c r="H2510" s="0" t="s">
        <v>141</v>
      </c>
      <c r="I2510" s="14" t="s">
        <v>131</v>
      </c>
      <c r="J2510" s="0" t="s">
        <v>132</v>
      </c>
      <c r="K2510" s="0" t="s">
        <v>133</v>
      </c>
      <c r="L2510" s="0" t="s">
        <v>753</v>
      </c>
      <c r="M2510" s="0" t="s">
        <v>802</v>
      </c>
      <c r="N2510" s="0" t="s">
        <v>803</v>
      </c>
      <c r="O2510" s="0" t="s">
        <v>238</v>
      </c>
      <c r="Q2510" s="0" t="s">
        <v>130</v>
      </c>
      <c r="R2510" s="0" t="s">
        <v>138</v>
      </c>
      <c r="S2510" s="14">
        <v>0</v>
      </c>
      <c r="T2510" s="0" t="s">
        <v>446</v>
      </c>
      <c r="U2510" s="0" t="s">
        <v>138</v>
      </c>
      <c r="V2510" s="14" t="s">
        <v>138</v>
      </c>
      <c r="W2510" s="0" t="s">
        <v>138</v>
      </c>
      <c r="X2510" s="14" t="s">
        <v>138</v>
      </c>
      <c r="Y2510" s="0" t="s">
        <v>138</v>
      </c>
      <c r="Z2510" s="14" t="s">
        <v>138</v>
      </c>
      <c r="AA2510" s="0" t="s">
        <v>138</v>
      </c>
      <c r="AB2510" s="14" t="s">
        <v>138</v>
      </c>
      <c r="AD2510" s="0" t="s">
        <v>138</v>
      </c>
      <c r="AF2510" s="0">
        <v>0</v>
      </c>
      <c r="AG2510" s="0">
        <v>0</v>
      </c>
      <c r="AH2510" s="0" t="s">
        <v>140</v>
      </c>
      <c r="AI2510" s="0" t="s">
        <v>138</v>
      </c>
      <c r="AL2510" s="14"/>
      <c r="AN2510" s="14"/>
      <c r="AQ2510" s="0" t="s">
        <v>130</v>
      </c>
      <c r="AR2510" s="0" t="s">
        <v>130</v>
      </c>
      <c r="AS2510" s="0" t="s">
        <v>130</v>
      </c>
      <c r="AT2510" s="0" t="s">
        <v>130</v>
      </c>
      <c r="AU2510" s="0" t="s">
        <v>130</v>
      </c>
      <c r="AV2510" s="0" t="s">
        <v>130</v>
      </c>
      <c r="AW2510" s="0" t="s">
        <v>130</v>
      </c>
      <c r="AX2510" s="0" t="s">
        <v>130</v>
      </c>
      <c r="AY2510" s="0" t="s">
        <v>130</v>
      </c>
      <c r="AZ2510" s="0" t="s">
        <v>130</v>
      </c>
      <c r="BA2510" s="0" t="s">
        <v>130</v>
      </c>
      <c r="BB2510" s="0" t="s">
        <v>130</v>
      </c>
      <c r="BC2510" s="0" t="s">
        <v>130</v>
      </c>
      <c r="BD2510" s="0" t="s">
        <v>130</v>
      </c>
      <c r="BE2510" s="0" t="s">
        <v>130</v>
      </c>
      <c r="BF2510" s="0" t="s">
        <v>130</v>
      </c>
      <c r="BG2510" s="0" t="s">
        <v>130</v>
      </c>
      <c r="BH2510" s="0" t="s">
        <v>130</v>
      </c>
      <c r="BI2510" s="0" t="s">
        <v>130</v>
      </c>
      <c r="BJ2510" s="0" t="s">
        <v>130</v>
      </c>
      <c r="BK2510" s="0" t="s">
        <v>130</v>
      </c>
      <c r="BL2510" s="0" t="s">
        <v>130</v>
      </c>
      <c r="BM2510" s="0" t="s">
        <v>130</v>
      </c>
      <c r="BN2510" s="0" t="s">
        <v>130</v>
      </c>
      <c r="BO2510" s="0" t="s">
        <v>130</v>
      </c>
      <c r="BP2510" s="0" t="s">
        <v>130</v>
      </c>
      <c r="BQ2510" s="0" t="s">
        <v>130</v>
      </c>
      <c r="BR2510" s="0" t="s">
        <v>130</v>
      </c>
      <c r="BS2510" s="0" t="s">
        <v>130</v>
      </c>
      <c r="BT2510" s="0" t="s">
        <v>130</v>
      </c>
      <c r="BU2510" s="0" t="s">
        <v>130</v>
      </c>
      <c r="BV2510" s="0" t="s">
        <v>130</v>
      </c>
      <c r="BW2510" s="0" t="s">
        <v>130</v>
      </c>
      <c r="BX2510" s="0" t="s">
        <v>130</v>
      </c>
      <c r="BY2510" s="0" t="s">
        <v>130</v>
      </c>
      <c r="BZ2510" s="0" t="s">
        <v>130</v>
      </c>
      <c r="CA2510" s="0" t="s">
        <v>130</v>
      </c>
      <c r="CB2510" s="0" t="s">
        <v>130</v>
      </c>
      <c r="CC2510" s="0" t="s">
        <v>130</v>
      </c>
      <c r="CD2510" s="0" t="s">
        <v>130</v>
      </c>
      <c r="CE2510" s="0" t="s">
        <v>130</v>
      </c>
      <c r="CF2510" s="0" t="s">
        <v>130</v>
      </c>
      <c r="CG2510" s="0" t="s">
        <v>130</v>
      </c>
      <c r="CH2510" s="0" t="s">
        <v>130</v>
      </c>
      <c r="CI2510" s="0" t="s">
        <v>130</v>
      </c>
      <c r="CJ2510" s="0" t="s">
        <v>130</v>
      </c>
      <c r="CK2510" s="0" t="s">
        <v>130</v>
      </c>
      <c r="CL2510" s="0" t="s">
        <v>130</v>
      </c>
      <c r="CM2510" s="0" t="s">
        <v>130</v>
      </c>
      <c r="CN2510" s="0" t="s">
        <v>130</v>
      </c>
      <c r="CO2510" s="0" t="s">
        <v>130</v>
      </c>
      <c r="CP2510" s="0" t="s">
        <v>130</v>
      </c>
      <c r="CQ2510" s="0" t="s">
        <v>130</v>
      </c>
      <c r="CR2510" s="0" t="s">
        <v>130</v>
      </c>
      <c r="CS2510" s="0" t="s">
        <v>130</v>
      </c>
      <c r="CT2510" s="0" t="s">
        <v>6822</v>
      </c>
    </row>
    <row r="2511">
      <c r="A2511" s="14">
        <v>11583006</v>
      </c>
      <c r="B2511" s="0" t="s">
        <v>4054</v>
      </c>
      <c r="C2511" s="16">
        <f>HYPERLINK("https://eosportal.federatedhermes.com/companies/Q29tcGFueQppODUyMTc=", "Rexel SA")</f>
      </c>
      <c r="D2511" s="0" t="s">
        <v>25</v>
      </c>
      <c r="E2511" s="0" t="s">
        <v>6823</v>
      </c>
      <c r="F2511" s="16">
        <f>HYPERLINK("https://eosportal.federatedhermes.com/engagements/RW5nYWdlbWVudAppMzQwNjY=", "Lack of shareholding requirements")</f>
      </c>
      <c r="G2511" s="14" t="s">
        <v>6824</v>
      </c>
      <c r="H2511" s="0" t="s">
        <v>130</v>
      </c>
      <c r="I2511" s="14" t="s">
        <v>131</v>
      </c>
      <c r="J2511" s="0" t="s">
        <v>145</v>
      </c>
      <c r="K2511" s="0" t="s">
        <v>146</v>
      </c>
      <c r="L2511" s="0" t="s">
        <v>147</v>
      </c>
      <c r="M2511" s="0" t="s">
        <v>378</v>
      </c>
      <c r="N2511" s="0" t="s">
        <v>1646</v>
      </c>
      <c r="O2511" s="0" t="s">
        <v>176</v>
      </c>
      <c r="Q2511" s="0" t="s">
        <v>130</v>
      </c>
      <c r="R2511" s="0" t="s">
        <v>138</v>
      </c>
      <c r="S2511" s="14">
        <v>0</v>
      </c>
      <c r="T2511" s="0" t="s">
        <v>446</v>
      </c>
      <c r="U2511" s="0" t="s">
        <v>138</v>
      </c>
      <c r="V2511" s="14" t="s">
        <v>138</v>
      </c>
      <c r="W2511" s="0" t="s">
        <v>138</v>
      </c>
      <c r="X2511" s="14" t="s">
        <v>138</v>
      </c>
      <c r="Y2511" s="0" t="s">
        <v>138</v>
      </c>
      <c r="Z2511" s="14" t="s">
        <v>138</v>
      </c>
      <c r="AA2511" s="0" t="s">
        <v>138</v>
      </c>
      <c r="AB2511" s="14" t="s">
        <v>138</v>
      </c>
      <c r="AD2511" s="0" t="s">
        <v>138</v>
      </c>
      <c r="AF2511" s="0">
        <v>0</v>
      </c>
      <c r="AG2511" s="0">
        <v>0</v>
      </c>
      <c r="AH2511" s="0" t="s">
        <v>140</v>
      </c>
      <c r="AI2511" s="0" t="s">
        <v>138</v>
      </c>
      <c r="AL2511" s="14"/>
      <c r="AN2511" s="14"/>
      <c r="AQ2511" s="0" t="s">
        <v>130</v>
      </c>
      <c r="AR2511" s="0" t="s">
        <v>130</v>
      </c>
      <c r="AS2511" s="0" t="s">
        <v>130</v>
      </c>
      <c r="AT2511" s="0" t="s">
        <v>130</v>
      </c>
      <c r="AU2511" s="0" t="s">
        <v>130</v>
      </c>
      <c r="AV2511" s="0" t="s">
        <v>130</v>
      </c>
      <c r="AW2511" s="0" t="s">
        <v>130</v>
      </c>
      <c r="AX2511" s="0" t="s">
        <v>130</v>
      </c>
      <c r="AY2511" s="0" t="s">
        <v>130</v>
      </c>
      <c r="AZ2511" s="0" t="s">
        <v>130</v>
      </c>
      <c r="BA2511" s="0" t="s">
        <v>130</v>
      </c>
      <c r="BB2511" s="0" t="s">
        <v>130</v>
      </c>
      <c r="BC2511" s="0" t="s">
        <v>130</v>
      </c>
      <c r="BD2511" s="0" t="s">
        <v>130</v>
      </c>
      <c r="BE2511" s="0" t="s">
        <v>130</v>
      </c>
      <c r="BF2511" s="0" t="s">
        <v>130</v>
      </c>
      <c r="BG2511" s="0" t="s">
        <v>130</v>
      </c>
      <c r="BH2511" s="0" t="s">
        <v>130</v>
      </c>
      <c r="BI2511" s="0" t="s">
        <v>130</v>
      </c>
      <c r="BJ2511" s="0" t="s">
        <v>130</v>
      </c>
      <c r="BK2511" s="0" t="s">
        <v>130</v>
      </c>
      <c r="BL2511" s="0" t="s">
        <v>130</v>
      </c>
      <c r="BM2511" s="0" t="s">
        <v>130</v>
      </c>
      <c r="BN2511" s="0" t="s">
        <v>130</v>
      </c>
      <c r="BO2511" s="0" t="s">
        <v>130</v>
      </c>
      <c r="BP2511" s="0" t="s">
        <v>130</v>
      </c>
      <c r="BQ2511" s="0" t="s">
        <v>130</v>
      </c>
      <c r="BR2511" s="0" t="s">
        <v>130</v>
      </c>
      <c r="BS2511" s="0" t="s">
        <v>130</v>
      </c>
      <c r="BT2511" s="0" t="s">
        <v>130</v>
      </c>
      <c r="BU2511" s="0" t="s">
        <v>130</v>
      </c>
      <c r="BV2511" s="0" t="s">
        <v>130</v>
      </c>
      <c r="BW2511" s="0" t="s">
        <v>130</v>
      </c>
      <c r="BX2511" s="0" t="s">
        <v>130</v>
      </c>
      <c r="BY2511" s="0" t="s">
        <v>130</v>
      </c>
      <c r="BZ2511" s="0" t="s">
        <v>130</v>
      </c>
      <c r="CA2511" s="0" t="s">
        <v>130</v>
      </c>
      <c r="CB2511" s="0" t="s">
        <v>130</v>
      </c>
      <c r="CC2511" s="0" t="s">
        <v>130</v>
      </c>
      <c r="CD2511" s="0" t="s">
        <v>130</v>
      </c>
      <c r="CE2511" s="0" t="s">
        <v>130</v>
      </c>
      <c r="CF2511" s="0" t="s">
        <v>130</v>
      </c>
      <c r="CG2511" s="0" t="s">
        <v>130</v>
      </c>
      <c r="CH2511" s="0" t="s">
        <v>130</v>
      </c>
      <c r="CI2511" s="0" t="s">
        <v>130</v>
      </c>
      <c r="CJ2511" s="0" t="s">
        <v>130</v>
      </c>
      <c r="CK2511" s="0" t="s">
        <v>130</v>
      </c>
      <c r="CL2511" s="0" t="s">
        <v>130</v>
      </c>
      <c r="CM2511" s="0" t="s">
        <v>130</v>
      </c>
      <c r="CN2511" s="0" t="s">
        <v>130</v>
      </c>
      <c r="CO2511" s="0" t="s">
        <v>130</v>
      </c>
      <c r="CP2511" s="0" t="s">
        <v>130</v>
      </c>
      <c r="CQ2511" s="0" t="s">
        <v>130</v>
      </c>
      <c r="CR2511" s="0" t="s">
        <v>130</v>
      </c>
      <c r="CS2511" s="0" t="s">
        <v>130</v>
      </c>
      <c r="CT2511" s="0" t="s">
        <v>6825</v>
      </c>
    </row>
    <row r="2512">
      <c r="A2512" s="14">
        <v>115268</v>
      </c>
      <c r="B2512" s="0" t="s">
        <v>2415</v>
      </c>
      <c r="C2512" s="16">
        <f>HYPERLINK("https://eosportal.federatedhermes.com/companies/Q29tcGFueQppODU4NzM=", "Carrefour SA")</f>
      </c>
      <c r="D2512" s="0" t="s">
        <v>25</v>
      </c>
      <c r="E2512" s="0" t="s">
        <v>3350</v>
      </c>
      <c r="F2512" s="16">
        <f>HYPERLINK("https://eosportal.federatedhermes.com/engagements/RW5nYWdlbWVudAppMzQwNzQ=", "Human Rights")</f>
      </c>
      <c r="G2512" s="14" t="s">
        <v>6826</v>
      </c>
      <c r="H2512" s="0" t="s">
        <v>141</v>
      </c>
      <c r="I2512" s="14" t="s">
        <v>131</v>
      </c>
      <c r="J2512" s="0" t="s">
        <v>153</v>
      </c>
      <c r="K2512" s="0" t="s">
        <v>243</v>
      </c>
      <c r="L2512" s="0" t="s">
        <v>456</v>
      </c>
      <c r="M2512" s="0" t="s">
        <v>378</v>
      </c>
      <c r="N2512" s="0" t="s">
        <v>1646</v>
      </c>
      <c r="O2512" s="0" t="s">
        <v>643</v>
      </c>
      <c r="Q2512" s="0" t="s">
        <v>141</v>
      </c>
      <c r="R2512" s="0" t="s">
        <v>138</v>
      </c>
      <c r="S2512" s="14">
        <v>1</v>
      </c>
      <c r="T2512" s="0" t="s">
        <v>446</v>
      </c>
      <c r="U2512" s="0" t="s">
        <v>138</v>
      </c>
      <c r="V2512" s="14" t="s">
        <v>138</v>
      </c>
      <c r="W2512" s="0" t="s">
        <v>138</v>
      </c>
      <c r="X2512" s="14" t="s">
        <v>138</v>
      </c>
      <c r="Y2512" s="0" t="s">
        <v>138</v>
      </c>
      <c r="Z2512" s="14" t="s">
        <v>138</v>
      </c>
      <c r="AA2512" s="0" t="s">
        <v>138</v>
      </c>
      <c r="AB2512" s="14" t="s">
        <v>138</v>
      </c>
      <c r="AD2512" s="0" t="s">
        <v>138</v>
      </c>
      <c r="AF2512" s="0">
        <v>0</v>
      </c>
      <c r="AG2512" s="0">
        <v>0</v>
      </c>
      <c r="AH2512" s="0" t="s">
        <v>140</v>
      </c>
      <c r="AI2512" s="0" t="s">
        <v>138</v>
      </c>
      <c r="AK2512" s="0" t="s">
        <v>1439</v>
      </c>
      <c r="AL2512" s="14"/>
      <c r="AN2512" s="14"/>
      <c r="AQ2512" s="0" t="s">
        <v>130</v>
      </c>
      <c r="AR2512" s="0" t="s">
        <v>130</v>
      </c>
      <c r="AS2512" s="0" t="s">
        <v>130</v>
      </c>
      <c r="AT2512" s="0" t="s">
        <v>130</v>
      </c>
      <c r="AU2512" s="0" t="s">
        <v>130</v>
      </c>
      <c r="AV2512" s="0" t="s">
        <v>130</v>
      </c>
      <c r="AW2512" s="0" t="s">
        <v>130</v>
      </c>
      <c r="AX2512" s="0" t="s">
        <v>141</v>
      </c>
      <c r="AY2512" s="0" t="s">
        <v>130</v>
      </c>
      <c r="AZ2512" s="0" t="s">
        <v>130</v>
      </c>
      <c r="BA2512" s="0" t="s">
        <v>130</v>
      </c>
      <c r="BB2512" s="0" t="s">
        <v>130</v>
      </c>
      <c r="BC2512" s="0" t="s">
        <v>130</v>
      </c>
      <c r="BD2512" s="0" t="s">
        <v>130</v>
      </c>
      <c r="BE2512" s="0" t="s">
        <v>130</v>
      </c>
      <c r="BF2512" s="0" t="s">
        <v>141</v>
      </c>
      <c r="BG2512" s="0" t="s">
        <v>130</v>
      </c>
      <c r="BH2512" s="0" t="s">
        <v>130</v>
      </c>
      <c r="BI2512" s="0" t="s">
        <v>130</v>
      </c>
      <c r="BJ2512" s="0" t="s">
        <v>130</v>
      </c>
      <c r="BK2512" s="0" t="s">
        <v>130</v>
      </c>
      <c r="BL2512" s="0" t="s">
        <v>130</v>
      </c>
      <c r="BM2512" s="0" t="s">
        <v>130</v>
      </c>
      <c r="BN2512" s="0" t="s">
        <v>130</v>
      </c>
      <c r="BO2512" s="0" t="s">
        <v>130</v>
      </c>
      <c r="BP2512" s="0" t="s">
        <v>130</v>
      </c>
      <c r="BQ2512" s="0" t="s">
        <v>130</v>
      </c>
      <c r="BR2512" s="0" t="s">
        <v>130</v>
      </c>
      <c r="BS2512" s="0" t="s">
        <v>130</v>
      </c>
      <c r="BT2512" s="0" t="s">
        <v>130</v>
      </c>
      <c r="BU2512" s="0" t="s">
        <v>130</v>
      </c>
      <c r="BV2512" s="0" t="s">
        <v>130</v>
      </c>
      <c r="BW2512" s="0" t="s">
        <v>130</v>
      </c>
      <c r="BX2512" s="0" t="s">
        <v>130</v>
      </c>
      <c r="BY2512" s="0" t="s">
        <v>130</v>
      </c>
      <c r="BZ2512" s="0" t="s">
        <v>130</v>
      </c>
      <c r="CA2512" s="0" t="s">
        <v>130</v>
      </c>
      <c r="CB2512" s="0" t="s">
        <v>130</v>
      </c>
      <c r="CC2512" s="0" t="s">
        <v>130</v>
      </c>
      <c r="CD2512" s="0" t="s">
        <v>130</v>
      </c>
      <c r="CE2512" s="0" t="s">
        <v>130</v>
      </c>
      <c r="CF2512" s="0" t="s">
        <v>130</v>
      </c>
      <c r="CG2512" s="0" t="s">
        <v>130</v>
      </c>
      <c r="CH2512" s="0" t="s">
        <v>130</v>
      </c>
      <c r="CI2512" s="0" t="s">
        <v>130</v>
      </c>
      <c r="CJ2512" s="0" t="s">
        <v>130</v>
      </c>
      <c r="CK2512" s="0" t="s">
        <v>130</v>
      </c>
      <c r="CL2512" s="0" t="s">
        <v>130</v>
      </c>
      <c r="CM2512" s="0" t="s">
        <v>130</v>
      </c>
      <c r="CN2512" s="0" t="s">
        <v>130</v>
      </c>
      <c r="CO2512" s="0" t="s">
        <v>130</v>
      </c>
      <c r="CP2512" s="0" t="s">
        <v>130</v>
      </c>
      <c r="CQ2512" s="0" t="s">
        <v>130</v>
      </c>
      <c r="CR2512" s="0" t="s">
        <v>130</v>
      </c>
      <c r="CS2512" s="0" t="s">
        <v>130</v>
      </c>
      <c r="CT2512" s="0" t="s">
        <v>6827</v>
      </c>
    </row>
    <row r="2513">
      <c r="A2513" s="14">
        <v>136124</v>
      </c>
      <c r="B2513" s="0" t="s">
        <v>3066</v>
      </c>
      <c r="C2513" s="16">
        <f>HYPERLINK("https://eosportal.federatedhermes.com/companies/Q29tcGFueQppODQ3NTU=", "AP Moller - Maersk A/S")</f>
      </c>
      <c r="D2513" s="0" t="s">
        <v>25</v>
      </c>
      <c r="E2513" s="0" t="s">
        <v>6828</v>
      </c>
      <c r="F2513" s="16">
        <f>HYPERLINK("https://eosportal.federatedhermes.com/engagements/RW5nYWdlbWVudAppMzQwNzg=", "Svitzer Demerger")</f>
      </c>
      <c r="G2513" s="14" t="s">
        <v>6829</v>
      </c>
      <c r="H2513" s="0" t="s">
        <v>141</v>
      </c>
      <c r="I2513" s="14" t="s">
        <v>191</v>
      </c>
      <c r="J2513" s="0" t="s">
        <v>145</v>
      </c>
      <c r="K2513" s="0" t="s">
        <v>400</v>
      </c>
      <c r="L2513" s="0" t="s">
        <v>507</v>
      </c>
      <c r="M2513" s="0" t="s">
        <v>378</v>
      </c>
      <c r="N2513" s="0" t="s">
        <v>1339</v>
      </c>
      <c r="O2513" s="0" t="s">
        <v>425</v>
      </c>
      <c r="Q2513" s="0" t="s">
        <v>130</v>
      </c>
      <c r="R2513" s="0" t="s">
        <v>138</v>
      </c>
      <c r="S2513" s="14">
        <v>0</v>
      </c>
      <c r="T2513" s="0" t="s">
        <v>446</v>
      </c>
      <c r="U2513" s="0" t="s">
        <v>138</v>
      </c>
      <c r="V2513" s="14" t="s">
        <v>138</v>
      </c>
      <c r="W2513" s="0" t="s">
        <v>138</v>
      </c>
      <c r="X2513" s="14" t="s">
        <v>138</v>
      </c>
      <c r="Y2513" s="0" t="s">
        <v>138</v>
      </c>
      <c r="Z2513" s="14" t="s">
        <v>138</v>
      </c>
      <c r="AA2513" s="0" t="s">
        <v>138</v>
      </c>
      <c r="AB2513" s="14" t="s">
        <v>138</v>
      </c>
      <c r="AD2513" s="0" t="s">
        <v>138</v>
      </c>
      <c r="AF2513" s="0">
        <v>0</v>
      </c>
      <c r="AG2513" s="0">
        <v>0</v>
      </c>
      <c r="AH2513" s="0" t="s">
        <v>140</v>
      </c>
      <c r="AI2513" s="0" t="s">
        <v>138</v>
      </c>
      <c r="AL2513" s="14"/>
      <c r="AN2513" s="14"/>
      <c r="AQ2513" s="0" t="s">
        <v>130</v>
      </c>
      <c r="AR2513" s="0" t="s">
        <v>130</v>
      </c>
      <c r="AS2513" s="0" t="s">
        <v>130</v>
      </c>
      <c r="AT2513" s="0" t="s">
        <v>130</v>
      </c>
      <c r="AU2513" s="0" t="s">
        <v>130</v>
      </c>
      <c r="AV2513" s="0" t="s">
        <v>130</v>
      </c>
      <c r="AW2513" s="0" t="s">
        <v>130</v>
      </c>
      <c r="AX2513" s="0" t="s">
        <v>130</v>
      </c>
      <c r="AY2513" s="0" t="s">
        <v>130</v>
      </c>
      <c r="AZ2513" s="0" t="s">
        <v>130</v>
      </c>
      <c r="BA2513" s="0" t="s">
        <v>130</v>
      </c>
      <c r="BB2513" s="0" t="s">
        <v>130</v>
      </c>
      <c r="BC2513" s="0" t="s">
        <v>130</v>
      </c>
      <c r="BD2513" s="0" t="s">
        <v>130</v>
      </c>
      <c r="BE2513" s="0" t="s">
        <v>130</v>
      </c>
      <c r="BF2513" s="0" t="s">
        <v>130</v>
      </c>
      <c r="BG2513" s="0" t="s">
        <v>130</v>
      </c>
      <c r="BH2513" s="0" t="s">
        <v>130</v>
      </c>
      <c r="BI2513" s="0" t="s">
        <v>130</v>
      </c>
      <c r="BJ2513" s="0" t="s">
        <v>130</v>
      </c>
      <c r="BK2513" s="0" t="s">
        <v>130</v>
      </c>
      <c r="BL2513" s="0" t="s">
        <v>130</v>
      </c>
      <c r="BM2513" s="0" t="s">
        <v>130</v>
      </c>
      <c r="BN2513" s="0" t="s">
        <v>130</v>
      </c>
      <c r="BO2513" s="0" t="s">
        <v>130</v>
      </c>
      <c r="BP2513" s="0" t="s">
        <v>130</v>
      </c>
      <c r="BQ2513" s="0" t="s">
        <v>130</v>
      </c>
      <c r="BR2513" s="0" t="s">
        <v>130</v>
      </c>
      <c r="BS2513" s="0" t="s">
        <v>130</v>
      </c>
      <c r="BT2513" s="0" t="s">
        <v>130</v>
      </c>
      <c r="BU2513" s="0" t="s">
        <v>130</v>
      </c>
      <c r="BV2513" s="0" t="s">
        <v>130</v>
      </c>
      <c r="BW2513" s="0" t="s">
        <v>130</v>
      </c>
      <c r="BX2513" s="0" t="s">
        <v>130</v>
      </c>
      <c r="BY2513" s="0" t="s">
        <v>130</v>
      </c>
      <c r="BZ2513" s="0" t="s">
        <v>130</v>
      </c>
      <c r="CA2513" s="0" t="s">
        <v>130</v>
      </c>
      <c r="CB2513" s="0" t="s">
        <v>130</v>
      </c>
      <c r="CC2513" s="0" t="s">
        <v>130</v>
      </c>
      <c r="CD2513" s="0" t="s">
        <v>130</v>
      </c>
      <c r="CE2513" s="0" t="s">
        <v>130</v>
      </c>
      <c r="CF2513" s="0" t="s">
        <v>130</v>
      </c>
      <c r="CG2513" s="0" t="s">
        <v>130</v>
      </c>
      <c r="CH2513" s="0" t="s">
        <v>130</v>
      </c>
      <c r="CI2513" s="0" t="s">
        <v>130</v>
      </c>
      <c r="CJ2513" s="0" t="s">
        <v>130</v>
      </c>
      <c r="CK2513" s="0" t="s">
        <v>130</v>
      </c>
      <c r="CL2513" s="0" t="s">
        <v>130</v>
      </c>
      <c r="CM2513" s="0" t="s">
        <v>130</v>
      </c>
      <c r="CN2513" s="0" t="s">
        <v>130</v>
      </c>
      <c r="CO2513" s="0" t="s">
        <v>130</v>
      </c>
      <c r="CP2513" s="0" t="s">
        <v>130</v>
      </c>
      <c r="CQ2513" s="0" t="s">
        <v>130</v>
      </c>
      <c r="CR2513" s="0" t="s">
        <v>130</v>
      </c>
      <c r="CS2513" s="0" t="s">
        <v>130</v>
      </c>
      <c r="CT2513" s="0" t="s">
        <v>6830</v>
      </c>
    </row>
    <row r="2514">
      <c r="A2514" s="14">
        <v>180001</v>
      </c>
      <c r="B2514" s="0" t="s">
        <v>3137</v>
      </c>
      <c r="C2514" s="16">
        <f>HYPERLINK("https://eosportal.federatedhermes.com/companies/Q29tcGFueQppNzcwNDM=", "adidas AG")</f>
      </c>
      <c r="D2514" s="0" t="s">
        <v>25</v>
      </c>
      <c r="E2514" s="0" t="s">
        <v>6831</v>
      </c>
      <c r="F2514" s="16">
        <f>HYPERLINK("https://eosportal.federatedhermes.com/engagements/RW5nYWdlbWVudAppMzQwODA=", "Overboarding")</f>
      </c>
      <c r="G2514" s="14" t="s">
        <v>6832</v>
      </c>
      <c r="H2514" s="0" t="s">
        <v>141</v>
      </c>
      <c r="I2514" s="14" t="s">
        <v>191</v>
      </c>
      <c r="J2514" s="0" t="s">
        <v>145</v>
      </c>
      <c r="K2514" s="0" t="s">
        <v>164</v>
      </c>
      <c r="L2514" s="0" t="s">
        <v>970</v>
      </c>
      <c r="M2514" s="0" t="s">
        <v>378</v>
      </c>
      <c r="N2514" s="0" t="s">
        <v>2485</v>
      </c>
      <c r="O2514" s="0" t="s">
        <v>332</v>
      </c>
      <c r="Q2514" s="0" t="s">
        <v>130</v>
      </c>
      <c r="R2514" s="0" t="s">
        <v>138</v>
      </c>
      <c r="S2514" s="14">
        <v>0</v>
      </c>
      <c r="T2514" s="0" t="s">
        <v>446</v>
      </c>
      <c r="U2514" s="0" t="s">
        <v>138</v>
      </c>
      <c r="V2514" s="14" t="s">
        <v>138</v>
      </c>
      <c r="W2514" s="0" t="s">
        <v>138</v>
      </c>
      <c r="X2514" s="14" t="s">
        <v>138</v>
      </c>
      <c r="Y2514" s="0" t="s">
        <v>138</v>
      </c>
      <c r="Z2514" s="14" t="s">
        <v>138</v>
      </c>
      <c r="AA2514" s="0" t="s">
        <v>138</v>
      </c>
      <c r="AB2514" s="14" t="s">
        <v>138</v>
      </c>
      <c r="AD2514" s="0" t="s">
        <v>138</v>
      </c>
      <c r="AF2514" s="0">
        <v>0</v>
      </c>
      <c r="AG2514" s="0">
        <v>0</v>
      </c>
      <c r="AH2514" s="0" t="s">
        <v>140</v>
      </c>
      <c r="AI2514" s="0" t="s">
        <v>138</v>
      </c>
      <c r="AL2514" s="14"/>
      <c r="AN2514" s="14"/>
      <c r="AQ2514" s="0" t="s">
        <v>130</v>
      </c>
      <c r="AR2514" s="0" t="s">
        <v>130</v>
      </c>
      <c r="AS2514" s="0" t="s">
        <v>130</v>
      </c>
      <c r="AT2514" s="0" t="s">
        <v>130</v>
      </c>
      <c r="AU2514" s="0" t="s">
        <v>130</v>
      </c>
      <c r="AV2514" s="0" t="s">
        <v>130</v>
      </c>
      <c r="AW2514" s="0" t="s">
        <v>130</v>
      </c>
      <c r="AX2514" s="0" t="s">
        <v>130</v>
      </c>
      <c r="AY2514" s="0" t="s">
        <v>130</v>
      </c>
      <c r="AZ2514" s="0" t="s">
        <v>130</v>
      </c>
      <c r="BA2514" s="0" t="s">
        <v>130</v>
      </c>
      <c r="BB2514" s="0" t="s">
        <v>130</v>
      </c>
      <c r="BC2514" s="0" t="s">
        <v>130</v>
      </c>
      <c r="BD2514" s="0" t="s">
        <v>130</v>
      </c>
      <c r="BE2514" s="0" t="s">
        <v>130</v>
      </c>
      <c r="BF2514" s="0" t="s">
        <v>130</v>
      </c>
      <c r="BG2514" s="0" t="s">
        <v>130</v>
      </c>
      <c r="BH2514" s="0" t="s">
        <v>130</v>
      </c>
      <c r="BI2514" s="0" t="s">
        <v>130</v>
      </c>
      <c r="BJ2514" s="0" t="s">
        <v>130</v>
      </c>
      <c r="BK2514" s="0" t="s">
        <v>130</v>
      </c>
      <c r="BL2514" s="0" t="s">
        <v>130</v>
      </c>
      <c r="BM2514" s="0" t="s">
        <v>130</v>
      </c>
      <c r="BN2514" s="0" t="s">
        <v>130</v>
      </c>
      <c r="BO2514" s="0" t="s">
        <v>130</v>
      </c>
      <c r="BP2514" s="0" t="s">
        <v>130</v>
      </c>
      <c r="BQ2514" s="0" t="s">
        <v>130</v>
      </c>
      <c r="BR2514" s="0" t="s">
        <v>130</v>
      </c>
      <c r="BS2514" s="0" t="s">
        <v>130</v>
      </c>
      <c r="BT2514" s="0" t="s">
        <v>130</v>
      </c>
      <c r="BU2514" s="0" t="s">
        <v>130</v>
      </c>
      <c r="BV2514" s="0" t="s">
        <v>130</v>
      </c>
      <c r="BW2514" s="0" t="s">
        <v>130</v>
      </c>
      <c r="BX2514" s="0" t="s">
        <v>130</v>
      </c>
      <c r="BY2514" s="0" t="s">
        <v>130</v>
      </c>
      <c r="BZ2514" s="0" t="s">
        <v>130</v>
      </c>
      <c r="CA2514" s="0" t="s">
        <v>130</v>
      </c>
      <c r="CB2514" s="0" t="s">
        <v>130</v>
      </c>
      <c r="CC2514" s="0" t="s">
        <v>130</v>
      </c>
      <c r="CD2514" s="0" t="s">
        <v>130</v>
      </c>
      <c r="CE2514" s="0" t="s">
        <v>130</v>
      </c>
      <c r="CF2514" s="0" t="s">
        <v>130</v>
      </c>
      <c r="CG2514" s="0" t="s">
        <v>130</v>
      </c>
      <c r="CH2514" s="0" t="s">
        <v>130</v>
      </c>
      <c r="CI2514" s="0" t="s">
        <v>130</v>
      </c>
      <c r="CJ2514" s="0" t="s">
        <v>130</v>
      </c>
      <c r="CK2514" s="0" t="s">
        <v>130</v>
      </c>
      <c r="CL2514" s="0" t="s">
        <v>130</v>
      </c>
      <c r="CM2514" s="0" t="s">
        <v>130</v>
      </c>
      <c r="CN2514" s="0" t="s">
        <v>130</v>
      </c>
      <c r="CO2514" s="0" t="s">
        <v>130</v>
      </c>
      <c r="CP2514" s="0" t="s">
        <v>130</v>
      </c>
      <c r="CQ2514" s="0" t="s">
        <v>130</v>
      </c>
      <c r="CR2514" s="0" t="s">
        <v>130</v>
      </c>
      <c r="CS2514" s="0" t="s">
        <v>130</v>
      </c>
      <c r="CT2514" s="0" t="s">
        <v>6833</v>
      </c>
    </row>
    <row r="2515">
      <c r="A2515" s="14">
        <v>180001</v>
      </c>
      <c r="B2515" s="0" t="s">
        <v>3137</v>
      </c>
      <c r="C2515" s="16">
        <f>HYPERLINK("https://eosportal.federatedhermes.com/companies/Q29tcGFueQppNzcwNDM=", "adidas AG")</f>
      </c>
      <c r="D2515" s="0" t="s">
        <v>25</v>
      </c>
      <c r="E2515" s="0" t="s">
        <v>6834</v>
      </c>
      <c r="F2515" s="16">
        <f>HYPERLINK("https://eosportal.federatedhermes.com/engagements/RW5nYWdlbWVudAppMzQwODE=", "Supervisory Board Diversity")</f>
      </c>
      <c r="G2515" s="14" t="s">
        <v>6835</v>
      </c>
      <c r="H2515" s="0" t="s">
        <v>141</v>
      </c>
      <c r="I2515" s="14" t="s">
        <v>191</v>
      </c>
      <c r="J2515" s="0" t="s">
        <v>145</v>
      </c>
      <c r="K2515" s="0" t="s">
        <v>164</v>
      </c>
      <c r="L2515" s="0" t="s">
        <v>165</v>
      </c>
      <c r="M2515" s="0" t="s">
        <v>378</v>
      </c>
      <c r="N2515" s="0" t="s">
        <v>2485</v>
      </c>
      <c r="O2515" s="0" t="s">
        <v>332</v>
      </c>
      <c r="Q2515" s="0" t="s">
        <v>130</v>
      </c>
      <c r="R2515" s="0" t="s">
        <v>138</v>
      </c>
      <c r="S2515" s="14">
        <v>0</v>
      </c>
      <c r="T2515" s="0" t="s">
        <v>446</v>
      </c>
      <c r="U2515" s="0" t="s">
        <v>138</v>
      </c>
      <c r="V2515" s="14" t="s">
        <v>138</v>
      </c>
      <c r="W2515" s="0" t="s">
        <v>138</v>
      </c>
      <c r="X2515" s="14" t="s">
        <v>138</v>
      </c>
      <c r="Y2515" s="0" t="s">
        <v>138</v>
      </c>
      <c r="Z2515" s="14" t="s">
        <v>138</v>
      </c>
      <c r="AA2515" s="0" t="s">
        <v>138</v>
      </c>
      <c r="AB2515" s="14" t="s">
        <v>138</v>
      </c>
      <c r="AD2515" s="0" t="s">
        <v>138</v>
      </c>
      <c r="AF2515" s="0">
        <v>0</v>
      </c>
      <c r="AG2515" s="0">
        <v>0</v>
      </c>
      <c r="AH2515" s="0" t="s">
        <v>140</v>
      </c>
      <c r="AI2515" s="0" t="s">
        <v>138</v>
      </c>
      <c r="AL2515" s="14"/>
      <c r="AN2515" s="14"/>
      <c r="AQ2515" s="0" t="s">
        <v>130</v>
      </c>
      <c r="AR2515" s="0" t="s">
        <v>130</v>
      </c>
      <c r="AS2515" s="0" t="s">
        <v>130</v>
      </c>
      <c r="AT2515" s="0" t="s">
        <v>130</v>
      </c>
      <c r="AU2515" s="0" t="s">
        <v>141</v>
      </c>
      <c r="AV2515" s="0" t="s">
        <v>130</v>
      </c>
      <c r="AW2515" s="0" t="s">
        <v>130</v>
      </c>
      <c r="AX2515" s="0" t="s">
        <v>130</v>
      </c>
      <c r="AY2515" s="0" t="s">
        <v>130</v>
      </c>
      <c r="AZ2515" s="0" t="s">
        <v>130</v>
      </c>
      <c r="BA2515" s="0" t="s">
        <v>130</v>
      </c>
      <c r="BB2515" s="0" t="s">
        <v>130</v>
      </c>
      <c r="BC2515" s="0" t="s">
        <v>130</v>
      </c>
      <c r="BD2515" s="0" t="s">
        <v>130</v>
      </c>
      <c r="BE2515" s="0" t="s">
        <v>130</v>
      </c>
      <c r="BF2515" s="0" t="s">
        <v>130</v>
      </c>
      <c r="BG2515" s="0" t="s">
        <v>130</v>
      </c>
      <c r="BH2515" s="0" t="s">
        <v>130</v>
      </c>
      <c r="BI2515" s="0" t="s">
        <v>130</v>
      </c>
      <c r="BJ2515" s="0" t="s">
        <v>130</v>
      </c>
      <c r="BK2515" s="0" t="s">
        <v>130</v>
      </c>
      <c r="BL2515" s="0" t="s">
        <v>130</v>
      </c>
      <c r="BM2515" s="0" t="s">
        <v>130</v>
      </c>
      <c r="BN2515" s="0" t="s">
        <v>130</v>
      </c>
      <c r="BO2515" s="0" t="s">
        <v>130</v>
      </c>
      <c r="BP2515" s="0" t="s">
        <v>130</v>
      </c>
      <c r="BQ2515" s="0" t="s">
        <v>141</v>
      </c>
      <c r="BR2515" s="0" t="s">
        <v>130</v>
      </c>
      <c r="BS2515" s="0" t="s">
        <v>130</v>
      </c>
      <c r="BT2515" s="0" t="s">
        <v>130</v>
      </c>
      <c r="BU2515" s="0" t="s">
        <v>130</v>
      </c>
      <c r="BV2515" s="0" t="s">
        <v>130</v>
      </c>
      <c r="BW2515" s="0" t="s">
        <v>130</v>
      </c>
      <c r="BX2515" s="0" t="s">
        <v>130</v>
      </c>
      <c r="BY2515" s="0" t="s">
        <v>130</v>
      </c>
      <c r="BZ2515" s="0" t="s">
        <v>130</v>
      </c>
      <c r="CA2515" s="0" t="s">
        <v>130</v>
      </c>
      <c r="CB2515" s="0" t="s">
        <v>130</v>
      </c>
      <c r="CC2515" s="0" t="s">
        <v>130</v>
      </c>
      <c r="CD2515" s="0" t="s">
        <v>130</v>
      </c>
      <c r="CE2515" s="0" t="s">
        <v>130</v>
      </c>
      <c r="CF2515" s="0" t="s">
        <v>130</v>
      </c>
      <c r="CG2515" s="0" t="s">
        <v>130</v>
      </c>
      <c r="CH2515" s="0" t="s">
        <v>130</v>
      </c>
      <c r="CI2515" s="0" t="s">
        <v>130</v>
      </c>
      <c r="CJ2515" s="0" t="s">
        <v>130</v>
      </c>
      <c r="CK2515" s="0" t="s">
        <v>130</v>
      </c>
      <c r="CL2515" s="0" t="s">
        <v>130</v>
      </c>
      <c r="CM2515" s="0" t="s">
        <v>130</v>
      </c>
      <c r="CN2515" s="0" t="s">
        <v>130</v>
      </c>
      <c r="CO2515" s="0" t="s">
        <v>130</v>
      </c>
      <c r="CP2515" s="0" t="s">
        <v>130</v>
      </c>
      <c r="CQ2515" s="0" t="s">
        <v>130</v>
      </c>
      <c r="CR2515" s="0" t="s">
        <v>130</v>
      </c>
      <c r="CS2515" s="0" t="s">
        <v>130</v>
      </c>
      <c r="CT2515" s="0" t="s">
        <v>6836</v>
      </c>
    </row>
    <row r="2516">
      <c r="A2516" s="14">
        <v>110411</v>
      </c>
      <c r="B2516" s="0" t="s">
        <v>2250</v>
      </c>
      <c r="C2516" s="16">
        <f>HYPERLINK("https://eosportal.federatedhermes.com/companies/Q29tcGFueQppNzc5MjQ=", "Royal Bank of Canada")</f>
      </c>
      <c r="D2516" s="0" t="s">
        <v>23</v>
      </c>
      <c r="E2516" s="0" t="s">
        <v>1859</v>
      </c>
      <c r="F2516" s="16">
        <f>HYPERLINK("https://eosportal.federatedhermes.com/engagements/RW5nYWdlbWVudAppMzQwODI=", "Governance oversight of industry associations")</f>
      </c>
      <c r="G2516" s="14" t="s">
        <v>6837</v>
      </c>
      <c r="H2516" s="0" t="s">
        <v>141</v>
      </c>
      <c r="I2516" s="14" t="s">
        <v>191</v>
      </c>
      <c r="J2516" s="0" t="s">
        <v>197</v>
      </c>
      <c r="K2516" s="0" t="s">
        <v>198</v>
      </c>
      <c r="L2516" s="0" t="s">
        <v>199</v>
      </c>
      <c r="M2516" s="0" t="s">
        <v>135</v>
      </c>
      <c r="N2516" s="0" t="s">
        <v>1678</v>
      </c>
      <c r="O2516" s="0" t="s">
        <v>238</v>
      </c>
      <c r="Q2516" s="0" t="s">
        <v>141</v>
      </c>
      <c r="R2516" s="0" t="s">
        <v>141</v>
      </c>
      <c r="S2516" s="14">
        <v>1</v>
      </c>
      <c r="T2516" s="0" t="s">
        <v>446</v>
      </c>
      <c r="U2516" s="0" t="s">
        <v>221</v>
      </c>
      <c r="V2516" s="14" t="s">
        <v>446</v>
      </c>
      <c r="W2516" s="0" t="s">
        <v>221</v>
      </c>
      <c r="X2516" s="14" t="s">
        <v>446</v>
      </c>
      <c r="Y2516" s="0" t="s">
        <v>221</v>
      </c>
      <c r="Z2516" s="14" t="s">
        <v>361</v>
      </c>
      <c r="AA2516" s="0" t="s">
        <v>223</v>
      </c>
      <c r="AB2516" s="14" t="s">
        <v>138</v>
      </c>
      <c r="AC2516" s="0" t="s">
        <v>17</v>
      </c>
      <c r="AD2516" s="0" t="s">
        <v>20</v>
      </c>
      <c r="AE2516" s="0" t="s">
        <v>2266</v>
      </c>
      <c r="AF2516" s="0">
        <v>1</v>
      </c>
      <c r="AG2516" s="0">
        <v>0</v>
      </c>
      <c r="AH2516" s="0" t="s">
        <v>140</v>
      </c>
      <c r="AI2516" s="0" t="s">
        <v>598</v>
      </c>
      <c r="AK2516" s="0" t="s">
        <v>2263</v>
      </c>
      <c r="AL2516" s="14"/>
      <c r="AN2516" s="14"/>
      <c r="AQ2516" s="0" t="s">
        <v>130</v>
      </c>
      <c r="AR2516" s="0" t="s">
        <v>130</v>
      </c>
      <c r="AS2516" s="0" t="s">
        <v>130</v>
      </c>
      <c r="AT2516" s="0" t="s">
        <v>130</v>
      </c>
      <c r="AU2516" s="0" t="s">
        <v>130</v>
      </c>
      <c r="AV2516" s="0" t="s">
        <v>130</v>
      </c>
      <c r="AW2516" s="0" t="s">
        <v>130</v>
      </c>
      <c r="AX2516" s="0" t="s">
        <v>130</v>
      </c>
      <c r="AY2516" s="0" t="s">
        <v>130</v>
      </c>
      <c r="AZ2516" s="0" t="s">
        <v>130</v>
      </c>
      <c r="BA2516" s="0" t="s">
        <v>130</v>
      </c>
      <c r="BB2516" s="0" t="s">
        <v>141</v>
      </c>
      <c r="BC2516" s="0" t="s">
        <v>130</v>
      </c>
      <c r="BD2516" s="0" t="s">
        <v>130</v>
      </c>
      <c r="BE2516" s="0" t="s">
        <v>130</v>
      </c>
      <c r="BF2516" s="0" t="s">
        <v>130</v>
      </c>
      <c r="BG2516" s="0" t="s">
        <v>130</v>
      </c>
      <c r="BH2516" s="0" t="s">
        <v>130</v>
      </c>
      <c r="BI2516" s="0" t="s">
        <v>130</v>
      </c>
      <c r="BJ2516" s="0" t="s">
        <v>130</v>
      </c>
      <c r="BK2516" s="0" t="s">
        <v>130</v>
      </c>
      <c r="BL2516" s="0" t="s">
        <v>130</v>
      </c>
      <c r="BM2516" s="0" t="s">
        <v>130</v>
      </c>
      <c r="BN2516" s="0" t="s">
        <v>130</v>
      </c>
      <c r="BO2516" s="0" t="s">
        <v>130</v>
      </c>
      <c r="BP2516" s="0" t="s">
        <v>130</v>
      </c>
      <c r="BQ2516" s="0" t="s">
        <v>130</v>
      </c>
      <c r="BR2516" s="0" t="s">
        <v>130</v>
      </c>
      <c r="BS2516" s="0" t="s">
        <v>130</v>
      </c>
      <c r="BT2516" s="0" t="s">
        <v>130</v>
      </c>
      <c r="BU2516" s="0" t="s">
        <v>130</v>
      </c>
      <c r="BV2516" s="0" t="s">
        <v>130</v>
      </c>
      <c r="BW2516" s="0" t="s">
        <v>130</v>
      </c>
      <c r="BX2516" s="0" t="s">
        <v>130</v>
      </c>
      <c r="BY2516" s="0" t="s">
        <v>130</v>
      </c>
      <c r="BZ2516" s="0" t="s">
        <v>130</v>
      </c>
      <c r="CA2516" s="0" t="s">
        <v>130</v>
      </c>
      <c r="CB2516" s="0" t="s">
        <v>130</v>
      </c>
      <c r="CC2516" s="0" t="s">
        <v>130</v>
      </c>
      <c r="CD2516" s="0" t="s">
        <v>130</v>
      </c>
      <c r="CE2516" s="0" t="s">
        <v>130</v>
      </c>
      <c r="CF2516" s="0" t="s">
        <v>130</v>
      </c>
      <c r="CG2516" s="0" t="s">
        <v>130</v>
      </c>
      <c r="CH2516" s="0" t="s">
        <v>130</v>
      </c>
      <c r="CI2516" s="0" t="s">
        <v>130</v>
      </c>
      <c r="CJ2516" s="0" t="s">
        <v>130</v>
      </c>
      <c r="CK2516" s="0" t="s">
        <v>130</v>
      </c>
      <c r="CL2516" s="0" t="s">
        <v>130</v>
      </c>
      <c r="CM2516" s="0" t="s">
        <v>130</v>
      </c>
      <c r="CN2516" s="0" t="s">
        <v>130</v>
      </c>
      <c r="CO2516" s="0" t="s">
        <v>130</v>
      </c>
      <c r="CP2516" s="0" t="s">
        <v>130</v>
      </c>
      <c r="CQ2516" s="0" t="s">
        <v>130</v>
      </c>
      <c r="CR2516" s="0" t="s">
        <v>130</v>
      </c>
      <c r="CS2516" s="0" t="s">
        <v>130</v>
      </c>
      <c r="CT2516" s="0" t="s">
        <v>6838</v>
      </c>
    </row>
    <row r="2517">
      <c r="A2517" s="14">
        <v>313098</v>
      </c>
      <c r="B2517" s="0" t="s">
        <v>3614</v>
      </c>
      <c r="C2517" s="16">
        <f>HYPERLINK("https://eosportal.federatedhermes.com/companies/Q29tcGFueQppNzMyNzk=", "Ameren Corp")</f>
      </c>
      <c r="D2517" s="0" t="s">
        <v>23</v>
      </c>
      <c r="E2517" s="0" t="s">
        <v>1266</v>
      </c>
      <c r="F2517" s="16">
        <f>HYPERLINK("https://eosportal.federatedhermes.com/engagements/RW5nYWdlbWVudAppMzQwODg=", "Climate resilient asset plan")</f>
      </c>
      <c r="G2517" s="14" t="s">
        <v>6839</v>
      </c>
      <c r="H2517" s="0" t="s">
        <v>141</v>
      </c>
      <c r="I2517" s="14" t="s">
        <v>636</v>
      </c>
      <c r="J2517" s="0" t="s">
        <v>197</v>
      </c>
      <c r="K2517" s="0" t="s">
        <v>198</v>
      </c>
      <c r="L2517" s="0" t="s">
        <v>220</v>
      </c>
      <c r="M2517" s="0" t="s">
        <v>135</v>
      </c>
      <c r="N2517" s="0" t="s">
        <v>136</v>
      </c>
      <c r="O2517" s="0" t="s">
        <v>192</v>
      </c>
      <c r="Q2517" s="0" t="s">
        <v>130</v>
      </c>
      <c r="R2517" s="0" t="s">
        <v>130</v>
      </c>
      <c r="S2517" s="14">
        <v>0</v>
      </c>
      <c r="T2517" s="0" t="s">
        <v>3562</v>
      </c>
      <c r="U2517" s="0" t="s">
        <v>221</v>
      </c>
      <c r="V2517" s="14" t="s">
        <v>3562</v>
      </c>
      <c r="W2517" s="0" t="s">
        <v>221</v>
      </c>
      <c r="X2517" s="14" t="s">
        <v>446</v>
      </c>
      <c r="Y2517" s="0" t="s">
        <v>223</v>
      </c>
      <c r="Z2517" s="14" t="s">
        <v>138</v>
      </c>
      <c r="AA2517" s="0" t="s">
        <v>224</v>
      </c>
      <c r="AB2517" s="14" t="s">
        <v>138</v>
      </c>
      <c r="AD2517" s="0" t="s">
        <v>17</v>
      </c>
      <c r="AF2517" s="0">
        <v>0</v>
      </c>
      <c r="AG2517" s="0">
        <v>0</v>
      </c>
      <c r="AH2517" s="0" t="s">
        <v>140</v>
      </c>
      <c r="AI2517" s="0" t="s">
        <v>598</v>
      </c>
      <c r="AL2517" s="14"/>
      <c r="AN2517" s="14"/>
      <c r="AQ2517" s="0" t="s">
        <v>130</v>
      </c>
      <c r="AR2517" s="0" t="s">
        <v>130</v>
      </c>
      <c r="AS2517" s="0" t="s">
        <v>130</v>
      </c>
      <c r="AT2517" s="0" t="s">
        <v>130</v>
      </c>
      <c r="AU2517" s="0" t="s">
        <v>130</v>
      </c>
      <c r="AV2517" s="0" t="s">
        <v>130</v>
      </c>
      <c r="AW2517" s="0" t="s">
        <v>141</v>
      </c>
      <c r="AX2517" s="0" t="s">
        <v>130</v>
      </c>
      <c r="AY2517" s="0" t="s">
        <v>141</v>
      </c>
      <c r="AZ2517" s="0" t="s">
        <v>130</v>
      </c>
      <c r="BA2517" s="0" t="s">
        <v>130</v>
      </c>
      <c r="BB2517" s="0" t="s">
        <v>130</v>
      </c>
      <c r="BC2517" s="0" t="s">
        <v>141</v>
      </c>
      <c r="BD2517" s="0" t="s">
        <v>130</v>
      </c>
      <c r="BE2517" s="0" t="s">
        <v>130</v>
      </c>
      <c r="BF2517" s="0" t="s">
        <v>130</v>
      </c>
      <c r="BG2517" s="0" t="s">
        <v>130</v>
      </c>
      <c r="BH2517" s="0" t="s">
        <v>141</v>
      </c>
      <c r="BI2517" s="0" t="s">
        <v>141</v>
      </c>
      <c r="BJ2517" s="0" t="s">
        <v>141</v>
      </c>
      <c r="BK2517" s="0" t="s">
        <v>130</v>
      </c>
      <c r="BL2517" s="0" t="s">
        <v>130</v>
      </c>
      <c r="BM2517" s="0" t="s">
        <v>130</v>
      </c>
      <c r="BN2517" s="0" t="s">
        <v>130</v>
      </c>
      <c r="BO2517" s="0" t="s">
        <v>130</v>
      </c>
      <c r="BP2517" s="0" t="s">
        <v>130</v>
      </c>
      <c r="BQ2517" s="0" t="s">
        <v>130</v>
      </c>
      <c r="BR2517" s="0" t="s">
        <v>130</v>
      </c>
      <c r="BS2517" s="0" t="s">
        <v>130</v>
      </c>
      <c r="BT2517" s="0" t="s">
        <v>130</v>
      </c>
      <c r="BU2517" s="0" t="s">
        <v>130</v>
      </c>
      <c r="BV2517" s="0" t="s">
        <v>141</v>
      </c>
      <c r="BW2517" s="0" t="s">
        <v>141</v>
      </c>
      <c r="BX2517" s="0" t="s">
        <v>130</v>
      </c>
      <c r="BY2517" s="0" t="s">
        <v>130</v>
      </c>
      <c r="BZ2517" s="0" t="s">
        <v>130</v>
      </c>
      <c r="CA2517" s="0" t="s">
        <v>130</v>
      </c>
      <c r="CB2517" s="0" t="s">
        <v>130</v>
      </c>
      <c r="CC2517" s="0" t="s">
        <v>130</v>
      </c>
      <c r="CD2517" s="0" t="s">
        <v>130</v>
      </c>
      <c r="CE2517" s="0" t="s">
        <v>130</v>
      </c>
      <c r="CF2517" s="0" t="s">
        <v>130</v>
      </c>
      <c r="CG2517" s="0" t="s">
        <v>130</v>
      </c>
      <c r="CH2517" s="0" t="s">
        <v>130</v>
      </c>
      <c r="CI2517" s="0" t="s">
        <v>130</v>
      </c>
      <c r="CJ2517" s="0" t="s">
        <v>130</v>
      </c>
      <c r="CK2517" s="0" t="s">
        <v>130</v>
      </c>
      <c r="CL2517" s="0" t="s">
        <v>130</v>
      </c>
      <c r="CM2517" s="0" t="s">
        <v>130</v>
      </c>
      <c r="CN2517" s="0" t="s">
        <v>130</v>
      </c>
      <c r="CO2517" s="0" t="s">
        <v>130</v>
      </c>
      <c r="CP2517" s="0" t="s">
        <v>130</v>
      </c>
      <c r="CQ2517" s="0" t="s">
        <v>130</v>
      </c>
      <c r="CR2517" s="0" t="s">
        <v>130</v>
      </c>
      <c r="CS2517" s="0" t="s">
        <v>130</v>
      </c>
      <c r="CT2517" s="0" t="s">
        <v>6840</v>
      </c>
    </row>
    <row r="2518">
      <c r="A2518" s="14">
        <v>313098</v>
      </c>
      <c r="B2518" s="0" t="s">
        <v>3614</v>
      </c>
      <c r="C2518" s="16">
        <f>HYPERLINK("https://eosportal.federatedhermes.com/companies/Q29tcGFueQppNzMyNzk=", "Ameren Corp")</f>
      </c>
      <c r="D2518" s="0" t="s">
        <v>23</v>
      </c>
      <c r="E2518" s="0" t="s">
        <v>218</v>
      </c>
      <c r="F2518" s="16">
        <f>HYPERLINK("https://eosportal.federatedhermes.com/engagements/RW5nYWdlbWVudAppMzQwODk=", "Validation of sufficiency of climate strategy")</f>
      </c>
      <c r="G2518" s="14" t="s">
        <v>219</v>
      </c>
      <c r="H2518" s="0" t="s">
        <v>141</v>
      </c>
      <c r="I2518" s="14" t="s">
        <v>636</v>
      </c>
      <c r="J2518" s="0" t="s">
        <v>197</v>
      </c>
      <c r="K2518" s="0" t="s">
        <v>198</v>
      </c>
      <c r="L2518" s="0" t="s">
        <v>220</v>
      </c>
      <c r="M2518" s="0" t="s">
        <v>135</v>
      </c>
      <c r="N2518" s="0" t="s">
        <v>136</v>
      </c>
      <c r="O2518" s="0" t="s">
        <v>192</v>
      </c>
      <c r="Q2518" s="0" t="s">
        <v>130</v>
      </c>
      <c r="R2518" s="0" t="s">
        <v>130</v>
      </c>
      <c r="S2518" s="14">
        <v>0</v>
      </c>
      <c r="T2518" s="0" t="s">
        <v>3562</v>
      </c>
      <c r="U2518" s="0" t="s">
        <v>221</v>
      </c>
      <c r="V2518" s="14" t="s">
        <v>3562</v>
      </c>
      <c r="W2518" s="0" t="s">
        <v>221</v>
      </c>
      <c r="X2518" s="14" t="s">
        <v>446</v>
      </c>
      <c r="Y2518" s="0" t="s">
        <v>223</v>
      </c>
      <c r="Z2518" s="14" t="s">
        <v>138</v>
      </c>
      <c r="AA2518" s="0" t="s">
        <v>224</v>
      </c>
      <c r="AB2518" s="14" t="s">
        <v>138</v>
      </c>
      <c r="AD2518" s="0" t="s">
        <v>17</v>
      </c>
      <c r="AF2518" s="0">
        <v>0</v>
      </c>
      <c r="AG2518" s="0">
        <v>0</v>
      </c>
      <c r="AH2518" s="0" t="s">
        <v>140</v>
      </c>
      <c r="AI2518" s="0" t="s">
        <v>598</v>
      </c>
      <c r="AL2518" s="14"/>
      <c r="AN2518" s="14"/>
      <c r="AQ2518" s="0" t="s">
        <v>130</v>
      </c>
      <c r="AR2518" s="0" t="s">
        <v>130</v>
      </c>
      <c r="AS2518" s="0" t="s">
        <v>130</v>
      </c>
      <c r="AT2518" s="0" t="s">
        <v>130</v>
      </c>
      <c r="AU2518" s="0" t="s">
        <v>130</v>
      </c>
      <c r="AV2518" s="0" t="s">
        <v>130</v>
      </c>
      <c r="AW2518" s="0" t="s">
        <v>141</v>
      </c>
      <c r="AX2518" s="0" t="s">
        <v>130</v>
      </c>
      <c r="AY2518" s="0" t="s">
        <v>141</v>
      </c>
      <c r="AZ2518" s="0" t="s">
        <v>130</v>
      </c>
      <c r="BA2518" s="0" t="s">
        <v>130</v>
      </c>
      <c r="BB2518" s="0" t="s">
        <v>130</v>
      </c>
      <c r="BC2518" s="0" t="s">
        <v>141</v>
      </c>
      <c r="BD2518" s="0" t="s">
        <v>130</v>
      </c>
      <c r="BE2518" s="0" t="s">
        <v>130</v>
      </c>
      <c r="BF2518" s="0" t="s">
        <v>130</v>
      </c>
      <c r="BG2518" s="0" t="s">
        <v>130</v>
      </c>
      <c r="BH2518" s="0" t="s">
        <v>130</v>
      </c>
      <c r="BI2518" s="0" t="s">
        <v>130</v>
      </c>
      <c r="BJ2518" s="0" t="s">
        <v>130</v>
      </c>
      <c r="BK2518" s="0" t="s">
        <v>141</v>
      </c>
      <c r="BL2518" s="0" t="s">
        <v>130</v>
      </c>
      <c r="BM2518" s="0" t="s">
        <v>130</v>
      </c>
      <c r="BN2518" s="0" t="s">
        <v>130</v>
      </c>
      <c r="BO2518" s="0" t="s">
        <v>130</v>
      </c>
      <c r="BP2518" s="0" t="s">
        <v>130</v>
      </c>
      <c r="BQ2518" s="0" t="s">
        <v>130</v>
      </c>
      <c r="BR2518" s="0" t="s">
        <v>130</v>
      </c>
      <c r="BS2518" s="0" t="s">
        <v>130</v>
      </c>
      <c r="BT2518" s="0" t="s">
        <v>130</v>
      </c>
      <c r="BU2518" s="0" t="s">
        <v>130</v>
      </c>
      <c r="BV2518" s="0" t="s">
        <v>130</v>
      </c>
      <c r="BW2518" s="0" t="s">
        <v>130</v>
      </c>
      <c r="BX2518" s="0" t="s">
        <v>130</v>
      </c>
      <c r="BY2518" s="0" t="s">
        <v>130</v>
      </c>
      <c r="BZ2518" s="0" t="s">
        <v>130</v>
      </c>
      <c r="CA2518" s="0" t="s">
        <v>130</v>
      </c>
      <c r="CB2518" s="0" t="s">
        <v>130</v>
      </c>
      <c r="CC2518" s="0" t="s">
        <v>130</v>
      </c>
      <c r="CD2518" s="0" t="s">
        <v>130</v>
      </c>
      <c r="CE2518" s="0" t="s">
        <v>130</v>
      </c>
      <c r="CF2518" s="0" t="s">
        <v>130</v>
      </c>
      <c r="CG2518" s="0" t="s">
        <v>130</v>
      </c>
      <c r="CH2518" s="0" t="s">
        <v>130</v>
      </c>
      <c r="CI2518" s="0" t="s">
        <v>130</v>
      </c>
      <c r="CJ2518" s="0" t="s">
        <v>130</v>
      </c>
      <c r="CK2518" s="0" t="s">
        <v>130</v>
      </c>
      <c r="CL2518" s="0" t="s">
        <v>130</v>
      </c>
      <c r="CM2518" s="0" t="s">
        <v>130</v>
      </c>
      <c r="CN2518" s="0" t="s">
        <v>130</v>
      </c>
      <c r="CO2518" s="0" t="s">
        <v>130</v>
      </c>
      <c r="CP2518" s="0" t="s">
        <v>130</v>
      </c>
      <c r="CQ2518" s="0" t="s">
        <v>130</v>
      </c>
      <c r="CR2518" s="0" t="s">
        <v>130</v>
      </c>
      <c r="CS2518" s="0" t="s">
        <v>130</v>
      </c>
      <c r="CT2518" s="0" t="s">
        <v>6841</v>
      </c>
    </row>
    <row r="2519">
      <c r="A2519" s="14">
        <v>115505</v>
      </c>
      <c r="B2519" s="0" t="s">
        <v>2425</v>
      </c>
      <c r="C2519" s="16">
        <f>HYPERLINK("https://eosportal.federatedhermes.com/companies/Q29tcGFueQppNTg5NTA=", "Vinci SA")</f>
      </c>
      <c r="D2519" s="0" t="s">
        <v>25</v>
      </c>
      <c r="E2519" s="0" t="s">
        <v>433</v>
      </c>
      <c r="F2519" s="16">
        <f>HYPERLINK("https://eosportal.federatedhermes.com/engagements/RW5nYWdlbWVudAppMzQwOTM=", "Human rights policy")</f>
      </c>
      <c r="G2519" s="14" t="s">
        <v>6842</v>
      </c>
      <c r="H2519" s="0" t="s">
        <v>141</v>
      </c>
      <c r="I2519" s="14" t="s">
        <v>191</v>
      </c>
      <c r="J2519" s="0" t="s">
        <v>153</v>
      </c>
      <c r="K2519" s="0" t="s">
        <v>243</v>
      </c>
      <c r="L2519" s="0" t="s">
        <v>456</v>
      </c>
      <c r="M2519" s="0" t="s">
        <v>378</v>
      </c>
      <c r="N2519" s="0" t="s">
        <v>1646</v>
      </c>
      <c r="O2519" s="0" t="s">
        <v>176</v>
      </c>
      <c r="Q2519" s="0" t="s">
        <v>141</v>
      </c>
      <c r="R2519" s="0" t="s">
        <v>138</v>
      </c>
      <c r="S2519" s="14">
        <v>2</v>
      </c>
      <c r="T2519" s="0" t="s">
        <v>446</v>
      </c>
      <c r="U2519" s="0" t="s">
        <v>138</v>
      </c>
      <c r="V2519" s="14" t="s">
        <v>138</v>
      </c>
      <c r="W2519" s="0" t="s">
        <v>138</v>
      </c>
      <c r="X2519" s="14" t="s">
        <v>138</v>
      </c>
      <c r="Y2519" s="0" t="s">
        <v>138</v>
      </c>
      <c r="Z2519" s="14" t="s">
        <v>138</v>
      </c>
      <c r="AA2519" s="0" t="s">
        <v>138</v>
      </c>
      <c r="AB2519" s="14" t="s">
        <v>138</v>
      </c>
      <c r="AD2519" s="0" t="s">
        <v>138</v>
      </c>
      <c r="AF2519" s="0">
        <v>0</v>
      </c>
      <c r="AG2519" s="0">
        <v>0</v>
      </c>
      <c r="AH2519" s="0" t="s">
        <v>140</v>
      </c>
      <c r="AI2519" s="0" t="s">
        <v>138</v>
      </c>
      <c r="AK2519" s="0" t="s">
        <v>233</v>
      </c>
      <c r="AL2519" s="14"/>
      <c r="AN2519" s="14"/>
      <c r="AQ2519" s="0" t="s">
        <v>130</v>
      </c>
      <c r="AR2519" s="0" t="s">
        <v>130</v>
      </c>
      <c r="AS2519" s="0" t="s">
        <v>130</v>
      </c>
      <c r="AT2519" s="0" t="s">
        <v>130</v>
      </c>
      <c r="AU2519" s="0" t="s">
        <v>130</v>
      </c>
      <c r="AV2519" s="0" t="s">
        <v>130</v>
      </c>
      <c r="AW2519" s="0" t="s">
        <v>130</v>
      </c>
      <c r="AX2519" s="0" t="s">
        <v>141</v>
      </c>
      <c r="AY2519" s="0" t="s">
        <v>130</v>
      </c>
      <c r="AZ2519" s="0" t="s">
        <v>130</v>
      </c>
      <c r="BA2519" s="0" t="s">
        <v>130</v>
      </c>
      <c r="BB2519" s="0" t="s">
        <v>130</v>
      </c>
      <c r="BC2519" s="0" t="s">
        <v>130</v>
      </c>
      <c r="BD2519" s="0" t="s">
        <v>130</v>
      </c>
      <c r="BE2519" s="0" t="s">
        <v>130</v>
      </c>
      <c r="BF2519" s="0" t="s">
        <v>141</v>
      </c>
      <c r="BG2519" s="0" t="s">
        <v>130</v>
      </c>
      <c r="BH2519" s="0" t="s">
        <v>130</v>
      </c>
      <c r="BI2519" s="0" t="s">
        <v>130</v>
      </c>
      <c r="BJ2519" s="0" t="s">
        <v>130</v>
      </c>
      <c r="BK2519" s="0" t="s">
        <v>130</v>
      </c>
      <c r="BL2519" s="0" t="s">
        <v>130</v>
      </c>
      <c r="BM2519" s="0" t="s">
        <v>130</v>
      </c>
      <c r="BN2519" s="0" t="s">
        <v>130</v>
      </c>
      <c r="BO2519" s="0" t="s">
        <v>130</v>
      </c>
      <c r="BP2519" s="0" t="s">
        <v>130</v>
      </c>
      <c r="BQ2519" s="0" t="s">
        <v>130</v>
      </c>
      <c r="BR2519" s="0" t="s">
        <v>130</v>
      </c>
      <c r="BS2519" s="0" t="s">
        <v>130</v>
      </c>
      <c r="BT2519" s="0" t="s">
        <v>130</v>
      </c>
      <c r="BU2519" s="0" t="s">
        <v>130</v>
      </c>
      <c r="BV2519" s="0" t="s">
        <v>130</v>
      </c>
      <c r="BW2519" s="0" t="s">
        <v>130</v>
      </c>
      <c r="BX2519" s="0" t="s">
        <v>130</v>
      </c>
      <c r="BY2519" s="0" t="s">
        <v>130</v>
      </c>
      <c r="BZ2519" s="0" t="s">
        <v>130</v>
      </c>
      <c r="CA2519" s="0" t="s">
        <v>130</v>
      </c>
      <c r="CB2519" s="0" t="s">
        <v>130</v>
      </c>
      <c r="CC2519" s="0" t="s">
        <v>130</v>
      </c>
      <c r="CD2519" s="0" t="s">
        <v>130</v>
      </c>
      <c r="CE2519" s="0" t="s">
        <v>130</v>
      </c>
      <c r="CF2519" s="0" t="s">
        <v>130</v>
      </c>
      <c r="CG2519" s="0" t="s">
        <v>130</v>
      </c>
      <c r="CH2519" s="0" t="s">
        <v>130</v>
      </c>
      <c r="CI2519" s="0" t="s">
        <v>130</v>
      </c>
      <c r="CJ2519" s="0" t="s">
        <v>130</v>
      </c>
      <c r="CK2519" s="0" t="s">
        <v>130</v>
      </c>
      <c r="CL2519" s="0" t="s">
        <v>130</v>
      </c>
      <c r="CM2519" s="0" t="s">
        <v>130</v>
      </c>
      <c r="CN2519" s="0" t="s">
        <v>130</v>
      </c>
      <c r="CO2519" s="0" t="s">
        <v>130</v>
      </c>
      <c r="CP2519" s="0" t="s">
        <v>130</v>
      </c>
      <c r="CQ2519" s="0" t="s">
        <v>130</v>
      </c>
      <c r="CR2519" s="0" t="s">
        <v>130</v>
      </c>
      <c r="CS2519" s="0" t="s">
        <v>130</v>
      </c>
      <c r="CT2519" s="0" t="s">
        <v>6843</v>
      </c>
    </row>
    <row r="2520">
      <c r="A2520" s="14">
        <v>111093</v>
      </c>
      <c r="B2520" s="0" t="s">
        <v>270</v>
      </c>
      <c r="C2520" s="16">
        <f>HYPERLINK("https://eosportal.federatedhermes.com/companies/Q29tcGFueQppNzY2OTg=", "AstraZeneca PLC")</f>
      </c>
      <c r="D2520" s="0" t="s">
        <v>23</v>
      </c>
      <c r="E2520" s="0" t="s">
        <v>6844</v>
      </c>
      <c r="F2520" s="16">
        <f>HYPERLINK("https://eosportal.federatedhermes.com/engagements/RW5nYWdlbWVudAppMzQwOTg=", "Improvements to code of ethics")</f>
      </c>
      <c r="G2520" s="14" t="s">
        <v>6845</v>
      </c>
      <c r="H2520" s="0" t="s">
        <v>141</v>
      </c>
      <c r="I2520" s="14" t="s">
        <v>131</v>
      </c>
      <c r="J2520" s="0" t="s">
        <v>153</v>
      </c>
      <c r="K2520" s="0" t="s">
        <v>185</v>
      </c>
      <c r="L2520" s="0" t="s">
        <v>186</v>
      </c>
      <c r="M2520" s="0" t="s">
        <v>272</v>
      </c>
      <c r="N2520" s="0" t="s">
        <v>273</v>
      </c>
      <c r="O2520" s="0" t="s">
        <v>274</v>
      </c>
      <c r="Q2520" s="0" t="s">
        <v>130</v>
      </c>
      <c r="R2520" s="0" t="s">
        <v>130</v>
      </c>
      <c r="S2520" s="14">
        <v>0</v>
      </c>
      <c r="T2520" s="0" t="s">
        <v>446</v>
      </c>
      <c r="U2520" s="0" t="s">
        <v>221</v>
      </c>
      <c r="V2520" s="14" t="s">
        <v>446</v>
      </c>
      <c r="W2520" s="0" t="s">
        <v>221</v>
      </c>
      <c r="X2520" s="14" t="s">
        <v>446</v>
      </c>
      <c r="Y2520" s="0" t="s">
        <v>223</v>
      </c>
      <c r="Z2520" s="14" t="s">
        <v>138</v>
      </c>
      <c r="AA2520" s="0" t="s">
        <v>224</v>
      </c>
      <c r="AB2520" s="14" t="s">
        <v>138</v>
      </c>
      <c r="AD2520" s="0" t="s">
        <v>17</v>
      </c>
      <c r="AF2520" s="0">
        <v>0</v>
      </c>
      <c r="AG2520" s="0">
        <v>0</v>
      </c>
      <c r="AH2520" s="0" t="s">
        <v>140</v>
      </c>
      <c r="AI2520" s="0" t="s">
        <v>598</v>
      </c>
      <c r="AL2520" s="14"/>
      <c r="AN2520" s="14"/>
      <c r="AQ2520" s="0" t="s">
        <v>130</v>
      </c>
      <c r="AR2520" s="0" t="s">
        <v>130</v>
      </c>
      <c r="AS2520" s="0" t="s">
        <v>130</v>
      </c>
      <c r="AT2520" s="0" t="s">
        <v>130</v>
      </c>
      <c r="AU2520" s="0" t="s">
        <v>130</v>
      </c>
      <c r="AV2520" s="0" t="s">
        <v>130</v>
      </c>
      <c r="AW2520" s="0" t="s">
        <v>130</v>
      </c>
      <c r="AX2520" s="0" t="s">
        <v>130</v>
      </c>
      <c r="AY2520" s="0" t="s">
        <v>130</v>
      </c>
      <c r="AZ2520" s="0" t="s">
        <v>130</v>
      </c>
      <c r="BA2520" s="0" t="s">
        <v>130</v>
      </c>
      <c r="BB2520" s="0" t="s">
        <v>130</v>
      </c>
      <c r="BC2520" s="0" t="s">
        <v>130</v>
      </c>
      <c r="BD2520" s="0" t="s">
        <v>130</v>
      </c>
      <c r="BE2520" s="0" t="s">
        <v>130</v>
      </c>
      <c r="BF2520" s="0" t="s">
        <v>130</v>
      </c>
      <c r="BG2520" s="0" t="s">
        <v>130</v>
      </c>
      <c r="BH2520" s="0" t="s">
        <v>130</v>
      </c>
      <c r="BI2520" s="0" t="s">
        <v>130</v>
      </c>
      <c r="BJ2520" s="0" t="s">
        <v>130</v>
      </c>
      <c r="BK2520" s="0" t="s">
        <v>130</v>
      </c>
      <c r="BL2520" s="0" t="s">
        <v>130</v>
      </c>
      <c r="BM2520" s="0" t="s">
        <v>130</v>
      </c>
      <c r="BN2520" s="0" t="s">
        <v>130</v>
      </c>
      <c r="BO2520" s="0" t="s">
        <v>130</v>
      </c>
      <c r="BP2520" s="0" t="s">
        <v>130</v>
      </c>
      <c r="BQ2520" s="0" t="s">
        <v>130</v>
      </c>
      <c r="BR2520" s="0" t="s">
        <v>130</v>
      </c>
      <c r="BS2520" s="0" t="s">
        <v>130</v>
      </c>
      <c r="BT2520" s="0" t="s">
        <v>130</v>
      </c>
      <c r="BU2520" s="0" t="s">
        <v>130</v>
      </c>
      <c r="BV2520" s="0" t="s">
        <v>130</v>
      </c>
      <c r="BW2520" s="0" t="s">
        <v>130</v>
      </c>
      <c r="BX2520" s="0" t="s">
        <v>130</v>
      </c>
      <c r="BY2520" s="0" t="s">
        <v>130</v>
      </c>
      <c r="BZ2520" s="0" t="s">
        <v>130</v>
      </c>
      <c r="CA2520" s="0" t="s">
        <v>130</v>
      </c>
      <c r="CB2520" s="0" t="s">
        <v>130</v>
      </c>
      <c r="CC2520" s="0" t="s">
        <v>130</v>
      </c>
      <c r="CD2520" s="0" t="s">
        <v>130</v>
      </c>
      <c r="CE2520" s="0" t="s">
        <v>130</v>
      </c>
      <c r="CF2520" s="0" t="s">
        <v>130</v>
      </c>
      <c r="CG2520" s="0" t="s">
        <v>130</v>
      </c>
      <c r="CH2520" s="0" t="s">
        <v>130</v>
      </c>
      <c r="CI2520" s="0" t="s">
        <v>130</v>
      </c>
      <c r="CJ2520" s="0" t="s">
        <v>130</v>
      </c>
      <c r="CK2520" s="0" t="s">
        <v>130</v>
      </c>
      <c r="CL2520" s="0" t="s">
        <v>130</v>
      </c>
      <c r="CM2520" s="0" t="s">
        <v>130</v>
      </c>
      <c r="CN2520" s="0" t="s">
        <v>130</v>
      </c>
      <c r="CO2520" s="0" t="s">
        <v>130</v>
      </c>
      <c r="CP2520" s="0" t="s">
        <v>130</v>
      </c>
      <c r="CQ2520" s="0" t="s">
        <v>130</v>
      </c>
      <c r="CR2520" s="0" t="s">
        <v>130</v>
      </c>
      <c r="CS2520" s="0" t="s">
        <v>130</v>
      </c>
      <c r="CT2520" s="0" t="s">
        <v>6846</v>
      </c>
    </row>
    <row r="2521">
      <c r="A2521" s="14">
        <v>42602315</v>
      </c>
      <c r="B2521" s="0" t="s">
        <v>4587</v>
      </c>
      <c r="C2521" s="16">
        <f>HYPERLINK("https://eosportal.federatedhermes.com/companies/Q29tcGFueQppNDc0MzI=", "Hewlett Packard Enterprise Co")</f>
      </c>
      <c r="D2521" s="0" t="s">
        <v>25</v>
      </c>
      <c r="E2521" s="0" t="s">
        <v>6847</v>
      </c>
      <c r="F2521" s="16">
        <f>HYPERLINK("https://eosportal.federatedhermes.com/engagements/RW5nYWdlbWVudAppMzQxMDM=", "Human rights: high-risk regions")</f>
      </c>
      <c r="G2521" s="14" t="s">
        <v>4048</v>
      </c>
      <c r="H2521" s="0" t="s">
        <v>130</v>
      </c>
      <c r="I2521" s="14" t="s">
        <v>131</v>
      </c>
      <c r="J2521" s="0" t="s">
        <v>153</v>
      </c>
      <c r="K2521" s="0" t="s">
        <v>243</v>
      </c>
      <c r="L2521" s="0" t="s">
        <v>456</v>
      </c>
      <c r="M2521" s="0" t="s">
        <v>135</v>
      </c>
      <c r="N2521" s="0" t="s">
        <v>136</v>
      </c>
      <c r="O2521" s="0" t="s">
        <v>1125</v>
      </c>
      <c r="Q2521" s="0" t="s">
        <v>141</v>
      </c>
      <c r="R2521" s="0" t="s">
        <v>138</v>
      </c>
      <c r="S2521" s="14">
        <v>1</v>
      </c>
      <c r="T2521" s="0" t="s">
        <v>446</v>
      </c>
      <c r="U2521" s="0" t="s">
        <v>138</v>
      </c>
      <c r="V2521" s="14" t="s">
        <v>138</v>
      </c>
      <c r="W2521" s="0" t="s">
        <v>138</v>
      </c>
      <c r="X2521" s="14" t="s">
        <v>138</v>
      </c>
      <c r="Y2521" s="0" t="s">
        <v>138</v>
      </c>
      <c r="Z2521" s="14" t="s">
        <v>138</v>
      </c>
      <c r="AA2521" s="0" t="s">
        <v>138</v>
      </c>
      <c r="AB2521" s="14" t="s">
        <v>138</v>
      </c>
      <c r="AD2521" s="0" t="s">
        <v>138</v>
      </c>
      <c r="AF2521" s="0">
        <v>0</v>
      </c>
      <c r="AG2521" s="0">
        <v>0</v>
      </c>
      <c r="AH2521" s="0" t="s">
        <v>140</v>
      </c>
      <c r="AI2521" s="0" t="s">
        <v>138</v>
      </c>
      <c r="AK2521" s="0" t="s">
        <v>2376</v>
      </c>
      <c r="AL2521" s="14"/>
      <c r="AN2521" s="14"/>
      <c r="AQ2521" s="0" t="s">
        <v>130</v>
      </c>
      <c r="AR2521" s="0" t="s">
        <v>130</v>
      </c>
      <c r="AS2521" s="0" t="s">
        <v>130</v>
      </c>
      <c r="AT2521" s="0" t="s">
        <v>130</v>
      </c>
      <c r="AU2521" s="0" t="s">
        <v>130</v>
      </c>
      <c r="AV2521" s="0" t="s">
        <v>130</v>
      </c>
      <c r="AW2521" s="0" t="s">
        <v>130</v>
      </c>
      <c r="AX2521" s="0" t="s">
        <v>141</v>
      </c>
      <c r="AY2521" s="0" t="s">
        <v>130</v>
      </c>
      <c r="AZ2521" s="0" t="s">
        <v>130</v>
      </c>
      <c r="BA2521" s="0" t="s">
        <v>130</v>
      </c>
      <c r="BB2521" s="0" t="s">
        <v>130</v>
      </c>
      <c r="BC2521" s="0" t="s">
        <v>130</v>
      </c>
      <c r="BD2521" s="0" t="s">
        <v>130</v>
      </c>
      <c r="BE2521" s="0" t="s">
        <v>130</v>
      </c>
      <c r="BF2521" s="0" t="s">
        <v>141</v>
      </c>
      <c r="BG2521" s="0" t="s">
        <v>130</v>
      </c>
      <c r="BH2521" s="0" t="s">
        <v>130</v>
      </c>
      <c r="BI2521" s="0" t="s">
        <v>130</v>
      </c>
      <c r="BJ2521" s="0" t="s">
        <v>130</v>
      </c>
      <c r="BK2521" s="0" t="s">
        <v>130</v>
      </c>
      <c r="BL2521" s="0" t="s">
        <v>130</v>
      </c>
      <c r="BM2521" s="0" t="s">
        <v>130</v>
      </c>
      <c r="BN2521" s="0" t="s">
        <v>130</v>
      </c>
      <c r="BO2521" s="0" t="s">
        <v>130</v>
      </c>
      <c r="BP2521" s="0" t="s">
        <v>130</v>
      </c>
      <c r="BQ2521" s="0" t="s">
        <v>130</v>
      </c>
      <c r="BR2521" s="0" t="s">
        <v>130</v>
      </c>
      <c r="BS2521" s="0" t="s">
        <v>130</v>
      </c>
      <c r="BT2521" s="0" t="s">
        <v>130</v>
      </c>
      <c r="BU2521" s="0" t="s">
        <v>130</v>
      </c>
      <c r="BV2521" s="0" t="s">
        <v>130</v>
      </c>
      <c r="BW2521" s="0" t="s">
        <v>130</v>
      </c>
      <c r="BX2521" s="0" t="s">
        <v>130</v>
      </c>
      <c r="BY2521" s="0" t="s">
        <v>130</v>
      </c>
      <c r="BZ2521" s="0" t="s">
        <v>130</v>
      </c>
      <c r="CA2521" s="0" t="s">
        <v>130</v>
      </c>
      <c r="CB2521" s="0" t="s">
        <v>130</v>
      </c>
      <c r="CC2521" s="0" t="s">
        <v>130</v>
      </c>
      <c r="CD2521" s="0" t="s">
        <v>130</v>
      </c>
      <c r="CE2521" s="0" t="s">
        <v>130</v>
      </c>
      <c r="CF2521" s="0" t="s">
        <v>130</v>
      </c>
      <c r="CG2521" s="0" t="s">
        <v>130</v>
      </c>
      <c r="CH2521" s="0" t="s">
        <v>130</v>
      </c>
      <c r="CI2521" s="0" t="s">
        <v>130</v>
      </c>
      <c r="CJ2521" s="0" t="s">
        <v>130</v>
      </c>
      <c r="CK2521" s="0" t="s">
        <v>130</v>
      </c>
      <c r="CL2521" s="0" t="s">
        <v>130</v>
      </c>
      <c r="CM2521" s="0" t="s">
        <v>130</v>
      </c>
      <c r="CN2521" s="0" t="s">
        <v>130</v>
      </c>
      <c r="CO2521" s="0" t="s">
        <v>130</v>
      </c>
      <c r="CP2521" s="0" t="s">
        <v>130</v>
      </c>
      <c r="CQ2521" s="0" t="s">
        <v>130</v>
      </c>
      <c r="CR2521" s="0" t="s">
        <v>130</v>
      </c>
      <c r="CS2521" s="0" t="s">
        <v>130</v>
      </c>
      <c r="CT2521" s="0" t="s">
        <v>6848</v>
      </c>
    </row>
    <row r="2522">
      <c r="A2522" s="14">
        <v>153737</v>
      </c>
      <c r="B2522" s="0" t="s">
        <v>2939</v>
      </c>
      <c r="C2522" s="16">
        <f>HYPERLINK("https://eosportal.federatedhermes.com/companies/Q29tcGFueQppNDc5OTI=", "Taiwan Semiconductor Manufacturing Co Ltd")</f>
      </c>
      <c r="D2522" s="0" t="s">
        <v>25</v>
      </c>
      <c r="E2522" s="0" t="s">
        <v>6849</v>
      </c>
      <c r="F2522" s="16">
        <f>HYPERLINK("https://eosportal.federatedhermes.com/engagements/RW5nYWdlbWVudAppMzQxMDQ=", "Biodiversity reporting and targets")</f>
      </c>
      <c r="G2522" s="14" t="s">
        <v>6850</v>
      </c>
      <c r="H2522" s="0" t="s">
        <v>141</v>
      </c>
      <c r="I2522" s="14" t="s">
        <v>131</v>
      </c>
      <c r="J2522" s="0" t="s">
        <v>197</v>
      </c>
      <c r="K2522" s="0" t="s">
        <v>337</v>
      </c>
      <c r="L2522" s="0" t="s">
        <v>576</v>
      </c>
      <c r="M2522" s="0" t="s">
        <v>802</v>
      </c>
      <c r="N2522" s="0" t="s">
        <v>2941</v>
      </c>
      <c r="O2522" s="0" t="s">
        <v>1125</v>
      </c>
      <c r="Q2522" s="0" t="s">
        <v>130</v>
      </c>
      <c r="R2522" s="0" t="s">
        <v>138</v>
      </c>
      <c r="S2522" s="14">
        <v>0</v>
      </c>
      <c r="T2522" s="0" t="s">
        <v>446</v>
      </c>
      <c r="U2522" s="0" t="s">
        <v>138</v>
      </c>
      <c r="V2522" s="14" t="s">
        <v>138</v>
      </c>
      <c r="W2522" s="0" t="s">
        <v>138</v>
      </c>
      <c r="X2522" s="14" t="s">
        <v>138</v>
      </c>
      <c r="Y2522" s="0" t="s">
        <v>138</v>
      </c>
      <c r="Z2522" s="14" t="s">
        <v>138</v>
      </c>
      <c r="AA2522" s="0" t="s">
        <v>138</v>
      </c>
      <c r="AB2522" s="14" t="s">
        <v>138</v>
      </c>
      <c r="AD2522" s="0" t="s">
        <v>138</v>
      </c>
      <c r="AF2522" s="0">
        <v>0</v>
      </c>
      <c r="AG2522" s="0">
        <v>0</v>
      </c>
      <c r="AH2522" s="0" t="s">
        <v>140</v>
      </c>
      <c r="AI2522" s="0" t="s">
        <v>138</v>
      </c>
      <c r="AL2522" s="14"/>
      <c r="AN2522" s="14"/>
      <c r="AQ2522" s="0" t="s">
        <v>130</v>
      </c>
      <c r="AR2522" s="0" t="s">
        <v>130</v>
      </c>
      <c r="AS2522" s="0" t="s">
        <v>130</v>
      </c>
      <c r="AT2522" s="0" t="s">
        <v>130</v>
      </c>
      <c r="AU2522" s="0" t="s">
        <v>130</v>
      </c>
      <c r="AV2522" s="0" t="s">
        <v>130</v>
      </c>
      <c r="AW2522" s="0" t="s">
        <v>130</v>
      </c>
      <c r="AX2522" s="0" t="s">
        <v>130</v>
      </c>
      <c r="AY2522" s="0" t="s">
        <v>130</v>
      </c>
      <c r="AZ2522" s="0" t="s">
        <v>130</v>
      </c>
      <c r="BA2522" s="0" t="s">
        <v>130</v>
      </c>
      <c r="BB2522" s="0" t="s">
        <v>141</v>
      </c>
      <c r="BC2522" s="0" t="s">
        <v>130</v>
      </c>
      <c r="BD2522" s="0" t="s">
        <v>130</v>
      </c>
      <c r="BE2522" s="0" t="s">
        <v>141</v>
      </c>
      <c r="BF2522" s="0" t="s">
        <v>130</v>
      </c>
      <c r="BG2522" s="0" t="s">
        <v>130</v>
      </c>
      <c r="BH2522" s="0" t="s">
        <v>130</v>
      </c>
      <c r="BI2522" s="0" t="s">
        <v>130</v>
      </c>
      <c r="BJ2522" s="0" t="s">
        <v>130</v>
      </c>
      <c r="BK2522" s="0" t="s">
        <v>130</v>
      </c>
      <c r="BL2522" s="0" t="s">
        <v>130</v>
      </c>
      <c r="BM2522" s="0" t="s">
        <v>141</v>
      </c>
      <c r="BN2522" s="0" t="s">
        <v>130</v>
      </c>
      <c r="BO2522" s="0" t="s">
        <v>130</v>
      </c>
      <c r="BP2522" s="0" t="s">
        <v>130</v>
      </c>
      <c r="BQ2522" s="0" t="s">
        <v>130</v>
      </c>
      <c r="BR2522" s="0" t="s">
        <v>130</v>
      </c>
      <c r="BS2522" s="0" t="s">
        <v>130</v>
      </c>
      <c r="BT2522" s="0" t="s">
        <v>130</v>
      </c>
      <c r="BU2522" s="0" t="s">
        <v>130</v>
      </c>
      <c r="BV2522" s="0" t="s">
        <v>130</v>
      </c>
      <c r="BW2522" s="0" t="s">
        <v>130</v>
      </c>
      <c r="BX2522" s="0" t="s">
        <v>130</v>
      </c>
      <c r="BY2522" s="0" t="s">
        <v>130</v>
      </c>
      <c r="BZ2522" s="0" t="s">
        <v>130</v>
      </c>
      <c r="CA2522" s="0" t="s">
        <v>130</v>
      </c>
      <c r="CB2522" s="0" t="s">
        <v>130</v>
      </c>
      <c r="CC2522" s="0" t="s">
        <v>130</v>
      </c>
      <c r="CD2522" s="0" t="s">
        <v>130</v>
      </c>
      <c r="CE2522" s="0" t="s">
        <v>141</v>
      </c>
      <c r="CF2522" s="0" t="s">
        <v>141</v>
      </c>
      <c r="CG2522" s="0" t="s">
        <v>130</v>
      </c>
      <c r="CH2522" s="0" t="s">
        <v>130</v>
      </c>
      <c r="CI2522" s="0" t="s">
        <v>130</v>
      </c>
      <c r="CJ2522" s="0" t="s">
        <v>130</v>
      </c>
      <c r="CK2522" s="0" t="s">
        <v>130</v>
      </c>
      <c r="CL2522" s="0" t="s">
        <v>130</v>
      </c>
      <c r="CM2522" s="0" t="s">
        <v>130</v>
      </c>
      <c r="CN2522" s="0" t="s">
        <v>130</v>
      </c>
      <c r="CO2522" s="0" t="s">
        <v>130</v>
      </c>
      <c r="CP2522" s="0" t="s">
        <v>130</v>
      </c>
      <c r="CQ2522" s="0" t="s">
        <v>130</v>
      </c>
      <c r="CR2522" s="0" t="s">
        <v>130</v>
      </c>
      <c r="CS2522" s="0" t="s">
        <v>130</v>
      </c>
      <c r="CT2522" s="0" t="s">
        <v>6851</v>
      </c>
    </row>
    <row r="2523">
      <c r="A2523" s="14">
        <v>225906</v>
      </c>
      <c r="B2523" s="0" t="s">
        <v>3499</v>
      </c>
      <c r="C2523" s="16">
        <f>HYPERLINK("https://eosportal.federatedhermes.com/companies/Q29tcGFueQppNTg5ODU=", "Valero Energy Corp")</f>
      </c>
      <c r="D2523" s="0" t="s">
        <v>25</v>
      </c>
      <c r="E2523" s="0" t="s">
        <v>6852</v>
      </c>
      <c r="F2523" s="16">
        <f>HYPERLINK("https://eosportal.federatedhermes.com/engagements/RW5nYWdlbWVudAppMzQxMDY=", "Avoided Emissions and Low Carbon Fuels")</f>
      </c>
      <c r="G2523" s="14" t="s">
        <v>6853</v>
      </c>
      <c r="H2523" s="0" t="s">
        <v>141</v>
      </c>
      <c r="I2523" s="14" t="s">
        <v>191</v>
      </c>
      <c r="J2523" s="0" t="s">
        <v>197</v>
      </c>
      <c r="K2523" s="0" t="s">
        <v>198</v>
      </c>
      <c r="L2523" s="0" t="s">
        <v>220</v>
      </c>
      <c r="M2523" s="0" t="s">
        <v>135</v>
      </c>
      <c r="N2523" s="0" t="s">
        <v>136</v>
      </c>
      <c r="O2523" s="0" t="s">
        <v>542</v>
      </c>
      <c r="Q2523" s="0" t="s">
        <v>130</v>
      </c>
      <c r="R2523" s="0" t="s">
        <v>138</v>
      </c>
      <c r="S2523" s="14">
        <v>0</v>
      </c>
      <c r="T2523" s="0" t="s">
        <v>446</v>
      </c>
      <c r="U2523" s="0" t="s">
        <v>138</v>
      </c>
      <c r="V2523" s="14" t="s">
        <v>138</v>
      </c>
      <c r="W2523" s="0" t="s">
        <v>138</v>
      </c>
      <c r="X2523" s="14" t="s">
        <v>138</v>
      </c>
      <c r="Y2523" s="0" t="s">
        <v>138</v>
      </c>
      <c r="Z2523" s="14" t="s">
        <v>138</v>
      </c>
      <c r="AA2523" s="0" t="s">
        <v>138</v>
      </c>
      <c r="AB2523" s="14" t="s">
        <v>138</v>
      </c>
      <c r="AD2523" s="0" t="s">
        <v>138</v>
      </c>
      <c r="AF2523" s="0">
        <v>0</v>
      </c>
      <c r="AG2523" s="0">
        <v>0</v>
      </c>
      <c r="AH2523" s="0" t="s">
        <v>140</v>
      </c>
      <c r="AI2523" s="0" t="s">
        <v>138</v>
      </c>
      <c r="AL2523" s="14"/>
      <c r="AN2523" s="14"/>
      <c r="AQ2523" s="0" t="s">
        <v>130</v>
      </c>
      <c r="AR2523" s="0" t="s">
        <v>130</v>
      </c>
      <c r="AS2523" s="0" t="s">
        <v>130</v>
      </c>
      <c r="AT2523" s="0" t="s">
        <v>130</v>
      </c>
      <c r="AU2523" s="0" t="s">
        <v>130</v>
      </c>
      <c r="AV2523" s="0" t="s">
        <v>130</v>
      </c>
      <c r="AW2523" s="0" t="s">
        <v>141</v>
      </c>
      <c r="AX2523" s="0" t="s">
        <v>130</v>
      </c>
      <c r="AY2523" s="0" t="s">
        <v>141</v>
      </c>
      <c r="AZ2523" s="0" t="s">
        <v>130</v>
      </c>
      <c r="BA2523" s="0" t="s">
        <v>130</v>
      </c>
      <c r="BB2523" s="0" t="s">
        <v>130</v>
      </c>
      <c r="BC2523" s="0" t="s">
        <v>141</v>
      </c>
      <c r="BD2523" s="0" t="s">
        <v>130</v>
      </c>
      <c r="BE2523" s="0" t="s">
        <v>130</v>
      </c>
      <c r="BF2523" s="0" t="s">
        <v>130</v>
      </c>
      <c r="BG2523" s="0" t="s">
        <v>130</v>
      </c>
      <c r="BH2523" s="0" t="s">
        <v>130</v>
      </c>
      <c r="BI2523" s="0" t="s">
        <v>130</v>
      </c>
      <c r="BJ2523" s="0" t="s">
        <v>130</v>
      </c>
      <c r="BK2523" s="0" t="s">
        <v>130</v>
      </c>
      <c r="BL2523" s="0" t="s">
        <v>130</v>
      </c>
      <c r="BM2523" s="0" t="s">
        <v>130</v>
      </c>
      <c r="BN2523" s="0" t="s">
        <v>130</v>
      </c>
      <c r="BO2523" s="0" t="s">
        <v>130</v>
      </c>
      <c r="BP2523" s="0" t="s">
        <v>130</v>
      </c>
      <c r="BQ2523" s="0" t="s">
        <v>130</v>
      </c>
      <c r="BR2523" s="0" t="s">
        <v>130</v>
      </c>
      <c r="BS2523" s="0" t="s">
        <v>130</v>
      </c>
      <c r="BT2523" s="0" t="s">
        <v>130</v>
      </c>
      <c r="BU2523" s="0" t="s">
        <v>130</v>
      </c>
      <c r="BV2523" s="0" t="s">
        <v>130</v>
      </c>
      <c r="BW2523" s="0" t="s">
        <v>130</v>
      </c>
      <c r="BX2523" s="0" t="s">
        <v>130</v>
      </c>
      <c r="BY2523" s="0" t="s">
        <v>130</v>
      </c>
      <c r="BZ2523" s="0" t="s">
        <v>130</v>
      </c>
      <c r="CA2523" s="0" t="s">
        <v>130</v>
      </c>
      <c r="CB2523" s="0" t="s">
        <v>130</v>
      </c>
      <c r="CC2523" s="0" t="s">
        <v>130</v>
      </c>
      <c r="CD2523" s="0" t="s">
        <v>130</v>
      </c>
      <c r="CE2523" s="0" t="s">
        <v>130</v>
      </c>
      <c r="CF2523" s="0" t="s">
        <v>130</v>
      </c>
      <c r="CG2523" s="0" t="s">
        <v>130</v>
      </c>
      <c r="CH2523" s="0" t="s">
        <v>130</v>
      </c>
      <c r="CI2523" s="0" t="s">
        <v>130</v>
      </c>
      <c r="CJ2523" s="0" t="s">
        <v>130</v>
      </c>
      <c r="CK2523" s="0" t="s">
        <v>130</v>
      </c>
      <c r="CL2523" s="0" t="s">
        <v>130</v>
      </c>
      <c r="CM2523" s="0" t="s">
        <v>130</v>
      </c>
      <c r="CN2523" s="0" t="s">
        <v>130</v>
      </c>
      <c r="CO2523" s="0" t="s">
        <v>130</v>
      </c>
      <c r="CP2523" s="0" t="s">
        <v>130</v>
      </c>
      <c r="CQ2523" s="0" t="s">
        <v>130</v>
      </c>
      <c r="CR2523" s="0" t="s">
        <v>130</v>
      </c>
      <c r="CS2523" s="0" t="s">
        <v>130</v>
      </c>
      <c r="CT2523" s="0" t="s">
        <v>6854</v>
      </c>
    </row>
    <row r="2524">
      <c r="A2524" s="14">
        <v>107570</v>
      </c>
      <c r="B2524" s="0" t="s">
        <v>2153</v>
      </c>
      <c r="C2524" s="16">
        <f>HYPERLINK("https://eosportal.federatedhermes.com/companies/Q29tcGFueQppNDQxMjE=", "Waste Management Inc")</f>
      </c>
      <c r="D2524" s="0" t="s">
        <v>25</v>
      </c>
      <c r="E2524" s="0" t="s">
        <v>5341</v>
      </c>
      <c r="F2524" s="16">
        <f>HYPERLINK("https://eosportal.federatedhermes.com/engagements/RW5nYWdlbWVudAppMzQxMDg=", "Training and socioeconomic mobility metrics")</f>
      </c>
      <c r="G2524" s="14" t="s">
        <v>6855</v>
      </c>
      <c r="H2524" s="0" t="s">
        <v>141</v>
      </c>
      <c r="I2524" s="14" t="s">
        <v>131</v>
      </c>
      <c r="J2524" s="0" t="s">
        <v>153</v>
      </c>
      <c r="K2524" s="0" t="s">
        <v>154</v>
      </c>
      <c r="L2524" s="0" t="s">
        <v>268</v>
      </c>
      <c r="M2524" s="0" t="s">
        <v>135</v>
      </c>
      <c r="N2524" s="0" t="s">
        <v>136</v>
      </c>
      <c r="O2524" s="0" t="s">
        <v>176</v>
      </c>
      <c r="Q2524" s="0" t="s">
        <v>130</v>
      </c>
      <c r="R2524" s="0" t="s">
        <v>138</v>
      </c>
      <c r="S2524" s="14">
        <v>0</v>
      </c>
      <c r="T2524" s="0" t="s">
        <v>446</v>
      </c>
      <c r="U2524" s="0" t="s">
        <v>138</v>
      </c>
      <c r="V2524" s="14" t="s">
        <v>138</v>
      </c>
      <c r="W2524" s="0" t="s">
        <v>138</v>
      </c>
      <c r="X2524" s="14" t="s">
        <v>138</v>
      </c>
      <c r="Y2524" s="0" t="s">
        <v>138</v>
      </c>
      <c r="Z2524" s="14" t="s">
        <v>138</v>
      </c>
      <c r="AA2524" s="0" t="s">
        <v>138</v>
      </c>
      <c r="AB2524" s="14" t="s">
        <v>138</v>
      </c>
      <c r="AD2524" s="0" t="s">
        <v>138</v>
      </c>
      <c r="AF2524" s="0">
        <v>0</v>
      </c>
      <c r="AG2524" s="0">
        <v>0</v>
      </c>
      <c r="AH2524" s="0" t="s">
        <v>140</v>
      </c>
      <c r="AI2524" s="0" t="s">
        <v>138</v>
      </c>
      <c r="AL2524" s="14"/>
      <c r="AN2524" s="14"/>
      <c r="AQ2524" s="0" t="s">
        <v>130</v>
      </c>
      <c r="AR2524" s="0" t="s">
        <v>130</v>
      </c>
      <c r="AS2524" s="0" t="s">
        <v>130</v>
      </c>
      <c r="AT2524" s="0" t="s">
        <v>130</v>
      </c>
      <c r="AU2524" s="0" t="s">
        <v>130</v>
      </c>
      <c r="AV2524" s="0" t="s">
        <v>130</v>
      </c>
      <c r="AW2524" s="0" t="s">
        <v>130</v>
      </c>
      <c r="AX2524" s="0" t="s">
        <v>130</v>
      </c>
      <c r="AY2524" s="0" t="s">
        <v>130</v>
      </c>
      <c r="AZ2524" s="0" t="s">
        <v>141</v>
      </c>
      <c r="BA2524" s="0" t="s">
        <v>130</v>
      </c>
      <c r="BB2524" s="0" t="s">
        <v>130</v>
      </c>
      <c r="BC2524" s="0" t="s">
        <v>130</v>
      </c>
      <c r="BD2524" s="0" t="s">
        <v>130</v>
      </c>
      <c r="BE2524" s="0" t="s">
        <v>130</v>
      </c>
      <c r="BF2524" s="0" t="s">
        <v>130</v>
      </c>
      <c r="BG2524" s="0" t="s">
        <v>130</v>
      </c>
      <c r="BH2524" s="0" t="s">
        <v>130</v>
      </c>
      <c r="BI2524" s="0" t="s">
        <v>130</v>
      </c>
      <c r="BJ2524" s="0" t="s">
        <v>130</v>
      </c>
      <c r="BK2524" s="0" t="s">
        <v>130</v>
      </c>
      <c r="BL2524" s="0" t="s">
        <v>130</v>
      </c>
      <c r="BM2524" s="0" t="s">
        <v>130</v>
      </c>
      <c r="BN2524" s="0" t="s">
        <v>130</v>
      </c>
      <c r="BO2524" s="0" t="s">
        <v>130</v>
      </c>
      <c r="BP2524" s="0" t="s">
        <v>130</v>
      </c>
      <c r="BQ2524" s="0" t="s">
        <v>130</v>
      </c>
      <c r="BR2524" s="0" t="s">
        <v>130</v>
      </c>
      <c r="BS2524" s="0" t="s">
        <v>130</v>
      </c>
      <c r="BT2524" s="0" t="s">
        <v>130</v>
      </c>
      <c r="BU2524" s="0" t="s">
        <v>130</v>
      </c>
      <c r="BV2524" s="0" t="s">
        <v>130</v>
      </c>
      <c r="BW2524" s="0" t="s">
        <v>130</v>
      </c>
      <c r="BX2524" s="0" t="s">
        <v>130</v>
      </c>
      <c r="BY2524" s="0" t="s">
        <v>130</v>
      </c>
      <c r="BZ2524" s="0" t="s">
        <v>130</v>
      </c>
      <c r="CA2524" s="0" t="s">
        <v>130</v>
      </c>
      <c r="CB2524" s="0" t="s">
        <v>130</v>
      </c>
      <c r="CC2524" s="0" t="s">
        <v>130</v>
      </c>
      <c r="CD2524" s="0" t="s">
        <v>130</v>
      </c>
      <c r="CE2524" s="0" t="s">
        <v>130</v>
      </c>
      <c r="CF2524" s="0" t="s">
        <v>130</v>
      </c>
      <c r="CG2524" s="0" t="s">
        <v>130</v>
      </c>
      <c r="CH2524" s="0" t="s">
        <v>130</v>
      </c>
      <c r="CI2524" s="0" t="s">
        <v>130</v>
      </c>
      <c r="CJ2524" s="0" t="s">
        <v>130</v>
      </c>
      <c r="CK2524" s="0" t="s">
        <v>141</v>
      </c>
      <c r="CL2524" s="0" t="s">
        <v>130</v>
      </c>
      <c r="CM2524" s="0" t="s">
        <v>130</v>
      </c>
      <c r="CN2524" s="0" t="s">
        <v>130</v>
      </c>
      <c r="CO2524" s="0" t="s">
        <v>130</v>
      </c>
      <c r="CP2524" s="0" t="s">
        <v>130</v>
      </c>
      <c r="CQ2524" s="0" t="s">
        <v>130</v>
      </c>
      <c r="CR2524" s="0" t="s">
        <v>130</v>
      </c>
      <c r="CS2524" s="0" t="s">
        <v>130</v>
      </c>
      <c r="CT2524" s="0" t="s">
        <v>6856</v>
      </c>
    </row>
    <row r="2525">
      <c r="A2525" s="14">
        <v>101491</v>
      </c>
      <c r="B2525" s="0" t="s">
        <v>1642</v>
      </c>
      <c r="C2525" s="16">
        <f>HYPERLINK("https://eosportal.federatedhermes.com/companies/Q29tcGFueQppNjMzMzM=", "TotalEnergies SE")</f>
      </c>
      <c r="D2525" s="0" t="s">
        <v>25</v>
      </c>
      <c r="E2525" s="0" t="s">
        <v>6857</v>
      </c>
      <c r="F2525" s="16">
        <f>HYPERLINK("https://eosportal.federatedhermes.com/engagements/RW5nYWdlbWVudAppMzQxMTA=", "Combined chair/CEO role")</f>
      </c>
      <c r="G2525" s="14" t="s">
        <v>6858</v>
      </c>
      <c r="H2525" s="0" t="s">
        <v>141</v>
      </c>
      <c r="I2525" s="14" t="s">
        <v>1645</v>
      </c>
      <c r="J2525" s="0" t="s">
        <v>145</v>
      </c>
      <c r="K2525" s="0" t="s">
        <v>164</v>
      </c>
      <c r="L2525" s="0" t="s">
        <v>165</v>
      </c>
      <c r="M2525" s="0" t="s">
        <v>378</v>
      </c>
      <c r="N2525" s="0" t="s">
        <v>1646</v>
      </c>
      <c r="O2525" s="0" t="s">
        <v>542</v>
      </c>
      <c r="Q2525" s="0" t="s">
        <v>130</v>
      </c>
      <c r="R2525" s="0" t="s">
        <v>138</v>
      </c>
      <c r="S2525" s="14">
        <v>0</v>
      </c>
      <c r="T2525" s="0" t="s">
        <v>3562</v>
      </c>
      <c r="U2525" s="0" t="s">
        <v>138</v>
      </c>
      <c r="V2525" s="14" t="s">
        <v>138</v>
      </c>
      <c r="W2525" s="0" t="s">
        <v>138</v>
      </c>
      <c r="X2525" s="14" t="s">
        <v>138</v>
      </c>
      <c r="Y2525" s="0" t="s">
        <v>138</v>
      </c>
      <c r="Z2525" s="14" t="s">
        <v>138</v>
      </c>
      <c r="AA2525" s="0" t="s">
        <v>138</v>
      </c>
      <c r="AB2525" s="14" t="s">
        <v>138</v>
      </c>
      <c r="AD2525" s="0" t="s">
        <v>138</v>
      </c>
      <c r="AF2525" s="0">
        <v>0</v>
      </c>
      <c r="AG2525" s="0">
        <v>0</v>
      </c>
      <c r="AH2525" s="0" t="s">
        <v>140</v>
      </c>
      <c r="AI2525" s="0" t="s">
        <v>138</v>
      </c>
      <c r="AL2525" s="14"/>
      <c r="AN2525" s="14"/>
      <c r="AQ2525" s="0" t="s">
        <v>130</v>
      </c>
      <c r="AR2525" s="0" t="s">
        <v>130</v>
      </c>
      <c r="AS2525" s="0" t="s">
        <v>130</v>
      </c>
      <c r="AT2525" s="0" t="s">
        <v>130</v>
      </c>
      <c r="AU2525" s="0" t="s">
        <v>130</v>
      </c>
      <c r="AV2525" s="0" t="s">
        <v>130</v>
      </c>
      <c r="AW2525" s="0" t="s">
        <v>130</v>
      </c>
      <c r="AX2525" s="0" t="s">
        <v>130</v>
      </c>
      <c r="AY2525" s="0" t="s">
        <v>130</v>
      </c>
      <c r="AZ2525" s="0" t="s">
        <v>130</v>
      </c>
      <c r="BA2525" s="0" t="s">
        <v>130</v>
      </c>
      <c r="BB2525" s="0" t="s">
        <v>130</v>
      </c>
      <c r="BC2525" s="0" t="s">
        <v>130</v>
      </c>
      <c r="BD2525" s="0" t="s">
        <v>130</v>
      </c>
      <c r="BE2525" s="0" t="s">
        <v>130</v>
      </c>
      <c r="BF2525" s="0" t="s">
        <v>130</v>
      </c>
      <c r="BG2525" s="0" t="s">
        <v>130</v>
      </c>
      <c r="BH2525" s="0" t="s">
        <v>130</v>
      </c>
      <c r="BI2525" s="0" t="s">
        <v>130</v>
      </c>
      <c r="BJ2525" s="0" t="s">
        <v>130</v>
      </c>
      <c r="BK2525" s="0" t="s">
        <v>130</v>
      </c>
      <c r="BL2525" s="0" t="s">
        <v>130</v>
      </c>
      <c r="BM2525" s="0" t="s">
        <v>130</v>
      </c>
      <c r="BN2525" s="0" t="s">
        <v>130</v>
      </c>
      <c r="BO2525" s="0" t="s">
        <v>130</v>
      </c>
      <c r="BP2525" s="0" t="s">
        <v>130</v>
      </c>
      <c r="BQ2525" s="0" t="s">
        <v>130</v>
      </c>
      <c r="BR2525" s="0" t="s">
        <v>130</v>
      </c>
      <c r="BS2525" s="0" t="s">
        <v>130</v>
      </c>
      <c r="BT2525" s="0" t="s">
        <v>130</v>
      </c>
      <c r="BU2525" s="0" t="s">
        <v>130</v>
      </c>
      <c r="BV2525" s="0" t="s">
        <v>130</v>
      </c>
      <c r="BW2525" s="0" t="s">
        <v>130</v>
      </c>
      <c r="BX2525" s="0" t="s">
        <v>130</v>
      </c>
      <c r="BY2525" s="0" t="s">
        <v>130</v>
      </c>
      <c r="BZ2525" s="0" t="s">
        <v>130</v>
      </c>
      <c r="CA2525" s="0" t="s">
        <v>130</v>
      </c>
      <c r="CB2525" s="0" t="s">
        <v>130</v>
      </c>
      <c r="CC2525" s="0" t="s">
        <v>130</v>
      </c>
      <c r="CD2525" s="0" t="s">
        <v>130</v>
      </c>
      <c r="CE2525" s="0" t="s">
        <v>130</v>
      </c>
      <c r="CF2525" s="0" t="s">
        <v>130</v>
      </c>
      <c r="CG2525" s="0" t="s">
        <v>130</v>
      </c>
      <c r="CH2525" s="0" t="s">
        <v>130</v>
      </c>
      <c r="CI2525" s="0" t="s">
        <v>130</v>
      </c>
      <c r="CJ2525" s="0" t="s">
        <v>130</v>
      </c>
      <c r="CK2525" s="0" t="s">
        <v>130</v>
      </c>
      <c r="CL2525" s="0" t="s">
        <v>130</v>
      </c>
      <c r="CM2525" s="0" t="s">
        <v>130</v>
      </c>
      <c r="CN2525" s="0" t="s">
        <v>130</v>
      </c>
      <c r="CO2525" s="0" t="s">
        <v>130</v>
      </c>
      <c r="CP2525" s="0" t="s">
        <v>130</v>
      </c>
      <c r="CQ2525" s="0" t="s">
        <v>130</v>
      </c>
      <c r="CR2525" s="0" t="s">
        <v>130</v>
      </c>
      <c r="CS2525" s="0" t="s">
        <v>130</v>
      </c>
      <c r="CT2525" s="0" t="s">
        <v>6859</v>
      </c>
    </row>
    <row r="2526">
      <c r="A2526" s="14">
        <v>107570</v>
      </c>
      <c r="B2526" s="0" t="s">
        <v>2153</v>
      </c>
      <c r="C2526" s="16">
        <f>HYPERLINK("https://eosportal.federatedhermes.com/companies/Q29tcGFueQppNDQxMjE=", "Waste Management Inc")</f>
      </c>
      <c r="D2526" s="0" t="s">
        <v>23</v>
      </c>
      <c r="E2526" s="0" t="s">
        <v>6860</v>
      </c>
      <c r="F2526" s="16">
        <f>HYPERLINK("https://eosportal.federatedhermes.com/engagements/RW5nYWdlbWVudAppMzQxMTQ=", "Living wage monitoring and reporting")</f>
      </c>
      <c r="G2526" s="14" t="s">
        <v>6861</v>
      </c>
      <c r="H2526" s="0" t="s">
        <v>141</v>
      </c>
      <c r="I2526" s="14" t="s">
        <v>131</v>
      </c>
      <c r="J2526" s="0" t="s">
        <v>153</v>
      </c>
      <c r="K2526" s="0" t="s">
        <v>154</v>
      </c>
      <c r="L2526" s="0" t="s">
        <v>306</v>
      </c>
      <c r="M2526" s="0" t="s">
        <v>135</v>
      </c>
      <c r="N2526" s="0" t="s">
        <v>136</v>
      </c>
      <c r="O2526" s="0" t="s">
        <v>176</v>
      </c>
      <c r="Q2526" s="0" t="s">
        <v>141</v>
      </c>
      <c r="R2526" s="0" t="s">
        <v>130</v>
      </c>
      <c r="S2526" s="14">
        <v>2</v>
      </c>
      <c r="T2526" s="0" t="s">
        <v>446</v>
      </c>
      <c r="U2526" s="0" t="s">
        <v>221</v>
      </c>
      <c r="V2526" s="14" t="s">
        <v>446</v>
      </c>
      <c r="W2526" s="0" t="s">
        <v>223</v>
      </c>
      <c r="X2526" s="14" t="s">
        <v>138</v>
      </c>
      <c r="Y2526" s="0" t="s">
        <v>224</v>
      </c>
      <c r="Z2526" s="14" t="s">
        <v>138</v>
      </c>
      <c r="AA2526" s="0" t="s">
        <v>224</v>
      </c>
      <c r="AB2526" s="14" t="s">
        <v>138</v>
      </c>
      <c r="AD2526" s="0" t="s">
        <v>14</v>
      </c>
      <c r="AF2526" s="0">
        <v>0</v>
      </c>
      <c r="AG2526" s="0">
        <v>0</v>
      </c>
      <c r="AH2526" s="0" t="s">
        <v>140</v>
      </c>
      <c r="AI2526" s="0" t="s">
        <v>225</v>
      </c>
      <c r="AK2526" s="0" t="s">
        <v>1470</v>
      </c>
      <c r="AL2526" s="14"/>
      <c r="AN2526" s="14"/>
      <c r="AQ2526" s="0" t="s">
        <v>130</v>
      </c>
      <c r="AR2526" s="0" t="s">
        <v>130</v>
      </c>
      <c r="AS2526" s="0" t="s">
        <v>130</v>
      </c>
      <c r="AT2526" s="0" t="s">
        <v>130</v>
      </c>
      <c r="AU2526" s="0" t="s">
        <v>130</v>
      </c>
      <c r="AV2526" s="0" t="s">
        <v>130</v>
      </c>
      <c r="AW2526" s="0" t="s">
        <v>130</v>
      </c>
      <c r="AX2526" s="0" t="s">
        <v>141</v>
      </c>
      <c r="AY2526" s="0" t="s">
        <v>130</v>
      </c>
      <c r="AZ2526" s="0" t="s">
        <v>141</v>
      </c>
      <c r="BA2526" s="0" t="s">
        <v>130</v>
      </c>
      <c r="BB2526" s="0" t="s">
        <v>130</v>
      </c>
      <c r="BC2526" s="0" t="s">
        <v>130</v>
      </c>
      <c r="BD2526" s="0" t="s">
        <v>130</v>
      </c>
      <c r="BE2526" s="0" t="s">
        <v>130</v>
      </c>
      <c r="BF2526" s="0" t="s">
        <v>130</v>
      </c>
      <c r="BG2526" s="0" t="s">
        <v>130</v>
      </c>
      <c r="BH2526" s="0" t="s">
        <v>130</v>
      </c>
      <c r="BI2526" s="0" t="s">
        <v>130</v>
      </c>
      <c r="BJ2526" s="0" t="s">
        <v>130</v>
      </c>
      <c r="BK2526" s="0" t="s">
        <v>130</v>
      </c>
      <c r="BL2526" s="0" t="s">
        <v>130</v>
      </c>
      <c r="BM2526" s="0" t="s">
        <v>130</v>
      </c>
      <c r="BN2526" s="0" t="s">
        <v>130</v>
      </c>
      <c r="BO2526" s="0" t="s">
        <v>130</v>
      </c>
      <c r="BP2526" s="0" t="s">
        <v>130</v>
      </c>
      <c r="BQ2526" s="0" t="s">
        <v>130</v>
      </c>
      <c r="BR2526" s="0" t="s">
        <v>130</v>
      </c>
      <c r="BS2526" s="0" t="s">
        <v>130</v>
      </c>
      <c r="BT2526" s="0" t="s">
        <v>130</v>
      </c>
      <c r="BU2526" s="0" t="s">
        <v>130</v>
      </c>
      <c r="BV2526" s="0" t="s">
        <v>130</v>
      </c>
      <c r="BW2526" s="0" t="s">
        <v>130</v>
      </c>
      <c r="BX2526" s="0" t="s">
        <v>130</v>
      </c>
      <c r="BY2526" s="0" t="s">
        <v>130</v>
      </c>
      <c r="BZ2526" s="0" t="s">
        <v>130</v>
      </c>
      <c r="CA2526" s="0" t="s">
        <v>130</v>
      </c>
      <c r="CB2526" s="0" t="s">
        <v>130</v>
      </c>
      <c r="CC2526" s="0" t="s">
        <v>130</v>
      </c>
      <c r="CD2526" s="0" t="s">
        <v>130</v>
      </c>
      <c r="CE2526" s="0" t="s">
        <v>130</v>
      </c>
      <c r="CF2526" s="0" t="s">
        <v>130</v>
      </c>
      <c r="CG2526" s="0" t="s">
        <v>130</v>
      </c>
      <c r="CH2526" s="0" t="s">
        <v>130</v>
      </c>
      <c r="CI2526" s="0" t="s">
        <v>130</v>
      </c>
      <c r="CJ2526" s="0" t="s">
        <v>130</v>
      </c>
      <c r="CK2526" s="0" t="s">
        <v>130</v>
      </c>
      <c r="CL2526" s="0" t="s">
        <v>130</v>
      </c>
      <c r="CM2526" s="0" t="s">
        <v>130</v>
      </c>
      <c r="CN2526" s="0" t="s">
        <v>130</v>
      </c>
      <c r="CO2526" s="0" t="s">
        <v>130</v>
      </c>
      <c r="CP2526" s="0" t="s">
        <v>130</v>
      </c>
      <c r="CQ2526" s="0" t="s">
        <v>130</v>
      </c>
      <c r="CR2526" s="0" t="s">
        <v>130</v>
      </c>
      <c r="CS2526" s="0" t="s">
        <v>130</v>
      </c>
      <c r="CT2526" s="0" t="s">
        <v>6862</v>
      </c>
    </row>
    <row r="2527">
      <c r="A2527" s="14">
        <v>313098</v>
      </c>
      <c r="B2527" s="0" t="s">
        <v>3614</v>
      </c>
      <c r="C2527" s="16">
        <f>HYPERLINK("https://eosportal.federatedhermes.com/companies/Q29tcGFueQppNzMyNzk=", "Ameren Corp")</f>
      </c>
      <c r="D2527" s="0" t="s">
        <v>23</v>
      </c>
      <c r="E2527" s="0" t="s">
        <v>228</v>
      </c>
      <c r="F2527" s="16">
        <f>HYPERLINK("https://eosportal.federatedhermes.com/engagements/RW5nYWdlbWVudAppMzQxMjM=", "Climate strategy")</f>
      </c>
      <c r="G2527" s="14" t="s">
        <v>6863</v>
      </c>
      <c r="H2527" s="0" t="s">
        <v>141</v>
      </c>
      <c r="I2527" s="14" t="s">
        <v>636</v>
      </c>
      <c r="J2527" s="0" t="s">
        <v>197</v>
      </c>
      <c r="K2527" s="0" t="s">
        <v>198</v>
      </c>
      <c r="L2527" s="0" t="s">
        <v>220</v>
      </c>
      <c r="M2527" s="0" t="s">
        <v>135</v>
      </c>
      <c r="N2527" s="0" t="s">
        <v>136</v>
      </c>
      <c r="O2527" s="0" t="s">
        <v>192</v>
      </c>
      <c r="Q2527" s="0" t="s">
        <v>130</v>
      </c>
      <c r="R2527" s="0" t="s">
        <v>130</v>
      </c>
      <c r="S2527" s="14">
        <v>0</v>
      </c>
      <c r="T2527" s="0" t="s">
        <v>446</v>
      </c>
      <c r="U2527" s="0" t="s">
        <v>221</v>
      </c>
      <c r="V2527" s="14" t="s">
        <v>446</v>
      </c>
      <c r="W2527" s="0" t="s">
        <v>223</v>
      </c>
      <c r="X2527" s="14" t="s">
        <v>138</v>
      </c>
      <c r="Y2527" s="0" t="s">
        <v>224</v>
      </c>
      <c r="Z2527" s="14" t="s">
        <v>138</v>
      </c>
      <c r="AA2527" s="0" t="s">
        <v>224</v>
      </c>
      <c r="AB2527" s="14" t="s">
        <v>138</v>
      </c>
      <c r="AD2527" s="0" t="s">
        <v>14</v>
      </c>
      <c r="AF2527" s="0">
        <v>0</v>
      </c>
      <c r="AG2527" s="0">
        <v>0</v>
      </c>
      <c r="AH2527" s="0" t="s">
        <v>140</v>
      </c>
      <c r="AI2527" s="0" t="s">
        <v>225</v>
      </c>
      <c r="AL2527" s="14"/>
      <c r="AN2527" s="14"/>
      <c r="AQ2527" s="0" t="s">
        <v>130</v>
      </c>
      <c r="AR2527" s="0" t="s">
        <v>130</v>
      </c>
      <c r="AS2527" s="0" t="s">
        <v>130</v>
      </c>
      <c r="AT2527" s="0" t="s">
        <v>130</v>
      </c>
      <c r="AU2527" s="0" t="s">
        <v>130</v>
      </c>
      <c r="AV2527" s="0" t="s">
        <v>130</v>
      </c>
      <c r="AW2527" s="0" t="s">
        <v>141</v>
      </c>
      <c r="AX2527" s="0" t="s">
        <v>130</v>
      </c>
      <c r="AY2527" s="0" t="s">
        <v>141</v>
      </c>
      <c r="AZ2527" s="0" t="s">
        <v>130</v>
      </c>
      <c r="BA2527" s="0" t="s">
        <v>130</v>
      </c>
      <c r="BB2527" s="0" t="s">
        <v>130</v>
      </c>
      <c r="BC2527" s="0" t="s">
        <v>141</v>
      </c>
      <c r="BD2527" s="0" t="s">
        <v>130</v>
      </c>
      <c r="BE2527" s="0" t="s">
        <v>130</v>
      </c>
      <c r="BF2527" s="0" t="s">
        <v>130</v>
      </c>
      <c r="BG2527" s="0" t="s">
        <v>130</v>
      </c>
      <c r="BH2527" s="0" t="s">
        <v>141</v>
      </c>
      <c r="BI2527" s="0" t="s">
        <v>141</v>
      </c>
      <c r="BJ2527" s="0" t="s">
        <v>141</v>
      </c>
      <c r="BK2527" s="0" t="s">
        <v>130</v>
      </c>
      <c r="BL2527" s="0" t="s">
        <v>130</v>
      </c>
      <c r="BM2527" s="0" t="s">
        <v>130</v>
      </c>
      <c r="BN2527" s="0" t="s">
        <v>130</v>
      </c>
      <c r="BO2527" s="0" t="s">
        <v>130</v>
      </c>
      <c r="BP2527" s="0" t="s">
        <v>130</v>
      </c>
      <c r="BQ2527" s="0" t="s">
        <v>130</v>
      </c>
      <c r="BR2527" s="0" t="s">
        <v>130</v>
      </c>
      <c r="BS2527" s="0" t="s">
        <v>130</v>
      </c>
      <c r="BT2527" s="0" t="s">
        <v>130</v>
      </c>
      <c r="BU2527" s="0" t="s">
        <v>130</v>
      </c>
      <c r="BV2527" s="0" t="s">
        <v>141</v>
      </c>
      <c r="BW2527" s="0" t="s">
        <v>141</v>
      </c>
      <c r="BX2527" s="0" t="s">
        <v>130</v>
      </c>
      <c r="BY2527" s="0" t="s">
        <v>130</v>
      </c>
      <c r="BZ2527" s="0" t="s">
        <v>130</v>
      </c>
      <c r="CA2527" s="0" t="s">
        <v>130</v>
      </c>
      <c r="CB2527" s="0" t="s">
        <v>130</v>
      </c>
      <c r="CC2527" s="0" t="s">
        <v>130</v>
      </c>
      <c r="CD2527" s="0" t="s">
        <v>130</v>
      </c>
      <c r="CE2527" s="0" t="s">
        <v>130</v>
      </c>
      <c r="CF2527" s="0" t="s">
        <v>130</v>
      </c>
      <c r="CG2527" s="0" t="s">
        <v>130</v>
      </c>
      <c r="CH2527" s="0" t="s">
        <v>130</v>
      </c>
      <c r="CI2527" s="0" t="s">
        <v>130</v>
      </c>
      <c r="CJ2527" s="0" t="s">
        <v>130</v>
      </c>
      <c r="CK2527" s="0" t="s">
        <v>130</v>
      </c>
      <c r="CL2527" s="0" t="s">
        <v>130</v>
      </c>
      <c r="CM2527" s="0" t="s">
        <v>130</v>
      </c>
      <c r="CN2527" s="0" t="s">
        <v>130</v>
      </c>
      <c r="CO2527" s="0" t="s">
        <v>130</v>
      </c>
      <c r="CP2527" s="0" t="s">
        <v>130</v>
      </c>
      <c r="CQ2527" s="0" t="s">
        <v>130</v>
      </c>
      <c r="CR2527" s="0" t="s">
        <v>130</v>
      </c>
      <c r="CS2527" s="0" t="s">
        <v>130</v>
      </c>
      <c r="CT2527" s="0" t="s">
        <v>6864</v>
      </c>
    </row>
    <row r="2528">
      <c r="A2528" s="14">
        <v>38799931</v>
      </c>
      <c r="B2528" s="0" t="s">
        <v>4492</v>
      </c>
      <c r="C2528" s="16">
        <f>HYPERLINK("https://eosportal.federatedhermes.com/companies/Q29tcGFueQppNzM3OTk=", "JD.com Inc")</f>
      </c>
      <c r="D2528" s="0" t="s">
        <v>23</v>
      </c>
      <c r="E2528" s="0" t="s">
        <v>6865</v>
      </c>
      <c r="F2528" s="16">
        <f>HYPERLINK("https://eosportal.federatedhermes.com/engagements/RW5nYWdlbWVudAppMzQxMjQ=", "Third-party audits of higher-risk tier-1 suppliers")</f>
      </c>
      <c r="G2528" s="14" t="s">
        <v>6866</v>
      </c>
      <c r="H2528" s="0" t="s">
        <v>141</v>
      </c>
      <c r="I2528" s="14" t="s">
        <v>191</v>
      </c>
      <c r="J2528" s="0" t="s">
        <v>153</v>
      </c>
      <c r="K2528" s="0" t="s">
        <v>243</v>
      </c>
      <c r="L2528" s="0" t="s">
        <v>244</v>
      </c>
      <c r="M2528" s="0" t="s">
        <v>2807</v>
      </c>
      <c r="N2528" s="0" t="s">
        <v>3272</v>
      </c>
      <c r="O2528" s="0" t="s">
        <v>643</v>
      </c>
      <c r="Q2528" s="0" t="s">
        <v>141</v>
      </c>
      <c r="R2528" s="0" t="s">
        <v>130</v>
      </c>
      <c r="S2528" s="14">
        <v>1</v>
      </c>
      <c r="T2528" s="0" t="s">
        <v>3562</v>
      </c>
      <c r="U2528" s="0" t="s">
        <v>221</v>
      </c>
      <c r="V2528" s="14" t="s">
        <v>3562</v>
      </c>
      <c r="W2528" s="0" t="s">
        <v>221</v>
      </c>
      <c r="X2528" s="14" t="s">
        <v>446</v>
      </c>
      <c r="Y2528" s="0" t="s">
        <v>223</v>
      </c>
      <c r="Z2528" s="14" t="s">
        <v>138</v>
      </c>
      <c r="AA2528" s="0" t="s">
        <v>224</v>
      </c>
      <c r="AB2528" s="14" t="s">
        <v>138</v>
      </c>
      <c r="AD2528" s="0" t="s">
        <v>17</v>
      </c>
      <c r="AF2528" s="0">
        <v>0</v>
      </c>
      <c r="AG2528" s="0">
        <v>0</v>
      </c>
      <c r="AH2528" s="0" t="s">
        <v>140</v>
      </c>
      <c r="AI2528" s="0" t="s">
        <v>598</v>
      </c>
      <c r="AK2528" s="0" t="s">
        <v>1347</v>
      </c>
      <c r="AL2528" s="14"/>
      <c r="AN2528" s="14"/>
      <c r="AQ2528" s="0" t="s">
        <v>130</v>
      </c>
      <c r="AR2528" s="0" t="s">
        <v>130</v>
      </c>
      <c r="AS2528" s="0" t="s">
        <v>130</v>
      </c>
      <c r="AT2528" s="0" t="s">
        <v>130</v>
      </c>
      <c r="AU2528" s="0" t="s">
        <v>130</v>
      </c>
      <c r="AV2528" s="0" t="s">
        <v>130</v>
      </c>
      <c r="AW2528" s="0" t="s">
        <v>130</v>
      </c>
      <c r="AX2528" s="0" t="s">
        <v>141</v>
      </c>
      <c r="AY2528" s="0" t="s">
        <v>130</v>
      </c>
      <c r="AZ2528" s="0" t="s">
        <v>130</v>
      </c>
      <c r="BA2528" s="0" t="s">
        <v>130</v>
      </c>
      <c r="BB2528" s="0" t="s">
        <v>130</v>
      </c>
      <c r="BC2528" s="0" t="s">
        <v>130</v>
      </c>
      <c r="BD2528" s="0" t="s">
        <v>130</v>
      </c>
      <c r="BE2528" s="0" t="s">
        <v>130</v>
      </c>
      <c r="BF2528" s="0" t="s">
        <v>130</v>
      </c>
      <c r="BG2528" s="0" t="s">
        <v>130</v>
      </c>
      <c r="BH2528" s="0" t="s">
        <v>130</v>
      </c>
      <c r="BI2528" s="0" t="s">
        <v>130</v>
      </c>
      <c r="BJ2528" s="0" t="s">
        <v>130</v>
      </c>
      <c r="BK2528" s="0" t="s">
        <v>130</v>
      </c>
      <c r="BL2528" s="0" t="s">
        <v>130</v>
      </c>
      <c r="BM2528" s="0" t="s">
        <v>130</v>
      </c>
      <c r="BN2528" s="0" t="s">
        <v>130</v>
      </c>
      <c r="BO2528" s="0" t="s">
        <v>130</v>
      </c>
      <c r="BP2528" s="0" t="s">
        <v>130</v>
      </c>
      <c r="BQ2528" s="0" t="s">
        <v>130</v>
      </c>
      <c r="BR2528" s="0" t="s">
        <v>130</v>
      </c>
      <c r="BS2528" s="0" t="s">
        <v>130</v>
      </c>
      <c r="BT2528" s="0" t="s">
        <v>130</v>
      </c>
      <c r="BU2528" s="0" t="s">
        <v>130</v>
      </c>
      <c r="BV2528" s="0" t="s">
        <v>130</v>
      </c>
      <c r="BW2528" s="0" t="s">
        <v>130</v>
      </c>
      <c r="BX2528" s="0" t="s">
        <v>130</v>
      </c>
      <c r="BY2528" s="0" t="s">
        <v>130</v>
      </c>
      <c r="BZ2528" s="0" t="s">
        <v>130</v>
      </c>
      <c r="CA2528" s="0" t="s">
        <v>130</v>
      </c>
      <c r="CB2528" s="0" t="s">
        <v>130</v>
      </c>
      <c r="CC2528" s="0" t="s">
        <v>130</v>
      </c>
      <c r="CD2528" s="0" t="s">
        <v>130</v>
      </c>
      <c r="CE2528" s="0" t="s">
        <v>130</v>
      </c>
      <c r="CF2528" s="0" t="s">
        <v>130</v>
      </c>
      <c r="CG2528" s="0" t="s">
        <v>130</v>
      </c>
      <c r="CH2528" s="0" t="s">
        <v>130</v>
      </c>
      <c r="CI2528" s="0" t="s">
        <v>130</v>
      </c>
      <c r="CJ2528" s="0" t="s">
        <v>130</v>
      </c>
      <c r="CK2528" s="0" t="s">
        <v>130</v>
      </c>
      <c r="CL2528" s="0" t="s">
        <v>130</v>
      </c>
      <c r="CM2528" s="0" t="s">
        <v>130</v>
      </c>
      <c r="CN2528" s="0" t="s">
        <v>141</v>
      </c>
      <c r="CO2528" s="0" t="s">
        <v>130</v>
      </c>
      <c r="CP2528" s="0" t="s">
        <v>130</v>
      </c>
      <c r="CQ2528" s="0" t="s">
        <v>130</v>
      </c>
      <c r="CR2528" s="0" t="s">
        <v>130</v>
      </c>
      <c r="CS2528" s="0" t="s">
        <v>130</v>
      </c>
      <c r="CT2528" s="0" t="s">
        <v>6867</v>
      </c>
    </row>
    <row r="2529">
      <c r="A2529" s="14">
        <v>111129</v>
      </c>
      <c r="B2529" s="0" t="s">
        <v>329</v>
      </c>
      <c r="C2529" s="16">
        <f>HYPERLINK("https://eosportal.federatedhermes.com/companies/Q29tcGFueQppNzU3MjA=", "Associated British Foods PLC")</f>
      </c>
      <c r="D2529" s="0" t="s">
        <v>23</v>
      </c>
      <c r="E2529" s="0" t="s">
        <v>6868</v>
      </c>
      <c r="F2529" s="16">
        <f>HYPERLINK("https://eosportal.federatedhermes.com/engagements/RW5nYWdlbWVudAppMzQxMjk=", "Disclosure of tax")</f>
      </c>
      <c r="G2529" s="14" t="s">
        <v>6869</v>
      </c>
      <c r="H2529" s="0" t="s">
        <v>141</v>
      </c>
      <c r="I2529" s="14" t="s">
        <v>191</v>
      </c>
      <c r="J2529" s="0" t="s">
        <v>153</v>
      </c>
      <c r="K2529" s="0" t="s">
        <v>185</v>
      </c>
      <c r="L2529" s="0" t="s">
        <v>548</v>
      </c>
      <c r="M2529" s="0" t="s">
        <v>272</v>
      </c>
      <c r="N2529" s="0" t="s">
        <v>273</v>
      </c>
      <c r="O2529" s="0" t="s">
        <v>332</v>
      </c>
      <c r="Q2529" s="0" t="s">
        <v>141</v>
      </c>
      <c r="R2529" s="0" t="s">
        <v>130</v>
      </c>
      <c r="S2529" s="14">
        <v>2</v>
      </c>
      <c r="T2529" s="0" t="s">
        <v>222</v>
      </c>
      <c r="U2529" s="0" t="s">
        <v>221</v>
      </c>
      <c r="V2529" s="14" t="s">
        <v>222</v>
      </c>
      <c r="W2529" s="0" t="s">
        <v>221</v>
      </c>
      <c r="X2529" s="14" t="s">
        <v>446</v>
      </c>
      <c r="Y2529" s="0" t="s">
        <v>223</v>
      </c>
      <c r="Z2529" s="14" t="s">
        <v>138</v>
      </c>
      <c r="AA2529" s="0" t="s">
        <v>224</v>
      </c>
      <c r="AB2529" s="14" t="s">
        <v>138</v>
      </c>
      <c r="AD2529" s="0" t="s">
        <v>17</v>
      </c>
      <c r="AF2529" s="0">
        <v>0</v>
      </c>
      <c r="AG2529" s="0">
        <v>0</v>
      </c>
      <c r="AH2529" s="0" t="s">
        <v>140</v>
      </c>
      <c r="AI2529" s="0" t="s">
        <v>598</v>
      </c>
      <c r="AK2529" s="0" t="s">
        <v>339</v>
      </c>
      <c r="AL2529" s="14"/>
      <c r="AN2529" s="14"/>
      <c r="AQ2529" s="0" t="s">
        <v>130</v>
      </c>
      <c r="AR2529" s="0" t="s">
        <v>130</v>
      </c>
      <c r="AS2529" s="0" t="s">
        <v>130</v>
      </c>
      <c r="AT2529" s="0" t="s">
        <v>130</v>
      </c>
      <c r="AU2529" s="0" t="s">
        <v>130</v>
      </c>
      <c r="AV2529" s="0" t="s">
        <v>130</v>
      </c>
      <c r="AW2529" s="0" t="s">
        <v>130</v>
      </c>
      <c r="AX2529" s="0" t="s">
        <v>130</v>
      </c>
      <c r="AY2529" s="0" t="s">
        <v>130</v>
      </c>
      <c r="AZ2529" s="0" t="s">
        <v>130</v>
      </c>
      <c r="BA2529" s="0" t="s">
        <v>130</v>
      </c>
      <c r="BB2529" s="0" t="s">
        <v>130</v>
      </c>
      <c r="BC2529" s="0" t="s">
        <v>130</v>
      </c>
      <c r="BD2529" s="0" t="s">
        <v>130</v>
      </c>
      <c r="BE2529" s="0" t="s">
        <v>130</v>
      </c>
      <c r="BF2529" s="0" t="s">
        <v>130</v>
      </c>
      <c r="BG2529" s="0" t="s">
        <v>141</v>
      </c>
      <c r="BH2529" s="0" t="s">
        <v>130</v>
      </c>
      <c r="BI2529" s="0" t="s">
        <v>130</v>
      </c>
      <c r="BJ2529" s="0" t="s">
        <v>130</v>
      </c>
      <c r="BK2529" s="0" t="s">
        <v>130</v>
      </c>
      <c r="BL2529" s="0" t="s">
        <v>130</v>
      </c>
      <c r="BM2529" s="0" t="s">
        <v>130</v>
      </c>
      <c r="BN2529" s="0" t="s">
        <v>130</v>
      </c>
      <c r="BO2529" s="0" t="s">
        <v>130</v>
      </c>
      <c r="BP2529" s="0" t="s">
        <v>130</v>
      </c>
      <c r="BQ2529" s="0" t="s">
        <v>130</v>
      </c>
      <c r="BR2529" s="0" t="s">
        <v>130</v>
      </c>
      <c r="BS2529" s="0" t="s">
        <v>130</v>
      </c>
      <c r="BT2529" s="0" t="s">
        <v>130</v>
      </c>
      <c r="BU2529" s="0" t="s">
        <v>130</v>
      </c>
      <c r="BV2529" s="0" t="s">
        <v>130</v>
      </c>
      <c r="BW2529" s="0" t="s">
        <v>130</v>
      </c>
      <c r="BX2529" s="0" t="s">
        <v>130</v>
      </c>
      <c r="BY2529" s="0" t="s">
        <v>130</v>
      </c>
      <c r="BZ2529" s="0" t="s">
        <v>130</v>
      </c>
      <c r="CA2529" s="0" t="s">
        <v>130</v>
      </c>
      <c r="CB2529" s="0" t="s">
        <v>130</v>
      </c>
      <c r="CC2529" s="0" t="s">
        <v>130</v>
      </c>
      <c r="CD2529" s="0" t="s">
        <v>130</v>
      </c>
      <c r="CE2529" s="0" t="s">
        <v>130</v>
      </c>
      <c r="CF2529" s="0" t="s">
        <v>130</v>
      </c>
      <c r="CG2529" s="0" t="s">
        <v>130</v>
      </c>
      <c r="CH2529" s="0" t="s">
        <v>130</v>
      </c>
      <c r="CI2529" s="0" t="s">
        <v>130</v>
      </c>
      <c r="CJ2529" s="0" t="s">
        <v>130</v>
      </c>
      <c r="CK2529" s="0" t="s">
        <v>130</v>
      </c>
      <c r="CL2529" s="0" t="s">
        <v>130</v>
      </c>
      <c r="CM2529" s="0" t="s">
        <v>130</v>
      </c>
      <c r="CN2529" s="0" t="s">
        <v>130</v>
      </c>
      <c r="CO2529" s="0" t="s">
        <v>130</v>
      </c>
      <c r="CP2529" s="0" t="s">
        <v>130</v>
      </c>
      <c r="CQ2529" s="0" t="s">
        <v>130</v>
      </c>
      <c r="CR2529" s="0" t="s">
        <v>130</v>
      </c>
      <c r="CS2529" s="0" t="s">
        <v>130</v>
      </c>
      <c r="CT2529" s="0" t="s">
        <v>6870</v>
      </c>
    </row>
    <row r="2530">
      <c r="A2530" s="14">
        <v>110755</v>
      </c>
      <c r="B2530" s="0" t="s">
        <v>2303</v>
      </c>
      <c r="C2530" s="16">
        <f>HYPERLINK("https://eosportal.federatedhermes.com/companies/Q29tcGFueQppODYxNDM=", "Toronto-Dominion Bank/The")</f>
      </c>
      <c r="D2530" s="0" t="s">
        <v>23</v>
      </c>
      <c r="E2530" s="0" t="s">
        <v>1859</v>
      </c>
      <c r="F2530" s="16">
        <f>HYPERLINK("https://eosportal.federatedhermes.com/engagements/RW5nYWdlbWVudAppMzQxMzA=", "Governance oversight of industry associations")</f>
      </c>
      <c r="G2530" s="14" t="s">
        <v>6871</v>
      </c>
      <c r="H2530" s="0" t="s">
        <v>141</v>
      </c>
      <c r="I2530" s="14" t="s">
        <v>191</v>
      </c>
      <c r="J2530" s="0" t="s">
        <v>197</v>
      </c>
      <c r="K2530" s="0" t="s">
        <v>198</v>
      </c>
      <c r="L2530" s="0" t="s">
        <v>199</v>
      </c>
      <c r="M2530" s="0" t="s">
        <v>135</v>
      </c>
      <c r="N2530" s="0" t="s">
        <v>1678</v>
      </c>
      <c r="O2530" s="0" t="s">
        <v>238</v>
      </c>
      <c r="Q2530" s="0" t="s">
        <v>141</v>
      </c>
      <c r="R2530" s="0" t="s">
        <v>130</v>
      </c>
      <c r="S2530" s="14">
        <v>1</v>
      </c>
      <c r="T2530" s="0" t="s">
        <v>446</v>
      </c>
      <c r="U2530" s="0" t="s">
        <v>221</v>
      </c>
      <c r="V2530" s="14" t="s">
        <v>446</v>
      </c>
      <c r="W2530" s="0" t="s">
        <v>221</v>
      </c>
      <c r="X2530" s="14" t="s">
        <v>446</v>
      </c>
      <c r="Y2530" s="0" t="s">
        <v>223</v>
      </c>
      <c r="Z2530" s="14" t="s">
        <v>138</v>
      </c>
      <c r="AA2530" s="0" t="s">
        <v>224</v>
      </c>
      <c r="AB2530" s="14" t="s">
        <v>138</v>
      </c>
      <c r="AD2530" s="0" t="s">
        <v>17</v>
      </c>
      <c r="AF2530" s="0">
        <v>0</v>
      </c>
      <c r="AG2530" s="0">
        <v>0</v>
      </c>
      <c r="AH2530" s="0" t="s">
        <v>140</v>
      </c>
      <c r="AI2530" s="0" t="s">
        <v>598</v>
      </c>
      <c r="AK2530" s="0" t="s">
        <v>1984</v>
      </c>
      <c r="AL2530" s="14"/>
      <c r="AN2530" s="14"/>
      <c r="AQ2530" s="0" t="s">
        <v>130</v>
      </c>
      <c r="AR2530" s="0" t="s">
        <v>130</v>
      </c>
      <c r="AS2530" s="0" t="s">
        <v>130</v>
      </c>
      <c r="AT2530" s="0" t="s">
        <v>130</v>
      </c>
      <c r="AU2530" s="0" t="s">
        <v>130</v>
      </c>
      <c r="AV2530" s="0" t="s">
        <v>130</v>
      </c>
      <c r="AW2530" s="0" t="s">
        <v>130</v>
      </c>
      <c r="AX2530" s="0" t="s">
        <v>130</v>
      </c>
      <c r="AY2530" s="0" t="s">
        <v>130</v>
      </c>
      <c r="AZ2530" s="0" t="s">
        <v>130</v>
      </c>
      <c r="BA2530" s="0" t="s">
        <v>130</v>
      </c>
      <c r="BB2530" s="0" t="s">
        <v>141</v>
      </c>
      <c r="BC2530" s="0" t="s">
        <v>130</v>
      </c>
      <c r="BD2530" s="0" t="s">
        <v>130</v>
      </c>
      <c r="BE2530" s="0" t="s">
        <v>130</v>
      </c>
      <c r="BF2530" s="0" t="s">
        <v>130</v>
      </c>
      <c r="BG2530" s="0" t="s">
        <v>130</v>
      </c>
      <c r="BH2530" s="0" t="s">
        <v>130</v>
      </c>
      <c r="BI2530" s="0" t="s">
        <v>130</v>
      </c>
      <c r="BJ2530" s="0" t="s">
        <v>130</v>
      </c>
      <c r="BK2530" s="0" t="s">
        <v>130</v>
      </c>
      <c r="BL2530" s="0" t="s">
        <v>130</v>
      </c>
      <c r="BM2530" s="0" t="s">
        <v>130</v>
      </c>
      <c r="BN2530" s="0" t="s">
        <v>130</v>
      </c>
      <c r="BO2530" s="0" t="s">
        <v>130</v>
      </c>
      <c r="BP2530" s="0" t="s">
        <v>130</v>
      </c>
      <c r="BQ2530" s="0" t="s">
        <v>130</v>
      </c>
      <c r="BR2530" s="0" t="s">
        <v>130</v>
      </c>
      <c r="BS2530" s="0" t="s">
        <v>130</v>
      </c>
      <c r="BT2530" s="0" t="s">
        <v>130</v>
      </c>
      <c r="BU2530" s="0" t="s">
        <v>130</v>
      </c>
      <c r="BV2530" s="0" t="s">
        <v>130</v>
      </c>
      <c r="BW2530" s="0" t="s">
        <v>130</v>
      </c>
      <c r="BX2530" s="0" t="s">
        <v>130</v>
      </c>
      <c r="BY2530" s="0" t="s">
        <v>130</v>
      </c>
      <c r="BZ2530" s="0" t="s">
        <v>130</v>
      </c>
      <c r="CA2530" s="0" t="s">
        <v>130</v>
      </c>
      <c r="CB2530" s="0" t="s">
        <v>130</v>
      </c>
      <c r="CC2530" s="0" t="s">
        <v>130</v>
      </c>
      <c r="CD2530" s="0" t="s">
        <v>130</v>
      </c>
      <c r="CE2530" s="0" t="s">
        <v>130</v>
      </c>
      <c r="CF2530" s="0" t="s">
        <v>130</v>
      </c>
      <c r="CG2530" s="0" t="s">
        <v>130</v>
      </c>
      <c r="CH2530" s="0" t="s">
        <v>130</v>
      </c>
      <c r="CI2530" s="0" t="s">
        <v>130</v>
      </c>
      <c r="CJ2530" s="0" t="s">
        <v>130</v>
      </c>
      <c r="CK2530" s="0" t="s">
        <v>130</v>
      </c>
      <c r="CL2530" s="0" t="s">
        <v>130</v>
      </c>
      <c r="CM2530" s="0" t="s">
        <v>130</v>
      </c>
      <c r="CN2530" s="0" t="s">
        <v>130</v>
      </c>
      <c r="CO2530" s="0" t="s">
        <v>130</v>
      </c>
      <c r="CP2530" s="0" t="s">
        <v>130</v>
      </c>
      <c r="CQ2530" s="0" t="s">
        <v>130</v>
      </c>
      <c r="CR2530" s="0" t="s">
        <v>130</v>
      </c>
      <c r="CS2530" s="0" t="s">
        <v>130</v>
      </c>
      <c r="CT2530" s="0" t="s">
        <v>6872</v>
      </c>
    </row>
    <row r="2531">
      <c r="A2531" s="14">
        <v>107570</v>
      </c>
      <c r="B2531" s="0" t="s">
        <v>2153</v>
      </c>
      <c r="C2531" s="16">
        <f>HYPERLINK("https://eosportal.federatedhermes.com/companies/Q29tcGFueQppNDQxMjE=", "Waste Management Inc")</f>
      </c>
      <c r="D2531" s="0" t="s">
        <v>23</v>
      </c>
      <c r="E2531" s="0" t="s">
        <v>6873</v>
      </c>
      <c r="F2531" s="16">
        <f>HYPERLINK("https://eosportal.federatedhermes.com/engagements/RW5nYWdlbWVudAppMzQxMzE=", "Mental health")</f>
      </c>
      <c r="G2531" s="14" t="s">
        <v>6874</v>
      </c>
      <c r="H2531" s="0" t="s">
        <v>141</v>
      </c>
      <c r="I2531" s="14" t="s">
        <v>131</v>
      </c>
      <c r="J2531" s="0" t="s">
        <v>153</v>
      </c>
      <c r="K2531" s="0" t="s">
        <v>154</v>
      </c>
      <c r="L2531" s="0" t="s">
        <v>155</v>
      </c>
      <c r="M2531" s="0" t="s">
        <v>135</v>
      </c>
      <c r="N2531" s="0" t="s">
        <v>136</v>
      </c>
      <c r="O2531" s="0" t="s">
        <v>176</v>
      </c>
      <c r="Q2531" s="0" t="s">
        <v>141</v>
      </c>
      <c r="R2531" s="0" t="s">
        <v>130</v>
      </c>
      <c r="S2531" s="14">
        <v>1</v>
      </c>
      <c r="T2531" s="0" t="s">
        <v>446</v>
      </c>
      <c r="U2531" s="0" t="s">
        <v>221</v>
      </c>
      <c r="V2531" s="14" t="s">
        <v>446</v>
      </c>
      <c r="W2531" s="0" t="s">
        <v>223</v>
      </c>
      <c r="X2531" s="14" t="s">
        <v>138</v>
      </c>
      <c r="Y2531" s="0" t="s">
        <v>224</v>
      </c>
      <c r="Z2531" s="14" t="s">
        <v>138</v>
      </c>
      <c r="AA2531" s="0" t="s">
        <v>224</v>
      </c>
      <c r="AB2531" s="14" t="s">
        <v>138</v>
      </c>
      <c r="AD2531" s="0" t="s">
        <v>14</v>
      </c>
      <c r="AF2531" s="0">
        <v>0</v>
      </c>
      <c r="AG2531" s="0">
        <v>0</v>
      </c>
      <c r="AH2531" s="0" t="s">
        <v>140</v>
      </c>
      <c r="AI2531" s="0" t="s">
        <v>225</v>
      </c>
      <c r="AK2531" s="0" t="s">
        <v>1668</v>
      </c>
      <c r="AL2531" s="14"/>
      <c r="AN2531" s="14"/>
      <c r="AQ2531" s="0" t="s">
        <v>130</v>
      </c>
      <c r="AR2531" s="0" t="s">
        <v>130</v>
      </c>
      <c r="AS2531" s="0" t="s">
        <v>141</v>
      </c>
      <c r="AT2531" s="0" t="s">
        <v>130</v>
      </c>
      <c r="AU2531" s="0" t="s">
        <v>130</v>
      </c>
      <c r="AV2531" s="0" t="s">
        <v>130</v>
      </c>
      <c r="AW2531" s="0" t="s">
        <v>130</v>
      </c>
      <c r="AX2531" s="0" t="s">
        <v>141</v>
      </c>
      <c r="AY2531" s="0" t="s">
        <v>130</v>
      </c>
      <c r="AZ2531" s="0" t="s">
        <v>130</v>
      </c>
      <c r="BA2531" s="0" t="s">
        <v>130</v>
      </c>
      <c r="BB2531" s="0" t="s">
        <v>130</v>
      </c>
      <c r="BC2531" s="0" t="s">
        <v>130</v>
      </c>
      <c r="BD2531" s="0" t="s">
        <v>130</v>
      </c>
      <c r="BE2531" s="0" t="s">
        <v>130</v>
      </c>
      <c r="BF2531" s="0" t="s">
        <v>130</v>
      </c>
      <c r="BG2531" s="0" t="s">
        <v>130</v>
      </c>
      <c r="BH2531" s="0" t="s">
        <v>130</v>
      </c>
      <c r="BI2531" s="0" t="s">
        <v>130</v>
      </c>
      <c r="BJ2531" s="0" t="s">
        <v>130</v>
      </c>
      <c r="BK2531" s="0" t="s">
        <v>130</v>
      </c>
      <c r="BL2531" s="0" t="s">
        <v>130</v>
      </c>
      <c r="BM2531" s="0" t="s">
        <v>130</v>
      </c>
      <c r="BN2531" s="0" t="s">
        <v>130</v>
      </c>
      <c r="BO2531" s="0" t="s">
        <v>130</v>
      </c>
      <c r="BP2531" s="0" t="s">
        <v>130</v>
      </c>
      <c r="BQ2531" s="0" t="s">
        <v>130</v>
      </c>
      <c r="BR2531" s="0" t="s">
        <v>130</v>
      </c>
      <c r="BS2531" s="0" t="s">
        <v>130</v>
      </c>
      <c r="BT2531" s="0" t="s">
        <v>130</v>
      </c>
      <c r="BU2531" s="0" t="s">
        <v>130</v>
      </c>
      <c r="BV2531" s="0" t="s">
        <v>130</v>
      </c>
      <c r="BW2531" s="0" t="s">
        <v>130</v>
      </c>
      <c r="BX2531" s="0" t="s">
        <v>130</v>
      </c>
      <c r="BY2531" s="0" t="s">
        <v>130</v>
      </c>
      <c r="BZ2531" s="0" t="s">
        <v>130</v>
      </c>
      <c r="CA2531" s="0" t="s">
        <v>130</v>
      </c>
      <c r="CB2531" s="0" t="s">
        <v>130</v>
      </c>
      <c r="CC2531" s="0" t="s">
        <v>130</v>
      </c>
      <c r="CD2531" s="0" t="s">
        <v>130</v>
      </c>
      <c r="CE2531" s="0" t="s">
        <v>130</v>
      </c>
      <c r="CF2531" s="0" t="s">
        <v>130</v>
      </c>
      <c r="CG2531" s="0" t="s">
        <v>130</v>
      </c>
      <c r="CH2531" s="0" t="s">
        <v>130</v>
      </c>
      <c r="CI2531" s="0" t="s">
        <v>141</v>
      </c>
      <c r="CJ2531" s="0" t="s">
        <v>130</v>
      </c>
      <c r="CK2531" s="0" t="s">
        <v>130</v>
      </c>
      <c r="CL2531" s="0" t="s">
        <v>130</v>
      </c>
      <c r="CM2531" s="0" t="s">
        <v>130</v>
      </c>
      <c r="CN2531" s="0" t="s">
        <v>130</v>
      </c>
      <c r="CO2531" s="0" t="s">
        <v>130</v>
      </c>
      <c r="CP2531" s="0" t="s">
        <v>130</v>
      </c>
      <c r="CQ2531" s="0" t="s">
        <v>130</v>
      </c>
      <c r="CR2531" s="0" t="s">
        <v>130</v>
      </c>
      <c r="CS2531" s="0" t="s">
        <v>130</v>
      </c>
      <c r="CT2531" s="0" t="s">
        <v>6875</v>
      </c>
    </row>
    <row r="2532">
      <c r="A2532" s="14">
        <v>115694</v>
      </c>
      <c r="B2532" s="0" t="s">
        <v>2507</v>
      </c>
      <c r="C2532" s="16">
        <f>HYPERLINK("https://eosportal.federatedhermes.com/companies/Q29tcGFueQppNTQ5NDQ=", "BASF SE")</f>
      </c>
      <c r="D2532" s="0" t="s">
        <v>23</v>
      </c>
      <c r="E2532" s="0" t="s">
        <v>6876</v>
      </c>
      <c r="F2532" s="16">
        <f>HYPERLINK("https://eosportal.federatedhermes.com/engagements/RW5nYWdlbWVudAppMzQxNjQ=", "Sustainable feedstocks plan")</f>
      </c>
      <c r="G2532" s="14" t="s">
        <v>6877</v>
      </c>
      <c r="H2532" s="0" t="s">
        <v>141</v>
      </c>
      <c r="I2532" s="14" t="s">
        <v>1645</v>
      </c>
      <c r="J2532" s="0" t="s">
        <v>197</v>
      </c>
      <c r="K2532" s="0" t="s">
        <v>348</v>
      </c>
      <c r="L2532" s="0" t="s">
        <v>349</v>
      </c>
      <c r="M2532" s="0" t="s">
        <v>378</v>
      </c>
      <c r="N2532" s="0" t="s">
        <v>2485</v>
      </c>
      <c r="O2532" s="0" t="s">
        <v>706</v>
      </c>
      <c r="Q2532" s="0" t="s">
        <v>141</v>
      </c>
      <c r="R2532" s="0" t="s">
        <v>130</v>
      </c>
      <c r="S2532" s="14">
        <v>2</v>
      </c>
      <c r="T2532" s="0" t="s">
        <v>360</v>
      </c>
      <c r="U2532" s="0" t="s">
        <v>221</v>
      </c>
      <c r="V2532" s="14" t="s">
        <v>360</v>
      </c>
      <c r="W2532" s="0" t="s">
        <v>221</v>
      </c>
      <c r="X2532" s="14" t="s">
        <v>2842</v>
      </c>
      <c r="Y2532" s="0" t="s">
        <v>223</v>
      </c>
      <c r="Z2532" s="14" t="s">
        <v>138</v>
      </c>
      <c r="AA2532" s="0" t="s">
        <v>224</v>
      </c>
      <c r="AB2532" s="14" t="s">
        <v>138</v>
      </c>
      <c r="AD2532" s="0" t="s">
        <v>17</v>
      </c>
      <c r="AF2532" s="0">
        <v>0</v>
      </c>
      <c r="AG2532" s="0">
        <v>0</v>
      </c>
      <c r="AH2532" s="0" t="s">
        <v>140</v>
      </c>
      <c r="AI2532" s="0" t="s">
        <v>598</v>
      </c>
      <c r="AK2532" s="0" t="s">
        <v>2529</v>
      </c>
      <c r="AL2532" s="14"/>
      <c r="AN2532" s="14"/>
      <c r="AQ2532" s="0" t="s">
        <v>130</v>
      </c>
      <c r="AR2532" s="0" t="s">
        <v>130</v>
      </c>
      <c r="AS2532" s="0" t="s">
        <v>130</v>
      </c>
      <c r="AT2532" s="0" t="s">
        <v>130</v>
      </c>
      <c r="AU2532" s="0" t="s">
        <v>130</v>
      </c>
      <c r="AV2532" s="0" t="s">
        <v>130</v>
      </c>
      <c r="AW2532" s="0" t="s">
        <v>130</v>
      </c>
      <c r="AX2532" s="0" t="s">
        <v>130</v>
      </c>
      <c r="AY2532" s="0" t="s">
        <v>130</v>
      </c>
      <c r="AZ2532" s="0" t="s">
        <v>130</v>
      </c>
      <c r="BA2532" s="0" t="s">
        <v>130</v>
      </c>
      <c r="BB2532" s="0" t="s">
        <v>141</v>
      </c>
      <c r="BC2532" s="0" t="s">
        <v>130</v>
      </c>
      <c r="BD2532" s="0" t="s">
        <v>130</v>
      </c>
      <c r="BE2532" s="0" t="s">
        <v>130</v>
      </c>
      <c r="BF2532" s="0" t="s">
        <v>130</v>
      </c>
      <c r="BG2532" s="0" t="s">
        <v>130</v>
      </c>
      <c r="BH2532" s="0" t="s">
        <v>130</v>
      </c>
      <c r="BI2532" s="0" t="s">
        <v>130</v>
      </c>
      <c r="BJ2532" s="0" t="s">
        <v>130</v>
      </c>
      <c r="BK2532" s="0" t="s">
        <v>130</v>
      </c>
      <c r="BL2532" s="0" t="s">
        <v>130</v>
      </c>
      <c r="BM2532" s="0" t="s">
        <v>130</v>
      </c>
      <c r="BN2532" s="0" t="s">
        <v>130</v>
      </c>
      <c r="BO2532" s="0" t="s">
        <v>130</v>
      </c>
      <c r="BP2532" s="0" t="s">
        <v>130</v>
      </c>
      <c r="BQ2532" s="0" t="s">
        <v>130</v>
      </c>
      <c r="BR2532" s="0" t="s">
        <v>130</v>
      </c>
      <c r="BS2532" s="0" t="s">
        <v>130</v>
      </c>
      <c r="BT2532" s="0" t="s">
        <v>130</v>
      </c>
      <c r="BU2532" s="0" t="s">
        <v>130</v>
      </c>
      <c r="BV2532" s="0" t="s">
        <v>130</v>
      </c>
      <c r="BW2532" s="0" t="s">
        <v>130</v>
      </c>
      <c r="BX2532" s="0" t="s">
        <v>130</v>
      </c>
      <c r="BY2532" s="0" t="s">
        <v>130</v>
      </c>
      <c r="BZ2532" s="0" t="s">
        <v>130</v>
      </c>
      <c r="CA2532" s="0" t="s">
        <v>130</v>
      </c>
      <c r="CB2532" s="0" t="s">
        <v>130</v>
      </c>
      <c r="CC2532" s="0" t="s">
        <v>130</v>
      </c>
      <c r="CD2532" s="0" t="s">
        <v>141</v>
      </c>
      <c r="CE2532" s="0" t="s">
        <v>130</v>
      </c>
      <c r="CF2532" s="0" t="s">
        <v>130</v>
      </c>
      <c r="CG2532" s="0" t="s">
        <v>130</v>
      </c>
      <c r="CH2532" s="0" t="s">
        <v>130</v>
      </c>
      <c r="CI2532" s="0" t="s">
        <v>130</v>
      </c>
      <c r="CJ2532" s="0" t="s">
        <v>130</v>
      </c>
      <c r="CK2532" s="0" t="s">
        <v>130</v>
      </c>
      <c r="CL2532" s="0" t="s">
        <v>130</v>
      </c>
      <c r="CM2532" s="0" t="s">
        <v>130</v>
      </c>
      <c r="CN2532" s="0" t="s">
        <v>130</v>
      </c>
      <c r="CO2532" s="0" t="s">
        <v>130</v>
      </c>
      <c r="CP2532" s="0" t="s">
        <v>130</v>
      </c>
      <c r="CQ2532" s="0" t="s">
        <v>130</v>
      </c>
      <c r="CR2532" s="0" t="s">
        <v>130</v>
      </c>
      <c r="CS2532" s="0" t="s">
        <v>130</v>
      </c>
      <c r="CT2532" s="0" t="s">
        <v>6878</v>
      </c>
    </row>
    <row r="2533">
      <c r="A2533" s="14">
        <v>100978</v>
      </c>
      <c r="B2533" s="0" t="s">
        <v>1111</v>
      </c>
      <c r="C2533" s="16">
        <f>HYPERLINK("https://eosportal.federatedhermes.com/companies/Q29tcGFueQppNDM5NDY=", "Merck &amp; Co Inc")</f>
      </c>
      <c r="D2533" s="0" t="s">
        <v>25</v>
      </c>
      <c r="E2533" s="0" t="s">
        <v>6879</v>
      </c>
      <c r="F2533" s="16">
        <f>HYPERLINK("https://eosportal.federatedhermes.com/engagements/RW5nYWdlbWVudAppMzQxNjg=", "Combined CEO and Chairman")</f>
      </c>
      <c r="G2533" s="14" t="s">
        <v>6880</v>
      </c>
      <c r="H2533" s="0" t="s">
        <v>141</v>
      </c>
      <c r="I2533" s="14" t="s">
        <v>131</v>
      </c>
      <c r="J2533" s="0" t="s">
        <v>145</v>
      </c>
      <c r="K2533" s="0" t="s">
        <v>164</v>
      </c>
      <c r="L2533" s="0" t="s">
        <v>165</v>
      </c>
      <c r="M2533" s="0" t="s">
        <v>135</v>
      </c>
      <c r="N2533" s="0" t="s">
        <v>136</v>
      </c>
      <c r="O2533" s="0" t="s">
        <v>274</v>
      </c>
      <c r="Q2533" s="0" t="s">
        <v>130</v>
      </c>
      <c r="R2533" s="0" t="s">
        <v>138</v>
      </c>
      <c r="S2533" s="14">
        <v>0</v>
      </c>
      <c r="T2533" s="0" t="s">
        <v>446</v>
      </c>
      <c r="U2533" s="0" t="s">
        <v>138</v>
      </c>
      <c r="V2533" s="14" t="s">
        <v>138</v>
      </c>
      <c r="W2533" s="0" t="s">
        <v>138</v>
      </c>
      <c r="X2533" s="14" t="s">
        <v>138</v>
      </c>
      <c r="Y2533" s="0" t="s">
        <v>138</v>
      </c>
      <c r="Z2533" s="14" t="s">
        <v>138</v>
      </c>
      <c r="AA2533" s="0" t="s">
        <v>138</v>
      </c>
      <c r="AB2533" s="14" t="s">
        <v>138</v>
      </c>
      <c r="AD2533" s="0" t="s">
        <v>138</v>
      </c>
      <c r="AF2533" s="0">
        <v>0</v>
      </c>
      <c r="AG2533" s="0">
        <v>0</v>
      </c>
      <c r="AH2533" s="0" t="s">
        <v>140</v>
      </c>
      <c r="AI2533" s="0" t="s">
        <v>138</v>
      </c>
      <c r="AL2533" s="14"/>
      <c r="AN2533" s="14"/>
      <c r="AQ2533" s="0" t="s">
        <v>130</v>
      </c>
      <c r="AR2533" s="0" t="s">
        <v>130</v>
      </c>
      <c r="AS2533" s="0" t="s">
        <v>130</v>
      </c>
      <c r="AT2533" s="0" t="s">
        <v>130</v>
      </c>
      <c r="AU2533" s="0" t="s">
        <v>130</v>
      </c>
      <c r="AV2533" s="0" t="s">
        <v>130</v>
      </c>
      <c r="AW2533" s="0" t="s">
        <v>130</v>
      </c>
      <c r="AX2533" s="0" t="s">
        <v>130</v>
      </c>
      <c r="AY2533" s="0" t="s">
        <v>130</v>
      </c>
      <c r="AZ2533" s="0" t="s">
        <v>130</v>
      </c>
      <c r="BA2533" s="0" t="s">
        <v>130</v>
      </c>
      <c r="BB2533" s="0" t="s">
        <v>130</v>
      </c>
      <c r="BC2533" s="0" t="s">
        <v>130</v>
      </c>
      <c r="BD2533" s="0" t="s">
        <v>130</v>
      </c>
      <c r="BE2533" s="0" t="s">
        <v>130</v>
      </c>
      <c r="BF2533" s="0" t="s">
        <v>130</v>
      </c>
      <c r="BG2533" s="0" t="s">
        <v>130</v>
      </c>
      <c r="BH2533" s="0" t="s">
        <v>130</v>
      </c>
      <c r="BI2533" s="0" t="s">
        <v>130</v>
      </c>
      <c r="BJ2533" s="0" t="s">
        <v>130</v>
      </c>
      <c r="BK2533" s="0" t="s">
        <v>130</v>
      </c>
      <c r="BL2533" s="0" t="s">
        <v>130</v>
      </c>
      <c r="BM2533" s="0" t="s">
        <v>130</v>
      </c>
      <c r="BN2533" s="0" t="s">
        <v>130</v>
      </c>
      <c r="BO2533" s="0" t="s">
        <v>130</v>
      </c>
      <c r="BP2533" s="0" t="s">
        <v>130</v>
      </c>
      <c r="BQ2533" s="0" t="s">
        <v>130</v>
      </c>
      <c r="BR2533" s="0" t="s">
        <v>130</v>
      </c>
      <c r="BS2533" s="0" t="s">
        <v>130</v>
      </c>
      <c r="BT2533" s="0" t="s">
        <v>130</v>
      </c>
      <c r="BU2533" s="0" t="s">
        <v>130</v>
      </c>
      <c r="BV2533" s="0" t="s">
        <v>130</v>
      </c>
      <c r="BW2533" s="0" t="s">
        <v>130</v>
      </c>
      <c r="BX2533" s="0" t="s">
        <v>130</v>
      </c>
      <c r="BY2533" s="0" t="s">
        <v>130</v>
      </c>
      <c r="BZ2533" s="0" t="s">
        <v>130</v>
      </c>
      <c r="CA2533" s="0" t="s">
        <v>130</v>
      </c>
      <c r="CB2533" s="0" t="s">
        <v>130</v>
      </c>
      <c r="CC2533" s="0" t="s">
        <v>130</v>
      </c>
      <c r="CD2533" s="0" t="s">
        <v>130</v>
      </c>
      <c r="CE2533" s="0" t="s">
        <v>130</v>
      </c>
      <c r="CF2533" s="0" t="s">
        <v>130</v>
      </c>
      <c r="CG2533" s="0" t="s">
        <v>130</v>
      </c>
      <c r="CH2533" s="0" t="s">
        <v>130</v>
      </c>
      <c r="CI2533" s="0" t="s">
        <v>130</v>
      </c>
      <c r="CJ2533" s="0" t="s">
        <v>130</v>
      </c>
      <c r="CK2533" s="0" t="s">
        <v>130</v>
      </c>
      <c r="CL2533" s="0" t="s">
        <v>130</v>
      </c>
      <c r="CM2533" s="0" t="s">
        <v>130</v>
      </c>
      <c r="CN2533" s="0" t="s">
        <v>130</v>
      </c>
      <c r="CO2533" s="0" t="s">
        <v>130</v>
      </c>
      <c r="CP2533" s="0" t="s">
        <v>130</v>
      </c>
      <c r="CQ2533" s="0" t="s">
        <v>130</v>
      </c>
      <c r="CR2533" s="0" t="s">
        <v>130</v>
      </c>
      <c r="CS2533" s="0" t="s">
        <v>130</v>
      </c>
      <c r="CT2533" s="0" t="s">
        <v>6881</v>
      </c>
    </row>
    <row r="2534">
      <c r="A2534" s="14">
        <v>100602</v>
      </c>
      <c r="B2534" s="0" t="s">
        <v>827</v>
      </c>
      <c r="C2534" s="16">
        <f>HYPERLINK("https://eosportal.federatedhermes.com/companies/Q29tcGFueQppNTQxNzY=", "Ford Motor Co")</f>
      </c>
      <c r="D2534" s="0" t="s">
        <v>23</v>
      </c>
      <c r="E2534" s="0" t="s">
        <v>6719</v>
      </c>
      <c r="F2534" s="16">
        <f>HYPERLINK("https://eosportal.federatedhermes.com/engagements/RW5nYWdlbWVudAppMzQxODA=", "Increased transparency on tax reporting")</f>
      </c>
      <c r="G2534" s="14" t="s">
        <v>6882</v>
      </c>
      <c r="H2534" s="0" t="s">
        <v>141</v>
      </c>
      <c r="I2534" s="14" t="s">
        <v>191</v>
      </c>
      <c r="J2534" s="0" t="s">
        <v>153</v>
      </c>
      <c r="K2534" s="0" t="s">
        <v>185</v>
      </c>
      <c r="L2534" s="0" t="s">
        <v>548</v>
      </c>
      <c r="M2534" s="0" t="s">
        <v>135</v>
      </c>
      <c r="N2534" s="0" t="s">
        <v>136</v>
      </c>
      <c r="O2534" s="0" t="s">
        <v>425</v>
      </c>
      <c r="Q2534" s="0" t="s">
        <v>130</v>
      </c>
      <c r="R2534" s="0" t="s">
        <v>130</v>
      </c>
      <c r="S2534" s="14">
        <v>0</v>
      </c>
      <c r="T2534" s="0" t="s">
        <v>446</v>
      </c>
      <c r="U2534" s="0" t="s">
        <v>221</v>
      </c>
      <c r="V2534" s="14" t="s">
        <v>446</v>
      </c>
      <c r="W2534" s="0" t="s">
        <v>221</v>
      </c>
      <c r="X2534" s="14" t="s">
        <v>446</v>
      </c>
      <c r="Y2534" s="0" t="s">
        <v>223</v>
      </c>
      <c r="Z2534" s="14" t="s">
        <v>138</v>
      </c>
      <c r="AA2534" s="0" t="s">
        <v>224</v>
      </c>
      <c r="AB2534" s="14" t="s">
        <v>138</v>
      </c>
      <c r="AD2534" s="0" t="s">
        <v>17</v>
      </c>
      <c r="AF2534" s="0">
        <v>0</v>
      </c>
      <c r="AG2534" s="0">
        <v>0</v>
      </c>
      <c r="AH2534" s="0" t="s">
        <v>140</v>
      </c>
      <c r="AI2534" s="0" t="s">
        <v>598</v>
      </c>
      <c r="AL2534" s="14"/>
      <c r="AN2534" s="14"/>
      <c r="AQ2534" s="0" t="s">
        <v>130</v>
      </c>
      <c r="AR2534" s="0" t="s">
        <v>130</v>
      </c>
      <c r="AS2534" s="0" t="s">
        <v>130</v>
      </c>
      <c r="AT2534" s="0" t="s">
        <v>130</v>
      </c>
      <c r="AU2534" s="0" t="s">
        <v>130</v>
      </c>
      <c r="AV2534" s="0" t="s">
        <v>130</v>
      </c>
      <c r="AW2534" s="0" t="s">
        <v>130</v>
      </c>
      <c r="AX2534" s="0" t="s">
        <v>130</v>
      </c>
      <c r="AY2534" s="0" t="s">
        <v>130</v>
      </c>
      <c r="AZ2534" s="0" t="s">
        <v>130</v>
      </c>
      <c r="BA2534" s="0" t="s">
        <v>130</v>
      </c>
      <c r="BB2534" s="0" t="s">
        <v>130</v>
      </c>
      <c r="BC2534" s="0" t="s">
        <v>130</v>
      </c>
      <c r="BD2534" s="0" t="s">
        <v>130</v>
      </c>
      <c r="BE2534" s="0" t="s">
        <v>130</v>
      </c>
      <c r="BF2534" s="0" t="s">
        <v>130</v>
      </c>
      <c r="BG2534" s="0" t="s">
        <v>141</v>
      </c>
      <c r="BH2534" s="0" t="s">
        <v>130</v>
      </c>
      <c r="BI2534" s="0" t="s">
        <v>130</v>
      </c>
      <c r="BJ2534" s="0" t="s">
        <v>130</v>
      </c>
      <c r="BK2534" s="0" t="s">
        <v>130</v>
      </c>
      <c r="BL2534" s="0" t="s">
        <v>130</v>
      </c>
      <c r="BM2534" s="0" t="s">
        <v>130</v>
      </c>
      <c r="BN2534" s="0" t="s">
        <v>130</v>
      </c>
      <c r="BO2534" s="0" t="s">
        <v>130</v>
      </c>
      <c r="BP2534" s="0" t="s">
        <v>130</v>
      </c>
      <c r="BQ2534" s="0" t="s">
        <v>130</v>
      </c>
      <c r="BR2534" s="0" t="s">
        <v>130</v>
      </c>
      <c r="BS2534" s="0" t="s">
        <v>130</v>
      </c>
      <c r="BT2534" s="0" t="s">
        <v>130</v>
      </c>
      <c r="BU2534" s="0" t="s">
        <v>130</v>
      </c>
      <c r="BV2534" s="0" t="s">
        <v>130</v>
      </c>
      <c r="BW2534" s="0" t="s">
        <v>130</v>
      </c>
      <c r="BX2534" s="0" t="s">
        <v>130</v>
      </c>
      <c r="BY2534" s="0" t="s">
        <v>130</v>
      </c>
      <c r="BZ2534" s="0" t="s">
        <v>130</v>
      </c>
      <c r="CA2534" s="0" t="s">
        <v>130</v>
      </c>
      <c r="CB2534" s="0" t="s">
        <v>130</v>
      </c>
      <c r="CC2534" s="0" t="s">
        <v>130</v>
      </c>
      <c r="CD2534" s="0" t="s">
        <v>130</v>
      </c>
      <c r="CE2534" s="0" t="s">
        <v>130</v>
      </c>
      <c r="CF2534" s="0" t="s">
        <v>130</v>
      </c>
      <c r="CG2534" s="0" t="s">
        <v>130</v>
      </c>
      <c r="CH2534" s="0" t="s">
        <v>130</v>
      </c>
      <c r="CI2534" s="0" t="s">
        <v>130</v>
      </c>
      <c r="CJ2534" s="0" t="s">
        <v>130</v>
      </c>
      <c r="CK2534" s="0" t="s">
        <v>130</v>
      </c>
      <c r="CL2534" s="0" t="s">
        <v>130</v>
      </c>
      <c r="CM2534" s="0" t="s">
        <v>130</v>
      </c>
      <c r="CN2534" s="0" t="s">
        <v>130</v>
      </c>
      <c r="CO2534" s="0" t="s">
        <v>130</v>
      </c>
      <c r="CP2534" s="0" t="s">
        <v>130</v>
      </c>
      <c r="CQ2534" s="0" t="s">
        <v>130</v>
      </c>
      <c r="CR2534" s="0" t="s">
        <v>130</v>
      </c>
      <c r="CS2534" s="0" t="s">
        <v>130</v>
      </c>
      <c r="CT2534" s="0" t="s">
        <v>6883</v>
      </c>
    </row>
    <row r="2535">
      <c r="A2535" s="14">
        <v>100481</v>
      </c>
      <c r="B2535" s="0" t="s">
        <v>673</v>
      </c>
      <c r="C2535" s="16">
        <f>HYPERLINK("https://eosportal.federatedhermes.com/companies/Q29tcGFueQppNjQzNjU=", "Duke Energy Corp")</f>
      </c>
      <c r="D2535" s="0" t="s">
        <v>23</v>
      </c>
      <c r="E2535" s="0" t="s">
        <v>5543</v>
      </c>
      <c r="F2535" s="16">
        <f>HYPERLINK("https://eosportal.federatedhermes.com/engagements/RW5nYWdlbWVudAppMzQxODM=", "Methane management best practices")</f>
      </c>
      <c r="G2535" s="14" t="s">
        <v>5544</v>
      </c>
      <c r="H2535" s="0" t="s">
        <v>141</v>
      </c>
      <c r="I2535" s="14" t="s">
        <v>191</v>
      </c>
      <c r="J2535" s="0" t="s">
        <v>197</v>
      </c>
      <c r="K2535" s="0" t="s">
        <v>198</v>
      </c>
      <c r="L2535" s="0" t="s">
        <v>220</v>
      </c>
      <c r="M2535" s="0" t="s">
        <v>135</v>
      </c>
      <c r="N2535" s="0" t="s">
        <v>136</v>
      </c>
      <c r="O2535" s="0" t="s">
        <v>192</v>
      </c>
      <c r="Q2535" s="0" t="s">
        <v>141</v>
      </c>
      <c r="R2535" s="0" t="s">
        <v>130</v>
      </c>
      <c r="S2535" s="14">
        <v>1</v>
      </c>
      <c r="T2535" s="0" t="s">
        <v>446</v>
      </c>
      <c r="U2535" s="0" t="s">
        <v>221</v>
      </c>
      <c r="V2535" s="14" t="s">
        <v>446</v>
      </c>
      <c r="W2535" s="0" t="s">
        <v>223</v>
      </c>
      <c r="X2535" s="14" t="s">
        <v>138</v>
      </c>
      <c r="Y2535" s="0" t="s">
        <v>224</v>
      </c>
      <c r="Z2535" s="14" t="s">
        <v>138</v>
      </c>
      <c r="AA2535" s="0" t="s">
        <v>224</v>
      </c>
      <c r="AB2535" s="14" t="s">
        <v>138</v>
      </c>
      <c r="AD2535" s="0" t="s">
        <v>14</v>
      </c>
      <c r="AF2535" s="0">
        <v>0</v>
      </c>
      <c r="AG2535" s="0">
        <v>0</v>
      </c>
      <c r="AH2535" s="0" t="s">
        <v>140</v>
      </c>
      <c r="AI2535" s="0" t="s">
        <v>225</v>
      </c>
      <c r="AK2535" s="0" t="s">
        <v>675</v>
      </c>
      <c r="AL2535" s="14"/>
      <c r="AN2535" s="14"/>
      <c r="AQ2535" s="0" t="s">
        <v>130</v>
      </c>
      <c r="AR2535" s="0" t="s">
        <v>130</v>
      </c>
      <c r="AS2535" s="0" t="s">
        <v>130</v>
      </c>
      <c r="AT2535" s="0" t="s">
        <v>130</v>
      </c>
      <c r="AU2535" s="0" t="s">
        <v>130</v>
      </c>
      <c r="AV2535" s="0" t="s">
        <v>130</v>
      </c>
      <c r="AW2535" s="0" t="s">
        <v>141</v>
      </c>
      <c r="AX2535" s="0" t="s">
        <v>130</v>
      </c>
      <c r="AY2535" s="0" t="s">
        <v>141</v>
      </c>
      <c r="AZ2535" s="0" t="s">
        <v>130</v>
      </c>
      <c r="BA2535" s="0" t="s">
        <v>130</v>
      </c>
      <c r="BB2535" s="0" t="s">
        <v>130</v>
      </c>
      <c r="BC2535" s="0" t="s">
        <v>141</v>
      </c>
      <c r="BD2535" s="0" t="s">
        <v>130</v>
      </c>
      <c r="BE2535" s="0" t="s">
        <v>130</v>
      </c>
      <c r="BF2535" s="0" t="s">
        <v>130</v>
      </c>
      <c r="BG2535" s="0" t="s">
        <v>130</v>
      </c>
      <c r="BH2535" s="0" t="s">
        <v>141</v>
      </c>
      <c r="BI2535" s="0" t="s">
        <v>141</v>
      </c>
      <c r="BJ2535" s="0" t="s">
        <v>141</v>
      </c>
      <c r="BK2535" s="0" t="s">
        <v>130</v>
      </c>
      <c r="BL2535" s="0" t="s">
        <v>130</v>
      </c>
      <c r="BM2535" s="0" t="s">
        <v>130</v>
      </c>
      <c r="BN2535" s="0" t="s">
        <v>130</v>
      </c>
      <c r="BO2535" s="0" t="s">
        <v>130</v>
      </c>
      <c r="BP2535" s="0" t="s">
        <v>130</v>
      </c>
      <c r="BQ2535" s="0" t="s">
        <v>130</v>
      </c>
      <c r="BR2535" s="0" t="s">
        <v>130</v>
      </c>
      <c r="BS2535" s="0" t="s">
        <v>130</v>
      </c>
      <c r="BT2535" s="0" t="s">
        <v>130</v>
      </c>
      <c r="BU2535" s="0" t="s">
        <v>130</v>
      </c>
      <c r="BV2535" s="0" t="s">
        <v>141</v>
      </c>
      <c r="BW2535" s="0" t="s">
        <v>141</v>
      </c>
      <c r="BX2535" s="0" t="s">
        <v>130</v>
      </c>
      <c r="BY2535" s="0" t="s">
        <v>130</v>
      </c>
      <c r="BZ2535" s="0" t="s">
        <v>130</v>
      </c>
      <c r="CA2535" s="0" t="s">
        <v>130</v>
      </c>
      <c r="CB2535" s="0" t="s">
        <v>130</v>
      </c>
      <c r="CC2535" s="0" t="s">
        <v>130</v>
      </c>
      <c r="CD2535" s="0" t="s">
        <v>130</v>
      </c>
      <c r="CE2535" s="0" t="s">
        <v>130</v>
      </c>
      <c r="CF2535" s="0" t="s">
        <v>130</v>
      </c>
      <c r="CG2535" s="0" t="s">
        <v>130</v>
      </c>
      <c r="CH2535" s="0" t="s">
        <v>130</v>
      </c>
      <c r="CI2535" s="0" t="s">
        <v>130</v>
      </c>
      <c r="CJ2535" s="0" t="s">
        <v>130</v>
      </c>
      <c r="CK2535" s="0" t="s">
        <v>130</v>
      </c>
      <c r="CL2535" s="0" t="s">
        <v>130</v>
      </c>
      <c r="CM2535" s="0" t="s">
        <v>130</v>
      </c>
      <c r="CN2535" s="0" t="s">
        <v>130</v>
      </c>
      <c r="CO2535" s="0" t="s">
        <v>130</v>
      </c>
      <c r="CP2535" s="0" t="s">
        <v>130</v>
      </c>
      <c r="CQ2535" s="0" t="s">
        <v>130</v>
      </c>
      <c r="CR2535" s="0" t="s">
        <v>130</v>
      </c>
      <c r="CS2535" s="0" t="s">
        <v>130</v>
      </c>
      <c r="CT2535" s="0" t="s">
        <v>6884</v>
      </c>
    </row>
    <row r="2536">
      <c r="A2536" s="14">
        <v>115757</v>
      </c>
      <c r="B2536" s="0" t="s">
        <v>2655</v>
      </c>
      <c r="C2536" s="16">
        <f>HYPERLINK("https://eosportal.federatedhermes.com/companies/Q29tcGFueQppNTg5Mjc=", "Volkswagen AG")</f>
      </c>
      <c r="D2536" s="0" t="s">
        <v>25</v>
      </c>
      <c r="E2536" s="0" t="s">
        <v>6885</v>
      </c>
      <c r="F2536" s="16">
        <f>HYPERLINK("https://eosportal.federatedhermes.com/engagements/RW5nYWdlbWVudAppMzQyMDg=", "Gender diversity of the board of management")</f>
      </c>
      <c r="G2536" s="14" t="s">
        <v>6886</v>
      </c>
      <c r="H2536" s="0" t="s">
        <v>141</v>
      </c>
      <c r="I2536" s="14" t="s">
        <v>1645</v>
      </c>
      <c r="J2536" s="0" t="s">
        <v>153</v>
      </c>
      <c r="K2536" s="0" t="s">
        <v>154</v>
      </c>
      <c r="L2536" s="0" t="s">
        <v>268</v>
      </c>
      <c r="M2536" s="0" t="s">
        <v>378</v>
      </c>
      <c r="N2536" s="0" t="s">
        <v>2485</v>
      </c>
      <c r="O2536" s="0" t="s">
        <v>425</v>
      </c>
      <c r="Q2536" s="0" t="s">
        <v>130</v>
      </c>
      <c r="R2536" s="0" t="s">
        <v>138</v>
      </c>
      <c r="S2536" s="14">
        <v>0</v>
      </c>
      <c r="T2536" s="0" t="s">
        <v>446</v>
      </c>
      <c r="U2536" s="0" t="s">
        <v>138</v>
      </c>
      <c r="V2536" s="14" t="s">
        <v>138</v>
      </c>
      <c r="W2536" s="0" t="s">
        <v>138</v>
      </c>
      <c r="X2536" s="14" t="s">
        <v>138</v>
      </c>
      <c r="Y2536" s="0" t="s">
        <v>138</v>
      </c>
      <c r="Z2536" s="14" t="s">
        <v>138</v>
      </c>
      <c r="AA2536" s="0" t="s">
        <v>138</v>
      </c>
      <c r="AB2536" s="14" t="s">
        <v>138</v>
      </c>
      <c r="AD2536" s="0" t="s">
        <v>138</v>
      </c>
      <c r="AF2536" s="0">
        <v>0</v>
      </c>
      <c r="AG2536" s="0">
        <v>0</v>
      </c>
      <c r="AH2536" s="0" t="s">
        <v>140</v>
      </c>
      <c r="AI2536" s="0" t="s">
        <v>138</v>
      </c>
      <c r="AL2536" s="14"/>
      <c r="AN2536" s="14"/>
      <c r="AQ2536" s="0" t="s">
        <v>130</v>
      </c>
      <c r="AR2536" s="0" t="s">
        <v>130</v>
      </c>
      <c r="AS2536" s="0" t="s">
        <v>130</v>
      </c>
      <c r="AT2536" s="0" t="s">
        <v>130</v>
      </c>
      <c r="AU2536" s="0" t="s">
        <v>141</v>
      </c>
      <c r="AV2536" s="0" t="s">
        <v>130</v>
      </c>
      <c r="AW2536" s="0" t="s">
        <v>130</v>
      </c>
      <c r="AX2536" s="0" t="s">
        <v>130</v>
      </c>
      <c r="AY2536" s="0" t="s">
        <v>130</v>
      </c>
      <c r="AZ2536" s="0" t="s">
        <v>141</v>
      </c>
      <c r="BA2536" s="0" t="s">
        <v>130</v>
      </c>
      <c r="BB2536" s="0" t="s">
        <v>130</v>
      </c>
      <c r="BC2536" s="0" t="s">
        <v>130</v>
      </c>
      <c r="BD2536" s="0" t="s">
        <v>130</v>
      </c>
      <c r="BE2536" s="0" t="s">
        <v>130</v>
      </c>
      <c r="BF2536" s="0" t="s">
        <v>130</v>
      </c>
      <c r="BG2536" s="0" t="s">
        <v>130</v>
      </c>
      <c r="BH2536" s="0" t="s">
        <v>130</v>
      </c>
      <c r="BI2536" s="0" t="s">
        <v>130</v>
      </c>
      <c r="BJ2536" s="0" t="s">
        <v>130</v>
      </c>
      <c r="BK2536" s="0" t="s">
        <v>130</v>
      </c>
      <c r="BL2536" s="0" t="s">
        <v>130</v>
      </c>
      <c r="BM2536" s="0" t="s">
        <v>130</v>
      </c>
      <c r="BN2536" s="0" t="s">
        <v>130</v>
      </c>
      <c r="BO2536" s="0" t="s">
        <v>130</v>
      </c>
      <c r="BP2536" s="0" t="s">
        <v>130</v>
      </c>
      <c r="BQ2536" s="0" t="s">
        <v>130</v>
      </c>
      <c r="BR2536" s="0" t="s">
        <v>130</v>
      </c>
      <c r="BS2536" s="0" t="s">
        <v>130</v>
      </c>
      <c r="BT2536" s="0" t="s">
        <v>130</v>
      </c>
      <c r="BU2536" s="0" t="s">
        <v>130</v>
      </c>
      <c r="BV2536" s="0" t="s">
        <v>130</v>
      </c>
      <c r="BW2536" s="0" t="s">
        <v>130</v>
      </c>
      <c r="BX2536" s="0" t="s">
        <v>130</v>
      </c>
      <c r="BY2536" s="0" t="s">
        <v>130</v>
      </c>
      <c r="BZ2536" s="0" t="s">
        <v>130</v>
      </c>
      <c r="CA2536" s="0" t="s">
        <v>130</v>
      </c>
      <c r="CB2536" s="0" t="s">
        <v>130</v>
      </c>
      <c r="CC2536" s="0" t="s">
        <v>130</v>
      </c>
      <c r="CD2536" s="0" t="s">
        <v>130</v>
      </c>
      <c r="CE2536" s="0" t="s">
        <v>130</v>
      </c>
      <c r="CF2536" s="0" t="s">
        <v>130</v>
      </c>
      <c r="CG2536" s="0" t="s">
        <v>130</v>
      </c>
      <c r="CH2536" s="0" t="s">
        <v>130</v>
      </c>
      <c r="CI2536" s="0" t="s">
        <v>130</v>
      </c>
      <c r="CJ2536" s="0" t="s">
        <v>130</v>
      </c>
      <c r="CK2536" s="0" t="s">
        <v>141</v>
      </c>
      <c r="CL2536" s="0" t="s">
        <v>130</v>
      </c>
      <c r="CM2536" s="0" t="s">
        <v>130</v>
      </c>
      <c r="CN2536" s="0" t="s">
        <v>130</v>
      </c>
      <c r="CO2536" s="0" t="s">
        <v>130</v>
      </c>
      <c r="CP2536" s="0" t="s">
        <v>130</v>
      </c>
      <c r="CQ2536" s="0" t="s">
        <v>130</v>
      </c>
      <c r="CR2536" s="0" t="s">
        <v>130</v>
      </c>
      <c r="CS2536" s="0" t="s">
        <v>130</v>
      </c>
      <c r="CT2536" s="0" t="s">
        <v>6887</v>
      </c>
    </row>
    <row r="2537">
      <c r="A2537" s="14">
        <v>100978</v>
      </c>
      <c r="B2537" s="0" t="s">
        <v>1111</v>
      </c>
      <c r="C2537" s="16">
        <f>HYPERLINK("https://eosportal.federatedhermes.com/companies/Q29tcGFueQppNDM5NDY=", "Merck &amp; Co Inc")</f>
      </c>
      <c r="D2537" s="0" t="s">
        <v>25</v>
      </c>
      <c r="E2537" s="0" t="s">
        <v>5480</v>
      </c>
      <c r="F2537" s="16">
        <f>HYPERLINK("https://eosportal.federatedhermes.com/engagements/RW5nYWdlbWVudAppMzQyMzA=", "Socioeconomic Mobility")</f>
      </c>
      <c r="G2537" s="14" t="s">
        <v>6888</v>
      </c>
      <c r="H2537" s="0" t="s">
        <v>141</v>
      </c>
      <c r="I2537" s="14" t="s">
        <v>131</v>
      </c>
      <c r="J2537" s="0" t="s">
        <v>153</v>
      </c>
      <c r="K2537" s="0" t="s">
        <v>154</v>
      </c>
      <c r="L2537" s="0" t="s">
        <v>268</v>
      </c>
      <c r="M2537" s="0" t="s">
        <v>135</v>
      </c>
      <c r="N2537" s="0" t="s">
        <v>136</v>
      </c>
      <c r="O2537" s="0" t="s">
        <v>274</v>
      </c>
      <c r="Q2537" s="0" t="s">
        <v>130</v>
      </c>
      <c r="R2537" s="0" t="s">
        <v>138</v>
      </c>
      <c r="S2537" s="14">
        <v>0</v>
      </c>
      <c r="T2537" s="0" t="s">
        <v>446</v>
      </c>
      <c r="U2537" s="0" t="s">
        <v>138</v>
      </c>
      <c r="V2537" s="14" t="s">
        <v>138</v>
      </c>
      <c r="W2537" s="0" t="s">
        <v>138</v>
      </c>
      <c r="X2537" s="14" t="s">
        <v>138</v>
      </c>
      <c r="Y2537" s="0" t="s">
        <v>138</v>
      </c>
      <c r="Z2537" s="14" t="s">
        <v>138</v>
      </c>
      <c r="AA2537" s="0" t="s">
        <v>138</v>
      </c>
      <c r="AB2537" s="14" t="s">
        <v>138</v>
      </c>
      <c r="AD2537" s="0" t="s">
        <v>138</v>
      </c>
      <c r="AF2537" s="0">
        <v>0</v>
      </c>
      <c r="AG2537" s="0">
        <v>0</v>
      </c>
      <c r="AH2537" s="0" t="s">
        <v>140</v>
      </c>
      <c r="AI2537" s="0" t="s">
        <v>138</v>
      </c>
      <c r="AL2537" s="14"/>
      <c r="AN2537" s="14"/>
      <c r="AQ2537" s="0" t="s">
        <v>130</v>
      </c>
      <c r="AR2537" s="0" t="s">
        <v>130</v>
      </c>
      <c r="AS2537" s="0" t="s">
        <v>130</v>
      </c>
      <c r="AT2537" s="0" t="s">
        <v>130</v>
      </c>
      <c r="AU2537" s="0" t="s">
        <v>130</v>
      </c>
      <c r="AV2537" s="0" t="s">
        <v>130</v>
      </c>
      <c r="AW2537" s="0" t="s">
        <v>130</v>
      </c>
      <c r="AX2537" s="0" t="s">
        <v>130</v>
      </c>
      <c r="AY2537" s="0" t="s">
        <v>130</v>
      </c>
      <c r="AZ2537" s="0" t="s">
        <v>141</v>
      </c>
      <c r="BA2537" s="0" t="s">
        <v>130</v>
      </c>
      <c r="BB2537" s="0" t="s">
        <v>130</v>
      </c>
      <c r="BC2537" s="0" t="s">
        <v>130</v>
      </c>
      <c r="BD2537" s="0" t="s">
        <v>130</v>
      </c>
      <c r="BE2537" s="0" t="s">
        <v>130</v>
      </c>
      <c r="BF2537" s="0" t="s">
        <v>130</v>
      </c>
      <c r="BG2537" s="0" t="s">
        <v>130</v>
      </c>
      <c r="BH2537" s="0" t="s">
        <v>130</v>
      </c>
      <c r="BI2537" s="0" t="s">
        <v>130</v>
      </c>
      <c r="BJ2537" s="0" t="s">
        <v>130</v>
      </c>
      <c r="BK2537" s="0" t="s">
        <v>130</v>
      </c>
      <c r="BL2537" s="0" t="s">
        <v>130</v>
      </c>
      <c r="BM2537" s="0" t="s">
        <v>130</v>
      </c>
      <c r="BN2537" s="0" t="s">
        <v>130</v>
      </c>
      <c r="BO2537" s="0" t="s">
        <v>130</v>
      </c>
      <c r="BP2537" s="0" t="s">
        <v>130</v>
      </c>
      <c r="BQ2537" s="0" t="s">
        <v>130</v>
      </c>
      <c r="BR2537" s="0" t="s">
        <v>130</v>
      </c>
      <c r="BS2537" s="0" t="s">
        <v>130</v>
      </c>
      <c r="BT2537" s="0" t="s">
        <v>130</v>
      </c>
      <c r="BU2537" s="0" t="s">
        <v>130</v>
      </c>
      <c r="BV2537" s="0" t="s">
        <v>130</v>
      </c>
      <c r="BW2537" s="0" t="s">
        <v>130</v>
      </c>
      <c r="BX2537" s="0" t="s">
        <v>130</v>
      </c>
      <c r="BY2537" s="0" t="s">
        <v>130</v>
      </c>
      <c r="BZ2537" s="0" t="s">
        <v>130</v>
      </c>
      <c r="CA2537" s="0" t="s">
        <v>130</v>
      </c>
      <c r="CB2537" s="0" t="s">
        <v>130</v>
      </c>
      <c r="CC2537" s="0" t="s">
        <v>130</v>
      </c>
      <c r="CD2537" s="0" t="s">
        <v>130</v>
      </c>
      <c r="CE2537" s="0" t="s">
        <v>130</v>
      </c>
      <c r="CF2537" s="0" t="s">
        <v>130</v>
      </c>
      <c r="CG2537" s="0" t="s">
        <v>130</v>
      </c>
      <c r="CH2537" s="0" t="s">
        <v>130</v>
      </c>
      <c r="CI2537" s="0" t="s">
        <v>130</v>
      </c>
      <c r="CJ2537" s="0" t="s">
        <v>130</v>
      </c>
      <c r="CK2537" s="0" t="s">
        <v>141</v>
      </c>
      <c r="CL2537" s="0" t="s">
        <v>130</v>
      </c>
      <c r="CM2537" s="0" t="s">
        <v>130</v>
      </c>
      <c r="CN2537" s="0" t="s">
        <v>130</v>
      </c>
      <c r="CO2537" s="0" t="s">
        <v>130</v>
      </c>
      <c r="CP2537" s="0" t="s">
        <v>130</v>
      </c>
      <c r="CQ2537" s="0" t="s">
        <v>130</v>
      </c>
      <c r="CR2537" s="0" t="s">
        <v>130</v>
      </c>
      <c r="CS2537" s="0" t="s">
        <v>130</v>
      </c>
      <c r="CT2537" s="0" t="s">
        <v>6889</v>
      </c>
    </row>
    <row r="2538">
      <c r="A2538" s="14">
        <v>101650</v>
      </c>
      <c r="B2538" s="0" t="s">
        <v>1765</v>
      </c>
      <c r="C2538" s="16">
        <f>HYPERLINK("https://eosportal.federatedhermes.com/companies/Q29tcGFueQppNzU3MDM=", "Westpac Banking Corp")</f>
      </c>
      <c r="D2538" s="0" t="s">
        <v>23</v>
      </c>
      <c r="E2538" s="0" t="s">
        <v>6404</v>
      </c>
      <c r="F2538" s="16">
        <f>HYPERLINK("https://eosportal.federatedhermes.com/engagements/RW5nYWdlbWVudAppMzQyNDA=", "Just transition integration")</f>
      </c>
      <c r="G2538" s="14" t="s">
        <v>6890</v>
      </c>
      <c r="H2538" s="0" t="s">
        <v>141</v>
      </c>
      <c r="I2538" s="14" t="s">
        <v>191</v>
      </c>
      <c r="J2538" s="0" t="s">
        <v>197</v>
      </c>
      <c r="K2538" s="0" t="s">
        <v>198</v>
      </c>
      <c r="L2538" s="0" t="s">
        <v>199</v>
      </c>
      <c r="M2538" s="0" t="s">
        <v>371</v>
      </c>
      <c r="N2538" s="0" t="s">
        <v>372</v>
      </c>
      <c r="O2538" s="0" t="s">
        <v>238</v>
      </c>
      <c r="Q2538" s="0" t="s">
        <v>141</v>
      </c>
      <c r="R2538" s="0" t="s">
        <v>130</v>
      </c>
      <c r="S2538" s="14">
        <v>1</v>
      </c>
      <c r="T2538" s="0" t="s">
        <v>206</v>
      </c>
      <c r="U2538" s="0" t="s">
        <v>221</v>
      </c>
      <c r="V2538" s="14" t="s">
        <v>206</v>
      </c>
      <c r="W2538" s="0" t="s">
        <v>221</v>
      </c>
      <c r="X2538" s="14" t="s">
        <v>360</v>
      </c>
      <c r="Y2538" s="0" t="s">
        <v>221</v>
      </c>
      <c r="Z2538" s="14" t="s">
        <v>2842</v>
      </c>
      <c r="AA2538" s="0" t="s">
        <v>223</v>
      </c>
      <c r="AB2538" s="14" t="s">
        <v>138</v>
      </c>
      <c r="AD2538" s="0" t="s">
        <v>20</v>
      </c>
      <c r="AF2538" s="0">
        <v>0</v>
      </c>
      <c r="AG2538" s="0">
        <v>0</v>
      </c>
      <c r="AH2538" s="0" t="s">
        <v>140</v>
      </c>
      <c r="AI2538" s="0" t="s">
        <v>598</v>
      </c>
      <c r="AK2538" s="0" t="s">
        <v>1151</v>
      </c>
      <c r="AL2538" s="14"/>
      <c r="AN2538" s="14"/>
      <c r="AQ2538" s="0" t="s">
        <v>130</v>
      </c>
      <c r="AR2538" s="0" t="s">
        <v>130</v>
      </c>
      <c r="AS2538" s="0" t="s">
        <v>130</v>
      </c>
      <c r="AT2538" s="0" t="s">
        <v>130</v>
      </c>
      <c r="AU2538" s="0" t="s">
        <v>130</v>
      </c>
      <c r="AV2538" s="0" t="s">
        <v>130</v>
      </c>
      <c r="AW2538" s="0" t="s">
        <v>130</v>
      </c>
      <c r="AX2538" s="0" t="s">
        <v>130</v>
      </c>
      <c r="AY2538" s="0" t="s">
        <v>130</v>
      </c>
      <c r="AZ2538" s="0" t="s">
        <v>130</v>
      </c>
      <c r="BA2538" s="0" t="s">
        <v>130</v>
      </c>
      <c r="BB2538" s="0" t="s">
        <v>141</v>
      </c>
      <c r="BC2538" s="0" t="s">
        <v>130</v>
      </c>
      <c r="BD2538" s="0" t="s">
        <v>130</v>
      </c>
      <c r="BE2538" s="0" t="s">
        <v>130</v>
      </c>
      <c r="BF2538" s="0" t="s">
        <v>130</v>
      </c>
      <c r="BG2538" s="0" t="s">
        <v>130</v>
      </c>
      <c r="BH2538" s="0" t="s">
        <v>130</v>
      </c>
      <c r="BI2538" s="0" t="s">
        <v>130</v>
      </c>
      <c r="BJ2538" s="0" t="s">
        <v>130</v>
      </c>
      <c r="BK2538" s="0" t="s">
        <v>130</v>
      </c>
      <c r="BL2538" s="0" t="s">
        <v>130</v>
      </c>
      <c r="BM2538" s="0" t="s">
        <v>130</v>
      </c>
      <c r="BN2538" s="0" t="s">
        <v>130</v>
      </c>
      <c r="BO2538" s="0" t="s">
        <v>130</v>
      </c>
      <c r="BP2538" s="0" t="s">
        <v>130</v>
      </c>
      <c r="BQ2538" s="0" t="s">
        <v>130</v>
      </c>
      <c r="BR2538" s="0" t="s">
        <v>130</v>
      </c>
      <c r="BS2538" s="0" t="s">
        <v>130</v>
      </c>
      <c r="BT2538" s="0" t="s">
        <v>130</v>
      </c>
      <c r="BU2538" s="0" t="s">
        <v>130</v>
      </c>
      <c r="BV2538" s="0" t="s">
        <v>130</v>
      </c>
      <c r="BW2538" s="0" t="s">
        <v>130</v>
      </c>
      <c r="BX2538" s="0" t="s">
        <v>130</v>
      </c>
      <c r="BY2538" s="0" t="s">
        <v>130</v>
      </c>
      <c r="BZ2538" s="0" t="s">
        <v>130</v>
      </c>
      <c r="CA2538" s="0" t="s">
        <v>130</v>
      </c>
      <c r="CB2538" s="0" t="s">
        <v>130</v>
      </c>
      <c r="CC2538" s="0" t="s">
        <v>130</v>
      </c>
      <c r="CD2538" s="0" t="s">
        <v>130</v>
      </c>
      <c r="CE2538" s="0" t="s">
        <v>130</v>
      </c>
      <c r="CF2538" s="0" t="s">
        <v>130</v>
      </c>
      <c r="CG2538" s="0" t="s">
        <v>130</v>
      </c>
      <c r="CH2538" s="0" t="s">
        <v>130</v>
      </c>
      <c r="CI2538" s="0" t="s">
        <v>130</v>
      </c>
      <c r="CJ2538" s="0" t="s">
        <v>130</v>
      </c>
      <c r="CK2538" s="0" t="s">
        <v>130</v>
      </c>
      <c r="CL2538" s="0" t="s">
        <v>130</v>
      </c>
      <c r="CM2538" s="0" t="s">
        <v>130</v>
      </c>
      <c r="CN2538" s="0" t="s">
        <v>130</v>
      </c>
      <c r="CO2538" s="0" t="s">
        <v>130</v>
      </c>
      <c r="CP2538" s="0" t="s">
        <v>130</v>
      </c>
      <c r="CQ2538" s="0" t="s">
        <v>130</v>
      </c>
      <c r="CR2538" s="0" t="s">
        <v>130</v>
      </c>
      <c r="CS2538" s="0" t="s">
        <v>130</v>
      </c>
      <c r="CT2538" s="0" t="s">
        <v>6891</v>
      </c>
    </row>
    <row r="2539">
      <c r="A2539" s="14">
        <v>11092218</v>
      </c>
      <c r="B2539" s="0" t="s">
        <v>3976</v>
      </c>
      <c r="C2539" s="16">
        <f>HYPERLINK("https://eosportal.federatedhermes.com/companies/Q29tcGFueQppNjI1MDE=", "Meta Platforms Inc")</f>
      </c>
      <c r="D2539" s="0" t="s">
        <v>25</v>
      </c>
      <c r="E2539" s="0" t="s">
        <v>912</v>
      </c>
      <c r="F2539" s="16">
        <f>HYPERLINK("https://eosportal.federatedhermes.com/engagements/RW5nYWdlbWVudAppMzQyNzM=", "Executive remuneration")</f>
      </c>
      <c r="G2539" s="14" t="s">
        <v>6892</v>
      </c>
      <c r="H2539" s="0" t="s">
        <v>141</v>
      </c>
      <c r="I2539" s="14" t="s">
        <v>191</v>
      </c>
      <c r="J2539" s="0" t="s">
        <v>145</v>
      </c>
      <c r="K2539" s="0" t="s">
        <v>146</v>
      </c>
      <c r="L2539" s="0" t="s">
        <v>147</v>
      </c>
      <c r="M2539" s="0" t="s">
        <v>135</v>
      </c>
      <c r="N2539" s="0" t="s">
        <v>136</v>
      </c>
      <c r="O2539" s="0" t="s">
        <v>137</v>
      </c>
      <c r="Q2539" s="0" t="s">
        <v>130</v>
      </c>
      <c r="R2539" s="0" t="s">
        <v>138</v>
      </c>
      <c r="S2539" s="14">
        <v>0</v>
      </c>
      <c r="T2539" s="0" t="s">
        <v>446</v>
      </c>
      <c r="U2539" s="0" t="s">
        <v>138</v>
      </c>
      <c r="V2539" s="14" t="s">
        <v>138</v>
      </c>
      <c r="W2539" s="0" t="s">
        <v>138</v>
      </c>
      <c r="X2539" s="14" t="s">
        <v>138</v>
      </c>
      <c r="Y2539" s="0" t="s">
        <v>138</v>
      </c>
      <c r="Z2539" s="14" t="s">
        <v>138</v>
      </c>
      <c r="AA2539" s="0" t="s">
        <v>138</v>
      </c>
      <c r="AB2539" s="14" t="s">
        <v>138</v>
      </c>
      <c r="AD2539" s="0" t="s">
        <v>138</v>
      </c>
      <c r="AF2539" s="0">
        <v>0</v>
      </c>
      <c r="AG2539" s="0">
        <v>0</v>
      </c>
      <c r="AH2539" s="0" t="s">
        <v>140</v>
      </c>
      <c r="AI2539" s="0" t="s">
        <v>138</v>
      </c>
      <c r="AL2539" s="14"/>
      <c r="AN2539" s="14"/>
      <c r="AQ2539" s="0" t="s">
        <v>130</v>
      </c>
      <c r="AR2539" s="0" t="s">
        <v>130</v>
      </c>
      <c r="AS2539" s="0" t="s">
        <v>130</v>
      </c>
      <c r="AT2539" s="0" t="s">
        <v>130</v>
      </c>
      <c r="AU2539" s="0" t="s">
        <v>130</v>
      </c>
      <c r="AV2539" s="0" t="s">
        <v>130</v>
      </c>
      <c r="AW2539" s="0" t="s">
        <v>130</v>
      </c>
      <c r="AX2539" s="0" t="s">
        <v>130</v>
      </c>
      <c r="AY2539" s="0" t="s">
        <v>130</v>
      </c>
      <c r="AZ2539" s="0" t="s">
        <v>130</v>
      </c>
      <c r="BA2539" s="0" t="s">
        <v>130</v>
      </c>
      <c r="BB2539" s="0" t="s">
        <v>130</v>
      </c>
      <c r="BC2539" s="0" t="s">
        <v>130</v>
      </c>
      <c r="BD2539" s="0" t="s">
        <v>130</v>
      </c>
      <c r="BE2539" s="0" t="s">
        <v>130</v>
      </c>
      <c r="BF2539" s="0" t="s">
        <v>130</v>
      </c>
      <c r="BG2539" s="0" t="s">
        <v>130</v>
      </c>
      <c r="BH2539" s="0" t="s">
        <v>130</v>
      </c>
      <c r="BI2539" s="0" t="s">
        <v>130</v>
      </c>
      <c r="BJ2539" s="0" t="s">
        <v>130</v>
      </c>
      <c r="BK2539" s="0" t="s">
        <v>130</v>
      </c>
      <c r="BL2539" s="0" t="s">
        <v>130</v>
      </c>
      <c r="BM2539" s="0" t="s">
        <v>130</v>
      </c>
      <c r="BN2539" s="0" t="s">
        <v>130</v>
      </c>
      <c r="BO2539" s="0" t="s">
        <v>130</v>
      </c>
      <c r="BP2539" s="0" t="s">
        <v>130</v>
      </c>
      <c r="BQ2539" s="0" t="s">
        <v>130</v>
      </c>
      <c r="BR2539" s="0" t="s">
        <v>130</v>
      </c>
      <c r="BS2539" s="0" t="s">
        <v>130</v>
      </c>
      <c r="BT2539" s="0" t="s">
        <v>130</v>
      </c>
      <c r="BU2539" s="0" t="s">
        <v>130</v>
      </c>
      <c r="BV2539" s="0" t="s">
        <v>130</v>
      </c>
      <c r="BW2539" s="0" t="s">
        <v>130</v>
      </c>
      <c r="BX2539" s="0" t="s">
        <v>130</v>
      </c>
      <c r="BY2539" s="0" t="s">
        <v>130</v>
      </c>
      <c r="BZ2539" s="0" t="s">
        <v>130</v>
      </c>
      <c r="CA2539" s="0" t="s">
        <v>130</v>
      </c>
      <c r="CB2539" s="0" t="s">
        <v>130</v>
      </c>
      <c r="CC2539" s="0" t="s">
        <v>130</v>
      </c>
      <c r="CD2539" s="0" t="s">
        <v>130</v>
      </c>
      <c r="CE2539" s="0" t="s">
        <v>130</v>
      </c>
      <c r="CF2539" s="0" t="s">
        <v>130</v>
      </c>
      <c r="CG2539" s="0" t="s">
        <v>130</v>
      </c>
      <c r="CH2539" s="0" t="s">
        <v>130</v>
      </c>
      <c r="CI2539" s="0" t="s">
        <v>130</v>
      </c>
      <c r="CJ2539" s="0" t="s">
        <v>130</v>
      </c>
      <c r="CK2539" s="0" t="s">
        <v>130</v>
      </c>
      <c r="CL2539" s="0" t="s">
        <v>130</v>
      </c>
      <c r="CM2539" s="0" t="s">
        <v>130</v>
      </c>
      <c r="CN2539" s="0" t="s">
        <v>130</v>
      </c>
      <c r="CO2539" s="0" t="s">
        <v>130</v>
      </c>
      <c r="CP2539" s="0" t="s">
        <v>130</v>
      </c>
      <c r="CQ2539" s="0" t="s">
        <v>130</v>
      </c>
      <c r="CR2539" s="0" t="s">
        <v>130</v>
      </c>
      <c r="CS2539" s="0" t="s">
        <v>130</v>
      </c>
      <c r="CT2539" s="0" t="s">
        <v>6893</v>
      </c>
    </row>
    <row r="2540">
      <c r="A2540" s="14">
        <v>27186779</v>
      </c>
      <c r="B2540" s="0" t="s">
        <v>4330</v>
      </c>
      <c r="C2540" s="16">
        <f>HYPERLINK("https://eosportal.federatedhermes.com/companies/Q29tcGFueQppODI1ODQ=", "Shopify Inc")</f>
      </c>
      <c r="D2540" s="0" t="s">
        <v>25</v>
      </c>
      <c r="E2540" s="0" t="s">
        <v>6894</v>
      </c>
      <c r="F2540" s="16">
        <f>HYPERLINK("https://eosportal.federatedhermes.com/engagements/RW5nYWdlbWVudAppMzQyODA=", "Multiclass share structure")</f>
      </c>
      <c r="G2540" s="14" t="s">
        <v>6895</v>
      </c>
      <c r="H2540" s="0" t="s">
        <v>130</v>
      </c>
      <c r="I2540" s="14" t="s">
        <v>319</v>
      </c>
      <c r="J2540" s="0" t="s">
        <v>145</v>
      </c>
      <c r="K2540" s="0" t="s">
        <v>400</v>
      </c>
      <c r="L2540" s="0" t="s">
        <v>507</v>
      </c>
      <c r="M2540" s="0" t="s">
        <v>135</v>
      </c>
      <c r="N2540" s="0" t="s">
        <v>1678</v>
      </c>
      <c r="O2540" s="0" t="s">
        <v>137</v>
      </c>
      <c r="Q2540" s="0" t="s">
        <v>130</v>
      </c>
      <c r="R2540" s="0" t="s">
        <v>138</v>
      </c>
      <c r="S2540" s="14">
        <v>0</v>
      </c>
      <c r="T2540" s="0" t="s">
        <v>446</v>
      </c>
      <c r="U2540" s="0" t="s">
        <v>138</v>
      </c>
      <c r="V2540" s="14" t="s">
        <v>138</v>
      </c>
      <c r="W2540" s="0" t="s">
        <v>138</v>
      </c>
      <c r="X2540" s="14" t="s">
        <v>138</v>
      </c>
      <c r="Y2540" s="0" t="s">
        <v>138</v>
      </c>
      <c r="Z2540" s="14" t="s">
        <v>138</v>
      </c>
      <c r="AA2540" s="0" t="s">
        <v>138</v>
      </c>
      <c r="AB2540" s="14" t="s">
        <v>138</v>
      </c>
      <c r="AD2540" s="0" t="s">
        <v>138</v>
      </c>
      <c r="AF2540" s="0">
        <v>0</v>
      </c>
      <c r="AG2540" s="0">
        <v>0</v>
      </c>
      <c r="AH2540" s="0" t="s">
        <v>140</v>
      </c>
      <c r="AI2540" s="0" t="s">
        <v>138</v>
      </c>
      <c r="AL2540" s="14"/>
      <c r="AN2540" s="14"/>
      <c r="AQ2540" s="0" t="s">
        <v>130</v>
      </c>
      <c r="AR2540" s="0" t="s">
        <v>130</v>
      </c>
      <c r="AS2540" s="0" t="s">
        <v>130</v>
      </c>
      <c r="AT2540" s="0" t="s">
        <v>130</v>
      </c>
      <c r="AU2540" s="0" t="s">
        <v>130</v>
      </c>
      <c r="AV2540" s="0" t="s">
        <v>130</v>
      </c>
      <c r="AW2540" s="0" t="s">
        <v>130</v>
      </c>
      <c r="AX2540" s="0" t="s">
        <v>130</v>
      </c>
      <c r="AY2540" s="0" t="s">
        <v>130</v>
      </c>
      <c r="AZ2540" s="0" t="s">
        <v>130</v>
      </c>
      <c r="BA2540" s="0" t="s">
        <v>130</v>
      </c>
      <c r="BB2540" s="0" t="s">
        <v>130</v>
      </c>
      <c r="BC2540" s="0" t="s">
        <v>130</v>
      </c>
      <c r="BD2540" s="0" t="s">
        <v>130</v>
      </c>
      <c r="BE2540" s="0" t="s">
        <v>130</v>
      </c>
      <c r="BF2540" s="0" t="s">
        <v>130</v>
      </c>
      <c r="BG2540" s="0" t="s">
        <v>130</v>
      </c>
      <c r="BH2540" s="0" t="s">
        <v>130</v>
      </c>
      <c r="BI2540" s="0" t="s">
        <v>130</v>
      </c>
      <c r="BJ2540" s="0" t="s">
        <v>130</v>
      </c>
      <c r="BK2540" s="0" t="s">
        <v>130</v>
      </c>
      <c r="BL2540" s="0" t="s">
        <v>130</v>
      </c>
      <c r="BM2540" s="0" t="s">
        <v>130</v>
      </c>
      <c r="BN2540" s="0" t="s">
        <v>130</v>
      </c>
      <c r="BO2540" s="0" t="s">
        <v>130</v>
      </c>
      <c r="BP2540" s="0" t="s">
        <v>130</v>
      </c>
      <c r="BQ2540" s="0" t="s">
        <v>130</v>
      </c>
      <c r="BR2540" s="0" t="s">
        <v>130</v>
      </c>
      <c r="BS2540" s="0" t="s">
        <v>130</v>
      </c>
      <c r="BT2540" s="0" t="s">
        <v>130</v>
      </c>
      <c r="BU2540" s="0" t="s">
        <v>130</v>
      </c>
      <c r="BV2540" s="0" t="s">
        <v>130</v>
      </c>
      <c r="BW2540" s="0" t="s">
        <v>130</v>
      </c>
      <c r="BX2540" s="0" t="s">
        <v>130</v>
      </c>
      <c r="BY2540" s="0" t="s">
        <v>130</v>
      </c>
      <c r="BZ2540" s="0" t="s">
        <v>130</v>
      </c>
      <c r="CA2540" s="0" t="s">
        <v>130</v>
      </c>
      <c r="CB2540" s="0" t="s">
        <v>130</v>
      </c>
      <c r="CC2540" s="0" t="s">
        <v>130</v>
      </c>
      <c r="CD2540" s="0" t="s">
        <v>130</v>
      </c>
      <c r="CE2540" s="0" t="s">
        <v>130</v>
      </c>
      <c r="CF2540" s="0" t="s">
        <v>130</v>
      </c>
      <c r="CG2540" s="0" t="s">
        <v>130</v>
      </c>
      <c r="CH2540" s="0" t="s">
        <v>130</v>
      </c>
      <c r="CI2540" s="0" t="s">
        <v>130</v>
      </c>
      <c r="CJ2540" s="0" t="s">
        <v>130</v>
      </c>
      <c r="CK2540" s="0" t="s">
        <v>130</v>
      </c>
      <c r="CL2540" s="0" t="s">
        <v>130</v>
      </c>
      <c r="CM2540" s="0" t="s">
        <v>130</v>
      </c>
      <c r="CN2540" s="0" t="s">
        <v>130</v>
      </c>
      <c r="CO2540" s="0" t="s">
        <v>130</v>
      </c>
      <c r="CP2540" s="0" t="s">
        <v>130</v>
      </c>
      <c r="CQ2540" s="0" t="s">
        <v>130</v>
      </c>
      <c r="CR2540" s="0" t="s">
        <v>130</v>
      </c>
      <c r="CS2540" s="0" t="s">
        <v>130</v>
      </c>
      <c r="CT2540" s="0" t="s">
        <v>6896</v>
      </c>
    </row>
    <row r="2541">
      <c r="A2541" s="14">
        <v>153693</v>
      </c>
      <c r="B2541" s="0" t="s">
        <v>2920</v>
      </c>
      <c r="C2541" s="16">
        <f>HYPERLINK("https://eosportal.federatedhermes.com/companies/Q29tcGFueQppNDYwMzI=", "Fortescue Ltd")</f>
      </c>
      <c r="D2541" s="0" t="s">
        <v>25</v>
      </c>
      <c r="E2541" s="0" t="s">
        <v>6897</v>
      </c>
      <c r="F2541" s="16">
        <f>HYPERLINK("https://eosportal.federatedhermes.com/engagements/RW5nYWdlbWVudAppMzQyODQ=", "Indigenous rights")</f>
      </c>
      <c r="G2541" s="14" t="s">
        <v>6898</v>
      </c>
      <c r="H2541" s="0" t="s">
        <v>130</v>
      </c>
      <c r="I2541" s="14" t="s">
        <v>131</v>
      </c>
      <c r="J2541" s="0" t="s">
        <v>153</v>
      </c>
      <c r="K2541" s="0" t="s">
        <v>243</v>
      </c>
      <c r="L2541" s="0" t="s">
        <v>571</v>
      </c>
      <c r="M2541" s="0" t="s">
        <v>371</v>
      </c>
      <c r="N2541" s="0" t="s">
        <v>372</v>
      </c>
      <c r="O2541" s="0" t="s">
        <v>373</v>
      </c>
      <c r="Q2541" s="0" t="s">
        <v>130</v>
      </c>
      <c r="R2541" s="0" t="s">
        <v>138</v>
      </c>
      <c r="S2541" s="14">
        <v>0</v>
      </c>
      <c r="T2541" s="0" t="s">
        <v>446</v>
      </c>
      <c r="U2541" s="0" t="s">
        <v>138</v>
      </c>
      <c r="V2541" s="14" t="s">
        <v>138</v>
      </c>
      <c r="W2541" s="0" t="s">
        <v>138</v>
      </c>
      <c r="X2541" s="14" t="s">
        <v>138</v>
      </c>
      <c r="Y2541" s="0" t="s">
        <v>138</v>
      </c>
      <c r="Z2541" s="14" t="s">
        <v>138</v>
      </c>
      <c r="AA2541" s="0" t="s">
        <v>138</v>
      </c>
      <c r="AB2541" s="14" t="s">
        <v>138</v>
      </c>
      <c r="AD2541" s="0" t="s">
        <v>138</v>
      </c>
      <c r="AF2541" s="0">
        <v>0</v>
      </c>
      <c r="AG2541" s="0">
        <v>0</v>
      </c>
      <c r="AH2541" s="0" t="s">
        <v>140</v>
      </c>
      <c r="AI2541" s="0" t="s">
        <v>138</v>
      </c>
      <c r="AL2541" s="14"/>
      <c r="AN2541" s="14"/>
      <c r="AQ2541" s="0" t="s">
        <v>130</v>
      </c>
      <c r="AR2541" s="0" t="s">
        <v>130</v>
      </c>
      <c r="AS2541" s="0" t="s">
        <v>130</v>
      </c>
      <c r="AT2541" s="0" t="s">
        <v>130</v>
      </c>
      <c r="AU2541" s="0" t="s">
        <v>130</v>
      </c>
      <c r="AV2541" s="0" t="s">
        <v>130</v>
      </c>
      <c r="AW2541" s="0" t="s">
        <v>130</v>
      </c>
      <c r="AX2541" s="0" t="s">
        <v>130</v>
      </c>
      <c r="AY2541" s="0" t="s">
        <v>130</v>
      </c>
      <c r="AZ2541" s="0" t="s">
        <v>141</v>
      </c>
      <c r="BA2541" s="0" t="s">
        <v>130</v>
      </c>
      <c r="BB2541" s="0" t="s">
        <v>130</v>
      </c>
      <c r="BC2541" s="0" t="s">
        <v>130</v>
      </c>
      <c r="BD2541" s="0" t="s">
        <v>130</v>
      </c>
      <c r="BE2541" s="0" t="s">
        <v>130</v>
      </c>
      <c r="BF2541" s="0" t="s">
        <v>141</v>
      </c>
      <c r="BG2541" s="0" t="s">
        <v>130</v>
      </c>
      <c r="BH2541" s="0" t="s">
        <v>130</v>
      </c>
      <c r="BI2541" s="0" t="s">
        <v>130</v>
      </c>
      <c r="BJ2541" s="0" t="s">
        <v>130</v>
      </c>
      <c r="BK2541" s="0" t="s">
        <v>130</v>
      </c>
      <c r="BL2541" s="0" t="s">
        <v>130</v>
      </c>
      <c r="BM2541" s="0" t="s">
        <v>130</v>
      </c>
      <c r="BN2541" s="0" t="s">
        <v>130</v>
      </c>
      <c r="BO2541" s="0" t="s">
        <v>130</v>
      </c>
      <c r="BP2541" s="0" t="s">
        <v>130</v>
      </c>
      <c r="BQ2541" s="0" t="s">
        <v>130</v>
      </c>
      <c r="BR2541" s="0" t="s">
        <v>130</v>
      </c>
      <c r="BS2541" s="0" t="s">
        <v>130</v>
      </c>
      <c r="BT2541" s="0" t="s">
        <v>130</v>
      </c>
      <c r="BU2541" s="0" t="s">
        <v>130</v>
      </c>
      <c r="BV2541" s="0" t="s">
        <v>130</v>
      </c>
      <c r="BW2541" s="0" t="s">
        <v>130</v>
      </c>
      <c r="BX2541" s="0" t="s">
        <v>130</v>
      </c>
      <c r="BY2541" s="0" t="s">
        <v>130</v>
      </c>
      <c r="BZ2541" s="0" t="s">
        <v>130</v>
      </c>
      <c r="CA2541" s="0" t="s">
        <v>130</v>
      </c>
      <c r="CB2541" s="0" t="s">
        <v>130</v>
      </c>
      <c r="CC2541" s="0" t="s">
        <v>130</v>
      </c>
      <c r="CD2541" s="0" t="s">
        <v>130</v>
      </c>
      <c r="CE2541" s="0" t="s">
        <v>130</v>
      </c>
      <c r="CF2541" s="0" t="s">
        <v>130</v>
      </c>
      <c r="CG2541" s="0" t="s">
        <v>130</v>
      </c>
      <c r="CH2541" s="0" t="s">
        <v>130</v>
      </c>
      <c r="CI2541" s="0" t="s">
        <v>130</v>
      </c>
      <c r="CJ2541" s="0" t="s">
        <v>130</v>
      </c>
      <c r="CK2541" s="0" t="s">
        <v>130</v>
      </c>
      <c r="CL2541" s="0" t="s">
        <v>130</v>
      </c>
      <c r="CM2541" s="0" t="s">
        <v>130</v>
      </c>
      <c r="CN2541" s="0" t="s">
        <v>130</v>
      </c>
      <c r="CO2541" s="0" t="s">
        <v>130</v>
      </c>
      <c r="CP2541" s="0" t="s">
        <v>141</v>
      </c>
      <c r="CQ2541" s="0" t="s">
        <v>130</v>
      </c>
      <c r="CR2541" s="0" t="s">
        <v>130</v>
      </c>
      <c r="CS2541" s="0" t="s">
        <v>130</v>
      </c>
      <c r="CT2541" s="0" t="s">
        <v>6899</v>
      </c>
    </row>
    <row r="2542">
      <c r="A2542" s="14">
        <v>825197</v>
      </c>
      <c r="B2542" s="0" t="s">
        <v>3349</v>
      </c>
      <c r="C2542" s="16">
        <f>HYPERLINK("https://eosportal.federatedhermes.com/companies/Q29tcGFueQppNTU3NDQ=", "ABB Ltd")</f>
      </c>
      <c r="D2542" s="0" t="s">
        <v>23</v>
      </c>
      <c r="E2542" s="0" t="s">
        <v>6900</v>
      </c>
      <c r="F2542" s="16">
        <f>HYPERLINK("https://eosportal.federatedhermes.com/engagements/RW5nYWdlbWVudAppMzQyOTY=", "Circularity")</f>
      </c>
      <c r="G2542" s="14" t="s">
        <v>6901</v>
      </c>
      <c r="H2542" s="0" t="s">
        <v>141</v>
      </c>
      <c r="I2542" s="14" t="s">
        <v>191</v>
      </c>
      <c r="J2542" s="0" t="s">
        <v>197</v>
      </c>
      <c r="K2542" s="0" t="s">
        <v>348</v>
      </c>
      <c r="L2542" s="0" t="s">
        <v>349</v>
      </c>
      <c r="M2542" s="0" t="s">
        <v>378</v>
      </c>
      <c r="N2542" s="0" t="s">
        <v>1059</v>
      </c>
      <c r="O2542" s="0" t="s">
        <v>176</v>
      </c>
      <c r="Q2542" s="0" t="s">
        <v>130</v>
      </c>
      <c r="R2542" s="0" t="s">
        <v>130</v>
      </c>
      <c r="S2542" s="14">
        <v>0</v>
      </c>
      <c r="T2542" s="0" t="s">
        <v>446</v>
      </c>
      <c r="U2542" s="0" t="s">
        <v>221</v>
      </c>
      <c r="V2542" s="14" t="s">
        <v>446</v>
      </c>
      <c r="W2542" s="0" t="s">
        <v>221</v>
      </c>
      <c r="X2542" s="14" t="s">
        <v>446</v>
      </c>
      <c r="Y2542" s="0" t="s">
        <v>221</v>
      </c>
      <c r="Z2542" s="14" t="s">
        <v>2428</v>
      </c>
      <c r="AA2542" s="0" t="s">
        <v>223</v>
      </c>
      <c r="AB2542" s="14" t="s">
        <v>138</v>
      </c>
      <c r="AD2542" s="0" t="s">
        <v>20</v>
      </c>
      <c r="AF2542" s="0">
        <v>0</v>
      </c>
      <c r="AG2542" s="0">
        <v>0</v>
      </c>
      <c r="AH2542" s="0" t="s">
        <v>140</v>
      </c>
      <c r="AI2542" s="0" t="s">
        <v>598</v>
      </c>
      <c r="AL2542" s="14"/>
      <c r="AN2542" s="14"/>
      <c r="AQ2542" s="0" t="s">
        <v>130</v>
      </c>
      <c r="AR2542" s="0" t="s">
        <v>130</v>
      </c>
      <c r="AS2542" s="0" t="s">
        <v>130</v>
      </c>
      <c r="AT2542" s="0" t="s">
        <v>130</v>
      </c>
      <c r="AU2542" s="0" t="s">
        <v>130</v>
      </c>
      <c r="AV2542" s="0" t="s">
        <v>130</v>
      </c>
      <c r="AW2542" s="0" t="s">
        <v>130</v>
      </c>
      <c r="AX2542" s="0" t="s">
        <v>130</v>
      </c>
      <c r="AY2542" s="0" t="s">
        <v>130</v>
      </c>
      <c r="AZ2542" s="0" t="s">
        <v>130</v>
      </c>
      <c r="BA2542" s="0" t="s">
        <v>141</v>
      </c>
      <c r="BB2542" s="0" t="s">
        <v>141</v>
      </c>
      <c r="BC2542" s="0" t="s">
        <v>130</v>
      </c>
      <c r="BD2542" s="0" t="s">
        <v>130</v>
      </c>
      <c r="BE2542" s="0" t="s">
        <v>130</v>
      </c>
      <c r="BF2542" s="0" t="s">
        <v>130</v>
      </c>
      <c r="BG2542" s="0" t="s">
        <v>130</v>
      </c>
      <c r="BH2542" s="0" t="s">
        <v>130</v>
      </c>
      <c r="BI2542" s="0" t="s">
        <v>130</v>
      </c>
      <c r="BJ2542" s="0" t="s">
        <v>130</v>
      </c>
      <c r="BK2542" s="0" t="s">
        <v>130</v>
      </c>
      <c r="BL2542" s="0" t="s">
        <v>130</v>
      </c>
      <c r="BM2542" s="0" t="s">
        <v>130</v>
      </c>
      <c r="BN2542" s="0" t="s">
        <v>130</v>
      </c>
      <c r="BO2542" s="0" t="s">
        <v>130</v>
      </c>
      <c r="BP2542" s="0" t="s">
        <v>130</v>
      </c>
      <c r="BQ2542" s="0" t="s">
        <v>130</v>
      </c>
      <c r="BR2542" s="0" t="s">
        <v>130</v>
      </c>
      <c r="BS2542" s="0" t="s">
        <v>130</v>
      </c>
      <c r="BT2542" s="0" t="s">
        <v>130</v>
      </c>
      <c r="BU2542" s="0" t="s">
        <v>130</v>
      </c>
      <c r="BV2542" s="0" t="s">
        <v>130</v>
      </c>
      <c r="BW2542" s="0" t="s">
        <v>130</v>
      </c>
      <c r="BX2542" s="0" t="s">
        <v>130</v>
      </c>
      <c r="BY2542" s="0" t="s">
        <v>130</v>
      </c>
      <c r="BZ2542" s="0" t="s">
        <v>130</v>
      </c>
      <c r="CA2542" s="0" t="s">
        <v>130</v>
      </c>
      <c r="CB2542" s="0" t="s">
        <v>130</v>
      </c>
      <c r="CC2542" s="0" t="s">
        <v>130</v>
      </c>
      <c r="CD2542" s="0" t="s">
        <v>141</v>
      </c>
      <c r="CE2542" s="0" t="s">
        <v>130</v>
      </c>
      <c r="CF2542" s="0" t="s">
        <v>130</v>
      </c>
      <c r="CG2542" s="0" t="s">
        <v>130</v>
      </c>
      <c r="CH2542" s="0" t="s">
        <v>130</v>
      </c>
      <c r="CI2542" s="0" t="s">
        <v>130</v>
      </c>
      <c r="CJ2542" s="0" t="s">
        <v>130</v>
      </c>
      <c r="CK2542" s="0" t="s">
        <v>130</v>
      </c>
      <c r="CL2542" s="0" t="s">
        <v>130</v>
      </c>
      <c r="CM2542" s="0" t="s">
        <v>130</v>
      </c>
      <c r="CN2542" s="0" t="s">
        <v>130</v>
      </c>
      <c r="CO2542" s="0" t="s">
        <v>130</v>
      </c>
      <c r="CP2542" s="0" t="s">
        <v>130</v>
      </c>
      <c r="CQ2542" s="0" t="s">
        <v>130</v>
      </c>
      <c r="CR2542" s="0" t="s">
        <v>130</v>
      </c>
      <c r="CS2542" s="0" t="s">
        <v>130</v>
      </c>
      <c r="CT2542" s="0" t="s">
        <v>6902</v>
      </c>
    </row>
    <row r="2543">
      <c r="A2543" s="14">
        <v>153693</v>
      </c>
      <c r="B2543" s="0" t="s">
        <v>2920</v>
      </c>
      <c r="C2543" s="16">
        <f>HYPERLINK("https://eosportal.federatedhermes.com/companies/Q29tcGFueQppNDYwMzI=", "Fortescue Ltd")</f>
      </c>
      <c r="D2543" s="0" t="s">
        <v>23</v>
      </c>
      <c r="E2543" s="0" t="s">
        <v>6903</v>
      </c>
      <c r="F2543" s="16">
        <f>HYPERLINK("https://eosportal.federatedhermes.com/engagements/RW5nYWdlbWVudAppMzQzNzc=", "Decarbonisation Levers")</f>
      </c>
      <c r="G2543" s="14" t="s">
        <v>6904</v>
      </c>
      <c r="H2543" s="0" t="s">
        <v>130</v>
      </c>
      <c r="I2543" s="14" t="s">
        <v>131</v>
      </c>
      <c r="J2543" s="0" t="s">
        <v>197</v>
      </c>
      <c r="K2543" s="0" t="s">
        <v>198</v>
      </c>
      <c r="L2543" s="0" t="s">
        <v>216</v>
      </c>
      <c r="M2543" s="0" t="s">
        <v>371</v>
      </c>
      <c r="N2543" s="0" t="s">
        <v>372</v>
      </c>
      <c r="O2543" s="0" t="s">
        <v>373</v>
      </c>
      <c r="Q2543" s="0" t="s">
        <v>130</v>
      </c>
      <c r="R2543" s="0" t="s">
        <v>130</v>
      </c>
      <c r="S2543" s="14">
        <v>0</v>
      </c>
      <c r="T2543" s="0" t="s">
        <v>446</v>
      </c>
      <c r="U2543" s="0" t="s">
        <v>221</v>
      </c>
      <c r="V2543" s="14" t="s">
        <v>446</v>
      </c>
      <c r="W2543" s="0" t="s">
        <v>221</v>
      </c>
      <c r="X2543" s="14" t="s">
        <v>446</v>
      </c>
      <c r="Y2543" s="0" t="s">
        <v>221</v>
      </c>
      <c r="Z2543" s="14" t="s">
        <v>3265</v>
      </c>
      <c r="AA2543" s="0" t="s">
        <v>223</v>
      </c>
      <c r="AB2543" s="14" t="s">
        <v>138</v>
      </c>
      <c r="AD2543" s="0" t="s">
        <v>20</v>
      </c>
      <c r="AF2543" s="0">
        <v>0</v>
      </c>
      <c r="AG2543" s="0">
        <v>0</v>
      </c>
      <c r="AH2543" s="0" t="s">
        <v>140</v>
      </c>
      <c r="AI2543" s="0" t="s">
        <v>598</v>
      </c>
      <c r="AL2543" s="14"/>
      <c r="AN2543" s="14"/>
      <c r="AQ2543" s="0" t="s">
        <v>130</v>
      </c>
      <c r="AR2543" s="0" t="s">
        <v>130</v>
      </c>
      <c r="AS2543" s="0" t="s">
        <v>130</v>
      </c>
      <c r="AT2543" s="0" t="s">
        <v>130</v>
      </c>
      <c r="AU2543" s="0" t="s">
        <v>130</v>
      </c>
      <c r="AV2543" s="0" t="s">
        <v>130</v>
      </c>
      <c r="AW2543" s="0" t="s">
        <v>141</v>
      </c>
      <c r="AX2543" s="0" t="s">
        <v>130</v>
      </c>
      <c r="AY2543" s="0" t="s">
        <v>141</v>
      </c>
      <c r="AZ2543" s="0" t="s">
        <v>130</v>
      </c>
      <c r="BA2543" s="0" t="s">
        <v>130</v>
      </c>
      <c r="BB2543" s="0" t="s">
        <v>130</v>
      </c>
      <c r="BC2543" s="0" t="s">
        <v>141</v>
      </c>
      <c r="BD2543" s="0" t="s">
        <v>130</v>
      </c>
      <c r="BE2543" s="0" t="s">
        <v>130</v>
      </c>
      <c r="BF2543" s="0" t="s">
        <v>130</v>
      </c>
      <c r="BG2543" s="0" t="s">
        <v>130</v>
      </c>
      <c r="BH2543" s="0" t="s">
        <v>141</v>
      </c>
      <c r="BI2543" s="0" t="s">
        <v>141</v>
      </c>
      <c r="BJ2543" s="0" t="s">
        <v>141</v>
      </c>
      <c r="BK2543" s="0" t="s">
        <v>141</v>
      </c>
      <c r="BL2543" s="0" t="s">
        <v>141</v>
      </c>
      <c r="BM2543" s="0" t="s">
        <v>130</v>
      </c>
      <c r="BN2543" s="0" t="s">
        <v>130</v>
      </c>
      <c r="BO2543" s="0" t="s">
        <v>130</v>
      </c>
      <c r="BP2543" s="0" t="s">
        <v>130</v>
      </c>
      <c r="BQ2543" s="0" t="s">
        <v>130</v>
      </c>
      <c r="BR2543" s="0" t="s">
        <v>130</v>
      </c>
      <c r="BS2543" s="0" t="s">
        <v>130</v>
      </c>
      <c r="BT2543" s="0" t="s">
        <v>130</v>
      </c>
      <c r="BU2543" s="0" t="s">
        <v>130</v>
      </c>
      <c r="BV2543" s="0" t="s">
        <v>141</v>
      </c>
      <c r="BW2543" s="0" t="s">
        <v>141</v>
      </c>
      <c r="BX2543" s="0" t="s">
        <v>130</v>
      </c>
      <c r="BY2543" s="0" t="s">
        <v>130</v>
      </c>
      <c r="BZ2543" s="0" t="s">
        <v>130</v>
      </c>
      <c r="CA2543" s="0" t="s">
        <v>130</v>
      </c>
      <c r="CB2543" s="0" t="s">
        <v>130</v>
      </c>
      <c r="CC2543" s="0" t="s">
        <v>130</v>
      </c>
      <c r="CD2543" s="0" t="s">
        <v>130</v>
      </c>
      <c r="CE2543" s="0" t="s">
        <v>130</v>
      </c>
      <c r="CF2543" s="0" t="s">
        <v>130</v>
      </c>
      <c r="CG2543" s="0" t="s">
        <v>130</v>
      </c>
      <c r="CH2543" s="0" t="s">
        <v>130</v>
      </c>
      <c r="CI2543" s="0" t="s">
        <v>130</v>
      </c>
      <c r="CJ2543" s="0" t="s">
        <v>130</v>
      </c>
      <c r="CK2543" s="0" t="s">
        <v>130</v>
      </c>
      <c r="CL2543" s="0" t="s">
        <v>130</v>
      </c>
      <c r="CM2543" s="0" t="s">
        <v>130</v>
      </c>
      <c r="CN2543" s="0" t="s">
        <v>130</v>
      </c>
      <c r="CO2543" s="0" t="s">
        <v>130</v>
      </c>
      <c r="CP2543" s="0" t="s">
        <v>130</v>
      </c>
      <c r="CQ2543" s="0" t="s">
        <v>130</v>
      </c>
      <c r="CR2543" s="0" t="s">
        <v>130</v>
      </c>
      <c r="CS2543" s="0" t="s">
        <v>130</v>
      </c>
      <c r="CT2543" s="0" t="s">
        <v>6905</v>
      </c>
    </row>
    <row r="2544">
      <c r="A2544" s="14">
        <v>23600574</v>
      </c>
      <c r="B2544" s="0" t="s">
        <v>4170</v>
      </c>
      <c r="C2544" s="16">
        <f>HYPERLINK("https://eosportal.federatedhermes.com/companies/Q29tcGFueQppNjY5NDg=", "Veeva Systems Inc")</f>
      </c>
      <c r="D2544" s="0" t="s">
        <v>23</v>
      </c>
      <c r="E2544" s="0" t="s">
        <v>3737</v>
      </c>
      <c r="F2544" s="16">
        <f>HYPERLINK("https://eosportal.federatedhermes.com/engagements/RW5nYWdlbWVudAppMzQzODE=", "Sustainability Reporting")</f>
      </c>
      <c r="G2544" s="14" t="s">
        <v>6906</v>
      </c>
      <c r="H2544" s="0" t="s">
        <v>130</v>
      </c>
      <c r="I2544" s="14" t="s">
        <v>131</v>
      </c>
      <c r="J2544" s="0" t="s">
        <v>132</v>
      </c>
      <c r="K2544" s="0" t="s">
        <v>170</v>
      </c>
      <c r="L2544" s="0" t="s">
        <v>171</v>
      </c>
      <c r="M2544" s="0" t="s">
        <v>135</v>
      </c>
      <c r="N2544" s="0" t="s">
        <v>136</v>
      </c>
      <c r="O2544" s="0" t="s">
        <v>274</v>
      </c>
      <c r="Q2544" s="0" t="s">
        <v>130</v>
      </c>
      <c r="R2544" s="0" t="s">
        <v>130</v>
      </c>
      <c r="S2544" s="14">
        <v>0</v>
      </c>
      <c r="T2544" s="0" t="s">
        <v>446</v>
      </c>
      <c r="U2544" s="0" t="s">
        <v>221</v>
      </c>
      <c r="V2544" s="14" t="s">
        <v>446</v>
      </c>
      <c r="W2544" s="0" t="s">
        <v>221</v>
      </c>
      <c r="X2544" s="14" t="s">
        <v>446</v>
      </c>
      <c r="Y2544" s="0" t="s">
        <v>223</v>
      </c>
      <c r="Z2544" s="14" t="s">
        <v>138</v>
      </c>
      <c r="AA2544" s="0" t="s">
        <v>224</v>
      </c>
      <c r="AB2544" s="14" t="s">
        <v>138</v>
      </c>
      <c r="AD2544" s="0" t="s">
        <v>17</v>
      </c>
      <c r="AF2544" s="0">
        <v>0</v>
      </c>
      <c r="AG2544" s="0">
        <v>0</v>
      </c>
      <c r="AH2544" s="0" t="s">
        <v>140</v>
      </c>
      <c r="AI2544" s="0" t="s">
        <v>598</v>
      </c>
      <c r="AL2544" s="14"/>
      <c r="AN2544" s="14"/>
      <c r="AQ2544" s="0" t="s">
        <v>130</v>
      </c>
      <c r="AR2544" s="0" t="s">
        <v>130</v>
      </c>
      <c r="AS2544" s="0" t="s">
        <v>130</v>
      </c>
      <c r="AT2544" s="0" t="s">
        <v>130</v>
      </c>
      <c r="AU2544" s="0" t="s">
        <v>130</v>
      </c>
      <c r="AV2544" s="0" t="s">
        <v>130</v>
      </c>
      <c r="AW2544" s="0" t="s">
        <v>130</v>
      </c>
      <c r="AX2544" s="0" t="s">
        <v>130</v>
      </c>
      <c r="AY2544" s="0" t="s">
        <v>130</v>
      </c>
      <c r="AZ2544" s="0" t="s">
        <v>130</v>
      </c>
      <c r="BA2544" s="0" t="s">
        <v>130</v>
      </c>
      <c r="BB2544" s="0" t="s">
        <v>141</v>
      </c>
      <c r="BC2544" s="0" t="s">
        <v>130</v>
      </c>
      <c r="BD2544" s="0" t="s">
        <v>130</v>
      </c>
      <c r="BE2544" s="0" t="s">
        <v>130</v>
      </c>
      <c r="BF2544" s="0" t="s">
        <v>130</v>
      </c>
      <c r="BG2544" s="0" t="s">
        <v>130</v>
      </c>
      <c r="BH2544" s="0" t="s">
        <v>130</v>
      </c>
      <c r="BI2544" s="0" t="s">
        <v>130</v>
      </c>
      <c r="BJ2544" s="0" t="s">
        <v>130</v>
      </c>
      <c r="BK2544" s="0" t="s">
        <v>130</v>
      </c>
      <c r="BL2544" s="0" t="s">
        <v>130</v>
      </c>
      <c r="BM2544" s="0" t="s">
        <v>130</v>
      </c>
      <c r="BN2544" s="0" t="s">
        <v>130</v>
      </c>
      <c r="BO2544" s="0" t="s">
        <v>130</v>
      </c>
      <c r="BP2544" s="0" t="s">
        <v>130</v>
      </c>
      <c r="BQ2544" s="0" t="s">
        <v>130</v>
      </c>
      <c r="BR2544" s="0" t="s">
        <v>130</v>
      </c>
      <c r="BS2544" s="0" t="s">
        <v>130</v>
      </c>
      <c r="BT2544" s="0" t="s">
        <v>130</v>
      </c>
      <c r="BU2544" s="0" t="s">
        <v>130</v>
      </c>
      <c r="BV2544" s="0" t="s">
        <v>130</v>
      </c>
      <c r="BW2544" s="0" t="s">
        <v>130</v>
      </c>
      <c r="BX2544" s="0" t="s">
        <v>130</v>
      </c>
      <c r="BY2544" s="0" t="s">
        <v>130</v>
      </c>
      <c r="BZ2544" s="0" t="s">
        <v>130</v>
      </c>
      <c r="CA2544" s="0" t="s">
        <v>130</v>
      </c>
      <c r="CB2544" s="0" t="s">
        <v>130</v>
      </c>
      <c r="CC2544" s="0" t="s">
        <v>130</v>
      </c>
      <c r="CD2544" s="0" t="s">
        <v>130</v>
      </c>
      <c r="CE2544" s="0" t="s">
        <v>130</v>
      </c>
      <c r="CF2544" s="0" t="s">
        <v>130</v>
      </c>
      <c r="CG2544" s="0" t="s">
        <v>130</v>
      </c>
      <c r="CH2544" s="0" t="s">
        <v>130</v>
      </c>
      <c r="CI2544" s="0" t="s">
        <v>130</v>
      </c>
      <c r="CJ2544" s="0" t="s">
        <v>130</v>
      </c>
      <c r="CK2544" s="0" t="s">
        <v>130</v>
      </c>
      <c r="CL2544" s="0" t="s">
        <v>130</v>
      </c>
      <c r="CM2544" s="0" t="s">
        <v>130</v>
      </c>
      <c r="CN2544" s="0" t="s">
        <v>130</v>
      </c>
      <c r="CO2544" s="0" t="s">
        <v>130</v>
      </c>
      <c r="CP2544" s="0" t="s">
        <v>130</v>
      </c>
      <c r="CQ2544" s="0" t="s">
        <v>130</v>
      </c>
      <c r="CR2544" s="0" t="s">
        <v>130</v>
      </c>
      <c r="CS2544" s="0" t="s">
        <v>130</v>
      </c>
      <c r="CT2544" s="0" t="s">
        <v>6907</v>
      </c>
    </row>
    <row r="2545">
      <c r="A2545" s="14">
        <v>100315</v>
      </c>
      <c r="B2545" s="0" t="s">
        <v>539</v>
      </c>
      <c r="C2545" s="16">
        <f>HYPERLINK("https://eosportal.federatedhermes.com/companies/Q29tcGFueQppNzcwNTA=", "Chevron Corp")</f>
      </c>
      <c r="D2545" s="0" t="s">
        <v>23</v>
      </c>
      <c r="E2545" s="0" t="s">
        <v>6908</v>
      </c>
      <c r="F2545" s="16">
        <f>HYPERLINK("https://eosportal.federatedhermes.com/engagements/RW5nYWdlbWVudAppMzQzODI=", "Tax Transparency Report")</f>
      </c>
      <c r="G2545" s="14" t="s">
        <v>6909</v>
      </c>
      <c r="H2545" s="0" t="s">
        <v>141</v>
      </c>
      <c r="I2545" s="14" t="s">
        <v>191</v>
      </c>
      <c r="J2545" s="0" t="s">
        <v>153</v>
      </c>
      <c r="K2545" s="0" t="s">
        <v>185</v>
      </c>
      <c r="L2545" s="0" t="s">
        <v>548</v>
      </c>
      <c r="M2545" s="0" t="s">
        <v>135</v>
      </c>
      <c r="N2545" s="0" t="s">
        <v>136</v>
      </c>
      <c r="O2545" s="0" t="s">
        <v>542</v>
      </c>
      <c r="Q2545" s="0" t="s">
        <v>130</v>
      </c>
      <c r="R2545" s="0" t="s">
        <v>130</v>
      </c>
      <c r="S2545" s="14">
        <v>0</v>
      </c>
      <c r="T2545" s="0" t="s">
        <v>446</v>
      </c>
      <c r="U2545" s="0" t="s">
        <v>221</v>
      </c>
      <c r="V2545" s="14" t="s">
        <v>446</v>
      </c>
      <c r="W2545" s="0" t="s">
        <v>221</v>
      </c>
      <c r="X2545" s="14" t="s">
        <v>446</v>
      </c>
      <c r="Y2545" s="0" t="s">
        <v>223</v>
      </c>
      <c r="Z2545" s="14" t="s">
        <v>138</v>
      </c>
      <c r="AA2545" s="0" t="s">
        <v>224</v>
      </c>
      <c r="AB2545" s="14" t="s">
        <v>138</v>
      </c>
      <c r="AD2545" s="0" t="s">
        <v>17</v>
      </c>
      <c r="AF2545" s="0">
        <v>0</v>
      </c>
      <c r="AG2545" s="0">
        <v>0</v>
      </c>
      <c r="AH2545" s="0" t="s">
        <v>140</v>
      </c>
      <c r="AI2545" s="0" t="s">
        <v>598</v>
      </c>
      <c r="AL2545" s="14"/>
      <c r="AN2545" s="14"/>
      <c r="AQ2545" s="0" t="s">
        <v>130</v>
      </c>
      <c r="AR2545" s="0" t="s">
        <v>130</v>
      </c>
      <c r="AS2545" s="0" t="s">
        <v>130</v>
      </c>
      <c r="AT2545" s="0" t="s">
        <v>130</v>
      </c>
      <c r="AU2545" s="0" t="s">
        <v>130</v>
      </c>
      <c r="AV2545" s="0" t="s">
        <v>130</v>
      </c>
      <c r="AW2545" s="0" t="s">
        <v>130</v>
      </c>
      <c r="AX2545" s="0" t="s">
        <v>130</v>
      </c>
      <c r="AY2545" s="0" t="s">
        <v>130</v>
      </c>
      <c r="AZ2545" s="0" t="s">
        <v>130</v>
      </c>
      <c r="BA2545" s="0" t="s">
        <v>130</v>
      </c>
      <c r="BB2545" s="0" t="s">
        <v>130</v>
      </c>
      <c r="BC2545" s="0" t="s">
        <v>130</v>
      </c>
      <c r="BD2545" s="0" t="s">
        <v>130</v>
      </c>
      <c r="BE2545" s="0" t="s">
        <v>130</v>
      </c>
      <c r="BF2545" s="0" t="s">
        <v>130</v>
      </c>
      <c r="BG2545" s="0" t="s">
        <v>141</v>
      </c>
      <c r="BH2545" s="0" t="s">
        <v>130</v>
      </c>
      <c r="BI2545" s="0" t="s">
        <v>130</v>
      </c>
      <c r="BJ2545" s="0" t="s">
        <v>130</v>
      </c>
      <c r="BK2545" s="0" t="s">
        <v>130</v>
      </c>
      <c r="BL2545" s="0" t="s">
        <v>130</v>
      </c>
      <c r="BM2545" s="0" t="s">
        <v>130</v>
      </c>
      <c r="BN2545" s="0" t="s">
        <v>130</v>
      </c>
      <c r="BO2545" s="0" t="s">
        <v>130</v>
      </c>
      <c r="BP2545" s="0" t="s">
        <v>130</v>
      </c>
      <c r="BQ2545" s="0" t="s">
        <v>130</v>
      </c>
      <c r="BR2545" s="0" t="s">
        <v>130</v>
      </c>
      <c r="BS2545" s="0" t="s">
        <v>130</v>
      </c>
      <c r="BT2545" s="0" t="s">
        <v>130</v>
      </c>
      <c r="BU2545" s="0" t="s">
        <v>130</v>
      </c>
      <c r="BV2545" s="0" t="s">
        <v>130</v>
      </c>
      <c r="BW2545" s="0" t="s">
        <v>130</v>
      </c>
      <c r="BX2545" s="0" t="s">
        <v>130</v>
      </c>
      <c r="BY2545" s="0" t="s">
        <v>130</v>
      </c>
      <c r="BZ2545" s="0" t="s">
        <v>130</v>
      </c>
      <c r="CA2545" s="0" t="s">
        <v>130</v>
      </c>
      <c r="CB2545" s="0" t="s">
        <v>130</v>
      </c>
      <c r="CC2545" s="0" t="s">
        <v>130</v>
      </c>
      <c r="CD2545" s="0" t="s">
        <v>130</v>
      </c>
      <c r="CE2545" s="0" t="s">
        <v>130</v>
      </c>
      <c r="CF2545" s="0" t="s">
        <v>130</v>
      </c>
      <c r="CG2545" s="0" t="s">
        <v>130</v>
      </c>
      <c r="CH2545" s="0" t="s">
        <v>130</v>
      </c>
      <c r="CI2545" s="0" t="s">
        <v>130</v>
      </c>
      <c r="CJ2545" s="0" t="s">
        <v>130</v>
      </c>
      <c r="CK2545" s="0" t="s">
        <v>130</v>
      </c>
      <c r="CL2545" s="0" t="s">
        <v>130</v>
      </c>
      <c r="CM2545" s="0" t="s">
        <v>130</v>
      </c>
      <c r="CN2545" s="0" t="s">
        <v>130</v>
      </c>
      <c r="CO2545" s="0" t="s">
        <v>130</v>
      </c>
      <c r="CP2545" s="0" t="s">
        <v>130</v>
      </c>
      <c r="CQ2545" s="0" t="s">
        <v>130</v>
      </c>
      <c r="CR2545" s="0" t="s">
        <v>130</v>
      </c>
      <c r="CS2545" s="0" t="s">
        <v>130</v>
      </c>
      <c r="CT2545" s="0" t="s">
        <v>6910</v>
      </c>
    </row>
    <row r="2546">
      <c r="A2546" s="14">
        <v>115245</v>
      </c>
      <c r="B2546" s="0" t="s">
        <v>2366</v>
      </c>
      <c r="C2546" s="16">
        <f>HYPERLINK("https://eosportal.federatedhermes.com/companies/Q29tcGFueQppODU4ODA=", "BNP Paribas SA")</f>
      </c>
      <c r="D2546" s="0" t="s">
        <v>23</v>
      </c>
      <c r="E2546" s="0" t="s">
        <v>5737</v>
      </c>
      <c r="F2546" s="16">
        <f>HYPERLINK("https://eosportal.federatedhermes.com/engagements/RW5nYWdlbWVudAppMzQzODQ=", "Climate-aligned accounting")</f>
      </c>
      <c r="G2546" s="14" t="s">
        <v>6911</v>
      </c>
      <c r="H2546" s="0" t="s">
        <v>141</v>
      </c>
      <c r="I2546" s="14" t="s">
        <v>131</v>
      </c>
      <c r="J2546" s="0" t="s">
        <v>197</v>
      </c>
      <c r="K2546" s="0" t="s">
        <v>198</v>
      </c>
      <c r="L2546" s="0" t="s">
        <v>199</v>
      </c>
      <c r="M2546" s="0" t="s">
        <v>378</v>
      </c>
      <c r="N2546" s="0" t="s">
        <v>1646</v>
      </c>
      <c r="O2546" s="0" t="s">
        <v>238</v>
      </c>
      <c r="Q2546" s="0" t="s">
        <v>141</v>
      </c>
      <c r="R2546" s="0" t="s">
        <v>130</v>
      </c>
      <c r="S2546" s="14">
        <v>1</v>
      </c>
      <c r="T2546" s="0" t="s">
        <v>446</v>
      </c>
      <c r="U2546" s="0" t="s">
        <v>221</v>
      </c>
      <c r="V2546" s="14" t="s">
        <v>446</v>
      </c>
      <c r="W2546" s="0" t="s">
        <v>221</v>
      </c>
      <c r="X2546" s="14" t="s">
        <v>2842</v>
      </c>
      <c r="Y2546" s="0" t="s">
        <v>223</v>
      </c>
      <c r="Z2546" s="14" t="s">
        <v>138</v>
      </c>
      <c r="AA2546" s="0" t="s">
        <v>224</v>
      </c>
      <c r="AB2546" s="14" t="s">
        <v>138</v>
      </c>
      <c r="AD2546" s="0" t="s">
        <v>17</v>
      </c>
      <c r="AF2546" s="0">
        <v>0</v>
      </c>
      <c r="AG2546" s="0">
        <v>0</v>
      </c>
      <c r="AH2546" s="0" t="s">
        <v>140</v>
      </c>
      <c r="AI2546" s="0" t="s">
        <v>598</v>
      </c>
      <c r="AK2546" s="0" t="s">
        <v>2376</v>
      </c>
      <c r="AL2546" s="14"/>
      <c r="AN2546" s="14"/>
      <c r="AQ2546" s="0" t="s">
        <v>130</v>
      </c>
      <c r="AR2546" s="0" t="s">
        <v>130</v>
      </c>
      <c r="AS2546" s="0" t="s">
        <v>130</v>
      </c>
      <c r="AT2546" s="0" t="s">
        <v>130</v>
      </c>
      <c r="AU2546" s="0" t="s">
        <v>130</v>
      </c>
      <c r="AV2546" s="0" t="s">
        <v>130</v>
      </c>
      <c r="AW2546" s="0" t="s">
        <v>130</v>
      </c>
      <c r="AX2546" s="0" t="s">
        <v>130</v>
      </c>
      <c r="AY2546" s="0" t="s">
        <v>130</v>
      </c>
      <c r="AZ2546" s="0" t="s">
        <v>130</v>
      </c>
      <c r="BA2546" s="0" t="s">
        <v>130</v>
      </c>
      <c r="BB2546" s="0" t="s">
        <v>141</v>
      </c>
      <c r="BC2546" s="0" t="s">
        <v>141</v>
      </c>
      <c r="BD2546" s="0" t="s">
        <v>130</v>
      </c>
      <c r="BE2546" s="0" t="s">
        <v>130</v>
      </c>
      <c r="BF2546" s="0" t="s">
        <v>130</v>
      </c>
      <c r="BG2546" s="0" t="s">
        <v>130</v>
      </c>
      <c r="BH2546" s="0" t="s">
        <v>130</v>
      </c>
      <c r="BI2546" s="0" t="s">
        <v>130</v>
      </c>
      <c r="BJ2546" s="0" t="s">
        <v>130</v>
      </c>
      <c r="BK2546" s="0" t="s">
        <v>130</v>
      </c>
      <c r="BL2546" s="0" t="s">
        <v>130</v>
      </c>
      <c r="BM2546" s="0" t="s">
        <v>130</v>
      </c>
      <c r="BN2546" s="0" t="s">
        <v>130</v>
      </c>
      <c r="BO2546" s="0" t="s">
        <v>130</v>
      </c>
      <c r="BP2546" s="0" t="s">
        <v>130</v>
      </c>
      <c r="BQ2546" s="0" t="s">
        <v>130</v>
      </c>
      <c r="BR2546" s="0" t="s">
        <v>130</v>
      </c>
      <c r="BS2546" s="0" t="s">
        <v>130</v>
      </c>
      <c r="BT2546" s="0" t="s">
        <v>130</v>
      </c>
      <c r="BU2546" s="0" t="s">
        <v>130</v>
      </c>
      <c r="BV2546" s="0" t="s">
        <v>130</v>
      </c>
      <c r="BW2546" s="0" t="s">
        <v>130</v>
      </c>
      <c r="BX2546" s="0" t="s">
        <v>130</v>
      </c>
      <c r="BY2546" s="0" t="s">
        <v>130</v>
      </c>
      <c r="BZ2546" s="0" t="s">
        <v>130</v>
      </c>
      <c r="CA2546" s="0" t="s">
        <v>130</v>
      </c>
      <c r="CB2546" s="0" t="s">
        <v>130</v>
      </c>
      <c r="CC2546" s="0" t="s">
        <v>130</v>
      </c>
      <c r="CD2546" s="0" t="s">
        <v>130</v>
      </c>
      <c r="CE2546" s="0" t="s">
        <v>130</v>
      </c>
      <c r="CF2546" s="0" t="s">
        <v>130</v>
      </c>
      <c r="CG2546" s="0" t="s">
        <v>130</v>
      </c>
      <c r="CH2546" s="0" t="s">
        <v>130</v>
      </c>
      <c r="CI2546" s="0" t="s">
        <v>130</v>
      </c>
      <c r="CJ2546" s="0" t="s">
        <v>130</v>
      </c>
      <c r="CK2546" s="0" t="s">
        <v>130</v>
      </c>
      <c r="CL2546" s="0" t="s">
        <v>130</v>
      </c>
      <c r="CM2546" s="0" t="s">
        <v>130</v>
      </c>
      <c r="CN2546" s="0" t="s">
        <v>130</v>
      </c>
      <c r="CO2546" s="0" t="s">
        <v>130</v>
      </c>
      <c r="CP2546" s="0" t="s">
        <v>130</v>
      </c>
      <c r="CQ2546" s="0" t="s">
        <v>130</v>
      </c>
      <c r="CR2546" s="0" t="s">
        <v>130</v>
      </c>
      <c r="CS2546" s="0" t="s">
        <v>130</v>
      </c>
      <c r="CT2546" s="0" t="s">
        <v>6912</v>
      </c>
    </row>
    <row r="2547">
      <c r="A2547" s="14">
        <v>111680</v>
      </c>
      <c r="B2547" s="0" t="s">
        <v>633</v>
      </c>
      <c r="C2547" s="16">
        <f>HYPERLINK("https://eosportal.federatedhermes.com/companies/Q29tcGFueQppNTg5Njc=", "Diageo PLC")</f>
      </c>
      <c r="D2547" s="0" t="s">
        <v>23</v>
      </c>
      <c r="E2547" s="0" t="s">
        <v>6913</v>
      </c>
      <c r="F2547" s="16">
        <f>HYPERLINK("https://eosportal.federatedhermes.com/engagements/RW5nYWdlbWVudAppMzQzOTE=", "Company achieves 2025 zero deforestation")</f>
      </c>
      <c r="G2547" s="14" t="s">
        <v>6914</v>
      </c>
      <c r="H2547" s="0" t="s">
        <v>141</v>
      </c>
      <c r="I2547" s="14" t="s">
        <v>636</v>
      </c>
      <c r="J2547" s="0" t="s">
        <v>197</v>
      </c>
      <c r="K2547" s="0" t="s">
        <v>337</v>
      </c>
      <c r="L2547" s="0" t="s">
        <v>576</v>
      </c>
      <c r="M2547" s="0" t="s">
        <v>272</v>
      </c>
      <c r="N2547" s="0" t="s">
        <v>273</v>
      </c>
      <c r="O2547" s="0" t="s">
        <v>332</v>
      </c>
      <c r="Q2547" s="0" t="s">
        <v>141</v>
      </c>
      <c r="R2547" s="0" t="s">
        <v>130</v>
      </c>
      <c r="S2547" s="14">
        <v>1</v>
      </c>
      <c r="T2547" s="0" t="s">
        <v>446</v>
      </c>
      <c r="U2547" s="0" t="s">
        <v>221</v>
      </c>
      <c r="V2547" s="14" t="s">
        <v>446</v>
      </c>
      <c r="W2547" s="0" t="s">
        <v>221</v>
      </c>
      <c r="X2547" s="14" t="s">
        <v>446</v>
      </c>
      <c r="Y2547" s="0" t="s">
        <v>223</v>
      </c>
      <c r="Z2547" s="14" t="s">
        <v>138</v>
      </c>
      <c r="AA2547" s="0" t="s">
        <v>224</v>
      </c>
      <c r="AB2547" s="14" t="s">
        <v>138</v>
      </c>
      <c r="AD2547" s="0" t="s">
        <v>17</v>
      </c>
      <c r="AF2547" s="0">
        <v>0</v>
      </c>
      <c r="AG2547" s="0">
        <v>0</v>
      </c>
      <c r="AH2547" s="0" t="s">
        <v>140</v>
      </c>
      <c r="AI2547" s="0" t="s">
        <v>598</v>
      </c>
      <c r="AK2547" s="0" t="s">
        <v>2241</v>
      </c>
      <c r="AL2547" s="14"/>
      <c r="AN2547" s="14"/>
      <c r="AQ2547" s="0" t="s">
        <v>130</v>
      </c>
      <c r="AR2547" s="0" t="s">
        <v>141</v>
      </c>
      <c r="AS2547" s="0" t="s">
        <v>130</v>
      </c>
      <c r="AT2547" s="0" t="s">
        <v>130</v>
      </c>
      <c r="AU2547" s="0" t="s">
        <v>130</v>
      </c>
      <c r="AV2547" s="0" t="s">
        <v>130</v>
      </c>
      <c r="AW2547" s="0" t="s">
        <v>130</v>
      </c>
      <c r="AX2547" s="0" t="s">
        <v>130</v>
      </c>
      <c r="AY2547" s="0" t="s">
        <v>130</v>
      </c>
      <c r="AZ2547" s="0" t="s">
        <v>130</v>
      </c>
      <c r="BA2547" s="0" t="s">
        <v>130</v>
      </c>
      <c r="BB2547" s="0" t="s">
        <v>141</v>
      </c>
      <c r="BC2547" s="0" t="s">
        <v>141</v>
      </c>
      <c r="BD2547" s="0" t="s">
        <v>130</v>
      </c>
      <c r="BE2547" s="0" t="s">
        <v>141</v>
      </c>
      <c r="BF2547" s="0" t="s">
        <v>130</v>
      </c>
      <c r="BG2547" s="0" t="s">
        <v>130</v>
      </c>
      <c r="BH2547" s="0" t="s">
        <v>130</v>
      </c>
      <c r="BI2547" s="0" t="s">
        <v>130</v>
      </c>
      <c r="BJ2547" s="0" t="s">
        <v>130</v>
      </c>
      <c r="BK2547" s="0" t="s">
        <v>130</v>
      </c>
      <c r="BL2547" s="0" t="s">
        <v>130</v>
      </c>
      <c r="BM2547" s="0" t="s">
        <v>141</v>
      </c>
      <c r="BN2547" s="0" t="s">
        <v>130</v>
      </c>
      <c r="BO2547" s="0" t="s">
        <v>130</v>
      </c>
      <c r="BP2547" s="0" t="s">
        <v>130</v>
      </c>
      <c r="BQ2547" s="0" t="s">
        <v>130</v>
      </c>
      <c r="BR2547" s="0" t="s">
        <v>130</v>
      </c>
      <c r="BS2547" s="0" t="s">
        <v>130</v>
      </c>
      <c r="BT2547" s="0" t="s">
        <v>130</v>
      </c>
      <c r="BU2547" s="0" t="s">
        <v>130</v>
      </c>
      <c r="BV2547" s="0" t="s">
        <v>130</v>
      </c>
      <c r="BW2547" s="0" t="s">
        <v>130</v>
      </c>
      <c r="BX2547" s="0" t="s">
        <v>130</v>
      </c>
      <c r="BY2547" s="0" t="s">
        <v>130</v>
      </c>
      <c r="BZ2547" s="0" t="s">
        <v>130</v>
      </c>
      <c r="CA2547" s="0" t="s">
        <v>141</v>
      </c>
      <c r="CB2547" s="0" t="s">
        <v>130</v>
      </c>
      <c r="CC2547" s="0" t="s">
        <v>130</v>
      </c>
      <c r="CD2547" s="0" t="s">
        <v>130</v>
      </c>
      <c r="CE2547" s="0" t="s">
        <v>141</v>
      </c>
      <c r="CF2547" s="0" t="s">
        <v>141</v>
      </c>
      <c r="CG2547" s="0" t="s">
        <v>130</v>
      </c>
      <c r="CH2547" s="0" t="s">
        <v>130</v>
      </c>
      <c r="CI2547" s="0" t="s">
        <v>130</v>
      </c>
      <c r="CJ2547" s="0" t="s">
        <v>130</v>
      </c>
      <c r="CK2547" s="0" t="s">
        <v>130</v>
      </c>
      <c r="CL2547" s="0" t="s">
        <v>130</v>
      </c>
      <c r="CM2547" s="0" t="s">
        <v>130</v>
      </c>
      <c r="CN2547" s="0" t="s">
        <v>130</v>
      </c>
      <c r="CO2547" s="0" t="s">
        <v>130</v>
      </c>
      <c r="CP2547" s="0" t="s">
        <v>130</v>
      </c>
      <c r="CQ2547" s="0" t="s">
        <v>130</v>
      </c>
      <c r="CR2547" s="0" t="s">
        <v>130</v>
      </c>
      <c r="CS2547" s="0" t="s">
        <v>130</v>
      </c>
      <c r="CT2547" s="0" t="s">
        <v>6915</v>
      </c>
    </row>
    <row r="2548">
      <c r="A2548" s="14">
        <v>117222</v>
      </c>
      <c r="B2548" s="0" t="s">
        <v>2797</v>
      </c>
      <c r="C2548" s="16">
        <f>HYPERLINK("https://eosportal.federatedhermes.com/companies/Q29tcGFueQppNTkyMTc=", "Samsung Fire &amp; Marine Insurance Co Ltd")</f>
      </c>
      <c r="D2548" s="0" t="s">
        <v>25</v>
      </c>
      <c r="E2548" s="0" t="s">
        <v>968</v>
      </c>
      <c r="F2548" s="16">
        <f>HYPERLINK("https://eosportal.federatedhermes.com/engagements/RW5nYWdlbWVudAppMzQ0MDE=", "Board effectiveness")</f>
      </c>
      <c r="G2548" s="14" t="s">
        <v>6916</v>
      </c>
      <c r="H2548" s="0" t="s">
        <v>130</v>
      </c>
      <c r="I2548" s="14" t="s">
        <v>319</v>
      </c>
      <c r="J2548" s="0" t="s">
        <v>145</v>
      </c>
      <c r="K2548" s="0" t="s">
        <v>164</v>
      </c>
      <c r="L2548" s="0" t="s">
        <v>165</v>
      </c>
      <c r="M2548" s="0" t="s">
        <v>802</v>
      </c>
      <c r="N2548" s="0" t="s">
        <v>2800</v>
      </c>
      <c r="O2548" s="0" t="s">
        <v>238</v>
      </c>
      <c r="Q2548" s="0" t="s">
        <v>141</v>
      </c>
      <c r="R2548" s="0" t="s">
        <v>138</v>
      </c>
      <c r="S2548" s="14">
        <v>1</v>
      </c>
      <c r="T2548" s="0" t="s">
        <v>3562</v>
      </c>
      <c r="U2548" s="0" t="s">
        <v>138</v>
      </c>
      <c r="V2548" s="14" t="s">
        <v>138</v>
      </c>
      <c r="W2548" s="0" t="s">
        <v>138</v>
      </c>
      <c r="X2548" s="14" t="s">
        <v>138</v>
      </c>
      <c r="Y2548" s="0" t="s">
        <v>138</v>
      </c>
      <c r="Z2548" s="14" t="s">
        <v>138</v>
      </c>
      <c r="AA2548" s="0" t="s">
        <v>138</v>
      </c>
      <c r="AB2548" s="14" t="s">
        <v>138</v>
      </c>
      <c r="AD2548" s="0" t="s">
        <v>138</v>
      </c>
      <c r="AF2548" s="0">
        <v>0</v>
      </c>
      <c r="AG2548" s="0">
        <v>0</v>
      </c>
      <c r="AH2548" s="0" t="s">
        <v>140</v>
      </c>
      <c r="AI2548" s="0" t="s">
        <v>138</v>
      </c>
      <c r="AK2548" s="0" t="s">
        <v>1151</v>
      </c>
      <c r="AL2548" s="14"/>
      <c r="AN2548" s="14"/>
      <c r="AQ2548" s="0" t="s">
        <v>130</v>
      </c>
      <c r="AR2548" s="0" t="s">
        <v>130</v>
      </c>
      <c r="AS2548" s="0" t="s">
        <v>130</v>
      </c>
      <c r="AT2548" s="0" t="s">
        <v>130</v>
      </c>
      <c r="AU2548" s="0" t="s">
        <v>130</v>
      </c>
      <c r="AV2548" s="0" t="s">
        <v>130</v>
      </c>
      <c r="AW2548" s="0" t="s">
        <v>130</v>
      </c>
      <c r="AX2548" s="0" t="s">
        <v>130</v>
      </c>
      <c r="AY2548" s="0" t="s">
        <v>130</v>
      </c>
      <c r="AZ2548" s="0" t="s">
        <v>130</v>
      </c>
      <c r="BA2548" s="0" t="s">
        <v>130</v>
      </c>
      <c r="BB2548" s="0" t="s">
        <v>130</v>
      </c>
      <c r="BC2548" s="0" t="s">
        <v>130</v>
      </c>
      <c r="BD2548" s="0" t="s">
        <v>130</v>
      </c>
      <c r="BE2548" s="0" t="s">
        <v>130</v>
      </c>
      <c r="BF2548" s="0" t="s">
        <v>130</v>
      </c>
      <c r="BG2548" s="0" t="s">
        <v>130</v>
      </c>
      <c r="BH2548" s="0" t="s">
        <v>130</v>
      </c>
      <c r="BI2548" s="0" t="s">
        <v>130</v>
      </c>
      <c r="BJ2548" s="0" t="s">
        <v>130</v>
      </c>
      <c r="BK2548" s="0" t="s">
        <v>130</v>
      </c>
      <c r="BL2548" s="0" t="s">
        <v>130</v>
      </c>
      <c r="BM2548" s="0" t="s">
        <v>130</v>
      </c>
      <c r="BN2548" s="0" t="s">
        <v>130</v>
      </c>
      <c r="BO2548" s="0" t="s">
        <v>130</v>
      </c>
      <c r="BP2548" s="0" t="s">
        <v>130</v>
      </c>
      <c r="BQ2548" s="0" t="s">
        <v>130</v>
      </c>
      <c r="BR2548" s="0" t="s">
        <v>130</v>
      </c>
      <c r="BS2548" s="0" t="s">
        <v>130</v>
      </c>
      <c r="BT2548" s="0" t="s">
        <v>130</v>
      </c>
      <c r="BU2548" s="0" t="s">
        <v>130</v>
      </c>
      <c r="BV2548" s="0" t="s">
        <v>130</v>
      </c>
      <c r="BW2548" s="0" t="s">
        <v>130</v>
      </c>
      <c r="BX2548" s="0" t="s">
        <v>130</v>
      </c>
      <c r="BY2548" s="0" t="s">
        <v>130</v>
      </c>
      <c r="BZ2548" s="0" t="s">
        <v>130</v>
      </c>
      <c r="CA2548" s="0" t="s">
        <v>130</v>
      </c>
      <c r="CB2548" s="0" t="s">
        <v>130</v>
      </c>
      <c r="CC2548" s="0" t="s">
        <v>130</v>
      </c>
      <c r="CD2548" s="0" t="s">
        <v>130</v>
      </c>
      <c r="CE2548" s="0" t="s">
        <v>130</v>
      </c>
      <c r="CF2548" s="0" t="s">
        <v>130</v>
      </c>
      <c r="CG2548" s="0" t="s">
        <v>130</v>
      </c>
      <c r="CH2548" s="0" t="s">
        <v>130</v>
      </c>
      <c r="CI2548" s="0" t="s">
        <v>130</v>
      </c>
      <c r="CJ2548" s="0" t="s">
        <v>130</v>
      </c>
      <c r="CK2548" s="0" t="s">
        <v>130</v>
      </c>
      <c r="CL2548" s="0" t="s">
        <v>130</v>
      </c>
      <c r="CM2548" s="0" t="s">
        <v>130</v>
      </c>
      <c r="CN2548" s="0" t="s">
        <v>130</v>
      </c>
      <c r="CO2548" s="0" t="s">
        <v>130</v>
      </c>
      <c r="CP2548" s="0" t="s">
        <v>130</v>
      </c>
      <c r="CQ2548" s="0" t="s">
        <v>130</v>
      </c>
      <c r="CR2548" s="0" t="s">
        <v>130</v>
      </c>
      <c r="CS2548" s="0" t="s">
        <v>130</v>
      </c>
      <c r="CT2548" s="0" t="s">
        <v>6917</v>
      </c>
    </row>
    <row r="2549">
      <c r="A2549" s="14">
        <v>117400</v>
      </c>
      <c r="B2549" s="0" t="s">
        <v>2831</v>
      </c>
      <c r="C2549" s="16">
        <f>HYPERLINK("https://eosportal.federatedhermes.com/companies/Q29tcGFueQppNzE3MDY=", "Alpha Services and Holdings SA")</f>
      </c>
      <c r="D2549" s="0" t="s">
        <v>25</v>
      </c>
      <c r="E2549" s="0" t="s">
        <v>6918</v>
      </c>
      <c r="F2549" s="16">
        <f>HYPERLINK("https://eosportal.federatedhermes.com/engagements/RW5nYWdlbWVudAppMzQ0Mzg=", "Nature-Related Risks and Opportunities")</f>
      </c>
      <c r="G2549" s="14" t="s">
        <v>6919</v>
      </c>
      <c r="H2549" s="0" t="s">
        <v>130</v>
      </c>
      <c r="I2549" s="14" t="s">
        <v>131</v>
      </c>
      <c r="J2549" s="0" t="s">
        <v>197</v>
      </c>
      <c r="K2549" s="0" t="s">
        <v>337</v>
      </c>
      <c r="L2549" s="0" t="s">
        <v>576</v>
      </c>
      <c r="M2549" s="0" t="s">
        <v>378</v>
      </c>
      <c r="N2549" s="0" t="s">
        <v>2834</v>
      </c>
      <c r="O2549" s="0" t="s">
        <v>238</v>
      </c>
      <c r="Q2549" s="0" t="s">
        <v>130</v>
      </c>
      <c r="R2549" s="0" t="s">
        <v>138</v>
      </c>
      <c r="S2549" s="14">
        <v>0</v>
      </c>
      <c r="T2549" s="0" t="s">
        <v>446</v>
      </c>
      <c r="U2549" s="0" t="s">
        <v>138</v>
      </c>
      <c r="V2549" s="14" t="s">
        <v>138</v>
      </c>
      <c r="W2549" s="0" t="s">
        <v>138</v>
      </c>
      <c r="X2549" s="14" t="s">
        <v>138</v>
      </c>
      <c r="Y2549" s="0" t="s">
        <v>138</v>
      </c>
      <c r="Z2549" s="14" t="s">
        <v>138</v>
      </c>
      <c r="AA2549" s="0" t="s">
        <v>138</v>
      </c>
      <c r="AB2549" s="14" t="s">
        <v>138</v>
      </c>
      <c r="AD2549" s="0" t="s">
        <v>138</v>
      </c>
      <c r="AF2549" s="0">
        <v>0</v>
      </c>
      <c r="AG2549" s="0">
        <v>0</v>
      </c>
      <c r="AH2549" s="0" t="s">
        <v>140</v>
      </c>
      <c r="AI2549" s="0" t="s">
        <v>138</v>
      </c>
      <c r="AL2549" s="14"/>
      <c r="AN2549" s="14"/>
      <c r="AQ2549" s="0" t="s">
        <v>130</v>
      </c>
      <c r="AR2549" s="0" t="s">
        <v>130</v>
      </c>
      <c r="AS2549" s="0" t="s">
        <v>130</v>
      </c>
      <c r="AT2549" s="0" t="s">
        <v>130</v>
      </c>
      <c r="AU2549" s="0" t="s">
        <v>130</v>
      </c>
      <c r="AV2549" s="0" t="s">
        <v>141</v>
      </c>
      <c r="AW2549" s="0" t="s">
        <v>130</v>
      </c>
      <c r="AX2549" s="0" t="s">
        <v>130</v>
      </c>
      <c r="AY2549" s="0" t="s">
        <v>130</v>
      </c>
      <c r="AZ2549" s="0" t="s">
        <v>130</v>
      </c>
      <c r="BA2549" s="0" t="s">
        <v>130</v>
      </c>
      <c r="BB2549" s="0" t="s">
        <v>141</v>
      </c>
      <c r="BC2549" s="0" t="s">
        <v>130</v>
      </c>
      <c r="BD2549" s="0" t="s">
        <v>130</v>
      </c>
      <c r="BE2549" s="0" t="s">
        <v>141</v>
      </c>
      <c r="BF2549" s="0" t="s">
        <v>130</v>
      </c>
      <c r="BG2549" s="0" t="s">
        <v>130</v>
      </c>
      <c r="BH2549" s="0" t="s">
        <v>130</v>
      </c>
      <c r="BI2549" s="0" t="s">
        <v>130</v>
      </c>
      <c r="BJ2549" s="0" t="s">
        <v>130</v>
      </c>
      <c r="BK2549" s="0" t="s">
        <v>130</v>
      </c>
      <c r="BL2549" s="0" t="s">
        <v>130</v>
      </c>
      <c r="BM2549" s="0" t="s">
        <v>141</v>
      </c>
      <c r="BN2549" s="0" t="s">
        <v>130</v>
      </c>
      <c r="BO2549" s="0" t="s">
        <v>130</v>
      </c>
      <c r="BP2549" s="0" t="s">
        <v>130</v>
      </c>
      <c r="BQ2549" s="0" t="s">
        <v>130</v>
      </c>
      <c r="BR2549" s="0" t="s">
        <v>130</v>
      </c>
      <c r="BS2549" s="0" t="s">
        <v>130</v>
      </c>
      <c r="BT2549" s="0" t="s">
        <v>130</v>
      </c>
      <c r="BU2549" s="0" t="s">
        <v>130</v>
      </c>
      <c r="BV2549" s="0" t="s">
        <v>130</v>
      </c>
      <c r="BW2549" s="0" t="s">
        <v>130</v>
      </c>
      <c r="BX2549" s="0" t="s">
        <v>130</v>
      </c>
      <c r="BY2549" s="0" t="s">
        <v>130</v>
      </c>
      <c r="BZ2549" s="0" t="s">
        <v>130</v>
      </c>
      <c r="CA2549" s="0" t="s">
        <v>130</v>
      </c>
      <c r="CB2549" s="0" t="s">
        <v>130</v>
      </c>
      <c r="CC2549" s="0" t="s">
        <v>130</v>
      </c>
      <c r="CD2549" s="0" t="s">
        <v>130</v>
      </c>
      <c r="CE2549" s="0" t="s">
        <v>141</v>
      </c>
      <c r="CF2549" s="0" t="s">
        <v>130</v>
      </c>
      <c r="CG2549" s="0" t="s">
        <v>130</v>
      </c>
      <c r="CH2549" s="0" t="s">
        <v>130</v>
      </c>
      <c r="CI2549" s="0" t="s">
        <v>130</v>
      </c>
      <c r="CJ2549" s="0" t="s">
        <v>130</v>
      </c>
      <c r="CK2549" s="0" t="s">
        <v>130</v>
      </c>
      <c r="CL2549" s="0" t="s">
        <v>130</v>
      </c>
      <c r="CM2549" s="0" t="s">
        <v>130</v>
      </c>
      <c r="CN2549" s="0" t="s">
        <v>130</v>
      </c>
      <c r="CO2549" s="0" t="s">
        <v>130</v>
      </c>
      <c r="CP2549" s="0" t="s">
        <v>130</v>
      </c>
      <c r="CQ2549" s="0" t="s">
        <v>130</v>
      </c>
      <c r="CR2549" s="0" t="s">
        <v>130</v>
      </c>
      <c r="CS2549" s="0" t="s">
        <v>130</v>
      </c>
      <c r="CT2549" s="0" t="s">
        <v>6920</v>
      </c>
    </row>
    <row r="2550">
      <c r="A2550" s="14">
        <v>117400</v>
      </c>
      <c r="B2550" s="0" t="s">
        <v>2831</v>
      </c>
      <c r="C2550" s="16">
        <f>HYPERLINK("https://eosportal.federatedhermes.com/companies/Q29tcGFueQppNzE3MDY=", "Alpha Services and Holdings SA")</f>
      </c>
      <c r="D2550" s="0" t="s">
        <v>25</v>
      </c>
      <c r="E2550" s="0" t="s">
        <v>6921</v>
      </c>
      <c r="F2550" s="16">
        <f>HYPERLINK("https://eosportal.federatedhermes.com/engagements/RW5nYWdlbWVudAppMzQ0NDA=", "Physical Climate Risk Strategy &amp; Disclosures")</f>
      </c>
      <c r="G2550" s="14" t="s">
        <v>6922</v>
      </c>
      <c r="H2550" s="0" t="s">
        <v>130</v>
      </c>
      <c r="I2550" s="14" t="s">
        <v>131</v>
      </c>
      <c r="J2550" s="0" t="s">
        <v>197</v>
      </c>
      <c r="K2550" s="0" t="s">
        <v>198</v>
      </c>
      <c r="L2550" s="0" t="s">
        <v>682</v>
      </c>
      <c r="M2550" s="0" t="s">
        <v>378</v>
      </c>
      <c r="N2550" s="0" t="s">
        <v>2834</v>
      </c>
      <c r="O2550" s="0" t="s">
        <v>238</v>
      </c>
      <c r="Q2550" s="0" t="s">
        <v>130</v>
      </c>
      <c r="R2550" s="0" t="s">
        <v>138</v>
      </c>
      <c r="S2550" s="14">
        <v>0</v>
      </c>
      <c r="T2550" s="0" t="s">
        <v>446</v>
      </c>
      <c r="U2550" s="0" t="s">
        <v>138</v>
      </c>
      <c r="V2550" s="14" t="s">
        <v>138</v>
      </c>
      <c r="W2550" s="0" t="s">
        <v>138</v>
      </c>
      <c r="X2550" s="14" t="s">
        <v>138</v>
      </c>
      <c r="Y2550" s="0" t="s">
        <v>138</v>
      </c>
      <c r="Z2550" s="14" t="s">
        <v>138</v>
      </c>
      <c r="AA2550" s="0" t="s">
        <v>138</v>
      </c>
      <c r="AB2550" s="14" t="s">
        <v>138</v>
      </c>
      <c r="AD2550" s="0" t="s">
        <v>138</v>
      </c>
      <c r="AF2550" s="0">
        <v>0</v>
      </c>
      <c r="AG2550" s="0">
        <v>0</v>
      </c>
      <c r="AH2550" s="0" t="s">
        <v>140</v>
      </c>
      <c r="AI2550" s="0" t="s">
        <v>138</v>
      </c>
      <c r="AL2550" s="14"/>
      <c r="AN2550" s="14"/>
      <c r="AQ2550" s="0" t="s">
        <v>130</v>
      </c>
      <c r="AR2550" s="0" t="s">
        <v>130</v>
      </c>
      <c r="AS2550" s="0" t="s">
        <v>130</v>
      </c>
      <c r="AT2550" s="0" t="s">
        <v>130</v>
      </c>
      <c r="AU2550" s="0" t="s">
        <v>130</v>
      </c>
      <c r="AV2550" s="0" t="s">
        <v>130</v>
      </c>
      <c r="AW2550" s="0" t="s">
        <v>130</v>
      </c>
      <c r="AX2550" s="0" t="s">
        <v>130</v>
      </c>
      <c r="AY2550" s="0" t="s">
        <v>130</v>
      </c>
      <c r="AZ2550" s="0" t="s">
        <v>130</v>
      </c>
      <c r="BA2550" s="0" t="s">
        <v>130</v>
      </c>
      <c r="BB2550" s="0" t="s">
        <v>130</v>
      </c>
      <c r="BC2550" s="0" t="s">
        <v>141</v>
      </c>
      <c r="BD2550" s="0" t="s">
        <v>130</v>
      </c>
      <c r="BE2550" s="0" t="s">
        <v>130</v>
      </c>
      <c r="BF2550" s="0" t="s">
        <v>130</v>
      </c>
      <c r="BG2550" s="0" t="s">
        <v>130</v>
      </c>
      <c r="BH2550" s="0" t="s">
        <v>130</v>
      </c>
      <c r="BI2550" s="0" t="s">
        <v>130</v>
      </c>
      <c r="BJ2550" s="0" t="s">
        <v>130</v>
      </c>
      <c r="BK2550" s="0" t="s">
        <v>130</v>
      </c>
      <c r="BL2550" s="0" t="s">
        <v>130</v>
      </c>
      <c r="BM2550" s="0" t="s">
        <v>130</v>
      </c>
      <c r="BN2550" s="0" t="s">
        <v>130</v>
      </c>
      <c r="BO2550" s="0" t="s">
        <v>130</v>
      </c>
      <c r="BP2550" s="0" t="s">
        <v>130</v>
      </c>
      <c r="BQ2550" s="0" t="s">
        <v>130</v>
      </c>
      <c r="BR2550" s="0" t="s">
        <v>130</v>
      </c>
      <c r="BS2550" s="0" t="s">
        <v>130</v>
      </c>
      <c r="BT2550" s="0" t="s">
        <v>130</v>
      </c>
      <c r="BU2550" s="0" t="s">
        <v>130</v>
      </c>
      <c r="BV2550" s="0" t="s">
        <v>130</v>
      </c>
      <c r="BW2550" s="0" t="s">
        <v>130</v>
      </c>
      <c r="BX2550" s="0" t="s">
        <v>130</v>
      </c>
      <c r="BY2550" s="0" t="s">
        <v>130</v>
      </c>
      <c r="BZ2550" s="0" t="s">
        <v>130</v>
      </c>
      <c r="CA2550" s="0" t="s">
        <v>130</v>
      </c>
      <c r="CB2550" s="0" t="s">
        <v>130</v>
      </c>
      <c r="CC2550" s="0" t="s">
        <v>130</v>
      </c>
      <c r="CD2550" s="0" t="s">
        <v>130</v>
      </c>
      <c r="CE2550" s="0" t="s">
        <v>130</v>
      </c>
      <c r="CF2550" s="0" t="s">
        <v>130</v>
      </c>
      <c r="CG2550" s="0" t="s">
        <v>130</v>
      </c>
      <c r="CH2550" s="0" t="s">
        <v>130</v>
      </c>
      <c r="CI2550" s="0" t="s">
        <v>130</v>
      </c>
      <c r="CJ2550" s="0" t="s">
        <v>130</v>
      </c>
      <c r="CK2550" s="0" t="s">
        <v>130</v>
      </c>
      <c r="CL2550" s="0" t="s">
        <v>130</v>
      </c>
      <c r="CM2550" s="0" t="s">
        <v>130</v>
      </c>
      <c r="CN2550" s="0" t="s">
        <v>130</v>
      </c>
      <c r="CO2550" s="0" t="s">
        <v>130</v>
      </c>
      <c r="CP2550" s="0" t="s">
        <v>130</v>
      </c>
      <c r="CQ2550" s="0" t="s">
        <v>130</v>
      </c>
      <c r="CR2550" s="0" t="s">
        <v>130</v>
      </c>
      <c r="CS2550" s="0" t="s">
        <v>130</v>
      </c>
      <c r="CT2550" s="0" t="s">
        <v>6923</v>
      </c>
    </row>
    <row r="2551">
      <c r="A2551" s="14">
        <v>153693</v>
      </c>
      <c r="B2551" s="0" t="s">
        <v>2920</v>
      </c>
      <c r="C2551" s="16">
        <f>HYPERLINK("https://eosportal.federatedhermes.com/companies/Q29tcGFueQppNDYwMzI=", "Fortescue Ltd")</f>
      </c>
      <c r="D2551" s="0" t="s">
        <v>25</v>
      </c>
      <c r="E2551" s="0" t="s">
        <v>6924</v>
      </c>
      <c r="F2551" s="16">
        <f>HYPERLINK("https://eosportal.federatedhermes.com/engagements/RW5nYWdlbWVudAppMzQ0NDg=", "Independence of chairman")</f>
      </c>
      <c r="G2551" s="14" t="s">
        <v>6925</v>
      </c>
      <c r="H2551" s="0" t="s">
        <v>130</v>
      </c>
      <c r="I2551" s="14" t="s">
        <v>131</v>
      </c>
      <c r="J2551" s="0" t="s">
        <v>145</v>
      </c>
      <c r="K2551" s="0" t="s">
        <v>164</v>
      </c>
      <c r="L2551" s="0" t="s">
        <v>165</v>
      </c>
      <c r="M2551" s="0" t="s">
        <v>371</v>
      </c>
      <c r="N2551" s="0" t="s">
        <v>372</v>
      </c>
      <c r="O2551" s="0" t="s">
        <v>373</v>
      </c>
      <c r="Q2551" s="0" t="s">
        <v>141</v>
      </c>
      <c r="R2551" s="0" t="s">
        <v>138</v>
      </c>
      <c r="S2551" s="14">
        <v>1</v>
      </c>
      <c r="T2551" s="0" t="s">
        <v>446</v>
      </c>
      <c r="U2551" s="0" t="s">
        <v>138</v>
      </c>
      <c r="V2551" s="14" t="s">
        <v>138</v>
      </c>
      <c r="W2551" s="0" t="s">
        <v>138</v>
      </c>
      <c r="X2551" s="14" t="s">
        <v>138</v>
      </c>
      <c r="Y2551" s="0" t="s">
        <v>138</v>
      </c>
      <c r="Z2551" s="14" t="s">
        <v>138</v>
      </c>
      <c r="AA2551" s="0" t="s">
        <v>138</v>
      </c>
      <c r="AB2551" s="14" t="s">
        <v>138</v>
      </c>
      <c r="AD2551" s="0" t="s">
        <v>138</v>
      </c>
      <c r="AF2551" s="0">
        <v>0</v>
      </c>
      <c r="AG2551" s="0">
        <v>0</v>
      </c>
      <c r="AH2551" s="0" t="s">
        <v>140</v>
      </c>
      <c r="AI2551" s="0" t="s">
        <v>138</v>
      </c>
      <c r="AK2551" s="0" t="s">
        <v>2019</v>
      </c>
      <c r="AL2551" s="14"/>
      <c r="AN2551" s="14"/>
      <c r="AQ2551" s="0" t="s">
        <v>130</v>
      </c>
      <c r="AR2551" s="0" t="s">
        <v>130</v>
      </c>
      <c r="AS2551" s="0" t="s">
        <v>130</v>
      </c>
      <c r="AT2551" s="0" t="s">
        <v>130</v>
      </c>
      <c r="AU2551" s="0" t="s">
        <v>141</v>
      </c>
      <c r="AV2551" s="0" t="s">
        <v>130</v>
      </c>
      <c r="AW2551" s="0" t="s">
        <v>130</v>
      </c>
      <c r="AX2551" s="0" t="s">
        <v>130</v>
      </c>
      <c r="AY2551" s="0" t="s">
        <v>130</v>
      </c>
      <c r="AZ2551" s="0" t="s">
        <v>141</v>
      </c>
      <c r="BA2551" s="0" t="s">
        <v>130</v>
      </c>
      <c r="BB2551" s="0" t="s">
        <v>130</v>
      </c>
      <c r="BC2551" s="0" t="s">
        <v>130</v>
      </c>
      <c r="BD2551" s="0" t="s">
        <v>130</v>
      </c>
      <c r="BE2551" s="0" t="s">
        <v>130</v>
      </c>
      <c r="BF2551" s="0" t="s">
        <v>130</v>
      </c>
      <c r="BG2551" s="0" t="s">
        <v>130</v>
      </c>
      <c r="BH2551" s="0" t="s">
        <v>130</v>
      </c>
      <c r="BI2551" s="0" t="s">
        <v>130</v>
      </c>
      <c r="BJ2551" s="0" t="s">
        <v>130</v>
      </c>
      <c r="BK2551" s="0" t="s">
        <v>130</v>
      </c>
      <c r="BL2551" s="0" t="s">
        <v>130</v>
      </c>
      <c r="BM2551" s="0" t="s">
        <v>130</v>
      </c>
      <c r="BN2551" s="0" t="s">
        <v>130</v>
      </c>
      <c r="BO2551" s="0" t="s">
        <v>130</v>
      </c>
      <c r="BP2551" s="0" t="s">
        <v>130</v>
      </c>
      <c r="BQ2551" s="0" t="s">
        <v>130</v>
      </c>
      <c r="BR2551" s="0" t="s">
        <v>130</v>
      </c>
      <c r="BS2551" s="0" t="s">
        <v>130</v>
      </c>
      <c r="BT2551" s="0" t="s">
        <v>130</v>
      </c>
      <c r="BU2551" s="0" t="s">
        <v>130</v>
      </c>
      <c r="BV2551" s="0" t="s">
        <v>130</v>
      </c>
      <c r="BW2551" s="0" t="s">
        <v>130</v>
      </c>
      <c r="BX2551" s="0" t="s">
        <v>130</v>
      </c>
      <c r="BY2551" s="0" t="s">
        <v>130</v>
      </c>
      <c r="BZ2551" s="0" t="s">
        <v>130</v>
      </c>
      <c r="CA2551" s="0" t="s">
        <v>130</v>
      </c>
      <c r="CB2551" s="0" t="s">
        <v>130</v>
      </c>
      <c r="CC2551" s="0" t="s">
        <v>130</v>
      </c>
      <c r="CD2551" s="0" t="s">
        <v>130</v>
      </c>
      <c r="CE2551" s="0" t="s">
        <v>130</v>
      </c>
      <c r="CF2551" s="0" t="s">
        <v>130</v>
      </c>
      <c r="CG2551" s="0" t="s">
        <v>130</v>
      </c>
      <c r="CH2551" s="0" t="s">
        <v>130</v>
      </c>
      <c r="CI2551" s="0" t="s">
        <v>130</v>
      </c>
      <c r="CJ2551" s="0" t="s">
        <v>130</v>
      </c>
      <c r="CK2551" s="0" t="s">
        <v>130</v>
      </c>
      <c r="CL2551" s="0" t="s">
        <v>130</v>
      </c>
      <c r="CM2551" s="0" t="s">
        <v>130</v>
      </c>
      <c r="CN2551" s="0" t="s">
        <v>130</v>
      </c>
      <c r="CO2551" s="0" t="s">
        <v>130</v>
      </c>
      <c r="CP2551" s="0" t="s">
        <v>130</v>
      </c>
      <c r="CQ2551" s="0" t="s">
        <v>130</v>
      </c>
      <c r="CR2551" s="0" t="s">
        <v>130</v>
      </c>
      <c r="CS2551" s="0" t="s">
        <v>130</v>
      </c>
      <c r="CT2551" s="0" t="s">
        <v>6926</v>
      </c>
    </row>
    <row r="2552">
      <c r="A2552" s="14">
        <v>107570</v>
      </c>
      <c r="B2552" s="0" t="s">
        <v>2153</v>
      </c>
      <c r="C2552" s="16">
        <f>HYPERLINK("https://eosportal.federatedhermes.com/companies/Q29tcGFueQppNDQxMjE=", "Waste Management Inc")</f>
      </c>
      <c r="D2552" s="0" t="s">
        <v>23</v>
      </c>
      <c r="E2552" s="0" t="s">
        <v>228</v>
      </c>
      <c r="F2552" s="16">
        <f>HYPERLINK("https://eosportal.federatedhermes.com/engagements/RW5nYWdlbWVudAppMzQ0NTQ=", "Climate strategy")</f>
      </c>
      <c r="G2552" s="14" t="s">
        <v>477</v>
      </c>
      <c r="H2552" s="0" t="s">
        <v>141</v>
      </c>
      <c r="I2552" s="14" t="s">
        <v>131</v>
      </c>
      <c r="J2552" s="0" t="s">
        <v>197</v>
      </c>
      <c r="K2552" s="0" t="s">
        <v>198</v>
      </c>
      <c r="L2552" s="0" t="s">
        <v>220</v>
      </c>
      <c r="M2552" s="0" t="s">
        <v>135</v>
      </c>
      <c r="N2552" s="0" t="s">
        <v>136</v>
      </c>
      <c r="O2552" s="0" t="s">
        <v>176</v>
      </c>
      <c r="Q2552" s="0" t="s">
        <v>141</v>
      </c>
      <c r="R2552" s="0" t="s">
        <v>130</v>
      </c>
      <c r="S2552" s="14">
        <v>1</v>
      </c>
      <c r="T2552" s="0" t="s">
        <v>446</v>
      </c>
      <c r="U2552" s="0" t="s">
        <v>221</v>
      </c>
      <c r="V2552" s="14" t="s">
        <v>446</v>
      </c>
      <c r="W2552" s="0" t="s">
        <v>221</v>
      </c>
      <c r="X2552" s="14" t="s">
        <v>446</v>
      </c>
      <c r="Y2552" s="0" t="s">
        <v>223</v>
      </c>
      <c r="Z2552" s="14" t="s">
        <v>138</v>
      </c>
      <c r="AA2552" s="0" t="s">
        <v>224</v>
      </c>
      <c r="AB2552" s="14" t="s">
        <v>138</v>
      </c>
      <c r="AD2552" s="0" t="s">
        <v>17</v>
      </c>
      <c r="AF2552" s="0">
        <v>0</v>
      </c>
      <c r="AG2552" s="0">
        <v>0</v>
      </c>
      <c r="AH2552" s="0" t="s">
        <v>140</v>
      </c>
      <c r="AI2552" s="0" t="s">
        <v>598</v>
      </c>
      <c r="AK2552" s="0" t="s">
        <v>1470</v>
      </c>
      <c r="AL2552" s="14"/>
      <c r="AN2552" s="14"/>
      <c r="AQ2552" s="0" t="s">
        <v>130</v>
      </c>
      <c r="AR2552" s="0" t="s">
        <v>130</v>
      </c>
      <c r="AS2552" s="0" t="s">
        <v>130</v>
      </c>
      <c r="AT2552" s="0" t="s">
        <v>130</v>
      </c>
      <c r="AU2552" s="0" t="s">
        <v>130</v>
      </c>
      <c r="AV2552" s="0" t="s">
        <v>130</v>
      </c>
      <c r="AW2552" s="0" t="s">
        <v>141</v>
      </c>
      <c r="AX2552" s="0" t="s">
        <v>130</v>
      </c>
      <c r="AY2552" s="0" t="s">
        <v>141</v>
      </c>
      <c r="AZ2552" s="0" t="s">
        <v>130</v>
      </c>
      <c r="BA2552" s="0" t="s">
        <v>130</v>
      </c>
      <c r="BB2552" s="0" t="s">
        <v>130</v>
      </c>
      <c r="BC2552" s="0" t="s">
        <v>141</v>
      </c>
      <c r="BD2552" s="0" t="s">
        <v>130</v>
      </c>
      <c r="BE2552" s="0" t="s">
        <v>130</v>
      </c>
      <c r="BF2552" s="0" t="s">
        <v>130</v>
      </c>
      <c r="BG2552" s="0" t="s">
        <v>130</v>
      </c>
      <c r="BH2552" s="0" t="s">
        <v>141</v>
      </c>
      <c r="BI2552" s="0" t="s">
        <v>141</v>
      </c>
      <c r="BJ2552" s="0" t="s">
        <v>141</v>
      </c>
      <c r="BK2552" s="0" t="s">
        <v>130</v>
      </c>
      <c r="BL2552" s="0" t="s">
        <v>130</v>
      </c>
      <c r="BM2552" s="0" t="s">
        <v>130</v>
      </c>
      <c r="BN2552" s="0" t="s">
        <v>130</v>
      </c>
      <c r="BO2552" s="0" t="s">
        <v>130</v>
      </c>
      <c r="BP2552" s="0" t="s">
        <v>130</v>
      </c>
      <c r="BQ2552" s="0" t="s">
        <v>130</v>
      </c>
      <c r="BR2552" s="0" t="s">
        <v>130</v>
      </c>
      <c r="BS2552" s="0" t="s">
        <v>130</v>
      </c>
      <c r="BT2552" s="0" t="s">
        <v>130</v>
      </c>
      <c r="BU2552" s="0" t="s">
        <v>130</v>
      </c>
      <c r="BV2552" s="0" t="s">
        <v>141</v>
      </c>
      <c r="BW2552" s="0" t="s">
        <v>141</v>
      </c>
      <c r="BX2552" s="0" t="s">
        <v>130</v>
      </c>
      <c r="BY2552" s="0" t="s">
        <v>130</v>
      </c>
      <c r="BZ2552" s="0" t="s">
        <v>130</v>
      </c>
      <c r="CA2552" s="0" t="s">
        <v>130</v>
      </c>
      <c r="CB2552" s="0" t="s">
        <v>130</v>
      </c>
      <c r="CC2552" s="0" t="s">
        <v>130</v>
      </c>
      <c r="CD2552" s="0" t="s">
        <v>130</v>
      </c>
      <c r="CE2552" s="0" t="s">
        <v>130</v>
      </c>
      <c r="CF2552" s="0" t="s">
        <v>130</v>
      </c>
      <c r="CG2552" s="0" t="s">
        <v>130</v>
      </c>
      <c r="CH2552" s="0" t="s">
        <v>130</v>
      </c>
      <c r="CI2552" s="0" t="s">
        <v>130</v>
      </c>
      <c r="CJ2552" s="0" t="s">
        <v>130</v>
      </c>
      <c r="CK2552" s="0" t="s">
        <v>130</v>
      </c>
      <c r="CL2552" s="0" t="s">
        <v>130</v>
      </c>
      <c r="CM2552" s="0" t="s">
        <v>130</v>
      </c>
      <c r="CN2552" s="0" t="s">
        <v>130</v>
      </c>
      <c r="CO2552" s="0" t="s">
        <v>130</v>
      </c>
      <c r="CP2552" s="0" t="s">
        <v>130</v>
      </c>
      <c r="CQ2552" s="0" t="s">
        <v>130</v>
      </c>
      <c r="CR2552" s="0" t="s">
        <v>130</v>
      </c>
      <c r="CS2552" s="0" t="s">
        <v>130</v>
      </c>
      <c r="CT2552" s="0" t="s">
        <v>6927</v>
      </c>
    </row>
    <row r="2553">
      <c r="A2553" s="14">
        <v>344500</v>
      </c>
      <c r="B2553" s="0" t="s">
        <v>3697</v>
      </c>
      <c r="C2553" s="16">
        <f>HYPERLINK("https://eosportal.federatedhermes.com/companies/Q29tcGFueQppNjY1MDA=", "Republic Services Inc")</f>
      </c>
      <c r="D2553" s="0" t="s">
        <v>23</v>
      </c>
      <c r="E2553" s="0" t="s">
        <v>228</v>
      </c>
      <c r="F2553" s="16">
        <f>HYPERLINK("https://eosportal.federatedhermes.com/engagements/RW5nYWdlbWVudAppMzQ0NTc=", "Climate strategy")</f>
      </c>
      <c r="G2553" s="14" t="s">
        <v>6928</v>
      </c>
      <c r="H2553" s="0" t="s">
        <v>130</v>
      </c>
      <c r="I2553" s="14" t="s">
        <v>319</v>
      </c>
      <c r="J2553" s="0" t="s">
        <v>197</v>
      </c>
      <c r="K2553" s="0" t="s">
        <v>198</v>
      </c>
      <c r="L2553" s="0" t="s">
        <v>220</v>
      </c>
      <c r="M2553" s="0" t="s">
        <v>135</v>
      </c>
      <c r="N2553" s="0" t="s">
        <v>136</v>
      </c>
      <c r="O2553" s="0" t="s">
        <v>176</v>
      </c>
      <c r="Q2553" s="0" t="s">
        <v>141</v>
      </c>
      <c r="R2553" s="0" t="s">
        <v>130</v>
      </c>
      <c r="S2553" s="14">
        <v>1</v>
      </c>
      <c r="T2553" s="0" t="s">
        <v>446</v>
      </c>
      <c r="U2553" s="0" t="s">
        <v>221</v>
      </c>
      <c r="V2553" s="14" t="s">
        <v>446</v>
      </c>
      <c r="W2553" s="0" t="s">
        <v>223</v>
      </c>
      <c r="X2553" s="14" t="s">
        <v>138</v>
      </c>
      <c r="Y2553" s="0" t="s">
        <v>224</v>
      </c>
      <c r="Z2553" s="14" t="s">
        <v>138</v>
      </c>
      <c r="AA2553" s="0" t="s">
        <v>224</v>
      </c>
      <c r="AB2553" s="14" t="s">
        <v>138</v>
      </c>
      <c r="AD2553" s="0" t="s">
        <v>14</v>
      </c>
      <c r="AF2553" s="0">
        <v>0</v>
      </c>
      <c r="AG2553" s="0">
        <v>0</v>
      </c>
      <c r="AH2553" s="0" t="s">
        <v>140</v>
      </c>
      <c r="AI2553" s="0" t="s">
        <v>225</v>
      </c>
      <c r="AK2553" s="0" t="s">
        <v>2103</v>
      </c>
      <c r="AL2553" s="14"/>
      <c r="AN2553" s="14"/>
      <c r="AQ2553" s="0" t="s">
        <v>130</v>
      </c>
      <c r="AR2553" s="0" t="s">
        <v>130</v>
      </c>
      <c r="AS2553" s="0" t="s">
        <v>130</v>
      </c>
      <c r="AT2553" s="0" t="s">
        <v>130</v>
      </c>
      <c r="AU2553" s="0" t="s">
        <v>130</v>
      </c>
      <c r="AV2553" s="0" t="s">
        <v>130</v>
      </c>
      <c r="AW2553" s="0" t="s">
        <v>141</v>
      </c>
      <c r="AX2553" s="0" t="s">
        <v>130</v>
      </c>
      <c r="AY2553" s="0" t="s">
        <v>141</v>
      </c>
      <c r="AZ2553" s="0" t="s">
        <v>130</v>
      </c>
      <c r="BA2553" s="0" t="s">
        <v>130</v>
      </c>
      <c r="BB2553" s="0" t="s">
        <v>130</v>
      </c>
      <c r="BC2553" s="0" t="s">
        <v>141</v>
      </c>
      <c r="BD2553" s="0" t="s">
        <v>130</v>
      </c>
      <c r="BE2553" s="0" t="s">
        <v>130</v>
      </c>
      <c r="BF2553" s="0" t="s">
        <v>130</v>
      </c>
      <c r="BG2553" s="0" t="s">
        <v>130</v>
      </c>
      <c r="BH2553" s="0" t="s">
        <v>141</v>
      </c>
      <c r="BI2553" s="0" t="s">
        <v>141</v>
      </c>
      <c r="BJ2553" s="0" t="s">
        <v>141</v>
      </c>
      <c r="BK2553" s="0" t="s">
        <v>130</v>
      </c>
      <c r="BL2553" s="0" t="s">
        <v>130</v>
      </c>
      <c r="BM2553" s="0" t="s">
        <v>130</v>
      </c>
      <c r="BN2553" s="0" t="s">
        <v>130</v>
      </c>
      <c r="BO2553" s="0" t="s">
        <v>130</v>
      </c>
      <c r="BP2553" s="0" t="s">
        <v>130</v>
      </c>
      <c r="BQ2553" s="0" t="s">
        <v>130</v>
      </c>
      <c r="BR2553" s="0" t="s">
        <v>130</v>
      </c>
      <c r="BS2553" s="0" t="s">
        <v>130</v>
      </c>
      <c r="BT2553" s="0" t="s">
        <v>130</v>
      </c>
      <c r="BU2553" s="0" t="s">
        <v>130</v>
      </c>
      <c r="BV2553" s="0" t="s">
        <v>141</v>
      </c>
      <c r="BW2553" s="0" t="s">
        <v>141</v>
      </c>
      <c r="BX2553" s="0" t="s">
        <v>130</v>
      </c>
      <c r="BY2553" s="0" t="s">
        <v>130</v>
      </c>
      <c r="BZ2553" s="0" t="s">
        <v>130</v>
      </c>
      <c r="CA2553" s="0" t="s">
        <v>130</v>
      </c>
      <c r="CB2553" s="0" t="s">
        <v>130</v>
      </c>
      <c r="CC2553" s="0" t="s">
        <v>130</v>
      </c>
      <c r="CD2553" s="0" t="s">
        <v>130</v>
      </c>
      <c r="CE2553" s="0" t="s">
        <v>130</v>
      </c>
      <c r="CF2553" s="0" t="s">
        <v>130</v>
      </c>
      <c r="CG2553" s="0" t="s">
        <v>130</v>
      </c>
      <c r="CH2553" s="0" t="s">
        <v>130</v>
      </c>
      <c r="CI2553" s="0" t="s">
        <v>130</v>
      </c>
      <c r="CJ2553" s="0" t="s">
        <v>130</v>
      </c>
      <c r="CK2553" s="0" t="s">
        <v>130</v>
      </c>
      <c r="CL2553" s="0" t="s">
        <v>130</v>
      </c>
      <c r="CM2553" s="0" t="s">
        <v>130</v>
      </c>
      <c r="CN2553" s="0" t="s">
        <v>130</v>
      </c>
      <c r="CO2553" s="0" t="s">
        <v>130</v>
      </c>
      <c r="CP2553" s="0" t="s">
        <v>130</v>
      </c>
      <c r="CQ2553" s="0" t="s">
        <v>130</v>
      </c>
      <c r="CR2553" s="0" t="s">
        <v>130</v>
      </c>
      <c r="CS2553" s="0" t="s">
        <v>130</v>
      </c>
      <c r="CT2553" s="0" t="s">
        <v>6929</v>
      </c>
    </row>
    <row r="2554">
      <c r="A2554" s="14">
        <v>115694</v>
      </c>
      <c r="B2554" s="0" t="s">
        <v>2507</v>
      </c>
      <c r="C2554" s="16">
        <f>HYPERLINK("https://eosportal.federatedhermes.com/companies/Q29tcGFueQppNTQ5NDQ=", "BASF SE")</f>
      </c>
      <c r="D2554" s="0" t="s">
        <v>23</v>
      </c>
      <c r="E2554" s="0" t="s">
        <v>6930</v>
      </c>
      <c r="F2554" s="16">
        <f>HYPERLINK("https://eosportal.federatedhermes.com/engagements/RW5nYWdlbWVudAppMzQ0NzA=", "Shareholding Requirement")</f>
      </c>
      <c r="G2554" s="14" t="s">
        <v>6931</v>
      </c>
      <c r="H2554" s="0" t="s">
        <v>141</v>
      </c>
      <c r="I2554" s="14" t="s">
        <v>1645</v>
      </c>
      <c r="J2554" s="0" t="s">
        <v>145</v>
      </c>
      <c r="K2554" s="0" t="s">
        <v>146</v>
      </c>
      <c r="L2554" s="0" t="s">
        <v>147</v>
      </c>
      <c r="M2554" s="0" t="s">
        <v>378</v>
      </c>
      <c r="N2554" s="0" t="s">
        <v>2485</v>
      </c>
      <c r="O2554" s="0" t="s">
        <v>706</v>
      </c>
      <c r="Q2554" s="0" t="s">
        <v>130</v>
      </c>
      <c r="R2554" s="0" t="s">
        <v>130</v>
      </c>
      <c r="S2554" s="14">
        <v>0</v>
      </c>
      <c r="T2554" s="0" t="s">
        <v>3562</v>
      </c>
      <c r="U2554" s="0" t="s">
        <v>221</v>
      </c>
      <c r="V2554" s="14" t="s">
        <v>3562</v>
      </c>
      <c r="W2554" s="0" t="s">
        <v>223</v>
      </c>
      <c r="X2554" s="14" t="s">
        <v>138</v>
      </c>
      <c r="Y2554" s="0" t="s">
        <v>224</v>
      </c>
      <c r="Z2554" s="14" t="s">
        <v>138</v>
      </c>
      <c r="AA2554" s="0" t="s">
        <v>224</v>
      </c>
      <c r="AB2554" s="14" t="s">
        <v>138</v>
      </c>
      <c r="AD2554" s="0" t="s">
        <v>14</v>
      </c>
      <c r="AF2554" s="0">
        <v>0</v>
      </c>
      <c r="AG2554" s="0">
        <v>0</v>
      </c>
      <c r="AH2554" s="0" t="s">
        <v>140</v>
      </c>
      <c r="AI2554" s="0" t="s">
        <v>225</v>
      </c>
      <c r="AL2554" s="14"/>
      <c r="AN2554" s="14"/>
      <c r="AQ2554" s="0" t="s">
        <v>130</v>
      </c>
      <c r="AR2554" s="0" t="s">
        <v>130</v>
      </c>
      <c r="AS2554" s="0" t="s">
        <v>130</v>
      </c>
      <c r="AT2554" s="0" t="s">
        <v>130</v>
      </c>
      <c r="AU2554" s="0" t="s">
        <v>130</v>
      </c>
      <c r="AV2554" s="0" t="s">
        <v>130</v>
      </c>
      <c r="AW2554" s="0" t="s">
        <v>130</v>
      </c>
      <c r="AX2554" s="0" t="s">
        <v>130</v>
      </c>
      <c r="AY2554" s="0" t="s">
        <v>130</v>
      </c>
      <c r="AZ2554" s="0" t="s">
        <v>130</v>
      </c>
      <c r="BA2554" s="0" t="s">
        <v>130</v>
      </c>
      <c r="BB2554" s="0" t="s">
        <v>130</v>
      </c>
      <c r="BC2554" s="0" t="s">
        <v>130</v>
      </c>
      <c r="BD2554" s="0" t="s">
        <v>130</v>
      </c>
      <c r="BE2554" s="0" t="s">
        <v>130</v>
      </c>
      <c r="BF2554" s="0" t="s">
        <v>130</v>
      </c>
      <c r="BG2554" s="0" t="s">
        <v>130</v>
      </c>
      <c r="BH2554" s="0" t="s">
        <v>130</v>
      </c>
      <c r="BI2554" s="0" t="s">
        <v>130</v>
      </c>
      <c r="BJ2554" s="0" t="s">
        <v>130</v>
      </c>
      <c r="BK2554" s="0" t="s">
        <v>130</v>
      </c>
      <c r="BL2554" s="0" t="s">
        <v>130</v>
      </c>
      <c r="BM2554" s="0" t="s">
        <v>130</v>
      </c>
      <c r="BN2554" s="0" t="s">
        <v>130</v>
      </c>
      <c r="BO2554" s="0" t="s">
        <v>130</v>
      </c>
      <c r="BP2554" s="0" t="s">
        <v>130</v>
      </c>
      <c r="BQ2554" s="0" t="s">
        <v>130</v>
      </c>
      <c r="BR2554" s="0" t="s">
        <v>130</v>
      </c>
      <c r="BS2554" s="0" t="s">
        <v>130</v>
      </c>
      <c r="BT2554" s="0" t="s">
        <v>130</v>
      </c>
      <c r="BU2554" s="0" t="s">
        <v>130</v>
      </c>
      <c r="BV2554" s="0" t="s">
        <v>130</v>
      </c>
      <c r="BW2554" s="0" t="s">
        <v>130</v>
      </c>
      <c r="BX2554" s="0" t="s">
        <v>130</v>
      </c>
      <c r="BY2554" s="0" t="s">
        <v>130</v>
      </c>
      <c r="BZ2554" s="0" t="s">
        <v>130</v>
      </c>
      <c r="CA2554" s="0" t="s">
        <v>130</v>
      </c>
      <c r="CB2554" s="0" t="s">
        <v>130</v>
      </c>
      <c r="CC2554" s="0" t="s">
        <v>130</v>
      </c>
      <c r="CD2554" s="0" t="s">
        <v>130</v>
      </c>
      <c r="CE2554" s="0" t="s">
        <v>130</v>
      </c>
      <c r="CF2554" s="0" t="s">
        <v>130</v>
      </c>
      <c r="CG2554" s="0" t="s">
        <v>130</v>
      </c>
      <c r="CH2554" s="0" t="s">
        <v>130</v>
      </c>
      <c r="CI2554" s="0" t="s">
        <v>130</v>
      </c>
      <c r="CJ2554" s="0" t="s">
        <v>130</v>
      </c>
      <c r="CK2554" s="0" t="s">
        <v>130</v>
      </c>
      <c r="CL2554" s="0" t="s">
        <v>130</v>
      </c>
      <c r="CM2554" s="0" t="s">
        <v>130</v>
      </c>
      <c r="CN2554" s="0" t="s">
        <v>130</v>
      </c>
      <c r="CO2554" s="0" t="s">
        <v>130</v>
      </c>
      <c r="CP2554" s="0" t="s">
        <v>130</v>
      </c>
      <c r="CQ2554" s="0" t="s">
        <v>130</v>
      </c>
      <c r="CR2554" s="0" t="s">
        <v>130</v>
      </c>
      <c r="CS2554" s="0" t="s">
        <v>130</v>
      </c>
      <c r="CT2554" s="0" t="s">
        <v>6932</v>
      </c>
    </row>
    <row r="2555">
      <c r="A2555" s="14">
        <v>115679</v>
      </c>
      <c r="B2555" s="0" t="s">
        <v>2603</v>
      </c>
      <c r="C2555" s="16">
        <f>HYPERLINK("https://eosportal.federatedhermes.com/companies/Q29tcGFueQppNTg5NzU=", "Bayer AG")</f>
      </c>
      <c r="D2555" s="0" t="s">
        <v>23</v>
      </c>
      <c r="E2555" s="0" t="s">
        <v>6933</v>
      </c>
      <c r="F2555" s="16">
        <f>HYPERLINK("https://eosportal.federatedhermes.com/engagements/RW5nYWdlbWVudAppMzQ0NzI=", "Lobbying on Nature")</f>
      </c>
      <c r="G2555" s="14" t="s">
        <v>6934</v>
      </c>
      <c r="H2555" s="0" t="s">
        <v>141</v>
      </c>
      <c r="I2555" s="14" t="s">
        <v>1645</v>
      </c>
      <c r="J2555" s="0" t="s">
        <v>197</v>
      </c>
      <c r="K2555" s="0" t="s">
        <v>337</v>
      </c>
      <c r="L2555" s="0" t="s">
        <v>576</v>
      </c>
      <c r="M2555" s="0" t="s">
        <v>378</v>
      </c>
      <c r="N2555" s="0" t="s">
        <v>2485</v>
      </c>
      <c r="O2555" s="0" t="s">
        <v>274</v>
      </c>
      <c r="Q2555" s="0" t="s">
        <v>130</v>
      </c>
      <c r="R2555" s="0" t="s">
        <v>130</v>
      </c>
      <c r="S2555" s="14">
        <v>0</v>
      </c>
      <c r="T2555" s="0" t="s">
        <v>446</v>
      </c>
      <c r="U2555" s="0" t="s">
        <v>221</v>
      </c>
      <c r="V2555" s="14" t="s">
        <v>446</v>
      </c>
      <c r="W2555" s="0" t="s">
        <v>221</v>
      </c>
      <c r="X2555" s="14" t="s">
        <v>2842</v>
      </c>
      <c r="Y2555" s="0" t="s">
        <v>223</v>
      </c>
      <c r="Z2555" s="14" t="s">
        <v>138</v>
      </c>
      <c r="AA2555" s="0" t="s">
        <v>224</v>
      </c>
      <c r="AB2555" s="14" t="s">
        <v>138</v>
      </c>
      <c r="AD2555" s="0" t="s">
        <v>17</v>
      </c>
      <c r="AF2555" s="0">
        <v>0</v>
      </c>
      <c r="AG2555" s="0">
        <v>0</v>
      </c>
      <c r="AH2555" s="0" t="s">
        <v>140</v>
      </c>
      <c r="AI2555" s="0" t="s">
        <v>598</v>
      </c>
      <c r="AL2555" s="14"/>
      <c r="AN2555" s="14"/>
      <c r="AQ2555" s="0" t="s">
        <v>130</v>
      </c>
      <c r="AR2555" s="0" t="s">
        <v>130</v>
      </c>
      <c r="AS2555" s="0" t="s">
        <v>130</v>
      </c>
      <c r="AT2555" s="0" t="s">
        <v>130</v>
      </c>
      <c r="AU2555" s="0" t="s">
        <v>130</v>
      </c>
      <c r="AV2555" s="0" t="s">
        <v>130</v>
      </c>
      <c r="AW2555" s="0" t="s">
        <v>130</v>
      </c>
      <c r="AX2555" s="0" t="s">
        <v>130</v>
      </c>
      <c r="AY2555" s="0" t="s">
        <v>130</v>
      </c>
      <c r="AZ2555" s="0" t="s">
        <v>130</v>
      </c>
      <c r="BA2555" s="0" t="s">
        <v>130</v>
      </c>
      <c r="BB2555" s="0" t="s">
        <v>141</v>
      </c>
      <c r="BC2555" s="0" t="s">
        <v>130</v>
      </c>
      <c r="BD2555" s="0" t="s">
        <v>141</v>
      </c>
      <c r="BE2555" s="0" t="s">
        <v>141</v>
      </c>
      <c r="BF2555" s="0" t="s">
        <v>130</v>
      </c>
      <c r="BG2555" s="0" t="s">
        <v>130</v>
      </c>
      <c r="BH2555" s="0" t="s">
        <v>130</v>
      </c>
      <c r="BI2555" s="0" t="s">
        <v>130</v>
      </c>
      <c r="BJ2555" s="0" t="s">
        <v>130</v>
      </c>
      <c r="BK2555" s="0" t="s">
        <v>130</v>
      </c>
      <c r="BL2555" s="0" t="s">
        <v>130</v>
      </c>
      <c r="BM2555" s="0" t="s">
        <v>141</v>
      </c>
      <c r="BN2555" s="0" t="s">
        <v>130</v>
      </c>
      <c r="BO2555" s="0" t="s">
        <v>130</v>
      </c>
      <c r="BP2555" s="0" t="s">
        <v>130</v>
      </c>
      <c r="BQ2555" s="0" t="s">
        <v>130</v>
      </c>
      <c r="BR2555" s="0" t="s">
        <v>130</v>
      </c>
      <c r="BS2555" s="0" t="s">
        <v>130</v>
      </c>
      <c r="BT2555" s="0" t="s">
        <v>130</v>
      </c>
      <c r="BU2555" s="0" t="s">
        <v>130</v>
      </c>
      <c r="BV2555" s="0" t="s">
        <v>130</v>
      </c>
      <c r="BW2555" s="0" t="s">
        <v>130</v>
      </c>
      <c r="BX2555" s="0" t="s">
        <v>130</v>
      </c>
      <c r="BY2555" s="0" t="s">
        <v>130</v>
      </c>
      <c r="BZ2555" s="0" t="s">
        <v>130</v>
      </c>
      <c r="CA2555" s="0" t="s">
        <v>141</v>
      </c>
      <c r="CB2555" s="0" t="s">
        <v>141</v>
      </c>
      <c r="CC2555" s="0" t="s">
        <v>141</v>
      </c>
      <c r="CD2555" s="0" t="s">
        <v>130</v>
      </c>
      <c r="CE2555" s="0" t="s">
        <v>141</v>
      </c>
      <c r="CF2555" s="0" t="s">
        <v>141</v>
      </c>
      <c r="CG2555" s="0" t="s">
        <v>130</v>
      </c>
      <c r="CH2555" s="0" t="s">
        <v>130</v>
      </c>
      <c r="CI2555" s="0" t="s">
        <v>130</v>
      </c>
      <c r="CJ2555" s="0" t="s">
        <v>130</v>
      </c>
      <c r="CK2555" s="0" t="s">
        <v>130</v>
      </c>
      <c r="CL2555" s="0" t="s">
        <v>130</v>
      </c>
      <c r="CM2555" s="0" t="s">
        <v>130</v>
      </c>
      <c r="CN2555" s="0" t="s">
        <v>130</v>
      </c>
      <c r="CO2555" s="0" t="s">
        <v>130</v>
      </c>
      <c r="CP2555" s="0" t="s">
        <v>130</v>
      </c>
      <c r="CQ2555" s="0" t="s">
        <v>130</v>
      </c>
      <c r="CR2555" s="0" t="s">
        <v>130</v>
      </c>
      <c r="CS2555" s="0" t="s">
        <v>130</v>
      </c>
      <c r="CT2555" s="0" t="s">
        <v>6935</v>
      </c>
    </row>
    <row r="2556">
      <c r="A2556" s="14">
        <v>101491</v>
      </c>
      <c r="B2556" s="0" t="s">
        <v>1642</v>
      </c>
      <c r="C2556" s="16">
        <f>HYPERLINK("https://eosportal.federatedhermes.com/companies/Q29tcGFueQppNjMzMzM=", "TotalEnergies SE")</f>
      </c>
      <c r="D2556" s="0" t="s">
        <v>23</v>
      </c>
      <c r="E2556" s="0" t="s">
        <v>2438</v>
      </c>
      <c r="F2556" s="16">
        <f>HYPERLINK("https://eosportal.federatedhermes.com/engagements/RW5nYWdlbWVudAppMzQ0NzM=", "Separation of roles of chair and CEO")</f>
      </c>
      <c r="G2556" s="14" t="s">
        <v>6936</v>
      </c>
      <c r="H2556" s="0" t="s">
        <v>141</v>
      </c>
      <c r="I2556" s="14" t="s">
        <v>1645</v>
      </c>
      <c r="J2556" s="0" t="s">
        <v>145</v>
      </c>
      <c r="K2556" s="0" t="s">
        <v>164</v>
      </c>
      <c r="L2556" s="0" t="s">
        <v>165</v>
      </c>
      <c r="M2556" s="0" t="s">
        <v>378</v>
      </c>
      <c r="N2556" s="0" t="s">
        <v>1646</v>
      </c>
      <c r="O2556" s="0" t="s">
        <v>542</v>
      </c>
      <c r="Q2556" s="0" t="s">
        <v>130</v>
      </c>
      <c r="R2556" s="0" t="s">
        <v>130</v>
      </c>
      <c r="S2556" s="14">
        <v>0</v>
      </c>
      <c r="T2556" s="0" t="s">
        <v>446</v>
      </c>
      <c r="U2556" s="0" t="s">
        <v>221</v>
      </c>
      <c r="V2556" s="14" t="s">
        <v>446</v>
      </c>
      <c r="W2556" s="0" t="s">
        <v>223</v>
      </c>
      <c r="X2556" s="14" t="s">
        <v>138</v>
      </c>
      <c r="Y2556" s="0" t="s">
        <v>224</v>
      </c>
      <c r="Z2556" s="14" t="s">
        <v>138</v>
      </c>
      <c r="AA2556" s="0" t="s">
        <v>224</v>
      </c>
      <c r="AB2556" s="14" t="s">
        <v>138</v>
      </c>
      <c r="AD2556" s="0" t="s">
        <v>14</v>
      </c>
      <c r="AF2556" s="0">
        <v>0</v>
      </c>
      <c r="AG2556" s="0">
        <v>0</v>
      </c>
      <c r="AH2556" s="0" t="s">
        <v>140</v>
      </c>
      <c r="AI2556" s="0" t="s">
        <v>225</v>
      </c>
      <c r="AL2556" s="14"/>
      <c r="AN2556" s="14"/>
      <c r="AQ2556" s="0" t="s">
        <v>130</v>
      </c>
      <c r="AR2556" s="0" t="s">
        <v>130</v>
      </c>
      <c r="AS2556" s="0" t="s">
        <v>130</v>
      </c>
      <c r="AT2556" s="0" t="s">
        <v>130</v>
      </c>
      <c r="AU2556" s="0" t="s">
        <v>130</v>
      </c>
      <c r="AV2556" s="0" t="s">
        <v>130</v>
      </c>
      <c r="AW2556" s="0" t="s">
        <v>130</v>
      </c>
      <c r="AX2556" s="0" t="s">
        <v>130</v>
      </c>
      <c r="AY2556" s="0" t="s">
        <v>130</v>
      </c>
      <c r="AZ2556" s="0" t="s">
        <v>130</v>
      </c>
      <c r="BA2556" s="0" t="s">
        <v>130</v>
      </c>
      <c r="BB2556" s="0" t="s">
        <v>130</v>
      </c>
      <c r="BC2556" s="0" t="s">
        <v>130</v>
      </c>
      <c r="BD2556" s="0" t="s">
        <v>130</v>
      </c>
      <c r="BE2556" s="0" t="s">
        <v>130</v>
      </c>
      <c r="BF2556" s="0" t="s">
        <v>130</v>
      </c>
      <c r="BG2556" s="0" t="s">
        <v>130</v>
      </c>
      <c r="BH2556" s="0" t="s">
        <v>130</v>
      </c>
      <c r="BI2556" s="0" t="s">
        <v>130</v>
      </c>
      <c r="BJ2556" s="0" t="s">
        <v>130</v>
      </c>
      <c r="BK2556" s="0" t="s">
        <v>130</v>
      </c>
      <c r="BL2556" s="0" t="s">
        <v>130</v>
      </c>
      <c r="BM2556" s="0" t="s">
        <v>130</v>
      </c>
      <c r="BN2556" s="0" t="s">
        <v>130</v>
      </c>
      <c r="BO2556" s="0" t="s">
        <v>130</v>
      </c>
      <c r="BP2556" s="0" t="s">
        <v>130</v>
      </c>
      <c r="BQ2556" s="0" t="s">
        <v>130</v>
      </c>
      <c r="BR2556" s="0" t="s">
        <v>130</v>
      </c>
      <c r="BS2556" s="0" t="s">
        <v>130</v>
      </c>
      <c r="BT2556" s="0" t="s">
        <v>130</v>
      </c>
      <c r="BU2556" s="0" t="s">
        <v>130</v>
      </c>
      <c r="BV2556" s="0" t="s">
        <v>130</v>
      </c>
      <c r="BW2556" s="0" t="s">
        <v>130</v>
      </c>
      <c r="BX2556" s="0" t="s">
        <v>130</v>
      </c>
      <c r="BY2556" s="0" t="s">
        <v>130</v>
      </c>
      <c r="BZ2556" s="0" t="s">
        <v>130</v>
      </c>
      <c r="CA2556" s="0" t="s">
        <v>130</v>
      </c>
      <c r="CB2556" s="0" t="s">
        <v>130</v>
      </c>
      <c r="CC2556" s="0" t="s">
        <v>130</v>
      </c>
      <c r="CD2556" s="0" t="s">
        <v>130</v>
      </c>
      <c r="CE2556" s="0" t="s">
        <v>130</v>
      </c>
      <c r="CF2556" s="0" t="s">
        <v>130</v>
      </c>
      <c r="CG2556" s="0" t="s">
        <v>130</v>
      </c>
      <c r="CH2556" s="0" t="s">
        <v>130</v>
      </c>
      <c r="CI2556" s="0" t="s">
        <v>130</v>
      </c>
      <c r="CJ2556" s="0" t="s">
        <v>130</v>
      </c>
      <c r="CK2556" s="0" t="s">
        <v>130</v>
      </c>
      <c r="CL2556" s="0" t="s">
        <v>130</v>
      </c>
      <c r="CM2556" s="0" t="s">
        <v>130</v>
      </c>
      <c r="CN2556" s="0" t="s">
        <v>130</v>
      </c>
      <c r="CO2556" s="0" t="s">
        <v>130</v>
      </c>
      <c r="CP2556" s="0" t="s">
        <v>130</v>
      </c>
      <c r="CQ2556" s="0" t="s">
        <v>130</v>
      </c>
      <c r="CR2556" s="0" t="s">
        <v>130</v>
      </c>
      <c r="CS2556" s="0" t="s">
        <v>130</v>
      </c>
      <c r="CT2556" s="0" t="s">
        <v>6937</v>
      </c>
    </row>
    <row r="2557">
      <c r="A2557" s="14">
        <v>15951478</v>
      </c>
      <c r="B2557" s="0" t="s">
        <v>4197</v>
      </c>
      <c r="C2557" s="16">
        <f>HYPERLINK("https://eosportal.federatedhermes.com/companies/Q29tcGFueQppNTIyMzc=", "Dollarama Inc")</f>
      </c>
      <c r="D2557" s="0" t="s">
        <v>25</v>
      </c>
      <c r="E2557" s="0" t="s">
        <v>4825</v>
      </c>
      <c r="F2557" s="16">
        <f>HYPERLINK("https://eosportal.federatedhermes.com/engagements/RW5nYWdlbWVudAppMzQ0Nzg=", "Board Refreshment")</f>
      </c>
      <c r="G2557" s="14" t="s">
        <v>6938</v>
      </c>
      <c r="H2557" s="0" t="s">
        <v>130</v>
      </c>
      <c r="I2557" s="14" t="s">
        <v>636</v>
      </c>
      <c r="J2557" s="0" t="s">
        <v>145</v>
      </c>
      <c r="K2557" s="0" t="s">
        <v>164</v>
      </c>
      <c r="L2557" s="0" t="s">
        <v>277</v>
      </c>
      <c r="M2557" s="0" t="s">
        <v>135</v>
      </c>
      <c r="N2557" s="0" t="s">
        <v>1678</v>
      </c>
      <c r="O2557" s="0" t="s">
        <v>643</v>
      </c>
      <c r="Q2557" s="0" t="s">
        <v>130</v>
      </c>
      <c r="R2557" s="0" t="s">
        <v>138</v>
      </c>
      <c r="S2557" s="14">
        <v>0</v>
      </c>
      <c r="T2557" s="0" t="s">
        <v>446</v>
      </c>
      <c r="U2557" s="0" t="s">
        <v>138</v>
      </c>
      <c r="V2557" s="14" t="s">
        <v>138</v>
      </c>
      <c r="W2557" s="0" t="s">
        <v>138</v>
      </c>
      <c r="X2557" s="14" t="s">
        <v>138</v>
      </c>
      <c r="Y2557" s="0" t="s">
        <v>138</v>
      </c>
      <c r="Z2557" s="14" t="s">
        <v>138</v>
      </c>
      <c r="AA2557" s="0" t="s">
        <v>138</v>
      </c>
      <c r="AB2557" s="14" t="s">
        <v>138</v>
      </c>
      <c r="AD2557" s="0" t="s">
        <v>138</v>
      </c>
      <c r="AF2557" s="0">
        <v>0</v>
      </c>
      <c r="AG2557" s="0">
        <v>0</v>
      </c>
      <c r="AH2557" s="0" t="s">
        <v>140</v>
      </c>
      <c r="AI2557" s="0" t="s">
        <v>138</v>
      </c>
      <c r="AL2557" s="14"/>
      <c r="AN2557" s="14"/>
      <c r="AQ2557" s="0" t="s">
        <v>130</v>
      </c>
      <c r="AR2557" s="0" t="s">
        <v>130</v>
      </c>
      <c r="AS2557" s="0" t="s">
        <v>130</v>
      </c>
      <c r="AT2557" s="0" t="s">
        <v>130</v>
      </c>
      <c r="AU2557" s="0" t="s">
        <v>130</v>
      </c>
      <c r="AV2557" s="0" t="s">
        <v>130</v>
      </c>
      <c r="AW2557" s="0" t="s">
        <v>130</v>
      </c>
      <c r="AX2557" s="0" t="s">
        <v>130</v>
      </c>
      <c r="AY2557" s="0" t="s">
        <v>130</v>
      </c>
      <c r="AZ2557" s="0" t="s">
        <v>130</v>
      </c>
      <c r="BA2557" s="0" t="s">
        <v>130</v>
      </c>
      <c r="BB2557" s="0" t="s">
        <v>130</v>
      </c>
      <c r="BC2557" s="0" t="s">
        <v>130</v>
      </c>
      <c r="BD2557" s="0" t="s">
        <v>130</v>
      </c>
      <c r="BE2557" s="0" t="s">
        <v>130</v>
      </c>
      <c r="BF2557" s="0" t="s">
        <v>130</v>
      </c>
      <c r="BG2557" s="0" t="s">
        <v>130</v>
      </c>
      <c r="BH2557" s="0" t="s">
        <v>130</v>
      </c>
      <c r="BI2557" s="0" t="s">
        <v>130</v>
      </c>
      <c r="BJ2557" s="0" t="s">
        <v>130</v>
      </c>
      <c r="BK2557" s="0" t="s">
        <v>130</v>
      </c>
      <c r="BL2557" s="0" t="s">
        <v>130</v>
      </c>
      <c r="BM2557" s="0" t="s">
        <v>130</v>
      </c>
      <c r="BN2557" s="0" t="s">
        <v>130</v>
      </c>
      <c r="BO2557" s="0" t="s">
        <v>130</v>
      </c>
      <c r="BP2557" s="0" t="s">
        <v>130</v>
      </c>
      <c r="BQ2557" s="0" t="s">
        <v>130</v>
      </c>
      <c r="BR2557" s="0" t="s">
        <v>130</v>
      </c>
      <c r="BS2557" s="0" t="s">
        <v>130</v>
      </c>
      <c r="BT2557" s="0" t="s">
        <v>130</v>
      </c>
      <c r="BU2557" s="0" t="s">
        <v>130</v>
      </c>
      <c r="BV2557" s="0" t="s">
        <v>130</v>
      </c>
      <c r="BW2557" s="0" t="s">
        <v>130</v>
      </c>
      <c r="BX2557" s="0" t="s">
        <v>130</v>
      </c>
      <c r="BY2557" s="0" t="s">
        <v>130</v>
      </c>
      <c r="BZ2557" s="0" t="s">
        <v>130</v>
      </c>
      <c r="CA2557" s="0" t="s">
        <v>130</v>
      </c>
      <c r="CB2557" s="0" t="s">
        <v>130</v>
      </c>
      <c r="CC2557" s="0" t="s">
        <v>130</v>
      </c>
      <c r="CD2557" s="0" t="s">
        <v>130</v>
      </c>
      <c r="CE2557" s="0" t="s">
        <v>130</v>
      </c>
      <c r="CF2557" s="0" t="s">
        <v>130</v>
      </c>
      <c r="CG2557" s="0" t="s">
        <v>130</v>
      </c>
      <c r="CH2557" s="0" t="s">
        <v>130</v>
      </c>
      <c r="CI2557" s="0" t="s">
        <v>130</v>
      </c>
      <c r="CJ2557" s="0" t="s">
        <v>130</v>
      </c>
      <c r="CK2557" s="0" t="s">
        <v>130</v>
      </c>
      <c r="CL2557" s="0" t="s">
        <v>130</v>
      </c>
      <c r="CM2557" s="0" t="s">
        <v>130</v>
      </c>
      <c r="CN2557" s="0" t="s">
        <v>130</v>
      </c>
      <c r="CO2557" s="0" t="s">
        <v>130</v>
      </c>
      <c r="CP2557" s="0" t="s">
        <v>130</v>
      </c>
      <c r="CQ2557" s="0" t="s">
        <v>130</v>
      </c>
      <c r="CR2557" s="0" t="s">
        <v>130</v>
      </c>
      <c r="CS2557" s="0" t="s">
        <v>130</v>
      </c>
      <c r="CT2557" s="0" t="s">
        <v>6939</v>
      </c>
    </row>
    <row r="2558">
      <c r="A2558" s="14">
        <v>101491</v>
      </c>
      <c r="B2558" s="0" t="s">
        <v>1642</v>
      </c>
      <c r="C2558" s="16">
        <f>HYPERLINK("https://eosportal.federatedhermes.com/companies/Q29tcGFueQppNjMzMzM=", "TotalEnergies SE")</f>
      </c>
      <c r="D2558" s="0" t="s">
        <v>23</v>
      </c>
      <c r="E2558" s="0" t="s">
        <v>6940</v>
      </c>
      <c r="F2558" s="16">
        <f>HYPERLINK("https://eosportal.federatedhermes.com/engagements/RW5nYWdlbWVudAppMzQ0ODY=", "Gas capex compatible with 1.5C.")</f>
      </c>
      <c r="G2558" s="14" t="s">
        <v>6941</v>
      </c>
      <c r="H2558" s="0" t="s">
        <v>141</v>
      </c>
      <c r="I2558" s="14" t="s">
        <v>1645</v>
      </c>
      <c r="J2558" s="0" t="s">
        <v>197</v>
      </c>
      <c r="K2558" s="0" t="s">
        <v>198</v>
      </c>
      <c r="L2558" s="0" t="s">
        <v>199</v>
      </c>
      <c r="M2558" s="0" t="s">
        <v>378</v>
      </c>
      <c r="N2558" s="0" t="s">
        <v>1646</v>
      </c>
      <c r="O2558" s="0" t="s">
        <v>542</v>
      </c>
      <c r="Q2558" s="0" t="s">
        <v>141</v>
      </c>
      <c r="R2558" s="0" t="s">
        <v>130</v>
      </c>
      <c r="S2558" s="14">
        <v>3</v>
      </c>
      <c r="T2558" s="0" t="s">
        <v>446</v>
      </c>
      <c r="U2558" s="0" t="s">
        <v>221</v>
      </c>
      <c r="V2558" s="14" t="s">
        <v>446</v>
      </c>
      <c r="W2558" s="0" t="s">
        <v>221</v>
      </c>
      <c r="X2558" s="14" t="s">
        <v>2428</v>
      </c>
      <c r="Y2558" s="0" t="s">
        <v>223</v>
      </c>
      <c r="Z2558" s="14" t="s">
        <v>138</v>
      </c>
      <c r="AA2558" s="0" t="s">
        <v>224</v>
      </c>
      <c r="AB2558" s="14" t="s">
        <v>138</v>
      </c>
      <c r="AD2558" s="0" t="s">
        <v>17</v>
      </c>
      <c r="AF2558" s="0">
        <v>0</v>
      </c>
      <c r="AG2558" s="0">
        <v>0</v>
      </c>
      <c r="AH2558" s="0" t="s">
        <v>140</v>
      </c>
      <c r="AI2558" s="0" t="s">
        <v>598</v>
      </c>
      <c r="AK2558" s="0" t="s">
        <v>2976</v>
      </c>
      <c r="AL2558" s="14"/>
      <c r="AN2558" s="14"/>
      <c r="AQ2558" s="0" t="s">
        <v>130</v>
      </c>
      <c r="AR2558" s="0" t="s">
        <v>130</v>
      </c>
      <c r="AS2558" s="0" t="s">
        <v>130</v>
      </c>
      <c r="AT2558" s="0" t="s">
        <v>130</v>
      </c>
      <c r="AU2558" s="0" t="s">
        <v>130</v>
      </c>
      <c r="AV2558" s="0" t="s">
        <v>130</v>
      </c>
      <c r="AW2558" s="0" t="s">
        <v>130</v>
      </c>
      <c r="AX2558" s="0" t="s">
        <v>130</v>
      </c>
      <c r="AY2558" s="0" t="s">
        <v>130</v>
      </c>
      <c r="AZ2558" s="0" t="s">
        <v>130</v>
      </c>
      <c r="BA2558" s="0" t="s">
        <v>130</v>
      </c>
      <c r="BB2558" s="0" t="s">
        <v>141</v>
      </c>
      <c r="BC2558" s="0" t="s">
        <v>141</v>
      </c>
      <c r="BD2558" s="0" t="s">
        <v>130</v>
      </c>
      <c r="BE2558" s="0" t="s">
        <v>130</v>
      </c>
      <c r="BF2558" s="0" t="s">
        <v>130</v>
      </c>
      <c r="BG2558" s="0" t="s">
        <v>130</v>
      </c>
      <c r="BH2558" s="0" t="s">
        <v>130</v>
      </c>
      <c r="BI2558" s="0" t="s">
        <v>130</v>
      </c>
      <c r="BJ2558" s="0" t="s">
        <v>130</v>
      </c>
      <c r="BK2558" s="0" t="s">
        <v>130</v>
      </c>
      <c r="BL2558" s="0" t="s">
        <v>130</v>
      </c>
      <c r="BM2558" s="0" t="s">
        <v>130</v>
      </c>
      <c r="BN2558" s="0" t="s">
        <v>130</v>
      </c>
      <c r="BO2558" s="0" t="s">
        <v>130</v>
      </c>
      <c r="BP2558" s="0" t="s">
        <v>130</v>
      </c>
      <c r="BQ2558" s="0" t="s">
        <v>130</v>
      </c>
      <c r="BR2558" s="0" t="s">
        <v>130</v>
      </c>
      <c r="BS2558" s="0" t="s">
        <v>130</v>
      </c>
      <c r="BT2558" s="0" t="s">
        <v>130</v>
      </c>
      <c r="BU2558" s="0" t="s">
        <v>130</v>
      </c>
      <c r="BV2558" s="0" t="s">
        <v>130</v>
      </c>
      <c r="BW2558" s="0" t="s">
        <v>130</v>
      </c>
      <c r="BX2558" s="0" t="s">
        <v>130</v>
      </c>
      <c r="BY2558" s="0" t="s">
        <v>130</v>
      </c>
      <c r="BZ2558" s="0" t="s">
        <v>130</v>
      </c>
      <c r="CA2558" s="0" t="s">
        <v>130</v>
      </c>
      <c r="CB2558" s="0" t="s">
        <v>130</v>
      </c>
      <c r="CC2558" s="0" t="s">
        <v>130</v>
      </c>
      <c r="CD2558" s="0" t="s">
        <v>130</v>
      </c>
      <c r="CE2558" s="0" t="s">
        <v>130</v>
      </c>
      <c r="CF2558" s="0" t="s">
        <v>130</v>
      </c>
      <c r="CG2558" s="0" t="s">
        <v>130</v>
      </c>
      <c r="CH2558" s="0" t="s">
        <v>130</v>
      </c>
      <c r="CI2558" s="0" t="s">
        <v>130</v>
      </c>
      <c r="CJ2558" s="0" t="s">
        <v>130</v>
      </c>
      <c r="CK2558" s="0" t="s">
        <v>130</v>
      </c>
      <c r="CL2558" s="0" t="s">
        <v>130</v>
      </c>
      <c r="CM2558" s="0" t="s">
        <v>130</v>
      </c>
      <c r="CN2558" s="0" t="s">
        <v>130</v>
      </c>
      <c r="CO2558" s="0" t="s">
        <v>130</v>
      </c>
      <c r="CP2558" s="0" t="s">
        <v>130</v>
      </c>
      <c r="CQ2558" s="0" t="s">
        <v>130</v>
      </c>
      <c r="CR2558" s="0" t="s">
        <v>130</v>
      </c>
      <c r="CS2558" s="0" t="s">
        <v>130</v>
      </c>
      <c r="CT2558" s="0" t="s">
        <v>6942</v>
      </c>
    </row>
    <row r="2559">
      <c r="A2559" s="14">
        <v>386346</v>
      </c>
      <c r="B2559" s="0" t="s">
        <v>3794</v>
      </c>
      <c r="C2559" s="16">
        <f>HYPERLINK("https://eosportal.federatedhermes.com/companies/Q29tcGFueQppNjcwMDI=", "Booking Holdings Inc")</f>
      </c>
      <c r="D2559" s="0" t="s">
        <v>23</v>
      </c>
      <c r="E2559" s="0" t="s">
        <v>3350</v>
      </c>
      <c r="F2559" s="16">
        <f>HYPERLINK("https://eosportal.federatedhermes.com/engagements/RW5nYWdlbWVudAppMzQ0ODg=", "Human Rights")</f>
      </c>
      <c r="G2559" s="14" t="s">
        <v>6943</v>
      </c>
      <c r="H2559" s="0" t="s">
        <v>141</v>
      </c>
      <c r="I2559" s="14" t="s">
        <v>636</v>
      </c>
      <c r="J2559" s="0" t="s">
        <v>153</v>
      </c>
      <c r="K2559" s="0" t="s">
        <v>243</v>
      </c>
      <c r="L2559" s="0" t="s">
        <v>456</v>
      </c>
      <c r="M2559" s="0" t="s">
        <v>135</v>
      </c>
      <c r="N2559" s="0" t="s">
        <v>136</v>
      </c>
      <c r="O2559" s="0" t="s">
        <v>643</v>
      </c>
      <c r="P2559" s="0" t="s">
        <v>6944</v>
      </c>
      <c r="Q2559" s="0" t="s">
        <v>141</v>
      </c>
      <c r="R2559" s="0" t="s">
        <v>141</v>
      </c>
      <c r="S2559" s="14">
        <v>1</v>
      </c>
      <c r="T2559" s="0" t="s">
        <v>446</v>
      </c>
      <c r="U2559" s="0" t="s">
        <v>221</v>
      </c>
      <c r="V2559" s="14" t="s">
        <v>446</v>
      </c>
      <c r="W2559" s="0" t="s">
        <v>221</v>
      </c>
      <c r="X2559" s="14" t="s">
        <v>361</v>
      </c>
      <c r="Y2559" s="0" t="s">
        <v>223</v>
      </c>
      <c r="Z2559" s="14" t="s">
        <v>138</v>
      </c>
      <c r="AA2559" s="0" t="s">
        <v>224</v>
      </c>
      <c r="AB2559" s="14" t="s">
        <v>138</v>
      </c>
      <c r="AC2559" s="0" t="s">
        <v>14</v>
      </c>
      <c r="AD2559" s="0" t="s">
        <v>17</v>
      </c>
      <c r="AE2559" s="0" t="s">
        <v>5508</v>
      </c>
      <c r="AF2559" s="0">
        <v>1</v>
      </c>
      <c r="AG2559" s="0">
        <v>0</v>
      </c>
      <c r="AH2559" s="0" t="s">
        <v>140</v>
      </c>
      <c r="AI2559" s="0" t="s">
        <v>598</v>
      </c>
      <c r="AK2559" s="0" t="s">
        <v>226</v>
      </c>
      <c r="AL2559" s="14"/>
      <c r="AN2559" s="14"/>
      <c r="AQ2559" s="0" t="s">
        <v>130</v>
      </c>
      <c r="AR2559" s="0" t="s">
        <v>130</v>
      </c>
      <c r="AS2559" s="0" t="s">
        <v>130</v>
      </c>
      <c r="AT2559" s="0" t="s">
        <v>130</v>
      </c>
      <c r="AU2559" s="0" t="s">
        <v>130</v>
      </c>
      <c r="AV2559" s="0" t="s">
        <v>130</v>
      </c>
      <c r="AW2559" s="0" t="s">
        <v>130</v>
      </c>
      <c r="AX2559" s="0" t="s">
        <v>141</v>
      </c>
      <c r="AY2559" s="0" t="s">
        <v>130</v>
      </c>
      <c r="AZ2559" s="0" t="s">
        <v>130</v>
      </c>
      <c r="BA2559" s="0" t="s">
        <v>130</v>
      </c>
      <c r="BB2559" s="0" t="s">
        <v>130</v>
      </c>
      <c r="BC2559" s="0" t="s">
        <v>130</v>
      </c>
      <c r="BD2559" s="0" t="s">
        <v>130</v>
      </c>
      <c r="BE2559" s="0" t="s">
        <v>130</v>
      </c>
      <c r="BF2559" s="0" t="s">
        <v>141</v>
      </c>
      <c r="BG2559" s="0" t="s">
        <v>130</v>
      </c>
      <c r="BH2559" s="0" t="s">
        <v>130</v>
      </c>
      <c r="BI2559" s="0" t="s">
        <v>130</v>
      </c>
      <c r="BJ2559" s="0" t="s">
        <v>130</v>
      </c>
      <c r="BK2559" s="0" t="s">
        <v>130</v>
      </c>
      <c r="BL2559" s="0" t="s">
        <v>130</v>
      </c>
      <c r="BM2559" s="0" t="s">
        <v>130</v>
      </c>
      <c r="BN2559" s="0" t="s">
        <v>130</v>
      </c>
      <c r="BO2559" s="0" t="s">
        <v>130</v>
      </c>
      <c r="BP2559" s="0" t="s">
        <v>130</v>
      </c>
      <c r="BQ2559" s="0" t="s">
        <v>130</v>
      </c>
      <c r="BR2559" s="0" t="s">
        <v>130</v>
      </c>
      <c r="BS2559" s="0" t="s">
        <v>130</v>
      </c>
      <c r="BT2559" s="0" t="s">
        <v>130</v>
      </c>
      <c r="BU2559" s="0" t="s">
        <v>130</v>
      </c>
      <c r="BV2559" s="0" t="s">
        <v>130</v>
      </c>
      <c r="BW2559" s="0" t="s">
        <v>130</v>
      </c>
      <c r="BX2559" s="0" t="s">
        <v>130</v>
      </c>
      <c r="BY2559" s="0" t="s">
        <v>130</v>
      </c>
      <c r="BZ2559" s="0" t="s">
        <v>130</v>
      </c>
      <c r="CA2559" s="0" t="s">
        <v>130</v>
      </c>
      <c r="CB2559" s="0" t="s">
        <v>130</v>
      </c>
      <c r="CC2559" s="0" t="s">
        <v>130</v>
      </c>
      <c r="CD2559" s="0" t="s">
        <v>130</v>
      </c>
      <c r="CE2559" s="0" t="s">
        <v>130</v>
      </c>
      <c r="CF2559" s="0" t="s">
        <v>130</v>
      </c>
      <c r="CG2559" s="0" t="s">
        <v>130</v>
      </c>
      <c r="CH2559" s="0" t="s">
        <v>130</v>
      </c>
      <c r="CI2559" s="0" t="s">
        <v>130</v>
      </c>
      <c r="CJ2559" s="0" t="s">
        <v>130</v>
      </c>
      <c r="CK2559" s="0" t="s">
        <v>130</v>
      </c>
      <c r="CL2559" s="0" t="s">
        <v>130</v>
      </c>
      <c r="CM2559" s="0" t="s">
        <v>130</v>
      </c>
      <c r="CN2559" s="0" t="s">
        <v>130</v>
      </c>
      <c r="CO2559" s="0" t="s">
        <v>130</v>
      </c>
      <c r="CP2559" s="0" t="s">
        <v>130</v>
      </c>
      <c r="CQ2559" s="0" t="s">
        <v>130</v>
      </c>
      <c r="CR2559" s="0" t="s">
        <v>130</v>
      </c>
      <c r="CS2559" s="0" t="s">
        <v>130</v>
      </c>
      <c r="CT2559" s="0" t="s">
        <v>6945</v>
      </c>
    </row>
    <row r="2560">
      <c r="A2560" s="14">
        <v>153693</v>
      </c>
      <c r="B2560" s="0" t="s">
        <v>2920</v>
      </c>
      <c r="C2560" s="16">
        <f>HYPERLINK("https://eosportal.federatedhermes.com/companies/Q29tcGFueQppNDYwMzI=", "Fortescue Ltd")</f>
      </c>
      <c r="D2560" s="0" t="s">
        <v>23</v>
      </c>
      <c r="E2560" s="0" t="s">
        <v>6946</v>
      </c>
      <c r="F2560" s="16">
        <f>HYPERLINK("https://eosportal.federatedhermes.com/engagements/RW5nYWdlbWVudAppMzQ0OTM=", "Medium-term Scope 3 target")</f>
      </c>
      <c r="G2560" s="14" t="s">
        <v>6947</v>
      </c>
      <c r="H2560" s="0" t="s">
        <v>130</v>
      </c>
      <c r="I2560" s="14" t="s">
        <v>131</v>
      </c>
      <c r="J2560" s="0" t="s">
        <v>197</v>
      </c>
      <c r="K2560" s="0" t="s">
        <v>198</v>
      </c>
      <c r="L2560" s="0" t="s">
        <v>216</v>
      </c>
      <c r="M2560" s="0" t="s">
        <v>371</v>
      </c>
      <c r="N2560" s="0" t="s">
        <v>372</v>
      </c>
      <c r="O2560" s="0" t="s">
        <v>373</v>
      </c>
      <c r="Q2560" s="0" t="s">
        <v>130</v>
      </c>
      <c r="R2560" s="0" t="s">
        <v>130</v>
      </c>
      <c r="S2560" s="14">
        <v>0</v>
      </c>
      <c r="T2560" s="0" t="s">
        <v>446</v>
      </c>
      <c r="U2560" s="0" t="s">
        <v>221</v>
      </c>
      <c r="V2560" s="14" t="s">
        <v>446</v>
      </c>
      <c r="W2560" s="0" t="s">
        <v>221</v>
      </c>
      <c r="X2560" s="14" t="s">
        <v>446</v>
      </c>
      <c r="Y2560" s="0" t="s">
        <v>223</v>
      </c>
      <c r="Z2560" s="14" t="s">
        <v>138</v>
      </c>
      <c r="AA2560" s="0" t="s">
        <v>224</v>
      </c>
      <c r="AB2560" s="14" t="s">
        <v>138</v>
      </c>
      <c r="AD2560" s="0" t="s">
        <v>17</v>
      </c>
      <c r="AF2560" s="0">
        <v>0</v>
      </c>
      <c r="AG2560" s="0">
        <v>0</v>
      </c>
      <c r="AH2560" s="0" t="s">
        <v>140</v>
      </c>
      <c r="AI2560" s="0" t="s">
        <v>598</v>
      </c>
      <c r="AL2560" s="14"/>
      <c r="AN2560" s="14"/>
      <c r="AQ2560" s="0" t="s">
        <v>130</v>
      </c>
      <c r="AR2560" s="0" t="s">
        <v>130</v>
      </c>
      <c r="AS2560" s="0" t="s">
        <v>130</v>
      </c>
      <c r="AT2560" s="0" t="s">
        <v>130</v>
      </c>
      <c r="AU2560" s="0" t="s">
        <v>130</v>
      </c>
      <c r="AV2560" s="0" t="s">
        <v>130</v>
      </c>
      <c r="AW2560" s="0" t="s">
        <v>141</v>
      </c>
      <c r="AX2560" s="0" t="s">
        <v>130</v>
      </c>
      <c r="AY2560" s="0" t="s">
        <v>130</v>
      </c>
      <c r="AZ2560" s="0" t="s">
        <v>130</v>
      </c>
      <c r="BA2560" s="0" t="s">
        <v>130</v>
      </c>
      <c r="BB2560" s="0" t="s">
        <v>130</v>
      </c>
      <c r="BC2560" s="0" t="s">
        <v>141</v>
      </c>
      <c r="BD2560" s="0" t="s">
        <v>130</v>
      </c>
      <c r="BE2560" s="0" t="s">
        <v>130</v>
      </c>
      <c r="BF2560" s="0" t="s">
        <v>130</v>
      </c>
      <c r="BG2560" s="0" t="s">
        <v>130</v>
      </c>
      <c r="BH2560" s="0" t="s">
        <v>141</v>
      </c>
      <c r="BI2560" s="0" t="s">
        <v>141</v>
      </c>
      <c r="BJ2560" s="0" t="s">
        <v>141</v>
      </c>
      <c r="BK2560" s="0" t="s">
        <v>130</v>
      </c>
      <c r="BL2560" s="0" t="s">
        <v>130</v>
      </c>
      <c r="BM2560" s="0" t="s">
        <v>130</v>
      </c>
      <c r="BN2560" s="0" t="s">
        <v>130</v>
      </c>
      <c r="BO2560" s="0" t="s">
        <v>130</v>
      </c>
      <c r="BP2560" s="0" t="s">
        <v>130</v>
      </c>
      <c r="BQ2560" s="0" t="s">
        <v>130</v>
      </c>
      <c r="BR2560" s="0" t="s">
        <v>130</v>
      </c>
      <c r="BS2560" s="0" t="s">
        <v>130</v>
      </c>
      <c r="BT2560" s="0" t="s">
        <v>130</v>
      </c>
      <c r="BU2560" s="0" t="s">
        <v>130</v>
      </c>
      <c r="BV2560" s="0" t="s">
        <v>141</v>
      </c>
      <c r="BW2560" s="0" t="s">
        <v>141</v>
      </c>
      <c r="BX2560" s="0" t="s">
        <v>130</v>
      </c>
      <c r="BY2560" s="0" t="s">
        <v>130</v>
      </c>
      <c r="BZ2560" s="0" t="s">
        <v>130</v>
      </c>
      <c r="CA2560" s="0" t="s">
        <v>130</v>
      </c>
      <c r="CB2560" s="0" t="s">
        <v>130</v>
      </c>
      <c r="CC2560" s="0" t="s">
        <v>130</v>
      </c>
      <c r="CD2560" s="0" t="s">
        <v>130</v>
      </c>
      <c r="CE2560" s="0" t="s">
        <v>130</v>
      </c>
      <c r="CF2560" s="0" t="s">
        <v>130</v>
      </c>
      <c r="CG2560" s="0" t="s">
        <v>130</v>
      </c>
      <c r="CH2560" s="0" t="s">
        <v>130</v>
      </c>
      <c r="CI2560" s="0" t="s">
        <v>130</v>
      </c>
      <c r="CJ2560" s="0" t="s">
        <v>130</v>
      </c>
      <c r="CK2560" s="0" t="s">
        <v>130</v>
      </c>
      <c r="CL2560" s="0" t="s">
        <v>130</v>
      </c>
      <c r="CM2560" s="0" t="s">
        <v>130</v>
      </c>
      <c r="CN2560" s="0" t="s">
        <v>130</v>
      </c>
      <c r="CO2560" s="0" t="s">
        <v>130</v>
      </c>
      <c r="CP2560" s="0" t="s">
        <v>130</v>
      </c>
      <c r="CQ2560" s="0" t="s">
        <v>130</v>
      </c>
      <c r="CR2560" s="0" t="s">
        <v>130</v>
      </c>
      <c r="CS2560" s="0" t="s">
        <v>130</v>
      </c>
      <c r="CT2560" s="0" t="s">
        <v>6948</v>
      </c>
    </row>
    <row r="2561">
      <c r="A2561" s="14">
        <v>304214</v>
      </c>
      <c r="B2561" s="0" t="s">
        <v>3545</v>
      </c>
      <c r="C2561" s="16">
        <f>HYPERLINK("https://eosportal.federatedhermes.com/companies/Q29tcGFueQppODU4Nzc=", "Anhui Conch Cement Co Ltd")</f>
      </c>
      <c r="D2561" s="0" t="s">
        <v>23</v>
      </c>
      <c r="E2561" s="0" t="s">
        <v>6949</v>
      </c>
      <c r="F2561" s="16">
        <f>HYPERLINK("https://eosportal.federatedhermes.com/engagements/RW5nYWdlbWVudAppMzQ0OTc=", "Scope 3 emission disclosure")</f>
      </c>
      <c r="G2561" s="14" t="s">
        <v>6950</v>
      </c>
      <c r="H2561" s="0" t="s">
        <v>141</v>
      </c>
      <c r="I2561" s="14" t="s">
        <v>131</v>
      </c>
      <c r="J2561" s="0" t="s">
        <v>197</v>
      </c>
      <c r="K2561" s="0" t="s">
        <v>198</v>
      </c>
      <c r="L2561" s="0" t="s">
        <v>216</v>
      </c>
      <c r="M2561" s="0" t="s">
        <v>2807</v>
      </c>
      <c r="N2561" s="0" t="s">
        <v>3272</v>
      </c>
      <c r="O2561" s="0" t="s">
        <v>373</v>
      </c>
      <c r="Q2561" s="0" t="s">
        <v>141</v>
      </c>
      <c r="R2561" s="0" t="s">
        <v>130</v>
      </c>
      <c r="S2561" s="14">
        <v>3</v>
      </c>
      <c r="T2561" s="0" t="s">
        <v>446</v>
      </c>
      <c r="U2561" s="0" t="s">
        <v>221</v>
      </c>
      <c r="V2561" s="14" t="s">
        <v>446</v>
      </c>
      <c r="W2561" s="0" t="s">
        <v>221</v>
      </c>
      <c r="X2561" s="14" t="s">
        <v>446</v>
      </c>
      <c r="Y2561" s="0" t="s">
        <v>223</v>
      </c>
      <c r="Z2561" s="14" t="s">
        <v>138</v>
      </c>
      <c r="AA2561" s="0" t="s">
        <v>224</v>
      </c>
      <c r="AB2561" s="14" t="s">
        <v>138</v>
      </c>
      <c r="AD2561" s="0" t="s">
        <v>17</v>
      </c>
      <c r="AF2561" s="0">
        <v>0</v>
      </c>
      <c r="AG2561" s="0">
        <v>0</v>
      </c>
      <c r="AH2561" s="0" t="s">
        <v>140</v>
      </c>
      <c r="AI2561" s="0" t="s">
        <v>598</v>
      </c>
      <c r="AK2561" s="0" t="s">
        <v>2795</v>
      </c>
      <c r="AL2561" s="14"/>
      <c r="AN2561" s="14"/>
      <c r="AQ2561" s="0" t="s">
        <v>130</v>
      </c>
      <c r="AR2561" s="0" t="s">
        <v>130</v>
      </c>
      <c r="AS2561" s="0" t="s">
        <v>130</v>
      </c>
      <c r="AT2561" s="0" t="s">
        <v>130</v>
      </c>
      <c r="AU2561" s="0" t="s">
        <v>130</v>
      </c>
      <c r="AV2561" s="0" t="s">
        <v>130</v>
      </c>
      <c r="AW2561" s="0" t="s">
        <v>141</v>
      </c>
      <c r="AX2561" s="0" t="s">
        <v>130</v>
      </c>
      <c r="AY2561" s="0" t="s">
        <v>130</v>
      </c>
      <c r="AZ2561" s="0" t="s">
        <v>130</v>
      </c>
      <c r="BA2561" s="0" t="s">
        <v>130</v>
      </c>
      <c r="BB2561" s="0" t="s">
        <v>130</v>
      </c>
      <c r="BC2561" s="0" t="s">
        <v>141</v>
      </c>
      <c r="BD2561" s="0" t="s">
        <v>130</v>
      </c>
      <c r="BE2561" s="0" t="s">
        <v>130</v>
      </c>
      <c r="BF2561" s="0" t="s">
        <v>130</v>
      </c>
      <c r="BG2561" s="0" t="s">
        <v>130</v>
      </c>
      <c r="BH2561" s="0" t="s">
        <v>141</v>
      </c>
      <c r="BI2561" s="0" t="s">
        <v>141</v>
      </c>
      <c r="BJ2561" s="0" t="s">
        <v>141</v>
      </c>
      <c r="BK2561" s="0" t="s">
        <v>130</v>
      </c>
      <c r="BL2561" s="0" t="s">
        <v>130</v>
      </c>
      <c r="BM2561" s="0" t="s">
        <v>130</v>
      </c>
      <c r="BN2561" s="0" t="s">
        <v>130</v>
      </c>
      <c r="BO2561" s="0" t="s">
        <v>130</v>
      </c>
      <c r="BP2561" s="0" t="s">
        <v>130</v>
      </c>
      <c r="BQ2561" s="0" t="s">
        <v>130</v>
      </c>
      <c r="BR2561" s="0" t="s">
        <v>130</v>
      </c>
      <c r="BS2561" s="0" t="s">
        <v>130</v>
      </c>
      <c r="BT2561" s="0" t="s">
        <v>130</v>
      </c>
      <c r="BU2561" s="0" t="s">
        <v>130</v>
      </c>
      <c r="BV2561" s="0" t="s">
        <v>141</v>
      </c>
      <c r="BW2561" s="0" t="s">
        <v>141</v>
      </c>
      <c r="BX2561" s="0" t="s">
        <v>130</v>
      </c>
      <c r="BY2561" s="0" t="s">
        <v>130</v>
      </c>
      <c r="BZ2561" s="0" t="s">
        <v>130</v>
      </c>
      <c r="CA2561" s="0" t="s">
        <v>130</v>
      </c>
      <c r="CB2561" s="0" t="s">
        <v>130</v>
      </c>
      <c r="CC2561" s="0" t="s">
        <v>130</v>
      </c>
      <c r="CD2561" s="0" t="s">
        <v>130</v>
      </c>
      <c r="CE2561" s="0" t="s">
        <v>130</v>
      </c>
      <c r="CF2561" s="0" t="s">
        <v>130</v>
      </c>
      <c r="CG2561" s="0" t="s">
        <v>130</v>
      </c>
      <c r="CH2561" s="0" t="s">
        <v>130</v>
      </c>
      <c r="CI2561" s="0" t="s">
        <v>130</v>
      </c>
      <c r="CJ2561" s="0" t="s">
        <v>130</v>
      </c>
      <c r="CK2561" s="0" t="s">
        <v>130</v>
      </c>
      <c r="CL2561" s="0" t="s">
        <v>130</v>
      </c>
      <c r="CM2561" s="0" t="s">
        <v>130</v>
      </c>
      <c r="CN2561" s="0" t="s">
        <v>130</v>
      </c>
      <c r="CO2561" s="0" t="s">
        <v>130</v>
      </c>
      <c r="CP2561" s="0" t="s">
        <v>130</v>
      </c>
      <c r="CQ2561" s="0" t="s">
        <v>130</v>
      </c>
      <c r="CR2561" s="0" t="s">
        <v>130</v>
      </c>
      <c r="CS2561" s="0" t="s">
        <v>130</v>
      </c>
      <c r="CT2561" s="0" t="s">
        <v>6951</v>
      </c>
    </row>
    <row r="2562">
      <c r="A2562" s="14">
        <v>101491</v>
      </c>
      <c r="B2562" s="0" t="s">
        <v>1642</v>
      </c>
      <c r="C2562" s="16">
        <f>HYPERLINK("https://eosportal.federatedhermes.com/companies/Q29tcGFueQppNjMzMzM=", "TotalEnergies SE")</f>
      </c>
      <c r="D2562" s="0" t="s">
        <v>25</v>
      </c>
      <c r="E2562" s="0" t="s">
        <v>6952</v>
      </c>
      <c r="F2562" s="16">
        <f>HYPERLINK("https://eosportal.federatedhermes.com/engagements/RW5nYWdlbWVudAppMzQ1MDI=", "Biodiversity in Tilenga and EACOP")</f>
      </c>
      <c r="G2562" s="14" t="s">
        <v>6953</v>
      </c>
      <c r="H2562" s="0" t="s">
        <v>141</v>
      </c>
      <c r="I2562" s="14" t="s">
        <v>1645</v>
      </c>
      <c r="J2562" s="0" t="s">
        <v>197</v>
      </c>
      <c r="K2562" s="0" t="s">
        <v>337</v>
      </c>
      <c r="L2562" s="0" t="s">
        <v>576</v>
      </c>
      <c r="M2562" s="0" t="s">
        <v>378</v>
      </c>
      <c r="N2562" s="0" t="s">
        <v>1646</v>
      </c>
      <c r="O2562" s="0" t="s">
        <v>542</v>
      </c>
      <c r="Q2562" s="0" t="s">
        <v>141</v>
      </c>
      <c r="R2562" s="0" t="s">
        <v>138</v>
      </c>
      <c r="S2562" s="14">
        <v>1</v>
      </c>
      <c r="T2562" s="0" t="s">
        <v>446</v>
      </c>
      <c r="U2562" s="0" t="s">
        <v>138</v>
      </c>
      <c r="V2562" s="14" t="s">
        <v>138</v>
      </c>
      <c r="W2562" s="0" t="s">
        <v>138</v>
      </c>
      <c r="X2562" s="14" t="s">
        <v>138</v>
      </c>
      <c r="Y2562" s="0" t="s">
        <v>138</v>
      </c>
      <c r="Z2562" s="14" t="s">
        <v>138</v>
      </c>
      <c r="AA2562" s="0" t="s">
        <v>138</v>
      </c>
      <c r="AB2562" s="14" t="s">
        <v>138</v>
      </c>
      <c r="AD2562" s="0" t="s">
        <v>138</v>
      </c>
      <c r="AF2562" s="0">
        <v>0</v>
      </c>
      <c r="AG2562" s="0">
        <v>0</v>
      </c>
      <c r="AH2562" s="0" t="s">
        <v>140</v>
      </c>
      <c r="AI2562" s="0" t="s">
        <v>138</v>
      </c>
      <c r="AK2562" s="0" t="s">
        <v>300</v>
      </c>
      <c r="AL2562" s="14"/>
      <c r="AN2562" s="14"/>
      <c r="AQ2562" s="0" t="s">
        <v>130</v>
      </c>
      <c r="AR2562" s="0" t="s">
        <v>130</v>
      </c>
      <c r="AS2562" s="0" t="s">
        <v>130</v>
      </c>
      <c r="AT2562" s="0" t="s">
        <v>130</v>
      </c>
      <c r="AU2562" s="0" t="s">
        <v>130</v>
      </c>
      <c r="AV2562" s="0" t="s">
        <v>130</v>
      </c>
      <c r="AW2562" s="0" t="s">
        <v>130</v>
      </c>
      <c r="AX2562" s="0" t="s">
        <v>130</v>
      </c>
      <c r="AY2562" s="0" t="s">
        <v>130</v>
      </c>
      <c r="AZ2562" s="0" t="s">
        <v>130</v>
      </c>
      <c r="BA2562" s="0" t="s">
        <v>130</v>
      </c>
      <c r="BB2562" s="0" t="s">
        <v>141</v>
      </c>
      <c r="BC2562" s="0" t="s">
        <v>130</v>
      </c>
      <c r="BD2562" s="0" t="s">
        <v>130</v>
      </c>
      <c r="BE2562" s="0" t="s">
        <v>141</v>
      </c>
      <c r="BF2562" s="0" t="s">
        <v>130</v>
      </c>
      <c r="BG2562" s="0" t="s">
        <v>130</v>
      </c>
      <c r="BH2562" s="0" t="s">
        <v>130</v>
      </c>
      <c r="BI2562" s="0" t="s">
        <v>130</v>
      </c>
      <c r="BJ2562" s="0" t="s">
        <v>130</v>
      </c>
      <c r="BK2562" s="0" t="s">
        <v>130</v>
      </c>
      <c r="BL2562" s="0" t="s">
        <v>130</v>
      </c>
      <c r="BM2562" s="0" t="s">
        <v>130</v>
      </c>
      <c r="BN2562" s="0" t="s">
        <v>130</v>
      </c>
      <c r="BO2562" s="0" t="s">
        <v>130</v>
      </c>
      <c r="BP2562" s="0" t="s">
        <v>130</v>
      </c>
      <c r="BQ2562" s="0" t="s">
        <v>130</v>
      </c>
      <c r="BR2562" s="0" t="s">
        <v>130</v>
      </c>
      <c r="BS2562" s="0" t="s">
        <v>130</v>
      </c>
      <c r="BT2562" s="0" t="s">
        <v>130</v>
      </c>
      <c r="BU2562" s="0" t="s">
        <v>130</v>
      </c>
      <c r="BV2562" s="0" t="s">
        <v>130</v>
      </c>
      <c r="BW2562" s="0" t="s">
        <v>130</v>
      </c>
      <c r="BX2562" s="0" t="s">
        <v>130</v>
      </c>
      <c r="BY2562" s="0" t="s">
        <v>130</v>
      </c>
      <c r="BZ2562" s="0" t="s">
        <v>130</v>
      </c>
      <c r="CA2562" s="0" t="s">
        <v>130</v>
      </c>
      <c r="CB2562" s="0" t="s">
        <v>130</v>
      </c>
      <c r="CC2562" s="0" t="s">
        <v>130</v>
      </c>
      <c r="CD2562" s="0" t="s">
        <v>130</v>
      </c>
      <c r="CE2562" s="0" t="s">
        <v>130</v>
      </c>
      <c r="CF2562" s="0" t="s">
        <v>130</v>
      </c>
      <c r="CG2562" s="0" t="s">
        <v>130</v>
      </c>
      <c r="CH2562" s="0" t="s">
        <v>130</v>
      </c>
      <c r="CI2562" s="0" t="s">
        <v>130</v>
      </c>
      <c r="CJ2562" s="0" t="s">
        <v>130</v>
      </c>
      <c r="CK2562" s="0" t="s">
        <v>130</v>
      </c>
      <c r="CL2562" s="0" t="s">
        <v>130</v>
      </c>
      <c r="CM2562" s="0" t="s">
        <v>130</v>
      </c>
      <c r="CN2562" s="0" t="s">
        <v>130</v>
      </c>
      <c r="CO2562" s="0" t="s">
        <v>130</v>
      </c>
      <c r="CP2562" s="0" t="s">
        <v>130</v>
      </c>
      <c r="CQ2562" s="0" t="s">
        <v>130</v>
      </c>
      <c r="CR2562" s="0" t="s">
        <v>130</v>
      </c>
      <c r="CS2562" s="0" t="s">
        <v>130</v>
      </c>
      <c r="CT2562" s="0" t="s">
        <v>6954</v>
      </c>
    </row>
    <row r="2563">
      <c r="A2563" s="14">
        <v>18154628</v>
      </c>
      <c r="B2563" s="0" t="s">
        <v>4393</v>
      </c>
      <c r="C2563" s="16">
        <f>HYPERLINK("https://eosportal.federatedhermes.com/companies/Q29tcGFueQppODUyMTU=", "AIA Group Ltd")</f>
      </c>
      <c r="D2563" s="0" t="s">
        <v>25</v>
      </c>
      <c r="E2563" s="0" t="s">
        <v>6955</v>
      </c>
      <c r="F2563" s="16">
        <f>HYPERLINK("https://eosportal.federatedhermes.com/engagements/RW5nYWdlbWVudAppMzQ1MDc=", "Director time committment")</f>
      </c>
      <c r="G2563" s="14" t="s">
        <v>6956</v>
      </c>
      <c r="H2563" s="0" t="s">
        <v>141</v>
      </c>
      <c r="I2563" s="14" t="s">
        <v>131</v>
      </c>
      <c r="J2563" s="0" t="s">
        <v>145</v>
      </c>
      <c r="K2563" s="0" t="s">
        <v>164</v>
      </c>
      <c r="L2563" s="0" t="s">
        <v>165</v>
      </c>
      <c r="M2563" s="0" t="s">
        <v>802</v>
      </c>
      <c r="N2563" s="0" t="s">
        <v>803</v>
      </c>
      <c r="O2563" s="0" t="s">
        <v>238</v>
      </c>
      <c r="Q2563" s="0" t="s">
        <v>130</v>
      </c>
      <c r="R2563" s="0" t="s">
        <v>138</v>
      </c>
      <c r="S2563" s="14">
        <v>0</v>
      </c>
      <c r="T2563" s="0" t="s">
        <v>446</v>
      </c>
      <c r="U2563" s="0" t="s">
        <v>138</v>
      </c>
      <c r="V2563" s="14" t="s">
        <v>138</v>
      </c>
      <c r="W2563" s="0" t="s">
        <v>138</v>
      </c>
      <c r="X2563" s="14" t="s">
        <v>138</v>
      </c>
      <c r="Y2563" s="0" t="s">
        <v>138</v>
      </c>
      <c r="Z2563" s="14" t="s">
        <v>138</v>
      </c>
      <c r="AA2563" s="0" t="s">
        <v>138</v>
      </c>
      <c r="AB2563" s="14" t="s">
        <v>138</v>
      </c>
      <c r="AD2563" s="0" t="s">
        <v>138</v>
      </c>
      <c r="AF2563" s="0">
        <v>0</v>
      </c>
      <c r="AG2563" s="0">
        <v>0</v>
      </c>
      <c r="AH2563" s="0" t="s">
        <v>140</v>
      </c>
      <c r="AI2563" s="0" t="s">
        <v>138</v>
      </c>
      <c r="AL2563" s="14"/>
      <c r="AN2563" s="14"/>
      <c r="AQ2563" s="0" t="s">
        <v>130</v>
      </c>
      <c r="AR2563" s="0" t="s">
        <v>130</v>
      </c>
      <c r="AS2563" s="0" t="s">
        <v>130</v>
      </c>
      <c r="AT2563" s="0" t="s">
        <v>130</v>
      </c>
      <c r="AU2563" s="0" t="s">
        <v>130</v>
      </c>
      <c r="AV2563" s="0" t="s">
        <v>130</v>
      </c>
      <c r="AW2563" s="0" t="s">
        <v>130</v>
      </c>
      <c r="AX2563" s="0" t="s">
        <v>130</v>
      </c>
      <c r="AY2563" s="0" t="s">
        <v>130</v>
      </c>
      <c r="AZ2563" s="0" t="s">
        <v>130</v>
      </c>
      <c r="BA2563" s="0" t="s">
        <v>130</v>
      </c>
      <c r="BB2563" s="0" t="s">
        <v>130</v>
      </c>
      <c r="BC2563" s="0" t="s">
        <v>130</v>
      </c>
      <c r="BD2563" s="0" t="s">
        <v>130</v>
      </c>
      <c r="BE2563" s="0" t="s">
        <v>130</v>
      </c>
      <c r="BF2563" s="0" t="s">
        <v>130</v>
      </c>
      <c r="BG2563" s="0" t="s">
        <v>130</v>
      </c>
      <c r="BH2563" s="0" t="s">
        <v>130</v>
      </c>
      <c r="BI2563" s="0" t="s">
        <v>130</v>
      </c>
      <c r="BJ2563" s="0" t="s">
        <v>130</v>
      </c>
      <c r="BK2563" s="0" t="s">
        <v>130</v>
      </c>
      <c r="BL2563" s="0" t="s">
        <v>130</v>
      </c>
      <c r="BM2563" s="0" t="s">
        <v>130</v>
      </c>
      <c r="BN2563" s="0" t="s">
        <v>130</v>
      </c>
      <c r="BO2563" s="0" t="s">
        <v>130</v>
      </c>
      <c r="BP2563" s="0" t="s">
        <v>130</v>
      </c>
      <c r="BQ2563" s="0" t="s">
        <v>130</v>
      </c>
      <c r="BR2563" s="0" t="s">
        <v>130</v>
      </c>
      <c r="BS2563" s="0" t="s">
        <v>130</v>
      </c>
      <c r="BT2563" s="0" t="s">
        <v>130</v>
      </c>
      <c r="BU2563" s="0" t="s">
        <v>130</v>
      </c>
      <c r="BV2563" s="0" t="s">
        <v>130</v>
      </c>
      <c r="BW2563" s="0" t="s">
        <v>130</v>
      </c>
      <c r="BX2563" s="0" t="s">
        <v>130</v>
      </c>
      <c r="BY2563" s="0" t="s">
        <v>130</v>
      </c>
      <c r="BZ2563" s="0" t="s">
        <v>130</v>
      </c>
      <c r="CA2563" s="0" t="s">
        <v>130</v>
      </c>
      <c r="CB2563" s="0" t="s">
        <v>130</v>
      </c>
      <c r="CC2563" s="0" t="s">
        <v>130</v>
      </c>
      <c r="CD2563" s="0" t="s">
        <v>130</v>
      </c>
      <c r="CE2563" s="0" t="s">
        <v>130</v>
      </c>
      <c r="CF2563" s="0" t="s">
        <v>130</v>
      </c>
      <c r="CG2563" s="0" t="s">
        <v>130</v>
      </c>
      <c r="CH2563" s="0" t="s">
        <v>130</v>
      </c>
      <c r="CI2563" s="0" t="s">
        <v>130</v>
      </c>
      <c r="CJ2563" s="0" t="s">
        <v>130</v>
      </c>
      <c r="CK2563" s="0" t="s">
        <v>130</v>
      </c>
      <c r="CL2563" s="0" t="s">
        <v>130</v>
      </c>
      <c r="CM2563" s="0" t="s">
        <v>130</v>
      </c>
      <c r="CN2563" s="0" t="s">
        <v>130</v>
      </c>
      <c r="CO2563" s="0" t="s">
        <v>130</v>
      </c>
      <c r="CP2563" s="0" t="s">
        <v>130</v>
      </c>
      <c r="CQ2563" s="0" t="s">
        <v>130</v>
      </c>
      <c r="CR2563" s="0" t="s">
        <v>130</v>
      </c>
      <c r="CS2563" s="0" t="s">
        <v>130</v>
      </c>
      <c r="CT2563" s="0" t="s">
        <v>6957</v>
      </c>
    </row>
    <row r="2564">
      <c r="A2564" s="14">
        <v>117400</v>
      </c>
      <c r="B2564" s="0" t="s">
        <v>2831</v>
      </c>
      <c r="C2564" s="16">
        <f>HYPERLINK("https://eosportal.federatedhermes.com/companies/Q29tcGFueQppNzE3MDY=", "Alpha Services and Holdings SA")</f>
      </c>
      <c r="D2564" s="0" t="s">
        <v>25</v>
      </c>
      <c r="E2564" s="0" t="s">
        <v>6958</v>
      </c>
      <c r="F2564" s="16">
        <f>HYPERLINK("https://eosportal.federatedhermes.com/engagements/RW5nYWdlbWVudAppMzQ1MTc=", "Climate Lobbying Disclosure")</f>
      </c>
      <c r="G2564" s="14" t="s">
        <v>6959</v>
      </c>
      <c r="H2564" s="0" t="s">
        <v>130</v>
      </c>
      <c r="I2564" s="14" t="s">
        <v>131</v>
      </c>
      <c r="J2564" s="0" t="s">
        <v>197</v>
      </c>
      <c r="K2564" s="0" t="s">
        <v>198</v>
      </c>
      <c r="L2564" s="0" t="s">
        <v>199</v>
      </c>
      <c r="M2564" s="0" t="s">
        <v>378</v>
      </c>
      <c r="N2564" s="0" t="s">
        <v>2834</v>
      </c>
      <c r="O2564" s="0" t="s">
        <v>238</v>
      </c>
      <c r="Q2564" s="0" t="s">
        <v>130</v>
      </c>
      <c r="R2564" s="0" t="s">
        <v>138</v>
      </c>
      <c r="S2564" s="14">
        <v>0</v>
      </c>
      <c r="T2564" s="0" t="s">
        <v>446</v>
      </c>
      <c r="U2564" s="0" t="s">
        <v>138</v>
      </c>
      <c r="V2564" s="14" t="s">
        <v>138</v>
      </c>
      <c r="W2564" s="0" t="s">
        <v>138</v>
      </c>
      <c r="X2564" s="14" t="s">
        <v>138</v>
      </c>
      <c r="Y2564" s="0" t="s">
        <v>138</v>
      </c>
      <c r="Z2564" s="14" t="s">
        <v>138</v>
      </c>
      <c r="AA2564" s="0" t="s">
        <v>138</v>
      </c>
      <c r="AB2564" s="14" t="s">
        <v>138</v>
      </c>
      <c r="AD2564" s="0" t="s">
        <v>138</v>
      </c>
      <c r="AF2564" s="0">
        <v>0</v>
      </c>
      <c r="AG2564" s="0">
        <v>0</v>
      </c>
      <c r="AH2564" s="0" t="s">
        <v>140</v>
      </c>
      <c r="AI2564" s="0" t="s">
        <v>138</v>
      </c>
      <c r="AL2564" s="14"/>
      <c r="AN2564" s="14"/>
      <c r="AQ2564" s="0" t="s">
        <v>130</v>
      </c>
      <c r="AR2564" s="0" t="s">
        <v>130</v>
      </c>
      <c r="AS2564" s="0" t="s">
        <v>130</v>
      </c>
      <c r="AT2564" s="0" t="s">
        <v>130</v>
      </c>
      <c r="AU2564" s="0" t="s">
        <v>130</v>
      </c>
      <c r="AV2564" s="0" t="s">
        <v>130</v>
      </c>
      <c r="AW2564" s="0" t="s">
        <v>130</v>
      </c>
      <c r="AX2564" s="0" t="s">
        <v>130</v>
      </c>
      <c r="AY2564" s="0" t="s">
        <v>130</v>
      </c>
      <c r="AZ2564" s="0" t="s">
        <v>130</v>
      </c>
      <c r="BA2564" s="0" t="s">
        <v>130</v>
      </c>
      <c r="BB2564" s="0" t="s">
        <v>141</v>
      </c>
      <c r="BC2564" s="0" t="s">
        <v>141</v>
      </c>
      <c r="BD2564" s="0" t="s">
        <v>130</v>
      </c>
      <c r="BE2564" s="0" t="s">
        <v>130</v>
      </c>
      <c r="BF2564" s="0" t="s">
        <v>130</v>
      </c>
      <c r="BG2564" s="0" t="s">
        <v>130</v>
      </c>
      <c r="BH2564" s="0" t="s">
        <v>130</v>
      </c>
      <c r="BI2564" s="0" t="s">
        <v>130</v>
      </c>
      <c r="BJ2564" s="0" t="s">
        <v>130</v>
      </c>
      <c r="BK2564" s="0" t="s">
        <v>130</v>
      </c>
      <c r="BL2564" s="0" t="s">
        <v>130</v>
      </c>
      <c r="BM2564" s="0" t="s">
        <v>130</v>
      </c>
      <c r="BN2564" s="0" t="s">
        <v>130</v>
      </c>
      <c r="BO2564" s="0" t="s">
        <v>130</v>
      </c>
      <c r="BP2564" s="0" t="s">
        <v>130</v>
      </c>
      <c r="BQ2564" s="0" t="s">
        <v>130</v>
      </c>
      <c r="BR2564" s="0" t="s">
        <v>130</v>
      </c>
      <c r="BS2564" s="0" t="s">
        <v>130</v>
      </c>
      <c r="BT2564" s="0" t="s">
        <v>130</v>
      </c>
      <c r="BU2564" s="0" t="s">
        <v>130</v>
      </c>
      <c r="BV2564" s="0" t="s">
        <v>130</v>
      </c>
      <c r="BW2564" s="0" t="s">
        <v>130</v>
      </c>
      <c r="BX2564" s="0" t="s">
        <v>130</v>
      </c>
      <c r="BY2564" s="0" t="s">
        <v>130</v>
      </c>
      <c r="BZ2564" s="0" t="s">
        <v>130</v>
      </c>
      <c r="CA2564" s="0" t="s">
        <v>130</v>
      </c>
      <c r="CB2564" s="0" t="s">
        <v>130</v>
      </c>
      <c r="CC2564" s="0" t="s">
        <v>130</v>
      </c>
      <c r="CD2564" s="0" t="s">
        <v>130</v>
      </c>
      <c r="CE2564" s="0" t="s">
        <v>130</v>
      </c>
      <c r="CF2564" s="0" t="s">
        <v>130</v>
      </c>
      <c r="CG2564" s="0" t="s">
        <v>130</v>
      </c>
      <c r="CH2564" s="0" t="s">
        <v>130</v>
      </c>
      <c r="CI2564" s="0" t="s">
        <v>130</v>
      </c>
      <c r="CJ2564" s="0" t="s">
        <v>130</v>
      </c>
      <c r="CK2564" s="0" t="s">
        <v>130</v>
      </c>
      <c r="CL2564" s="0" t="s">
        <v>130</v>
      </c>
      <c r="CM2564" s="0" t="s">
        <v>130</v>
      </c>
      <c r="CN2564" s="0" t="s">
        <v>130</v>
      </c>
      <c r="CO2564" s="0" t="s">
        <v>130</v>
      </c>
      <c r="CP2564" s="0" t="s">
        <v>130</v>
      </c>
      <c r="CQ2564" s="0" t="s">
        <v>130</v>
      </c>
      <c r="CR2564" s="0" t="s">
        <v>130</v>
      </c>
      <c r="CS2564" s="0" t="s">
        <v>130</v>
      </c>
      <c r="CT2564" s="0" t="s">
        <v>6960</v>
      </c>
    </row>
    <row r="2565">
      <c r="A2565" s="14">
        <v>304214</v>
      </c>
      <c r="B2565" s="0" t="s">
        <v>3545</v>
      </c>
      <c r="C2565" s="16">
        <f>HYPERLINK("https://eosportal.federatedhermes.com/companies/Q29tcGFueQppODU4Nzc=", "Anhui Conch Cement Co Ltd")</f>
      </c>
      <c r="D2565" s="0" t="s">
        <v>23</v>
      </c>
      <c r="E2565" s="0" t="s">
        <v>1394</v>
      </c>
      <c r="F2565" s="16">
        <f>HYPERLINK("https://eosportal.federatedhermes.com/engagements/RW5nYWdlbWVudAppMzQ1NTE=", "Biodiversity impact and dependence assessment")</f>
      </c>
      <c r="G2565" s="14" t="s">
        <v>6961</v>
      </c>
      <c r="H2565" s="0" t="s">
        <v>141</v>
      </c>
      <c r="I2565" s="14" t="s">
        <v>131</v>
      </c>
      <c r="J2565" s="0" t="s">
        <v>197</v>
      </c>
      <c r="K2565" s="0" t="s">
        <v>337</v>
      </c>
      <c r="L2565" s="0" t="s">
        <v>576</v>
      </c>
      <c r="M2565" s="0" t="s">
        <v>2807</v>
      </c>
      <c r="N2565" s="0" t="s">
        <v>3272</v>
      </c>
      <c r="O2565" s="0" t="s">
        <v>373</v>
      </c>
      <c r="Q2565" s="0" t="s">
        <v>141</v>
      </c>
      <c r="R2565" s="0" t="s">
        <v>141</v>
      </c>
      <c r="S2565" s="14">
        <v>3</v>
      </c>
      <c r="T2565" s="0" t="s">
        <v>446</v>
      </c>
      <c r="U2565" s="0" t="s">
        <v>221</v>
      </c>
      <c r="V2565" s="14" t="s">
        <v>446</v>
      </c>
      <c r="W2565" s="0" t="s">
        <v>221</v>
      </c>
      <c r="X2565" s="14" t="s">
        <v>361</v>
      </c>
      <c r="Y2565" s="0" t="s">
        <v>223</v>
      </c>
      <c r="Z2565" s="14" t="s">
        <v>138</v>
      </c>
      <c r="AA2565" s="0" t="s">
        <v>224</v>
      </c>
      <c r="AB2565" s="14" t="s">
        <v>138</v>
      </c>
      <c r="AC2565" s="0" t="s">
        <v>14</v>
      </c>
      <c r="AD2565" s="0" t="s">
        <v>17</v>
      </c>
      <c r="AE2565" s="0" t="s">
        <v>5508</v>
      </c>
      <c r="AF2565" s="0">
        <v>1</v>
      </c>
      <c r="AG2565" s="0">
        <v>0</v>
      </c>
      <c r="AH2565" s="0" t="s">
        <v>140</v>
      </c>
      <c r="AI2565" s="0" t="s">
        <v>598</v>
      </c>
      <c r="AK2565" s="0" t="s">
        <v>2795</v>
      </c>
      <c r="AL2565" s="14"/>
      <c r="AN2565" s="14"/>
      <c r="AQ2565" s="0" t="s">
        <v>130</v>
      </c>
      <c r="AR2565" s="0" t="s">
        <v>130</v>
      </c>
      <c r="AS2565" s="0" t="s">
        <v>130</v>
      </c>
      <c r="AT2565" s="0" t="s">
        <v>130</v>
      </c>
      <c r="AU2565" s="0" t="s">
        <v>130</v>
      </c>
      <c r="AV2565" s="0" t="s">
        <v>130</v>
      </c>
      <c r="AW2565" s="0" t="s">
        <v>130</v>
      </c>
      <c r="AX2565" s="0" t="s">
        <v>130</v>
      </c>
      <c r="AY2565" s="0" t="s">
        <v>130</v>
      </c>
      <c r="AZ2565" s="0" t="s">
        <v>130</v>
      </c>
      <c r="BA2565" s="0" t="s">
        <v>141</v>
      </c>
      <c r="BB2565" s="0" t="s">
        <v>141</v>
      </c>
      <c r="BC2565" s="0" t="s">
        <v>130</v>
      </c>
      <c r="BD2565" s="0" t="s">
        <v>130</v>
      </c>
      <c r="BE2565" s="0" t="s">
        <v>141</v>
      </c>
      <c r="BF2565" s="0" t="s">
        <v>130</v>
      </c>
      <c r="BG2565" s="0" t="s">
        <v>130</v>
      </c>
      <c r="BH2565" s="0" t="s">
        <v>130</v>
      </c>
      <c r="BI2565" s="0" t="s">
        <v>130</v>
      </c>
      <c r="BJ2565" s="0" t="s">
        <v>130</v>
      </c>
      <c r="BK2565" s="0" t="s">
        <v>130</v>
      </c>
      <c r="BL2565" s="0" t="s">
        <v>130</v>
      </c>
      <c r="BM2565" s="0" t="s">
        <v>130</v>
      </c>
      <c r="BN2565" s="0" t="s">
        <v>130</v>
      </c>
      <c r="BO2565" s="0" t="s">
        <v>130</v>
      </c>
      <c r="BP2565" s="0" t="s">
        <v>130</v>
      </c>
      <c r="BQ2565" s="0" t="s">
        <v>130</v>
      </c>
      <c r="BR2565" s="0" t="s">
        <v>130</v>
      </c>
      <c r="BS2565" s="0" t="s">
        <v>130</v>
      </c>
      <c r="BT2565" s="0" t="s">
        <v>130</v>
      </c>
      <c r="BU2565" s="0" t="s">
        <v>130</v>
      </c>
      <c r="BV2565" s="0" t="s">
        <v>130</v>
      </c>
      <c r="BW2565" s="0" t="s">
        <v>130</v>
      </c>
      <c r="BX2565" s="0" t="s">
        <v>130</v>
      </c>
      <c r="BY2565" s="0" t="s">
        <v>130</v>
      </c>
      <c r="BZ2565" s="0" t="s">
        <v>130</v>
      </c>
      <c r="CA2565" s="0" t="s">
        <v>130</v>
      </c>
      <c r="CB2565" s="0" t="s">
        <v>130</v>
      </c>
      <c r="CC2565" s="0" t="s">
        <v>130</v>
      </c>
      <c r="CD2565" s="0" t="s">
        <v>130</v>
      </c>
      <c r="CE2565" s="0" t="s">
        <v>130</v>
      </c>
      <c r="CF2565" s="0" t="s">
        <v>130</v>
      </c>
      <c r="CG2565" s="0" t="s">
        <v>130</v>
      </c>
      <c r="CH2565" s="0" t="s">
        <v>130</v>
      </c>
      <c r="CI2565" s="0" t="s">
        <v>130</v>
      </c>
      <c r="CJ2565" s="0" t="s">
        <v>130</v>
      </c>
      <c r="CK2565" s="0" t="s">
        <v>130</v>
      </c>
      <c r="CL2565" s="0" t="s">
        <v>130</v>
      </c>
      <c r="CM2565" s="0" t="s">
        <v>130</v>
      </c>
      <c r="CN2565" s="0" t="s">
        <v>130</v>
      </c>
      <c r="CO2565" s="0" t="s">
        <v>130</v>
      </c>
      <c r="CP2565" s="0" t="s">
        <v>130</v>
      </c>
      <c r="CQ2565" s="0" t="s">
        <v>130</v>
      </c>
      <c r="CR2565" s="0" t="s">
        <v>130</v>
      </c>
      <c r="CS2565" s="0" t="s">
        <v>130</v>
      </c>
      <c r="CT2565" s="0" t="s">
        <v>6962</v>
      </c>
    </row>
    <row r="2566">
      <c r="A2566" s="14">
        <v>9545052</v>
      </c>
      <c r="B2566" s="0" t="s">
        <v>127</v>
      </c>
      <c r="C2566" s="16">
        <f>HYPERLINK("https://eosportal.federatedhermes.com/companies/Q29tcGFueQppODM4MjI=", "Warner Bros Discovery Inc")</f>
      </c>
      <c r="D2566" s="0" t="s">
        <v>23</v>
      </c>
      <c r="E2566" s="0" t="s">
        <v>2237</v>
      </c>
      <c r="F2566" s="16">
        <f>HYPERLINK("https://eosportal.federatedhermes.com/engagements/RW5nYWdlbWVudAppMzQ2MDc=", "Artificial Intelligence")</f>
      </c>
      <c r="G2566" s="14" t="s">
        <v>6963</v>
      </c>
      <c r="H2566" s="0" t="s">
        <v>130</v>
      </c>
      <c r="I2566" s="14" t="s">
        <v>131</v>
      </c>
      <c r="J2566" s="0" t="s">
        <v>153</v>
      </c>
      <c r="K2566" s="0" t="s">
        <v>243</v>
      </c>
      <c r="L2566" s="0" t="s">
        <v>537</v>
      </c>
      <c r="M2566" s="0" t="s">
        <v>135</v>
      </c>
      <c r="N2566" s="0" t="s">
        <v>136</v>
      </c>
      <c r="O2566" s="0" t="s">
        <v>137</v>
      </c>
      <c r="Q2566" s="0" t="s">
        <v>141</v>
      </c>
      <c r="R2566" s="0" t="s">
        <v>141</v>
      </c>
      <c r="S2566" s="14">
        <v>1</v>
      </c>
      <c r="T2566" s="0" t="s">
        <v>446</v>
      </c>
      <c r="U2566" s="0" t="s">
        <v>221</v>
      </c>
      <c r="V2566" s="14" t="s">
        <v>446</v>
      </c>
      <c r="W2566" s="0" t="s">
        <v>221</v>
      </c>
      <c r="X2566" s="14" t="s">
        <v>2842</v>
      </c>
      <c r="Y2566" s="0" t="s">
        <v>221</v>
      </c>
      <c r="Z2566" s="14" t="s">
        <v>361</v>
      </c>
      <c r="AA2566" s="0" t="s">
        <v>223</v>
      </c>
      <c r="AB2566" s="14" t="s">
        <v>138</v>
      </c>
      <c r="AC2566" s="0" t="s">
        <v>17</v>
      </c>
      <c r="AD2566" s="0" t="s">
        <v>20</v>
      </c>
      <c r="AE2566" s="0" t="s">
        <v>2266</v>
      </c>
      <c r="AF2566" s="0">
        <v>1</v>
      </c>
      <c r="AG2566" s="0">
        <v>0</v>
      </c>
      <c r="AH2566" s="0" t="s">
        <v>140</v>
      </c>
      <c r="AI2566" s="0" t="s">
        <v>598</v>
      </c>
      <c r="AK2566" s="0" t="s">
        <v>149</v>
      </c>
      <c r="AL2566" s="14"/>
      <c r="AN2566" s="14"/>
      <c r="AQ2566" s="0" t="s">
        <v>130</v>
      </c>
      <c r="AR2566" s="0" t="s">
        <v>130</v>
      </c>
      <c r="AS2566" s="0" t="s">
        <v>130</v>
      </c>
      <c r="AT2566" s="0" t="s">
        <v>130</v>
      </c>
      <c r="AU2566" s="0" t="s">
        <v>130</v>
      </c>
      <c r="AV2566" s="0" t="s">
        <v>130</v>
      </c>
      <c r="AW2566" s="0" t="s">
        <v>130</v>
      </c>
      <c r="AX2566" s="0" t="s">
        <v>130</v>
      </c>
      <c r="AY2566" s="0" t="s">
        <v>130</v>
      </c>
      <c r="AZ2566" s="0" t="s">
        <v>130</v>
      </c>
      <c r="BA2566" s="0" t="s">
        <v>130</v>
      </c>
      <c r="BB2566" s="0" t="s">
        <v>141</v>
      </c>
      <c r="BC2566" s="0" t="s">
        <v>130</v>
      </c>
      <c r="BD2566" s="0" t="s">
        <v>130</v>
      </c>
      <c r="BE2566" s="0" t="s">
        <v>130</v>
      </c>
      <c r="BF2566" s="0" t="s">
        <v>141</v>
      </c>
      <c r="BG2566" s="0" t="s">
        <v>130</v>
      </c>
      <c r="BH2566" s="0" t="s">
        <v>130</v>
      </c>
      <c r="BI2566" s="0" t="s">
        <v>130</v>
      </c>
      <c r="BJ2566" s="0" t="s">
        <v>130</v>
      </c>
      <c r="BK2566" s="0" t="s">
        <v>130</v>
      </c>
      <c r="BL2566" s="0" t="s">
        <v>130</v>
      </c>
      <c r="BM2566" s="0" t="s">
        <v>130</v>
      </c>
      <c r="BN2566" s="0" t="s">
        <v>130</v>
      </c>
      <c r="BO2566" s="0" t="s">
        <v>130</v>
      </c>
      <c r="BP2566" s="0" t="s">
        <v>130</v>
      </c>
      <c r="BQ2566" s="0" t="s">
        <v>130</v>
      </c>
      <c r="BR2566" s="0" t="s">
        <v>130</v>
      </c>
      <c r="BS2566" s="0" t="s">
        <v>130</v>
      </c>
      <c r="BT2566" s="0" t="s">
        <v>130</v>
      </c>
      <c r="BU2566" s="0" t="s">
        <v>130</v>
      </c>
      <c r="BV2566" s="0" t="s">
        <v>130</v>
      </c>
      <c r="BW2566" s="0" t="s">
        <v>130</v>
      </c>
      <c r="BX2566" s="0" t="s">
        <v>130</v>
      </c>
      <c r="BY2566" s="0" t="s">
        <v>130</v>
      </c>
      <c r="BZ2566" s="0" t="s">
        <v>130</v>
      </c>
      <c r="CA2566" s="0" t="s">
        <v>130</v>
      </c>
      <c r="CB2566" s="0" t="s">
        <v>130</v>
      </c>
      <c r="CC2566" s="0" t="s">
        <v>130</v>
      </c>
      <c r="CD2566" s="0" t="s">
        <v>130</v>
      </c>
      <c r="CE2566" s="0" t="s">
        <v>130</v>
      </c>
      <c r="CF2566" s="0" t="s">
        <v>130</v>
      </c>
      <c r="CG2566" s="0" t="s">
        <v>130</v>
      </c>
      <c r="CH2566" s="0" t="s">
        <v>130</v>
      </c>
      <c r="CI2566" s="0" t="s">
        <v>130</v>
      </c>
      <c r="CJ2566" s="0" t="s">
        <v>130</v>
      </c>
      <c r="CK2566" s="0" t="s">
        <v>130</v>
      </c>
      <c r="CL2566" s="0" t="s">
        <v>130</v>
      </c>
      <c r="CM2566" s="0" t="s">
        <v>130</v>
      </c>
      <c r="CN2566" s="0" t="s">
        <v>130</v>
      </c>
      <c r="CO2566" s="0" t="s">
        <v>130</v>
      </c>
      <c r="CP2566" s="0" t="s">
        <v>130</v>
      </c>
      <c r="CQ2566" s="0" t="s">
        <v>130</v>
      </c>
      <c r="CR2566" s="0" t="s">
        <v>130</v>
      </c>
      <c r="CS2566" s="0" t="s">
        <v>130</v>
      </c>
      <c r="CT2566" s="0" t="s">
        <v>6964</v>
      </c>
    </row>
    <row r="2567">
      <c r="A2567" s="14">
        <v>101166</v>
      </c>
      <c r="B2567" s="0" t="s">
        <v>1275</v>
      </c>
      <c r="C2567" s="16">
        <f>HYPERLINK("https://eosportal.federatedhermes.com/companies/Q29tcGFueQppODU4OTI=", "Pfizer Inc")</f>
      </c>
      <c r="D2567" s="0" t="s">
        <v>23</v>
      </c>
      <c r="E2567" s="0" t="s">
        <v>1352</v>
      </c>
      <c r="F2567" s="16">
        <f>HYPERLINK("https://eosportal.federatedhermes.com/engagements/RW5nYWdlbWVudAppMzQ2MDg=", "Animal Testing")</f>
      </c>
      <c r="G2567" s="14" t="s">
        <v>6965</v>
      </c>
      <c r="H2567" s="0" t="s">
        <v>141</v>
      </c>
      <c r="I2567" s="14" t="s">
        <v>636</v>
      </c>
      <c r="J2567" s="0" t="s">
        <v>197</v>
      </c>
      <c r="K2567" s="0" t="s">
        <v>337</v>
      </c>
      <c r="L2567" s="0" t="s">
        <v>576</v>
      </c>
      <c r="M2567" s="0" t="s">
        <v>135</v>
      </c>
      <c r="N2567" s="0" t="s">
        <v>136</v>
      </c>
      <c r="O2567" s="0" t="s">
        <v>274</v>
      </c>
      <c r="Q2567" s="0" t="s">
        <v>141</v>
      </c>
      <c r="R2567" s="0" t="s">
        <v>141</v>
      </c>
      <c r="S2567" s="14">
        <v>1</v>
      </c>
      <c r="T2567" s="0" t="s">
        <v>3562</v>
      </c>
      <c r="U2567" s="0" t="s">
        <v>221</v>
      </c>
      <c r="V2567" s="14" t="s">
        <v>3562</v>
      </c>
      <c r="W2567" s="0" t="s">
        <v>221</v>
      </c>
      <c r="X2567" s="14" t="s">
        <v>361</v>
      </c>
      <c r="Y2567" s="0" t="s">
        <v>223</v>
      </c>
      <c r="Z2567" s="14" t="s">
        <v>138</v>
      </c>
      <c r="AA2567" s="0" t="s">
        <v>224</v>
      </c>
      <c r="AB2567" s="14" t="s">
        <v>138</v>
      </c>
      <c r="AC2567" s="0" t="s">
        <v>14</v>
      </c>
      <c r="AD2567" s="0" t="s">
        <v>17</v>
      </c>
      <c r="AE2567" s="0" t="s">
        <v>5508</v>
      </c>
      <c r="AF2567" s="0">
        <v>1</v>
      </c>
      <c r="AG2567" s="0">
        <v>0</v>
      </c>
      <c r="AH2567" s="0" t="s">
        <v>140</v>
      </c>
      <c r="AI2567" s="0" t="s">
        <v>598</v>
      </c>
      <c r="AK2567" s="0" t="s">
        <v>1289</v>
      </c>
      <c r="AL2567" s="14"/>
      <c r="AN2567" s="14"/>
      <c r="AQ2567" s="0" t="s">
        <v>130</v>
      </c>
      <c r="AR2567" s="0" t="s">
        <v>130</v>
      </c>
      <c r="AS2567" s="0" t="s">
        <v>130</v>
      </c>
      <c r="AT2567" s="0" t="s">
        <v>130</v>
      </c>
      <c r="AU2567" s="0" t="s">
        <v>130</v>
      </c>
      <c r="AV2567" s="0" t="s">
        <v>130</v>
      </c>
      <c r="AW2567" s="0" t="s">
        <v>130</v>
      </c>
      <c r="AX2567" s="0" t="s">
        <v>130</v>
      </c>
      <c r="AY2567" s="0" t="s">
        <v>130</v>
      </c>
      <c r="AZ2567" s="0" t="s">
        <v>130</v>
      </c>
      <c r="BA2567" s="0" t="s">
        <v>130</v>
      </c>
      <c r="BB2567" s="0" t="s">
        <v>141</v>
      </c>
      <c r="BC2567" s="0" t="s">
        <v>130</v>
      </c>
      <c r="BD2567" s="0" t="s">
        <v>130</v>
      </c>
      <c r="BE2567" s="0" t="s">
        <v>141</v>
      </c>
      <c r="BF2567" s="0" t="s">
        <v>130</v>
      </c>
      <c r="BG2567" s="0" t="s">
        <v>130</v>
      </c>
      <c r="BH2567" s="0" t="s">
        <v>130</v>
      </c>
      <c r="BI2567" s="0" t="s">
        <v>130</v>
      </c>
      <c r="BJ2567" s="0" t="s">
        <v>130</v>
      </c>
      <c r="BK2567" s="0" t="s">
        <v>130</v>
      </c>
      <c r="BL2567" s="0" t="s">
        <v>130</v>
      </c>
      <c r="BM2567" s="0" t="s">
        <v>130</v>
      </c>
      <c r="BN2567" s="0" t="s">
        <v>130</v>
      </c>
      <c r="BO2567" s="0" t="s">
        <v>130</v>
      </c>
      <c r="BP2567" s="0" t="s">
        <v>130</v>
      </c>
      <c r="BQ2567" s="0" t="s">
        <v>130</v>
      </c>
      <c r="BR2567" s="0" t="s">
        <v>130</v>
      </c>
      <c r="BS2567" s="0" t="s">
        <v>130</v>
      </c>
      <c r="BT2567" s="0" t="s">
        <v>130</v>
      </c>
      <c r="BU2567" s="0" t="s">
        <v>130</v>
      </c>
      <c r="BV2567" s="0" t="s">
        <v>130</v>
      </c>
      <c r="BW2567" s="0" t="s">
        <v>130</v>
      </c>
      <c r="BX2567" s="0" t="s">
        <v>130</v>
      </c>
      <c r="BY2567" s="0" t="s">
        <v>130</v>
      </c>
      <c r="BZ2567" s="0" t="s">
        <v>130</v>
      </c>
      <c r="CA2567" s="0" t="s">
        <v>130</v>
      </c>
      <c r="CB2567" s="0" t="s">
        <v>130</v>
      </c>
      <c r="CC2567" s="0" t="s">
        <v>130</v>
      </c>
      <c r="CD2567" s="0" t="s">
        <v>130</v>
      </c>
      <c r="CE2567" s="0" t="s">
        <v>130</v>
      </c>
      <c r="CF2567" s="0" t="s">
        <v>130</v>
      </c>
      <c r="CG2567" s="0" t="s">
        <v>130</v>
      </c>
      <c r="CH2567" s="0" t="s">
        <v>130</v>
      </c>
      <c r="CI2567" s="0" t="s">
        <v>130</v>
      </c>
      <c r="CJ2567" s="0" t="s">
        <v>130</v>
      </c>
      <c r="CK2567" s="0" t="s">
        <v>130</v>
      </c>
      <c r="CL2567" s="0" t="s">
        <v>130</v>
      </c>
      <c r="CM2567" s="0" t="s">
        <v>130</v>
      </c>
      <c r="CN2567" s="0" t="s">
        <v>130</v>
      </c>
      <c r="CO2567" s="0" t="s">
        <v>130</v>
      </c>
      <c r="CP2567" s="0" t="s">
        <v>130</v>
      </c>
      <c r="CQ2567" s="0" t="s">
        <v>130</v>
      </c>
      <c r="CR2567" s="0" t="s">
        <v>130</v>
      </c>
      <c r="CS2567" s="0" t="s">
        <v>130</v>
      </c>
      <c r="CT2567" s="0" t="s">
        <v>6966</v>
      </c>
    </row>
    <row r="2568">
      <c r="A2568" s="14">
        <v>115679</v>
      </c>
      <c r="B2568" s="0" t="s">
        <v>2603</v>
      </c>
      <c r="C2568" s="16">
        <f>HYPERLINK("https://eosportal.federatedhermes.com/companies/Q29tcGFueQppNTg5NzU=", "Bayer AG")</f>
      </c>
      <c r="D2568" s="0" t="s">
        <v>23</v>
      </c>
      <c r="E2568" s="0" t="s">
        <v>6967</v>
      </c>
      <c r="F2568" s="16">
        <f>HYPERLINK("https://eosportal.federatedhermes.com/engagements/RW5nYWdlbWVudAppMzQ2MjA=", "Scaling regenerative agriculture")</f>
      </c>
      <c r="G2568" s="14" t="s">
        <v>6968</v>
      </c>
      <c r="H2568" s="0" t="s">
        <v>141</v>
      </c>
      <c r="I2568" s="14" t="s">
        <v>1645</v>
      </c>
      <c r="J2568" s="0" t="s">
        <v>197</v>
      </c>
      <c r="K2568" s="0" t="s">
        <v>337</v>
      </c>
      <c r="L2568" s="0" t="s">
        <v>576</v>
      </c>
      <c r="M2568" s="0" t="s">
        <v>378</v>
      </c>
      <c r="N2568" s="0" t="s">
        <v>2485</v>
      </c>
      <c r="O2568" s="0" t="s">
        <v>274</v>
      </c>
      <c r="Q2568" s="0" t="s">
        <v>141</v>
      </c>
      <c r="R2568" s="0" t="s">
        <v>130</v>
      </c>
      <c r="S2568" s="14">
        <v>1</v>
      </c>
      <c r="T2568" s="0" t="s">
        <v>446</v>
      </c>
      <c r="U2568" s="0" t="s">
        <v>221</v>
      </c>
      <c r="V2568" s="14" t="s">
        <v>446</v>
      </c>
      <c r="W2568" s="0" t="s">
        <v>221</v>
      </c>
      <c r="X2568" s="14" t="s">
        <v>4412</v>
      </c>
      <c r="Y2568" s="0" t="s">
        <v>223</v>
      </c>
      <c r="Z2568" s="14" t="s">
        <v>138</v>
      </c>
      <c r="AA2568" s="0" t="s">
        <v>224</v>
      </c>
      <c r="AB2568" s="14" t="s">
        <v>138</v>
      </c>
      <c r="AD2568" s="0" t="s">
        <v>17</v>
      </c>
      <c r="AF2568" s="0">
        <v>0</v>
      </c>
      <c r="AG2568" s="0">
        <v>0</v>
      </c>
      <c r="AH2568" s="0" t="s">
        <v>140</v>
      </c>
      <c r="AI2568" s="0" t="s">
        <v>598</v>
      </c>
      <c r="AK2568" s="0" t="s">
        <v>2263</v>
      </c>
      <c r="AL2568" s="14"/>
      <c r="AN2568" s="14"/>
      <c r="AQ2568" s="0" t="s">
        <v>130</v>
      </c>
      <c r="AR2568" s="0" t="s">
        <v>130</v>
      </c>
      <c r="AS2568" s="0" t="s">
        <v>130</v>
      </c>
      <c r="AT2568" s="0" t="s">
        <v>130</v>
      </c>
      <c r="AU2568" s="0" t="s">
        <v>130</v>
      </c>
      <c r="AV2568" s="0" t="s">
        <v>130</v>
      </c>
      <c r="AW2568" s="0" t="s">
        <v>130</v>
      </c>
      <c r="AX2568" s="0" t="s">
        <v>130</v>
      </c>
      <c r="AY2568" s="0" t="s">
        <v>130</v>
      </c>
      <c r="AZ2568" s="0" t="s">
        <v>130</v>
      </c>
      <c r="BA2568" s="0" t="s">
        <v>130</v>
      </c>
      <c r="BB2568" s="0" t="s">
        <v>141</v>
      </c>
      <c r="BC2568" s="0" t="s">
        <v>130</v>
      </c>
      <c r="BD2568" s="0" t="s">
        <v>130</v>
      </c>
      <c r="BE2568" s="0" t="s">
        <v>141</v>
      </c>
      <c r="BF2568" s="0" t="s">
        <v>130</v>
      </c>
      <c r="BG2568" s="0" t="s">
        <v>130</v>
      </c>
      <c r="BH2568" s="0" t="s">
        <v>130</v>
      </c>
      <c r="BI2568" s="0" t="s">
        <v>130</v>
      </c>
      <c r="BJ2568" s="0" t="s">
        <v>130</v>
      </c>
      <c r="BK2568" s="0" t="s">
        <v>130</v>
      </c>
      <c r="BL2568" s="0" t="s">
        <v>130</v>
      </c>
      <c r="BM2568" s="0" t="s">
        <v>130</v>
      </c>
      <c r="BN2568" s="0" t="s">
        <v>130</v>
      </c>
      <c r="BO2568" s="0" t="s">
        <v>130</v>
      </c>
      <c r="BP2568" s="0" t="s">
        <v>130</v>
      </c>
      <c r="BQ2568" s="0" t="s">
        <v>130</v>
      </c>
      <c r="BR2568" s="0" t="s">
        <v>130</v>
      </c>
      <c r="BS2568" s="0" t="s">
        <v>130</v>
      </c>
      <c r="BT2568" s="0" t="s">
        <v>130</v>
      </c>
      <c r="BU2568" s="0" t="s">
        <v>130</v>
      </c>
      <c r="BV2568" s="0" t="s">
        <v>130</v>
      </c>
      <c r="BW2568" s="0" t="s">
        <v>130</v>
      </c>
      <c r="BX2568" s="0" t="s">
        <v>130</v>
      </c>
      <c r="BY2568" s="0" t="s">
        <v>130</v>
      </c>
      <c r="BZ2568" s="0" t="s">
        <v>130</v>
      </c>
      <c r="CA2568" s="0" t="s">
        <v>141</v>
      </c>
      <c r="CB2568" s="0" t="s">
        <v>130</v>
      </c>
      <c r="CC2568" s="0" t="s">
        <v>130</v>
      </c>
      <c r="CD2568" s="0" t="s">
        <v>130</v>
      </c>
      <c r="CE2568" s="0" t="s">
        <v>130</v>
      </c>
      <c r="CF2568" s="0" t="s">
        <v>130</v>
      </c>
      <c r="CG2568" s="0" t="s">
        <v>130</v>
      </c>
      <c r="CH2568" s="0" t="s">
        <v>130</v>
      </c>
      <c r="CI2568" s="0" t="s">
        <v>130</v>
      </c>
      <c r="CJ2568" s="0" t="s">
        <v>130</v>
      </c>
      <c r="CK2568" s="0" t="s">
        <v>130</v>
      </c>
      <c r="CL2568" s="0" t="s">
        <v>130</v>
      </c>
      <c r="CM2568" s="0" t="s">
        <v>130</v>
      </c>
      <c r="CN2568" s="0" t="s">
        <v>130</v>
      </c>
      <c r="CO2568" s="0" t="s">
        <v>130</v>
      </c>
      <c r="CP2568" s="0" t="s">
        <v>130</v>
      </c>
      <c r="CQ2568" s="0" t="s">
        <v>130</v>
      </c>
      <c r="CR2568" s="0" t="s">
        <v>130</v>
      </c>
      <c r="CS2568" s="0" t="s">
        <v>130</v>
      </c>
      <c r="CT2568" s="0" t="s">
        <v>6969</v>
      </c>
    </row>
    <row r="2569">
      <c r="A2569" s="14">
        <v>50856480</v>
      </c>
      <c r="B2569" s="0" t="s">
        <v>4515</v>
      </c>
      <c r="C2569" s="16">
        <f>HYPERLINK("https://eosportal.federatedhermes.com/companies/Q29tcGFueQppNDk3NzA=", "Anheuser-Busch InBev SA/NV")</f>
      </c>
      <c r="D2569" s="0" t="s">
        <v>23</v>
      </c>
      <c r="E2569" s="0" t="s">
        <v>5245</v>
      </c>
      <c r="F2569" s="16">
        <f>HYPERLINK("https://eosportal.federatedhermes.com/engagements/RW5nYWdlbWVudAppMzQ2NTA=", "Regenerative Agriculture")</f>
      </c>
      <c r="G2569" s="14" t="s">
        <v>6970</v>
      </c>
      <c r="H2569" s="0" t="s">
        <v>141</v>
      </c>
      <c r="I2569" s="14" t="s">
        <v>131</v>
      </c>
      <c r="J2569" s="0" t="s">
        <v>197</v>
      </c>
      <c r="K2569" s="0" t="s">
        <v>337</v>
      </c>
      <c r="L2569" s="0" t="s">
        <v>576</v>
      </c>
      <c r="M2569" s="0" t="s">
        <v>378</v>
      </c>
      <c r="N2569" s="0" t="s">
        <v>4518</v>
      </c>
      <c r="O2569" s="0" t="s">
        <v>332</v>
      </c>
      <c r="Q2569" s="0" t="s">
        <v>141</v>
      </c>
      <c r="R2569" s="0" t="s">
        <v>130</v>
      </c>
      <c r="S2569" s="14">
        <v>1</v>
      </c>
      <c r="T2569" s="0" t="s">
        <v>446</v>
      </c>
      <c r="U2569" s="0" t="s">
        <v>221</v>
      </c>
      <c r="V2569" s="14" t="s">
        <v>446</v>
      </c>
      <c r="W2569" s="0" t="s">
        <v>221</v>
      </c>
      <c r="X2569" s="14" t="s">
        <v>446</v>
      </c>
      <c r="Y2569" s="0" t="s">
        <v>223</v>
      </c>
      <c r="Z2569" s="14" t="s">
        <v>138</v>
      </c>
      <c r="AA2569" s="0" t="s">
        <v>224</v>
      </c>
      <c r="AB2569" s="14" t="s">
        <v>138</v>
      </c>
      <c r="AD2569" s="0" t="s">
        <v>17</v>
      </c>
      <c r="AF2569" s="0">
        <v>0</v>
      </c>
      <c r="AG2569" s="0">
        <v>0</v>
      </c>
      <c r="AH2569" s="0" t="s">
        <v>140</v>
      </c>
      <c r="AI2569" s="0" t="s">
        <v>598</v>
      </c>
      <c r="AK2569" s="0" t="s">
        <v>3042</v>
      </c>
      <c r="AL2569" s="14"/>
      <c r="AN2569" s="14"/>
      <c r="AQ2569" s="0" t="s">
        <v>130</v>
      </c>
      <c r="AR2569" s="0" t="s">
        <v>130</v>
      </c>
      <c r="AS2569" s="0" t="s">
        <v>130</v>
      </c>
      <c r="AT2569" s="0" t="s">
        <v>130</v>
      </c>
      <c r="AU2569" s="0" t="s">
        <v>130</v>
      </c>
      <c r="AV2569" s="0" t="s">
        <v>130</v>
      </c>
      <c r="AW2569" s="0" t="s">
        <v>130</v>
      </c>
      <c r="AX2569" s="0" t="s">
        <v>130</v>
      </c>
      <c r="AY2569" s="0" t="s">
        <v>130</v>
      </c>
      <c r="AZ2569" s="0" t="s">
        <v>130</v>
      </c>
      <c r="BA2569" s="0" t="s">
        <v>130</v>
      </c>
      <c r="BB2569" s="0" t="s">
        <v>141</v>
      </c>
      <c r="BC2569" s="0" t="s">
        <v>130</v>
      </c>
      <c r="BD2569" s="0" t="s">
        <v>130</v>
      </c>
      <c r="BE2569" s="0" t="s">
        <v>141</v>
      </c>
      <c r="BF2569" s="0" t="s">
        <v>130</v>
      </c>
      <c r="BG2569" s="0" t="s">
        <v>130</v>
      </c>
      <c r="BH2569" s="0" t="s">
        <v>130</v>
      </c>
      <c r="BI2569" s="0" t="s">
        <v>130</v>
      </c>
      <c r="BJ2569" s="0" t="s">
        <v>130</v>
      </c>
      <c r="BK2569" s="0" t="s">
        <v>130</v>
      </c>
      <c r="BL2569" s="0" t="s">
        <v>130</v>
      </c>
      <c r="BM2569" s="0" t="s">
        <v>141</v>
      </c>
      <c r="BN2569" s="0" t="s">
        <v>130</v>
      </c>
      <c r="BO2569" s="0" t="s">
        <v>130</v>
      </c>
      <c r="BP2569" s="0" t="s">
        <v>130</v>
      </c>
      <c r="BQ2569" s="0" t="s">
        <v>130</v>
      </c>
      <c r="BR2569" s="0" t="s">
        <v>130</v>
      </c>
      <c r="BS2569" s="0" t="s">
        <v>130</v>
      </c>
      <c r="BT2569" s="0" t="s">
        <v>130</v>
      </c>
      <c r="BU2569" s="0" t="s">
        <v>130</v>
      </c>
      <c r="BV2569" s="0" t="s">
        <v>130</v>
      </c>
      <c r="BW2569" s="0" t="s">
        <v>130</v>
      </c>
      <c r="BX2569" s="0" t="s">
        <v>130</v>
      </c>
      <c r="BY2569" s="0" t="s">
        <v>130</v>
      </c>
      <c r="BZ2569" s="0" t="s">
        <v>130</v>
      </c>
      <c r="CA2569" s="0" t="s">
        <v>141</v>
      </c>
      <c r="CB2569" s="0" t="s">
        <v>141</v>
      </c>
      <c r="CC2569" s="0" t="s">
        <v>130</v>
      </c>
      <c r="CD2569" s="0" t="s">
        <v>130</v>
      </c>
      <c r="CE2569" s="0" t="s">
        <v>130</v>
      </c>
      <c r="CF2569" s="0" t="s">
        <v>130</v>
      </c>
      <c r="CG2569" s="0" t="s">
        <v>130</v>
      </c>
      <c r="CH2569" s="0" t="s">
        <v>130</v>
      </c>
      <c r="CI2569" s="0" t="s">
        <v>130</v>
      </c>
      <c r="CJ2569" s="0" t="s">
        <v>130</v>
      </c>
      <c r="CK2569" s="0" t="s">
        <v>130</v>
      </c>
      <c r="CL2569" s="0" t="s">
        <v>130</v>
      </c>
      <c r="CM2569" s="0" t="s">
        <v>130</v>
      </c>
      <c r="CN2569" s="0" t="s">
        <v>130</v>
      </c>
      <c r="CO2569" s="0" t="s">
        <v>130</v>
      </c>
      <c r="CP2569" s="0" t="s">
        <v>130</v>
      </c>
      <c r="CQ2569" s="0" t="s">
        <v>130</v>
      </c>
      <c r="CR2569" s="0" t="s">
        <v>130</v>
      </c>
      <c r="CS2569" s="0" t="s">
        <v>130</v>
      </c>
      <c r="CT2569" s="0" t="s">
        <v>6971</v>
      </c>
    </row>
    <row r="2570">
      <c r="A2570" s="14">
        <v>50856480</v>
      </c>
      <c r="B2570" s="0" t="s">
        <v>4515</v>
      </c>
      <c r="C2570" s="16">
        <f>HYPERLINK("https://eosportal.federatedhermes.com/companies/Q29tcGFueQppNDk3NzA=", "Anheuser-Busch InBev SA/NV")</f>
      </c>
      <c r="D2570" s="0" t="s">
        <v>23</v>
      </c>
      <c r="E2570" s="0" t="s">
        <v>6972</v>
      </c>
      <c r="F2570" s="16">
        <f>HYPERLINK("https://eosportal.federatedhermes.com/engagements/RW5nYWdlbWVudAppMzQ2NTE=", "Gender diversity on Senior Leadership Team")</f>
      </c>
      <c r="G2570" s="14" t="s">
        <v>6973</v>
      </c>
      <c r="H2570" s="0" t="s">
        <v>141</v>
      </c>
      <c r="I2570" s="14" t="s">
        <v>131</v>
      </c>
      <c r="J2570" s="0" t="s">
        <v>153</v>
      </c>
      <c r="K2570" s="0" t="s">
        <v>154</v>
      </c>
      <c r="L2570" s="0" t="s">
        <v>268</v>
      </c>
      <c r="M2570" s="0" t="s">
        <v>378</v>
      </c>
      <c r="N2570" s="0" t="s">
        <v>4518</v>
      </c>
      <c r="O2570" s="0" t="s">
        <v>332</v>
      </c>
      <c r="Q2570" s="0" t="s">
        <v>141</v>
      </c>
      <c r="R2570" s="0" t="s">
        <v>130</v>
      </c>
      <c r="S2570" s="14">
        <v>1</v>
      </c>
      <c r="T2570" s="0" t="s">
        <v>446</v>
      </c>
      <c r="U2570" s="0" t="s">
        <v>221</v>
      </c>
      <c r="V2570" s="14" t="s">
        <v>446</v>
      </c>
      <c r="W2570" s="0" t="s">
        <v>221</v>
      </c>
      <c r="X2570" s="14" t="s">
        <v>446</v>
      </c>
      <c r="Y2570" s="0" t="s">
        <v>223</v>
      </c>
      <c r="Z2570" s="14" t="s">
        <v>138</v>
      </c>
      <c r="AA2570" s="0" t="s">
        <v>224</v>
      </c>
      <c r="AB2570" s="14" t="s">
        <v>138</v>
      </c>
      <c r="AD2570" s="0" t="s">
        <v>17</v>
      </c>
      <c r="AF2570" s="0">
        <v>0</v>
      </c>
      <c r="AG2570" s="0">
        <v>0</v>
      </c>
      <c r="AH2570" s="0" t="s">
        <v>140</v>
      </c>
      <c r="AI2570" s="0" t="s">
        <v>598</v>
      </c>
      <c r="AK2570" s="0" t="s">
        <v>3042</v>
      </c>
      <c r="AL2570" s="14"/>
      <c r="AN2570" s="14"/>
      <c r="AQ2570" s="0" t="s">
        <v>130</v>
      </c>
      <c r="AR2570" s="0" t="s">
        <v>130</v>
      </c>
      <c r="AS2570" s="0" t="s">
        <v>130</v>
      </c>
      <c r="AT2570" s="0" t="s">
        <v>130</v>
      </c>
      <c r="AU2570" s="0" t="s">
        <v>141</v>
      </c>
      <c r="AV2570" s="0" t="s">
        <v>130</v>
      </c>
      <c r="AW2570" s="0" t="s">
        <v>130</v>
      </c>
      <c r="AX2570" s="0" t="s">
        <v>130</v>
      </c>
      <c r="AY2570" s="0" t="s">
        <v>130</v>
      </c>
      <c r="AZ2570" s="0" t="s">
        <v>130</v>
      </c>
      <c r="BA2570" s="0" t="s">
        <v>130</v>
      </c>
      <c r="BB2570" s="0" t="s">
        <v>130</v>
      </c>
      <c r="BC2570" s="0" t="s">
        <v>130</v>
      </c>
      <c r="BD2570" s="0" t="s">
        <v>130</v>
      </c>
      <c r="BE2570" s="0" t="s">
        <v>130</v>
      </c>
      <c r="BF2570" s="0" t="s">
        <v>130</v>
      </c>
      <c r="BG2570" s="0" t="s">
        <v>130</v>
      </c>
      <c r="BH2570" s="0" t="s">
        <v>130</v>
      </c>
      <c r="BI2570" s="0" t="s">
        <v>130</v>
      </c>
      <c r="BJ2570" s="0" t="s">
        <v>130</v>
      </c>
      <c r="BK2570" s="0" t="s">
        <v>130</v>
      </c>
      <c r="BL2570" s="0" t="s">
        <v>130</v>
      </c>
      <c r="BM2570" s="0" t="s">
        <v>130</v>
      </c>
      <c r="BN2570" s="0" t="s">
        <v>130</v>
      </c>
      <c r="BO2570" s="0" t="s">
        <v>130</v>
      </c>
      <c r="BP2570" s="0" t="s">
        <v>130</v>
      </c>
      <c r="BQ2570" s="0" t="s">
        <v>130</v>
      </c>
      <c r="BR2570" s="0" t="s">
        <v>130</v>
      </c>
      <c r="BS2570" s="0" t="s">
        <v>130</v>
      </c>
      <c r="BT2570" s="0" t="s">
        <v>130</v>
      </c>
      <c r="BU2570" s="0" t="s">
        <v>130</v>
      </c>
      <c r="BV2570" s="0" t="s">
        <v>130</v>
      </c>
      <c r="BW2570" s="0" t="s">
        <v>130</v>
      </c>
      <c r="BX2570" s="0" t="s">
        <v>130</v>
      </c>
      <c r="BY2570" s="0" t="s">
        <v>130</v>
      </c>
      <c r="BZ2570" s="0" t="s">
        <v>130</v>
      </c>
      <c r="CA2570" s="0" t="s">
        <v>130</v>
      </c>
      <c r="CB2570" s="0" t="s">
        <v>130</v>
      </c>
      <c r="CC2570" s="0" t="s">
        <v>130</v>
      </c>
      <c r="CD2570" s="0" t="s">
        <v>130</v>
      </c>
      <c r="CE2570" s="0" t="s">
        <v>130</v>
      </c>
      <c r="CF2570" s="0" t="s">
        <v>130</v>
      </c>
      <c r="CG2570" s="0" t="s">
        <v>130</v>
      </c>
      <c r="CH2570" s="0" t="s">
        <v>130</v>
      </c>
      <c r="CI2570" s="0" t="s">
        <v>130</v>
      </c>
      <c r="CJ2570" s="0" t="s">
        <v>130</v>
      </c>
      <c r="CK2570" s="0" t="s">
        <v>141</v>
      </c>
      <c r="CL2570" s="0" t="s">
        <v>130</v>
      </c>
      <c r="CM2570" s="0" t="s">
        <v>130</v>
      </c>
      <c r="CN2570" s="0" t="s">
        <v>130</v>
      </c>
      <c r="CO2570" s="0" t="s">
        <v>130</v>
      </c>
      <c r="CP2570" s="0" t="s">
        <v>130</v>
      </c>
      <c r="CQ2570" s="0" t="s">
        <v>130</v>
      </c>
      <c r="CR2570" s="0" t="s">
        <v>130</v>
      </c>
      <c r="CS2570" s="0" t="s">
        <v>130</v>
      </c>
      <c r="CT2570" s="0" t="s">
        <v>6974</v>
      </c>
    </row>
    <row r="2571">
      <c r="A2571" s="14">
        <v>117142</v>
      </c>
      <c r="B2571" s="0" t="s">
        <v>2790</v>
      </c>
      <c r="C2571" s="16">
        <f>HYPERLINK("https://eosportal.federatedhermes.com/companies/Q29tcGFueQppNTkyMTI=", "O'Reilly Automotive Inc")</f>
      </c>
      <c r="D2571" s="0" t="s">
        <v>23</v>
      </c>
      <c r="E2571" s="0" t="s">
        <v>228</v>
      </c>
      <c r="F2571" s="16">
        <f>HYPERLINK("https://eosportal.federatedhermes.com/engagements/RW5nYWdlbWVudAppMzQ2ODE=", "Climate strategy")</f>
      </c>
      <c r="G2571" s="14" t="s">
        <v>6975</v>
      </c>
      <c r="H2571" s="0" t="s">
        <v>141</v>
      </c>
      <c r="I2571" s="14" t="s">
        <v>131</v>
      </c>
      <c r="J2571" s="0" t="s">
        <v>197</v>
      </c>
      <c r="K2571" s="0" t="s">
        <v>198</v>
      </c>
      <c r="L2571" s="0" t="s">
        <v>220</v>
      </c>
      <c r="M2571" s="0" t="s">
        <v>135</v>
      </c>
      <c r="N2571" s="0" t="s">
        <v>136</v>
      </c>
      <c r="O2571" s="0" t="s">
        <v>643</v>
      </c>
      <c r="Q2571" s="0" t="s">
        <v>130</v>
      </c>
      <c r="R2571" s="0" t="s">
        <v>130</v>
      </c>
      <c r="S2571" s="14">
        <v>0</v>
      </c>
      <c r="T2571" s="0" t="s">
        <v>446</v>
      </c>
      <c r="U2571" s="0" t="s">
        <v>221</v>
      </c>
      <c r="V2571" s="14" t="s">
        <v>446</v>
      </c>
      <c r="W2571" s="0" t="s">
        <v>221</v>
      </c>
      <c r="X2571" s="14" t="s">
        <v>4412</v>
      </c>
      <c r="Y2571" s="0" t="s">
        <v>223</v>
      </c>
      <c r="Z2571" s="14" t="s">
        <v>138</v>
      </c>
      <c r="AA2571" s="0" t="s">
        <v>224</v>
      </c>
      <c r="AB2571" s="14" t="s">
        <v>138</v>
      </c>
      <c r="AD2571" s="0" t="s">
        <v>17</v>
      </c>
      <c r="AF2571" s="0">
        <v>0</v>
      </c>
      <c r="AG2571" s="0">
        <v>0</v>
      </c>
      <c r="AH2571" s="0" t="s">
        <v>140</v>
      </c>
      <c r="AI2571" s="0" t="s">
        <v>598</v>
      </c>
      <c r="AL2571" s="14"/>
      <c r="AN2571" s="14"/>
      <c r="AQ2571" s="0" t="s">
        <v>130</v>
      </c>
      <c r="AR2571" s="0" t="s">
        <v>130</v>
      </c>
      <c r="AS2571" s="0" t="s">
        <v>130</v>
      </c>
      <c r="AT2571" s="0" t="s">
        <v>130</v>
      </c>
      <c r="AU2571" s="0" t="s">
        <v>130</v>
      </c>
      <c r="AV2571" s="0" t="s">
        <v>130</v>
      </c>
      <c r="AW2571" s="0" t="s">
        <v>141</v>
      </c>
      <c r="AX2571" s="0" t="s">
        <v>130</v>
      </c>
      <c r="AY2571" s="0" t="s">
        <v>141</v>
      </c>
      <c r="AZ2571" s="0" t="s">
        <v>130</v>
      </c>
      <c r="BA2571" s="0" t="s">
        <v>130</v>
      </c>
      <c r="BB2571" s="0" t="s">
        <v>130</v>
      </c>
      <c r="BC2571" s="0" t="s">
        <v>141</v>
      </c>
      <c r="BD2571" s="0" t="s">
        <v>130</v>
      </c>
      <c r="BE2571" s="0" t="s">
        <v>130</v>
      </c>
      <c r="BF2571" s="0" t="s">
        <v>130</v>
      </c>
      <c r="BG2571" s="0" t="s">
        <v>130</v>
      </c>
      <c r="BH2571" s="0" t="s">
        <v>141</v>
      </c>
      <c r="BI2571" s="0" t="s">
        <v>141</v>
      </c>
      <c r="BJ2571" s="0" t="s">
        <v>141</v>
      </c>
      <c r="BK2571" s="0" t="s">
        <v>130</v>
      </c>
      <c r="BL2571" s="0" t="s">
        <v>130</v>
      </c>
      <c r="BM2571" s="0" t="s">
        <v>130</v>
      </c>
      <c r="BN2571" s="0" t="s">
        <v>130</v>
      </c>
      <c r="BO2571" s="0" t="s">
        <v>130</v>
      </c>
      <c r="BP2571" s="0" t="s">
        <v>130</v>
      </c>
      <c r="BQ2571" s="0" t="s">
        <v>130</v>
      </c>
      <c r="BR2571" s="0" t="s">
        <v>130</v>
      </c>
      <c r="BS2571" s="0" t="s">
        <v>130</v>
      </c>
      <c r="BT2571" s="0" t="s">
        <v>130</v>
      </c>
      <c r="BU2571" s="0" t="s">
        <v>130</v>
      </c>
      <c r="BV2571" s="0" t="s">
        <v>141</v>
      </c>
      <c r="BW2571" s="0" t="s">
        <v>141</v>
      </c>
      <c r="BX2571" s="0" t="s">
        <v>130</v>
      </c>
      <c r="BY2571" s="0" t="s">
        <v>130</v>
      </c>
      <c r="BZ2571" s="0" t="s">
        <v>130</v>
      </c>
      <c r="CA2571" s="0" t="s">
        <v>130</v>
      </c>
      <c r="CB2571" s="0" t="s">
        <v>130</v>
      </c>
      <c r="CC2571" s="0" t="s">
        <v>130</v>
      </c>
      <c r="CD2571" s="0" t="s">
        <v>130</v>
      </c>
      <c r="CE2571" s="0" t="s">
        <v>130</v>
      </c>
      <c r="CF2571" s="0" t="s">
        <v>130</v>
      </c>
      <c r="CG2571" s="0" t="s">
        <v>130</v>
      </c>
      <c r="CH2571" s="0" t="s">
        <v>130</v>
      </c>
      <c r="CI2571" s="0" t="s">
        <v>130</v>
      </c>
      <c r="CJ2571" s="0" t="s">
        <v>130</v>
      </c>
      <c r="CK2571" s="0" t="s">
        <v>130</v>
      </c>
      <c r="CL2571" s="0" t="s">
        <v>130</v>
      </c>
      <c r="CM2571" s="0" t="s">
        <v>130</v>
      </c>
      <c r="CN2571" s="0" t="s">
        <v>130</v>
      </c>
      <c r="CO2571" s="0" t="s">
        <v>130</v>
      </c>
      <c r="CP2571" s="0" t="s">
        <v>130</v>
      </c>
      <c r="CQ2571" s="0" t="s">
        <v>130</v>
      </c>
      <c r="CR2571" s="0" t="s">
        <v>130</v>
      </c>
      <c r="CS2571" s="0" t="s">
        <v>130</v>
      </c>
      <c r="CT2571" s="0" t="s">
        <v>6976</v>
      </c>
    </row>
    <row r="2572">
      <c r="A2572" s="14">
        <v>100978</v>
      </c>
      <c r="B2572" s="0" t="s">
        <v>1111</v>
      </c>
      <c r="C2572" s="16">
        <f>HYPERLINK("https://eosportal.federatedhermes.com/companies/Q29tcGFueQppNDM5NDY=", "Merck &amp; Co Inc")</f>
      </c>
      <c r="D2572" s="0" t="s">
        <v>23</v>
      </c>
      <c r="E2572" s="0" t="s">
        <v>1352</v>
      </c>
      <c r="F2572" s="16">
        <f>HYPERLINK("https://eosportal.federatedhermes.com/engagements/RW5nYWdlbWVudAppMzQ3MjY=", "Animal Testing")</f>
      </c>
      <c r="G2572" s="14" t="s">
        <v>6977</v>
      </c>
      <c r="H2572" s="0" t="s">
        <v>141</v>
      </c>
      <c r="I2572" s="14" t="s">
        <v>131</v>
      </c>
      <c r="J2572" s="0" t="s">
        <v>197</v>
      </c>
      <c r="K2572" s="0" t="s">
        <v>337</v>
      </c>
      <c r="L2572" s="0" t="s">
        <v>576</v>
      </c>
      <c r="M2572" s="0" t="s">
        <v>135</v>
      </c>
      <c r="N2572" s="0" t="s">
        <v>136</v>
      </c>
      <c r="O2572" s="0" t="s">
        <v>274</v>
      </c>
      <c r="Q2572" s="0" t="s">
        <v>130</v>
      </c>
      <c r="R2572" s="0" t="s">
        <v>130</v>
      </c>
      <c r="S2572" s="14">
        <v>0</v>
      </c>
      <c r="T2572" s="0" t="s">
        <v>446</v>
      </c>
      <c r="U2572" s="0" t="s">
        <v>221</v>
      </c>
      <c r="V2572" s="14" t="s">
        <v>446</v>
      </c>
      <c r="W2572" s="0" t="s">
        <v>221</v>
      </c>
      <c r="X2572" s="14" t="s">
        <v>446</v>
      </c>
      <c r="Y2572" s="0" t="s">
        <v>223</v>
      </c>
      <c r="Z2572" s="14" t="s">
        <v>138</v>
      </c>
      <c r="AA2572" s="0" t="s">
        <v>224</v>
      </c>
      <c r="AB2572" s="14" t="s">
        <v>138</v>
      </c>
      <c r="AD2572" s="0" t="s">
        <v>17</v>
      </c>
      <c r="AF2572" s="0">
        <v>0</v>
      </c>
      <c r="AG2572" s="0">
        <v>0</v>
      </c>
      <c r="AH2572" s="0" t="s">
        <v>140</v>
      </c>
      <c r="AI2572" s="0" t="s">
        <v>598</v>
      </c>
      <c r="AL2572" s="14"/>
      <c r="AN2572" s="14"/>
      <c r="AQ2572" s="0" t="s">
        <v>130</v>
      </c>
      <c r="AR2572" s="0" t="s">
        <v>130</v>
      </c>
      <c r="AS2572" s="0" t="s">
        <v>130</v>
      </c>
      <c r="AT2572" s="0" t="s">
        <v>130</v>
      </c>
      <c r="AU2572" s="0" t="s">
        <v>130</v>
      </c>
      <c r="AV2572" s="0" t="s">
        <v>130</v>
      </c>
      <c r="AW2572" s="0" t="s">
        <v>130</v>
      </c>
      <c r="AX2572" s="0" t="s">
        <v>130</v>
      </c>
      <c r="AY2572" s="0" t="s">
        <v>130</v>
      </c>
      <c r="AZ2572" s="0" t="s">
        <v>130</v>
      </c>
      <c r="BA2572" s="0" t="s">
        <v>130</v>
      </c>
      <c r="BB2572" s="0" t="s">
        <v>141</v>
      </c>
      <c r="BC2572" s="0" t="s">
        <v>130</v>
      </c>
      <c r="BD2572" s="0" t="s">
        <v>130</v>
      </c>
      <c r="BE2572" s="0" t="s">
        <v>141</v>
      </c>
      <c r="BF2572" s="0" t="s">
        <v>130</v>
      </c>
      <c r="BG2572" s="0" t="s">
        <v>130</v>
      </c>
      <c r="BH2572" s="0" t="s">
        <v>130</v>
      </c>
      <c r="BI2572" s="0" t="s">
        <v>130</v>
      </c>
      <c r="BJ2572" s="0" t="s">
        <v>130</v>
      </c>
      <c r="BK2572" s="0" t="s">
        <v>130</v>
      </c>
      <c r="BL2572" s="0" t="s">
        <v>130</v>
      </c>
      <c r="BM2572" s="0" t="s">
        <v>130</v>
      </c>
      <c r="BN2572" s="0" t="s">
        <v>130</v>
      </c>
      <c r="BO2572" s="0" t="s">
        <v>130</v>
      </c>
      <c r="BP2572" s="0" t="s">
        <v>130</v>
      </c>
      <c r="BQ2572" s="0" t="s">
        <v>130</v>
      </c>
      <c r="BR2572" s="0" t="s">
        <v>130</v>
      </c>
      <c r="BS2572" s="0" t="s">
        <v>130</v>
      </c>
      <c r="BT2572" s="0" t="s">
        <v>130</v>
      </c>
      <c r="BU2572" s="0" t="s">
        <v>130</v>
      </c>
      <c r="BV2572" s="0" t="s">
        <v>130</v>
      </c>
      <c r="BW2572" s="0" t="s">
        <v>130</v>
      </c>
      <c r="BX2572" s="0" t="s">
        <v>130</v>
      </c>
      <c r="BY2572" s="0" t="s">
        <v>130</v>
      </c>
      <c r="BZ2572" s="0" t="s">
        <v>130</v>
      </c>
      <c r="CA2572" s="0" t="s">
        <v>130</v>
      </c>
      <c r="CB2572" s="0" t="s">
        <v>130</v>
      </c>
      <c r="CC2572" s="0" t="s">
        <v>130</v>
      </c>
      <c r="CD2572" s="0" t="s">
        <v>130</v>
      </c>
      <c r="CE2572" s="0" t="s">
        <v>130</v>
      </c>
      <c r="CF2572" s="0" t="s">
        <v>130</v>
      </c>
      <c r="CG2572" s="0" t="s">
        <v>130</v>
      </c>
      <c r="CH2572" s="0" t="s">
        <v>130</v>
      </c>
      <c r="CI2572" s="0" t="s">
        <v>130</v>
      </c>
      <c r="CJ2572" s="0" t="s">
        <v>130</v>
      </c>
      <c r="CK2572" s="0" t="s">
        <v>130</v>
      </c>
      <c r="CL2572" s="0" t="s">
        <v>130</v>
      </c>
      <c r="CM2572" s="0" t="s">
        <v>130</v>
      </c>
      <c r="CN2572" s="0" t="s">
        <v>130</v>
      </c>
      <c r="CO2572" s="0" t="s">
        <v>130</v>
      </c>
      <c r="CP2572" s="0" t="s">
        <v>130</v>
      </c>
      <c r="CQ2572" s="0" t="s">
        <v>130</v>
      </c>
      <c r="CR2572" s="0" t="s">
        <v>130</v>
      </c>
      <c r="CS2572" s="0" t="s">
        <v>130</v>
      </c>
      <c r="CT2572" s="0" t="s">
        <v>6978</v>
      </c>
    </row>
    <row r="2573">
      <c r="A2573" s="14">
        <v>101034</v>
      </c>
      <c r="B2573" s="0" t="s">
        <v>1164</v>
      </c>
      <c r="C2573" s="16">
        <f>HYPERLINK("https://eosportal.federatedhermes.com/companies/Q29tcGFueQppNTg5NTM=", "National Australia Bank Ltd")</f>
      </c>
      <c r="D2573" s="0" t="s">
        <v>23</v>
      </c>
      <c r="E2573" s="0" t="s">
        <v>6979</v>
      </c>
      <c r="F2573" s="16">
        <f>HYPERLINK("https://eosportal.federatedhermes.com/engagements/RW5nYWdlbWVudAppMzQ3Mjg=", "1.5C-aligned agriculture sector targets and identified levers")</f>
      </c>
      <c r="G2573" s="14" t="s">
        <v>6980</v>
      </c>
      <c r="H2573" s="0" t="s">
        <v>141</v>
      </c>
      <c r="I2573" s="14" t="s">
        <v>131</v>
      </c>
      <c r="J2573" s="0" t="s">
        <v>197</v>
      </c>
      <c r="K2573" s="0" t="s">
        <v>198</v>
      </c>
      <c r="L2573" s="0" t="s">
        <v>216</v>
      </c>
      <c r="M2573" s="0" t="s">
        <v>371</v>
      </c>
      <c r="N2573" s="0" t="s">
        <v>372</v>
      </c>
      <c r="O2573" s="0" t="s">
        <v>238</v>
      </c>
      <c r="Q2573" s="0" t="s">
        <v>141</v>
      </c>
      <c r="R2573" s="0" t="s">
        <v>130</v>
      </c>
      <c r="S2573" s="14">
        <v>1</v>
      </c>
      <c r="T2573" s="0" t="s">
        <v>446</v>
      </c>
      <c r="U2573" s="0" t="s">
        <v>221</v>
      </c>
      <c r="V2573" s="14" t="s">
        <v>446</v>
      </c>
      <c r="W2573" s="0" t="s">
        <v>221</v>
      </c>
      <c r="X2573" s="14" t="s">
        <v>4412</v>
      </c>
      <c r="Y2573" s="0" t="s">
        <v>223</v>
      </c>
      <c r="Z2573" s="14" t="s">
        <v>138</v>
      </c>
      <c r="AA2573" s="0" t="s">
        <v>224</v>
      </c>
      <c r="AB2573" s="14" t="s">
        <v>138</v>
      </c>
      <c r="AD2573" s="0" t="s">
        <v>17</v>
      </c>
      <c r="AF2573" s="0">
        <v>0</v>
      </c>
      <c r="AG2573" s="0">
        <v>0</v>
      </c>
      <c r="AH2573" s="0" t="s">
        <v>140</v>
      </c>
      <c r="AI2573" s="0" t="s">
        <v>598</v>
      </c>
      <c r="AK2573" s="0" t="s">
        <v>578</v>
      </c>
      <c r="AL2573" s="14"/>
      <c r="AN2573" s="14"/>
      <c r="AQ2573" s="0" t="s">
        <v>130</v>
      </c>
      <c r="AR2573" s="0" t="s">
        <v>130</v>
      </c>
      <c r="AS2573" s="0" t="s">
        <v>130</v>
      </c>
      <c r="AT2573" s="0" t="s">
        <v>130</v>
      </c>
      <c r="AU2573" s="0" t="s">
        <v>130</v>
      </c>
      <c r="AV2573" s="0" t="s">
        <v>130</v>
      </c>
      <c r="AW2573" s="0" t="s">
        <v>141</v>
      </c>
      <c r="AX2573" s="0" t="s">
        <v>130</v>
      </c>
      <c r="AY2573" s="0" t="s">
        <v>130</v>
      </c>
      <c r="AZ2573" s="0" t="s">
        <v>130</v>
      </c>
      <c r="BA2573" s="0" t="s">
        <v>130</v>
      </c>
      <c r="BB2573" s="0" t="s">
        <v>130</v>
      </c>
      <c r="BC2573" s="0" t="s">
        <v>141</v>
      </c>
      <c r="BD2573" s="0" t="s">
        <v>130</v>
      </c>
      <c r="BE2573" s="0" t="s">
        <v>130</v>
      </c>
      <c r="BF2573" s="0" t="s">
        <v>130</v>
      </c>
      <c r="BG2573" s="0" t="s">
        <v>130</v>
      </c>
      <c r="BH2573" s="0" t="s">
        <v>141</v>
      </c>
      <c r="BI2573" s="0" t="s">
        <v>141</v>
      </c>
      <c r="BJ2573" s="0" t="s">
        <v>141</v>
      </c>
      <c r="BK2573" s="0" t="s">
        <v>130</v>
      </c>
      <c r="BL2573" s="0" t="s">
        <v>130</v>
      </c>
      <c r="BM2573" s="0" t="s">
        <v>130</v>
      </c>
      <c r="BN2573" s="0" t="s">
        <v>130</v>
      </c>
      <c r="BO2573" s="0" t="s">
        <v>130</v>
      </c>
      <c r="BP2573" s="0" t="s">
        <v>130</v>
      </c>
      <c r="BQ2573" s="0" t="s">
        <v>130</v>
      </c>
      <c r="BR2573" s="0" t="s">
        <v>130</v>
      </c>
      <c r="BS2573" s="0" t="s">
        <v>130</v>
      </c>
      <c r="BT2573" s="0" t="s">
        <v>130</v>
      </c>
      <c r="BU2573" s="0" t="s">
        <v>130</v>
      </c>
      <c r="BV2573" s="0" t="s">
        <v>141</v>
      </c>
      <c r="BW2573" s="0" t="s">
        <v>141</v>
      </c>
      <c r="BX2573" s="0" t="s">
        <v>130</v>
      </c>
      <c r="BY2573" s="0" t="s">
        <v>130</v>
      </c>
      <c r="BZ2573" s="0" t="s">
        <v>130</v>
      </c>
      <c r="CA2573" s="0" t="s">
        <v>130</v>
      </c>
      <c r="CB2573" s="0" t="s">
        <v>130</v>
      </c>
      <c r="CC2573" s="0" t="s">
        <v>130</v>
      </c>
      <c r="CD2573" s="0" t="s">
        <v>130</v>
      </c>
      <c r="CE2573" s="0" t="s">
        <v>130</v>
      </c>
      <c r="CF2573" s="0" t="s">
        <v>130</v>
      </c>
      <c r="CG2573" s="0" t="s">
        <v>130</v>
      </c>
      <c r="CH2573" s="0" t="s">
        <v>130</v>
      </c>
      <c r="CI2573" s="0" t="s">
        <v>130</v>
      </c>
      <c r="CJ2573" s="0" t="s">
        <v>130</v>
      </c>
      <c r="CK2573" s="0" t="s">
        <v>130</v>
      </c>
      <c r="CL2573" s="0" t="s">
        <v>130</v>
      </c>
      <c r="CM2573" s="0" t="s">
        <v>130</v>
      </c>
      <c r="CN2573" s="0" t="s">
        <v>130</v>
      </c>
      <c r="CO2573" s="0" t="s">
        <v>130</v>
      </c>
      <c r="CP2573" s="0" t="s">
        <v>130</v>
      </c>
      <c r="CQ2573" s="0" t="s">
        <v>130</v>
      </c>
      <c r="CR2573" s="0" t="s">
        <v>130</v>
      </c>
      <c r="CS2573" s="0" t="s">
        <v>130</v>
      </c>
      <c r="CT2573" s="0" t="s">
        <v>6981</v>
      </c>
    </row>
    <row r="2574">
      <c r="A2574" s="14">
        <v>20469486</v>
      </c>
      <c r="B2574" s="0" t="s">
        <v>6432</v>
      </c>
      <c r="C2574" s="16">
        <f>HYPERLINK("https://eosportal.federatedhermes.com/companies/Q29tcGFueQppNTE3NjI=", "Airtac International Group")</f>
      </c>
      <c r="D2574" s="0" t="s">
        <v>25</v>
      </c>
      <c r="E2574" s="0" t="s">
        <v>6982</v>
      </c>
      <c r="F2574" s="16">
        <f>HYPERLINK("https://eosportal.federatedhermes.com/engagements/RW5nYWdlbWVudAppMzQ3OTY=", "Gender diversity at the supervisory level")</f>
      </c>
      <c r="G2574" s="14" t="s">
        <v>6983</v>
      </c>
      <c r="H2574" s="0" t="s">
        <v>130</v>
      </c>
      <c r="I2574" s="14" t="s">
        <v>319</v>
      </c>
      <c r="J2574" s="0" t="s">
        <v>153</v>
      </c>
      <c r="K2574" s="0" t="s">
        <v>154</v>
      </c>
      <c r="L2574" s="0" t="s">
        <v>268</v>
      </c>
      <c r="M2574" s="0" t="s">
        <v>802</v>
      </c>
      <c r="N2574" s="0" t="s">
        <v>2941</v>
      </c>
      <c r="O2574" s="0" t="s">
        <v>176</v>
      </c>
      <c r="Q2574" s="0" t="s">
        <v>141</v>
      </c>
      <c r="R2574" s="0" t="s">
        <v>138</v>
      </c>
      <c r="S2574" s="14">
        <v>2</v>
      </c>
      <c r="T2574" s="0" t="s">
        <v>3265</v>
      </c>
      <c r="U2574" s="0" t="s">
        <v>138</v>
      </c>
      <c r="V2574" s="14" t="s">
        <v>138</v>
      </c>
      <c r="W2574" s="0" t="s">
        <v>138</v>
      </c>
      <c r="X2574" s="14" t="s">
        <v>138</v>
      </c>
      <c r="Y2574" s="0" t="s">
        <v>138</v>
      </c>
      <c r="Z2574" s="14" t="s">
        <v>138</v>
      </c>
      <c r="AA2574" s="0" t="s">
        <v>138</v>
      </c>
      <c r="AB2574" s="14" t="s">
        <v>138</v>
      </c>
      <c r="AD2574" s="0" t="s">
        <v>138</v>
      </c>
      <c r="AF2574" s="0">
        <v>0</v>
      </c>
      <c r="AG2574" s="0">
        <v>0</v>
      </c>
      <c r="AH2574" s="0" t="s">
        <v>140</v>
      </c>
      <c r="AI2574" s="0" t="s">
        <v>138</v>
      </c>
      <c r="AK2574" s="0" t="s">
        <v>233</v>
      </c>
      <c r="AL2574" s="14"/>
      <c r="AN2574" s="14"/>
      <c r="AQ2574" s="0" t="s">
        <v>130</v>
      </c>
      <c r="AR2574" s="0" t="s">
        <v>130</v>
      </c>
      <c r="AS2574" s="0" t="s">
        <v>130</v>
      </c>
      <c r="AT2574" s="0" t="s">
        <v>130</v>
      </c>
      <c r="AU2574" s="0" t="s">
        <v>141</v>
      </c>
      <c r="AV2574" s="0" t="s">
        <v>130</v>
      </c>
      <c r="AW2574" s="0" t="s">
        <v>130</v>
      </c>
      <c r="AX2574" s="0" t="s">
        <v>130</v>
      </c>
      <c r="AY2574" s="0" t="s">
        <v>130</v>
      </c>
      <c r="AZ2574" s="0" t="s">
        <v>130</v>
      </c>
      <c r="BA2574" s="0" t="s">
        <v>130</v>
      </c>
      <c r="BB2574" s="0" t="s">
        <v>130</v>
      </c>
      <c r="BC2574" s="0" t="s">
        <v>130</v>
      </c>
      <c r="BD2574" s="0" t="s">
        <v>130</v>
      </c>
      <c r="BE2574" s="0" t="s">
        <v>130</v>
      </c>
      <c r="BF2574" s="0" t="s">
        <v>130</v>
      </c>
      <c r="BG2574" s="0" t="s">
        <v>130</v>
      </c>
      <c r="BH2574" s="0" t="s">
        <v>130</v>
      </c>
      <c r="BI2574" s="0" t="s">
        <v>130</v>
      </c>
      <c r="BJ2574" s="0" t="s">
        <v>130</v>
      </c>
      <c r="BK2574" s="0" t="s">
        <v>130</v>
      </c>
      <c r="BL2574" s="0" t="s">
        <v>130</v>
      </c>
      <c r="BM2574" s="0" t="s">
        <v>130</v>
      </c>
      <c r="BN2574" s="0" t="s">
        <v>130</v>
      </c>
      <c r="BO2574" s="0" t="s">
        <v>130</v>
      </c>
      <c r="BP2574" s="0" t="s">
        <v>130</v>
      </c>
      <c r="BQ2574" s="0" t="s">
        <v>130</v>
      </c>
      <c r="BR2574" s="0" t="s">
        <v>130</v>
      </c>
      <c r="BS2574" s="0" t="s">
        <v>130</v>
      </c>
      <c r="BT2574" s="0" t="s">
        <v>130</v>
      </c>
      <c r="BU2574" s="0" t="s">
        <v>130</v>
      </c>
      <c r="BV2574" s="0" t="s">
        <v>130</v>
      </c>
      <c r="BW2574" s="0" t="s">
        <v>130</v>
      </c>
      <c r="BX2574" s="0" t="s">
        <v>130</v>
      </c>
      <c r="BY2574" s="0" t="s">
        <v>130</v>
      </c>
      <c r="BZ2574" s="0" t="s">
        <v>130</v>
      </c>
      <c r="CA2574" s="0" t="s">
        <v>130</v>
      </c>
      <c r="CB2574" s="0" t="s">
        <v>130</v>
      </c>
      <c r="CC2574" s="0" t="s">
        <v>130</v>
      </c>
      <c r="CD2574" s="0" t="s">
        <v>130</v>
      </c>
      <c r="CE2574" s="0" t="s">
        <v>130</v>
      </c>
      <c r="CF2574" s="0" t="s">
        <v>130</v>
      </c>
      <c r="CG2574" s="0" t="s">
        <v>130</v>
      </c>
      <c r="CH2574" s="0" t="s">
        <v>130</v>
      </c>
      <c r="CI2574" s="0" t="s">
        <v>130</v>
      </c>
      <c r="CJ2574" s="0" t="s">
        <v>130</v>
      </c>
      <c r="CK2574" s="0" t="s">
        <v>141</v>
      </c>
      <c r="CL2574" s="0" t="s">
        <v>130</v>
      </c>
      <c r="CM2574" s="0" t="s">
        <v>130</v>
      </c>
      <c r="CN2574" s="0" t="s">
        <v>130</v>
      </c>
      <c r="CO2574" s="0" t="s">
        <v>130</v>
      </c>
      <c r="CP2574" s="0" t="s">
        <v>130</v>
      </c>
      <c r="CQ2574" s="0" t="s">
        <v>130</v>
      </c>
      <c r="CR2574" s="0" t="s">
        <v>130</v>
      </c>
      <c r="CS2574" s="0" t="s">
        <v>130</v>
      </c>
      <c r="CT2574" s="0" t="s">
        <v>6984</v>
      </c>
    </row>
    <row r="2575">
      <c r="A2575" s="14">
        <v>105995</v>
      </c>
      <c r="B2575" s="0" t="s">
        <v>6985</v>
      </c>
      <c r="C2575" s="16">
        <f>HYPERLINK("https://eosportal.federatedhermes.com/companies/Q29tcGFueQppODUwNTg=", "Paychex Inc")</f>
      </c>
      <c r="D2575" s="0" t="s">
        <v>25</v>
      </c>
      <c r="E2575" s="0" t="s">
        <v>6986</v>
      </c>
      <c r="F2575" s="16">
        <f>HYPERLINK("https://eosportal.federatedhermes.com/engagements/RW5nYWdlbWVudAppMzQ4NTE=", "Corporate governance")</f>
      </c>
      <c r="G2575" s="14" t="s">
        <v>6987</v>
      </c>
      <c r="H2575" s="0" t="s">
        <v>130</v>
      </c>
      <c r="I2575" s="14" t="s">
        <v>319</v>
      </c>
      <c r="J2575" s="0" t="s">
        <v>145</v>
      </c>
      <c r="K2575" s="0" t="s">
        <v>400</v>
      </c>
      <c r="L2575" s="0" t="s">
        <v>507</v>
      </c>
      <c r="M2575" s="0" t="s">
        <v>135</v>
      </c>
      <c r="N2575" s="0" t="s">
        <v>136</v>
      </c>
      <c r="O2575" s="0" t="s">
        <v>137</v>
      </c>
      <c r="Q2575" s="0" t="s">
        <v>141</v>
      </c>
      <c r="R2575" s="0" t="s">
        <v>138</v>
      </c>
      <c r="S2575" s="14">
        <v>1</v>
      </c>
      <c r="T2575" s="0" t="s">
        <v>3265</v>
      </c>
      <c r="U2575" s="0" t="s">
        <v>138</v>
      </c>
      <c r="V2575" s="14" t="s">
        <v>138</v>
      </c>
      <c r="W2575" s="0" t="s">
        <v>138</v>
      </c>
      <c r="X2575" s="14" t="s">
        <v>138</v>
      </c>
      <c r="Y2575" s="0" t="s">
        <v>138</v>
      </c>
      <c r="Z2575" s="14" t="s">
        <v>138</v>
      </c>
      <c r="AA2575" s="0" t="s">
        <v>138</v>
      </c>
      <c r="AB2575" s="14" t="s">
        <v>138</v>
      </c>
      <c r="AD2575" s="0" t="s">
        <v>138</v>
      </c>
      <c r="AF2575" s="0">
        <v>0</v>
      </c>
      <c r="AG2575" s="0">
        <v>0</v>
      </c>
      <c r="AH2575" s="0" t="s">
        <v>140</v>
      </c>
      <c r="AI2575" s="0" t="s">
        <v>138</v>
      </c>
      <c r="AK2575" s="0" t="s">
        <v>3626</v>
      </c>
      <c r="AL2575" s="14"/>
      <c r="AN2575" s="14"/>
      <c r="AQ2575" s="0" t="s">
        <v>130</v>
      </c>
      <c r="AR2575" s="0" t="s">
        <v>130</v>
      </c>
      <c r="AS2575" s="0" t="s">
        <v>130</v>
      </c>
      <c r="AT2575" s="0" t="s">
        <v>130</v>
      </c>
      <c r="AU2575" s="0" t="s">
        <v>130</v>
      </c>
      <c r="AV2575" s="0" t="s">
        <v>130</v>
      </c>
      <c r="AW2575" s="0" t="s">
        <v>130</v>
      </c>
      <c r="AX2575" s="0" t="s">
        <v>130</v>
      </c>
      <c r="AY2575" s="0" t="s">
        <v>130</v>
      </c>
      <c r="AZ2575" s="0" t="s">
        <v>130</v>
      </c>
      <c r="BA2575" s="0" t="s">
        <v>130</v>
      </c>
      <c r="BB2575" s="0" t="s">
        <v>130</v>
      </c>
      <c r="BC2575" s="0" t="s">
        <v>130</v>
      </c>
      <c r="BD2575" s="0" t="s">
        <v>130</v>
      </c>
      <c r="BE2575" s="0" t="s">
        <v>130</v>
      </c>
      <c r="BF2575" s="0" t="s">
        <v>130</v>
      </c>
      <c r="BG2575" s="0" t="s">
        <v>130</v>
      </c>
      <c r="BH2575" s="0" t="s">
        <v>130</v>
      </c>
      <c r="BI2575" s="0" t="s">
        <v>130</v>
      </c>
      <c r="BJ2575" s="0" t="s">
        <v>130</v>
      </c>
      <c r="BK2575" s="0" t="s">
        <v>130</v>
      </c>
      <c r="BL2575" s="0" t="s">
        <v>130</v>
      </c>
      <c r="BM2575" s="0" t="s">
        <v>130</v>
      </c>
      <c r="BN2575" s="0" t="s">
        <v>130</v>
      </c>
      <c r="BO2575" s="0" t="s">
        <v>130</v>
      </c>
      <c r="BP2575" s="0" t="s">
        <v>130</v>
      </c>
      <c r="BQ2575" s="0" t="s">
        <v>130</v>
      </c>
      <c r="BR2575" s="0" t="s">
        <v>130</v>
      </c>
      <c r="BS2575" s="0" t="s">
        <v>130</v>
      </c>
      <c r="BT2575" s="0" t="s">
        <v>130</v>
      </c>
      <c r="BU2575" s="0" t="s">
        <v>130</v>
      </c>
      <c r="BV2575" s="0" t="s">
        <v>130</v>
      </c>
      <c r="BW2575" s="0" t="s">
        <v>130</v>
      </c>
      <c r="BX2575" s="0" t="s">
        <v>130</v>
      </c>
      <c r="BY2575" s="0" t="s">
        <v>130</v>
      </c>
      <c r="BZ2575" s="0" t="s">
        <v>130</v>
      </c>
      <c r="CA2575" s="0" t="s">
        <v>130</v>
      </c>
      <c r="CB2575" s="0" t="s">
        <v>130</v>
      </c>
      <c r="CC2575" s="0" t="s">
        <v>130</v>
      </c>
      <c r="CD2575" s="0" t="s">
        <v>130</v>
      </c>
      <c r="CE2575" s="0" t="s">
        <v>130</v>
      </c>
      <c r="CF2575" s="0" t="s">
        <v>130</v>
      </c>
      <c r="CG2575" s="0" t="s">
        <v>130</v>
      </c>
      <c r="CH2575" s="0" t="s">
        <v>130</v>
      </c>
      <c r="CI2575" s="0" t="s">
        <v>130</v>
      </c>
      <c r="CJ2575" s="0" t="s">
        <v>130</v>
      </c>
      <c r="CK2575" s="0" t="s">
        <v>130</v>
      </c>
      <c r="CL2575" s="0" t="s">
        <v>130</v>
      </c>
      <c r="CM2575" s="0" t="s">
        <v>130</v>
      </c>
      <c r="CN2575" s="0" t="s">
        <v>130</v>
      </c>
      <c r="CO2575" s="0" t="s">
        <v>130</v>
      </c>
      <c r="CP2575" s="0" t="s">
        <v>130</v>
      </c>
      <c r="CQ2575" s="0" t="s">
        <v>130</v>
      </c>
      <c r="CR2575" s="0" t="s">
        <v>130</v>
      </c>
      <c r="CS2575" s="0" t="s">
        <v>130</v>
      </c>
      <c r="CT2575" s="0" t="s">
        <v>6988</v>
      </c>
    </row>
    <row r="2576">
      <c r="A2576" s="14">
        <v>112428</v>
      </c>
      <c r="B2576" s="0" t="s">
        <v>975</v>
      </c>
      <c r="C2576" s="16">
        <f>HYPERLINK("https://eosportal.federatedhermes.com/companies/Q29tcGFueQppNDQ0Mjg=", "Lloyds Banking Group PLC")</f>
      </c>
      <c r="D2576" s="0" t="s">
        <v>23</v>
      </c>
      <c r="E2576" s="0" t="s">
        <v>3877</v>
      </c>
      <c r="F2576" s="16">
        <f>HYPERLINK("https://eosportal.federatedhermes.com/engagements/RW5nYWdlbWVudAppMzQ4ODI=", "AI and data governance")</f>
      </c>
      <c r="G2576" s="14" t="s">
        <v>6989</v>
      </c>
      <c r="H2576" s="0" t="s">
        <v>141</v>
      </c>
      <c r="I2576" s="14" t="s">
        <v>636</v>
      </c>
      <c r="J2576" s="0" t="s">
        <v>153</v>
      </c>
      <c r="K2576" s="0" t="s">
        <v>243</v>
      </c>
      <c r="L2576" s="0" t="s">
        <v>537</v>
      </c>
      <c r="M2576" s="0" t="s">
        <v>272</v>
      </c>
      <c r="N2576" s="0" t="s">
        <v>273</v>
      </c>
      <c r="O2576" s="0" t="s">
        <v>238</v>
      </c>
      <c r="Q2576" s="0" t="s">
        <v>141</v>
      </c>
      <c r="R2576" s="0" t="s">
        <v>130</v>
      </c>
      <c r="S2576" s="14">
        <v>1</v>
      </c>
      <c r="T2576" s="0" t="s">
        <v>3562</v>
      </c>
      <c r="U2576" s="0" t="s">
        <v>221</v>
      </c>
      <c r="V2576" s="14" t="s">
        <v>3562</v>
      </c>
      <c r="W2576" s="0" t="s">
        <v>221</v>
      </c>
      <c r="X2576" s="14" t="s">
        <v>446</v>
      </c>
      <c r="Y2576" s="0" t="s">
        <v>221</v>
      </c>
      <c r="Z2576" s="14" t="s">
        <v>2842</v>
      </c>
      <c r="AA2576" s="0" t="s">
        <v>223</v>
      </c>
      <c r="AB2576" s="14" t="s">
        <v>138</v>
      </c>
      <c r="AD2576" s="0" t="s">
        <v>20</v>
      </c>
      <c r="AF2576" s="0">
        <v>0</v>
      </c>
      <c r="AG2576" s="0">
        <v>0</v>
      </c>
      <c r="AH2576" s="0" t="s">
        <v>140</v>
      </c>
      <c r="AI2576" s="0" t="s">
        <v>598</v>
      </c>
      <c r="AK2576" s="0" t="s">
        <v>413</v>
      </c>
      <c r="AL2576" s="14"/>
      <c r="AN2576" s="14"/>
      <c r="AQ2576" s="0" t="s">
        <v>130</v>
      </c>
      <c r="AR2576" s="0" t="s">
        <v>130</v>
      </c>
      <c r="AS2576" s="0" t="s">
        <v>130</v>
      </c>
      <c r="AT2576" s="0" t="s">
        <v>130</v>
      </c>
      <c r="AU2576" s="0" t="s">
        <v>130</v>
      </c>
      <c r="AV2576" s="0" t="s">
        <v>130</v>
      </c>
      <c r="AW2576" s="0" t="s">
        <v>130</v>
      </c>
      <c r="AX2576" s="0" t="s">
        <v>130</v>
      </c>
      <c r="AY2576" s="0" t="s">
        <v>130</v>
      </c>
      <c r="AZ2576" s="0" t="s">
        <v>130</v>
      </c>
      <c r="BA2576" s="0" t="s">
        <v>130</v>
      </c>
      <c r="BB2576" s="0" t="s">
        <v>130</v>
      </c>
      <c r="BC2576" s="0" t="s">
        <v>130</v>
      </c>
      <c r="BD2576" s="0" t="s">
        <v>130</v>
      </c>
      <c r="BE2576" s="0" t="s">
        <v>130</v>
      </c>
      <c r="BF2576" s="0" t="s">
        <v>141</v>
      </c>
      <c r="BG2576" s="0" t="s">
        <v>130</v>
      </c>
      <c r="BH2576" s="0" t="s">
        <v>130</v>
      </c>
      <c r="BI2576" s="0" t="s">
        <v>130</v>
      </c>
      <c r="BJ2576" s="0" t="s">
        <v>130</v>
      </c>
      <c r="BK2576" s="0" t="s">
        <v>130</v>
      </c>
      <c r="BL2576" s="0" t="s">
        <v>130</v>
      </c>
      <c r="BM2576" s="0" t="s">
        <v>130</v>
      </c>
      <c r="BN2576" s="0" t="s">
        <v>130</v>
      </c>
      <c r="BO2576" s="0" t="s">
        <v>130</v>
      </c>
      <c r="BP2576" s="0" t="s">
        <v>130</v>
      </c>
      <c r="BQ2576" s="0" t="s">
        <v>130</v>
      </c>
      <c r="BR2576" s="0" t="s">
        <v>130</v>
      </c>
      <c r="BS2576" s="0" t="s">
        <v>130</v>
      </c>
      <c r="BT2576" s="0" t="s">
        <v>130</v>
      </c>
      <c r="BU2576" s="0" t="s">
        <v>130</v>
      </c>
      <c r="BV2576" s="0" t="s">
        <v>130</v>
      </c>
      <c r="BW2576" s="0" t="s">
        <v>130</v>
      </c>
      <c r="BX2576" s="0" t="s">
        <v>130</v>
      </c>
      <c r="BY2576" s="0" t="s">
        <v>130</v>
      </c>
      <c r="BZ2576" s="0" t="s">
        <v>130</v>
      </c>
      <c r="CA2576" s="0" t="s">
        <v>130</v>
      </c>
      <c r="CB2576" s="0" t="s">
        <v>130</v>
      </c>
      <c r="CC2576" s="0" t="s">
        <v>130</v>
      </c>
      <c r="CD2576" s="0" t="s">
        <v>130</v>
      </c>
      <c r="CE2576" s="0" t="s">
        <v>130</v>
      </c>
      <c r="CF2576" s="0" t="s">
        <v>130</v>
      </c>
      <c r="CG2576" s="0" t="s">
        <v>130</v>
      </c>
      <c r="CH2576" s="0" t="s">
        <v>130</v>
      </c>
      <c r="CI2576" s="0" t="s">
        <v>130</v>
      </c>
      <c r="CJ2576" s="0" t="s">
        <v>130</v>
      </c>
      <c r="CK2576" s="0" t="s">
        <v>130</v>
      </c>
      <c r="CL2576" s="0" t="s">
        <v>130</v>
      </c>
      <c r="CM2576" s="0" t="s">
        <v>130</v>
      </c>
      <c r="CN2576" s="0" t="s">
        <v>130</v>
      </c>
      <c r="CO2576" s="0" t="s">
        <v>130</v>
      </c>
      <c r="CP2576" s="0" t="s">
        <v>130</v>
      </c>
      <c r="CQ2576" s="0" t="s">
        <v>130</v>
      </c>
      <c r="CR2576" s="0" t="s">
        <v>130</v>
      </c>
      <c r="CS2576" s="0" t="s">
        <v>130</v>
      </c>
      <c r="CT2576" s="0" t="s">
        <v>6990</v>
      </c>
    </row>
    <row r="2577">
      <c r="A2577" s="14">
        <v>112319</v>
      </c>
      <c r="B2577" s="0" t="s">
        <v>4913</v>
      </c>
      <c r="C2577" s="16">
        <f>HYPERLINK("https://eosportal.federatedhermes.com/companies/Q29tcGFueQppNjI0NzU=", "Standard Chartered PLC")</f>
      </c>
      <c r="D2577" s="0" t="s">
        <v>23</v>
      </c>
      <c r="E2577" s="0" t="s">
        <v>3877</v>
      </c>
      <c r="F2577" s="16">
        <f>HYPERLINK("https://eosportal.federatedhermes.com/engagements/RW5nYWdlbWVudAppMzQ4ODY=", "AI and data governance")</f>
      </c>
      <c r="G2577" s="14" t="s">
        <v>6991</v>
      </c>
      <c r="H2577" s="0" t="s">
        <v>141</v>
      </c>
      <c r="I2577" s="14" t="s">
        <v>191</v>
      </c>
      <c r="J2577" s="0" t="s">
        <v>153</v>
      </c>
      <c r="K2577" s="0" t="s">
        <v>243</v>
      </c>
      <c r="L2577" s="0" t="s">
        <v>537</v>
      </c>
      <c r="M2577" s="0" t="s">
        <v>272</v>
      </c>
      <c r="N2577" s="0" t="s">
        <v>273</v>
      </c>
      <c r="O2577" s="0" t="s">
        <v>238</v>
      </c>
      <c r="Q2577" s="0" t="s">
        <v>141</v>
      </c>
      <c r="R2577" s="0" t="s">
        <v>130</v>
      </c>
      <c r="S2577" s="14">
        <v>1</v>
      </c>
      <c r="T2577" s="0" t="s">
        <v>446</v>
      </c>
      <c r="U2577" s="0" t="s">
        <v>221</v>
      </c>
      <c r="V2577" s="14" t="s">
        <v>446</v>
      </c>
      <c r="W2577" s="0" t="s">
        <v>221</v>
      </c>
      <c r="X2577" s="14" t="s">
        <v>446</v>
      </c>
      <c r="Y2577" s="0" t="s">
        <v>223</v>
      </c>
      <c r="Z2577" s="14" t="s">
        <v>138</v>
      </c>
      <c r="AA2577" s="0" t="s">
        <v>224</v>
      </c>
      <c r="AB2577" s="14" t="s">
        <v>138</v>
      </c>
      <c r="AD2577" s="0" t="s">
        <v>17</v>
      </c>
      <c r="AF2577" s="0">
        <v>0</v>
      </c>
      <c r="AG2577" s="0">
        <v>0</v>
      </c>
      <c r="AH2577" s="0" t="s">
        <v>140</v>
      </c>
      <c r="AI2577" s="0" t="s">
        <v>598</v>
      </c>
      <c r="AK2577" s="0" t="s">
        <v>1151</v>
      </c>
      <c r="AL2577" s="14"/>
      <c r="AN2577" s="14"/>
      <c r="AQ2577" s="0" t="s">
        <v>130</v>
      </c>
      <c r="AR2577" s="0" t="s">
        <v>130</v>
      </c>
      <c r="AS2577" s="0" t="s">
        <v>130</v>
      </c>
      <c r="AT2577" s="0" t="s">
        <v>130</v>
      </c>
      <c r="AU2577" s="0" t="s">
        <v>130</v>
      </c>
      <c r="AV2577" s="0" t="s">
        <v>130</v>
      </c>
      <c r="AW2577" s="0" t="s">
        <v>130</v>
      </c>
      <c r="AX2577" s="0" t="s">
        <v>130</v>
      </c>
      <c r="AY2577" s="0" t="s">
        <v>130</v>
      </c>
      <c r="AZ2577" s="0" t="s">
        <v>130</v>
      </c>
      <c r="BA2577" s="0" t="s">
        <v>130</v>
      </c>
      <c r="BB2577" s="0" t="s">
        <v>130</v>
      </c>
      <c r="BC2577" s="0" t="s">
        <v>130</v>
      </c>
      <c r="BD2577" s="0" t="s">
        <v>130</v>
      </c>
      <c r="BE2577" s="0" t="s">
        <v>130</v>
      </c>
      <c r="BF2577" s="0" t="s">
        <v>141</v>
      </c>
      <c r="BG2577" s="0" t="s">
        <v>130</v>
      </c>
      <c r="BH2577" s="0" t="s">
        <v>130</v>
      </c>
      <c r="BI2577" s="0" t="s">
        <v>130</v>
      </c>
      <c r="BJ2577" s="0" t="s">
        <v>130</v>
      </c>
      <c r="BK2577" s="0" t="s">
        <v>130</v>
      </c>
      <c r="BL2577" s="0" t="s">
        <v>130</v>
      </c>
      <c r="BM2577" s="0" t="s">
        <v>130</v>
      </c>
      <c r="BN2577" s="0" t="s">
        <v>130</v>
      </c>
      <c r="BO2577" s="0" t="s">
        <v>130</v>
      </c>
      <c r="BP2577" s="0" t="s">
        <v>130</v>
      </c>
      <c r="BQ2577" s="0" t="s">
        <v>130</v>
      </c>
      <c r="BR2577" s="0" t="s">
        <v>130</v>
      </c>
      <c r="BS2577" s="0" t="s">
        <v>130</v>
      </c>
      <c r="BT2577" s="0" t="s">
        <v>130</v>
      </c>
      <c r="BU2577" s="0" t="s">
        <v>130</v>
      </c>
      <c r="BV2577" s="0" t="s">
        <v>130</v>
      </c>
      <c r="BW2577" s="0" t="s">
        <v>130</v>
      </c>
      <c r="BX2577" s="0" t="s">
        <v>130</v>
      </c>
      <c r="BY2577" s="0" t="s">
        <v>130</v>
      </c>
      <c r="BZ2577" s="0" t="s">
        <v>130</v>
      </c>
      <c r="CA2577" s="0" t="s">
        <v>130</v>
      </c>
      <c r="CB2577" s="0" t="s">
        <v>130</v>
      </c>
      <c r="CC2577" s="0" t="s">
        <v>130</v>
      </c>
      <c r="CD2577" s="0" t="s">
        <v>130</v>
      </c>
      <c r="CE2577" s="0" t="s">
        <v>130</v>
      </c>
      <c r="CF2577" s="0" t="s">
        <v>130</v>
      </c>
      <c r="CG2577" s="0" t="s">
        <v>130</v>
      </c>
      <c r="CH2577" s="0" t="s">
        <v>130</v>
      </c>
      <c r="CI2577" s="0" t="s">
        <v>130</v>
      </c>
      <c r="CJ2577" s="0" t="s">
        <v>130</v>
      </c>
      <c r="CK2577" s="0" t="s">
        <v>130</v>
      </c>
      <c r="CL2577" s="0" t="s">
        <v>130</v>
      </c>
      <c r="CM2577" s="0" t="s">
        <v>130</v>
      </c>
      <c r="CN2577" s="0" t="s">
        <v>130</v>
      </c>
      <c r="CO2577" s="0" t="s">
        <v>130</v>
      </c>
      <c r="CP2577" s="0" t="s">
        <v>130</v>
      </c>
      <c r="CQ2577" s="0" t="s">
        <v>130</v>
      </c>
      <c r="CR2577" s="0" t="s">
        <v>130</v>
      </c>
      <c r="CS2577" s="0" t="s">
        <v>130</v>
      </c>
      <c r="CT2577" s="0" t="s">
        <v>6992</v>
      </c>
    </row>
    <row r="2578">
      <c r="A2578" s="14">
        <v>151843</v>
      </c>
      <c r="B2578" s="0" t="s">
        <v>3167</v>
      </c>
      <c r="C2578" s="16">
        <f>HYPERLINK("https://eosportal.federatedhermes.com/companies/Q29tcGFueQppODU0MTU=", "Fast Retailing Co Ltd")</f>
      </c>
      <c r="D2578" s="0" t="s">
        <v>23</v>
      </c>
      <c r="E2578" s="0" t="s">
        <v>3027</v>
      </c>
      <c r="F2578" s="16">
        <f>HYPERLINK("https://eosportal.federatedhermes.com/engagements/RW5nYWdlbWVudAppMzQ4ODg=", "Board gender diversity")</f>
      </c>
      <c r="G2578" s="14" t="s">
        <v>6993</v>
      </c>
      <c r="H2578" s="0" t="s">
        <v>141</v>
      </c>
      <c r="I2578" s="14" t="s">
        <v>191</v>
      </c>
      <c r="J2578" s="0" t="s">
        <v>145</v>
      </c>
      <c r="K2578" s="0" t="s">
        <v>164</v>
      </c>
      <c r="L2578" s="0" t="s">
        <v>165</v>
      </c>
      <c r="M2578" s="0" t="s">
        <v>802</v>
      </c>
      <c r="N2578" s="0" t="s">
        <v>952</v>
      </c>
      <c r="O2578" s="0" t="s">
        <v>643</v>
      </c>
      <c r="Q2578" s="0" t="s">
        <v>141</v>
      </c>
      <c r="R2578" s="0" t="s">
        <v>130</v>
      </c>
      <c r="S2578" s="14">
        <v>2</v>
      </c>
      <c r="T2578" s="0" t="s">
        <v>2629</v>
      </c>
      <c r="U2578" s="0" t="s">
        <v>221</v>
      </c>
      <c r="V2578" s="14" t="s">
        <v>2629</v>
      </c>
      <c r="W2578" s="0" t="s">
        <v>221</v>
      </c>
      <c r="X2578" s="14" t="s">
        <v>2629</v>
      </c>
      <c r="Y2578" s="0" t="s">
        <v>223</v>
      </c>
      <c r="Z2578" s="14" t="s">
        <v>138</v>
      </c>
      <c r="AA2578" s="0" t="s">
        <v>224</v>
      </c>
      <c r="AB2578" s="14" t="s">
        <v>138</v>
      </c>
      <c r="AD2578" s="0" t="s">
        <v>17</v>
      </c>
      <c r="AF2578" s="0">
        <v>0</v>
      </c>
      <c r="AG2578" s="0">
        <v>0</v>
      </c>
      <c r="AH2578" s="0" t="s">
        <v>140</v>
      </c>
      <c r="AI2578" s="0" t="s">
        <v>598</v>
      </c>
      <c r="AK2578" s="0" t="s">
        <v>3178</v>
      </c>
      <c r="AL2578" s="14"/>
      <c r="AN2578" s="14"/>
      <c r="AQ2578" s="0" t="s">
        <v>130</v>
      </c>
      <c r="AR2578" s="0" t="s">
        <v>130</v>
      </c>
      <c r="AS2578" s="0" t="s">
        <v>130</v>
      </c>
      <c r="AT2578" s="0" t="s">
        <v>130</v>
      </c>
      <c r="AU2578" s="0" t="s">
        <v>141</v>
      </c>
      <c r="AV2578" s="0" t="s">
        <v>130</v>
      </c>
      <c r="AW2578" s="0" t="s">
        <v>130</v>
      </c>
      <c r="AX2578" s="0" t="s">
        <v>130</v>
      </c>
      <c r="AY2578" s="0" t="s">
        <v>130</v>
      </c>
      <c r="AZ2578" s="0" t="s">
        <v>130</v>
      </c>
      <c r="BA2578" s="0" t="s">
        <v>130</v>
      </c>
      <c r="BB2578" s="0" t="s">
        <v>130</v>
      </c>
      <c r="BC2578" s="0" t="s">
        <v>130</v>
      </c>
      <c r="BD2578" s="0" t="s">
        <v>130</v>
      </c>
      <c r="BE2578" s="0" t="s">
        <v>130</v>
      </c>
      <c r="BF2578" s="0" t="s">
        <v>130</v>
      </c>
      <c r="BG2578" s="0" t="s">
        <v>130</v>
      </c>
      <c r="BH2578" s="0" t="s">
        <v>130</v>
      </c>
      <c r="BI2578" s="0" t="s">
        <v>130</v>
      </c>
      <c r="BJ2578" s="0" t="s">
        <v>130</v>
      </c>
      <c r="BK2578" s="0" t="s">
        <v>130</v>
      </c>
      <c r="BL2578" s="0" t="s">
        <v>130</v>
      </c>
      <c r="BM2578" s="0" t="s">
        <v>130</v>
      </c>
      <c r="BN2578" s="0" t="s">
        <v>130</v>
      </c>
      <c r="BO2578" s="0" t="s">
        <v>130</v>
      </c>
      <c r="BP2578" s="0" t="s">
        <v>130</v>
      </c>
      <c r="BQ2578" s="0" t="s">
        <v>141</v>
      </c>
      <c r="BR2578" s="0" t="s">
        <v>130</v>
      </c>
      <c r="BS2578" s="0" t="s">
        <v>130</v>
      </c>
      <c r="BT2578" s="0" t="s">
        <v>130</v>
      </c>
      <c r="BU2578" s="0" t="s">
        <v>130</v>
      </c>
      <c r="BV2578" s="0" t="s">
        <v>130</v>
      </c>
      <c r="BW2578" s="0" t="s">
        <v>130</v>
      </c>
      <c r="BX2578" s="0" t="s">
        <v>130</v>
      </c>
      <c r="BY2578" s="0" t="s">
        <v>130</v>
      </c>
      <c r="BZ2578" s="0" t="s">
        <v>130</v>
      </c>
      <c r="CA2578" s="0" t="s">
        <v>130</v>
      </c>
      <c r="CB2578" s="0" t="s">
        <v>130</v>
      </c>
      <c r="CC2578" s="0" t="s">
        <v>130</v>
      </c>
      <c r="CD2578" s="0" t="s">
        <v>130</v>
      </c>
      <c r="CE2578" s="0" t="s">
        <v>130</v>
      </c>
      <c r="CF2578" s="0" t="s">
        <v>130</v>
      </c>
      <c r="CG2578" s="0" t="s">
        <v>130</v>
      </c>
      <c r="CH2578" s="0" t="s">
        <v>130</v>
      </c>
      <c r="CI2578" s="0" t="s">
        <v>130</v>
      </c>
      <c r="CJ2578" s="0" t="s">
        <v>130</v>
      </c>
      <c r="CK2578" s="0" t="s">
        <v>130</v>
      </c>
      <c r="CL2578" s="0" t="s">
        <v>130</v>
      </c>
      <c r="CM2578" s="0" t="s">
        <v>130</v>
      </c>
      <c r="CN2578" s="0" t="s">
        <v>130</v>
      </c>
      <c r="CO2578" s="0" t="s">
        <v>130</v>
      </c>
      <c r="CP2578" s="0" t="s">
        <v>130</v>
      </c>
      <c r="CQ2578" s="0" t="s">
        <v>130</v>
      </c>
      <c r="CR2578" s="0" t="s">
        <v>130</v>
      </c>
      <c r="CS2578" s="0" t="s">
        <v>130</v>
      </c>
      <c r="CT2578" s="0" t="s">
        <v>6994</v>
      </c>
    </row>
    <row r="2579">
      <c r="A2579" s="14">
        <v>100315</v>
      </c>
      <c r="B2579" s="0" t="s">
        <v>539</v>
      </c>
      <c r="C2579" s="16">
        <f>HYPERLINK("https://eosportal.federatedhermes.com/companies/Q29tcGFueQppNzcwNTA=", "Chevron Corp")</f>
      </c>
      <c r="D2579" s="0" t="s">
        <v>25</v>
      </c>
      <c r="E2579" s="0" t="s">
        <v>5417</v>
      </c>
      <c r="F2579" s="16">
        <f>HYPERLINK("https://eosportal.federatedhermes.com/engagements/RW5nYWdlbWVudAppMzQ5MDI=", "Socioeconomic mobility metrics")</f>
      </c>
      <c r="G2579" s="14" t="s">
        <v>6995</v>
      </c>
      <c r="H2579" s="0" t="s">
        <v>141</v>
      </c>
      <c r="I2579" s="14" t="s">
        <v>191</v>
      </c>
      <c r="J2579" s="0" t="s">
        <v>153</v>
      </c>
      <c r="K2579" s="0" t="s">
        <v>154</v>
      </c>
      <c r="L2579" s="0" t="s">
        <v>268</v>
      </c>
      <c r="M2579" s="0" t="s">
        <v>135</v>
      </c>
      <c r="N2579" s="0" t="s">
        <v>136</v>
      </c>
      <c r="O2579" s="0" t="s">
        <v>542</v>
      </c>
      <c r="Q2579" s="0" t="s">
        <v>130</v>
      </c>
      <c r="R2579" s="0" t="s">
        <v>138</v>
      </c>
      <c r="S2579" s="14">
        <v>0</v>
      </c>
      <c r="T2579" s="0" t="s">
        <v>446</v>
      </c>
      <c r="U2579" s="0" t="s">
        <v>138</v>
      </c>
      <c r="V2579" s="14" t="s">
        <v>138</v>
      </c>
      <c r="W2579" s="0" t="s">
        <v>138</v>
      </c>
      <c r="X2579" s="14" t="s">
        <v>138</v>
      </c>
      <c r="Y2579" s="0" t="s">
        <v>138</v>
      </c>
      <c r="Z2579" s="14" t="s">
        <v>138</v>
      </c>
      <c r="AA2579" s="0" t="s">
        <v>138</v>
      </c>
      <c r="AB2579" s="14" t="s">
        <v>138</v>
      </c>
      <c r="AD2579" s="0" t="s">
        <v>138</v>
      </c>
      <c r="AF2579" s="0">
        <v>0</v>
      </c>
      <c r="AG2579" s="0">
        <v>0</v>
      </c>
      <c r="AH2579" s="0" t="s">
        <v>140</v>
      </c>
      <c r="AI2579" s="0" t="s">
        <v>138</v>
      </c>
      <c r="AL2579" s="14"/>
      <c r="AN2579" s="14"/>
      <c r="AQ2579" s="0" t="s">
        <v>130</v>
      </c>
      <c r="AR2579" s="0" t="s">
        <v>130</v>
      </c>
      <c r="AS2579" s="0" t="s">
        <v>130</v>
      </c>
      <c r="AT2579" s="0" t="s">
        <v>130</v>
      </c>
      <c r="AU2579" s="0" t="s">
        <v>141</v>
      </c>
      <c r="AV2579" s="0" t="s">
        <v>130</v>
      </c>
      <c r="AW2579" s="0" t="s">
        <v>130</v>
      </c>
      <c r="AX2579" s="0" t="s">
        <v>141</v>
      </c>
      <c r="AY2579" s="0" t="s">
        <v>130</v>
      </c>
      <c r="AZ2579" s="0" t="s">
        <v>141</v>
      </c>
      <c r="BA2579" s="0" t="s">
        <v>130</v>
      </c>
      <c r="BB2579" s="0" t="s">
        <v>130</v>
      </c>
      <c r="BC2579" s="0" t="s">
        <v>130</v>
      </c>
      <c r="BD2579" s="0" t="s">
        <v>130</v>
      </c>
      <c r="BE2579" s="0" t="s">
        <v>130</v>
      </c>
      <c r="BF2579" s="0" t="s">
        <v>130</v>
      </c>
      <c r="BG2579" s="0" t="s">
        <v>130</v>
      </c>
      <c r="BH2579" s="0" t="s">
        <v>130</v>
      </c>
      <c r="BI2579" s="0" t="s">
        <v>130</v>
      </c>
      <c r="BJ2579" s="0" t="s">
        <v>130</v>
      </c>
      <c r="BK2579" s="0" t="s">
        <v>130</v>
      </c>
      <c r="BL2579" s="0" t="s">
        <v>130</v>
      </c>
      <c r="BM2579" s="0" t="s">
        <v>130</v>
      </c>
      <c r="BN2579" s="0" t="s">
        <v>130</v>
      </c>
      <c r="BO2579" s="0" t="s">
        <v>130</v>
      </c>
      <c r="BP2579" s="0" t="s">
        <v>130</v>
      </c>
      <c r="BQ2579" s="0" t="s">
        <v>130</v>
      </c>
      <c r="BR2579" s="0" t="s">
        <v>130</v>
      </c>
      <c r="BS2579" s="0" t="s">
        <v>130</v>
      </c>
      <c r="BT2579" s="0" t="s">
        <v>130</v>
      </c>
      <c r="BU2579" s="0" t="s">
        <v>130</v>
      </c>
      <c r="BV2579" s="0" t="s">
        <v>130</v>
      </c>
      <c r="BW2579" s="0" t="s">
        <v>130</v>
      </c>
      <c r="BX2579" s="0" t="s">
        <v>130</v>
      </c>
      <c r="BY2579" s="0" t="s">
        <v>130</v>
      </c>
      <c r="BZ2579" s="0" t="s">
        <v>130</v>
      </c>
      <c r="CA2579" s="0" t="s">
        <v>130</v>
      </c>
      <c r="CB2579" s="0" t="s">
        <v>130</v>
      </c>
      <c r="CC2579" s="0" t="s">
        <v>130</v>
      </c>
      <c r="CD2579" s="0" t="s">
        <v>130</v>
      </c>
      <c r="CE2579" s="0" t="s">
        <v>130</v>
      </c>
      <c r="CF2579" s="0" t="s">
        <v>130</v>
      </c>
      <c r="CG2579" s="0" t="s">
        <v>130</v>
      </c>
      <c r="CH2579" s="0" t="s">
        <v>130</v>
      </c>
      <c r="CI2579" s="0" t="s">
        <v>130</v>
      </c>
      <c r="CJ2579" s="0" t="s">
        <v>130</v>
      </c>
      <c r="CK2579" s="0" t="s">
        <v>141</v>
      </c>
      <c r="CL2579" s="0" t="s">
        <v>130</v>
      </c>
      <c r="CM2579" s="0" t="s">
        <v>130</v>
      </c>
      <c r="CN2579" s="0" t="s">
        <v>130</v>
      </c>
      <c r="CO2579" s="0" t="s">
        <v>130</v>
      </c>
      <c r="CP2579" s="0" t="s">
        <v>130</v>
      </c>
      <c r="CQ2579" s="0" t="s">
        <v>130</v>
      </c>
      <c r="CR2579" s="0" t="s">
        <v>130</v>
      </c>
      <c r="CS2579" s="0" t="s">
        <v>130</v>
      </c>
      <c r="CT2579" s="0" t="s">
        <v>6996</v>
      </c>
    </row>
    <row r="2580">
      <c r="A2580" s="14">
        <v>100315</v>
      </c>
      <c r="B2580" s="0" t="s">
        <v>539</v>
      </c>
      <c r="C2580" s="16">
        <f>HYPERLINK("https://eosportal.federatedhermes.com/companies/Q29tcGFueQppNzcwNTA=", "Chevron Corp")</f>
      </c>
      <c r="D2580" s="0" t="s">
        <v>25</v>
      </c>
      <c r="E2580" s="0" t="s">
        <v>6997</v>
      </c>
      <c r="F2580" s="16">
        <f>HYPERLINK("https://eosportal.federatedhermes.com/engagements/RW5nYWdlbWVudAppMzQ5MDM=", "Asset Retirement Obligations")</f>
      </c>
      <c r="G2580" s="14" t="s">
        <v>6998</v>
      </c>
      <c r="H2580" s="0" t="s">
        <v>141</v>
      </c>
      <c r="I2580" s="14" t="s">
        <v>191</v>
      </c>
      <c r="J2580" s="0" t="s">
        <v>197</v>
      </c>
      <c r="K2580" s="0" t="s">
        <v>198</v>
      </c>
      <c r="L2580" s="0" t="s">
        <v>199</v>
      </c>
      <c r="M2580" s="0" t="s">
        <v>135</v>
      </c>
      <c r="N2580" s="0" t="s">
        <v>136</v>
      </c>
      <c r="O2580" s="0" t="s">
        <v>542</v>
      </c>
      <c r="Q2580" s="0" t="s">
        <v>130</v>
      </c>
      <c r="R2580" s="0" t="s">
        <v>138</v>
      </c>
      <c r="S2580" s="14">
        <v>0</v>
      </c>
      <c r="T2580" s="0" t="s">
        <v>446</v>
      </c>
      <c r="U2580" s="0" t="s">
        <v>138</v>
      </c>
      <c r="V2580" s="14" t="s">
        <v>138</v>
      </c>
      <c r="W2580" s="0" t="s">
        <v>138</v>
      </c>
      <c r="X2580" s="14" t="s">
        <v>138</v>
      </c>
      <c r="Y2580" s="0" t="s">
        <v>138</v>
      </c>
      <c r="Z2580" s="14" t="s">
        <v>138</v>
      </c>
      <c r="AA2580" s="0" t="s">
        <v>138</v>
      </c>
      <c r="AB2580" s="14" t="s">
        <v>138</v>
      </c>
      <c r="AD2580" s="0" t="s">
        <v>138</v>
      </c>
      <c r="AF2580" s="0">
        <v>0</v>
      </c>
      <c r="AG2580" s="0">
        <v>0</v>
      </c>
      <c r="AH2580" s="0" t="s">
        <v>140</v>
      </c>
      <c r="AI2580" s="0" t="s">
        <v>138</v>
      </c>
      <c r="AL2580" s="14"/>
      <c r="AN2580" s="14"/>
      <c r="AQ2580" s="0" t="s">
        <v>130</v>
      </c>
      <c r="AR2580" s="0" t="s">
        <v>130</v>
      </c>
      <c r="AS2580" s="0" t="s">
        <v>130</v>
      </c>
      <c r="AT2580" s="0" t="s">
        <v>130</v>
      </c>
      <c r="AU2580" s="0" t="s">
        <v>130</v>
      </c>
      <c r="AV2580" s="0" t="s">
        <v>130</v>
      </c>
      <c r="AW2580" s="0" t="s">
        <v>130</v>
      </c>
      <c r="AX2580" s="0" t="s">
        <v>130</v>
      </c>
      <c r="AY2580" s="0" t="s">
        <v>130</v>
      </c>
      <c r="AZ2580" s="0" t="s">
        <v>130</v>
      </c>
      <c r="BA2580" s="0" t="s">
        <v>130</v>
      </c>
      <c r="BB2580" s="0" t="s">
        <v>141</v>
      </c>
      <c r="BC2580" s="0" t="s">
        <v>141</v>
      </c>
      <c r="BD2580" s="0" t="s">
        <v>130</v>
      </c>
      <c r="BE2580" s="0" t="s">
        <v>130</v>
      </c>
      <c r="BF2580" s="0" t="s">
        <v>130</v>
      </c>
      <c r="BG2580" s="0" t="s">
        <v>130</v>
      </c>
      <c r="BH2580" s="0" t="s">
        <v>130</v>
      </c>
      <c r="BI2580" s="0" t="s">
        <v>130</v>
      </c>
      <c r="BJ2580" s="0" t="s">
        <v>130</v>
      </c>
      <c r="BK2580" s="0" t="s">
        <v>130</v>
      </c>
      <c r="BL2580" s="0" t="s">
        <v>130</v>
      </c>
      <c r="BM2580" s="0" t="s">
        <v>130</v>
      </c>
      <c r="BN2580" s="0" t="s">
        <v>130</v>
      </c>
      <c r="BO2580" s="0" t="s">
        <v>130</v>
      </c>
      <c r="BP2580" s="0" t="s">
        <v>130</v>
      </c>
      <c r="BQ2580" s="0" t="s">
        <v>130</v>
      </c>
      <c r="BR2580" s="0" t="s">
        <v>130</v>
      </c>
      <c r="BS2580" s="0" t="s">
        <v>130</v>
      </c>
      <c r="BT2580" s="0" t="s">
        <v>130</v>
      </c>
      <c r="BU2580" s="0" t="s">
        <v>130</v>
      </c>
      <c r="BV2580" s="0" t="s">
        <v>130</v>
      </c>
      <c r="BW2580" s="0" t="s">
        <v>130</v>
      </c>
      <c r="BX2580" s="0" t="s">
        <v>130</v>
      </c>
      <c r="BY2580" s="0" t="s">
        <v>130</v>
      </c>
      <c r="BZ2580" s="0" t="s">
        <v>130</v>
      </c>
      <c r="CA2580" s="0" t="s">
        <v>130</v>
      </c>
      <c r="CB2580" s="0" t="s">
        <v>130</v>
      </c>
      <c r="CC2580" s="0" t="s">
        <v>130</v>
      </c>
      <c r="CD2580" s="0" t="s">
        <v>130</v>
      </c>
      <c r="CE2580" s="0" t="s">
        <v>130</v>
      </c>
      <c r="CF2580" s="0" t="s">
        <v>130</v>
      </c>
      <c r="CG2580" s="0" t="s">
        <v>130</v>
      </c>
      <c r="CH2580" s="0" t="s">
        <v>130</v>
      </c>
      <c r="CI2580" s="0" t="s">
        <v>130</v>
      </c>
      <c r="CJ2580" s="0" t="s">
        <v>130</v>
      </c>
      <c r="CK2580" s="0" t="s">
        <v>130</v>
      </c>
      <c r="CL2580" s="0" t="s">
        <v>130</v>
      </c>
      <c r="CM2580" s="0" t="s">
        <v>130</v>
      </c>
      <c r="CN2580" s="0" t="s">
        <v>130</v>
      </c>
      <c r="CO2580" s="0" t="s">
        <v>130</v>
      </c>
      <c r="CP2580" s="0" t="s">
        <v>130</v>
      </c>
      <c r="CQ2580" s="0" t="s">
        <v>130</v>
      </c>
      <c r="CR2580" s="0" t="s">
        <v>130</v>
      </c>
      <c r="CS2580" s="0" t="s">
        <v>130</v>
      </c>
      <c r="CT2580" s="0" t="s">
        <v>6999</v>
      </c>
    </row>
    <row r="2581">
      <c r="A2581" s="14">
        <v>100614</v>
      </c>
      <c r="B2581" s="0" t="s">
        <v>902</v>
      </c>
      <c r="C2581" s="16">
        <f>HYPERLINK("https://eosportal.federatedhermes.com/companies/Q29tcGFueQppNjc3NDg=", "Freeport-McMoRan Inc")</f>
      </c>
      <c r="D2581" s="0" t="s">
        <v>23</v>
      </c>
      <c r="E2581" s="0" t="s">
        <v>7000</v>
      </c>
      <c r="F2581" s="16">
        <f>HYPERLINK("https://eosportal.federatedhermes.com/engagements/RW5nYWdlbWVudAppMzQ5MzY=", "Nature strategy and targets")</f>
      </c>
      <c r="G2581" s="14" t="s">
        <v>7001</v>
      </c>
      <c r="H2581" s="0" t="s">
        <v>141</v>
      </c>
      <c r="I2581" s="14" t="s">
        <v>131</v>
      </c>
      <c r="J2581" s="0" t="s">
        <v>197</v>
      </c>
      <c r="K2581" s="0" t="s">
        <v>337</v>
      </c>
      <c r="L2581" s="0" t="s">
        <v>576</v>
      </c>
      <c r="M2581" s="0" t="s">
        <v>135</v>
      </c>
      <c r="N2581" s="0" t="s">
        <v>136</v>
      </c>
      <c r="O2581" s="0" t="s">
        <v>373</v>
      </c>
      <c r="Q2581" s="0" t="s">
        <v>130</v>
      </c>
      <c r="R2581" s="0" t="s">
        <v>130</v>
      </c>
      <c r="S2581" s="14">
        <v>0</v>
      </c>
      <c r="T2581" s="0" t="s">
        <v>446</v>
      </c>
      <c r="U2581" s="0" t="s">
        <v>221</v>
      </c>
      <c r="V2581" s="14" t="s">
        <v>446</v>
      </c>
      <c r="W2581" s="0" t="s">
        <v>221</v>
      </c>
      <c r="X2581" s="14" t="s">
        <v>4412</v>
      </c>
      <c r="Y2581" s="0" t="s">
        <v>223</v>
      </c>
      <c r="Z2581" s="14" t="s">
        <v>138</v>
      </c>
      <c r="AA2581" s="0" t="s">
        <v>224</v>
      </c>
      <c r="AB2581" s="14" t="s">
        <v>138</v>
      </c>
      <c r="AD2581" s="0" t="s">
        <v>17</v>
      </c>
      <c r="AF2581" s="0">
        <v>0</v>
      </c>
      <c r="AG2581" s="0">
        <v>0</v>
      </c>
      <c r="AH2581" s="0" t="s">
        <v>140</v>
      </c>
      <c r="AI2581" s="0" t="s">
        <v>598</v>
      </c>
      <c r="AL2581" s="14"/>
      <c r="AN2581" s="14"/>
      <c r="AQ2581" s="0" t="s">
        <v>130</v>
      </c>
      <c r="AR2581" s="0" t="s">
        <v>141</v>
      </c>
      <c r="AS2581" s="0" t="s">
        <v>130</v>
      </c>
      <c r="AT2581" s="0" t="s">
        <v>130</v>
      </c>
      <c r="AU2581" s="0" t="s">
        <v>130</v>
      </c>
      <c r="AV2581" s="0" t="s">
        <v>141</v>
      </c>
      <c r="AW2581" s="0" t="s">
        <v>130</v>
      </c>
      <c r="AX2581" s="0" t="s">
        <v>130</v>
      </c>
      <c r="AY2581" s="0" t="s">
        <v>130</v>
      </c>
      <c r="AZ2581" s="0" t="s">
        <v>130</v>
      </c>
      <c r="BA2581" s="0" t="s">
        <v>141</v>
      </c>
      <c r="BB2581" s="0" t="s">
        <v>141</v>
      </c>
      <c r="BC2581" s="0" t="s">
        <v>130</v>
      </c>
      <c r="BD2581" s="0" t="s">
        <v>141</v>
      </c>
      <c r="BE2581" s="0" t="s">
        <v>141</v>
      </c>
      <c r="BF2581" s="0" t="s">
        <v>130</v>
      </c>
      <c r="BG2581" s="0" t="s">
        <v>130</v>
      </c>
      <c r="BH2581" s="0" t="s">
        <v>130</v>
      </c>
      <c r="BI2581" s="0" t="s">
        <v>130</v>
      </c>
      <c r="BJ2581" s="0" t="s">
        <v>130</v>
      </c>
      <c r="BK2581" s="0" t="s">
        <v>130</v>
      </c>
      <c r="BL2581" s="0" t="s">
        <v>130</v>
      </c>
      <c r="BM2581" s="0" t="s">
        <v>141</v>
      </c>
      <c r="BN2581" s="0" t="s">
        <v>130</v>
      </c>
      <c r="BO2581" s="0" t="s">
        <v>130</v>
      </c>
      <c r="BP2581" s="0" t="s">
        <v>130</v>
      </c>
      <c r="BQ2581" s="0" t="s">
        <v>130</v>
      </c>
      <c r="BR2581" s="0" t="s">
        <v>130</v>
      </c>
      <c r="BS2581" s="0" t="s">
        <v>130</v>
      </c>
      <c r="BT2581" s="0" t="s">
        <v>130</v>
      </c>
      <c r="BU2581" s="0" t="s">
        <v>130</v>
      </c>
      <c r="BV2581" s="0" t="s">
        <v>130</v>
      </c>
      <c r="BW2581" s="0" t="s">
        <v>130</v>
      </c>
      <c r="BX2581" s="0" t="s">
        <v>130</v>
      </c>
      <c r="BY2581" s="0" t="s">
        <v>130</v>
      </c>
      <c r="BZ2581" s="0" t="s">
        <v>130</v>
      </c>
      <c r="CA2581" s="0" t="s">
        <v>141</v>
      </c>
      <c r="CB2581" s="0" t="s">
        <v>141</v>
      </c>
      <c r="CC2581" s="0" t="s">
        <v>141</v>
      </c>
      <c r="CD2581" s="0" t="s">
        <v>130</v>
      </c>
      <c r="CE2581" s="0" t="s">
        <v>141</v>
      </c>
      <c r="CF2581" s="0" t="s">
        <v>141</v>
      </c>
      <c r="CG2581" s="0" t="s">
        <v>130</v>
      </c>
      <c r="CH2581" s="0" t="s">
        <v>130</v>
      </c>
      <c r="CI2581" s="0" t="s">
        <v>130</v>
      </c>
      <c r="CJ2581" s="0" t="s">
        <v>130</v>
      </c>
      <c r="CK2581" s="0" t="s">
        <v>130</v>
      </c>
      <c r="CL2581" s="0" t="s">
        <v>130</v>
      </c>
      <c r="CM2581" s="0" t="s">
        <v>130</v>
      </c>
      <c r="CN2581" s="0" t="s">
        <v>130</v>
      </c>
      <c r="CO2581" s="0" t="s">
        <v>130</v>
      </c>
      <c r="CP2581" s="0" t="s">
        <v>130</v>
      </c>
      <c r="CQ2581" s="0" t="s">
        <v>130</v>
      </c>
      <c r="CR2581" s="0" t="s">
        <v>130</v>
      </c>
      <c r="CS2581" s="0" t="s">
        <v>130</v>
      </c>
      <c r="CT2581" s="0" t="s">
        <v>7002</v>
      </c>
    </row>
    <row r="2582">
      <c r="A2582" s="14">
        <v>69383537</v>
      </c>
      <c r="B2582" s="0" t="s">
        <v>5940</v>
      </c>
      <c r="C2582" s="16">
        <f>HYPERLINK("https://eosportal.federatedhermes.com/companies/Q29tcGFueQppNTM4NjY=", "InPost SA")</f>
      </c>
      <c r="D2582" s="0" t="s">
        <v>25</v>
      </c>
      <c r="E2582" s="0" t="s">
        <v>7003</v>
      </c>
      <c r="F2582" s="16">
        <f>HYPERLINK("https://eosportal.federatedhermes.com/engagements/RW5nYWdlbWVudAppMzQ5NTU=", "Sustainability strategy development")</f>
      </c>
      <c r="G2582" s="14" t="s">
        <v>7004</v>
      </c>
      <c r="H2582" s="0" t="s">
        <v>130</v>
      </c>
      <c r="I2582" s="14" t="s">
        <v>131</v>
      </c>
      <c r="J2582" s="0" t="s">
        <v>132</v>
      </c>
      <c r="K2582" s="0" t="s">
        <v>133</v>
      </c>
      <c r="L2582" s="0" t="s">
        <v>160</v>
      </c>
      <c r="M2582" s="0" t="s">
        <v>2807</v>
      </c>
      <c r="N2582" s="0" t="s">
        <v>5942</v>
      </c>
      <c r="O2582" s="0" t="s">
        <v>425</v>
      </c>
      <c r="Q2582" s="0" t="s">
        <v>130</v>
      </c>
      <c r="R2582" s="0" t="s">
        <v>138</v>
      </c>
      <c r="S2582" s="14">
        <v>0</v>
      </c>
      <c r="T2582" s="0" t="s">
        <v>446</v>
      </c>
      <c r="U2582" s="0" t="s">
        <v>138</v>
      </c>
      <c r="V2582" s="14" t="s">
        <v>138</v>
      </c>
      <c r="W2582" s="0" t="s">
        <v>138</v>
      </c>
      <c r="X2582" s="14" t="s">
        <v>138</v>
      </c>
      <c r="Y2582" s="0" t="s">
        <v>138</v>
      </c>
      <c r="Z2582" s="14" t="s">
        <v>138</v>
      </c>
      <c r="AA2582" s="0" t="s">
        <v>138</v>
      </c>
      <c r="AB2582" s="14" t="s">
        <v>138</v>
      </c>
      <c r="AD2582" s="0" t="s">
        <v>138</v>
      </c>
      <c r="AF2582" s="0">
        <v>0</v>
      </c>
      <c r="AG2582" s="0">
        <v>0</v>
      </c>
      <c r="AH2582" s="0" t="s">
        <v>140</v>
      </c>
      <c r="AI2582" s="0" t="s">
        <v>138</v>
      </c>
      <c r="AL2582" s="14"/>
      <c r="AN2582" s="14"/>
      <c r="AQ2582" s="0" t="s">
        <v>130</v>
      </c>
      <c r="AR2582" s="0" t="s">
        <v>130</v>
      </c>
      <c r="AS2582" s="0" t="s">
        <v>130</v>
      </c>
      <c r="AT2582" s="0" t="s">
        <v>130</v>
      </c>
      <c r="AU2582" s="0" t="s">
        <v>130</v>
      </c>
      <c r="AV2582" s="0" t="s">
        <v>130</v>
      </c>
      <c r="AW2582" s="0" t="s">
        <v>130</v>
      </c>
      <c r="AX2582" s="0" t="s">
        <v>130</v>
      </c>
      <c r="AY2582" s="0" t="s">
        <v>130</v>
      </c>
      <c r="AZ2582" s="0" t="s">
        <v>130</v>
      </c>
      <c r="BA2582" s="0" t="s">
        <v>130</v>
      </c>
      <c r="BB2582" s="0" t="s">
        <v>130</v>
      </c>
      <c r="BC2582" s="0" t="s">
        <v>141</v>
      </c>
      <c r="BD2582" s="0" t="s">
        <v>130</v>
      </c>
      <c r="BE2582" s="0" t="s">
        <v>130</v>
      </c>
      <c r="BF2582" s="0" t="s">
        <v>130</v>
      </c>
      <c r="BG2582" s="0" t="s">
        <v>130</v>
      </c>
      <c r="BH2582" s="0" t="s">
        <v>130</v>
      </c>
      <c r="BI2582" s="0" t="s">
        <v>130</v>
      </c>
      <c r="BJ2582" s="0" t="s">
        <v>130</v>
      </c>
      <c r="BK2582" s="0" t="s">
        <v>130</v>
      </c>
      <c r="BL2582" s="0" t="s">
        <v>130</v>
      </c>
      <c r="BM2582" s="0" t="s">
        <v>130</v>
      </c>
      <c r="BN2582" s="0" t="s">
        <v>130</v>
      </c>
      <c r="BO2582" s="0" t="s">
        <v>130</v>
      </c>
      <c r="BP2582" s="0" t="s">
        <v>130</v>
      </c>
      <c r="BQ2582" s="0" t="s">
        <v>130</v>
      </c>
      <c r="BR2582" s="0" t="s">
        <v>130</v>
      </c>
      <c r="BS2582" s="0" t="s">
        <v>130</v>
      </c>
      <c r="BT2582" s="0" t="s">
        <v>130</v>
      </c>
      <c r="BU2582" s="0" t="s">
        <v>130</v>
      </c>
      <c r="BV2582" s="0" t="s">
        <v>130</v>
      </c>
      <c r="BW2582" s="0" t="s">
        <v>130</v>
      </c>
      <c r="BX2582" s="0" t="s">
        <v>130</v>
      </c>
      <c r="BY2582" s="0" t="s">
        <v>130</v>
      </c>
      <c r="BZ2582" s="0" t="s">
        <v>130</v>
      </c>
      <c r="CA2582" s="0" t="s">
        <v>130</v>
      </c>
      <c r="CB2582" s="0" t="s">
        <v>130</v>
      </c>
      <c r="CC2582" s="0" t="s">
        <v>130</v>
      </c>
      <c r="CD2582" s="0" t="s">
        <v>130</v>
      </c>
      <c r="CE2582" s="0" t="s">
        <v>130</v>
      </c>
      <c r="CF2582" s="0" t="s">
        <v>130</v>
      </c>
      <c r="CG2582" s="0" t="s">
        <v>130</v>
      </c>
      <c r="CH2582" s="0" t="s">
        <v>130</v>
      </c>
      <c r="CI2582" s="0" t="s">
        <v>130</v>
      </c>
      <c r="CJ2582" s="0" t="s">
        <v>130</v>
      </c>
      <c r="CK2582" s="0" t="s">
        <v>130</v>
      </c>
      <c r="CL2582" s="0" t="s">
        <v>130</v>
      </c>
      <c r="CM2582" s="0" t="s">
        <v>130</v>
      </c>
      <c r="CN2582" s="0" t="s">
        <v>130</v>
      </c>
      <c r="CO2582" s="0" t="s">
        <v>130</v>
      </c>
      <c r="CP2582" s="0" t="s">
        <v>130</v>
      </c>
      <c r="CQ2582" s="0" t="s">
        <v>130</v>
      </c>
      <c r="CR2582" s="0" t="s">
        <v>130</v>
      </c>
      <c r="CS2582" s="0" t="s">
        <v>130</v>
      </c>
      <c r="CT2582" s="0" t="s">
        <v>7005</v>
      </c>
    </row>
    <row r="2583">
      <c r="A2583" s="14">
        <v>58890738</v>
      </c>
      <c r="B2583" s="0" t="s">
        <v>4704</v>
      </c>
      <c r="C2583" s="16">
        <f>HYPERLINK("https://eosportal.federatedhermes.com/companies/Q29tcGFueQppNjE1MTM=", "Epiroc AB")</f>
      </c>
      <c r="D2583" s="0" t="s">
        <v>25</v>
      </c>
      <c r="E2583" s="0" t="s">
        <v>7003</v>
      </c>
      <c r="F2583" s="16">
        <f>HYPERLINK("https://eosportal.federatedhermes.com/engagements/RW5nYWdlbWVudAppMzQ5NTY=", "Sustainability strategy development")</f>
      </c>
      <c r="G2583" s="14" t="s">
        <v>7006</v>
      </c>
      <c r="H2583" s="0" t="s">
        <v>130</v>
      </c>
      <c r="I2583" s="14" t="s">
        <v>131</v>
      </c>
      <c r="J2583" s="0" t="s">
        <v>132</v>
      </c>
      <c r="K2583" s="0" t="s">
        <v>133</v>
      </c>
      <c r="L2583" s="0" t="s">
        <v>160</v>
      </c>
      <c r="M2583" s="0" t="s">
        <v>378</v>
      </c>
      <c r="N2583" s="0" t="s">
        <v>4706</v>
      </c>
      <c r="O2583" s="0" t="s">
        <v>425</v>
      </c>
      <c r="Q2583" s="0" t="s">
        <v>130</v>
      </c>
      <c r="R2583" s="0" t="s">
        <v>138</v>
      </c>
      <c r="S2583" s="14">
        <v>0</v>
      </c>
      <c r="T2583" s="0" t="s">
        <v>3265</v>
      </c>
      <c r="U2583" s="0" t="s">
        <v>138</v>
      </c>
      <c r="V2583" s="14" t="s">
        <v>138</v>
      </c>
      <c r="W2583" s="0" t="s">
        <v>138</v>
      </c>
      <c r="X2583" s="14" t="s">
        <v>138</v>
      </c>
      <c r="Y2583" s="0" t="s">
        <v>138</v>
      </c>
      <c r="Z2583" s="14" t="s">
        <v>138</v>
      </c>
      <c r="AA2583" s="0" t="s">
        <v>138</v>
      </c>
      <c r="AB2583" s="14" t="s">
        <v>138</v>
      </c>
      <c r="AD2583" s="0" t="s">
        <v>138</v>
      </c>
      <c r="AF2583" s="0">
        <v>0</v>
      </c>
      <c r="AG2583" s="0">
        <v>0</v>
      </c>
      <c r="AH2583" s="0" t="s">
        <v>140</v>
      </c>
      <c r="AI2583" s="0" t="s">
        <v>138</v>
      </c>
      <c r="AL2583" s="14"/>
      <c r="AN2583" s="14"/>
      <c r="AQ2583" s="0" t="s">
        <v>130</v>
      </c>
      <c r="AR2583" s="0" t="s">
        <v>130</v>
      </c>
      <c r="AS2583" s="0" t="s">
        <v>130</v>
      </c>
      <c r="AT2583" s="0" t="s">
        <v>130</v>
      </c>
      <c r="AU2583" s="0" t="s">
        <v>130</v>
      </c>
      <c r="AV2583" s="0" t="s">
        <v>130</v>
      </c>
      <c r="AW2583" s="0" t="s">
        <v>130</v>
      </c>
      <c r="AX2583" s="0" t="s">
        <v>130</v>
      </c>
      <c r="AY2583" s="0" t="s">
        <v>130</v>
      </c>
      <c r="AZ2583" s="0" t="s">
        <v>130</v>
      </c>
      <c r="BA2583" s="0" t="s">
        <v>130</v>
      </c>
      <c r="BB2583" s="0" t="s">
        <v>130</v>
      </c>
      <c r="BC2583" s="0" t="s">
        <v>141</v>
      </c>
      <c r="BD2583" s="0" t="s">
        <v>130</v>
      </c>
      <c r="BE2583" s="0" t="s">
        <v>130</v>
      </c>
      <c r="BF2583" s="0" t="s">
        <v>130</v>
      </c>
      <c r="BG2583" s="0" t="s">
        <v>130</v>
      </c>
      <c r="BH2583" s="0" t="s">
        <v>130</v>
      </c>
      <c r="BI2583" s="0" t="s">
        <v>130</v>
      </c>
      <c r="BJ2583" s="0" t="s">
        <v>130</v>
      </c>
      <c r="BK2583" s="0" t="s">
        <v>130</v>
      </c>
      <c r="BL2583" s="0" t="s">
        <v>130</v>
      </c>
      <c r="BM2583" s="0" t="s">
        <v>130</v>
      </c>
      <c r="BN2583" s="0" t="s">
        <v>130</v>
      </c>
      <c r="BO2583" s="0" t="s">
        <v>130</v>
      </c>
      <c r="BP2583" s="0" t="s">
        <v>130</v>
      </c>
      <c r="BQ2583" s="0" t="s">
        <v>130</v>
      </c>
      <c r="BR2583" s="0" t="s">
        <v>130</v>
      </c>
      <c r="BS2583" s="0" t="s">
        <v>130</v>
      </c>
      <c r="BT2583" s="0" t="s">
        <v>130</v>
      </c>
      <c r="BU2583" s="0" t="s">
        <v>130</v>
      </c>
      <c r="BV2583" s="0" t="s">
        <v>130</v>
      </c>
      <c r="BW2583" s="0" t="s">
        <v>130</v>
      </c>
      <c r="BX2583" s="0" t="s">
        <v>130</v>
      </c>
      <c r="BY2583" s="0" t="s">
        <v>130</v>
      </c>
      <c r="BZ2583" s="0" t="s">
        <v>130</v>
      </c>
      <c r="CA2583" s="0" t="s">
        <v>130</v>
      </c>
      <c r="CB2583" s="0" t="s">
        <v>130</v>
      </c>
      <c r="CC2583" s="0" t="s">
        <v>130</v>
      </c>
      <c r="CD2583" s="0" t="s">
        <v>130</v>
      </c>
      <c r="CE2583" s="0" t="s">
        <v>130</v>
      </c>
      <c r="CF2583" s="0" t="s">
        <v>130</v>
      </c>
      <c r="CG2583" s="0" t="s">
        <v>130</v>
      </c>
      <c r="CH2583" s="0" t="s">
        <v>130</v>
      </c>
      <c r="CI2583" s="0" t="s">
        <v>130</v>
      </c>
      <c r="CJ2583" s="0" t="s">
        <v>130</v>
      </c>
      <c r="CK2583" s="0" t="s">
        <v>130</v>
      </c>
      <c r="CL2583" s="0" t="s">
        <v>130</v>
      </c>
      <c r="CM2583" s="0" t="s">
        <v>130</v>
      </c>
      <c r="CN2583" s="0" t="s">
        <v>130</v>
      </c>
      <c r="CO2583" s="0" t="s">
        <v>130</v>
      </c>
      <c r="CP2583" s="0" t="s">
        <v>130</v>
      </c>
      <c r="CQ2583" s="0" t="s">
        <v>130</v>
      </c>
      <c r="CR2583" s="0" t="s">
        <v>130</v>
      </c>
      <c r="CS2583" s="0" t="s">
        <v>130</v>
      </c>
      <c r="CT2583" s="0" t="s">
        <v>7007</v>
      </c>
    </row>
    <row r="2584">
      <c r="A2584" s="14">
        <v>28569160</v>
      </c>
      <c r="B2584" s="0" t="s">
        <v>4370</v>
      </c>
      <c r="C2584" s="16">
        <f>HYPERLINK("https://eosportal.federatedhermes.com/companies/Q29tcGFueQppNTg5NDE=", "Uber Technologies Inc")</f>
      </c>
      <c r="D2584" s="0" t="s">
        <v>23</v>
      </c>
      <c r="E2584" s="0" t="s">
        <v>7008</v>
      </c>
      <c r="F2584" s="16">
        <f>HYPERLINK("https://eosportal.federatedhermes.com/engagements/RW5nYWdlbWVudAppMzUwMDQ=", "Global Safety Report")</f>
      </c>
      <c r="G2584" s="14" t="s">
        <v>7009</v>
      </c>
      <c r="H2584" s="0" t="s">
        <v>141</v>
      </c>
      <c r="I2584" s="14" t="s">
        <v>131</v>
      </c>
      <c r="J2584" s="0" t="s">
        <v>153</v>
      </c>
      <c r="K2584" s="0" t="s">
        <v>154</v>
      </c>
      <c r="L2584" s="0" t="s">
        <v>155</v>
      </c>
      <c r="M2584" s="0" t="s">
        <v>135</v>
      </c>
      <c r="N2584" s="0" t="s">
        <v>136</v>
      </c>
      <c r="O2584" s="0" t="s">
        <v>425</v>
      </c>
      <c r="Q2584" s="0" t="s">
        <v>141</v>
      </c>
      <c r="R2584" s="0" t="s">
        <v>130</v>
      </c>
      <c r="S2584" s="14">
        <v>1</v>
      </c>
      <c r="T2584" s="0" t="s">
        <v>478</v>
      </c>
      <c r="U2584" s="0" t="s">
        <v>221</v>
      </c>
      <c r="V2584" s="14" t="s">
        <v>478</v>
      </c>
      <c r="W2584" s="0" t="s">
        <v>221</v>
      </c>
      <c r="X2584" s="14" t="s">
        <v>478</v>
      </c>
      <c r="Y2584" s="0" t="s">
        <v>221</v>
      </c>
      <c r="Z2584" s="14" t="s">
        <v>446</v>
      </c>
      <c r="AA2584" s="0" t="s">
        <v>223</v>
      </c>
      <c r="AB2584" s="14" t="s">
        <v>138</v>
      </c>
      <c r="AD2584" s="0" t="s">
        <v>20</v>
      </c>
      <c r="AF2584" s="0">
        <v>0</v>
      </c>
      <c r="AG2584" s="0">
        <v>0</v>
      </c>
      <c r="AH2584" s="0" t="s">
        <v>140</v>
      </c>
      <c r="AI2584" s="0" t="s">
        <v>598</v>
      </c>
      <c r="AK2584" s="0" t="s">
        <v>2376</v>
      </c>
      <c r="AL2584" s="14"/>
      <c r="AN2584" s="14"/>
      <c r="AQ2584" s="0" t="s">
        <v>130</v>
      </c>
      <c r="AR2584" s="0" t="s">
        <v>130</v>
      </c>
      <c r="AS2584" s="0" t="s">
        <v>130</v>
      </c>
      <c r="AT2584" s="0" t="s">
        <v>130</v>
      </c>
      <c r="AU2584" s="0" t="s">
        <v>130</v>
      </c>
      <c r="AV2584" s="0" t="s">
        <v>130</v>
      </c>
      <c r="AW2584" s="0" t="s">
        <v>130</v>
      </c>
      <c r="AX2584" s="0" t="s">
        <v>141</v>
      </c>
      <c r="AY2584" s="0" t="s">
        <v>130</v>
      </c>
      <c r="AZ2584" s="0" t="s">
        <v>130</v>
      </c>
      <c r="BA2584" s="0" t="s">
        <v>130</v>
      </c>
      <c r="BB2584" s="0" t="s">
        <v>130</v>
      </c>
      <c r="BC2584" s="0" t="s">
        <v>130</v>
      </c>
      <c r="BD2584" s="0" t="s">
        <v>130</v>
      </c>
      <c r="BE2584" s="0" t="s">
        <v>130</v>
      </c>
      <c r="BF2584" s="0" t="s">
        <v>130</v>
      </c>
      <c r="BG2584" s="0" t="s">
        <v>130</v>
      </c>
      <c r="BH2584" s="0" t="s">
        <v>130</v>
      </c>
      <c r="BI2584" s="0" t="s">
        <v>130</v>
      </c>
      <c r="BJ2584" s="0" t="s">
        <v>130</v>
      </c>
      <c r="BK2584" s="0" t="s">
        <v>130</v>
      </c>
      <c r="BL2584" s="0" t="s">
        <v>130</v>
      </c>
      <c r="BM2584" s="0" t="s">
        <v>130</v>
      </c>
      <c r="BN2584" s="0" t="s">
        <v>130</v>
      </c>
      <c r="BO2584" s="0" t="s">
        <v>130</v>
      </c>
      <c r="BP2584" s="0" t="s">
        <v>130</v>
      </c>
      <c r="BQ2584" s="0" t="s">
        <v>130</v>
      </c>
      <c r="BR2584" s="0" t="s">
        <v>130</v>
      </c>
      <c r="BS2584" s="0" t="s">
        <v>130</v>
      </c>
      <c r="BT2584" s="0" t="s">
        <v>130</v>
      </c>
      <c r="BU2584" s="0" t="s">
        <v>130</v>
      </c>
      <c r="BV2584" s="0" t="s">
        <v>130</v>
      </c>
      <c r="BW2584" s="0" t="s">
        <v>130</v>
      </c>
      <c r="BX2584" s="0" t="s">
        <v>130</v>
      </c>
      <c r="BY2584" s="0" t="s">
        <v>130</v>
      </c>
      <c r="BZ2584" s="0" t="s">
        <v>130</v>
      </c>
      <c r="CA2584" s="0" t="s">
        <v>130</v>
      </c>
      <c r="CB2584" s="0" t="s">
        <v>130</v>
      </c>
      <c r="CC2584" s="0" t="s">
        <v>130</v>
      </c>
      <c r="CD2584" s="0" t="s">
        <v>130</v>
      </c>
      <c r="CE2584" s="0" t="s">
        <v>130</v>
      </c>
      <c r="CF2584" s="0" t="s">
        <v>130</v>
      </c>
      <c r="CG2584" s="0" t="s">
        <v>130</v>
      </c>
      <c r="CH2584" s="0" t="s">
        <v>130</v>
      </c>
      <c r="CI2584" s="0" t="s">
        <v>141</v>
      </c>
      <c r="CJ2584" s="0" t="s">
        <v>130</v>
      </c>
      <c r="CK2584" s="0" t="s">
        <v>130</v>
      </c>
      <c r="CL2584" s="0" t="s">
        <v>130</v>
      </c>
      <c r="CM2584" s="0" t="s">
        <v>130</v>
      </c>
      <c r="CN2584" s="0" t="s">
        <v>130</v>
      </c>
      <c r="CO2584" s="0" t="s">
        <v>130</v>
      </c>
      <c r="CP2584" s="0" t="s">
        <v>130</v>
      </c>
      <c r="CQ2584" s="0" t="s">
        <v>130</v>
      </c>
      <c r="CR2584" s="0" t="s">
        <v>130</v>
      </c>
      <c r="CS2584" s="0" t="s">
        <v>130</v>
      </c>
      <c r="CT2584" s="0" t="s">
        <v>7010</v>
      </c>
    </row>
    <row r="2585">
      <c r="A2585" s="14">
        <v>28569160</v>
      </c>
      <c r="B2585" s="0" t="s">
        <v>4370</v>
      </c>
      <c r="C2585" s="16">
        <f>HYPERLINK("https://eosportal.federatedhermes.com/companies/Q29tcGFueQppNTg5NDE=", "Uber Technologies Inc")</f>
      </c>
      <c r="D2585" s="0" t="s">
        <v>23</v>
      </c>
      <c r="E2585" s="0" t="s">
        <v>1811</v>
      </c>
      <c r="F2585" s="16">
        <f>HYPERLINK("https://eosportal.federatedhermes.com/engagements/RW5nYWdlbWVudAppMzUwMDc=", "Living wage")</f>
      </c>
      <c r="G2585" s="14" t="s">
        <v>7011</v>
      </c>
      <c r="H2585" s="0" t="s">
        <v>141</v>
      </c>
      <c r="I2585" s="14" t="s">
        <v>131</v>
      </c>
      <c r="J2585" s="0" t="s">
        <v>153</v>
      </c>
      <c r="K2585" s="0" t="s">
        <v>154</v>
      </c>
      <c r="L2585" s="0" t="s">
        <v>306</v>
      </c>
      <c r="M2585" s="0" t="s">
        <v>135</v>
      </c>
      <c r="N2585" s="0" t="s">
        <v>136</v>
      </c>
      <c r="O2585" s="0" t="s">
        <v>425</v>
      </c>
      <c r="Q2585" s="0" t="s">
        <v>141</v>
      </c>
      <c r="R2585" s="0" t="s">
        <v>130</v>
      </c>
      <c r="S2585" s="14">
        <v>1</v>
      </c>
      <c r="T2585" s="0" t="s">
        <v>446</v>
      </c>
      <c r="U2585" s="0" t="s">
        <v>221</v>
      </c>
      <c r="V2585" s="14" t="s">
        <v>446</v>
      </c>
      <c r="W2585" s="0" t="s">
        <v>221</v>
      </c>
      <c r="X2585" s="14" t="s">
        <v>446</v>
      </c>
      <c r="Y2585" s="0" t="s">
        <v>223</v>
      </c>
      <c r="Z2585" s="14" t="s">
        <v>138</v>
      </c>
      <c r="AA2585" s="0" t="s">
        <v>224</v>
      </c>
      <c r="AB2585" s="14" t="s">
        <v>138</v>
      </c>
      <c r="AD2585" s="0" t="s">
        <v>17</v>
      </c>
      <c r="AF2585" s="0">
        <v>0</v>
      </c>
      <c r="AG2585" s="0">
        <v>0</v>
      </c>
      <c r="AH2585" s="0" t="s">
        <v>140</v>
      </c>
      <c r="AI2585" s="0" t="s">
        <v>598</v>
      </c>
      <c r="AK2585" s="0" t="s">
        <v>2376</v>
      </c>
      <c r="AL2585" s="14"/>
      <c r="AN2585" s="14"/>
      <c r="AQ2585" s="0" t="s">
        <v>141</v>
      </c>
      <c r="AR2585" s="0" t="s">
        <v>130</v>
      </c>
      <c r="AS2585" s="0" t="s">
        <v>130</v>
      </c>
      <c r="AT2585" s="0" t="s">
        <v>130</v>
      </c>
      <c r="AU2585" s="0" t="s">
        <v>130</v>
      </c>
      <c r="AV2585" s="0" t="s">
        <v>130</v>
      </c>
      <c r="AW2585" s="0" t="s">
        <v>130</v>
      </c>
      <c r="AX2585" s="0" t="s">
        <v>141</v>
      </c>
      <c r="AY2585" s="0" t="s">
        <v>130</v>
      </c>
      <c r="AZ2585" s="0" t="s">
        <v>141</v>
      </c>
      <c r="BA2585" s="0" t="s">
        <v>130</v>
      </c>
      <c r="BB2585" s="0" t="s">
        <v>130</v>
      </c>
      <c r="BC2585" s="0" t="s">
        <v>130</v>
      </c>
      <c r="BD2585" s="0" t="s">
        <v>130</v>
      </c>
      <c r="BE2585" s="0" t="s">
        <v>130</v>
      </c>
      <c r="BF2585" s="0" t="s">
        <v>130</v>
      </c>
      <c r="BG2585" s="0" t="s">
        <v>130</v>
      </c>
      <c r="BH2585" s="0" t="s">
        <v>130</v>
      </c>
      <c r="BI2585" s="0" t="s">
        <v>130</v>
      </c>
      <c r="BJ2585" s="0" t="s">
        <v>130</v>
      </c>
      <c r="BK2585" s="0" t="s">
        <v>130</v>
      </c>
      <c r="BL2585" s="0" t="s">
        <v>130</v>
      </c>
      <c r="BM2585" s="0" t="s">
        <v>130</v>
      </c>
      <c r="BN2585" s="0" t="s">
        <v>130</v>
      </c>
      <c r="BO2585" s="0" t="s">
        <v>130</v>
      </c>
      <c r="BP2585" s="0" t="s">
        <v>130</v>
      </c>
      <c r="BQ2585" s="0" t="s">
        <v>130</v>
      </c>
      <c r="BR2585" s="0" t="s">
        <v>130</v>
      </c>
      <c r="BS2585" s="0" t="s">
        <v>130</v>
      </c>
      <c r="BT2585" s="0" t="s">
        <v>130</v>
      </c>
      <c r="BU2585" s="0" t="s">
        <v>130</v>
      </c>
      <c r="BV2585" s="0" t="s">
        <v>130</v>
      </c>
      <c r="BW2585" s="0" t="s">
        <v>130</v>
      </c>
      <c r="BX2585" s="0" t="s">
        <v>130</v>
      </c>
      <c r="BY2585" s="0" t="s">
        <v>130</v>
      </c>
      <c r="BZ2585" s="0" t="s">
        <v>130</v>
      </c>
      <c r="CA2585" s="0" t="s">
        <v>130</v>
      </c>
      <c r="CB2585" s="0" t="s">
        <v>130</v>
      </c>
      <c r="CC2585" s="0" t="s">
        <v>130</v>
      </c>
      <c r="CD2585" s="0" t="s">
        <v>130</v>
      </c>
      <c r="CE2585" s="0" t="s">
        <v>130</v>
      </c>
      <c r="CF2585" s="0" t="s">
        <v>130</v>
      </c>
      <c r="CG2585" s="0" t="s">
        <v>130</v>
      </c>
      <c r="CH2585" s="0" t="s">
        <v>130</v>
      </c>
      <c r="CI2585" s="0" t="s">
        <v>130</v>
      </c>
      <c r="CJ2585" s="0" t="s">
        <v>130</v>
      </c>
      <c r="CK2585" s="0" t="s">
        <v>130</v>
      </c>
      <c r="CL2585" s="0" t="s">
        <v>130</v>
      </c>
      <c r="CM2585" s="0" t="s">
        <v>130</v>
      </c>
      <c r="CN2585" s="0" t="s">
        <v>130</v>
      </c>
      <c r="CO2585" s="0" t="s">
        <v>130</v>
      </c>
      <c r="CP2585" s="0" t="s">
        <v>130</v>
      </c>
      <c r="CQ2585" s="0" t="s">
        <v>130</v>
      </c>
      <c r="CR2585" s="0" t="s">
        <v>130</v>
      </c>
      <c r="CS2585" s="0" t="s">
        <v>130</v>
      </c>
      <c r="CT2585" s="0" t="s">
        <v>7012</v>
      </c>
    </row>
    <row r="2586">
      <c r="A2586" s="14">
        <v>114151</v>
      </c>
      <c r="B2586" s="0" t="s">
        <v>1981</v>
      </c>
      <c r="C2586" s="16">
        <f>HYPERLINK("https://eosportal.federatedhermes.com/companies/Q29tcGFueQppNzU2OTQ=", "Mitsubishi Corp")</f>
      </c>
      <c r="D2586" s="0" t="s">
        <v>25</v>
      </c>
      <c r="E2586" s="0" t="s">
        <v>7013</v>
      </c>
      <c r="F2586" s="16">
        <f>HYPERLINK("https://eosportal.federatedhermes.com/engagements/RW5nYWdlbWVudAppMzUwMzU=", "Seafood Traceability")</f>
      </c>
      <c r="G2586" s="14" t="s">
        <v>7014</v>
      </c>
      <c r="H2586" s="0" t="s">
        <v>141</v>
      </c>
      <c r="I2586" s="14" t="s">
        <v>191</v>
      </c>
      <c r="J2586" s="0" t="s">
        <v>197</v>
      </c>
      <c r="K2586" s="0" t="s">
        <v>337</v>
      </c>
      <c r="L2586" s="0" t="s">
        <v>576</v>
      </c>
      <c r="M2586" s="0" t="s">
        <v>802</v>
      </c>
      <c r="N2586" s="0" t="s">
        <v>952</v>
      </c>
      <c r="O2586" s="0" t="s">
        <v>176</v>
      </c>
      <c r="Q2586" s="0" t="s">
        <v>141</v>
      </c>
      <c r="R2586" s="0" t="s">
        <v>138</v>
      </c>
      <c r="S2586" s="14">
        <v>1</v>
      </c>
      <c r="T2586" s="0" t="s">
        <v>3265</v>
      </c>
      <c r="U2586" s="0" t="s">
        <v>138</v>
      </c>
      <c r="V2586" s="14" t="s">
        <v>138</v>
      </c>
      <c r="W2586" s="0" t="s">
        <v>138</v>
      </c>
      <c r="X2586" s="14" t="s">
        <v>138</v>
      </c>
      <c r="Y2586" s="0" t="s">
        <v>138</v>
      </c>
      <c r="Z2586" s="14" t="s">
        <v>138</v>
      </c>
      <c r="AA2586" s="0" t="s">
        <v>138</v>
      </c>
      <c r="AB2586" s="14" t="s">
        <v>138</v>
      </c>
      <c r="AD2586" s="0" t="s">
        <v>138</v>
      </c>
      <c r="AF2586" s="0">
        <v>0</v>
      </c>
      <c r="AG2586" s="0">
        <v>0</v>
      </c>
      <c r="AH2586" s="0" t="s">
        <v>140</v>
      </c>
      <c r="AI2586" s="0" t="s">
        <v>138</v>
      </c>
      <c r="AK2586" s="0" t="s">
        <v>1984</v>
      </c>
      <c r="AL2586" s="14"/>
      <c r="AN2586" s="14"/>
      <c r="AQ2586" s="0" t="s">
        <v>130</v>
      </c>
      <c r="AR2586" s="0" t="s">
        <v>130</v>
      </c>
      <c r="AS2586" s="0" t="s">
        <v>130</v>
      </c>
      <c r="AT2586" s="0" t="s">
        <v>130</v>
      </c>
      <c r="AU2586" s="0" t="s">
        <v>130</v>
      </c>
      <c r="AV2586" s="0" t="s">
        <v>130</v>
      </c>
      <c r="AW2586" s="0" t="s">
        <v>130</v>
      </c>
      <c r="AX2586" s="0" t="s">
        <v>130</v>
      </c>
      <c r="AY2586" s="0" t="s">
        <v>130</v>
      </c>
      <c r="AZ2586" s="0" t="s">
        <v>130</v>
      </c>
      <c r="BA2586" s="0" t="s">
        <v>130</v>
      </c>
      <c r="BB2586" s="0" t="s">
        <v>141</v>
      </c>
      <c r="BC2586" s="0" t="s">
        <v>130</v>
      </c>
      <c r="BD2586" s="0" t="s">
        <v>141</v>
      </c>
      <c r="BE2586" s="0" t="s">
        <v>141</v>
      </c>
      <c r="BF2586" s="0" t="s">
        <v>130</v>
      </c>
      <c r="BG2586" s="0" t="s">
        <v>130</v>
      </c>
      <c r="BH2586" s="0" t="s">
        <v>130</v>
      </c>
      <c r="BI2586" s="0" t="s">
        <v>130</v>
      </c>
      <c r="BJ2586" s="0" t="s">
        <v>130</v>
      </c>
      <c r="BK2586" s="0" t="s">
        <v>130</v>
      </c>
      <c r="BL2586" s="0" t="s">
        <v>130</v>
      </c>
      <c r="BM2586" s="0" t="s">
        <v>130</v>
      </c>
      <c r="BN2586" s="0" t="s">
        <v>130</v>
      </c>
      <c r="BO2586" s="0" t="s">
        <v>130</v>
      </c>
      <c r="BP2586" s="0" t="s">
        <v>130</v>
      </c>
      <c r="BQ2586" s="0" t="s">
        <v>130</v>
      </c>
      <c r="BR2586" s="0" t="s">
        <v>130</v>
      </c>
      <c r="BS2586" s="0" t="s">
        <v>130</v>
      </c>
      <c r="BT2586" s="0" t="s">
        <v>130</v>
      </c>
      <c r="BU2586" s="0" t="s">
        <v>130</v>
      </c>
      <c r="BV2586" s="0" t="s">
        <v>130</v>
      </c>
      <c r="BW2586" s="0" t="s">
        <v>130</v>
      </c>
      <c r="BX2586" s="0" t="s">
        <v>130</v>
      </c>
      <c r="BY2586" s="0" t="s">
        <v>130</v>
      </c>
      <c r="BZ2586" s="0" t="s">
        <v>130</v>
      </c>
      <c r="CA2586" s="0" t="s">
        <v>130</v>
      </c>
      <c r="CB2586" s="0" t="s">
        <v>130</v>
      </c>
      <c r="CC2586" s="0" t="s">
        <v>130</v>
      </c>
      <c r="CD2586" s="0" t="s">
        <v>130</v>
      </c>
      <c r="CE2586" s="0" t="s">
        <v>130</v>
      </c>
      <c r="CF2586" s="0" t="s">
        <v>130</v>
      </c>
      <c r="CG2586" s="0" t="s">
        <v>130</v>
      </c>
      <c r="CH2586" s="0" t="s">
        <v>130</v>
      </c>
      <c r="CI2586" s="0" t="s">
        <v>130</v>
      </c>
      <c r="CJ2586" s="0" t="s">
        <v>130</v>
      </c>
      <c r="CK2586" s="0" t="s">
        <v>130</v>
      </c>
      <c r="CL2586" s="0" t="s">
        <v>130</v>
      </c>
      <c r="CM2586" s="0" t="s">
        <v>130</v>
      </c>
      <c r="CN2586" s="0" t="s">
        <v>130</v>
      </c>
      <c r="CO2586" s="0" t="s">
        <v>130</v>
      </c>
      <c r="CP2586" s="0" t="s">
        <v>130</v>
      </c>
      <c r="CQ2586" s="0" t="s">
        <v>130</v>
      </c>
      <c r="CR2586" s="0" t="s">
        <v>130</v>
      </c>
      <c r="CS2586" s="0" t="s">
        <v>130</v>
      </c>
      <c r="CT2586" s="0" t="s">
        <v>7015</v>
      </c>
    </row>
    <row r="2587">
      <c r="A2587" s="14">
        <v>169367</v>
      </c>
      <c r="B2587" s="0" t="s">
        <v>3021</v>
      </c>
      <c r="C2587" s="16">
        <f>HYPERLINK("https://eosportal.federatedhermes.com/companies/Q29tcGFueQppNjE5MDI=", "HDFC Bank Ltd")</f>
      </c>
      <c r="D2587" s="0" t="s">
        <v>25</v>
      </c>
      <c r="E2587" s="0" t="s">
        <v>7016</v>
      </c>
      <c r="F2587" s="16">
        <f>HYPERLINK("https://eosportal.federatedhermes.com/engagements/RW5nYWdlbWVudAppMzUwNDk=", "Employee turnover")</f>
      </c>
      <c r="G2587" s="14" t="s">
        <v>7017</v>
      </c>
      <c r="H2587" s="0" t="s">
        <v>141</v>
      </c>
      <c r="I2587" s="14" t="s">
        <v>131</v>
      </c>
      <c r="J2587" s="0" t="s">
        <v>153</v>
      </c>
      <c r="K2587" s="0" t="s">
        <v>154</v>
      </c>
      <c r="L2587" s="0" t="s">
        <v>306</v>
      </c>
      <c r="M2587" s="0" t="s">
        <v>2807</v>
      </c>
      <c r="N2587" s="0" t="s">
        <v>2969</v>
      </c>
      <c r="O2587" s="0" t="s">
        <v>238</v>
      </c>
      <c r="Q2587" s="0" t="s">
        <v>130</v>
      </c>
      <c r="R2587" s="0" t="s">
        <v>138</v>
      </c>
      <c r="S2587" s="14">
        <v>0</v>
      </c>
      <c r="T2587" s="0" t="s">
        <v>3265</v>
      </c>
      <c r="U2587" s="0" t="s">
        <v>138</v>
      </c>
      <c r="V2587" s="14" t="s">
        <v>138</v>
      </c>
      <c r="W2587" s="0" t="s">
        <v>138</v>
      </c>
      <c r="X2587" s="14" t="s">
        <v>138</v>
      </c>
      <c r="Y2587" s="0" t="s">
        <v>138</v>
      </c>
      <c r="Z2587" s="14" t="s">
        <v>138</v>
      </c>
      <c r="AA2587" s="0" t="s">
        <v>138</v>
      </c>
      <c r="AB2587" s="14" t="s">
        <v>138</v>
      </c>
      <c r="AD2587" s="0" t="s">
        <v>138</v>
      </c>
      <c r="AF2587" s="0">
        <v>0</v>
      </c>
      <c r="AG2587" s="0">
        <v>0</v>
      </c>
      <c r="AH2587" s="0" t="s">
        <v>140</v>
      </c>
      <c r="AI2587" s="0" t="s">
        <v>138</v>
      </c>
      <c r="AL2587" s="14"/>
      <c r="AN2587" s="14"/>
      <c r="AQ2587" s="0" t="s">
        <v>130</v>
      </c>
      <c r="AR2587" s="0" t="s">
        <v>130</v>
      </c>
      <c r="AS2587" s="0" t="s">
        <v>130</v>
      </c>
      <c r="AT2587" s="0" t="s">
        <v>130</v>
      </c>
      <c r="AU2587" s="0" t="s">
        <v>130</v>
      </c>
      <c r="AV2587" s="0" t="s">
        <v>130</v>
      </c>
      <c r="AW2587" s="0" t="s">
        <v>130</v>
      </c>
      <c r="AX2587" s="0" t="s">
        <v>141</v>
      </c>
      <c r="AY2587" s="0" t="s">
        <v>130</v>
      </c>
      <c r="AZ2587" s="0" t="s">
        <v>141</v>
      </c>
      <c r="BA2587" s="0" t="s">
        <v>130</v>
      </c>
      <c r="BB2587" s="0" t="s">
        <v>130</v>
      </c>
      <c r="BC2587" s="0" t="s">
        <v>130</v>
      </c>
      <c r="BD2587" s="0" t="s">
        <v>130</v>
      </c>
      <c r="BE2587" s="0" t="s">
        <v>130</v>
      </c>
      <c r="BF2587" s="0" t="s">
        <v>130</v>
      </c>
      <c r="BG2587" s="0" t="s">
        <v>130</v>
      </c>
      <c r="BH2587" s="0" t="s">
        <v>130</v>
      </c>
      <c r="BI2587" s="0" t="s">
        <v>130</v>
      </c>
      <c r="BJ2587" s="0" t="s">
        <v>130</v>
      </c>
      <c r="BK2587" s="0" t="s">
        <v>130</v>
      </c>
      <c r="BL2587" s="0" t="s">
        <v>130</v>
      </c>
      <c r="BM2587" s="0" t="s">
        <v>130</v>
      </c>
      <c r="BN2587" s="0" t="s">
        <v>130</v>
      </c>
      <c r="BO2587" s="0" t="s">
        <v>130</v>
      </c>
      <c r="BP2587" s="0" t="s">
        <v>130</v>
      </c>
      <c r="BQ2587" s="0" t="s">
        <v>130</v>
      </c>
      <c r="BR2587" s="0" t="s">
        <v>130</v>
      </c>
      <c r="BS2587" s="0" t="s">
        <v>130</v>
      </c>
      <c r="BT2587" s="0" t="s">
        <v>130</v>
      </c>
      <c r="BU2587" s="0" t="s">
        <v>130</v>
      </c>
      <c r="BV2587" s="0" t="s">
        <v>130</v>
      </c>
      <c r="BW2587" s="0" t="s">
        <v>130</v>
      </c>
      <c r="BX2587" s="0" t="s">
        <v>130</v>
      </c>
      <c r="BY2587" s="0" t="s">
        <v>130</v>
      </c>
      <c r="BZ2587" s="0" t="s">
        <v>130</v>
      </c>
      <c r="CA2587" s="0" t="s">
        <v>130</v>
      </c>
      <c r="CB2587" s="0" t="s">
        <v>130</v>
      </c>
      <c r="CC2587" s="0" t="s">
        <v>130</v>
      </c>
      <c r="CD2587" s="0" t="s">
        <v>130</v>
      </c>
      <c r="CE2587" s="0" t="s">
        <v>130</v>
      </c>
      <c r="CF2587" s="0" t="s">
        <v>130</v>
      </c>
      <c r="CG2587" s="0" t="s">
        <v>130</v>
      </c>
      <c r="CH2587" s="0" t="s">
        <v>130</v>
      </c>
      <c r="CI2587" s="0" t="s">
        <v>130</v>
      </c>
      <c r="CJ2587" s="0" t="s">
        <v>130</v>
      </c>
      <c r="CK2587" s="0" t="s">
        <v>130</v>
      </c>
      <c r="CL2587" s="0" t="s">
        <v>130</v>
      </c>
      <c r="CM2587" s="0" t="s">
        <v>130</v>
      </c>
      <c r="CN2587" s="0" t="s">
        <v>130</v>
      </c>
      <c r="CO2587" s="0" t="s">
        <v>130</v>
      </c>
      <c r="CP2587" s="0" t="s">
        <v>130</v>
      </c>
      <c r="CQ2587" s="0" t="s">
        <v>130</v>
      </c>
      <c r="CR2587" s="0" t="s">
        <v>130</v>
      </c>
      <c r="CS2587" s="0" t="s">
        <v>130</v>
      </c>
      <c r="CT2587" s="0" t="s">
        <v>7018</v>
      </c>
    </row>
    <row r="2588">
      <c r="A2588" s="14">
        <v>51257766</v>
      </c>
      <c r="B2588" s="0" t="s">
        <v>4538</v>
      </c>
      <c r="C2588" s="16">
        <f>HYPERLINK("https://eosportal.federatedhermes.com/companies/Q29tcGFueQppNTg5NzM=", "Vistra Corp")</f>
      </c>
      <c r="D2588" s="0" t="s">
        <v>25</v>
      </c>
      <c r="E2588" s="0" t="s">
        <v>7019</v>
      </c>
      <c r="F2588" s="16">
        <f>HYPERLINK("https://eosportal.federatedhermes.com/engagements/RW5nYWdlbWVudAppMzUwODk=", "Utilities challenge EPA on carbon capture and sequestration technology")</f>
      </c>
      <c r="G2588" s="14" t="s">
        <v>7020</v>
      </c>
      <c r="H2588" s="0" t="s">
        <v>141</v>
      </c>
      <c r="I2588" s="14" t="s">
        <v>131</v>
      </c>
      <c r="J2588" s="0" t="s">
        <v>197</v>
      </c>
      <c r="K2588" s="0" t="s">
        <v>198</v>
      </c>
      <c r="L2588" s="0" t="s">
        <v>216</v>
      </c>
      <c r="M2588" s="0" t="s">
        <v>135</v>
      </c>
      <c r="N2588" s="0" t="s">
        <v>136</v>
      </c>
      <c r="O2588" s="0" t="s">
        <v>192</v>
      </c>
      <c r="Q2588" s="0" t="s">
        <v>130</v>
      </c>
      <c r="R2588" s="0" t="s">
        <v>138</v>
      </c>
      <c r="S2588" s="14">
        <v>0</v>
      </c>
      <c r="T2588" s="0" t="s">
        <v>3265</v>
      </c>
      <c r="U2588" s="0" t="s">
        <v>138</v>
      </c>
      <c r="V2588" s="14" t="s">
        <v>138</v>
      </c>
      <c r="W2588" s="0" t="s">
        <v>138</v>
      </c>
      <c r="X2588" s="14" t="s">
        <v>138</v>
      </c>
      <c r="Y2588" s="0" t="s">
        <v>138</v>
      </c>
      <c r="Z2588" s="14" t="s">
        <v>138</v>
      </c>
      <c r="AA2588" s="0" t="s">
        <v>138</v>
      </c>
      <c r="AB2588" s="14" t="s">
        <v>138</v>
      </c>
      <c r="AD2588" s="0" t="s">
        <v>138</v>
      </c>
      <c r="AF2588" s="0">
        <v>0</v>
      </c>
      <c r="AG2588" s="0">
        <v>0</v>
      </c>
      <c r="AH2588" s="0" t="s">
        <v>140</v>
      </c>
      <c r="AI2588" s="0" t="s">
        <v>138</v>
      </c>
      <c r="AL2588" s="14"/>
      <c r="AN2588" s="14"/>
      <c r="AQ2588" s="0" t="s">
        <v>130</v>
      </c>
      <c r="AR2588" s="0" t="s">
        <v>130</v>
      </c>
      <c r="AS2588" s="0" t="s">
        <v>130</v>
      </c>
      <c r="AT2588" s="0" t="s">
        <v>130</v>
      </c>
      <c r="AU2588" s="0" t="s">
        <v>130</v>
      </c>
      <c r="AV2588" s="0" t="s">
        <v>130</v>
      </c>
      <c r="AW2588" s="0" t="s">
        <v>141</v>
      </c>
      <c r="AX2588" s="0" t="s">
        <v>130</v>
      </c>
      <c r="AY2588" s="0" t="s">
        <v>141</v>
      </c>
      <c r="AZ2588" s="0" t="s">
        <v>130</v>
      </c>
      <c r="BA2588" s="0" t="s">
        <v>130</v>
      </c>
      <c r="BB2588" s="0" t="s">
        <v>130</v>
      </c>
      <c r="BC2588" s="0" t="s">
        <v>141</v>
      </c>
      <c r="BD2588" s="0" t="s">
        <v>130</v>
      </c>
      <c r="BE2588" s="0" t="s">
        <v>130</v>
      </c>
      <c r="BF2588" s="0" t="s">
        <v>130</v>
      </c>
      <c r="BG2588" s="0" t="s">
        <v>130</v>
      </c>
      <c r="BH2588" s="0" t="s">
        <v>141</v>
      </c>
      <c r="BI2588" s="0" t="s">
        <v>141</v>
      </c>
      <c r="BJ2588" s="0" t="s">
        <v>141</v>
      </c>
      <c r="BK2588" s="0" t="s">
        <v>130</v>
      </c>
      <c r="BL2588" s="0" t="s">
        <v>130</v>
      </c>
      <c r="BM2588" s="0" t="s">
        <v>130</v>
      </c>
      <c r="BN2588" s="0" t="s">
        <v>130</v>
      </c>
      <c r="BO2588" s="0" t="s">
        <v>130</v>
      </c>
      <c r="BP2588" s="0" t="s">
        <v>130</v>
      </c>
      <c r="BQ2588" s="0" t="s">
        <v>130</v>
      </c>
      <c r="BR2588" s="0" t="s">
        <v>130</v>
      </c>
      <c r="BS2588" s="0" t="s">
        <v>130</v>
      </c>
      <c r="BT2588" s="0" t="s">
        <v>130</v>
      </c>
      <c r="BU2588" s="0" t="s">
        <v>130</v>
      </c>
      <c r="BV2588" s="0" t="s">
        <v>141</v>
      </c>
      <c r="BW2588" s="0" t="s">
        <v>141</v>
      </c>
      <c r="BX2588" s="0" t="s">
        <v>130</v>
      </c>
      <c r="BY2588" s="0" t="s">
        <v>130</v>
      </c>
      <c r="BZ2588" s="0" t="s">
        <v>130</v>
      </c>
      <c r="CA2588" s="0" t="s">
        <v>130</v>
      </c>
      <c r="CB2588" s="0" t="s">
        <v>130</v>
      </c>
      <c r="CC2588" s="0" t="s">
        <v>130</v>
      </c>
      <c r="CD2588" s="0" t="s">
        <v>130</v>
      </c>
      <c r="CE2588" s="0" t="s">
        <v>130</v>
      </c>
      <c r="CF2588" s="0" t="s">
        <v>130</v>
      </c>
      <c r="CG2588" s="0" t="s">
        <v>130</v>
      </c>
      <c r="CH2588" s="0" t="s">
        <v>130</v>
      </c>
      <c r="CI2588" s="0" t="s">
        <v>130</v>
      </c>
      <c r="CJ2588" s="0" t="s">
        <v>130</v>
      </c>
      <c r="CK2588" s="0" t="s">
        <v>130</v>
      </c>
      <c r="CL2588" s="0" t="s">
        <v>130</v>
      </c>
      <c r="CM2588" s="0" t="s">
        <v>130</v>
      </c>
      <c r="CN2588" s="0" t="s">
        <v>130</v>
      </c>
      <c r="CO2588" s="0" t="s">
        <v>130</v>
      </c>
      <c r="CP2588" s="0" t="s">
        <v>130</v>
      </c>
      <c r="CQ2588" s="0" t="s">
        <v>130</v>
      </c>
      <c r="CR2588" s="0" t="s">
        <v>130</v>
      </c>
      <c r="CS2588" s="0" t="s">
        <v>130</v>
      </c>
      <c r="CT2588" s="0" t="s">
        <v>7021</v>
      </c>
    </row>
    <row r="2589">
      <c r="A2589" s="14">
        <v>100060</v>
      </c>
      <c r="B2589" s="0" t="s">
        <v>188</v>
      </c>
      <c r="C2589" s="16">
        <f>HYPERLINK("https://eosportal.federatedhermes.com/companies/Q29tcGFueQppNjI0OTY=", "American Electric Power Co Inc")</f>
      </c>
      <c r="D2589" s="0" t="s">
        <v>25</v>
      </c>
      <c r="E2589" s="0" t="s">
        <v>7019</v>
      </c>
      <c r="F2589" s="16">
        <f>HYPERLINK("https://eosportal.federatedhermes.com/engagements/RW5nYWdlbWVudAppMzUwOTA=", "Utilities challenge EPA on carbon capture and sequestration technology")</f>
      </c>
      <c r="G2589" s="14" t="s">
        <v>7022</v>
      </c>
      <c r="H2589" s="0" t="s">
        <v>141</v>
      </c>
      <c r="I2589" s="14" t="s">
        <v>191</v>
      </c>
      <c r="J2589" s="0" t="s">
        <v>197</v>
      </c>
      <c r="K2589" s="0" t="s">
        <v>198</v>
      </c>
      <c r="L2589" s="0" t="s">
        <v>216</v>
      </c>
      <c r="M2589" s="0" t="s">
        <v>135</v>
      </c>
      <c r="N2589" s="0" t="s">
        <v>136</v>
      </c>
      <c r="O2589" s="0" t="s">
        <v>192</v>
      </c>
      <c r="Q2589" s="0" t="s">
        <v>130</v>
      </c>
      <c r="R2589" s="0" t="s">
        <v>138</v>
      </c>
      <c r="S2589" s="14">
        <v>0</v>
      </c>
      <c r="T2589" s="0" t="s">
        <v>3265</v>
      </c>
      <c r="U2589" s="0" t="s">
        <v>138</v>
      </c>
      <c r="V2589" s="14" t="s">
        <v>138</v>
      </c>
      <c r="W2589" s="0" t="s">
        <v>138</v>
      </c>
      <c r="X2589" s="14" t="s">
        <v>138</v>
      </c>
      <c r="Y2589" s="0" t="s">
        <v>138</v>
      </c>
      <c r="Z2589" s="14" t="s">
        <v>138</v>
      </c>
      <c r="AA2589" s="0" t="s">
        <v>138</v>
      </c>
      <c r="AB2589" s="14" t="s">
        <v>138</v>
      </c>
      <c r="AD2589" s="0" t="s">
        <v>138</v>
      </c>
      <c r="AF2589" s="0">
        <v>0</v>
      </c>
      <c r="AG2589" s="0">
        <v>0</v>
      </c>
      <c r="AH2589" s="0" t="s">
        <v>140</v>
      </c>
      <c r="AI2589" s="0" t="s">
        <v>138</v>
      </c>
      <c r="AL2589" s="14"/>
      <c r="AN2589" s="14"/>
      <c r="AQ2589" s="0" t="s">
        <v>130</v>
      </c>
      <c r="AR2589" s="0" t="s">
        <v>130</v>
      </c>
      <c r="AS2589" s="0" t="s">
        <v>130</v>
      </c>
      <c r="AT2589" s="0" t="s">
        <v>130</v>
      </c>
      <c r="AU2589" s="0" t="s">
        <v>130</v>
      </c>
      <c r="AV2589" s="0" t="s">
        <v>130</v>
      </c>
      <c r="AW2589" s="0" t="s">
        <v>141</v>
      </c>
      <c r="AX2589" s="0" t="s">
        <v>130</v>
      </c>
      <c r="AY2589" s="0" t="s">
        <v>141</v>
      </c>
      <c r="AZ2589" s="0" t="s">
        <v>130</v>
      </c>
      <c r="BA2589" s="0" t="s">
        <v>130</v>
      </c>
      <c r="BB2589" s="0" t="s">
        <v>130</v>
      </c>
      <c r="BC2589" s="0" t="s">
        <v>141</v>
      </c>
      <c r="BD2589" s="0" t="s">
        <v>130</v>
      </c>
      <c r="BE2589" s="0" t="s">
        <v>130</v>
      </c>
      <c r="BF2589" s="0" t="s">
        <v>130</v>
      </c>
      <c r="BG2589" s="0" t="s">
        <v>130</v>
      </c>
      <c r="BH2589" s="0" t="s">
        <v>141</v>
      </c>
      <c r="BI2589" s="0" t="s">
        <v>141</v>
      </c>
      <c r="BJ2589" s="0" t="s">
        <v>141</v>
      </c>
      <c r="BK2589" s="0" t="s">
        <v>130</v>
      </c>
      <c r="BL2589" s="0" t="s">
        <v>130</v>
      </c>
      <c r="BM2589" s="0" t="s">
        <v>130</v>
      </c>
      <c r="BN2589" s="0" t="s">
        <v>130</v>
      </c>
      <c r="BO2589" s="0" t="s">
        <v>130</v>
      </c>
      <c r="BP2589" s="0" t="s">
        <v>130</v>
      </c>
      <c r="BQ2589" s="0" t="s">
        <v>130</v>
      </c>
      <c r="BR2589" s="0" t="s">
        <v>130</v>
      </c>
      <c r="BS2589" s="0" t="s">
        <v>130</v>
      </c>
      <c r="BT2589" s="0" t="s">
        <v>130</v>
      </c>
      <c r="BU2589" s="0" t="s">
        <v>130</v>
      </c>
      <c r="BV2589" s="0" t="s">
        <v>141</v>
      </c>
      <c r="BW2589" s="0" t="s">
        <v>141</v>
      </c>
      <c r="BX2589" s="0" t="s">
        <v>130</v>
      </c>
      <c r="BY2589" s="0" t="s">
        <v>130</v>
      </c>
      <c r="BZ2589" s="0" t="s">
        <v>130</v>
      </c>
      <c r="CA2589" s="0" t="s">
        <v>130</v>
      </c>
      <c r="CB2589" s="0" t="s">
        <v>130</v>
      </c>
      <c r="CC2589" s="0" t="s">
        <v>130</v>
      </c>
      <c r="CD2589" s="0" t="s">
        <v>130</v>
      </c>
      <c r="CE2589" s="0" t="s">
        <v>130</v>
      </c>
      <c r="CF2589" s="0" t="s">
        <v>130</v>
      </c>
      <c r="CG2589" s="0" t="s">
        <v>130</v>
      </c>
      <c r="CH2589" s="0" t="s">
        <v>130</v>
      </c>
      <c r="CI2589" s="0" t="s">
        <v>130</v>
      </c>
      <c r="CJ2589" s="0" t="s">
        <v>130</v>
      </c>
      <c r="CK2589" s="0" t="s">
        <v>130</v>
      </c>
      <c r="CL2589" s="0" t="s">
        <v>130</v>
      </c>
      <c r="CM2589" s="0" t="s">
        <v>130</v>
      </c>
      <c r="CN2589" s="0" t="s">
        <v>130</v>
      </c>
      <c r="CO2589" s="0" t="s">
        <v>130</v>
      </c>
      <c r="CP2589" s="0" t="s">
        <v>130</v>
      </c>
      <c r="CQ2589" s="0" t="s">
        <v>130</v>
      </c>
      <c r="CR2589" s="0" t="s">
        <v>130</v>
      </c>
      <c r="CS2589" s="0" t="s">
        <v>130</v>
      </c>
      <c r="CT2589" s="0" t="s">
        <v>7023</v>
      </c>
    </row>
    <row r="2590">
      <c r="A2590" s="14">
        <v>100481</v>
      </c>
      <c r="B2590" s="0" t="s">
        <v>673</v>
      </c>
      <c r="C2590" s="16">
        <f>HYPERLINK("https://eosportal.federatedhermes.com/companies/Q29tcGFueQppNjQzNjU=", "Duke Energy Corp")</f>
      </c>
      <c r="D2590" s="0" t="s">
        <v>25</v>
      </c>
      <c r="E2590" s="0" t="s">
        <v>7019</v>
      </c>
      <c r="F2590" s="16">
        <f>HYPERLINK("https://eosportal.federatedhermes.com/engagements/RW5nYWdlbWVudAppMzUwOTE=", "Utilities challenge EPA on carbon capture and sequestration technology")</f>
      </c>
      <c r="G2590" s="14" t="s">
        <v>7022</v>
      </c>
      <c r="H2590" s="0" t="s">
        <v>141</v>
      </c>
      <c r="I2590" s="14" t="s">
        <v>191</v>
      </c>
      <c r="J2590" s="0" t="s">
        <v>197</v>
      </c>
      <c r="K2590" s="0" t="s">
        <v>198</v>
      </c>
      <c r="L2590" s="0" t="s">
        <v>216</v>
      </c>
      <c r="M2590" s="0" t="s">
        <v>135</v>
      </c>
      <c r="N2590" s="0" t="s">
        <v>136</v>
      </c>
      <c r="O2590" s="0" t="s">
        <v>192</v>
      </c>
      <c r="Q2590" s="0" t="s">
        <v>130</v>
      </c>
      <c r="R2590" s="0" t="s">
        <v>138</v>
      </c>
      <c r="S2590" s="14">
        <v>0</v>
      </c>
      <c r="T2590" s="0" t="s">
        <v>3265</v>
      </c>
      <c r="U2590" s="0" t="s">
        <v>138</v>
      </c>
      <c r="V2590" s="14" t="s">
        <v>138</v>
      </c>
      <c r="W2590" s="0" t="s">
        <v>138</v>
      </c>
      <c r="X2590" s="14" t="s">
        <v>138</v>
      </c>
      <c r="Y2590" s="0" t="s">
        <v>138</v>
      </c>
      <c r="Z2590" s="14" t="s">
        <v>138</v>
      </c>
      <c r="AA2590" s="0" t="s">
        <v>138</v>
      </c>
      <c r="AB2590" s="14" t="s">
        <v>138</v>
      </c>
      <c r="AD2590" s="0" t="s">
        <v>138</v>
      </c>
      <c r="AF2590" s="0">
        <v>0</v>
      </c>
      <c r="AG2590" s="0">
        <v>0</v>
      </c>
      <c r="AH2590" s="0" t="s">
        <v>140</v>
      </c>
      <c r="AI2590" s="0" t="s">
        <v>138</v>
      </c>
      <c r="AL2590" s="14"/>
      <c r="AN2590" s="14"/>
      <c r="AQ2590" s="0" t="s">
        <v>130</v>
      </c>
      <c r="AR2590" s="0" t="s">
        <v>130</v>
      </c>
      <c r="AS2590" s="0" t="s">
        <v>130</v>
      </c>
      <c r="AT2590" s="0" t="s">
        <v>130</v>
      </c>
      <c r="AU2590" s="0" t="s">
        <v>130</v>
      </c>
      <c r="AV2590" s="0" t="s">
        <v>130</v>
      </c>
      <c r="AW2590" s="0" t="s">
        <v>141</v>
      </c>
      <c r="AX2590" s="0" t="s">
        <v>130</v>
      </c>
      <c r="AY2590" s="0" t="s">
        <v>141</v>
      </c>
      <c r="AZ2590" s="0" t="s">
        <v>130</v>
      </c>
      <c r="BA2590" s="0" t="s">
        <v>130</v>
      </c>
      <c r="BB2590" s="0" t="s">
        <v>130</v>
      </c>
      <c r="BC2590" s="0" t="s">
        <v>141</v>
      </c>
      <c r="BD2590" s="0" t="s">
        <v>130</v>
      </c>
      <c r="BE2590" s="0" t="s">
        <v>130</v>
      </c>
      <c r="BF2590" s="0" t="s">
        <v>130</v>
      </c>
      <c r="BG2590" s="0" t="s">
        <v>130</v>
      </c>
      <c r="BH2590" s="0" t="s">
        <v>141</v>
      </c>
      <c r="BI2590" s="0" t="s">
        <v>141</v>
      </c>
      <c r="BJ2590" s="0" t="s">
        <v>141</v>
      </c>
      <c r="BK2590" s="0" t="s">
        <v>130</v>
      </c>
      <c r="BL2590" s="0" t="s">
        <v>130</v>
      </c>
      <c r="BM2590" s="0" t="s">
        <v>130</v>
      </c>
      <c r="BN2590" s="0" t="s">
        <v>130</v>
      </c>
      <c r="BO2590" s="0" t="s">
        <v>130</v>
      </c>
      <c r="BP2590" s="0" t="s">
        <v>130</v>
      </c>
      <c r="BQ2590" s="0" t="s">
        <v>130</v>
      </c>
      <c r="BR2590" s="0" t="s">
        <v>130</v>
      </c>
      <c r="BS2590" s="0" t="s">
        <v>130</v>
      </c>
      <c r="BT2590" s="0" t="s">
        <v>130</v>
      </c>
      <c r="BU2590" s="0" t="s">
        <v>130</v>
      </c>
      <c r="BV2590" s="0" t="s">
        <v>141</v>
      </c>
      <c r="BW2590" s="0" t="s">
        <v>141</v>
      </c>
      <c r="BX2590" s="0" t="s">
        <v>130</v>
      </c>
      <c r="BY2590" s="0" t="s">
        <v>130</v>
      </c>
      <c r="BZ2590" s="0" t="s">
        <v>130</v>
      </c>
      <c r="CA2590" s="0" t="s">
        <v>130</v>
      </c>
      <c r="CB2590" s="0" t="s">
        <v>130</v>
      </c>
      <c r="CC2590" s="0" t="s">
        <v>130</v>
      </c>
      <c r="CD2590" s="0" t="s">
        <v>130</v>
      </c>
      <c r="CE2590" s="0" t="s">
        <v>130</v>
      </c>
      <c r="CF2590" s="0" t="s">
        <v>130</v>
      </c>
      <c r="CG2590" s="0" t="s">
        <v>130</v>
      </c>
      <c r="CH2590" s="0" t="s">
        <v>130</v>
      </c>
      <c r="CI2590" s="0" t="s">
        <v>130</v>
      </c>
      <c r="CJ2590" s="0" t="s">
        <v>130</v>
      </c>
      <c r="CK2590" s="0" t="s">
        <v>130</v>
      </c>
      <c r="CL2590" s="0" t="s">
        <v>130</v>
      </c>
      <c r="CM2590" s="0" t="s">
        <v>130</v>
      </c>
      <c r="CN2590" s="0" t="s">
        <v>130</v>
      </c>
      <c r="CO2590" s="0" t="s">
        <v>130</v>
      </c>
      <c r="CP2590" s="0" t="s">
        <v>130</v>
      </c>
      <c r="CQ2590" s="0" t="s">
        <v>130</v>
      </c>
      <c r="CR2590" s="0" t="s">
        <v>130</v>
      </c>
      <c r="CS2590" s="0" t="s">
        <v>130</v>
      </c>
      <c r="CT2590" s="0" t="s">
        <v>7024</v>
      </c>
    </row>
    <row r="2591">
      <c r="A2591" s="14">
        <v>111435</v>
      </c>
      <c r="B2591" s="0" t="s">
        <v>406</v>
      </c>
      <c r="C2591" s="16">
        <f>HYPERLINK("https://eosportal.federatedhermes.com/companies/Q29tcGFueQppNzgyNjk=", "CRH PLC")</f>
      </c>
      <c r="D2591" s="0" t="s">
        <v>23</v>
      </c>
      <c r="E2591" s="0" t="s">
        <v>5338</v>
      </c>
      <c r="F2591" s="16">
        <f>HYPERLINK("https://eosportal.federatedhermes.com/engagements/RW5nYWdlbWVudAppMzUxMDE=", "Biodiversity strategy")</f>
      </c>
      <c r="G2591" s="14" t="s">
        <v>7025</v>
      </c>
      <c r="H2591" s="0" t="s">
        <v>141</v>
      </c>
      <c r="I2591" s="14" t="s">
        <v>191</v>
      </c>
      <c r="J2591" s="0" t="s">
        <v>197</v>
      </c>
      <c r="K2591" s="0" t="s">
        <v>337</v>
      </c>
      <c r="L2591" s="0" t="s">
        <v>576</v>
      </c>
      <c r="M2591" s="0" t="s">
        <v>378</v>
      </c>
      <c r="N2591" s="0" t="s">
        <v>409</v>
      </c>
      <c r="O2591" s="0" t="s">
        <v>373</v>
      </c>
      <c r="Q2591" s="0" t="s">
        <v>141</v>
      </c>
      <c r="R2591" s="0" t="s">
        <v>141</v>
      </c>
      <c r="S2591" s="14">
        <v>1</v>
      </c>
      <c r="T2591" s="0" t="s">
        <v>3265</v>
      </c>
      <c r="U2591" s="0" t="s">
        <v>221</v>
      </c>
      <c r="V2591" s="14" t="s">
        <v>3265</v>
      </c>
      <c r="W2591" s="0" t="s">
        <v>221</v>
      </c>
      <c r="X2591" s="14" t="s">
        <v>3265</v>
      </c>
      <c r="Y2591" s="0" t="s">
        <v>221</v>
      </c>
      <c r="Z2591" s="14" t="s">
        <v>4412</v>
      </c>
      <c r="AA2591" s="0" t="s">
        <v>221</v>
      </c>
      <c r="AB2591" s="14" t="s">
        <v>361</v>
      </c>
      <c r="AC2591" s="0" t="s">
        <v>20</v>
      </c>
      <c r="AD2591" s="0" t="s">
        <v>362</v>
      </c>
      <c r="AE2591" s="0" t="s">
        <v>363</v>
      </c>
      <c r="AF2591" s="0">
        <v>1</v>
      </c>
      <c r="AG2591" s="0">
        <v>0</v>
      </c>
      <c r="AH2591" s="0" t="s">
        <v>140</v>
      </c>
      <c r="AI2591" s="0" t="s">
        <v>221</v>
      </c>
      <c r="AJ2591" s="0" t="s">
        <v>577</v>
      </c>
      <c r="AK2591" s="0" t="s">
        <v>1834</v>
      </c>
      <c r="AL2591" s="14" t="s">
        <v>7026</v>
      </c>
      <c r="AM2591" s="0" t="s">
        <v>580</v>
      </c>
      <c r="AN2591" s="14"/>
      <c r="AQ2591" s="0" t="s">
        <v>130</v>
      </c>
      <c r="AR2591" s="0" t="s">
        <v>130</v>
      </c>
      <c r="AS2591" s="0" t="s">
        <v>130</v>
      </c>
      <c r="AT2591" s="0" t="s">
        <v>130</v>
      </c>
      <c r="AU2591" s="0" t="s">
        <v>130</v>
      </c>
      <c r="AV2591" s="0" t="s">
        <v>130</v>
      </c>
      <c r="AW2591" s="0" t="s">
        <v>130</v>
      </c>
      <c r="AX2591" s="0" t="s">
        <v>130</v>
      </c>
      <c r="AY2591" s="0" t="s">
        <v>130</v>
      </c>
      <c r="AZ2591" s="0" t="s">
        <v>130</v>
      </c>
      <c r="BA2591" s="0" t="s">
        <v>141</v>
      </c>
      <c r="BB2591" s="0" t="s">
        <v>141</v>
      </c>
      <c r="BC2591" s="0" t="s">
        <v>141</v>
      </c>
      <c r="BD2591" s="0" t="s">
        <v>141</v>
      </c>
      <c r="BE2591" s="0" t="s">
        <v>141</v>
      </c>
      <c r="BF2591" s="0" t="s">
        <v>130</v>
      </c>
      <c r="BG2591" s="0" t="s">
        <v>130</v>
      </c>
      <c r="BH2591" s="0" t="s">
        <v>130</v>
      </c>
      <c r="BI2591" s="0" t="s">
        <v>130</v>
      </c>
      <c r="BJ2591" s="0" t="s">
        <v>130</v>
      </c>
      <c r="BK2591" s="0" t="s">
        <v>130</v>
      </c>
      <c r="BL2591" s="0" t="s">
        <v>130</v>
      </c>
      <c r="BM2591" s="0" t="s">
        <v>130</v>
      </c>
      <c r="BN2591" s="0" t="s">
        <v>130</v>
      </c>
      <c r="BO2591" s="0" t="s">
        <v>130</v>
      </c>
      <c r="BP2591" s="0" t="s">
        <v>130</v>
      </c>
      <c r="BQ2591" s="0" t="s">
        <v>130</v>
      </c>
      <c r="BR2591" s="0" t="s">
        <v>130</v>
      </c>
      <c r="BS2591" s="0" t="s">
        <v>130</v>
      </c>
      <c r="BT2591" s="0" t="s">
        <v>130</v>
      </c>
      <c r="BU2591" s="0" t="s">
        <v>130</v>
      </c>
      <c r="BV2591" s="0" t="s">
        <v>130</v>
      </c>
      <c r="BW2591" s="0" t="s">
        <v>130</v>
      </c>
      <c r="BX2591" s="0" t="s">
        <v>130</v>
      </c>
      <c r="BY2591" s="0" t="s">
        <v>130</v>
      </c>
      <c r="BZ2591" s="0" t="s">
        <v>130</v>
      </c>
      <c r="CA2591" s="0" t="s">
        <v>130</v>
      </c>
      <c r="CB2591" s="0" t="s">
        <v>130</v>
      </c>
      <c r="CC2591" s="0" t="s">
        <v>130</v>
      </c>
      <c r="CD2591" s="0" t="s">
        <v>130</v>
      </c>
      <c r="CE2591" s="0" t="s">
        <v>130</v>
      </c>
      <c r="CF2591" s="0" t="s">
        <v>130</v>
      </c>
      <c r="CG2591" s="0" t="s">
        <v>130</v>
      </c>
      <c r="CH2591" s="0" t="s">
        <v>130</v>
      </c>
      <c r="CI2591" s="0" t="s">
        <v>130</v>
      </c>
      <c r="CJ2591" s="0" t="s">
        <v>130</v>
      </c>
      <c r="CK2591" s="0" t="s">
        <v>130</v>
      </c>
      <c r="CL2591" s="0" t="s">
        <v>130</v>
      </c>
      <c r="CM2591" s="0" t="s">
        <v>130</v>
      </c>
      <c r="CN2591" s="0" t="s">
        <v>130</v>
      </c>
      <c r="CO2591" s="0" t="s">
        <v>130</v>
      </c>
      <c r="CP2591" s="0" t="s">
        <v>130</v>
      </c>
      <c r="CQ2591" s="0" t="s">
        <v>130</v>
      </c>
      <c r="CR2591" s="0" t="s">
        <v>130</v>
      </c>
      <c r="CS2591" s="0" t="s">
        <v>130</v>
      </c>
      <c r="CT2591" s="0" t="s">
        <v>7027</v>
      </c>
    </row>
    <row r="2592">
      <c r="A2592" s="14">
        <v>101215</v>
      </c>
      <c r="B2592" s="0" t="s">
        <v>1464</v>
      </c>
      <c r="C2592" s="16">
        <f>HYPERLINK("https://eosportal.federatedhermes.com/companies/Q29tcGFueQppNTIxNzY=", "Procter &amp; Gamble Co/The")</f>
      </c>
      <c r="D2592" s="0" t="s">
        <v>25</v>
      </c>
      <c r="E2592" s="0" t="s">
        <v>7028</v>
      </c>
      <c r="F2592" s="16">
        <f>HYPERLINK("https://eosportal.federatedhermes.com/engagements/RW5nYWdlbWVudAppMzUxMTQ=", "Implementation of action plans in high water stress regions")</f>
      </c>
      <c r="G2592" s="14" t="s">
        <v>7029</v>
      </c>
      <c r="H2592" s="0" t="s">
        <v>141</v>
      </c>
      <c r="I2592" s="14" t="s">
        <v>191</v>
      </c>
      <c r="J2592" s="0" t="s">
        <v>197</v>
      </c>
      <c r="K2592" s="0" t="s">
        <v>337</v>
      </c>
      <c r="L2592" s="0" t="s">
        <v>338</v>
      </c>
      <c r="M2592" s="0" t="s">
        <v>135</v>
      </c>
      <c r="N2592" s="0" t="s">
        <v>136</v>
      </c>
      <c r="O2592" s="0" t="s">
        <v>332</v>
      </c>
      <c r="Q2592" s="0" t="s">
        <v>130</v>
      </c>
      <c r="R2592" s="0" t="s">
        <v>138</v>
      </c>
      <c r="S2592" s="14">
        <v>0</v>
      </c>
      <c r="T2592" s="0" t="s">
        <v>3265</v>
      </c>
      <c r="U2592" s="0" t="s">
        <v>138</v>
      </c>
      <c r="V2592" s="14" t="s">
        <v>138</v>
      </c>
      <c r="W2592" s="0" t="s">
        <v>138</v>
      </c>
      <c r="X2592" s="14" t="s">
        <v>138</v>
      </c>
      <c r="Y2592" s="0" t="s">
        <v>138</v>
      </c>
      <c r="Z2592" s="14" t="s">
        <v>138</v>
      </c>
      <c r="AA2592" s="0" t="s">
        <v>138</v>
      </c>
      <c r="AB2592" s="14" t="s">
        <v>138</v>
      </c>
      <c r="AD2592" s="0" t="s">
        <v>138</v>
      </c>
      <c r="AF2592" s="0">
        <v>0</v>
      </c>
      <c r="AG2592" s="0">
        <v>0</v>
      </c>
      <c r="AH2592" s="0" t="s">
        <v>140</v>
      </c>
      <c r="AI2592" s="0" t="s">
        <v>138</v>
      </c>
      <c r="AL2592" s="14"/>
      <c r="AN2592" s="14"/>
      <c r="AQ2592" s="0" t="s">
        <v>130</v>
      </c>
      <c r="AR2592" s="0" t="s">
        <v>130</v>
      </c>
      <c r="AS2592" s="0" t="s">
        <v>130</v>
      </c>
      <c r="AT2592" s="0" t="s">
        <v>130</v>
      </c>
      <c r="AU2592" s="0" t="s">
        <v>130</v>
      </c>
      <c r="AV2592" s="0" t="s">
        <v>141</v>
      </c>
      <c r="AW2592" s="0" t="s">
        <v>130</v>
      </c>
      <c r="AX2592" s="0" t="s">
        <v>130</v>
      </c>
      <c r="AY2592" s="0" t="s">
        <v>130</v>
      </c>
      <c r="AZ2592" s="0" t="s">
        <v>130</v>
      </c>
      <c r="BA2592" s="0" t="s">
        <v>130</v>
      </c>
      <c r="BB2592" s="0" t="s">
        <v>130</v>
      </c>
      <c r="BC2592" s="0" t="s">
        <v>130</v>
      </c>
      <c r="BD2592" s="0" t="s">
        <v>130</v>
      </c>
      <c r="BE2592" s="0" t="s">
        <v>130</v>
      </c>
      <c r="BF2592" s="0" t="s">
        <v>130</v>
      </c>
      <c r="BG2592" s="0" t="s">
        <v>130</v>
      </c>
      <c r="BH2592" s="0" t="s">
        <v>130</v>
      </c>
      <c r="BI2592" s="0" t="s">
        <v>130</v>
      </c>
      <c r="BJ2592" s="0" t="s">
        <v>130</v>
      </c>
      <c r="BK2592" s="0" t="s">
        <v>130</v>
      </c>
      <c r="BL2592" s="0" t="s">
        <v>130</v>
      </c>
      <c r="BM2592" s="0" t="s">
        <v>130</v>
      </c>
      <c r="BN2592" s="0" t="s">
        <v>130</v>
      </c>
      <c r="BO2592" s="0" t="s">
        <v>130</v>
      </c>
      <c r="BP2592" s="0" t="s">
        <v>130</v>
      </c>
      <c r="BQ2592" s="0" t="s">
        <v>130</v>
      </c>
      <c r="BR2592" s="0" t="s">
        <v>130</v>
      </c>
      <c r="BS2592" s="0" t="s">
        <v>130</v>
      </c>
      <c r="BT2592" s="0" t="s">
        <v>130</v>
      </c>
      <c r="BU2592" s="0" t="s">
        <v>130</v>
      </c>
      <c r="BV2592" s="0" t="s">
        <v>130</v>
      </c>
      <c r="BW2592" s="0" t="s">
        <v>130</v>
      </c>
      <c r="BX2592" s="0" t="s">
        <v>141</v>
      </c>
      <c r="BY2592" s="0" t="s">
        <v>130</v>
      </c>
      <c r="BZ2592" s="0" t="s">
        <v>130</v>
      </c>
      <c r="CA2592" s="0" t="s">
        <v>130</v>
      </c>
      <c r="CB2592" s="0" t="s">
        <v>130</v>
      </c>
      <c r="CC2592" s="0" t="s">
        <v>130</v>
      </c>
      <c r="CD2592" s="0" t="s">
        <v>130</v>
      </c>
      <c r="CE2592" s="0" t="s">
        <v>130</v>
      </c>
      <c r="CF2592" s="0" t="s">
        <v>130</v>
      </c>
      <c r="CG2592" s="0" t="s">
        <v>130</v>
      </c>
      <c r="CH2592" s="0" t="s">
        <v>130</v>
      </c>
      <c r="CI2592" s="0" t="s">
        <v>130</v>
      </c>
      <c r="CJ2592" s="0" t="s">
        <v>130</v>
      </c>
      <c r="CK2592" s="0" t="s">
        <v>130</v>
      </c>
      <c r="CL2592" s="0" t="s">
        <v>130</v>
      </c>
      <c r="CM2592" s="0" t="s">
        <v>130</v>
      </c>
      <c r="CN2592" s="0" t="s">
        <v>130</v>
      </c>
      <c r="CO2592" s="0" t="s">
        <v>130</v>
      </c>
      <c r="CP2592" s="0" t="s">
        <v>130</v>
      </c>
      <c r="CQ2592" s="0" t="s">
        <v>130</v>
      </c>
      <c r="CR2592" s="0" t="s">
        <v>130</v>
      </c>
      <c r="CS2592" s="0" t="s">
        <v>130</v>
      </c>
      <c r="CT2592" s="0" t="s">
        <v>7030</v>
      </c>
    </row>
    <row r="2593">
      <c r="A2593" s="14">
        <v>28399721</v>
      </c>
      <c r="B2593" s="0" t="s">
        <v>4350</v>
      </c>
      <c r="C2593" s="16">
        <f>HYPERLINK("https://eosportal.federatedhermes.com/companies/Q29tcGFueQppNTg5ODY=", "Phillips 66")</f>
      </c>
      <c r="D2593" s="0" t="s">
        <v>23</v>
      </c>
      <c r="E2593" s="0" t="s">
        <v>7031</v>
      </c>
      <c r="F2593" s="16">
        <f>HYPERLINK("https://eosportal.federatedhermes.com/engagements/RW5nYWdlbWVudAppMzUxMjU=", "Updated plastics disclosure")</f>
      </c>
      <c r="G2593" s="14" t="s">
        <v>7032</v>
      </c>
      <c r="H2593" s="0" t="s">
        <v>141</v>
      </c>
      <c r="I2593" s="14" t="s">
        <v>191</v>
      </c>
      <c r="J2593" s="0" t="s">
        <v>197</v>
      </c>
      <c r="K2593" s="0" t="s">
        <v>348</v>
      </c>
      <c r="L2593" s="0" t="s">
        <v>349</v>
      </c>
      <c r="M2593" s="0" t="s">
        <v>135</v>
      </c>
      <c r="N2593" s="0" t="s">
        <v>136</v>
      </c>
      <c r="O2593" s="0" t="s">
        <v>542</v>
      </c>
      <c r="Q2593" s="0" t="s">
        <v>130</v>
      </c>
      <c r="R2593" s="0" t="s">
        <v>130</v>
      </c>
      <c r="S2593" s="14">
        <v>0</v>
      </c>
      <c r="T2593" s="0" t="s">
        <v>446</v>
      </c>
      <c r="U2593" s="0" t="s">
        <v>221</v>
      </c>
      <c r="V2593" s="14" t="s">
        <v>446</v>
      </c>
      <c r="W2593" s="0" t="s">
        <v>221</v>
      </c>
      <c r="X2593" s="14" t="s">
        <v>446</v>
      </c>
      <c r="Y2593" s="0" t="s">
        <v>221</v>
      </c>
      <c r="Z2593" s="14" t="s">
        <v>4412</v>
      </c>
      <c r="AA2593" s="0" t="s">
        <v>223</v>
      </c>
      <c r="AB2593" s="14" t="s">
        <v>138</v>
      </c>
      <c r="AD2593" s="0" t="s">
        <v>20</v>
      </c>
      <c r="AF2593" s="0">
        <v>0</v>
      </c>
      <c r="AG2593" s="0">
        <v>0</v>
      </c>
      <c r="AH2593" s="0" t="s">
        <v>140</v>
      </c>
      <c r="AI2593" s="0" t="s">
        <v>598</v>
      </c>
      <c r="AL2593" s="14"/>
      <c r="AN2593" s="14"/>
      <c r="AQ2593" s="0" t="s">
        <v>130</v>
      </c>
      <c r="AR2593" s="0" t="s">
        <v>130</v>
      </c>
      <c r="AS2593" s="0" t="s">
        <v>130</v>
      </c>
      <c r="AT2593" s="0" t="s">
        <v>130</v>
      </c>
      <c r="AU2593" s="0" t="s">
        <v>130</v>
      </c>
      <c r="AV2593" s="0" t="s">
        <v>130</v>
      </c>
      <c r="AW2593" s="0" t="s">
        <v>130</v>
      </c>
      <c r="AX2593" s="0" t="s">
        <v>130</v>
      </c>
      <c r="AY2593" s="0" t="s">
        <v>130</v>
      </c>
      <c r="AZ2593" s="0" t="s">
        <v>130</v>
      </c>
      <c r="BA2593" s="0" t="s">
        <v>130</v>
      </c>
      <c r="BB2593" s="0" t="s">
        <v>141</v>
      </c>
      <c r="BC2593" s="0" t="s">
        <v>130</v>
      </c>
      <c r="BD2593" s="0" t="s">
        <v>130</v>
      </c>
      <c r="BE2593" s="0" t="s">
        <v>130</v>
      </c>
      <c r="BF2593" s="0" t="s">
        <v>130</v>
      </c>
      <c r="BG2593" s="0" t="s">
        <v>130</v>
      </c>
      <c r="BH2593" s="0" t="s">
        <v>130</v>
      </c>
      <c r="BI2593" s="0" t="s">
        <v>130</v>
      </c>
      <c r="BJ2593" s="0" t="s">
        <v>130</v>
      </c>
      <c r="BK2593" s="0" t="s">
        <v>130</v>
      </c>
      <c r="BL2593" s="0" t="s">
        <v>130</v>
      </c>
      <c r="BM2593" s="0" t="s">
        <v>130</v>
      </c>
      <c r="BN2593" s="0" t="s">
        <v>130</v>
      </c>
      <c r="BO2593" s="0" t="s">
        <v>130</v>
      </c>
      <c r="BP2593" s="0" t="s">
        <v>130</v>
      </c>
      <c r="BQ2593" s="0" t="s">
        <v>130</v>
      </c>
      <c r="BR2593" s="0" t="s">
        <v>130</v>
      </c>
      <c r="BS2593" s="0" t="s">
        <v>130</v>
      </c>
      <c r="BT2593" s="0" t="s">
        <v>130</v>
      </c>
      <c r="BU2593" s="0" t="s">
        <v>130</v>
      </c>
      <c r="BV2593" s="0" t="s">
        <v>130</v>
      </c>
      <c r="BW2593" s="0" t="s">
        <v>130</v>
      </c>
      <c r="BX2593" s="0" t="s">
        <v>130</v>
      </c>
      <c r="BY2593" s="0" t="s">
        <v>130</v>
      </c>
      <c r="BZ2593" s="0" t="s">
        <v>130</v>
      </c>
      <c r="CA2593" s="0" t="s">
        <v>130</v>
      </c>
      <c r="CB2593" s="0" t="s">
        <v>130</v>
      </c>
      <c r="CC2593" s="0" t="s">
        <v>130</v>
      </c>
      <c r="CD2593" s="0" t="s">
        <v>141</v>
      </c>
      <c r="CE2593" s="0" t="s">
        <v>130</v>
      </c>
      <c r="CF2593" s="0" t="s">
        <v>130</v>
      </c>
      <c r="CG2593" s="0" t="s">
        <v>130</v>
      </c>
      <c r="CH2593" s="0" t="s">
        <v>130</v>
      </c>
      <c r="CI2593" s="0" t="s">
        <v>130</v>
      </c>
      <c r="CJ2593" s="0" t="s">
        <v>130</v>
      </c>
      <c r="CK2593" s="0" t="s">
        <v>130</v>
      </c>
      <c r="CL2593" s="0" t="s">
        <v>130</v>
      </c>
      <c r="CM2593" s="0" t="s">
        <v>130</v>
      </c>
      <c r="CN2593" s="0" t="s">
        <v>130</v>
      </c>
      <c r="CO2593" s="0" t="s">
        <v>130</v>
      </c>
      <c r="CP2593" s="0" t="s">
        <v>130</v>
      </c>
      <c r="CQ2593" s="0" t="s">
        <v>130</v>
      </c>
      <c r="CR2593" s="0" t="s">
        <v>130</v>
      </c>
      <c r="CS2593" s="0" t="s">
        <v>130</v>
      </c>
      <c r="CT2593" s="0" t="s">
        <v>7033</v>
      </c>
    </row>
    <row r="2594">
      <c r="A2594" s="14">
        <v>9293317</v>
      </c>
      <c r="B2594" s="0" t="s">
        <v>4038</v>
      </c>
      <c r="C2594" s="16">
        <f>HYPERLINK("https://eosportal.federatedhermes.com/companies/Q29tcGFueQppODU3MTI=", "Link REIT")</f>
      </c>
      <c r="D2594" s="0" t="s">
        <v>25</v>
      </c>
      <c r="E2594" s="0" t="s">
        <v>7034</v>
      </c>
      <c r="F2594" s="16">
        <f>HYPERLINK("https://eosportal.federatedhermes.com/engagements/RW5nYWdlbWVudAppMzUyMDM=", "Decarbonisation strategy")</f>
      </c>
      <c r="G2594" s="14" t="s">
        <v>7035</v>
      </c>
      <c r="H2594" s="0" t="s">
        <v>141</v>
      </c>
      <c r="I2594" s="14" t="s">
        <v>636</v>
      </c>
      <c r="J2594" s="0" t="s">
        <v>197</v>
      </c>
      <c r="K2594" s="0" t="s">
        <v>198</v>
      </c>
      <c r="L2594" s="0" t="s">
        <v>216</v>
      </c>
      <c r="M2594" s="0" t="s">
        <v>802</v>
      </c>
      <c r="N2594" s="0" t="s">
        <v>803</v>
      </c>
      <c r="O2594" s="0" t="s">
        <v>238</v>
      </c>
      <c r="Q2594" s="0" t="s">
        <v>141</v>
      </c>
      <c r="R2594" s="0" t="s">
        <v>138</v>
      </c>
      <c r="S2594" s="14">
        <v>1</v>
      </c>
      <c r="T2594" s="0" t="s">
        <v>3265</v>
      </c>
      <c r="U2594" s="0" t="s">
        <v>138</v>
      </c>
      <c r="V2594" s="14" t="s">
        <v>138</v>
      </c>
      <c r="W2594" s="0" t="s">
        <v>138</v>
      </c>
      <c r="X2594" s="14" t="s">
        <v>138</v>
      </c>
      <c r="Y2594" s="0" t="s">
        <v>138</v>
      </c>
      <c r="Z2594" s="14" t="s">
        <v>138</v>
      </c>
      <c r="AA2594" s="0" t="s">
        <v>138</v>
      </c>
      <c r="AB2594" s="14" t="s">
        <v>138</v>
      </c>
      <c r="AD2594" s="0" t="s">
        <v>138</v>
      </c>
      <c r="AF2594" s="0">
        <v>0</v>
      </c>
      <c r="AG2594" s="0">
        <v>0</v>
      </c>
      <c r="AH2594" s="0" t="s">
        <v>140</v>
      </c>
      <c r="AI2594" s="0" t="s">
        <v>138</v>
      </c>
      <c r="AK2594" s="0" t="s">
        <v>1853</v>
      </c>
      <c r="AL2594" s="14"/>
      <c r="AN2594" s="14"/>
      <c r="AQ2594" s="0" t="s">
        <v>130</v>
      </c>
      <c r="AR2594" s="0" t="s">
        <v>130</v>
      </c>
      <c r="AS2594" s="0" t="s">
        <v>130</v>
      </c>
      <c r="AT2594" s="0" t="s">
        <v>130</v>
      </c>
      <c r="AU2594" s="0" t="s">
        <v>130</v>
      </c>
      <c r="AV2594" s="0" t="s">
        <v>130</v>
      </c>
      <c r="AW2594" s="0" t="s">
        <v>141</v>
      </c>
      <c r="AX2594" s="0" t="s">
        <v>130</v>
      </c>
      <c r="AY2594" s="0" t="s">
        <v>141</v>
      </c>
      <c r="AZ2594" s="0" t="s">
        <v>130</v>
      </c>
      <c r="BA2594" s="0" t="s">
        <v>130</v>
      </c>
      <c r="BB2594" s="0" t="s">
        <v>130</v>
      </c>
      <c r="BC2594" s="0" t="s">
        <v>141</v>
      </c>
      <c r="BD2594" s="0" t="s">
        <v>130</v>
      </c>
      <c r="BE2594" s="0" t="s">
        <v>130</v>
      </c>
      <c r="BF2594" s="0" t="s">
        <v>130</v>
      </c>
      <c r="BG2594" s="0" t="s">
        <v>130</v>
      </c>
      <c r="BH2594" s="0" t="s">
        <v>141</v>
      </c>
      <c r="BI2594" s="0" t="s">
        <v>141</v>
      </c>
      <c r="BJ2594" s="0" t="s">
        <v>141</v>
      </c>
      <c r="BK2594" s="0" t="s">
        <v>141</v>
      </c>
      <c r="BL2594" s="0" t="s">
        <v>141</v>
      </c>
      <c r="BM2594" s="0" t="s">
        <v>130</v>
      </c>
      <c r="BN2594" s="0" t="s">
        <v>130</v>
      </c>
      <c r="BO2594" s="0" t="s">
        <v>130</v>
      </c>
      <c r="BP2594" s="0" t="s">
        <v>130</v>
      </c>
      <c r="BQ2594" s="0" t="s">
        <v>130</v>
      </c>
      <c r="BR2594" s="0" t="s">
        <v>130</v>
      </c>
      <c r="BS2594" s="0" t="s">
        <v>130</v>
      </c>
      <c r="BT2594" s="0" t="s">
        <v>130</v>
      </c>
      <c r="BU2594" s="0" t="s">
        <v>130</v>
      </c>
      <c r="BV2594" s="0" t="s">
        <v>141</v>
      </c>
      <c r="BW2594" s="0" t="s">
        <v>141</v>
      </c>
      <c r="BX2594" s="0" t="s">
        <v>130</v>
      </c>
      <c r="BY2594" s="0" t="s">
        <v>130</v>
      </c>
      <c r="BZ2594" s="0" t="s">
        <v>130</v>
      </c>
      <c r="CA2594" s="0" t="s">
        <v>130</v>
      </c>
      <c r="CB2594" s="0" t="s">
        <v>130</v>
      </c>
      <c r="CC2594" s="0" t="s">
        <v>130</v>
      </c>
      <c r="CD2594" s="0" t="s">
        <v>130</v>
      </c>
      <c r="CE2594" s="0" t="s">
        <v>130</v>
      </c>
      <c r="CF2594" s="0" t="s">
        <v>130</v>
      </c>
      <c r="CG2594" s="0" t="s">
        <v>130</v>
      </c>
      <c r="CH2594" s="0" t="s">
        <v>130</v>
      </c>
      <c r="CI2594" s="0" t="s">
        <v>130</v>
      </c>
      <c r="CJ2594" s="0" t="s">
        <v>130</v>
      </c>
      <c r="CK2594" s="0" t="s">
        <v>130</v>
      </c>
      <c r="CL2594" s="0" t="s">
        <v>130</v>
      </c>
      <c r="CM2594" s="0" t="s">
        <v>130</v>
      </c>
      <c r="CN2594" s="0" t="s">
        <v>130</v>
      </c>
      <c r="CO2594" s="0" t="s">
        <v>130</v>
      </c>
      <c r="CP2594" s="0" t="s">
        <v>130</v>
      </c>
      <c r="CQ2594" s="0" t="s">
        <v>130</v>
      </c>
      <c r="CR2594" s="0" t="s">
        <v>130</v>
      </c>
      <c r="CS2594" s="0" t="s">
        <v>130</v>
      </c>
      <c r="CT2594" s="0" t="s">
        <v>7036</v>
      </c>
    </row>
    <row r="2595">
      <c r="A2595" s="14">
        <v>313098</v>
      </c>
      <c r="B2595" s="0" t="s">
        <v>3614</v>
      </c>
      <c r="C2595" s="16">
        <f>HYPERLINK("https://eosportal.federatedhermes.com/companies/Q29tcGFueQppNzMyNzk=", "Ameren Corp")</f>
      </c>
      <c r="D2595" s="0" t="s">
        <v>25</v>
      </c>
      <c r="E2595" s="0" t="s">
        <v>7019</v>
      </c>
      <c r="F2595" s="16">
        <f>HYPERLINK("https://eosportal.federatedhermes.com/engagements/RW5nYWdlbWVudAppMzUyMjY=", "Utilities challenge EPA on carbon capture and sequestration technology")</f>
      </c>
      <c r="G2595" s="14" t="s">
        <v>7037</v>
      </c>
      <c r="H2595" s="0" t="s">
        <v>141</v>
      </c>
      <c r="I2595" s="14" t="s">
        <v>636</v>
      </c>
      <c r="J2595" s="0" t="s">
        <v>197</v>
      </c>
      <c r="K2595" s="0" t="s">
        <v>198</v>
      </c>
      <c r="L2595" s="0" t="s">
        <v>199</v>
      </c>
      <c r="M2595" s="0" t="s">
        <v>135</v>
      </c>
      <c r="N2595" s="0" t="s">
        <v>136</v>
      </c>
      <c r="O2595" s="0" t="s">
        <v>192</v>
      </c>
      <c r="Q2595" s="0" t="s">
        <v>130</v>
      </c>
      <c r="R2595" s="0" t="s">
        <v>138</v>
      </c>
      <c r="S2595" s="14">
        <v>0</v>
      </c>
      <c r="T2595" s="0" t="s">
        <v>3265</v>
      </c>
      <c r="U2595" s="0" t="s">
        <v>138</v>
      </c>
      <c r="V2595" s="14" t="s">
        <v>138</v>
      </c>
      <c r="W2595" s="0" t="s">
        <v>138</v>
      </c>
      <c r="X2595" s="14" t="s">
        <v>138</v>
      </c>
      <c r="Y2595" s="0" t="s">
        <v>138</v>
      </c>
      <c r="Z2595" s="14" t="s">
        <v>138</v>
      </c>
      <c r="AA2595" s="0" t="s">
        <v>138</v>
      </c>
      <c r="AB2595" s="14" t="s">
        <v>138</v>
      </c>
      <c r="AD2595" s="0" t="s">
        <v>138</v>
      </c>
      <c r="AF2595" s="0">
        <v>0</v>
      </c>
      <c r="AG2595" s="0">
        <v>0</v>
      </c>
      <c r="AH2595" s="0" t="s">
        <v>140</v>
      </c>
      <c r="AI2595" s="0" t="s">
        <v>138</v>
      </c>
      <c r="AL2595" s="14"/>
      <c r="AN2595" s="14"/>
      <c r="AQ2595" s="0" t="s">
        <v>130</v>
      </c>
      <c r="AR2595" s="0" t="s">
        <v>130</v>
      </c>
      <c r="AS2595" s="0" t="s">
        <v>130</v>
      </c>
      <c r="AT2595" s="0" t="s">
        <v>130</v>
      </c>
      <c r="AU2595" s="0" t="s">
        <v>130</v>
      </c>
      <c r="AV2595" s="0" t="s">
        <v>130</v>
      </c>
      <c r="AW2595" s="0" t="s">
        <v>130</v>
      </c>
      <c r="AX2595" s="0" t="s">
        <v>130</v>
      </c>
      <c r="AY2595" s="0" t="s">
        <v>130</v>
      </c>
      <c r="AZ2595" s="0" t="s">
        <v>130</v>
      </c>
      <c r="BA2595" s="0" t="s">
        <v>130</v>
      </c>
      <c r="BB2595" s="0" t="s">
        <v>141</v>
      </c>
      <c r="BC2595" s="0" t="s">
        <v>141</v>
      </c>
      <c r="BD2595" s="0" t="s">
        <v>130</v>
      </c>
      <c r="BE2595" s="0" t="s">
        <v>130</v>
      </c>
      <c r="BF2595" s="0" t="s">
        <v>130</v>
      </c>
      <c r="BG2595" s="0" t="s">
        <v>130</v>
      </c>
      <c r="BH2595" s="0" t="s">
        <v>130</v>
      </c>
      <c r="BI2595" s="0" t="s">
        <v>130</v>
      </c>
      <c r="BJ2595" s="0" t="s">
        <v>130</v>
      </c>
      <c r="BK2595" s="0" t="s">
        <v>130</v>
      </c>
      <c r="BL2595" s="0" t="s">
        <v>130</v>
      </c>
      <c r="BM2595" s="0" t="s">
        <v>130</v>
      </c>
      <c r="BN2595" s="0" t="s">
        <v>130</v>
      </c>
      <c r="BO2595" s="0" t="s">
        <v>130</v>
      </c>
      <c r="BP2595" s="0" t="s">
        <v>130</v>
      </c>
      <c r="BQ2595" s="0" t="s">
        <v>130</v>
      </c>
      <c r="BR2595" s="0" t="s">
        <v>130</v>
      </c>
      <c r="BS2595" s="0" t="s">
        <v>130</v>
      </c>
      <c r="BT2595" s="0" t="s">
        <v>130</v>
      </c>
      <c r="BU2595" s="0" t="s">
        <v>130</v>
      </c>
      <c r="BV2595" s="0" t="s">
        <v>130</v>
      </c>
      <c r="BW2595" s="0" t="s">
        <v>130</v>
      </c>
      <c r="BX2595" s="0" t="s">
        <v>130</v>
      </c>
      <c r="BY2595" s="0" t="s">
        <v>130</v>
      </c>
      <c r="BZ2595" s="0" t="s">
        <v>130</v>
      </c>
      <c r="CA2595" s="0" t="s">
        <v>130</v>
      </c>
      <c r="CB2595" s="0" t="s">
        <v>130</v>
      </c>
      <c r="CC2595" s="0" t="s">
        <v>130</v>
      </c>
      <c r="CD2595" s="0" t="s">
        <v>130</v>
      </c>
      <c r="CE2595" s="0" t="s">
        <v>130</v>
      </c>
      <c r="CF2595" s="0" t="s">
        <v>130</v>
      </c>
      <c r="CG2595" s="0" t="s">
        <v>130</v>
      </c>
      <c r="CH2595" s="0" t="s">
        <v>130</v>
      </c>
      <c r="CI2595" s="0" t="s">
        <v>130</v>
      </c>
      <c r="CJ2595" s="0" t="s">
        <v>130</v>
      </c>
      <c r="CK2595" s="0" t="s">
        <v>130</v>
      </c>
      <c r="CL2595" s="0" t="s">
        <v>130</v>
      </c>
      <c r="CM2595" s="0" t="s">
        <v>130</v>
      </c>
      <c r="CN2595" s="0" t="s">
        <v>130</v>
      </c>
      <c r="CO2595" s="0" t="s">
        <v>130</v>
      </c>
      <c r="CP2595" s="0" t="s">
        <v>130</v>
      </c>
      <c r="CQ2595" s="0" t="s">
        <v>130</v>
      </c>
      <c r="CR2595" s="0" t="s">
        <v>130</v>
      </c>
      <c r="CS2595" s="0" t="s">
        <v>130</v>
      </c>
      <c r="CT2595" s="0" t="s">
        <v>7038</v>
      </c>
    </row>
    <row r="2596">
      <c r="A2596" s="14">
        <v>154561</v>
      </c>
      <c r="B2596" s="0" t="s">
        <v>2966</v>
      </c>
      <c r="C2596" s="16">
        <f>HYPERLINK("https://eosportal.federatedhermes.com/companies/Q29tcGFueQppNzU2ODg=", "Tata Steel Ltd")</f>
      </c>
      <c r="D2596" s="0" t="s">
        <v>25</v>
      </c>
      <c r="E2596" s="0" t="s">
        <v>4947</v>
      </c>
      <c r="F2596" s="16">
        <f>HYPERLINK("https://eosportal.federatedhermes.com/engagements/RW5nYWdlbWVudAppMzUyNzI=", "Audit committee independence")</f>
      </c>
      <c r="G2596" s="14" t="s">
        <v>7039</v>
      </c>
      <c r="H2596" s="0" t="s">
        <v>141</v>
      </c>
      <c r="I2596" s="14" t="s">
        <v>636</v>
      </c>
      <c r="J2596" s="0" t="s">
        <v>145</v>
      </c>
      <c r="K2596" s="0" t="s">
        <v>164</v>
      </c>
      <c r="L2596" s="0" t="s">
        <v>165</v>
      </c>
      <c r="M2596" s="0" t="s">
        <v>2807</v>
      </c>
      <c r="N2596" s="0" t="s">
        <v>2969</v>
      </c>
      <c r="O2596" s="0" t="s">
        <v>373</v>
      </c>
      <c r="Q2596" s="0" t="s">
        <v>130</v>
      </c>
      <c r="R2596" s="0" t="s">
        <v>138</v>
      </c>
      <c r="S2596" s="14">
        <v>0</v>
      </c>
      <c r="T2596" s="0" t="s">
        <v>3265</v>
      </c>
      <c r="U2596" s="0" t="s">
        <v>138</v>
      </c>
      <c r="V2596" s="14" t="s">
        <v>138</v>
      </c>
      <c r="W2596" s="0" t="s">
        <v>138</v>
      </c>
      <c r="X2596" s="14" t="s">
        <v>138</v>
      </c>
      <c r="Y2596" s="0" t="s">
        <v>138</v>
      </c>
      <c r="Z2596" s="14" t="s">
        <v>138</v>
      </c>
      <c r="AA2596" s="0" t="s">
        <v>138</v>
      </c>
      <c r="AB2596" s="14" t="s">
        <v>138</v>
      </c>
      <c r="AD2596" s="0" t="s">
        <v>138</v>
      </c>
      <c r="AF2596" s="0">
        <v>0</v>
      </c>
      <c r="AG2596" s="0">
        <v>0</v>
      </c>
      <c r="AH2596" s="0" t="s">
        <v>140</v>
      </c>
      <c r="AI2596" s="0" t="s">
        <v>138</v>
      </c>
      <c r="AL2596" s="14"/>
      <c r="AN2596" s="14"/>
      <c r="AQ2596" s="0" t="s">
        <v>130</v>
      </c>
      <c r="AR2596" s="0" t="s">
        <v>130</v>
      </c>
      <c r="AS2596" s="0" t="s">
        <v>130</v>
      </c>
      <c r="AT2596" s="0" t="s">
        <v>130</v>
      </c>
      <c r="AU2596" s="0" t="s">
        <v>130</v>
      </c>
      <c r="AV2596" s="0" t="s">
        <v>130</v>
      </c>
      <c r="AW2596" s="0" t="s">
        <v>130</v>
      </c>
      <c r="AX2596" s="0" t="s">
        <v>130</v>
      </c>
      <c r="AY2596" s="0" t="s">
        <v>130</v>
      </c>
      <c r="AZ2596" s="0" t="s">
        <v>130</v>
      </c>
      <c r="BA2596" s="0" t="s">
        <v>130</v>
      </c>
      <c r="BB2596" s="0" t="s">
        <v>130</v>
      </c>
      <c r="BC2596" s="0" t="s">
        <v>130</v>
      </c>
      <c r="BD2596" s="0" t="s">
        <v>130</v>
      </c>
      <c r="BE2596" s="0" t="s">
        <v>130</v>
      </c>
      <c r="BF2596" s="0" t="s">
        <v>130</v>
      </c>
      <c r="BG2596" s="0" t="s">
        <v>130</v>
      </c>
      <c r="BH2596" s="0" t="s">
        <v>130</v>
      </c>
      <c r="BI2596" s="0" t="s">
        <v>130</v>
      </c>
      <c r="BJ2596" s="0" t="s">
        <v>130</v>
      </c>
      <c r="BK2596" s="0" t="s">
        <v>130</v>
      </c>
      <c r="BL2596" s="0" t="s">
        <v>130</v>
      </c>
      <c r="BM2596" s="0" t="s">
        <v>130</v>
      </c>
      <c r="BN2596" s="0" t="s">
        <v>130</v>
      </c>
      <c r="BO2596" s="0" t="s">
        <v>130</v>
      </c>
      <c r="BP2596" s="0" t="s">
        <v>130</v>
      </c>
      <c r="BQ2596" s="0" t="s">
        <v>130</v>
      </c>
      <c r="BR2596" s="0" t="s">
        <v>130</v>
      </c>
      <c r="BS2596" s="0" t="s">
        <v>130</v>
      </c>
      <c r="BT2596" s="0" t="s">
        <v>130</v>
      </c>
      <c r="BU2596" s="0" t="s">
        <v>130</v>
      </c>
      <c r="BV2596" s="0" t="s">
        <v>130</v>
      </c>
      <c r="BW2596" s="0" t="s">
        <v>130</v>
      </c>
      <c r="BX2596" s="0" t="s">
        <v>130</v>
      </c>
      <c r="BY2596" s="0" t="s">
        <v>130</v>
      </c>
      <c r="BZ2596" s="0" t="s">
        <v>130</v>
      </c>
      <c r="CA2596" s="0" t="s">
        <v>130</v>
      </c>
      <c r="CB2596" s="0" t="s">
        <v>130</v>
      </c>
      <c r="CC2596" s="0" t="s">
        <v>130</v>
      </c>
      <c r="CD2596" s="0" t="s">
        <v>130</v>
      </c>
      <c r="CE2596" s="0" t="s">
        <v>130</v>
      </c>
      <c r="CF2596" s="0" t="s">
        <v>130</v>
      </c>
      <c r="CG2596" s="0" t="s">
        <v>130</v>
      </c>
      <c r="CH2596" s="0" t="s">
        <v>130</v>
      </c>
      <c r="CI2596" s="0" t="s">
        <v>130</v>
      </c>
      <c r="CJ2596" s="0" t="s">
        <v>130</v>
      </c>
      <c r="CK2596" s="0" t="s">
        <v>130</v>
      </c>
      <c r="CL2596" s="0" t="s">
        <v>130</v>
      </c>
      <c r="CM2596" s="0" t="s">
        <v>130</v>
      </c>
      <c r="CN2596" s="0" t="s">
        <v>130</v>
      </c>
      <c r="CO2596" s="0" t="s">
        <v>130</v>
      </c>
      <c r="CP2596" s="0" t="s">
        <v>130</v>
      </c>
      <c r="CQ2596" s="0" t="s">
        <v>130</v>
      </c>
      <c r="CR2596" s="0" t="s">
        <v>130</v>
      </c>
      <c r="CS2596" s="0" t="s">
        <v>130</v>
      </c>
      <c r="CT2596" s="0" t="s">
        <v>7040</v>
      </c>
    </row>
    <row r="2597">
      <c r="A2597" s="14">
        <v>101548</v>
      </c>
      <c r="B2597" s="0" t="s">
        <v>1738</v>
      </c>
      <c r="C2597" s="16">
        <f>HYPERLINK("https://eosportal.federatedhermes.com/companies/Q29tcGFueQppNjI0NTk=", "UnitedHealth Group Inc")</f>
      </c>
      <c r="D2597" s="0" t="s">
        <v>25</v>
      </c>
      <c r="E2597" s="0" t="s">
        <v>198</v>
      </c>
      <c r="F2597" s="16">
        <f>HYPERLINK("https://eosportal.federatedhermes.com/engagements/RW5nYWdlbWVudAppMzUyODc=", "Climate Change")</f>
      </c>
      <c r="G2597" s="14" t="s">
        <v>7041</v>
      </c>
      <c r="H2597" s="0" t="s">
        <v>141</v>
      </c>
      <c r="I2597" s="14" t="s">
        <v>636</v>
      </c>
      <c r="J2597" s="0" t="s">
        <v>197</v>
      </c>
      <c r="K2597" s="0" t="s">
        <v>198</v>
      </c>
      <c r="L2597" s="0" t="s">
        <v>216</v>
      </c>
      <c r="M2597" s="0" t="s">
        <v>135</v>
      </c>
      <c r="N2597" s="0" t="s">
        <v>136</v>
      </c>
      <c r="O2597" s="0" t="s">
        <v>274</v>
      </c>
      <c r="Q2597" s="0" t="s">
        <v>130</v>
      </c>
      <c r="R2597" s="0" t="s">
        <v>138</v>
      </c>
      <c r="S2597" s="14">
        <v>0</v>
      </c>
      <c r="T2597" s="0" t="s">
        <v>3265</v>
      </c>
      <c r="U2597" s="0" t="s">
        <v>138</v>
      </c>
      <c r="V2597" s="14" t="s">
        <v>138</v>
      </c>
      <c r="W2597" s="0" t="s">
        <v>138</v>
      </c>
      <c r="X2597" s="14" t="s">
        <v>138</v>
      </c>
      <c r="Y2597" s="0" t="s">
        <v>138</v>
      </c>
      <c r="Z2597" s="14" t="s">
        <v>138</v>
      </c>
      <c r="AA2597" s="0" t="s">
        <v>138</v>
      </c>
      <c r="AB2597" s="14" t="s">
        <v>138</v>
      </c>
      <c r="AD2597" s="0" t="s">
        <v>138</v>
      </c>
      <c r="AF2597" s="0">
        <v>0</v>
      </c>
      <c r="AG2597" s="0">
        <v>0</v>
      </c>
      <c r="AH2597" s="0" t="s">
        <v>140</v>
      </c>
      <c r="AI2597" s="0" t="s">
        <v>138</v>
      </c>
      <c r="AL2597" s="14"/>
      <c r="AN2597" s="14"/>
      <c r="AQ2597" s="0" t="s">
        <v>130</v>
      </c>
      <c r="AR2597" s="0" t="s">
        <v>130</v>
      </c>
      <c r="AS2597" s="0" t="s">
        <v>130</v>
      </c>
      <c r="AT2597" s="0" t="s">
        <v>130</v>
      </c>
      <c r="AU2597" s="0" t="s">
        <v>130</v>
      </c>
      <c r="AV2597" s="0" t="s">
        <v>130</v>
      </c>
      <c r="AW2597" s="0" t="s">
        <v>141</v>
      </c>
      <c r="AX2597" s="0" t="s">
        <v>130</v>
      </c>
      <c r="AY2597" s="0" t="s">
        <v>130</v>
      </c>
      <c r="AZ2597" s="0" t="s">
        <v>130</v>
      </c>
      <c r="BA2597" s="0" t="s">
        <v>130</v>
      </c>
      <c r="BB2597" s="0" t="s">
        <v>130</v>
      </c>
      <c r="BC2597" s="0" t="s">
        <v>141</v>
      </c>
      <c r="BD2597" s="0" t="s">
        <v>130</v>
      </c>
      <c r="BE2597" s="0" t="s">
        <v>130</v>
      </c>
      <c r="BF2597" s="0" t="s">
        <v>130</v>
      </c>
      <c r="BG2597" s="0" t="s">
        <v>130</v>
      </c>
      <c r="BH2597" s="0" t="s">
        <v>141</v>
      </c>
      <c r="BI2597" s="0" t="s">
        <v>141</v>
      </c>
      <c r="BJ2597" s="0" t="s">
        <v>141</v>
      </c>
      <c r="BK2597" s="0" t="s">
        <v>130</v>
      </c>
      <c r="BL2597" s="0" t="s">
        <v>130</v>
      </c>
      <c r="BM2597" s="0" t="s">
        <v>130</v>
      </c>
      <c r="BN2597" s="0" t="s">
        <v>130</v>
      </c>
      <c r="BO2597" s="0" t="s">
        <v>130</v>
      </c>
      <c r="BP2597" s="0" t="s">
        <v>130</v>
      </c>
      <c r="BQ2597" s="0" t="s">
        <v>130</v>
      </c>
      <c r="BR2597" s="0" t="s">
        <v>130</v>
      </c>
      <c r="BS2597" s="0" t="s">
        <v>130</v>
      </c>
      <c r="BT2597" s="0" t="s">
        <v>130</v>
      </c>
      <c r="BU2597" s="0" t="s">
        <v>130</v>
      </c>
      <c r="BV2597" s="0" t="s">
        <v>141</v>
      </c>
      <c r="BW2597" s="0" t="s">
        <v>141</v>
      </c>
      <c r="BX2597" s="0" t="s">
        <v>130</v>
      </c>
      <c r="BY2597" s="0" t="s">
        <v>130</v>
      </c>
      <c r="BZ2597" s="0" t="s">
        <v>130</v>
      </c>
      <c r="CA2597" s="0" t="s">
        <v>130</v>
      </c>
      <c r="CB2597" s="0" t="s">
        <v>130</v>
      </c>
      <c r="CC2597" s="0" t="s">
        <v>130</v>
      </c>
      <c r="CD2597" s="0" t="s">
        <v>130</v>
      </c>
      <c r="CE2597" s="0" t="s">
        <v>130</v>
      </c>
      <c r="CF2597" s="0" t="s">
        <v>130</v>
      </c>
      <c r="CG2597" s="0" t="s">
        <v>130</v>
      </c>
      <c r="CH2597" s="0" t="s">
        <v>130</v>
      </c>
      <c r="CI2597" s="0" t="s">
        <v>130</v>
      </c>
      <c r="CJ2597" s="0" t="s">
        <v>130</v>
      </c>
      <c r="CK2597" s="0" t="s">
        <v>130</v>
      </c>
      <c r="CL2597" s="0" t="s">
        <v>130</v>
      </c>
      <c r="CM2597" s="0" t="s">
        <v>130</v>
      </c>
      <c r="CN2597" s="0" t="s">
        <v>130</v>
      </c>
      <c r="CO2597" s="0" t="s">
        <v>130</v>
      </c>
      <c r="CP2597" s="0" t="s">
        <v>130</v>
      </c>
      <c r="CQ2597" s="0" t="s">
        <v>130</v>
      </c>
      <c r="CR2597" s="0" t="s">
        <v>130</v>
      </c>
      <c r="CS2597" s="0" t="s">
        <v>130</v>
      </c>
      <c r="CT2597" s="0" t="s">
        <v>7042</v>
      </c>
    </row>
    <row r="2598">
      <c r="A2598" s="14">
        <v>304214</v>
      </c>
      <c r="B2598" s="0" t="s">
        <v>3545</v>
      </c>
      <c r="C2598" s="16">
        <f>HYPERLINK("https://eosportal.federatedhermes.com/companies/Q29tcGFueQppODU4Nzc=", "Anhui Conch Cement Co Ltd")</f>
      </c>
      <c r="D2598" s="0" t="s">
        <v>25</v>
      </c>
      <c r="E2598" s="0" t="s">
        <v>386</v>
      </c>
      <c r="F2598" s="16">
        <f>HYPERLINK("https://eosportal.federatedhermes.com/engagements/RW5nYWdlbWVudAppMzUzODE=", "Board independence")</f>
      </c>
      <c r="G2598" s="14" t="s">
        <v>7043</v>
      </c>
      <c r="H2598" s="0" t="s">
        <v>141</v>
      </c>
      <c r="I2598" s="14" t="s">
        <v>131</v>
      </c>
      <c r="J2598" s="0" t="s">
        <v>145</v>
      </c>
      <c r="K2598" s="0" t="s">
        <v>164</v>
      </c>
      <c r="L2598" s="0" t="s">
        <v>165</v>
      </c>
      <c r="M2598" s="0" t="s">
        <v>2807</v>
      </c>
      <c r="N2598" s="0" t="s">
        <v>3272</v>
      </c>
      <c r="O2598" s="0" t="s">
        <v>373</v>
      </c>
      <c r="Q2598" s="0" t="s">
        <v>130</v>
      </c>
      <c r="R2598" s="0" t="s">
        <v>138</v>
      </c>
      <c r="S2598" s="14">
        <v>0</v>
      </c>
      <c r="T2598" s="0" t="s">
        <v>3265</v>
      </c>
      <c r="U2598" s="0" t="s">
        <v>138</v>
      </c>
      <c r="V2598" s="14" t="s">
        <v>138</v>
      </c>
      <c r="W2598" s="0" t="s">
        <v>138</v>
      </c>
      <c r="X2598" s="14" t="s">
        <v>138</v>
      </c>
      <c r="Y2598" s="0" t="s">
        <v>138</v>
      </c>
      <c r="Z2598" s="14" t="s">
        <v>138</v>
      </c>
      <c r="AA2598" s="0" t="s">
        <v>138</v>
      </c>
      <c r="AB2598" s="14" t="s">
        <v>138</v>
      </c>
      <c r="AD2598" s="0" t="s">
        <v>138</v>
      </c>
      <c r="AF2598" s="0">
        <v>0</v>
      </c>
      <c r="AG2598" s="0">
        <v>0</v>
      </c>
      <c r="AH2598" s="0" t="s">
        <v>140</v>
      </c>
      <c r="AI2598" s="0" t="s">
        <v>138</v>
      </c>
      <c r="AL2598" s="14"/>
      <c r="AN2598" s="14"/>
      <c r="AQ2598" s="0" t="s">
        <v>130</v>
      </c>
      <c r="AR2598" s="0" t="s">
        <v>130</v>
      </c>
      <c r="AS2598" s="0" t="s">
        <v>130</v>
      </c>
      <c r="AT2598" s="0" t="s">
        <v>130</v>
      </c>
      <c r="AU2598" s="0" t="s">
        <v>130</v>
      </c>
      <c r="AV2598" s="0" t="s">
        <v>130</v>
      </c>
      <c r="AW2598" s="0" t="s">
        <v>130</v>
      </c>
      <c r="AX2598" s="0" t="s">
        <v>130</v>
      </c>
      <c r="AY2598" s="0" t="s">
        <v>130</v>
      </c>
      <c r="AZ2598" s="0" t="s">
        <v>130</v>
      </c>
      <c r="BA2598" s="0" t="s">
        <v>130</v>
      </c>
      <c r="BB2598" s="0" t="s">
        <v>130</v>
      </c>
      <c r="BC2598" s="0" t="s">
        <v>130</v>
      </c>
      <c r="BD2598" s="0" t="s">
        <v>130</v>
      </c>
      <c r="BE2598" s="0" t="s">
        <v>130</v>
      </c>
      <c r="BF2598" s="0" t="s">
        <v>130</v>
      </c>
      <c r="BG2598" s="0" t="s">
        <v>130</v>
      </c>
      <c r="BH2598" s="0" t="s">
        <v>130</v>
      </c>
      <c r="BI2598" s="0" t="s">
        <v>130</v>
      </c>
      <c r="BJ2598" s="0" t="s">
        <v>130</v>
      </c>
      <c r="BK2598" s="0" t="s">
        <v>130</v>
      </c>
      <c r="BL2598" s="0" t="s">
        <v>130</v>
      </c>
      <c r="BM2598" s="0" t="s">
        <v>130</v>
      </c>
      <c r="BN2598" s="0" t="s">
        <v>130</v>
      </c>
      <c r="BO2598" s="0" t="s">
        <v>130</v>
      </c>
      <c r="BP2598" s="0" t="s">
        <v>130</v>
      </c>
      <c r="BQ2598" s="0" t="s">
        <v>130</v>
      </c>
      <c r="BR2598" s="0" t="s">
        <v>130</v>
      </c>
      <c r="BS2598" s="0" t="s">
        <v>130</v>
      </c>
      <c r="BT2598" s="0" t="s">
        <v>130</v>
      </c>
      <c r="BU2598" s="0" t="s">
        <v>130</v>
      </c>
      <c r="BV2598" s="0" t="s">
        <v>130</v>
      </c>
      <c r="BW2598" s="0" t="s">
        <v>130</v>
      </c>
      <c r="BX2598" s="0" t="s">
        <v>130</v>
      </c>
      <c r="BY2598" s="0" t="s">
        <v>130</v>
      </c>
      <c r="BZ2598" s="0" t="s">
        <v>130</v>
      </c>
      <c r="CA2598" s="0" t="s">
        <v>130</v>
      </c>
      <c r="CB2598" s="0" t="s">
        <v>130</v>
      </c>
      <c r="CC2598" s="0" t="s">
        <v>130</v>
      </c>
      <c r="CD2598" s="0" t="s">
        <v>130</v>
      </c>
      <c r="CE2598" s="0" t="s">
        <v>130</v>
      </c>
      <c r="CF2598" s="0" t="s">
        <v>130</v>
      </c>
      <c r="CG2598" s="0" t="s">
        <v>130</v>
      </c>
      <c r="CH2598" s="0" t="s">
        <v>130</v>
      </c>
      <c r="CI2598" s="0" t="s">
        <v>130</v>
      </c>
      <c r="CJ2598" s="0" t="s">
        <v>130</v>
      </c>
      <c r="CK2598" s="0" t="s">
        <v>130</v>
      </c>
      <c r="CL2598" s="0" t="s">
        <v>130</v>
      </c>
      <c r="CM2598" s="0" t="s">
        <v>130</v>
      </c>
      <c r="CN2598" s="0" t="s">
        <v>130</v>
      </c>
      <c r="CO2598" s="0" t="s">
        <v>130</v>
      </c>
      <c r="CP2598" s="0" t="s">
        <v>130</v>
      </c>
      <c r="CQ2598" s="0" t="s">
        <v>130</v>
      </c>
      <c r="CR2598" s="0" t="s">
        <v>130</v>
      </c>
      <c r="CS2598" s="0" t="s">
        <v>130</v>
      </c>
      <c r="CT2598" s="0" t="s">
        <v>7044</v>
      </c>
    </row>
    <row r="2599">
      <c r="A2599" s="14">
        <v>100169</v>
      </c>
      <c r="B2599" s="0" t="s">
        <v>4846</v>
      </c>
      <c r="C2599" s="16">
        <f>HYPERLINK("https://eosportal.federatedhermes.com/companies/Q29tcGFueQppNjc3MzE=", "Barclays PLC")</f>
      </c>
      <c r="D2599" s="0" t="s">
        <v>23</v>
      </c>
      <c r="E2599" s="0" t="s">
        <v>7045</v>
      </c>
      <c r="F2599" s="16">
        <f>HYPERLINK("https://eosportal.federatedhermes.com/engagements/RW5nYWdlbWVudAppMzUzOTI=", "Align country-by-country tax reporting with GRI")</f>
      </c>
      <c r="G2599" s="14" t="s">
        <v>7046</v>
      </c>
      <c r="H2599" s="0" t="s">
        <v>141</v>
      </c>
      <c r="I2599" s="14" t="s">
        <v>191</v>
      </c>
      <c r="J2599" s="0" t="s">
        <v>153</v>
      </c>
      <c r="K2599" s="0" t="s">
        <v>185</v>
      </c>
      <c r="L2599" s="0" t="s">
        <v>548</v>
      </c>
      <c r="M2599" s="0" t="s">
        <v>272</v>
      </c>
      <c r="N2599" s="0" t="s">
        <v>273</v>
      </c>
      <c r="O2599" s="0" t="s">
        <v>238</v>
      </c>
      <c r="Q2599" s="0" t="s">
        <v>130</v>
      </c>
      <c r="R2599" s="0" t="s">
        <v>130</v>
      </c>
      <c r="S2599" s="14">
        <v>0</v>
      </c>
      <c r="T2599" s="0" t="s">
        <v>3265</v>
      </c>
      <c r="U2599" s="0" t="s">
        <v>221</v>
      </c>
      <c r="V2599" s="14" t="s">
        <v>3265</v>
      </c>
      <c r="W2599" s="0" t="s">
        <v>221</v>
      </c>
      <c r="X2599" s="14" t="s">
        <v>3265</v>
      </c>
      <c r="Y2599" s="0" t="s">
        <v>223</v>
      </c>
      <c r="Z2599" s="14" t="s">
        <v>138</v>
      </c>
      <c r="AA2599" s="0" t="s">
        <v>224</v>
      </c>
      <c r="AB2599" s="14" t="s">
        <v>138</v>
      </c>
      <c r="AD2599" s="0" t="s">
        <v>17</v>
      </c>
      <c r="AF2599" s="0">
        <v>0</v>
      </c>
      <c r="AG2599" s="0">
        <v>0</v>
      </c>
      <c r="AH2599" s="0" t="s">
        <v>140</v>
      </c>
      <c r="AI2599" s="0" t="s">
        <v>598</v>
      </c>
      <c r="AL2599" s="14"/>
      <c r="AN2599" s="14"/>
      <c r="AQ2599" s="0" t="s">
        <v>130</v>
      </c>
      <c r="AR2599" s="0" t="s">
        <v>130</v>
      </c>
      <c r="AS2599" s="0" t="s">
        <v>130</v>
      </c>
      <c r="AT2599" s="0" t="s">
        <v>130</v>
      </c>
      <c r="AU2599" s="0" t="s">
        <v>130</v>
      </c>
      <c r="AV2599" s="0" t="s">
        <v>130</v>
      </c>
      <c r="AW2599" s="0" t="s">
        <v>130</v>
      </c>
      <c r="AX2599" s="0" t="s">
        <v>130</v>
      </c>
      <c r="AY2599" s="0" t="s">
        <v>130</v>
      </c>
      <c r="AZ2599" s="0" t="s">
        <v>130</v>
      </c>
      <c r="BA2599" s="0" t="s">
        <v>130</v>
      </c>
      <c r="BB2599" s="0" t="s">
        <v>130</v>
      </c>
      <c r="BC2599" s="0" t="s">
        <v>130</v>
      </c>
      <c r="BD2599" s="0" t="s">
        <v>130</v>
      </c>
      <c r="BE2599" s="0" t="s">
        <v>130</v>
      </c>
      <c r="BF2599" s="0" t="s">
        <v>130</v>
      </c>
      <c r="BG2599" s="0" t="s">
        <v>141</v>
      </c>
      <c r="BH2599" s="0" t="s">
        <v>130</v>
      </c>
      <c r="BI2599" s="0" t="s">
        <v>130</v>
      </c>
      <c r="BJ2599" s="0" t="s">
        <v>130</v>
      </c>
      <c r="BK2599" s="0" t="s">
        <v>130</v>
      </c>
      <c r="BL2599" s="0" t="s">
        <v>130</v>
      </c>
      <c r="BM2599" s="0" t="s">
        <v>130</v>
      </c>
      <c r="BN2599" s="0" t="s">
        <v>130</v>
      </c>
      <c r="BO2599" s="0" t="s">
        <v>130</v>
      </c>
      <c r="BP2599" s="0" t="s">
        <v>130</v>
      </c>
      <c r="BQ2599" s="0" t="s">
        <v>130</v>
      </c>
      <c r="BR2599" s="0" t="s">
        <v>130</v>
      </c>
      <c r="BS2599" s="0" t="s">
        <v>130</v>
      </c>
      <c r="BT2599" s="0" t="s">
        <v>130</v>
      </c>
      <c r="BU2599" s="0" t="s">
        <v>130</v>
      </c>
      <c r="BV2599" s="0" t="s">
        <v>130</v>
      </c>
      <c r="BW2599" s="0" t="s">
        <v>130</v>
      </c>
      <c r="BX2599" s="0" t="s">
        <v>130</v>
      </c>
      <c r="BY2599" s="0" t="s">
        <v>130</v>
      </c>
      <c r="BZ2599" s="0" t="s">
        <v>130</v>
      </c>
      <c r="CA2599" s="0" t="s">
        <v>130</v>
      </c>
      <c r="CB2599" s="0" t="s">
        <v>130</v>
      </c>
      <c r="CC2599" s="0" t="s">
        <v>130</v>
      </c>
      <c r="CD2599" s="0" t="s">
        <v>130</v>
      </c>
      <c r="CE2599" s="0" t="s">
        <v>130</v>
      </c>
      <c r="CF2599" s="0" t="s">
        <v>130</v>
      </c>
      <c r="CG2599" s="0" t="s">
        <v>130</v>
      </c>
      <c r="CH2599" s="0" t="s">
        <v>130</v>
      </c>
      <c r="CI2599" s="0" t="s">
        <v>130</v>
      </c>
      <c r="CJ2599" s="0" t="s">
        <v>130</v>
      </c>
      <c r="CK2599" s="0" t="s">
        <v>130</v>
      </c>
      <c r="CL2599" s="0" t="s">
        <v>130</v>
      </c>
      <c r="CM2599" s="0" t="s">
        <v>130</v>
      </c>
      <c r="CN2599" s="0" t="s">
        <v>130</v>
      </c>
      <c r="CO2599" s="0" t="s">
        <v>130</v>
      </c>
      <c r="CP2599" s="0" t="s">
        <v>130</v>
      </c>
      <c r="CQ2599" s="0" t="s">
        <v>130</v>
      </c>
      <c r="CR2599" s="0" t="s">
        <v>130</v>
      </c>
      <c r="CS2599" s="0" t="s">
        <v>130</v>
      </c>
      <c r="CT2599" s="0" t="s">
        <v>7047</v>
      </c>
    </row>
    <row r="2600">
      <c r="A2600" s="14">
        <v>28399721</v>
      </c>
      <c r="B2600" s="0" t="s">
        <v>4350</v>
      </c>
      <c r="C2600" s="16">
        <f>HYPERLINK("https://eosportal.federatedhermes.com/companies/Q29tcGFueQppNTg5ODY=", "Phillips 66")</f>
      </c>
      <c r="D2600" s="0" t="s">
        <v>25</v>
      </c>
      <c r="E2600" s="0" t="s">
        <v>7048</v>
      </c>
      <c r="F2600" s="16">
        <f>HYPERLINK("https://eosportal.federatedhermes.com/engagements/RW5nYWdlbWVudAppMzUzOTM=", "Elimination of hazardous chemicals in plastics")</f>
      </c>
      <c r="G2600" s="14" t="s">
        <v>7049</v>
      </c>
      <c r="H2600" s="0" t="s">
        <v>141</v>
      </c>
      <c r="I2600" s="14" t="s">
        <v>191</v>
      </c>
      <c r="J2600" s="0" t="s">
        <v>197</v>
      </c>
      <c r="K2600" s="0" t="s">
        <v>348</v>
      </c>
      <c r="L2600" s="0" t="s">
        <v>349</v>
      </c>
      <c r="M2600" s="0" t="s">
        <v>135</v>
      </c>
      <c r="N2600" s="0" t="s">
        <v>136</v>
      </c>
      <c r="O2600" s="0" t="s">
        <v>542</v>
      </c>
      <c r="Q2600" s="0" t="s">
        <v>130</v>
      </c>
      <c r="R2600" s="0" t="s">
        <v>138</v>
      </c>
      <c r="S2600" s="14">
        <v>0</v>
      </c>
      <c r="T2600" s="0" t="s">
        <v>3265</v>
      </c>
      <c r="U2600" s="0" t="s">
        <v>138</v>
      </c>
      <c r="V2600" s="14" t="s">
        <v>138</v>
      </c>
      <c r="W2600" s="0" t="s">
        <v>138</v>
      </c>
      <c r="X2600" s="14" t="s">
        <v>138</v>
      </c>
      <c r="Y2600" s="0" t="s">
        <v>138</v>
      </c>
      <c r="Z2600" s="14" t="s">
        <v>138</v>
      </c>
      <c r="AA2600" s="0" t="s">
        <v>138</v>
      </c>
      <c r="AB2600" s="14" t="s">
        <v>138</v>
      </c>
      <c r="AD2600" s="0" t="s">
        <v>138</v>
      </c>
      <c r="AF2600" s="0">
        <v>0</v>
      </c>
      <c r="AG2600" s="0">
        <v>0</v>
      </c>
      <c r="AH2600" s="0" t="s">
        <v>140</v>
      </c>
      <c r="AI2600" s="0" t="s">
        <v>138</v>
      </c>
      <c r="AL2600" s="14"/>
      <c r="AN2600" s="14"/>
      <c r="AQ2600" s="0" t="s">
        <v>130</v>
      </c>
      <c r="AR2600" s="0" t="s">
        <v>130</v>
      </c>
      <c r="AS2600" s="0" t="s">
        <v>130</v>
      </c>
      <c r="AT2600" s="0" t="s">
        <v>130</v>
      </c>
      <c r="AU2600" s="0" t="s">
        <v>130</v>
      </c>
      <c r="AV2600" s="0" t="s">
        <v>130</v>
      </c>
      <c r="AW2600" s="0" t="s">
        <v>130</v>
      </c>
      <c r="AX2600" s="0" t="s">
        <v>130</v>
      </c>
      <c r="AY2600" s="0" t="s">
        <v>130</v>
      </c>
      <c r="AZ2600" s="0" t="s">
        <v>130</v>
      </c>
      <c r="BA2600" s="0" t="s">
        <v>130</v>
      </c>
      <c r="BB2600" s="0" t="s">
        <v>141</v>
      </c>
      <c r="BC2600" s="0" t="s">
        <v>130</v>
      </c>
      <c r="BD2600" s="0" t="s">
        <v>130</v>
      </c>
      <c r="BE2600" s="0" t="s">
        <v>130</v>
      </c>
      <c r="BF2600" s="0" t="s">
        <v>130</v>
      </c>
      <c r="BG2600" s="0" t="s">
        <v>130</v>
      </c>
      <c r="BH2600" s="0" t="s">
        <v>130</v>
      </c>
      <c r="BI2600" s="0" t="s">
        <v>130</v>
      </c>
      <c r="BJ2600" s="0" t="s">
        <v>130</v>
      </c>
      <c r="BK2600" s="0" t="s">
        <v>130</v>
      </c>
      <c r="BL2600" s="0" t="s">
        <v>130</v>
      </c>
      <c r="BM2600" s="0" t="s">
        <v>130</v>
      </c>
      <c r="BN2600" s="0" t="s">
        <v>130</v>
      </c>
      <c r="BO2600" s="0" t="s">
        <v>130</v>
      </c>
      <c r="BP2600" s="0" t="s">
        <v>130</v>
      </c>
      <c r="BQ2600" s="0" t="s">
        <v>130</v>
      </c>
      <c r="BR2600" s="0" t="s">
        <v>130</v>
      </c>
      <c r="BS2600" s="0" t="s">
        <v>130</v>
      </c>
      <c r="BT2600" s="0" t="s">
        <v>130</v>
      </c>
      <c r="BU2600" s="0" t="s">
        <v>130</v>
      </c>
      <c r="BV2600" s="0" t="s">
        <v>130</v>
      </c>
      <c r="BW2600" s="0" t="s">
        <v>130</v>
      </c>
      <c r="BX2600" s="0" t="s">
        <v>130</v>
      </c>
      <c r="BY2600" s="0" t="s">
        <v>130</v>
      </c>
      <c r="BZ2600" s="0" t="s">
        <v>130</v>
      </c>
      <c r="CA2600" s="0" t="s">
        <v>130</v>
      </c>
      <c r="CB2600" s="0" t="s">
        <v>130</v>
      </c>
      <c r="CC2600" s="0" t="s">
        <v>130</v>
      </c>
      <c r="CD2600" s="0" t="s">
        <v>141</v>
      </c>
      <c r="CE2600" s="0" t="s">
        <v>130</v>
      </c>
      <c r="CF2600" s="0" t="s">
        <v>130</v>
      </c>
      <c r="CG2600" s="0" t="s">
        <v>130</v>
      </c>
      <c r="CH2600" s="0" t="s">
        <v>130</v>
      </c>
      <c r="CI2600" s="0" t="s">
        <v>130</v>
      </c>
      <c r="CJ2600" s="0" t="s">
        <v>130</v>
      </c>
      <c r="CK2600" s="0" t="s">
        <v>130</v>
      </c>
      <c r="CL2600" s="0" t="s">
        <v>130</v>
      </c>
      <c r="CM2600" s="0" t="s">
        <v>130</v>
      </c>
      <c r="CN2600" s="0" t="s">
        <v>130</v>
      </c>
      <c r="CO2600" s="0" t="s">
        <v>130</v>
      </c>
      <c r="CP2600" s="0" t="s">
        <v>130</v>
      </c>
      <c r="CQ2600" s="0" t="s">
        <v>130</v>
      </c>
      <c r="CR2600" s="0" t="s">
        <v>130</v>
      </c>
      <c r="CS2600" s="0" t="s">
        <v>130</v>
      </c>
      <c r="CT2600" s="0" t="s">
        <v>7050</v>
      </c>
    </row>
    <row r="2601">
      <c r="A2601" s="14">
        <v>153693</v>
      </c>
      <c r="B2601" s="0" t="s">
        <v>2920</v>
      </c>
      <c r="C2601" s="16">
        <f>HYPERLINK("https://eosportal.federatedhermes.com/companies/Q29tcGFueQppNDYwMzI=", "Fortescue Ltd")</f>
      </c>
      <c r="D2601" s="0" t="s">
        <v>23</v>
      </c>
      <c r="E2601" s="0" t="s">
        <v>7051</v>
      </c>
      <c r="F2601" s="16">
        <f>HYPERLINK("https://eosportal.federatedhermes.com/engagements/RW5nYWdlbWVudAppMzU0MDQ=", "Paris-aligned Capital Allocation")</f>
      </c>
      <c r="G2601" s="14" t="s">
        <v>7052</v>
      </c>
      <c r="H2601" s="0" t="s">
        <v>130</v>
      </c>
      <c r="I2601" s="14" t="s">
        <v>131</v>
      </c>
      <c r="J2601" s="0" t="s">
        <v>197</v>
      </c>
      <c r="K2601" s="0" t="s">
        <v>198</v>
      </c>
      <c r="L2601" s="0" t="s">
        <v>199</v>
      </c>
      <c r="M2601" s="0" t="s">
        <v>371</v>
      </c>
      <c r="N2601" s="0" t="s">
        <v>372</v>
      </c>
      <c r="O2601" s="0" t="s">
        <v>373</v>
      </c>
      <c r="Q2601" s="0" t="s">
        <v>130</v>
      </c>
      <c r="R2601" s="0" t="s">
        <v>130</v>
      </c>
      <c r="S2601" s="14">
        <v>0</v>
      </c>
      <c r="T2601" s="0" t="s">
        <v>446</v>
      </c>
      <c r="U2601" s="0" t="s">
        <v>221</v>
      </c>
      <c r="V2601" s="14" t="s">
        <v>446</v>
      </c>
      <c r="W2601" s="0" t="s">
        <v>221</v>
      </c>
      <c r="X2601" s="14" t="s">
        <v>446</v>
      </c>
      <c r="Y2601" s="0" t="s">
        <v>221</v>
      </c>
      <c r="Z2601" s="14" t="s">
        <v>449</v>
      </c>
      <c r="AA2601" s="0" t="s">
        <v>223</v>
      </c>
      <c r="AB2601" s="14" t="s">
        <v>138</v>
      </c>
      <c r="AD2601" s="0" t="s">
        <v>20</v>
      </c>
      <c r="AF2601" s="0">
        <v>0</v>
      </c>
      <c r="AG2601" s="0">
        <v>0</v>
      </c>
      <c r="AH2601" s="0" t="s">
        <v>140</v>
      </c>
      <c r="AI2601" s="0" t="s">
        <v>598</v>
      </c>
      <c r="AL2601" s="14"/>
      <c r="AN2601" s="14"/>
      <c r="AQ2601" s="0" t="s">
        <v>130</v>
      </c>
      <c r="AR2601" s="0" t="s">
        <v>130</v>
      </c>
      <c r="AS2601" s="0" t="s">
        <v>130</v>
      </c>
      <c r="AT2601" s="0" t="s">
        <v>130</v>
      </c>
      <c r="AU2601" s="0" t="s">
        <v>130</v>
      </c>
      <c r="AV2601" s="0" t="s">
        <v>130</v>
      </c>
      <c r="AW2601" s="0" t="s">
        <v>130</v>
      </c>
      <c r="AX2601" s="0" t="s">
        <v>130</v>
      </c>
      <c r="AY2601" s="0" t="s">
        <v>130</v>
      </c>
      <c r="AZ2601" s="0" t="s">
        <v>130</v>
      </c>
      <c r="BA2601" s="0" t="s">
        <v>130</v>
      </c>
      <c r="BB2601" s="0" t="s">
        <v>141</v>
      </c>
      <c r="BC2601" s="0" t="s">
        <v>130</v>
      </c>
      <c r="BD2601" s="0" t="s">
        <v>130</v>
      </c>
      <c r="BE2601" s="0" t="s">
        <v>130</v>
      </c>
      <c r="BF2601" s="0" t="s">
        <v>130</v>
      </c>
      <c r="BG2601" s="0" t="s">
        <v>130</v>
      </c>
      <c r="BH2601" s="0" t="s">
        <v>130</v>
      </c>
      <c r="BI2601" s="0" t="s">
        <v>130</v>
      </c>
      <c r="BJ2601" s="0" t="s">
        <v>130</v>
      </c>
      <c r="BK2601" s="0" t="s">
        <v>130</v>
      </c>
      <c r="BL2601" s="0" t="s">
        <v>130</v>
      </c>
      <c r="BM2601" s="0" t="s">
        <v>130</v>
      </c>
      <c r="BN2601" s="0" t="s">
        <v>130</v>
      </c>
      <c r="BO2601" s="0" t="s">
        <v>130</v>
      </c>
      <c r="BP2601" s="0" t="s">
        <v>130</v>
      </c>
      <c r="BQ2601" s="0" t="s">
        <v>130</v>
      </c>
      <c r="BR2601" s="0" t="s">
        <v>130</v>
      </c>
      <c r="BS2601" s="0" t="s">
        <v>130</v>
      </c>
      <c r="BT2601" s="0" t="s">
        <v>130</v>
      </c>
      <c r="BU2601" s="0" t="s">
        <v>130</v>
      </c>
      <c r="BV2601" s="0" t="s">
        <v>130</v>
      </c>
      <c r="BW2601" s="0" t="s">
        <v>130</v>
      </c>
      <c r="BX2601" s="0" t="s">
        <v>130</v>
      </c>
      <c r="BY2601" s="0" t="s">
        <v>130</v>
      </c>
      <c r="BZ2601" s="0" t="s">
        <v>130</v>
      </c>
      <c r="CA2601" s="0" t="s">
        <v>130</v>
      </c>
      <c r="CB2601" s="0" t="s">
        <v>130</v>
      </c>
      <c r="CC2601" s="0" t="s">
        <v>130</v>
      </c>
      <c r="CD2601" s="0" t="s">
        <v>130</v>
      </c>
      <c r="CE2601" s="0" t="s">
        <v>130</v>
      </c>
      <c r="CF2601" s="0" t="s">
        <v>130</v>
      </c>
      <c r="CG2601" s="0" t="s">
        <v>130</v>
      </c>
      <c r="CH2601" s="0" t="s">
        <v>130</v>
      </c>
      <c r="CI2601" s="0" t="s">
        <v>130</v>
      </c>
      <c r="CJ2601" s="0" t="s">
        <v>130</v>
      </c>
      <c r="CK2601" s="0" t="s">
        <v>130</v>
      </c>
      <c r="CL2601" s="0" t="s">
        <v>130</v>
      </c>
      <c r="CM2601" s="0" t="s">
        <v>130</v>
      </c>
      <c r="CN2601" s="0" t="s">
        <v>130</v>
      </c>
      <c r="CO2601" s="0" t="s">
        <v>130</v>
      </c>
      <c r="CP2601" s="0" t="s">
        <v>130</v>
      </c>
      <c r="CQ2601" s="0" t="s">
        <v>130</v>
      </c>
      <c r="CR2601" s="0" t="s">
        <v>130</v>
      </c>
      <c r="CS2601" s="0" t="s">
        <v>130</v>
      </c>
      <c r="CT2601" s="0" t="s">
        <v>7053</v>
      </c>
    </row>
    <row r="2602">
      <c r="A2602" s="14">
        <v>42602315</v>
      </c>
      <c r="B2602" s="0" t="s">
        <v>4587</v>
      </c>
      <c r="C2602" s="16">
        <f>HYPERLINK("https://eosportal.federatedhermes.com/companies/Q29tcGFueQppNDc0MzI=", "Hewlett Packard Enterprise Co")</f>
      </c>
      <c r="D2602" s="0" t="s">
        <v>23</v>
      </c>
      <c r="E2602" s="0" t="s">
        <v>7054</v>
      </c>
      <c r="F2602" s="16">
        <f>HYPERLINK("https://eosportal.federatedhermes.com/engagements/RW5nYWdlbWVudAppMzU1MzE=", "Critical Minerals Policy")</f>
      </c>
      <c r="G2602" s="14" t="s">
        <v>7055</v>
      </c>
      <c r="H2602" s="0" t="s">
        <v>130</v>
      </c>
      <c r="I2602" s="14" t="s">
        <v>131</v>
      </c>
      <c r="J2602" s="0" t="s">
        <v>153</v>
      </c>
      <c r="K2602" s="0" t="s">
        <v>243</v>
      </c>
      <c r="L2602" s="0" t="s">
        <v>244</v>
      </c>
      <c r="M2602" s="0" t="s">
        <v>135</v>
      </c>
      <c r="N2602" s="0" t="s">
        <v>136</v>
      </c>
      <c r="O2602" s="0" t="s">
        <v>1125</v>
      </c>
      <c r="Q2602" s="0" t="s">
        <v>130</v>
      </c>
      <c r="R2602" s="0" t="s">
        <v>130</v>
      </c>
      <c r="S2602" s="14">
        <v>0</v>
      </c>
      <c r="T2602" s="0" t="s">
        <v>360</v>
      </c>
      <c r="U2602" s="0" t="s">
        <v>221</v>
      </c>
      <c r="V2602" s="14" t="s">
        <v>360</v>
      </c>
      <c r="W2602" s="0" t="s">
        <v>221</v>
      </c>
      <c r="X2602" s="14" t="s">
        <v>360</v>
      </c>
      <c r="Y2602" s="0" t="s">
        <v>223</v>
      </c>
      <c r="Z2602" s="14" t="s">
        <v>138</v>
      </c>
      <c r="AA2602" s="0" t="s">
        <v>224</v>
      </c>
      <c r="AB2602" s="14" t="s">
        <v>138</v>
      </c>
      <c r="AD2602" s="0" t="s">
        <v>17</v>
      </c>
      <c r="AF2602" s="0">
        <v>0</v>
      </c>
      <c r="AG2602" s="0">
        <v>0</v>
      </c>
      <c r="AH2602" s="0" t="s">
        <v>140</v>
      </c>
      <c r="AI2602" s="0" t="s">
        <v>598</v>
      </c>
      <c r="AL2602" s="14"/>
      <c r="AN2602" s="14"/>
      <c r="AQ2602" s="0" t="s">
        <v>130</v>
      </c>
      <c r="AR2602" s="0" t="s">
        <v>130</v>
      </c>
      <c r="AS2602" s="0" t="s">
        <v>130</v>
      </c>
      <c r="AT2602" s="0" t="s">
        <v>130</v>
      </c>
      <c r="AU2602" s="0" t="s">
        <v>130</v>
      </c>
      <c r="AV2602" s="0" t="s">
        <v>130</v>
      </c>
      <c r="AW2602" s="0" t="s">
        <v>130</v>
      </c>
      <c r="AX2602" s="0" t="s">
        <v>141</v>
      </c>
      <c r="AY2602" s="0" t="s">
        <v>130</v>
      </c>
      <c r="AZ2602" s="0" t="s">
        <v>130</v>
      </c>
      <c r="BA2602" s="0" t="s">
        <v>130</v>
      </c>
      <c r="BB2602" s="0" t="s">
        <v>130</v>
      </c>
      <c r="BC2602" s="0" t="s">
        <v>130</v>
      </c>
      <c r="BD2602" s="0" t="s">
        <v>130</v>
      </c>
      <c r="BE2602" s="0" t="s">
        <v>130</v>
      </c>
      <c r="BF2602" s="0" t="s">
        <v>130</v>
      </c>
      <c r="BG2602" s="0" t="s">
        <v>130</v>
      </c>
      <c r="BH2602" s="0" t="s">
        <v>130</v>
      </c>
      <c r="BI2602" s="0" t="s">
        <v>130</v>
      </c>
      <c r="BJ2602" s="0" t="s">
        <v>130</v>
      </c>
      <c r="BK2602" s="0" t="s">
        <v>130</v>
      </c>
      <c r="BL2602" s="0" t="s">
        <v>130</v>
      </c>
      <c r="BM2602" s="0" t="s">
        <v>130</v>
      </c>
      <c r="BN2602" s="0" t="s">
        <v>130</v>
      </c>
      <c r="BO2602" s="0" t="s">
        <v>130</v>
      </c>
      <c r="BP2602" s="0" t="s">
        <v>130</v>
      </c>
      <c r="BQ2602" s="0" t="s">
        <v>130</v>
      </c>
      <c r="BR2602" s="0" t="s">
        <v>130</v>
      </c>
      <c r="BS2602" s="0" t="s">
        <v>130</v>
      </c>
      <c r="BT2602" s="0" t="s">
        <v>130</v>
      </c>
      <c r="BU2602" s="0" t="s">
        <v>130</v>
      </c>
      <c r="BV2602" s="0" t="s">
        <v>130</v>
      </c>
      <c r="BW2602" s="0" t="s">
        <v>130</v>
      </c>
      <c r="BX2602" s="0" t="s">
        <v>130</v>
      </c>
      <c r="BY2602" s="0" t="s">
        <v>130</v>
      </c>
      <c r="BZ2602" s="0" t="s">
        <v>130</v>
      </c>
      <c r="CA2602" s="0" t="s">
        <v>130</v>
      </c>
      <c r="CB2602" s="0" t="s">
        <v>130</v>
      </c>
      <c r="CC2602" s="0" t="s">
        <v>130</v>
      </c>
      <c r="CD2602" s="0" t="s">
        <v>141</v>
      </c>
      <c r="CE2602" s="0" t="s">
        <v>130</v>
      </c>
      <c r="CF2602" s="0" t="s">
        <v>130</v>
      </c>
      <c r="CG2602" s="0" t="s">
        <v>130</v>
      </c>
      <c r="CH2602" s="0" t="s">
        <v>130</v>
      </c>
      <c r="CI2602" s="0" t="s">
        <v>130</v>
      </c>
      <c r="CJ2602" s="0" t="s">
        <v>130</v>
      </c>
      <c r="CK2602" s="0" t="s">
        <v>130</v>
      </c>
      <c r="CL2602" s="0" t="s">
        <v>130</v>
      </c>
      <c r="CM2602" s="0" t="s">
        <v>130</v>
      </c>
      <c r="CN2602" s="0" t="s">
        <v>130</v>
      </c>
      <c r="CO2602" s="0" t="s">
        <v>130</v>
      </c>
      <c r="CP2602" s="0" t="s">
        <v>130</v>
      </c>
      <c r="CQ2602" s="0" t="s">
        <v>130</v>
      </c>
      <c r="CR2602" s="0" t="s">
        <v>130</v>
      </c>
      <c r="CS2602" s="0" t="s">
        <v>130</v>
      </c>
      <c r="CT2602" s="0" t="s">
        <v>7056</v>
      </c>
    </row>
    <row r="2603">
      <c r="A2603" s="14">
        <v>100747</v>
      </c>
      <c r="B2603" s="0" t="s">
        <v>949</v>
      </c>
      <c r="C2603" s="16">
        <f>HYPERLINK("https://eosportal.federatedhermes.com/companies/Q29tcGFueQppNzM3ODY=", "Honda Motor Co Ltd")</f>
      </c>
      <c r="D2603" s="0" t="s">
        <v>23</v>
      </c>
      <c r="E2603" s="0" t="s">
        <v>7057</v>
      </c>
      <c r="F2603" s="16">
        <f>HYPERLINK("https://eosportal.federatedhermes.com/engagements/RW5nYWdlbWVudAppMzU1MzU=", "Climate lobbying disclosure")</f>
      </c>
      <c r="G2603" s="14" t="s">
        <v>7058</v>
      </c>
      <c r="H2603" s="0" t="s">
        <v>141</v>
      </c>
      <c r="I2603" s="14" t="s">
        <v>636</v>
      </c>
      <c r="J2603" s="0" t="s">
        <v>197</v>
      </c>
      <c r="K2603" s="0" t="s">
        <v>198</v>
      </c>
      <c r="L2603" s="0" t="s">
        <v>199</v>
      </c>
      <c r="M2603" s="0" t="s">
        <v>802</v>
      </c>
      <c r="N2603" s="0" t="s">
        <v>952</v>
      </c>
      <c r="O2603" s="0" t="s">
        <v>425</v>
      </c>
      <c r="Q2603" s="0" t="s">
        <v>130</v>
      </c>
      <c r="R2603" s="0" t="s">
        <v>130</v>
      </c>
      <c r="S2603" s="14">
        <v>0</v>
      </c>
      <c r="T2603" s="0" t="s">
        <v>222</v>
      </c>
      <c r="U2603" s="0" t="s">
        <v>221</v>
      </c>
      <c r="V2603" s="14" t="s">
        <v>222</v>
      </c>
      <c r="W2603" s="0" t="s">
        <v>221</v>
      </c>
      <c r="X2603" s="14" t="s">
        <v>222</v>
      </c>
      <c r="Y2603" s="0" t="s">
        <v>221</v>
      </c>
      <c r="Z2603" s="14" t="s">
        <v>3265</v>
      </c>
      <c r="AA2603" s="0" t="s">
        <v>223</v>
      </c>
      <c r="AB2603" s="14" t="s">
        <v>138</v>
      </c>
      <c r="AD2603" s="0" t="s">
        <v>20</v>
      </c>
      <c r="AF2603" s="0">
        <v>0</v>
      </c>
      <c r="AG2603" s="0">
        <v>0</v>
      </c>
      <c r="AH2603" s="0" t="s">
        <v>140</v>
      </c>
      <c r="AI2603" s="0" t="s">
        <v>598</v>
      </c>
      <c r="AL2603" s="14"/>
      <c r="AN2603" s="14"/>
      <c r="AQ2603" s="0" t="s">
        <v>130</v>
      </c>
      <c r="AR2603" s="0" t="s">
        <v>130</v>
      </c>
      <c r="AS2603" s="0" t="s">
        <v>130</v>
      </c>
      <c r="AT2603" s="0" t="s">
        <v>130</v>
      </c>
      <c r="AU2603" s="0" t="s">
        <v>130</v>
      </c>
      <c r="AV2603" s="0" t="s">
        <v>130</v>
      </c>
      <c r="AW2603" s="0" t="s">
        <v>130</v>
      </c>
      <c r="AX2603" s="0" t="s">
        <v>130</v>
      </c>
      <c r="AY2603" s="0" t="s">
        <v>130</v>
      </c>
      <c r="AZ2603" s="0" t="s">
        <v>130</v>
      </c>
      <c r="BA2603" s="0" t="s">
        <v>130</v>
      </c>
      <c r="BB2603" s="0" t="s">
        <v>141</v>
      </c>
      <c r="BC2603" s="0" t="s">
        <v>141</v>
      </c>
      <c r="BD2603" s="0" t="s">
        <v>130</v>
      </c>
      <c r="BE2603" s="0" t="s">
        <v>130</v>
      </c>
      <c r="BF2603" s="0" t="s">
        <v>130</v>
      </c>
      <c r="BG2603" s="0" t="s">
        <v>130</v>
      </c>
      <c r="BH2603" s="0" t="s">
        <v>130</v>
      </c>
      <c r="BI2603" s="0" t="s">
        <v>130</v>
      </c>
      <c r="BJ2603" s="0" t="s">
        <v>130</v>
      </c>
      <c r="BK2603" s="0" t="s">
        <v>130</v>
      </c>
      <c r="BL2603" s="0" t="s">
        <v>130</v>
      </c>
      <c r="BM2603" s="0" t="s">
        <v>130</v>
      </c>
      <c r="BN2603" s="0" t="s">
        <v>130</v>
      </c>
      <c r="BO2603" s="0" t="s">
        <v>130</v>
      </c>
      <c r="BP2603" s="0" t="s">
        <v>130</v>
      </c>
      <c r="BQ2603" s="0" t="s">
        <v>130</v>
      </c>
      <c r="BR2603" s="0" t="s">
        <v>130</v>
      </c>
      <c r="BS2603" s="0" t="s">
        <v>130</v>
      </c>
      <c r="BT2603" s="0" t="s">
        <v>130</v>
      </c>
      <c r="BU2603" s="0" t="s">
        <v>130</v>
      </c>
      <c r="BV2603" s="0" t="s">
        <v>130</v>
      </c>
      <c r="BW2603" s="0" t="s">
        <v>130</v>
      </c>
      <c r="BX2603" s="0" t="s">
        <v>130</v>
      </c>
      <c r="BY2603" s="0" t="s">
        <v>130</v>
      </c>
      <c r="BZ2603" s="0" t="s">
        <v>130</v>
      </c>
      <c r="CA2603" s="0" t="s">
        <v>130</v>
      </c>
      <c r="CB2603" s="0" t="s">
        <v>130</v>
      </c>
      <c r="CC2603" s="0" t="s">
        <v>130</v>
      </c>
      <c r="CD2603" s="0" t="s">
        <v>130</v>
      </c>
      <c r="CE2603" s="0" t="s">
        <v>130</v>
      </c>
      <c r="CF2603" s="0" t="s">
        <v>130</v>
      </c>
      <c r="CG2603" s="0" t="s">
        <v>130</v>
      </c>
      <c r="CH2603" s="0" t="s">
        <v>130</v>
      </c>
      <c r="CI2603" s="0" t="s">
        <v>130</v>
      </c>
      <c r="CJ2603" s="0" t="s">
        <v>130</v>
      </c>
      <c r="CK2603" s="0" t="s">
        <v>130</v>
      </c>
      <c r="CL2603" s="0" t="s">
        <v>130</v>
      </c>
      <c r="CM2603" s="0" t="s">
        <v>130</v>
      </c>
      <c r="CN2603" s="0" t="s">
        <v>130</v>
      </c>
      <c r="CO2603" s="0" t="s">
        <v>130</v>
      </c>
      <c r="CP2603" s="0" t="s">
        <v>130</v>
      </c>
      <c r="CQ2603" s="0" t="s">
        <v>130</v>
      </c>
      <c r="CR2603" s="0" t="s">
        <v>130</v>
      </c>
      <c r="CS2603" s="0" t="s">
        <v>130</v>
      </c>
      <c r="CT2603" s="0" t="s">
        <v>7059</v>
      </c>
    </row>
    <row r="2604">
      <c r="A2604" s="14">
        <v>169367</v>
      </c>
      <c r="B2604" s="0" t="s">
        <v>3021</v>
      </c>
      <c r="C2604" s="16">
        <f>HYPERLINK("https://eosportal.federatedhermes.com/companies/Q29tcGFueQppNjE5MDI=", "HDFC Bank Ltd")</f>
      </c>
      <c r="D2604" s="0" t="s">
        <v>23</v>
      </c>
      <c r="E2604" s="0" t="s">
        <v>7060</v>
      </c>
      <c r="F2604" s="16">
        <f>HYPERLINK("https://eosportal.federatedhermes.com/engagements/RW5nYWdlbWVudAppMzU1NTM=", "Emissions reduction targets")</f>
      </c>
      <c r="G2604" s="14" t="s">
        <v>7061</v>
      </c>
      <c r="H2604" s="0" t="s">
        <v>141</v>
      </c>
      <c r="I2604" s="14" t="s">
        <v>131</v>
      </c>
      <c r="J2604" s="0" t="s">
        <v>197</v>
      </c>
      <c r="K2604" s="0" t="s">
        <v>198</v>
      </c>
      <c r="L2604" s="0" t="s">
        <v>216</v>
      </c>
      <c r="M2604" s="0" t="s">
        <v>2807</v>
      </c>
      <c r="N2604" s="0" t="s">
        <v>2969</v>
      </c>
      <c r="O2604" s="0" t="s">
        <v>238</v>
      </c>
      <c r="Q2604" s="0" t="s">
        <v>130</v>
      </c>
      <c r="R2604" s="0" t="s">
        <v>130</v>
      </c>
      <c r="S2604" s="14">
        <v>0</v>
      </c>
      <c r="T2604" s="0" t="s">
        <v>222</v>
      </c>
      <c r="U2604" s="0" t="s">
        <v>221</v>
      </c>
      <c r="V2604" s="14" t="s">
        <v>222</v>
      </c>
      <c r="W2604" s="0" t="s">
        <v>221</v>
      </c>
      <c r="X2604" s="14" t="s">
        <v>3265</v>
      </c>
      <c r="Y2604" s="0" t="s">
        <v>223</v>
      </c>
      <c r="Z2604" s="14" t="s">
        <v>138</v>
      </c>
      <c r="AA2604" s="0" t="s">
        <v>224</v>
      </c>
      <c r="AB2604" s="14" t="s">
        <v>138</v>
      </c>
      <c r="AD2604" s="0" t="s">
        <v>17</v>
      </c>
      <c r="AF2604" s="0">
        <v>0</v>
      </c>
      <c r="AG2604" s="0">
        <v>0</v>
      </c>
      <c r="AH2604" s="0" t="s">
        <v>140</v>
      </c>
      <c r="AI2604" s="0" t="s">
        <v>479</v>
      </c>
      <c r="AL2604" s="14"/>
      <c r="AN2604" s="14"/>
      <c r="AQ2604" s="0" t="s">
        <v>130</v>
      </c>
      <c r="AR2604" s="0" t="s">
        <v>130</v>
      </c>
      <c r="AS2604" s="0" t="s">
        <v>130</v>
      </c>
      <c r="AT2604" s="0" t="s">
        <v>130</v>
      </c>
      <c r="AU2604" s="0" t="s">
        <v>130</v>
      </c>
      <c r="AV2604" s="0" t="s">
        <v>130</v>
      </c>
      <c r="AW2604" s="0" t="s">
        <v>141</v>
      </c>
      <c r="AX2604" s="0" t="s">
        <v>130</v>
      </c>
      <c r="AY2604" s="0" t="s">
        <v>130</v>
      </c>
      <c r="AZ2604" s="0" t="s">
        <v>130</v>
      </c>
      <c r="BA2604" s="0" t="s">
        <v>130</v>
      </c>
      <c r="BB2604" s="0" t="s">
        <v>130</v>
      </c>
      <c r="BC2604" s="0" t="s">
        <v>141</v>
      </c>
      <c r="BD2604" s="0" t="s">
        <v>130</v>
      </c>
      <c r="BE2604" s="0" t="s">
        <v>130</v>
      </c>
      <c r="BF2604" s="0" t="s">
        <v>130</v>
      </c>
      <c r="BG2604" s="0" t="s">
        <v>130</v>
      </c>
      <c r="BH2604" s="0" t="s">
        <v>141</v>
      </c>
      <c r="BI2604" s="0" t="s">
        <v>141</v>
      </c>
      <c r="BJ2604" s="0" t="s">
        <v>141</v>
      </c>
      <c r="BK2604" s="0" t="s">
        <v>130</v>
      </c>
      <c r="BL2604" s="0" t="s">
        <v>130</v>
      </c>
      <c r="BM2604" s="0" t="s">
        <v>130</v>
      </c>
      <c r="BN2604" s="0" t="s">
        <v>130</v>
      </c>
      <c r="BO2604" s="0" t="s">
        <v>130</v>
      </c>
      <c r="BP2604" s="0" t="s">
        <v>130</v>
      </c>
      <c r="BQ2604" s="0" t="s">
        <v>130</v>
      </c>
      <c r="BR2604" s="0" t="s">
        <v>130</v>
      </c>
      <c r="BS2604" s="0" t="s">
        <v>130</v>
      </c>
      <c r="BT2604" s="0" t="s">
        <v>130</v>
      </c>
      <c r="BU2604" s="0" t="s">
        <v>130</v>
      </c>
      <c r="BV2604" s="0" t="s">
        <v>141</v>
      </c>
      <c r="BW2604" s="0" t="s">
        <v>141</v>
      </c>
      <c r="BX2604" s="0" t="s">
        <v>130</v>
      </c>
      <c r="BY2604" s="0" t="s">
        <v>130</v>
      </c>
      <c r="BZ2604" s="0" t="s">
        <v>130</v>
      </c>
      <c r="CA2604" s="0" t="s">
        <v>130</v>
      </c>
      <c r="CB2604" s="0" t="s">
        <v>130</v>
      </c>
      <c r="CC2604" s="0" t="s">
        <v>130</v>
      </c>
      <c r="CD2604" s="0" t="s">
        <v>130</v>
      </c>
      <c r="CE2604" s="0" t="s">
        <v>130</v>
      </c>
      <c r="CF2604" s="0" t="s">
        <v>130</v>
      </c>
      <c r="CG2604" s="0" t="s">
        <v>130</v>
      </c>
      <c r="CH2604" s="0" t="s">
        <v>130</v>
      </c>
      <c r="CI2604" s="0" t="s">
        <v>130</v>
      </c>
      <c r="CJ2604" s="0" t="s">
        <v>130</v>
      </c>
      <c r="CK2604" s="0" t="s">
        <v>130</v>
      </c>
      <c r="CL2604" s="0" t="s">
        <v>130</v>
      </c>
      <c r="CM2604" s="0" t="s">
        <v>130</v>
      </c>
      <c r="CN2604" s="0" t="s">
        <v>130</v>
      </c>
      <c r="CO2604" s="0" t="s">
        <v>130</v>
      </c>
      <c r="CP2604" s="0" t="s">
        <v>130</v>
      </c>
      <c r="CQ2604" s="0" t="s">
        <v>130</v>
      </c>
      <c r="CR2604" s="0" t="s">
        <v>130</v>
      </c>
      <c r="CS2604" s="0" t="s">
        <v>130</v>
      </c>
      <c r="CT2604" s="0" t="s">
        <v>7062</v>
      </c>
    </row>
    <row r="2605">
      <c r="A2605" s="14">
        <v>304149</v>
      </c>
      <c r="B2605" s="0" t="s">
        <v>3541</v>
      </c>
      <c r="C2605" s="16">
        <f>HYPERLINK("https://eosportal.federatedhermes.com/companies/Q29tcGFueQppNzc5MjM=", "ICICI Bank Ltd")</f>
      </c>
      <c r="D2605" s="0" t="s">
        <v>25</v>
      </c>
      <c r="E2605" s="0" t="s">
        <v>7063</v>
      </c>
      <c r="F2605" s="16">
        <f>HYPERLINK("https://eosportal.federatedhermes.com/engagements/RW5nYWdlbWVudAppMzU1NjE=", "Chair")</f>
      </c>
      <c r="G2605" s="14" t="s">
        <v>7064</v>
      </c>
      <c r="H2605" s="0" t="s">
        <v>141</v>
      </c>
      <c r="I2605" s="14" t="s">
        <v>131</v>
      </c>
      <c r="J2605" s="0" t="s">
        <v>145</v>
      </c>
      <c r="K2605" s="0" t="s">
        <v>164</v>
      </c>
      <c r="L2605" s="0" t="s">
        <v>970</v>
      </c>
      <c r="M2605" s="0" t="s">
        <v>2807</v>
      </c>
      <c r="N2605" s="0" t="s">
        <v>2969</v>
      </c>
      <c r="O2605" s="0" t="s">
        <v>238</v>
      </c>
      <c r="Q2605" s="0" t="s">
        <v>130</v>
      </c>
      <c r="R2605" s="0" t="s">
        <v>138</v>
      </c>
      <c r="S2605" s="14">
        <v>0</v>
      </c>
      <c r="T2605" s="0" t="s">
        <v>3265</v>
      </c>
      <c r="U2605" s="0" t="s">
        <v>138</v>
      </c>
      <c r="V2605" s="14" t="s">
        <v>138</v>
      </c>
      <c r="W2605" s="0" t="s">
        <v>138</v>
      </c>
      <c r="X2605" s="14" t="s">
        <v>138</v>
      </c>
      <c r="Y2605" s="0" t="s">
        <v>138</v>
      </c>
      <c r="Z2605" s="14" t="s">
        <v>138</v>
      </c>
      <c r="AA2605" s="0" t="s">
        <v>138</v>
      </c>
      <c r="AB2605" s="14" t="s">
        <v>138</v>
      </c>
      <c r="AD2605" s="0" t="s">
        <v>138</v>
      </c>
      <c r="AF2605" s="0">
        <v>0</v>
      </c>
      <c r="AG2605" s="0">
        <v>0</v>
      </c>
      <c r="AH2605" s="0" t="s">
        <v>140</v>
      </c>
      <c r="AI2605" s="0" t="s">
        <v>138</v>
      </c>
      <c r="AL2605" s="14"/>
      <c r="AN2605" s="14"/>
      <c r="AQ2605" s="0" t="s">
        <v>130</v>
      </c>
      <c r="AR2605" s="0" t="s">
        <v>130</v>
      </c>
      <c r="AS2605" s="0" t="s">
        <v>130</v>
      </c>
      <c r="AT2605" s="0" t="s">
        <v>130</v>
      </c>
      <c r="AU2605" s="0" t="s">
        <v>130</v>
      </c>
      <c r="AV2605" s="0" t="s">
        <v>130</v>
      </c>
      <c r="AW2605" s="0" t="s">
        <v>130</v>
      </c>
      <c r="AX2605" s="0" t="s">
        <v>130</v>
      </c>
      <c r="AY2605" s="0" t="s">
        <v>130</v>
      </c>
      <c r="AZ2605" s="0" t="s">
        <v>130</v>
      </c>
      <c r="BA2605" s="0" t="s">
        <v>130</v>
      </c>
      <c r="BB2605" s="0" t="s">
        <v>130</v>
      </c>
      <c r="BC2605" s="0" t="s">
        <v>130</v>
      </c>
      <c r="BD2605" s="0" t="s">
        <v>130</v>
      </c>
      <c r="BE2605" s="0" t="s">
        <v>130</v>
      </c>
      <c r="BF2605" s="0" t="s">
        <v>130</v>
      </c>
      <c r="BG2605" s="0" t="s">
        <v>130</v>
      </c>
      <c r="BH2605" s="0" t="s">
        <v>130</v>
      </c>
      <c r="BI2605" s="0" t="s">
        <v>130</v>
      </c>
      <c r="BJ2605" s="0" t="s">
        <v>130</v>
      </c>
      <c r="BK2605" s="0" t="s">
        <v>130</v>
      </c>
      <c r="BL2605" s="0" t="s">
        <v>130</v>
      </c>
      <c r="BM2605" s="0" t="s">
        <v>130</v>
      </c>
      <c r="BN2605" s="0" t="s">
        <v>130</v>
      </c>
      <c r="BO2605" s="0" t="s">
        <v>130</v>
      </c>
      <c r="BP2605" s="0" t="s">
        <v>130</v>
      </c>
      <c r="BQ2605" s="0" t="s">
        <v>130</v>
      </c>
      <c r="BR2605" s="0" t="s">
        <v>130</v>
      </c>
      <c r="BS2605" s="0" t="s">
        <v>130</v>
      </c>
      <c r="BT2605" s="0" t="s">
        <v>130</v>
      </c>
      <c r="BU2605" s="0" t="s">
        <v>130</v>
      </c>
      <c r="BV2605" s="0" t="s">
        <v>130</v>
      </c>
      <c r="BW2605" s="0" t="s">
        <v>130</v>
      </c>
      <c r="BX2605" s="0" t="s">
        <v>130</v>
      </c>
      <c r="BY2605" s="0" t="s">
        <v>130</v>
      </c>
      <c r="BZ2605" s="0" t="s">
        <v>130</v>
      </c>
      <c r="CA2605" s="0" t="s">
        <v>130</v>
      </c>
      <c r="CB2605" s="0" t="s">
        <v>130</v>
      </c>
      <c r="CC2605" s="0" t="s">
        <v>130</v>
      </c>
      <c r="CD2605" s="0" t="s">
        <v>130</v>
      </c>
      <c r="CE2605" s="0" t="s">
        <v>130</v>
      </c>
      <c r="CF2605" s="0" t="s">
        <v>130</v>
      </c>
      <c r="CG2605" s="0" t="s">
        <v>130</v>
      </c>
      <c r="CH2605" s="0" t="s">
        <v>130</v>
      </c>
      <c r="CI2605" s="0" t="s">
        <v>130</v>
      </c>
      <c r="CJ2605" s="0" t="s">
        <v>130</v>
      </c>
      <c r="CK2605" s="0" t="s">
        <v>130</v>
      </c>
      <c r="CL2605" s="0" t="s">
        <v>130</v>
      </c>
      <c r="CM2605" s="0" t="s">
        <v>130</v>
      </c>
      <c r="CN2605" s="0" t="s">
        <v>130</v>
      </c>
      <c r="CO2605" s="0" t="s">
        <v>130</v>
      </c>
      <c r="CP2605" s="0" t="s">
        <v>130</v>
      </c>
      <c r="CQ2605" s="0" t="s">
        <v>130</v>
      </c>
      <c r="CR2605" s="0" t="s">
        <v>130</v>
      </c>
      <c r="CS2605" s="0" t="s">
        <v>130</v>
      </c>
      <c r="CT2605" s="0" t="s">
        <v>7065</v>
      </c>
    </row>
    <row r="2606">
      <c r="A2606" s="14">
        <v>304149</v>
      </c>
      <c r="B2606" s="0" t="s">
        <v>3541</v>
      </c>
      <c r="C2606" s="16">
        <f>HYPERLINK("https://eosportal.federatedhermes.com/companies/Q29tcGFueQppNzc5MjM=", "ICICI Bank Ltd")</f>
      </c>
      <c r="D2606" s="0" t="s">
        <v>25</v>
      </c>
      <c r="E2606" s="0" t="s">
        <v>7016</v>
      </c>
      <c r="F2606" s="16">
        <f>HYPERLINK("https://eosportal.federatedhermes.com/engagements/RW5nYWdlbWVudAppMzU1NjI=", "Employee turnover")</f>
      </c>
      <c r="G2606" s="14" t="s">
        <v>7066</v>
      </c>
      <c r="H2606" s="0" t="s">
        <v>141</v>
      </c>
      <c r="I2606" s="14" t="s">
        <v>131</v>
      </c>
      <c r="J2606" s="0" t="s">
        <v>153</v>
      </c>
      <c r="K2606" s="0" t="s">
        <v>154</v>
      </c>
      <c r="L2606" s="0" t="s">
        <v>155</v>
      </c>
      <c r="M2606" s="0" t="s">
        <v>2807</v>
      </c>
      <c r="N2606" s="0" t="s">
        <v>2969</v>
      </c>
      <c r="O2606" s="0" t="s">
        <v>238</v>
      </c>
      <c r="Q2606" s="0" t="s">
        <v>130</v>
      </c>
      <c r="R2606" s="0" t="s">
        <v>138</v>
      </c>
      <c r="S2606" s="14">
        <v>0</v>
      </c>
      <c r="T2606" s="0" t="s">
        <v>3265</v>
      </c>
      <c r="U2606" s="0" t="s">
        <v>138</v>
      </c>
      <c r="V2606" s="14" t="s">
        <v>138</v>
      </c>
      <c r="W2606" s="0" t="s">
        <v>138</v>
      </c>
      <c r="X2606" s="14" t="s">
        <v>138</v>
      </c>
      <c r="Y2606" s="0" t="s">
        <v>138</v>
      </c>
      <c r="Z2606" s="14" t="s">
        <v>138</v>
      </c>
      <c r="AA2606" s="0" t="s">
        <v>138</v>
      </c>
      <c r="AB2606" s="14" t="s">
        <v>138</v>
      </c>
      <c r="AD2606" s="0" t="s">
        <v>138</v>
      </c>
      <c r="AF2606" s="0">
        <v>0</v>
      </c>
      <c r="AG2606" s="0">
        <v>0</v>
      </c>
      <c r="AH2606" s="0" t="s">
        <v>140</v>
      </c>
      <c r="AI2606" s="0" t="s">
        <v>138</v>
      </c>
      <c r="AL2606" s="14"/>
      <c r="AN2606" s="14"/>
      <c r="AQ2606" s="0" t="s">
        <v>130</v>
      </c>
      <c r="AR2606" s="0" t="s">
        <v>130</v>
      </c>
      <c r="AS2606" s="0" t="s">
        <v>141</v>
      </c>
      <c r="AT2606" s="0" t="s">
        <v>130</v>
      </c>
      <c r="AU2606" s="0" t="s">
        <v>130</v>
      </c>
      <c r="AV2606" s="0" t="s">
        <v>130</v>
      </c>
      <c r="AW2606" s="0" t="s">
        <v>130</v>
      </c>
      <c r="AX2606" s="0" t="s">
        <v>130</v>
      </c>
      <c r="AY2606" s="0" t="s">
        <v>130</v>
      </c>
      <c r="AZ2606" s="0" t="s">
        <v>130</v>
      </c>
      <c r="BA2606" s="0" t="s">
        <v>130</v>
      </c>
      <c r="BB2606" s="0" t="s">
        <v>130</v>
      </c>
      <c r="BC2606" s="0" t="s">
        <v>130</v>
      </c>
      <c r="BD2606" s="0" t="s">
        <v>130</v>
      </c>
      <c r="BE2606" s="0" t="s">
        <v>130</v>
      </c>
      <c r="BF2606" s="0" t="s">
        <v>130</v>
      </c>
      <c r="BG2606" s="0" t="s">
        <v>130</v>
      </c>
      <c r="BH2606" s="0" t="s">
        <v>130</v>
      </c>
      <c r="BI2606" s="0" t="s">
        <v>130</v>
      </c>
      <c r="BJ2606" s="0" t="s">
        <v>130</v>
      </c>
      <c r="BK2606" s="0" t="s">
        <v>130</v>
      </c>
      <c r="BL2606" s="0" t="s">
        <v>130</v>
      </c>
      <c r="BM2606" s="0" t="s">
        <v>130</v>
      </c>
      <c r="BN2606" s="0" t="s">
        <v>130</v>
      </c>
      <c r="BO2606" s="0" t="s">
        <v>130</v>
      </c>
      <c r="BP2606" s="0" t="s">
        <v>130</v>
      </c>
      <c r="BQ2606" s="0" t="s">
        <v>130</v>
      </c>
      <c r="BR2606" s="0" t="s">
        <v>130</v>
      </c>
      <c r="BS2606" s="0" t="s">
        <v>130</v>
      </c>
      <c r="BT2606" s="0" t="s">
        <v>130</v>
      </c>
      <c r="BU2606" s="0" t="s">
        <v>130</v>
      </c>
      <c r="BV2606" s="0" t="s">
        <v>130</v>
      </c>
      <c r="BW2606" s="0" t="s">
        <v>130</v>
      </c>
      <c r="BX2606" s="0" t="s">
        <v>130</v>
      </c>
      <c r="BY2606" s="0" t="s">
        <v>130</v>
      </c>
      <c r="BZ2606" s="0" t="s">
        <v>130</v>
      </c>
      <c r="CA2606" s="0" t="s">
        <v>130</v>
      </c>
      <c r="CB2606" s="0" t="s">
        <v>130</v>
      </c>
      <c r="CC2606" s="0" t="s">
        <v>130</v>
      </c>
      <c r="CD2606" s="0" t="s">
        <v>130</v>
      </c>
      <c r="CE2606" s="0" t="s">
        <v>130</v>
      </c>
      <c r="CF2606" s="0" t="s">
        <v>130</v>
      </c>
      <c r="CG2606" s="0" t="s">
        <v>130</v>
      </c>
      <c r="CH2606" s="0" t="s">
        <v>130</v>
      </c>
      <c r="CI2606" s="0" t="s">
        <v>141</v>
      </c>
      <c r="CJ2606" s="0" t="s">
        <v>130</v>
      </c>
      <c r="CK2606" s="0" t="s">
        <v>130</v>
      </c>
      <c r="CL2606" s="0" t="s">
        <v>130</v>
      </c>
      <c r="CM2606" s="0" t="s">
        <v>130</v>
      </c>
      <c r="CN2606" s="0" t="s">
        <v>130</v>
      </c>
      <c r="CO2606" s="0" t="s">
        <v>130</v>
      </c>
      <c r="CP2606" s="0" t="s">
        <v>130</v>
      </c>
      <c r="CQ2606" s="0" t="s">
        <v>130</v>
      </c>
      <c r="CR2606" s="0" t="s">
        <v>130</v>
      </c>
      <c r="CS2606" s="0" t="s">
        <v>130</v>
      </c>
      <c r="CT2606" s="0" t="s">
        <v>7067</v>
      </c>
    </row>
    <row r="2607">
      <c r="A2607" s="14">
        <v>115802</v>
      </c>
      <c r="B2607" s="0" t="s">
        <v>2733</v>
      </c>
      <c r="C2607" s="16">
        <f>HYPERLINK("https://eosportal.federatedhermes.com/companies/Q29tcGFueQppNjQzODQ=", "Power Assets Holdings Ltd")</f>
      </c>
      <c r="D2607" s="0" t="s">
        <v>23</v>
      </c>
      <c r="E2607" s="0" t="s">
        <v>7068</v>
      </c>
      <c r="F2607" s="16">
        <f>HYPERLINK("https://eosportal.federatedhermes.com/engagements/RW5nYWdlbWVudAppMzU1Nzk=", "Climate change metric linking with executive pay structure")</f>
      </c>
      <c r="G2607" s="14" t="s">
        <v>7069</v>
      </c>
      <c r="H2607" s="0" t="s">
        <v>141</v>
      </c>
      <c r="I2607" s="14" t="s">
        <v>191</v>
      </c>
      <c r="J2607" s="0" t="s">
        <v>197</v>
      </c>
      <c r="K2607" s="0" t="s">
        <v>198</v>
      </c>
      <c r="L2607" s="0" t="s">
        <v>199</v>
      </c>
      <c r="M2607" s="0" t="s">
        <v>802</v>
      </c>
      <c r="N2607" s="0" t="s">
        <v>803</v>
      </c>
      <c r="O2607" s="0" t="s">
        <v>192</v>
      </c>
      <c r="Q2607" s="0" t="s">
        <v>141</v>
      </c>
      <c r="R2607" s="0" t="s">
        <v>130</v>
      </c>
      <c r="S2607" s="14">
        <v>1</v>
      </c>
      <c r="T2607" s="0" t="s">
        <v>3265</v>
      </c>
      <c r="U2607" s="0" t="s">
        <v>221</v>
      </c>
      <c r="V2607" s="14" t="s">
        <v>3265</v>
      </c>
      <c r="W2607" s="0" t="s">
        <v>221</v>
      </c>
      <c r="X2607" s="14" t="s">
        <v>3265</v>
      </c>
      <c r="Y2607" s="0" t="s">
        <v>221</v>
      </c>
      <c r="Z2607" s="14" t="s">
        <v>4412</v>
      </c>
      <c r="AA2607" s="0" t="s">
        <v>223</v>
      </c>
      <c r="AB2607" s="14" t="s">
        <v>138</v>
      </c>
      <c r="AD2607" s="0" t="s">
        <v>20</v>
      </c>
      <c r="AF2607" s="0">
        <v>0</v>
      </c>
      <c r="AG2607" s="0">
        <v>0</v>
      </c>
      <c r="AH2607" s="0" t="s">
        <v>140</v>
      </c>
      <c r="AI2607" s="0" t="s">
        <v>598</v>
      </c>
      <c r="AK2607" s="0" t="s">
        <v>2741</v>
      </c>
      <c r="AL2607" s="14" t="s">
        <v>291</v>
      </c>
      <c r="AN2607" s="14"/>
      <c r="AQ2607" s="0" t="s">
        <v>130</v>
      </c>
      <c r="AR2607" s="0" t="s">
        <v>130</v>
      </c>
      <c r="AS2607" s="0" t="s">
        <v>130</v>
      </c>
      <c r="AT2607" s="0" t="s">
        <v>130</v>
      </c>
      <c r="AU2607" s="0" t="s">
        <v>130</v>
      </c>
      <c r="AV2607" s="0" t="s">
        <v>130</v>
      </c>
      <c r="AW2607" s="0" t="s">
        <v>130</v>
      </c>
      <c r="AX2607" s="0" t="s">
        <v>130</v>
      </c>
      <c r="AY2607" s="0" t="s">
        <v>130</v>
      </c>
      <c r="AZ2607" s="0" t="s">
        <v>130</v>
      </c>
      <c r="BA2607" s="0" t="s">
        <v>130</v>
      </c>
      <c r="BB2607" s="0" t="s">
        <v>141</v>
      </c>
      <c r="BC2607" s="0" t="s">
        <v>141</v>
      </c>
      <c r="BD2607" s="0" t="s">
        <v>130</v>
      </c>
      <c r="BE2607" s="0" t="s">
        <v>130</v>
      </c>
      <c r="BF2607" s="0" t="s">
        <v>130</v>
      </c>
      <c r="BG2607" s="0" t="s">
        <v>130</v>
      </c>
      <c r="BH2607" s="0" t="s">
        <v>130</v>
      </c>
      <c r="BI2607" s="0" t="s">
        <v>130</v>
      </c>
      <c r="BJ2607" s="0" t="s">
        <v>130</v>
      </c>
      <c r="BK2607" s="0" t="s">
        <v>130</v>
      </c>
      <c r="BL2607" s="0" t="s">
        <v>130</v>
      </c>
      <c r="BM2607" s="0" t="s">
        <v>130</v>
      </c>
      <c r="BN2607" s="0" t="s">
        <v>130</v>
      </c>
      <c r="BO2607" s="0" t="s">
        <v>130</v>
      </c>
      <c r="BP2607" s="0" t="s">
        <v>130</v>
      </c>
      <c r="BQ2607" s="0" t="s">
        <v>130</v>
      </c>
      <c r="BR2607" s="0" t="s">
        <v>130</v>
      </c>
      <c r="BS2607" s="0" t="s">
        <v>130</v>
      </c>
      <c r="BT2607" s="0" t="s">
        <v>130</v>
      </c>
      <c r="BU2607" s="0" t="s">
        <v>130</v>
      </c>
      <c r="BV2607" s="0" t="s">
        <v>130</v>
      </c>
      <c r="BW2607" s="0" t="s">
        <v>130</v>
      </c>
      <c r="BX2607" s="0" t="s">
        <v>130</v>
      </c>
      <c r="BY2607" s="0" t="s">
        <v>130</v>
      </c>
      <c r="BZ2607" s="0" t="s">
        <v>130</v>
      </c>
      <c r="CA2607" s="0" t="s">
        <v>130</v>
      </c>
      <c r="CB2607" s="0" t="s">
        <v>130</v>
      </c>
      <c r="CC2607" s="0" t="s">
        <v>130</v>
      </c>
      <c r="CD2607" s="0" t="s">
        <v>130</v>
      </c>
      <c r="CE2607" s="0" t="s">
        <v>130</v>
      </c>
      <c r="CF2607" s="0" t="s">
        <v>130</v>
      </c>
      <c r="CG2607" s="0" t="s">
        <v>130</v>
      </c>
      <c r="CH2607" s="0" t="s">
        <v>130</v>
      </c>
      <c r="CI2607" s="0" t="s">
        <v>130</v>
      </c>
      <c r="CJ2607" s="0" t="s">
        <v>130</v>
      </c>
      <c r="CK2607" s="0" t="s">
        <v>130</v>
      </c>
      <c r="CL2607" s="0" t="s">
        <v>130</v>
      </c>
      <c r="CM2607" s="0" t="s">
        <v>130</v>
      </c>
      <c r="CN2607" s="0" t="s">
        <v>130</v>
      </c>
      <c r="CO2607" s="0" t="s">
        <v>130</v>
      </c>
      <c r="CP2607" s="0" t="s">
        <v>130</v>
      </c>
      <c r="CQ2607" s="0" t="s">
        <v>130</v>
      </c>
      <c r="CR2607" s="0" t="s">
        <v>130</v>
      </c>
      <c r="CS2607" s="0" t="s">
        <v>130</v>
      </c>
      <c r="CT2607" s="0" t="s">
        <v>7070</v>
      </c>
    </row>
    <row r="2608">
      <c r="A2608" s="14">
        <v>1404288</v>
      </c>
      <c r="B2608" s="0" t="s">
        <v>3574</v>
      </c>
      <c r="C2608" s="16">
        <f>HYPERLINK("https://eosportal.federatedhermes.com/companies/Q29tcGFueQppNDcwODA=", "PetroChina Co Ltd")</f>
      </c>
      <c r="D2608" s="0" t="s">
        <v>25</v>
      </c>
      <c r="E2608" s="0" t="s">
        <v>7071</v>
      </c>
      <c r="F2608" s="16">
        <f>HYPERLINK("https://eosportal.federatedhermes.com/engagements/RW5nYWdlbWVudAppMzU2NDk=", "Managing plastics related risks")</f>
      </c>
      <c r="G2608" s="14" t="s">
        <v>7072</v>
      </c>
      <c r="H2608" s="0" t="s">
        <v>141</v>
      </c>
      <c r="I2608" s="14" t="s">
        <v>636</v>
      </c>
      <c r="J2608" s="0" t="s">
        <v>197</v>
      </c>
      <c r="K2608" s="0" t="s">
        <v>348</v>
      </c>
      <c r="L2608" s="0" t="s">
        <v>349</v>
      </c>
      <c r="M2608" s="0" t="s">
        <v>2807</v>
      </c>
      <c r="N2608" s="0" t="s">
        <v>3272</v>
      </c>
      <c r="O2608" s="0" t="s">
        <v>542</v>
      </c>
      <c r="Q2608" s="0" t="s">
        <v>130</v>
      </c>
      <c r="R2608" s="0" t="s">
        <v>138</v>
      </c>
      <c r="S2608" s="14">
        <v>0</v>
      </c>
      <c r="T2608" s="0" t="s">
        <v>3265</v>
      </c>
      <c r="U2608" s="0" t="s">
        <v>138</v>
      </c>
      <c r="V2608" s="14" t="s">
        <v>138</v>
      </c>
      <c r="W2608" s="0" t="s">
        <v>138</v>
      </c>
      <c r="X2608" s="14" t="s">
        <v>138</v>
      </c>
      <c r="Y2608" s="0" t="s">
        <v>138</v>
      </c>
      <c r="Z2608" s="14" t="s">
        <v>138</v>
      </c>
      <c r="AA2608" s="0" t="s">
        <v>138</v>
      </c>
      <c r="AB2608" s="14" t="s">
        <v>138</v>
      </c>
      <c r="AD2608" s="0" t="s">
        <v>138</v>
      </c>
      <c r="AF2608" s="0">
        <v>0</v>
      </c>
      <c r="AG2608" s="0">
        <v>0</v>
      </c>
      <c r="AH2608" s="0" t="s">
        <v>140</v>
      </c>
      <c r="AI2608" s="0" t="s">
        <v>138</v>
      </c>
      <c r="AL2608" s="14"/>
      <c r="AN2608" s="14"/>
      <c r="AQ2608" s="0" t="s">
        <v>130</v>
      </c>
      <c r="AR2608" s="0" t="s">
        <v>130</v>
      </c>
      <c r="AS2608" s="0" t="s">
        <v>130</v>
      </c>
      <c r="AT2608" s="0" t="s">
        <v>130</v>
      </c>
      <c r="AU2608" s="0" t="s">
        <v>130</v>
      </c>
      <c r="AV2608" s="0" t="s">
        <v>130</v>
      </c>
      <c r="AW2608" s="0" t="s">
        <v>130</v>
      </c>
      <c r="AX2608" s="0" t="s">
        <v>130</v>
      </c>
      <c r="AY2608" s="0" t="s">
        <v>130</v>
      </c>
      <c r="AZ2608" s="0" t="s">
        <v>130</v>
      </c>
      <c r="BA2608" s="0" t="s">
        <v>130</v>
      </c>
      <c r="BB2608" s="0" t="s">
        <v>141</v>
      </c>
      <c r="BC2608" s="0" t="s">
        <v>130</v>
      </c>
      <c r="BD2608" s="0" t="s">
        <v>130</v>
      </c>
      <c r="BE2608" s="0" t="s">
        <v>130</v>
      </c>
      <c r="BF2608" s="0" t="s">
        <v>130</v>
      </c>
      <c r="BG2608" s="0" t="s">
        <v>130</v>
      </c>
      <c r="BH2608" s="0" t="s">
        <v>130</v>
      </c>
      <c r="BI2608" s="0" t="s">
        <v>130</v>
      </c>
      <c r="BJ2608" s="0" t="s">
        <v>130</v>
      </c>
      <c r="BK2608" s="0" t="s">
        <v>130</v>
      </c>
      <c r="BL2608" s="0" t="s">
        <v>130</v>
      </c>
      <c r="BM2608" s="0" t="s">
        <v>130</v>
      </c>
      <c r="BN2608" s="0" t="s">
        <v>130</v>
      </c>
      <c r="BO2608" s="0" t="s">
        <v>130</v>
      </c>
      <c r="BP2608" s="0" t="s">
        <v>130</v>
      </c>
      <c r="BQ2608" s="0" t="s">
        <v>130</v>
      </c>
      <c r="BR2608" s="0" t="s">
        <v>130</v>
      </c>
      <c r="BS2608" s="0" t="s">
        <v>130</v>
      </c>
      <c r="BT2608" s="0" t="s">
        <v>130</v>
      </c>
      <c r="BU2608" s="0" t="s">
        <v>130</v>
      </c>
      <c r="BV2608" s="0" t="s">
        <v>130</v>
      </c>
      <c r="BW2608" s="0" t="s">
        <v>130</v>
      </c>
      <c r="BX2608" s="0" t="s">
        <v>130</v>
      </c>
      <c r="BY2608" s="0" t="s">
        <v>130</v>
      </c>
      <c r="BZ2608" s="0" t="s">
        <v>130</v>
      </c>
      <c r="CA2608" s="0" t="s">
        <v>130</v>
      </c>
      <c r="CB2608" s="0" t="s">
        <v>130</v>
      </c>
      <c r="CC2608" s="0" t="s">
        <v>130</v>
      </c>
      <c r="CD2608" s="0" t="s">
        <v>141</v>
      </c>
      <c r="CE2608" s="0" t="s">
        <v>130</v>
      </c>
      <c r="CF2608" s="0" t="s">
        <v>130</v>
      </c>
      <c r="CG2608" s="0" t="s">
        <v>130</v>
      </c>
      <c r="CH2608" s="0" t="s">
        <v>130</v>
      </c>
      <c r="CI2608" s="0" t="s">
        <v>130</v>
      </c>
      <c r="CJ2608" s="0" t="s">
        <v>130</v>
      </c>
      <c r="CK2608" s="0" t="s">
        <v>130</v>
      </c>
      <c r="CL2608" s="0" t="s">
        <v>130</v>
      </c>
      <c r="CM2608" s="0" t="s">
        <v>130</v>
      </c>
      <c r="CN2608" s="0" t="s">
        <v>130</v>
      </c>
      <c r="CO2608" s="0" t="s">
        <v>130</v>
      </c>
      <c r="CP2608" s="0" t="s">
        <v>130</v>
      </c>
      <c r="CQ2608" s="0" t="s">
        <v>130</v>
      </c>
      <c r="CR2608" s="0" t="s">
        <v>130</v>
      </c>
      <c r="CS2608" s="0" t="s">
        <v>130</v>
      </c>
      <c r="CT2608" s="0" t="s">
        <v>7073</v>
      </c>
    </row>
    <row r="2609">
      <c r="A2609" s="14">
        <v>101254</v>
      </c>
      <c r="B2609" s="0" t="s">
        <v>1531</v>
      </c>
      <c r="C2609" s="16">
        <f>HYPERLINK("https://eosportal.federatedhermes.com/companies/Q29tcGFueQppNTg5NjY=", "Repsol SA")</f>
      </c>
      <c r="D2609" s="0" t="s">
        <v>25</v>
      </c>
      <c r="E2609" s="0" t="s">
        <v>7074</v>
      </c>
      <c r="F2609" s="16">
        <f>HYPERLINK("https://eosportal.federatedhermes.com/engagements/RW5nYWdlbWVudAppMzU2NTM=", "Plastics production")</f>
      </c>
      <c r="G2609" s="14" t="s">
        <v>7072</v>
      </c>
      <c r="H2609" s="0" t="s">
        <v>141</v>
      </c>
      <c r="I2609" s="14" t="s">
        <v>191</v>
      </c>
      <c r="J2609" s="0" t="s">
        <v>197</v>
      </c>
      <c r="K2609" s="0" t="s">
        <v>348</v>
      </c>
      <c r="L2609" s="0" t="s">
        <v>349</v>
      </c>
      <c r="M2609" s="0" t="s">
        <v>378</v>
      </c>
      <c r="N2609" s="0" t="s">
        <v>379</v>
      </c>
      <c r="O2609" s="0" t="s">
        <v>542</v>
      </c>
      <c r="Q2609" s="0" t="s">
        <v>130</v>
      </c>
      <c r="R2609" s="0" t="s">
        <v>138</v>
      </c>
      <c r="S2609" s="14">
        <v>0</v>
      </c>
      <c r="T2609" s="0" t="s">
        <v>3265</v>
      </c>
      <c r="U2609" s="0" t="s">
        <v>138</v>
      </c>
      <c r="V2609" s="14" t="s">
        <v>138</v>
      </c>
      <c r="W2609" s="0" t="s">
        <v>138</v>
      </c>
      <c r="X2609" s="14" t="s">
        <v>138</v>
      </c>
      <c r="Y2609" s="0" t="s">
        <v>138</v>
      </c>
      <c r="Z2609" s="14" t="s">
        <v>138</v>
      </c>
      <c r="AA2609" s="0" t="s">
        <v>138</v>
      </c>
      <c r="AB2609" s="14" t="s">
        <v>138</v>
      </c>
      <c r="AD2609" s="0" t="s">
        <v>138</v>
      </c>
      <c r="AF2609" s="0">
        <v>0</v>
      </c>
      <c r="AG2609" s="0">
        <v>0</v>
      </c>
      <c r="AH2609" s="0" t="s">
        <v>140</v>
      </c>
      <c r="AI2609" s="0" t="s">
        <v>138</v>
      </c>
      <c r="AL2609" s="14"/>
      <c r="AN2609" s="14"/>
      <c r="AQ2609" s="0" t="s">
        <v>130</v>
      </c>
      <c r="AR2609" s="0" t="s">
        <v>130</v>
      </c>
      <c r="AS2609" s="0" t="s">
        <v>130</v>
      </c>
      <c r="AT2609" s="0" t="s">
        <v>130</v>
      </c>
      <c r="AU2609" s="0" t="s">
        <v>130</v>
      </c>
      <c r="AV2609" s="0" t="s">
        <v>130</v>
      </c>
      <c r="AW2609" s="0" t="s">
        <v>130</v>
      </c>
      <c r="AX2609" s="0" t="s">
        <v>130</v>
      </c>
      <c r="AY2609" s="0" t="s">
        <v>130</v>
      </c>
      <c r="AZ2609" s="0" t="s">
        <v>130</v>
      </c>
      <c r="BA2609" s="0" t="s">
        <v>130</v>
      </c>
      <c r="BB2609" s="0" t="s">
        <v>141</v>
      </c>
      <c r="BC2609" s="0" t="s">
        <v>130</v>
      </c>
      <c r="BD2609" s="0" t="s">
        <v>130</v>
      </c>
      <c r="BE2609" s="0" t="s">
        <v>130</v>
      </c>
      <c r="BF2609" s="0" t="s">
        <v>130</v>
      </c>
      <c r="BG2609" s="0" t="s">
        <v>130</v>
      </c>
      <c r="BH2609" s="0" t="s">
        <v>130</v>
      </c>
      <c r="BI2609" s="0" t="s">
        <v>130</v>
      </c>
      <c r="BJ2609" s="0" t="s">
        <v>130</v>
      </c>
      <c r="BK2609" s="0" t="s">
        <v>130</v>
      </c>
      <c r="BL2609" s="0" t="s">
        <v>130</v>
      </c>
      <c r="BM2609" s="0" t="s">
        <v>130</v>
      </c>
      <c r="BN2609" s="0" t="s">
        <v>130</v>
      </c>
      <c r="BO2609" s="0" t="s">
        <v>130</v>
      </c>
      <c r="BP2609" s="0" t="s">
        <v>130</v>
      </c>
      <c r="BQ2609" s="0" t="s">
        <v>130</v>
      </c>
      <c r="BR2609" s="0" t="s">
        <v>130</v>
      </c>
      <c r="BS2609" s="0" t="s">
        <v>130</v>
      </c>
      <c r="BT2609" s="0" t="s">
        <v>130</v>
      </c>
      <c r="BU2609" s="0" t="s">
        <v>130</v>
      </c>
      <c r="BV2609" s="0" t="s">
        <v>130</v>
      </c>
      <c r="BW2609" s="0" t="s">
        <v>130</v>
      </c>
      <c r="BX2609" s="0" t="s">
        <v>130</v>
      </c>
      <c r="BY2609" s="0" t="s">
        <v>130</v>
      </c>
      <c r="BZ2609" s="0" t="s">
        <v>130</v>
      </c>
      <c r="CA2609" s="0" t="s">
        <v>130</v>
      </c>
      <c r="CB2609" s="0" t="s">
        <v>130</v>
      </c>
      <c r="CC2609" s="0" t="s">
        <v>130</v>
      </c>
      <c r="CD2609" s="0" t="s">
        <v>141</v>
      </c>
      <c r="CE2609" s="0" t="s">
        <v>130</v>
      </c>
      <c r="CF2609" s="0" t="s">
        <v>130</v>
      </c>
      <c r="CG2609" s="0" t="s">
        <v>130</v>
      </c>
      <c r="CH2609" s="0" t="s">
        <v>130</v>
      </c>
      <c r="CI2609" s="0" t="s">
        <v>130</v>
      </c>
      <c r="CJ2609" s="0" t="s">
        <v>130</v>
      </c>
      <c r="CK2609" s="0" t="s">
        <v>130</v>
      </c>
      <c r="CL2609" s="0" t="s">
        <v>130</v>
      </c>
      <c r="CM2609" s="0" t="s">
        <v>130</v>
      </c>
      <c r="CN2609" s="0" t="s">
        <v>130</v>
      </c>
      <c r="CO2609" s="0" t="s">
        <v>130</v>
      </c>
      <c r="CP2609" s="0" t="s">
        <v>130</v>
      </c>
      <c r="CQ2609" s="0" t="s">
        <v>130</v>
      </c>
      <c r="CR2609" s="0" t="s">
        <v>130</v>
      </c>
      <c r="CS2609" s="0" t="s">
        <v>130</v>
      </c>
      <c r="CT2609" s="0" t="s">
        <v>7075</v>
      </c>
    </row>
    <row r="2610">
      <c r="A2610" s="14">
        <v>101491</v>
      </c>
      <c r="B2610" s="0" t="s">
        <v>1642</v>
      </c>
      <c r="C2610" s="16">
        <f>HYPERLINK("https://eosportal.federatedhermes.com/companies/Q29tcGFueQppNjMzMzM=", "TotalEnergies SE")</f>
      </c>
      <c r="D2610" s="0" t="s">
        <v>25</v>
      </c>
      <c r="E2610" s="0" t="s">
        <v>7071</v>
      </c>
      <c r="F2610" s="16">
        <f>HYPERLINK("https://eosportal.federatedhermes.com/engagements/RW5nYWdlbWVudAppMzU2NTU=", "Managing plastics related risks")</f>
      </c>
      <c r="G2610" s="14" t="s">
        <v>7072</v>
      </c>
      <c r="H2610" s="0" t="s">
        <v>141</v>
      </c>
      <c r="I2610" s="14" t="s">
        <v>1645</v>
      </c>
      <c r="J2610" s="0" t="s">
        <v>197</v>
      </c>
      <c r="K2610" s="0" t="s">
        <v>348</v>
      </c>
      <c r="L2610" s="0" t="s">
        <v>349</v>
      </c>
      <c r="M2610" s="0" t="s">
        <v>378</v>
      </c>
      <c r="N2610" s="0" t="s">
        <v>1646</v>
      </c>
      <c r="O2610" s="0" t="s">
        <v>542</v>
      </c>
      <c r="Q2610" s="0" t="s">
        <v>141</v>
      </c>
      <c r="R2610" s="0" t="s">
        <v>138</v>
      </c>
      <c r="S2610" s="14">
        <v>1</v>
      </c>
      <c r="T2610" s="0" t="s">
        <v>3265</v>
      </c>
      <c r="U2610" s="0" t="s">
        <v>138</v>
      </c>
      <c r="V2610" s="14" t="s">
        <v>138</v>
      </c>
      <c r="W2610" s="0" t="s">
        <v>138</v>
      </c>
      <c r="X2610" s="14" t="s">
        <v>138</v>
      </c>
      <c r="Y2610" s="0" t="s">
        <v>138</v>
      </c>
      <c r="Z2610" s="14" t="s">
        <v>138</v>
      </c>
      <c r="AA2610" s="0" t="s">
        <v>138</v>
      </c>
      <c r="AB2610" s="14" t="s">
        <v>138</v>
      </c>
      <c r="AD2610" s="0" t="s">
        <v>138</v>
      </c>
      <c r="AF2610" s="0">
        <v>0</v>
      </c>
      <c r="AG2610" s="0">
        <v>0</v>
      </c>
      <c r="AH2610" s="0" t="s">
        <v>140</v>
      </c>
      <c r="AI2610" s="0" t="s">
        <v>138</v>
      </c>
      <c r="AK2610" s="0" t="s">
        <v>847</v>
      </c>
      <c r="AL2610" s="14"/>
      <c r="AN2610" s="14"/>
      <c r="AQ2610" s="0" t="s">
        <v>130</v>
      </c>
      <c r="AR2610" s="0" t="s">
        <v>130</v>
      </c>
      <c r="AS2610" s="0" t="s">
        <v>130</v>
      </c>
      <c r="AT2610" s="0" t="s">
        <v>130</v>
      </c>
      <c r="AU2610" s="0" t="s">
        <v>130</v>
      </c>
      <c r="AV2610" s="0" t="s">
        <v>130</v>
      </c>
      <c r="AW2610" s="0" t="s">
        <v>130</v>
      </c>
      <c r="AX2610" s="0" t="s">
        <v>130</v>
      </c>
      <c r="AY2610" s="0" t="s">
        <v>130</v>
      </c>
      <c r="AZ2610" s="0" t="s">
        <v>130</v>
      </c>
      <c r="BA2610" s="0" t="s">
        <v>130</v>
      </c>
      <c r="BB2610" s="0" t="s">
        <v>141</v>
      </c>
      <c r="BC2610" s="0" t="s">
        <v>130</v>
      </c>
      <c r="BD2610" s="0" t="s">
        <v>130</v>
      </c>
      <c r="BE2610" s="0" t="s">
        <v>130</v>
      </c>
      <c r="BF2610" s="0" t="s">
        <v>130</v>
      </c>
      <c r="BG2610" s="0" t="s">
        <v>130</v>
      </c>
      <c r="BH2610" s="0" t="s">
        <v>130</v>
      </c>
      <c r="BI2610" s="0" t="s">
        <v>130</v>
      </c>
      <c r="BJ2610" s="0" t="s">
        <v>130</v>
      </c>
      <c r="BK2610" s="0" t="s">
        <v>130</v>
      </c>
      <c r="BL2610" s="0" t="s">
        <v>130</v>
      </c>
      <c r="BM2610" s="0" t="s">
        <v>130</v>
      </c>
      <c r="BN2610" s="0" t="s">
        <v>130</v>
      </c>
      <c r="BO2610" s="0" t="s">
        <v>130</v>
      </c>
      <c r="BP2610" s="0" t="s">
        <v>130</v>
      </c>
      <c r="BQ2610" s="0" t="s">
        <v>130</v>
      </c>
      <c r="BR2610" s="0" t="s">
        <v>130</v>
      </c>
      <c r="BS2610" s="0" t="s">
        <v>130</v>
      </c>
      <c r="BT2610" s="0" t="s">
        <v>130</v>
      </c>
      <c r="BU2610" s="0" t="s">
        <v>130</v>
      </c>
      <c r="BV2610" s="0" t="s">
        <v>130</v>
      </c>
      <c r="BW2610" s="0" t="s">
        <v>130</v>
      </c>
      <c r="BX2610" s="0" t="s">
        <v>130</v>
      </c>
      <c r="BY2610" s="0" t="s">
        <v>130</v>
      </c>
      <c r="BZ2610" s="0" t="s">
        <v>130</v>
      </c>
      <c r="CA2610" s="0" t="s">
        <v>130</v>
      </c>
      <c r="CB2610" s="0" t="s">
        <v>130</v>
      </c>
      <c r="CC2610" s="0" t="s">
        <v>130</v>
      </c>
      <c r="CD2610" s="0" t="s">
        <v>141</v>
      </c>
      <c r="CE2610" s="0" t="s">
        <v>130</v>
      </c>
      <c r="CF2610" s="0" t="s">
        <v>130</v>
      </c>
      <c r="CG2610" s="0" t="s">
        <v>130</v>
      </c>
      <c r="CH2610" s="0" t="s">
        <v>130</v>
      </c>
      <c r="CI2610" s="0" t="s">
        <v>130</v>
      </c>
      <c r="CJ2610" s="0" t="s">
        <v>130</v>
      </c>
      <c r="CK2610" s="0" t="s">
        <v>130</v>
      </c>
      <c r="CL2610" s="0" t="s">
        <v>130</v>
      </c>
      <c r="CM2610" s="0" t="s">
        <v>130</v>
      </c>
      <c r="CN2610" s="0" t="s">
        <v>130</v>
      </c>
      <c r="CO2610" s="0" t="s">
        <v>130</v>
      </c>
      <c r="CP2610" s="0" t="s">
        <v>130</v>
      </c>
      <c r="CQ2610" s="0" t="s">
        <v>130</v>
      </c>
      <c r="CR2610" s="0" t="s">
        <v>130</v>
      </c>
      <c r="CS2610" s="0" t="s">
        <v>130</v>
      </c>
      <c r="CT2610" s="0" t="s">
        <v>7076</v>
      </c>
    </row>
    <row r="2611">
      <c r="A2611" s="14">
        <v>100546</v>
      </c>
      <c r="B2611" s="0" t="s">
        <v>776</v>
      </c>
      <c r="C2611" s="16">
        <f>HYPERLINK("https://eosportal.federatedhermes.com/companies/Q29tcGFueQppNzU3MjY=", "Exxon Mobil Corp")</f>
      </c>
      <c r="D2611" s="0" t="s">
        <v>25</v>
      </c>
      <c r="E2611" s="0" t="s">
        <v>7074</v>
      </c>
      <c r="F2611" s="16">
        <f>HYPERLINK("https://eosportal.federatedhermes.com/engagements/RW5nYWdlbWVudAppMzU2NTk=", "Plastics production")</f>
      </c>
      <c r="G2611" s="14" t="s">
        <v>7072</v>
      </c>
      <c r="H2611" s="0" t="s">
        <v>141</v>
      </c>
      <c r="I2611" s="14" t="s">
        <v>191</v>
      </c>
      <c r="J2611" s="0" t="s">
        <v>197</v>
      </c>
      <c r="K2611" s="0" t="s">
        <v>348</v>
      </c>
      <c r="L2611" s="0" t="s">
        <v>349</v>
      </c>
      <c r="M2611" s="0" t="s">
        <v>135</v>
      </c>
      <c r="N2611" s="0" t="s">
        <v>136</v>
      </c>
      <c r="O2611" s="0" t="s">
        <v>542</v>
      </c>
      <c r="Q2611" s="0" t="s">
        <v>130</v>
      </c>
      <c r="R2611" s="0" t="s">
        <v>138</v>
      </c>
      <c r="S2611" s="14">
        <v>0</v>
      </c>
      <c r="T2611" s="0" t="s">
        <v>3265</v>
      </c>
      <c r="U2611" s="0" t="s">
        <v>138</v>
      </c>
      <c r="V2611" s="14" t="s">
        <v>138</v>
      </c>
      <c r="W2611" s="0" t="s">
        <v>138</v>
      </c>
      <c r="X2611" s="14" t="s">
        <v>138</v>
      </c>
      <c r="Y2611" s="0" t="s">
        <v>138</v>
      </c>
      <c r="Z2611" s="14" t="s">
        <v>138</v>
      </c>
      <c r="AA2611" s="0" t="s">
        <v>138</v>
      </c>
      <c r="AB2611" s="14" t="s">
        <v>138</v>
      </c>
      <c r="AD2611" s="0" t="s">
        <v>138</v>
      </c>
      <c r="AF2611" s="0">
        <v>0</v>
      </c>
      <c r="AG2611" s="0">
        <v>0</v>
      </c>
      <c r="AH2611" s="0" t="s">
        <v>140</v>
      </c>
      <c r="AI2611" s="0" t="s">
        <v>138</v>
      </c>
      <c r="AL2611" s="14"/>
      <c r="AN2611" s="14"/>
      <c r="AQ2611" s="0" t="s">
        <v>130</v>
      </c>
      <c r="AR2611" s="0" t="s">
        <v>130</v>
      </c>
      <c r="AS2611" s="0" t="s">
        <v>130</v>
      </c>
      <c r="AT2611" s="0" t="s">
        <v>130</v>
      </c>
      <c r="AU2611" s="0" t="s">
        <v>130</v>
      </c>
      <c r="AV2611" s="0" t="s">
        <v>130</v>
      </c>
      <c r="AW2611" s="0" t="s">
        <v>130</v>
      </c>
      <c r="AX2611" s="0" t="s">
        <v>130</v>
      </c>
      <c r="AY2611" s="0" t="s">
        <v>130</v>
      </c>
      <c r="AZ2611" s="0" t="s">
        <v>130</v>
      </c>
      <c r="BA2611" s="0" t="s">
        <v>130</v>
      </c>
      <c r="BB2611" s="0" t="s">
        <v>141</v>
      </c>
      <c r="BC2611" s="0" t="s">
        <v>130</v>
      </c>
      <c r="BD2611" s="0" t="s">
        <v>130</v>
      </c>
      <c r="BE2611" s="0" t="s">
        <v>130</v>
      </c>
      <c r="BF2611" s="0" t="s">
        <v>130</v>
      </c>
      <c r="BG2611" s="0" t="s">
        <v>130</v>
      </c>
      <c r="BH2611" s="0" t="s">
        <v>130</v>
      </c>
      <c r="BI2611" s="0" t="s">
        <v>130</v>
      </c>
      <c r="BJ2611" s="0" t="s">
        <v>130</v>
      </c>
      <c r="BK2611" s="0" t="s">
        <v>130</v>
      </c>
      <c r="BL2611" s="0" t="s">
        <v>130</v>
      </c>
      <c r="BM2611" s="0" t="s">
        <v>130</v>
      </c>
      <c r="BN2611" s="0" t="s">
        <v>130</v>
      </c>
      <c r="BO2611" s="0" t="s">
        <v>130</v>
      </c>
      <c r="BP2611" s="0" t="s">
        <v>130</v>
      </c>
      <c r="BQ2611" s="0" t="s">
        <v>130</v>
      </c>
      <c r="BR2611" s="0" t="s">
        <v>130</v>
      </c>
      <c r="BS2611" s="0" t="s">
        <v>130</v>
      </c>
      <c r="BT2611" s="0" t="s">
        <v>130</v>
      </c>
      <c r="BU2611" s="0" t="s">
        <v>130</v>
      </c>
      <c r="BV2611" s="0" t="s">
        <v>130</v>
      </c>
      <c r="BW2611" s="0" t="s">
        <v>130</v>
      </c>
      <c r="BX2611" s="0" t="s">
        <v>130</v>
      </c>
      <c r="BY2611" s="0" t="s">
        <v>130</v>
      </c>
      <c r="BZ2611" s="0" t="s">
        <v>130</v>
      </c>
      <c r="CA2611" s="0" t="s">
        <v>130</v>
      </c>
      <c r="CB2611" s="0" t="s">
        <v>130</v>
      </c>
      <c r="CC2611" s="0" t="s">
        <v>130</v>
      </c>
      <c r="CD2611" s="0" t="s">
        <v>141</v>
      </c>
      <c r="CE2611" s="0" t="s">
        <v>130</v>
      </c>
      <c r="CF2611" s="0" t="s">
        <v>130</v>
      </c>
      <c r="CG2611" s="0" t="s">
        <v>130</v>
      </c>
      <c r="CH2611" s="0" t="s">
        <v>130</v>
      </c>
      <c r="CI2611" s="0" t="s">
        <v>130</v>
      </c>
      <c r="CJ2611" s="0" t="s">
        <v>130</v>
      </c>
      <c r="CK2611" s="0" t="s">
        <v>130</v>
      </c>
      <c r="CL2611" s="0" t="s">
        <v>130</v>
      </c>
      <c r="CM2611" s="0" t="s">
        <v>130</v>
      </c>
      <c r="CN2611" s="0" t="s">
        <v>130</v>
      </c>
      <c r="CO2611" s="0" t="s">
        <v>130</v>
      </c>
      <c r="CP2611" s="0" t="s">
        <v>130</v>
      </c>
      <c r="CQ2611" s="0" t="s">
        <v>130</v>
      </c>
      <c r="CR2611" s="0" t="s">
        <v>130</v>
      </c>
      <c r="CS2611" s="0" t="s">
        <v>130</v>
      </c>
      <c r="CT2611" s="0" t="s">
        <v>7077</v>
      </c>
    </row>
    <row r="2612">
      <c r="A2612" s="14">
        <v>7281855</v>
      </c>
      <c r="B2612" s="0" t="s">
        <v>3813</v>
      </c>
      <c r="C2612" s="16">
        <f>HYPERLINK("https://eosportal.federatedhermes.com/companies/Q29tcGFueQppODU4ODE=", "LG Chem Ltd")</f>
      </c>
      <c r="D2612" s="0" t="s">
        <v>25</v>
      </c>
      <c r="E2612" s="0" t="s">
        <v>7071</v>
      </c>
      <c r="F2612" s="16">
        <f>HYPERLINK("https://eosportal.federatedhermes.com/engagements/RW5nYWdlbWVudAppMzU2NjY=", "Managing plastics related risks")</f>
      </c>
      <c r="G2612" s="14" t="s">
        <v>7078</v>
      </c>
      <c r="H2612" s="0" t="s">
        <v>141</v>
      </c>
      <c r="I2612" s="14" t="s">
        <v>191</v>
      </c>
      <c r="J2612" s="0" t="s">
        <v>197</v>
      </c>
      <c r="K2612" s="0" t="s">
        <v>348</v>
      </c>
      <c r="L2612" s="0" t="s">
        <v>349</v>
      </c>
      <c r="M2612" s="0" t="s">
        <v>802</v>
      </c>
      <c r="N2612" s="0" t="s">
        <v>2800</v>
      </c>
      <c r="O2612" s="0" t="s">
        <v>706</v>
      </c>
      <c r="Q2612" s="0" t="s">
        <v>130</v>
      </c>
      <c r="R2612" s="0" t="s">
        <v>138</v>
      </c>
      <c r="S2612" s="14">
        <v>0</v>
      </c>
      <c r="T2612" s="0" t="s">
        <v>3265</v>
      </c>
      <c r="U2612" s="0" t="s">
        <v>138</v>
      </c>
      <c r="V2612" s="14" t="s">
        <v>138</v>
      </c>
      <c r="W2612" s="0" t="s">
        <v>138</v>
      </c>
      <c r="X2612" s="14" t="s">
        <v>138</v>
      </c>
      <c r="Y2612" s="0" t="s">
        <v>138</v>
      </c>
      <c r="Z2612" s="14" t="s">
        <v>138</v>
      </c>
      <c r="AA2612" s="0" t="s">
        <v>138</v>
      </c>
      <c r="AB2612" s="14" t="s">
        <v>138</v>
      </c>
      <c r="AD2612" s="0" t="s">
        <v>138</v>
      </c>
      <c r="AF2612" s="0">
        <v>0</v>
      </c>
      <c r="AG2612" s="0">
        <v>0</v>
      </c>
      <c r="AH2612" s="0" t="s">
        <v>140</v>
      </c>
      <c r="AI2612" s="0" t="s">
        <v>138</v>
      </c>
      <c r="AL2612" s="14"/>
      <c r="AN2612" s="14"/>
      <c r="AQ2612" s="0" t="s">
        <v>130</v>
      </c>
      <c r="AR2612" s="0" t="s">
        <v>130</v>
      </c>
      <c r="AS2612" s="0" t="s">
        <v>130</v>
      </c>
      <c r="AT2612" s="0" t="s">
        <v>130</v>
      </c>
      <c r="AU2612" s="0" t="s">
        <v>130</v>
      </c>
      <c r="AV2612" s="0" t="s">
        <v>130</v>
      </c>
      <c r="AW2612" s="0" t="s">
        <v>130</v>
      </c>
      <c r="AX2612" s="0" t="s">
        <v>130</v>
      </c>
      <c r="AY2612" s="0" t="s">
        <v>130</v>
      </c>
      <c r="AZ2612" s="0" t="s">
        <v>130</v>
      </c>
      <c r="BA2612" s="0" t="s">
        <v>130</v>
      </c>
      <c r="BB2612" s="0" t="s">
        <v>141</v>
      </c>
      <c r="BC2612" s="0" t="s">
        <v>130</v>
      </c>
      <c r="BD2612" s="0" t="s">
        <v>130</v>
      </c>
      <c r="BE2612" s="0" t="s">
        <v>130</v>
      </c>
      <c r="BF2612" s="0" t="s">
        <v>130</v>
      </c>
      <c r="BG2612" s="0" t="s">
        <v>130</v>
      </c>
      <c r="BH2612" s="0" t="s">
        <v>130</v>
      </c>
      <c r="BI2612" s="0" t="s">
        <v>130</v>
      </c>
      <c r="BJ2612" s="0" t="s">
        <v>130</v>
      </c>
      <c r="BK2612" s="0" t="s">
        <v>130</v>
      </c>
      <c r="BL2612" s="0" t="s">
        <v>130</v>
      </c>
      <c r="BM2612" s="0" t="s">
        <v>130</v>
      </c>
      <c r="BN2612" s="0" t="s">
        <v>130</v>
      </c>
      <c r="BO2612" s="0" t="s">
        <v>130</v>
      </c>
      <c r="BP2612" s="0" t="s">
        <v>130</v>
      </c>
      <c r="BQ2612" s="0" t="s">
        <v>130</v>
      </c>
      <c r="BR2612" s="0" t="s">
        <v>130</v>
      </c>
      <c r="BS2612" s="0" t="s">
        <v>130</v>
      </c>
      <c r="BT2612" s="0" t="s">
        <v>130</v>
      </c>
      <c r="BU2612" s="0" t="s">
        <v>130</v>
      </c>
      <c r="BV2612" s="0" t="s">
        <v>130</v>
      </c>
      <c r="BW2612" s="0" t="s">
        <v>130</v>
      </c>
      <c r="BX2612" s="0" t="s">
        <v>130</v>
      </c>
      <c r="BY2612" s="0" t="s">
        <v>130</v>
      </c>
      <c r="BZ2612" s="0" t="s">
        <v>130</v>
      </c>
      <c r="CA2612" s="0" t="s">
        <v>130</v>
      </c>
      <c r="CB2612" s="0" t="s">
        <v>130</v>
      </c>
      <c r="CC2612" s="0" t="s">
        <v>130</v>
      </c>
      <c r="CD2612" s="0" t="s">
        <v>141</v>
      </c>
      <c r="CE2612" s="0" t="s">
        <v>130</v>
      </c>
      <c r="CF2612" s="0" t="s">
        <v>130</v>
      </c>
      <c r="CG2612" s="0" t="s">
        <v>130</v>
      </c>
      <c r="CH2612" s="0" t="s">
        <v>130</v>
      </c>
      <c r="CI2612" s="0" t="s">
        <v>130</v>
      </c>
      <c r="CJ2612" s="0" t="s">
        <v>130</v>
      </c>
      <c r="CK2612" s="0" t="s">
        <v>130</v>
      </c>
      <c r="CL2612" s="0" t="s">
        <v>130</v>
      </c>
      <c r="CM2612" s="0" t="s">
        <v>130</v>
      </c>
      <c r="CN2612" s="0" t="s">
        <v>130</v>
      </c>
      <c r="CO2612" s="0" t="s">
        <v>130</v>
      </c>
      <c r="CP2612" s="0" t="s">
        <v>130</v>
      </c>
      <c r="CQ2612" s="0" t="s">
        <v>130</v>
      </c>
      <c r="CR2612" s="0" t="s">
        <v>130</v>
      </c>
      <c r="CS2612" s="0" t="s">
        <v>130</v>
      </c>
      <c r="CT2612" s="0" t="s">
        <v>7079</v>
      </c>
    </row>
    <row r="2613">
      <c r="A2613" s="14">
        <v>253334</v>
      </c>
      <c r="B2613" s="0" t="s">
        <v>3516</v>
      </c>
      <c r="C2613" s="16">
        <f>HYPERLINK("https://eosportal.federatedhermes.com/companies/Q29tcGFueQppODY1MjA=", "GAIL India Ltd")</f>
      </c>
      <c r="D2613" s="0" t="s">
        <v>25</v>
      </c>
      <c r="E2613" s="0" t="s">
        <v>7071</v>
      </c>
      <c r="F2613" s="16">
        <f>HYPERLINK("https://eosportal.federatedhermes.com/engagements/RW5nYWdlbWVudAppMzU2Njc=", "Managing plastics related risks")</f>
      </c>
      <c r="G2613" s="14" t="s">
        <v>7078</v>
      </c>
      <c r="H2613" s="0" t="s">
        <v>130</v>
      </c>
      <c r="I2613" s="14" t="s">
        <v>131</v>
      </c>
      <c r="J2613" s="0" t="s">
        <v>197</v>
      </c>
      <c r="K2613" s="0" t="s">
        <v>348</v>
      </c>
      <c r="L2613" s="0" t="s">
        <v>349</v>
      </c>
      <c r="M2613" s="0" t="s">
        <v>2807</v>
      </c>
      <c r="N2613" s="0" t="s">
        <v>2969</v>
      </c>
      <c r="O2613" s="0" t="s">
        <v>192</v>
      </c>
      <c r="Q2613" s="0" t="s">
        <v>130</v>
      </c>
      <c r="R2613" s="0" t="s">
        <v>138</v>
      </c>
      <c r="S2613" s="14">
        <v>0</v>
      </c>
      <c r="T2613" s="0" t="s">
        <v>3265</v>
      </c>
      <c r="U2613" s="0" t="s">
        <v>138</v>
      </c>
      <c r="V2613" s="14" t="s">
        <v>138</v>
      </c>
      <c r="W2613" s="0" t="s">
        <v>138</v>
      </c>
      <c r="X2613" s="14" t="s">
        <v>138</v>
      </c>
      <c r="Y2613" s="0" t="s">
        <v>138</v>
      </c>
      <c r="Z2613" s="14" t="s">
        <v>138</v>
      </c>
      <c r="AA2613" s="0" t="s">
        <v>138</v>
      </c>
      <c r="AB2613" s="14" t="s">
        <v>138</v>
      </c>
      <c r="AD2613" s="0" t="s">
        <v>138</v>
      </c>
      <c r="AF2613" s="0">
        <v>0</v>
      </c>
      <c r="AG2613" s="0">
        <v>0</v>
      </c>
      <c r="AH2613" s="0" t="s">
        <v>140</v>
      </c>
      <c r="AI2613" s="0" t="s">
        <v>138</v>
      </c>
      <c r="AL2613" s="14"/>
      <c r="AN2613" s="14"/>
      <c r="AQ2613" s="0" t="s">
        <v>130</v>
      </c>
      <c r="AR2613" s="0" t="s">
        <v>130</v>
      </c>
      <c r="AS2613" s="0" t="s">
        <v>130</v>
      </c>
      <c r="AT2613" s="0" t="s">
        <v>130</v>
      </c>
      <c r="AU2613" s="0" t="s">
        <v>130</v>
      </c>
      <c r="AV2613" s="0" t="s">
        <v>130</v>
      </c>
      <c r="AW2613" s="0" t="s">
        <v>130</v>
      </c>
      <c r="AX2613" s="0" t="s">
        <v>130</v>
      </c>
      <c r="AY2613" s="0" t="s">
        <v>130</v>
      </c>
      <c r="AZ2613" s="0" t="s">
        <v>130</v>
      </c>
      <c r="BA2613" s="0" t="s">
        <v>130</v>
      </c>
      <c r="BB2613" s="0" t="s">
        <v>141</v>
      </c>
      <c r="BC2613" s="0" t="s">
        <v>130</v>
      </c>
      <c r="BD2613" s="0" t="s">
        <v>130</v>
      </c>
      <c r="BE2613" s="0" t="s">
        <v>130</v>
      </c>
      <c r="BF2613" s="0" t="s">
        <v>130</v>
      </c>
      <c r="BG2613" s="0" t="s">
        <v>130</v>
      </c>
      <c r="BH2613" s="0" t="s">
        <v>130</v>
      </c>
      <c r="BI2613" s="0" t="s">
        <v>130</v>
      </c>
      <c r="BJ2613" s="0" t="s">
        <v>130</v>
      </c>
      <c r="BK2613" s="0" t="s">
        <v>130</v>
      </c>
      <c r="BL2613" s="0" t="s">
        <v>130</v>
      </c>
      <c r="BM2613" s="0" t="s">
        <v>130</v>
      </c>
      <c r="BN2613" s="0" t="s">
        <v>130</v>
      </c>
      <c r="BO2613" s="0" t="s">
        <v>130</v>
      </c>
      <c r="BP2613" s="0" t="s">
        <v>130</v>
      </c>
      <c r="BQ2613" s="0" t="s">
        <v>130</v>
      </c>
      <c r="BR2613" s="0" t="s">
        <v>130</v>
      </c>
      <c r="BS2613" s="0" t="s">
        <v>130</v>
      </c>
      <c r="BT2613" s="0" t="s">
        <v>130</v>
      </c>
      <c r="BU2613" s="0" t="s">
        <v>130</v>
      </c>
      <c r="BV2613" s="0" t="s">
        <v>130</v>
      </c>
      <c r="BW2613" s="0" t="s">
        <v>130</v>
      </c>
      <c r="BX2613" s="0" t="s">
        <v>130</v>
      </c>
      <c r="BY2613" s="0" t="s">
        <v>130</v>
      </c>
      <c r="BZ2613" s="0" t="s">
        <v>130</v>
      </c>
      <c r="CA2613" s="0" t="s">
        <v>130</v>
      </c>
      <c r="CB2613" s="0" t="s">
        <v>130</v>
      </c>
      <c r="CC2613" s="0" t="s">
        <v>130</v>
      </c>
      <c r="CD2613" s="0" t="s">
        <v>141</v>
      </c>
      <c r="CE2613" s="0" t="s">
        <v>130</v>
      </c>
      <c r="CF2613" s="0" t="s">
        <v>130</v>
      </c>
      <c r="CG2613" s="0" t="s">
        <v>130</v>
      </c>
      <c r="CH2613" s="0" t="s">
        <v>130</v>
      </c>
      <c r="CI2613" s="0" t="s">
        <v>130</v>
      </c>
      <c r="CJ2613" s="0" t="s">
        <v>130</v>
      </c>
      <c r="CK2613" s="0" t="s">
        <v>130</v>
      </c>
      <c r="CL2613" s="0" t="s">
        <v>130</v>
      </c>
      <c r="CM2613" s="0" t="s">
        <v>130</v>
      </c>
      <c r="CN2613" s="0" t="s">
        <v>130</v>
      </c>
      <c r="CO2613" s="0" t="s">
        <v>130</v>
      </c>
      <c r="CP2613" s="0" t="s">
        <v>130</v>
      </c>
      <c r="CQ2613" s="0" t="s">
        <v>130</v>
      </c>
      <c r="CR2613" s="0" t="s">
        <v>130</v>
      </c>
      <c r="CS2613" s="0" t="s">
        <v>130</v>
      </c>
      <c r="CT2613" s="0" t="s">
        <v>7080</v>
      </c>
    </row>
    <row r="2614">
      <c r="A2614" s="14">
        <v>111680</v>
      </c>
      <c r="B2614" s="0" t="s">
        <v>633</v>
      </c>
      <c r="C2614" s="16">
        <f>HYPERLINK("https://eosportal.federatedhermes.com/companies/Q29tcGFueQppNTg5Njc=", "Diageo PLC")</f>
      </c>
      <c r="D2614" s="0" t="s">
        <v>23</v>
      </c>
      <c r="E2614" s="0" t="s">
        <v>7081</v>
      </c>
      <c r="F2614" s="16">
        <f>HYPERLINK("https://eosportal.federatedhermes.com/engagements/RW5nYWdlbWVudAppMzU2ODI=", "Report on de-stocking investigation")</f>
      </c>
      <c r="G2614" s="14" t="s">
        <v>7082</v>
      </c>
      <c r="H2614" s="0" t="s">
        <v>141</v>
      </c>
      <c r="I2614" s="14" t="s">
        <v>636</v>
      </c>
      <c r="J2614" s="0" t="s">
        <v>153</v>
      </c>
      <c r="K2614" s="0" t="s">
        <v>185</v>
      </c>
      <c r="L2614" s="0" t="s">
        <v>186</v>
      </c>
      <c r="M2614" s="0" t="s">
        <v>272</v>
      </c>
      <c r="N2614" s="0" t="s">
        <v>273</v>
      </c>
      <c r="O2614" s="0" t="s">
        <v>332</v>
      </c>
      <c r="Q2614" s="0" t="s">
        <v>141</v>
      </c>
      <c r="R2614" s="0" t="s">
        <v>141</v>
      </c>
      <c r="S2614" s="14">
        <v>1</v>
      </c>
      <c r="T2614" s="0" t="s">
        <v>3265</v>
      </c>
      <c r="U2614" s="0" t="s">
        <v>221</v>
      </c>
      <c r="V2614" s="14" t="s">
        <v>3265</v>
      </c>
      <c r="W2614" s="0" t="s">
        <v>221</v>
      </c>
      <c r="X2614" s="14" t="s">
        <v>4412</v>
      </c>
      <c r="Y2614" s="0" t="s">
        <v>221</v>
      </c>
      <c r="Z2614" s="14" t="s">
        <v>4412</v>
      </c>
      <c r="AA2614" s="0" t="s">
        <v>221</v>
      </c>
      <c r="AB2614" s="14" t="s">
        <v>361</v>
      </c>
      <c r="AC2614" s="0" t="s">
        <v>20</v>
      </c>
      <c r="AD2614" s="0" t="s">
        <v>362</v>
      </c>
      <c r="AE2614" s="0" t="s">
        <v>363</v>
      </c>
      <c r="AF2614" s="0">
        <v>1</v>
      </c>
      <c r="AG2614" s="0">
        <v>0</v>
      </c>
      <c r="AH2614" s="0" t="s">
        <v>140</v>
      </c>
      <c r="AI2614" s="0" t="s">
        <v>221</v>
      </c>
      <c r="AJ2614" s="0" t="s">
        <v>364</v>
      </c>
      <c r="AK2614" s="0" t="s">
        <v>2241</v>
      </c>
      <c r="AL2614" s="14" t="s">
        <v>7083</v>
      </c>
      <c r="AM2614" s="0" t="s">
        <v>580</v>
      </c>
      <c r="AN2614" s="14"/>
      <c r="AQ2614" s="0" t="s">
        <v>130</v>
      </c>
      <c r="AR2614" s="0" t="s">
        <v>130</v>
      </c>
      <c r="AS2614" s="0" t="s">
        <v>130</v>
      </c>
      <c r="AT2614" s="0" t="s">
        <v>130</v>
      </c>
      <c r="AU2614" s="0" t="s">
        <v>130</v>
      </c>
      <c r="AV2614" s="0" t="s">
        <v>130</v>
      </c>
      <c r="AW2614" s="0" t="s">
        <v>130</v>
      </c>
      <c r="AX2614" s="0" t="s">
        <v>130</v>
      </c>
      <c r="AY2614" s="0" t="s">
        <v>130</v>
      </c>
      <c r="AZ2614" s="0" t="s">
        <v>130</v>
      </c>
      <c r="BA2614" s="0" t="s">
        <v>130</v>
      </c>
      <c r="BB2614" s="0" t="s">
        <v>130</v>
      </c>
      <c r="BC2614" s="0" t="s">
        <v>130</v>
      </c>
      <c r="BD2614" s="0" t="s">
        <v>130</v>
      </c>
      <c r="BE2614" s="0" t="s">
        <v>130</v>
      </c>
      <c r="BF2614" s="0" t="s">
        <v>130</v>
      </c>
      <c r="BG2614" s="0" t="s">
        <v>130</v>
      </c>
      <c r="BH2614" s="0" t="s">
        <v>130</v>
      </c>
      <c r="BI2614" s="0" t="s">
        <v>130</v>
      </c>
      <c r="BJ2614" s="0" t="s">
        <v>130</v>
      </c>
      <c r="BK2614" s="0" t="s">
        <v>130</v>
      </c>
      <c r="BL2614" s="0" t="s">
        <v>130</v>
      </c>
      <c r="BM2614" s="0" t="s">
        <v>130</v>
      </c>
      <c r="BN2614" s="0" t="s">
        <v>130</v>
      </c>
      <c r="BO2614" s="0" t="s">
        <v>130</v>
      </c>
      <c r="BP2614" s="0" t="s">
        <v>130</v>
      </c>
      <c r="BQ2614" s="0" t="s">
        <v>130</v>
      </c>
      <c r="BR2614" s="0" t="s">
        <v>130</v>
      </c>
      <c r="BS2614" s="0" t="s">
        <v>130</v>
      </c>
      <c r="BT2614" s="0" t="s">
        <v>130</v>
      </c>
      <c r="BU2614" s="0" t="s">
        <v>130</v>
      </c>
      <c r="BV2614" s="0" t="s">
        <v>130</v>
      </c>
      <c r="BW2614" s="0" t="s">
        <v>130</v>
      </c>
      <c r="BX2614" s="0" t="s">
        <v>130</v>
      </c>
      <c r="BY2614" s="0" t="s">
        <v>130</v>
      </c>
      <c r="BZ2614" s="0" t="s">
        <v>130</v>
      </c>
      <c r="CA2614" s="0" t="s">
        <v>130</v>
      </c>
      <c r="CB2614" s="0" t="s">
        <v>130</v>
      </c>
      <c r="CC2614" s="0" t="s">
        <v>130</v>
      </c>
      <c r="CD2614" s="0" t="s">
        <v>130</v>
      </c>
      <c r="CE2614" s="0" t="s">
        <v>130</v>
      </c>
      <c r="CF2614" s="0" t="s">
        <v>130</v>
      </c>
      <c r="CG2614" s="0" t="s">
        <v>130</v>
      </c>
      <c r="CH2614" s="0" t="s">
        <v>130</v>
      </c>
      <c r="CI2614" s="0" t="s">
        <v>130</v>
      </c>
      <c r="CJ2614" s="0" t="s">
        <v>130</v>
      </c>
      <c r="CK2614" s="0" t="s">
        <v>130</v>
      </c>
      <c r="CL2614" s="0" t="s">
        <v>130</v>
      </c>
      <c r="CM2614" s="0" t="s">
        <v>130</v>
      </c>
      <c r="CN2614" s="0" t="s">
        <v>130</v>
      </c>
      <c r="CO2614" s="0" t="s">
        <v>130</v>
      </c>
      <c r="CP2614" s="0" t="s">
        <v>130</v>
      </c>
      <c r="CQ2614" s="0" t="s">
        <v>130</v>
      </c>
      <c r="CR2614" s="0" t="s">
        <v>130</v>
      </c>
      <c r="CS2614" s="0" t="s">
        <v>130</v>
      </c>
      <c r="CT2614" s="0" t="s">
        <v>7084</v>
      </c>
    </row>
    <row r="2615">
      <c r="A2615" s="14">
        <v>101092</v>
      </c>
      <c r="B2615" s="0" t="s">
        <v>1319</v>
      </c>
      <c r="C2615" s="16">
        <f>HYPERLINK("https://eosportal.federatedhermes.com/companies/Q29tcGFueQppNzc5MzU=", "Wells Fargo &amp; Co")</f>
      </c>
      <c r="D2615" s="0" t="s">
        <v>23</v>
      </c>
      <c r="E2615" s="0" t="s">
        <v>7085</v>
      </c>
      <c r="F2615" s="16">
        <f>HYPERLINK("https://eosportal.federatedhermes.com/engagements/RW5nYWdlbWVudAppMzU2ODY=", "Worker voice and corporate culture")</f>
      </c>
      <c r="G2615" s="14" t="s">
        <v>7086</v>
      </c>
      <c r="H2615" s="0" t="s">
        <v>141</v>
      </c>
      <c r="I2615" s="14" t="s">
        <v>191</v>
      </c>
      <c r="J2615" s="0" t="s">
        <v>153</v>
      </c>
      <c r="K2615" s="0" t="s">
        <v>154</v>
      </c>
      <c r="L2615" s="0" t="s">
        <v>306</v>
      </c>
      <c r="M2615" s="0" t="s">
        <v>135</v>
      </c>
      <c r="N2615" s="0" t="s">
        <v>136</v>
      </c>
      <c r="O2615" s="0" t="s">
        <v>238</v>
      </c>
      <c r="Q2615" s="0" t="s">
        <v>130</v>
      </c>
      <c r="R2615" s="0" t="s">
        <v>130</v>
      </c>
      <c r="S2615" s="14">
        <v>0</v>
      </c>
      <c r="T2615" s="0" t="s">
        <v>3265</v>
      </c>
      <c r="U2615" s="0" t="s">
        <v>221</v>
      </c>
      <c r="V2615" s="14" t="s">
        <v>3265</v>
      </c>
      <c r="W2615" s="0" t="s">
        <v>221</v>
      </c>
      <c r="X2615" s="14" t="s">
        <v>4412</v>
      </c>
      <c r="Y2615" s="0" t="s">
        <v>223</v>
      </c>
      <c r="Z2615" s="14" t="s">
        <v>138</v>
      </c>
      <c r="AA2615" s="0" t="s">
        <v>224</v>
      </c>
      <c r="AB2615" s="14" t="s">
        <v>138</v>
      </c>
      <c r="AD2615" s="0" t="s">
        <v>17</v>
      </c>
      <c r="AF2615" s="0">
        <v>0</v>
      </c>
      <c r="AG2615" s="0">
        <v>0</v>
      </c>
      <c r="AH2615" s="0" t="s">
        <v>140</v>
      </c>
      <c r="AI2615" s="0" t="s">
        <v>598</v>
      </c>
      <c r="AL2615" s="14"/>
      <c r="AN2615" s="14"/>
      <c r="AQ2615" s="0" t="s">
        <v>141</v>
      </c>
      <c r="AR2615" s="0" t="s">
        <v>130</v>
      </c>
      <c r="AS2615" s="0" t="s">
        <v>130</v>
      </c>
      <c r="AT2615" s="0" t="s">
        <v>130</v>
      </c>
      <c r="AU2615" s="0" t="s">
        <v>130</v>
      </c>
      <c r="AV2615" s="0" t="s">
        <v>130</v>
      </c>
      <c r="AW2615" s="0" t="s">
        <v>130</v>
      </c>
      <c r="AX2615" s="0" t="s">
        <v>141</v>
      </c>
      <c r="AY2615" s="0" t="s">
        <v>130</v>
      </c>
      <c r="AZ2615" s="0" t="s">
        <v>141</v>
      </c>
      <c r="BA2615" s="0" t="s">
        <v>130</v>
      </c>
      <c r="BB2615" s="0" t="s">
        <v>130</v>
      </c>
      <c r="BC2615" s="0" t="s">
        <v>130</v>
      </c>
      <c r="BD2615" s="0" t="s">
        <v>130</v>
      </c>
      <c r="BE2615" s="0" t="s">
        <v>130</v>
      </c>
      <c r="BF2615" s="0" t="s">
        <v>130</v>
      </c>
      <c r="BG2615" s="0" t="s">
        <v>130</v>
      </c>
      <c r="BH2615" s="0" t="s">
        <v>130</v>
      </c>
      <c r="BI2615" s="0" t="s">
        <v>130</v>
      </c>
      <c r="BJ2615" s="0" t="s">
        <v>130</v>
      </c>
      <c r="BK2615" s="0" t="s">
        <v>130</v>
      </c>
      <c r="BL2615" s="0" t="s">
        <v>130</v>
      </c>
      <c r="BM2615" s="0" t="s">
        <v>130</v>
      </c>
      <c r="BN2615" s="0" t="s">
        <v>130</v>
      </c>
      <c r="BO2615" s="0" t="s">
        <v>130</v>
      </c>
      <c r="BP2615" s="0" t="s">
        <v>130</v>
      </c>
      <c r="BQ2615" s="0" t="s">
        <v>130</v>
      </c>
      <c r="BR2615" s="0" t="s">
        <v>130</v>
      </c>
      <c r="BS2615" s="0" t="s">
        <v>130</v>
      </c>
      <c r="BT2615" s="0" t="s">
        <v>130</v>
      </c>
      <c r="BU2615" s="0" t="s">
        <v>130</v>
      </c>
      <c r="BV2615" s="0" t="s">
        <v>130</v>
      </c>
      <c r="BW2615" s="0" t="s">
        <v>130</v>
      </c>
      <c r="BX2615" s="0" t="s">
        <v>130</v>
      </c>
      <c r="BY2615" s="0" t="s">
        <v>130</v>
      </c>
      <c r="BZ2615" s="0" t="s">
        <v>130</v>
      </c>
      <c r="CA2615" s="0" t="s">
        <v>130</v>
      </c>
      <c r="CB2615" s="0" t="s">
        <v>130</v>
      </c>
      <c r="CC2615" s="0" t="s">
        <v>130</v>
      </c>
      <c r="CD2615" s="0" t="s">
        <v>130</v>
      </c>
      <c r="CE2615" s="0" t="s">
        <v>130</v>
      </c>
      <c r="CF2615" s="0" t="s">
        <v>130</v>
      </c>
      <c r="CG2615" s="0" t="s">
        <v>130</v>
      </c>
      <c r="CH2615" s="0" t="s">
        <v>130</v>
      </c>
      <c r="CI2615" s="0" t="s">
        <v>130</v>
      </c>
      <c r="CJ2615" s="0" t="s">
        <v>141</v>
      </c>
      <c r="CK2615" s="0" t="s">
        <v>130</v>
      </c>
      <c r="CL2615" s="0" t="s">
        <v>130</v>
      </c>
      <c r="CM2615" s="0" t="s">
        <v>130</v>
      </c>
      <c r="CN2615" s="0" t="s">
        <v>130</v>
      </c>
      <c r="CO2615" s="0" t="s">
        <v>130</v>
      </c>
      <c r="CP2615" s="0" t="s">
        <v>130</v>
      </c>
      <c r="CQ2615" s="0" t="s">
        <v>130</v>
      </c>
      <c r="CR2615" s="0" t="s">
        <v>130</v>
      </c>
      <c r="CS2615" s="0" t="s">
        <v>130</v>
      </c>
      <c r="CT2615" s="0" t="s">
        <v>7087</v>
      </c>
    </row>
    <row r="2616">
      <c r="A2616" s="14">
        <v>112185</v>
      </c>
      <c r="B2616" s="0" t="s">
        <v>866</v>
      </c>
      <c r="C2616" s="16">
        <f>HYPERLINK("https://eosportal.federatedhermes.com/companies/Q29tcGFueQppNzc4NTQ=", "Rolls-Royce Holdings PLC")</f>
      </c>
      <c r="D2616" s="0" t="s">
        <v>25</v>
      </c>
      <c r="E2616" s="0" t="s">
        <v>7088</v>
      </c>
      <c r="F2616" s="16">
        <f>HYPERLINK("https://eosportal.federatedhermes.com/engagements/RW5nYWdlbWVudAppMzU3MDE=", "High-Risk Regions")</f>
      </c>
      <c r="G2616" s="14" t="s">
        <v>7089</v>
      </c>
      <c r="H2616" s="0" t="s">
        <v>130</v>
      </c>
      <c r="I2616" s="14" t="s">
        <v>319</v>
      </c>
      <c r="J2616" s="0" t="s">
        <v>153</v>
      </c>
      <c r="K2616" s="0" t="s">
        <v>243</v>
      </c>
      <c r="L2616" s="0" t="s">
        <v>456</v>
      </c>
      <c r="M2616" s="0" t="s">
        <v>272</v>
      </c>
      <c r="N2616" s="0" t="s">
        <v>273</v>
      </c>
      <c r="O2616" s="0" t="s">
        <v>176</v>
      </c>
      <c r="Q2616" s="0" t="s">
        <v>141</v>
      </c>
      <c r="R2616" s="0" t="s">
        <v>138</v>
      </c>
      <c r="S2616" s="14">
        <v>1</v>
      </c>
      <c r="T2616" s="0" t="s">
        <v>3265</v>
      </c>
      <c r="U2616" s="0" t="s">
        <v>138</v>
      </c>
      <c r="V2616" s="14" t="s">
        <v>138</v>
      </c>
      <c r="W2616" s="0" t="s">
        <v>138</v>
      </c>
      <c r="X2616" s="14" t="s">
        <v>138</v>
      </c>
      <c r="Y2616" s="0" t="s">
        <v>138</v>
      </c>
      <c r="Z2616" s="14" t="s">
        <v>138</v>
      </c>
      <c r="AA2616" s="0" t="s">
        <v>138</v>
      </c>
      <c r="AB2616" s="14" t="s">
        <v>138</v>
      </c>
      <c r="AD2616" s="0" t="s">
        <v>138</v>
      </c>
      <c r="AF2616" s="0">
        <v>0</v>
      </c>
      <c r="AG2616" s="0">
        <v>0</v>
      </c>
      <c r="AH2616" s="0" t="s">
        <v>140</v>
      </c>
      <c r="AI2616" s="0" t="s">
        <v>138</v>
      </c>
      <c r="AK2616" s="0" t="s">
        <v>1470</v>
      </c>
      <c r="AL2616" s="14"/>
      <c r="AN2616" s="14"/>
      <c r="AQ2616" s="0" t="s">
        <v>130</v>
      </c>
      <c r="AR2616" s="0" t="s">
        <v>130</v>
      </c>
      <c r="AS2616" s="0" t="s">
        <v>130</v>
      </c>
      <c r="AT2616" s="0" t="s">
        <v>130</v>
      </c>
      <c r="AU2616" s="0" t="s">
        <v>130</v>
      </c>
      <c r="AV2616" s="0" t="s">
        <v>130</v>
      </c>
      <c r="AW2616" s="0" t="s">
        <v>130</v>
      </c>
      <c r="AX2616" s="0" t="s">
        <v>141</v>
      </c>
      <c r="AY2616" s="0" t="s">
        <v>130</v>
      </c>
      <c r="AZ2616" s="0" t="s">
        <v>130</v>
      </c>
      <c r="BA2616" s="0" t="s">
        <v>130</v>
      </c>
      <c r="BB2616" s="0" t="s">
        <v>130</v>
      </c>
      <c r="BC2616" s="0" t="s">
        <v>130</v>
      </c>
      <c r="BD2616" s="0" t="s">
        <v>130</v>
      </c>
      <c r="BE2616" s="0" t="s">
        <v>130</v>
      </c>
      <c r="BF2616" s="0" t="s">
        <v>141</v>
      </c>
      <c r="BG2616" s="0" t="s">
        <v>130</v>
      </c>
      <c r="BH2616" s="0" t="s">
        <v>130</v>
      </c>
      <c r="BI2616" s="0" t="s">
        <v>130</v>
      </c>
      <c r="BJ2616" s="0" t="s">
        <v>130</v>
      </c>
      <c r="BK2616" s="0" t="s">
        <v>130</v>
      </c>
      <c r="BL2616" s="0" t="s">
        <v>130</v>
      </c>
      <c r="BM2616" s="0" t="s">
        <v>130</v>
      </c>
      <c r="BN2616" s="0" t="s">
        <v>130</v>
      </c>
      <c r="BO2616" s="0" t="s">
        <v>130</v>
      </c>
      <c r="BP2616" s="0" t="s">
        <v>130</v>
      </c>
      <c r="BQ2616" s="0" t="s">
        <v>130</v>
      </c>
      <c r="BR2616" s="0" t="s">
        <v>130</v>
      </c>
      <c r="BS2616" s="0" t="s">
        <v>130</v>
      </c>
      <c r="BT2616" s="0" t="s">
        <v>130</v>
      </c>
      <c r="BU2616" s="0" t="s">
        <v>130</v>
      </c>
      <c r="BV2616" s="0" t="s">
        <v>130</v>
      </c>
      <c r="BW2616" s="0" t="s">
        <v>130</v>
      </c>
      <c r="BX2616" s="0" t="s">
        <v>130</v>
      </c>
      <c r="BY2616" s="0" t="s">
        <v>130</v>
      </c>
      <c r="BZ2616" s="0" t="s">
        <v>130</v>
      </c>
      <c r="CA2616" s="0" t="s">
        <v>130</v>
      </c>
      <c r="CB2616" s="0" t="s">
        <v>130</v>
      </c>
      <c r="CC2616" s="0" t="s">
        <v>130</v>
      </c>
      <c r="CD2616" s="0" t="s">
        <v>130</v>
      </c>
      <c r="CE2616" s="0" t="s">
        <v>130</v>
      </c>
      <c r="CF2616" s="0" t="s">
        <v>130</v>
      </c>
      <c r="CG2616" s="0" t="s">
        <v>130</v>
      </c>
      <c r="CH2616" s="0" t="s">
        <v>130</v>
      </c>
      <c r="CI2616" s="0" t="s">
        <v>130</v>
      </c>
      <c r="CJ2616" s="0" t="s">
        <v>130</v>
      </c>
      <c r="CK2616" s="0" t="s">
        <v>130</v>
      </c>
      <c r="CL2616" s="0" t="s">
        <v>130</v>
      </c>
      <c r="CM2616" s="0" t="s">
        <v>130</v>
      </c>
      <c r="CN2616" s="0" t="s">
        <v>130</v>
      </c>
      <c r="CO2616" s="0" t="s">
        <v>130</v>
      </c>
      <c r="CP2616" s="0" t="s">
        <v>130</v>
      </c>
      <c r="CQ2616" s="0" t="s">
        <v>130</v>
      </c>
      <c r="CR2616" s="0" t="s">
        <v>130</v>
      </c>
      <c r="CS2616" s="0" t="s">
        <v>130</v>
      </c>
      <c r="CT2616" s="0" t="s">
        <v>7090</v>
      </c>
    </row>
    <row r="2617">
      <c r="A2617" s="14">
        <v>328455</v>
      </c>
      <c r="B2617" s="0" t="s">
        <v>3655</v>
      </c>
      <c r="C2617" s="16">
        <f>HYPERLINK("https://eosportal.federatedhermes.com/companies/Q29tcGFueQppNjc3Mjk=", "Fortum OYJ")</f>
      </c>
      <c r="D2617" s="0" t="s">
        <v>23</v>
      </c>
      <c r="E2617" s="0" t="s">
        <v>6414</v>
      </c>
      <c r="F2617" s="16">
        <f>HYPERLINK("https://eosportal.federatedhermes.com/engagements/RW5nYWdlbWVudAppMzU3MDg=", "Decarbonisation Roadmap")</f>
      </c>
      <c r="G2617" s="14" t="s">
        <v>7091</v>
      </c>
      <c r="H2617" s="0" t="s">
        <v>130</v>
      </c>
      <c r="I2617" s="14" t="s">
        <v>319</v>
      </c>
      <c r="J2617" s="0" t="s">
        <v>197</v>
      </c>
      <c r="K2617" s="0" t="s">
        <v>198</v>
      </c>
      <c r="L2617" s="0" t="s">
        <v>216</v>
      </c>
      <c r="M2617" s="0" t="s">
        <v>378</v>
      </c>
      <c r="N2617" s="0" t="s">
        <v>3657</v>
      </c>
      <c r="O2617" s="0" t="s">
        <v>192</v>
      </c>
      <c r="Q2617" s="0" t="s">
        <v>141</v>
      </c>
      <c r="R2617" s="0" t="s">
        <v>141</v>
      </c>
      <c r="S2617" s="14">
        <v>1</v>
      </c>
      <c r="T2617" s="0" t="s">
        <v>3265</v>
      </c>
      <c r="U2617" s="0" t="s">
        <v>221</v>
      </c>
      <c r="V2617" s="14" t="s">
        <v>3265</v>
      </c>
      <c r="W2617" s="0" t="s">
        <v>221</v>
      </c>
      <c r="X2617" s="14" t="s">
        <v>3265</v>
      </c>
      <c r="Y2617" s="0" t="s">
        <v>221</v>
      </c>
      <c r="Z2617" s="14" t="s">
        <v>2428</v>
      </c>
      <c r="AA2617" s="0" t="s">
        <v>221</v>
      </c>
      <c r="AB2617" s="14" t="s">
        <v>361</v>
      </c>
      <c r="AC2617" s="0" t="s">
        <v>20</v>
      </c>
      <c r="AD2617" s="0" t="s">
        <v>362</v>
      </c>
      <c r="AE2617" s="0" t="s">
        <v>363</v>
      </c>
      <c r="AF2617" s="0">
        <v>1</v>
      </c>
      <c r="AG2617" s="0">
        <v>0</v>
      </c>
      <c r="AH2617" s="0" t="s">
        <v>140</v>
      </c>
      <c r="AI2617" s="0" t="s">
        <v>221</v>
      </c>
      <c r="AJ2617" s="0" t="s">
        <v>577</v>
      </c>
      <c r="AK2617" s="0" t="s">
        <v>847</v>
      </c>
      <c r="AL2617" s="14" t="s">
        <v>291</v>
      </c>
      <c r="AM2617" s="0" t="s">
        <v>580</v>
      </c>
      <c r="AN2617" s="14"/>
      <c r="AP2617" s="0" t="s">
        <v>6630</v>
      </c>
      <c r="AQ2617" s="0" t="s">
        <v>130</v>
      </c>
      <c r="AR2617" s="0" t="s">
        <v>130</v>
      </c>
      <c r="AS2617" s="0" t="s">
        <v>130</v>
      </c>
      <c r="AT2617" s="0" t="s">
        <v>130</v>
      </c>
      <c r="AU2617" s="0" t="s">
        <v>130</v>
      </c>
      <c r="AV2617" s="0" t="s">
        <v>130</v>
      </c>
      <c r="AW2617" s="0" t="s">
        <v>141</v>
      </c>
      <c r="AX2617" s="0" t="s">
        <v>130</v>
      </c>
      <c r="AY2617" s="0" t="s">
        <v>130</v>
      </c>
      <c r="AZ2617" s="0" t="s">
        <v>130</v>
      </c>
      <c r="BA2617" s="0" t="s">
        <v>130</v>
      </c>
      <c r="BB2617" s="0" t="s">
        <v>130</v>
      </c>
      <c r="BC2617" s="0" t="s">
        <v>141</v>
      </c>
      <c r="BD2617" s="0" t="s">
        <v>130</v>
      </c>
      <c r="BE2617" s="0" t="s">
        <v>130</v>
      </c>
      <c r="BF2617" s="0" t="s">
        <v>130</v>
      </c>
      <c r="BG2617" s="0" t="s">
        <v>130</v>
      </c>
      <c r="BH2617" s="0" t="s">
        <v>141</v>
      </c>
      <c r="BI2617" s="0" t="s">
        <v>141</v>
      </c>
      <c r="BJ2617" s="0" t="s">
        <v>141</v>
      </c>
      <c r="BK2617" s="0" t="s">
        <v>130</v>
      </c>
      <c r="BL2617" s="0" t="s">
        <v>130</v>
      </c>
      <c r="BM2617" s="0" t="s">
        <v>130</v>
      </c>
      <c r="BN2617" s="0" t="s">
        <v>130</v>
      </c>
      <c r="BO2617" s="0" t="s">
        <v>130</v>
      </c>
      <c r="BP2617" s="0" t="s">
        <v>130</v>
      </c>
      <c r="BQ2617" s="0" t="s">
        <v>130</v>
      </c>
      <c r="BR2617" s="0" t="s">
        <v>130</v>
      </c>
      <c r="BS2617" s="0" t="s">
        <v>130</v>
      </c>
      <c r="BT2617" s="0" t="s">
        <v>130</v>
      </c>
      <c r="BU2617" s="0" t="s">
        <v>130</v>
      </c>
      <c r="BV2617" s="0" t="s">
        <v>141</v>
      </c>
      <c r="BW2617" s="0" t="s">
        <v>141</v>
      </c>
      <c r="BX2617" s="0" t="s">
        <v>130</v>
      </c>
      <c r="BY2617" s="0" t="s">
        <v>130</v>
      </c>
      <c r="BZ2617" s="0" t="s">
        <v>130</v>
      </c>
      <c r="CA2617" s="0" t="s">
        <v>130</v>
      </c>
      <c r="CB2617" s="0" t="s">
        <v>130</v>
      </c>
      <c r="CC2617" s="0" t="s">
        <v>130</v>
      </c>
      <c r="CD2617" s="0" t="s">
        <v>130</v>
      </c>
      <c r="CE2617" s="0" t="s">
        <v>130</v>
      </c>
      <c r="CF2617" s="0" t="s">
        <v>130</v>
      </c>
      <c r="CG2617" s="0" t="s">
        <v>130</v>
      </c>
      <c r="CH2617" s="0" t="s">
        <v>130</v>
      </c>
      <c r="CI2617" s="0" t="s">
        <v>130</v>
      </c>
      <c r="CJ2617" s="0" t="s">
        <v>130</v>
      </c>
      <c r="CK2617" s="0" t="s">
        <v>130</v>
      </c>
      <c r="CL2617" s="0" t="s">
        <v>130</v>
      </c>
      <c r="CM2617" s="0" t="s">
        <v>130</v>
      </c>
      <c r="CN2617" s="0" t="s">
        <v>130</v>
      </c>
      <c r="CO2617" s="0" t="s">
        <v>130</v>
      </c>
      <c r="CP2617" s="0" t="s">
        <v>130</v>
      </c>
      <c r="CQ2617" s="0" t="s">
        <v>130</v>
      </c>
      <c r="CR2617" s="0" t="s">
        <v>130</v>
      </c>
      <c r="CS2617" s="0" t="s">
        <v>130</v>
      </c>
      <c r="CT2617" s="0" t="s">
        <v>7092</v>
      </c>
    </row>
    <row r="2618">
      <c r="A2618" s="14">
        <v>101365</v>
      </c>
      <c r="B2618" s="0" t="s">
        <v>1493</v>
      </c>
      <c r="C2618" s="16">
        <f>HYPERLINK("https://eosportal.federatedhermes.com/companies/Q29tcGFueQppNTQ1MjA=", "Sony Group Corp")</f>
      </c>
      <c r="D2618" s="0" t="s">
        <v>25</v>
      </c>
      <c r="E2618" s="0" t="s">
        <v>7093</v>
      </c>
      <c r="F2618" s="16">
        <f>HYPERLINK("https://eosportal.federatedhermes.com/engagements/RW5nYWdlbWVudAppMzU3MjQ=", "Investor Expectations on Ethics and Compliance")</f>
      </c>
      <c r="G2618" s="14" t="s">
        <v>7094</v>
      </c>
      <c r="H2618" s="0" t="s">
        <v>141</v>
      </c>
      <c r="I2618" s="14" t="s">
        <v>191</v>
      </c>
      <c r="J2618" s="0" t="s">
        <v>153</v>
      </c>
      <c r="K2618" s="0" t="s">
        <v>185</v>
      </c>
      <c r="L2618" s="0" t="s">
        <v>186</v>
      </c>
      <c r="M2618" s="0" t="s">
        <v>802</v>
      </c>
      <c r="N2618" s="0" t="s">
        <v>952</v>
      </c>
      <c r="O2618" s="0" t="s">
        <v>1125</v>
      </c>
      <c r="Q2618" s="0" t="s">
        <v>141</v>
      </c>
      <c r="R2618" s="0" t="s">
        <v>138</v>
      </c>
      <c r="S2618" s="14">
        <v>1</v>
      </c>
      <c r="T2618" s="0" t="s">
        <v>3265</v>
      </c>
      <c r="U2618" s="0" t="s">
        <v>138</v>
      </c>
      <c r="V2618" s="14" t="s">
        <v>138</v>
      </c>
      <c r="W2618" s="0" t="s">
        <v>138</v>
      </c>
      <c r="X2618" s="14" t="s">
        <v>138</v>
      </c>
      <c r="Y2618" s="0" t="s">
        <v>138</v>
      </c>
      <c r="Z2618" s="14" t="s">
        <v>138</v>
      </c>
      <c r="AA2618" s="0" t="s">
        <v>138</v>
      </c>
      <c r="AB2618" s="14" t="s">
        <v>138</v>
      </c>
      <c r="AD2618" s="0" t="s">
        <v>138</v>
      </c>
      <c r="AF2618" s="0">
        <v>0</v>
      </c>
      <c r="AG2618" s="0">
        <v>0</v>
      </c>
      <c r="AH2618" s="0" t="s">
        <v>140</v>
      </c>
      <c r="AI2618" s="0" t="s">
        <v>138</v>
      </c>
      <c r="AK2618" s="0" t="s">
        <v>1496</v>
      </c>
      <c r="AL2618" s="14"/>
      <c r="AN2618" s="14"/>
      <c r="AQ2618" s="0" t="s">
        <v>130</v>
      </c>
      <c r="AR2618" s="0" t="s">
        <v>130</v>
      </c>
      <c r="AS2618" s="0" t="s">
        <v>130</v>
      </c>
      <c r="AT2618" s="0" t="s">
        <v>130</v>
      </c>
      <c r="AU2618" s="0" t="s">
        <v>130</v>
      </c>
      <c r="AV2618" s="0" t="s">
        <v>130</v>
      </c>
      <c r="AW2618" s="0" t="s">
        <v>130</v>
      </c>
      <c r="AX2618" s="0" t="s">
        <v>130</v>
      </c>
      <c r="AY2618" s="0" t="s">
        <v>130</v>
      </c>
      <c r="AZ2618" s="0" t="s">
        <v>130</v>
      </c>
      <c r="BA2618" s="0" t="s">
        <v>130</v>
      </c>
      <c r="BB2618" s="0" t="s">
        <v>130</v>
      </c>
      <c r="BC2618" s="0" t="s">
        <v>130</v>
      </c>
      <c r="BD2618" s="0" t="s">
        <v>130</v>
      </c>
      <c r="BE2618" s="0" t="s">
        <v>130</v>
      </c>
      <c r="BF2618" s="0" t="s">
        <v>130</v>
      </c>
      <c r="BG2618" s="0" t="s">
        <v>130</v>
      </c>
      <c r="BH2618" s="0" t="s">
        <v>130</v>
      </c>
      <c r="BI2618" s="0" t="s">
        <v>130</v>
      </c>
      <c r="BJ2618" s="0" t="s">
        <v>130</v>
      </c>
      <c r="BK2618" s="0" t="s">
        <v>130</v>
      </c>
      <c r="BL2618" s="0" t="s">
        <v>130</v>
      </c>
      <c r="BM2618" s="0" t="s">
        <v>130</v>
      </c>
      <c r="BN2618" s="0" t="s">
        <v>130</v>
      </c>
      <c r="BO2618" s="0" t="s">
        <v>130</v>
      </c>
      <c r="BP2618" s="0" t="s">
        <v>130</v>
      </c>
      <c r="BQ2618" s="0" t="s">
        <v>130</v>
      </c>
      <c r="BR2618" s="0" t="s">
        <v>130</v>
      </c>
      <c r="BS2618" s="0" t="s">
        <v>130</v>
      </c>
      <c r="BT2618" s="0" t="s">
        <v>130</v>
      </c>
      <c r="BU2618" s="0" t="s">
        <v>130</v>
      </c>
      <c r="BV2618" s="0" t="s">
        <v>130</v>
      </c>
      <c r="BW2618" s="0" t="s">
        <v>130</v>
      </c>
      <c r="BX2618" s="0" t="s">
        <v>130</v>
      </c>
      <c r="BY2618" s="0" t="s">
        <v>130</v>
      </c>
      <c r="BZ2618" s="0" t="s">
        <v>130</v>
      </c>
      <c r="CA2618" s="0" t="s">
        <v>130</v>
      </c>
      <c r="CB2618" s="0" t="s">
        <v>130</v>
      </c>
      <c r="CC2618" s="0" t="s">
        <v>130</v>
      </c>
      <c r="CD2618" s="0" t="s">
        <v>130</v>
      </c>
      <c r="CE2618" s="0" t="s">
        <v>130</v>
      </c>
      <c r="CF2618" s="0" t="s">
        <v>130</v>
      </c>
      <c r="CG2618" s="0" t="s">
        <v>130</v>
      </c>
      <c r="CH2618" s="0" t="s">
        <v>130</v>
      </c>
      <c r="CI2618" s="0" t="s">
        <v>130</v>
      </c>
      <c r="CJ2618" s="0" t="s">
        <v>130</v>
      </c>
      <c r="CK2618" s="0" t="s">
        <v>130</v>
      </c>
      <c r="CL2618" s="0" t="s">
        <v>130</v>
      </c>
      <c r="CM2618" s="0" t="s">
        <v>130</v>
      </c>
      <c r="CN2618" s="0" t="s">
        <v>130</v>
      </c>
      <c r="CO2618" s="0" t="s">
        <v>130</v>
      </c>
      <c r="CP2618" s="0" t="s">
        <v>130</v>
      </c>
      <c r="CQ2618" s="0" t="s">
        <v>130</v>
      </c>
      <c r="CR2618" s="0" t="s">
        <v>130</v>
      </c>
      <c r="CS2618" s="0" t="s">
        <v>130</v>
      </c>
      <c r="CT2618" s="0" t="s">
        <v>7095</v>
      </c>
    </row>
    <row r="2619">
      <c r="A2619" s="14">
        <v>108620</v>
      </c>
      <c r="B2619" s="0" t="s">
        <v>2194</v>
      </c>
      <c r="C2619" s="16">
        <f>HYPERLINK("https://eosportal.federatedhermes.com/companies/Q29tcGFueQppNzU3MjE=", "Canadian Imperial Bank of Commerce")</f>
      </c>
      <c r="D2619" s="0" t="s">
        <v>25</v>
      </c>
      <c r="E2619" s="0" t="s">
        <v>2999</v>
      </c>
      <c r="F2619" s="16">
        <f>HYPERLINK("https://eosportal.federatedhermes.com/engagements/RW5nYWdlbWVudAppMzU3MjU=", "Shareholder rights")</f>
      </c>
      <c r="G2619" s="14" t="s">
        <v>7096</v>
      </c>
      <c r="H2619" s="0" t="s">
        <v>141</v>
      </c>
      <c r="I2619" s="14" t="s">
        <v>191</v>
      </c>
      <c r="J2619" s="0" t="s">
        <v>145</v>
      </c>
      <c r="K2619" s="0" t="s">
        <v>400</v>
      </c>
      <c r="L2619" s="0" t="s">
        <v>401</v>
      </c>
      <c r="M2619" s="0" t="s">
        <v>135</v>
      </c>
      <c r="N2619" s="0" t="s">
        <v>1678</v>
      </c>
      <c r="O2619" s="0" t="s">
        <v>238</v>
      </c>
      <c r="Q2619" s="0" t="s">
        <v>130</v>
      </c>
      <c r="R2619" s="0" t="s">
        <v>138</v>
      </c>
      <c r="S2619" s="14">
        <v>0</v>
      </c>
      <c r="T2619" s="0" t="s">
        <v>3265</v>
      </c>
      <c r="U2619" s="0" t="s">
        <v>138</v>
      </c>
      <c r="V2619" s="14" t="s">
        <v>138</v>
      </c>
      <c r="W2619" s="0" t="s">
        <v>138</v>
      </c>
      <c r="X2619" s="14" t="s">
        <v>138</v>
      </c>
      <c r="Y2619" s="0" t="s">
        <v>138</v>
      </c>
      <c r="Z2619" s="14" t="s">
        <v>138</v>
      </c>
      <c r="AA2619" s="0" t="s">
        <v>138</v>
      </c>
      <c r="AB2619" s="14" t="s">
        <v>138</v>
      </c>
      <c r="AD2619" s="0" t="s">
        <v>138</v>
      </c>
      <c r="AF2619" s="0">
        <v>0</v>
      </c>
      <c r="AG2619" s="0">
        <v>0</v>
      </c>
      <c r="AH2619" s="0" t="s">
        <v>140</v>
      </c>
      <c r="AI2619" s="0" t="s">
        <v>138</v>
      </c>
      <c r="AL2619" s="14"/>
      <c r="AN2619" s="14"/>
      <c r="AQ2619" s="0" t="s">
        <v>130</v>
      </c>
      <c r="AR2619" s="0" t="s">
        <v>130</v>
      </c>
      <c r="AS2619" s="0" t="s">
        <v>130</v>
      </c>
      <c r="AT2619" s="0" t="s">
        <v>130</v>
      </c>
      <c r="AU2619" s="0" t="s">
        <v>130</v>
      </c>
      <c r="AV2619" s="0" t="s">
        <v>130</v>
      </c>
      <c r="AW2619" s="0" t="s">
        <v>130</v>
      </c>
      <c r="AX2619" s="0" t="s">
        <v>130</v>
      </c>
      <c r="AY2619" s="0" t="s">
        <v>130</v>
      </c>
      <c r="AZ2619" s="0" t="s">
        <v>130</v>
      </c>
      <c r="BA2619" s="0" t="s">
        <v>130</v>
      </c>
      <c r="BB2619" s="0" t="s">
        <v>130</v>
      </c>
      <c r="BC2619" s="0" t="s">
        <v>130</v>
      </c>
      <c r="BD2619" s="0" t="s">
        <v>130</v>
      </c>
      <c r="BE2619" s="0" t="s">
        <v>130</v>
      </c>
      <c r="BF2619" s="0" t="s">
        <v>130</v>
      </c>
      <c r="BG2619" s="0" t="s">
        <v>130</v>
      </c>
      <c r="BH2619" s="0" t="s">
        <v>130</v>
      </c>
      <c r="BI2619" s="0" t="s">
        <v>130</v>
      </c>
      <c r="BJ2619" s="0" t="s">
        <v>130</v>
      </c>
      <c r="BK2619" s="0" t="s">
        <v>130</v>
      </c>
      <c r="BL2619" s="0" t="s">
        <v>130</v>
      </c>
      <c r="BM2619" s="0" t="s">
        <v>130</v>
      </c>
      <c r="BN2619" s="0" t="s">
        <v>130</v>
      </c>
      <c r="BO2619" s="0" t="s">
        <v>130</v>
      </c>
      <c r="BP2619" s="0" t="s">
        <v>130</v>
      </c>
      <c r="BQ2619" s="0" t="s">
        <v>130</v>
      </c>
      <c r="BR2619" s="0" t="s">
        <v>130</v>
      </c>
      <c r="BS2619" s="0" t="s">
        <v>130</v>
      </c>
      <c r="BT2619" s="0" t="s">
        <v>130</v>
      </c>
      <c r="BU2619" s="0" t="s">
        <v>130</v>
      </c>
      <c r="BV2619" s="0" t="s">
        <v>130</v>
      </c>
      <c r="BW2619" s="0" t="s">
        <v>130</v>
      </c>
      <c r="BX2619" s="0" t="s">
        <v>130</v>
      </c>
      <c r="BY2619" s="0" t="s">
        <v>130</v>
      </c>
      <c r="BZ2619" s="0" t="s">
        <v>130</v>
      </c>
      <c r="CA2619" s="0" t="s">
        <v>130</v>
      </c>
      <c r="CB2619" s="0" t="s">
        <v>130</v>
      </c>
      <c r="CC2619" s="0" t="s">
        <v>130</v>
      </c>
      <c r="CD2619" s="0" t="s">
        <v>130</v>
      </c>
      <c r="CE2619" s="0" t="s">
        <v>130</v>
      </c>
      <c r="CF2619" s="0" t="s">
        <v>130</v>
      </c>
      <c r="CG2619" s="0" t="s">
        <v>130</v>
      </c>
      <c r="CH2619" s="0" t="s">
        <v>130</v>
      </c>
      <c r="CI2619" s="0" t="s">
        <v>130</v>
      </c>
      <c r="CJ2619" s="0" t="s">
        <v>130</v>
      </c>
      <c r="CK2619" s="0" t="s">
        <v>130</v>
      </c>
      <c r="CL2619" s="0" t="s">
        <v>130</v>
      </c>
      <c r="CM2619" s="0" t="s">
        <v>130</v>
      </c>
      <c r="CN2619" s="0" t="s">
        <v>130</v>
      </c>
      <c r="CO2619" s="0" t="s">
        <v>130</v>
      </c>
      <c r="CP2619" s="0" t="s">
        <v>130</v>
      </c>
      <c r="CQ2619" s="0" t="s">
        <v>130</v>
      </c>
      <c r="CR2619" s="0" t="s">
        <v>130</v>
      </c>
      <c r="CS2619" s="0" t="s">
        <v>130</v>
      </c>
      <c r="CT2619" s="0" t="s">
        <v>7097</v>
      </c>
    </row>
    <row r="2620">
      <c r="A2620" s="14">
        <v>114402</v>
      </c>
      <c r="B2620" s="0" t="s">
        <v>2069</v>
      </c>
      <c r="C2620" s="16">
        <f>HYPERLINK("https://eosportal.federatedhermes.com/companies/Q29tcGFueQppNzU2OTU=", "Nippon Steel Corp")</f>
      </c>
      <c r="D2620" s="0" t="s">
        <v>23</v>
      </c>
      <c r="E2620" s="0" t="s">
        <v>7057</v>
      </c>
      <c r="F2620" s="16">
        <f>HYPERLINK("https://eosportal.federatedhermes.com/engagements/RW5nYWdlbWVudAppMzU3NTA=", "Climate lobbying disclosure")</f>
      </c>
      <c r="G2620" s="14" t="s">
        <v>7098</v>
      </c>
      <c r="H2620" s="0" t="s">
        <v>130</v>
      </c>
      <c r="I2620" s="14" t="s">
        <v>319</v>
      </c>
      <c r="J2620" s="0" t="s">
        <v>197</v>
      </c>
      <c r="K2620" s="0" t="s">
        <v>198</v>
      </c>
      <c r="L2620" s="0" t="s">
        <v>199</v>
      </c>
      <c r="M2620" s="0" t="s">
        <v>802</v>
      </c>
      <c r="N2620" s="0" t="s">
        <v>952</v>
      </c>
      <c r="O2620" s="0" t="s">
        <v>373</v>
      </c>
      <c r="Q2620" s="0" t="s">
        <v>130</v>
      </c>
      <c r="R2620" s="0" t="s">
        <v>130</v>
      </c>
      <c r="S2620" s="14">
        <v>0</v>
      </c>
      <c r="T2620" s="0" t="s">
        <v>446</v>
      </c>
      <c r="U2620" s="0" t="s">
        <v>221</v>
      </c>
      <c r="V2620" s="14" t="s">
        <v>446</v>
      </c>
      <c r="W2620" s="0" t="s">
        <v>221</v>
      </c>
      <c r="X2620" s="14" t="s">
        <v>4412</v>
      </c>
      <c r="Y2620" s="0" t="s">
        <v>223</v>
      </c>
      <c r="Z2620" s="14" t="s">
        <v>138</v>
      </c>
      <c r="AA2620" s="0" t="s">
        <v>224</v>
      </c>
      <c r="AB2620" s="14" t="s">
        <v>138</v>
      </c>
      <c r="AD2620" s="0" t="s">
        <v>17</v>
      </c>
      <c r="AF2620" s="0">
        <v>0</v>
      </c>
      <c r="AG2620" s="0">
        <v>0</v>
      </c>
      <c r="AH2620" s="0" t="s">
        <v>140</v>
      </c>
      <c r="AI2620" s="0" t="s">
        <v>598</v>
      </c>
      <c r="AL2620" s="14"/>
      <c r="AN2620" s="14"/>
      <c r="AQ2620" s="0" t="s">
        <v>130</v>
      </c>
      <c r="AR2620" s="0" t="s">
        <v>130</v>
      </c>
      <c r="AS2620" s="0" t="s">
        <v>130</v>
      </c>
      <c r="AT2620" s="0" t="s">
        <v>130</v>
      </c>
      <c r="AU2620" s="0" t="s">
        <v>130</v>
      </c>
      <c r="AV2620" s="0" t="s">
        <v>130</v>
      </c>
      <c r="AW2620" s="0" t="s">
        <v>130</v>
      </c>
      <c r="AX2620" s="0" t="s">
        <v>130</v>
      </c>
      <c r="AY2620" s="0" t="s">
        <v>130</v>
      </c>
      <c r="AZ2620" s="0" t="s">
        <v>130</v>
      </c>
      <c r="BA2620" s="0" t="s">
        <v>130</v>
      </c>
      <c r="BB2620" s="0" t="s">
        <v>141</v>
      </c>
      <c r="BC2620" s="0" t="s">
        <v>141</v>
      </c>
      <c r="BD2620" s="0" t="s">
        <v>130</v>
      </c>
      <c r="BE2620" s="0" t="s">
        <v>130</v>
      </c>
      <c r="BF2620" s="0" t="s">
        <v>130</v>
      </c>
      <c r="BG2620" s="0" t="s">
        <v>130</v>
      </c>
      <c r="BH2620" s="0" t="s">
        <v>130</v>
      </c>
      <c r="BI2620" s="0" t="s">
        <v>130</v>
      </c>
      <c r="BJ2620" s="0" t="s">
        <v>130</v>
      </c>
      <c r="BK2620" s="0" t="s">
        <v>130</v>
      </c>
      <c r="BL2620" s="0" t="s">
        <v>130</v>
      </c>
      <c r="BM2620" s="0" t="s">
        <v>130</v>
      </c>
      <c r="BN2620" s="0" t="s">
        <v>130</v>
      </c>
      <c r="BO2620" s="0" t="s">
        <v>130</v>
      </c>
      <c r="BP2620" s="0" t="s">
        <v>130</v>
      </c>
      <c r="BQ2620" s="0" t="s">
        <v>130</v>
      </c>
      <c r="BR2620" s="0" t="s">
        <v>130</v>
      </c>
      <c r="BS2620" s="0" t="s">
        <v>130</v>
      </c>
      <c r="BT2620" s="0" t="s">
        <v>130</v>
      </c>
      <c r="BU2620" s="0" t="s">
        <v>130</v>
      </c>
      <c r="BV2620" s="0" t="s">
        <v>130</v>
      </c>
      <c r="BW2620" s="0" t="s">
        <v>130</v>
      </c>
      <c r="BX2620" s="0" t="s">
        <v>130</v>
      </c>
      <c r="BY2620" s="0" t="s">
        <v>130</v>
      </c>
      <c r="BZ2620" s="0" t="s">
        <v>130</v>
      </c>
      <c r="CA2620" s="0" t="s">
        <v>130</v>
      </c>
      <c r="CB2620" s="0" t="s">
        <v>130</v>
      </c>
      <c r="CC2620" s="0" t="s">
        <v>130</v>
      </c>
      <c r="CD2620" s="0" t="s">
        <v>130</v>
      </c>
      <c r="CE2620" s="0" t="s">
        <v>130</v>
      </c>
      <c r="CF2620" s="0" t="s">
        <v>130</v>
      </c>
      <c r="CG2620" s="0" t="s">
        <v>130</v>
      </c>
      <c r="CH2620" s="0" t="s">
        <v>130</v>
      </c>
      <c r="CI2620" s="0" t="s">
        <v>130</v>
      </c>
      <c r="CJ2620" s="0" t="s">
        <v>130</v>
      </c>
      <c r="CK2620" s="0" t="s">
        <v>130</v>
      </c>
      <c r="CL2620" s="0" t="s">
        <v>130</v>
      </c>
      <c r="CM2620" s="0" t="s">
        <v>130</v>
      </c>
      <c r="CN2620" s="0" t="s">
        <v>130</v>
      </c>
      <c r="CO2620" s="0" t="s">
        <v>130</v>
      </c>
      <c r="CP2620" s="0" t="s">
        <v>130</v>
      </c>
      <c r="CQ2620" s="0" t="s">
        <v>130</v>
      </c>
      <c r="CR2620" s="0" t="s">
        <v>130</v>
      </c>
      <c r="CS2620" s="0" t="s">
        <v>130</v>
      </c>
      <c r="CT2620" s="0" t="s">
        <v>7099</v>
      </c>
    </row>
    <row r="2621">
      <c r="A2621" s="14">
        <v>41633927</v>
      </c>
      <c r="B2621" s="0" t="s">
        <v>4569</v>
      </c>
      <c r="C2621" s="16">
        <f>HYPERLINK("https://eosportal.federatedhermes.com/companies/Q29tcGFueQppNTIxODI=", "Stellantis NV")</f>
      </c>
      <c r="D2621" s="0" t="s">
        <v>25</v>
      </c>
      <c r="E2621" s="0" t="s">
        <v>7100</v>
      </c>
      <c r="F2621" s="16">
        <f>HYPERLINK("https://eosportal.federatedhermes.com/engagements/RW5nYWdlbWVudAppMzU3OTU=", "Green steel purchasing")</f>
      </c>
      <c r="G2621" s="14" t="s">
        <v>7101</v>
      </c>
      <c r="H2621" s="0" t="s">
        <v>141</v>
      </c>
      <c r="I2621" s="14" t="s">
        <v>1645</v>
      </c>
      <c r="J2621" s="0" t="s">
        <v>197</v>
      </c>
      <c r="K2621" s="0" t="s">
        <v>198</v>
      </c>
      <c r="L2621" s="0" t="s">
        <v>216</v>
      </c>
      <c r="M2621" s="0" t="s">
        <v>378</v>
      </c>
      <c r="N2621" s="0" t="s">
        <v>2554</v>
      </c>
      <c r="O2621" s="0" t="s">
        <v>425</v>
      </c>
      <c r="Q2621" s="0" t="s">
        <v>130</v>
      </c>
      <c r="R2621" s="0" t="s">
        <v>138</v>
      </c>
      <c r="S2621" s="14">
        <v>0</v>
      </c>
      <c r="T2621" s="0" t="s">
        <v>3265</v>
      </c>
      <c r="U2621" s="0" t="s">
        <v>138</v>
      </c>
      <c r="V2621" s="14" t="s">
        <v>138</v>
      </c>
      <c r="W2621" s="0" t="s">
        <v>138</v>
      </c>
      <c r="X2621" s="14" t="s">
        <v>138</v>
      </c>
      <c r="Y2621" s="0" t="s">
        <v>138</v>
      </c>
      <c r="Z2621" s="14" t="s">
        <v>138</v>
      </c>
      <c r="AA2621" s="0" t="s">
        <v>138</v>
      </c>
      <c r="AB2621" s="14" t="s">
        <v>138</v>
      </c>
      <c r="AD2621" s="0" t="s">
        <v>138</v>
      </c>
      <c r="AF2621" s="0">
        <v>0</v>
      </c>
      <c r="AG2621" s="0">
        <v>0</v>
      </c>
      <c r="AH2621" s="0" t="s">
        <v>140</v>
      </c>
      <c r="AI2621" s="0" t="s">
        <v>138</v>
      </c>
      <c r="AL2621" s="14"/>
      <c r="AN2621" s="14"/>
      <c r="AQ2621" s="0" t="s">
        <v>130</v>
      </c>
      <c r="AR2621" s="0" t="s">
        <v>130</v>
      </c>
      <c r="AS2621" s="0" t="s">
        <v>130</v>
      </c>
      <c r="AT2621" s="0" t="s">
        <v>130</v>
      </c>
      <c r="AU2621" s="0" t="s">
        <v>130</v>
      </c>
      <c r="AV2621" s="0" t="s">
        <v>130</v>
      </c>
      <c r="AW2621" s="0" t="s">
        <v>130</v>
      </c>
      <c r="AX2621" s="0" t="s">
        <v>130</v>
      </c>
      <c r="AY2621" s="0" t="s">
        <v>141</v>
      </c>
      <c r="AZ2621" s="0" t="s">
        <v>130</v>
      </c>
      <c r="BA2621" s="0" t="s">
        <v>130</v>
      </c>
      <c r="BB2621" s="0" t="s">
        <v>130</v>
      </c>
      <c r="BC2621" s="0" t="s">
        <v>141</v>
      </c>
      <c r="BD2621" s="0" t="s">
        <v>130</v>
      </c>
      <c r="BE2621" s="0" t="s">
        <v>130</v>
      </c>
      <c r="BF2621" s="0" t="s">
        <v>130</v>
      </c>
      <c r="BG2621" s="0" t="s">
        <v>130</v>
      </c>
      <c r="BH2621" s="0" t="s">
        <v>141</v>
      </c>
      <c r="BI2621" s="0" t="s">
        <v>141</v>
      </c>
      <c r="BJ2621" s="0" t="s">
        <v>141</v>
      </c>
      <c r="BK2621" s="0" t="s">
        <v>130</v>
      </c>
      <c r="BL2621" s="0" t="s">
        <v>141</v>
      </c>
      <c r="BM2621" s="0" t="s">
        <v>130</v>
      </c>
      <c r="BN2621" s="0" t="s">
        <v>130</v>
      </c>
      <c r="BO2621" s="0" t="s">
        <v>130</v>
      </c>
      <c r="BP2621" s="0" t="s">
        <v>130</v>
      </c>
      <c r="BQ2621" s="0" t="s">
        <v>130</v>
      </c>
      <c r="BR2621" s="0" t="s">
        <v>130</v>
      </c>
      <c r="BS2621" s="0" t="s">
        <v>130</v>
      </c>
      <c r="BT2621" s="0" t="s">
        <v>130</v>
      </c>
      <c r="BU2621" s="0" t="s">
        <v>130</v>
      </c>
      <c r="BV2621" s="0" t="s">
        <v>141</v>
      </c>
      <c r="BW2621" s="0" t="s">
        <v>141</v>
      </c>
      <c r="BX2621" s="0" t="s">
        <v>130</v>
      </c>
      <c r="BY2621" s="0" t="s">
        <v>130</v>
      </c>
      <c r="BZ2621" s="0" t="s">
        <v>130</v>
      </c>
      <c r="CA2621" s="0" t="s">
        <v>130</v>
      </c>
      <c r="CB2621" s="0" t="s">
        <v>130</v>
      </c>
      <c r="CC2621" s="0" t="s">
        <v>130</v>
      </c>
      <c r="CD2621" s="0" t="s">
        <v>130</v>
      </c>
      <c r="CE2621" s="0" t="s">
        <v>130</v>
      </c>
      <c r="CF2621" s="0" t="s">
        <v>130</v>
      </c>
      <c r="CG2621" s="0" t="s">
        <v>130</v>
      </c>
      <c r="CH2621" s="0" t="s">
        <v>130</v>
      </c>
      <c r="CI2621" s="0" t="s">
        <v>130</v>
      </c>
      <c r="CJ2621" s="0" t="s">
        <v>130</v>
      </c>
      <c r="CK2621" s="0" t="s">
        <v>130</v>
      </c>
      <c r="CL2621" s="0" t="s">
        <v>130</v>
      </c>
      <c r="CM2621" s="0" t="s">
        <v>130</v>
      </c>
      <c r="CN2621" s="0" t="s">
        <v>130</v>
      </c>
      <c r="CO2621" s="0" t="s">
        <v>130</v>
      </c>
      <c r="CP2621" s="0" t="s">
        <v>130</v>
      </c>
      <c r="CQ2621" s="0" t="s">
        <v>130</v>
      </c>
      <c r="CR2621" s="0" t="s">
        <v>130</v>
      </c>
      <c r="CS2621" s="0" t="s">
        <v>130</v>
      </c>
      <c r="CT2621" s="0" t="s">
        <v>7102</v>
      </c>
    </row>
    <row r="2622">
      <c r="A2622" s="14">
        <v>61417091</v>
      </c>
      <c r="B2622" s="0" t="s">
        <v>4783</v>
      </c>
      <c r="C2622" s="16">
        <f>HYPERLINK("https://eosportal.federatedhermes.com/companies/Q29tcGFueQppNTI5MDc=", "Amcor PLC")</f>
      </c>
      <c r="D2622" s="0" t="s">
        <v>25</v>
      </c>
      <c r="E2622" s="0" t="s">
        <v>7103</v>
      </c>
      <c r="F2622" s="16">
        <f>HYPERLINK("https://eosportal.federatedhermes.com/engagements/RW5nYWdlbWVudAppMzU3OTY=", "IIGCC low-emissions chemicals value chain engagement")</f>
      </c>
      <c r="G2622" s="14" t="s">
        <v>7104</v>
      </c>
      <c r="H2622" s="0" t="s">
        <v>130</v>
      </c>
      <c r="I2622" s="14" t="s">
        <v>131</v>
      </c>
      <c r="J2622" s="0" t="s">
        <v>197</v>
      </c>
      <c r="K2622" s="0" t="s">
        <v>198</v>
      </c>
      <c r="L2622" s="0" t="s">
        <v>216</v>
      </c>
      <c r="M2622" s="0" t="s">
        <v>378</v>
      </c>
      <c r="N2622" s="0" t="s">
        <v>1059</v>
      </c>
      <c r="O2622" s="0" t="s">
        <v>373</v>
      </c>
      <c r="Q2622" s="0" t="s">
        <v>130</v>
      </c>
      <c r="R2622" s="0" t="s">
        <v>138</v>
      </c>
      <c r="S2622" s="14">
        <v>0</v>
      </c>
      <c r="T2622" s="0" t="s">
        <v>3265</v>
      </c>
      <c r="U2622" s="0" t="s">
        <v>138</v>
      </c>
      <c r="V2622" s="14" t="s">
        <v>138</v>
      </c>
      <c r="W2622" s="0" t="s">
        <v>138</v>
      </c>
      <c r="X2622" s="14" t="s">
        <v>138</v>
      </c>
      <c r="Y2622" s="0" t="s">
        <v>138</v>
      </c>
      <c r="Z2622" s="14" t="s">
        <v>138</v>
      </c>
      <c r="AA2622" s="0" t="s">
        <v>138</v>
      </c>
      <c r="AB2622" s="14" t="s">
        <v>138</v>
      </c>
      <c r="AD2622" s="0" t="s">
        <v>138</v>
      </c>
      <c r="AF2622" s="0">
        <v>0</v>
      </c>
      <c r="AG2622" s="0">
        <v>0</v>
      </c>
      <c r="AH2622" s="0" t="s">
        <v>140</v>
      </c>
      <c r="AI2622" s="0" t="s">
        <v>138</v>
      </c>
      <c r="AL2622" s="14"/>
      <c r="AN2622" s="14"/>
      <c r="AQ2622" s="0" t="s">
        <v>130</v>
      </c>
      <c r="AR2622" s="0" t="s">
        <v>130</v>
      </c>
      <c r="AS2622" s="0" t="s">
        <v>130</v>
      </c>
      <c r="AT2622" s="0" t="s">
        <v>130</v>
      </c>
      <c r="AU2622" s="0" t="s">
        <v>130</v>
      </c>
      <c r="AV2622" s="0" t="s">
        <v>130</v>
      </c>
      <c r="AW2622" s="0" t="s">
        <v>130</v>
      </c>
      <c r="AX2622" s="0" t="s">
        <v>130</v>
      </c>
      <c r="AY2622" s="0" t="s">
        <v>141</v>
      </c>
      <c r="AZ2622" s="0" t="s">
        <v>130</v>
      </c>
      <c r="BA2622" s="0" t="s">
        <v>130</v>
      </c>
      <c r="BB2622" s="0" t="s">
        <v>130</v>
      </c>
      <c r="BC2622" s="0" t="s">
        <v>141</v>
      </c>
      <c r="BD2622" s="0" t="s">
        <v>130</v>
      </c>
      <c r="BE2622" s="0" t="s">
        <v>130</v>
      </c>
      <c r="BF2622" s="0" t="s">
        <v>130</v>
      </c>
      <c r="BG2622" s="0" t="s">
        <v>130</v>
      </c>
      <c r="BH2622" s="0" t="s">
        <v>141</v>
      </c>
      <c r="BI2622" s="0" t="s">
        <v>141</v>
      </c>
      <c r="BJ2622" s="0" t="s">
        <v>141</v>
      </c>
      <c r="BK2622" s="0" t="s">
        <v>130</v>
      </c>
      <c r="BL2622" s="0" t="s">
        <v>130</v>
      </c>
      <c r="BM2622" s="0" t="s">
        <v>130</v>
      </c>
      <c r="BN2622" s="0" t="s">
        <v>130</v>
      </c>
      <c r="BO2622" s="0" t="s">
        <v>130</v>
      </c>
      <c r="BP2622" s="0" t="s">
        <v>130</v>
      </c>
      <c r="BQ2622" s="0" t="s">
        <v>130</v>
      </c>
      <c r="BR2622" s="0" t="s">
        <v>130</v>
      </c>
      <c r="BS2622" s="0" t="s">
        <v>130</v>
      </c>
      <c r="BT2622" s="0" t="s">
        <v>130</v>
      </c>
      <c r="BU2622" s="0" t="s">
        <v>130</v>
      </c>
      <c r="BV2622" s="0" t="s">
        <v>141</v>
      </c>
      <c r="BW2622" s="0" t="s">
        <v>141</v>
      </c>
      <c r="BX2622" s="0" t="s">
        <v>130</v>
      </c>
      <c r="BY2622" s="0" t="s">
        <v>130</v>
      </c>
      <c r="BZ2622" s="0" t="s">
        <v>130</v>
      </c>
      <c r="CA2622" s="0" t="s">
        <v>130</v>
      </c>
      <c r="CB2622" s="0" t="s">
        <v>130</v>
      </c>
      <c r="CC2622" s="0" t="s">
        <v>130</v>
      </c>
      <c r="CD2622" s="0" t="s">
        <v>130</v>
      </c>
      <c r="CE2622" s="0" t="s">
        <v>130</v>
      </c>
      <c r="CF2622" s="0" t="s">
        <v>130</v>
      </c>
      <c r="CG2622" s="0" t="s">
        <v>130</v>
      </c>
      <c r="CH2622" s="0" t="s">
        <v>130</v>
      </c>
      <c r="CI2622" s="0" t="s">
        <v>130</v>
      </c>
      <c r="CJ2622" s="0" t="s">
        <v>130</v>
      </c>
      <c r="CK2622" s="0" t="s">
        <v>130</v>
      </c>
      <c r="CL2622" s="0" t="s">
        <v>130</v>
      </c>
      <c r="CM2622" s="0" t="s">
        <v>130</v>
      </c>
      <c r="CN2622" s="0" t="s">
        <v>130</v>
      </c>
      <c r="CO2622" s="0" t="s">
        <v>130</v>
      </c>
      <c r="CP2622" s="0" t="s">
        <v>130</v>
      </c>
      <c r="CQ2622" s="0" t="s">
        <v>130</v>
      </c>
      <c r="CR2622" s="0" t="s">
        <v>130</v>
      </c>
      <c r="CS2622" s="0" t="s">
        <v>130</v>
      </c>
      <c r="CT2622" s="0" t="s">
        <v>7105</v>
      </c>
    </row>
    <row r="2623">
      <c r="A2623" s="14">
        <v>115682</v>
      </c>
      <c r="B2623" s="0" t="s">
        <v>2620</v>
      </c>
      <c r="C2623" s="16">
        <f>HYPERLINK("https://eosportal.federatedhermes.com/companies/Q29tcGFueQppNTMxNDc=", "Bayerische Motoren Werke AG (BMW)")</f>
      </c>
      <c r="D2623" s="0" t="s">
        <v>25</v>
      </c>
      <c r="E2623" s="0" t="s">
        <v>7100</v>
      </c>
      <c r="F2623" s="16">
        <f>HYPERLINK("https://eosportal.federatedhermes.com/engagements/RW5nYWdlbWVudAppMzU3OTc=", "Green steel purchasing")</f>
      </c>
      <c r="G2623" s="14" t="s">
        <v>7106</v>
      </c>
      <c r="H2623" s="0" t="s">
        <v>141</v>
      </c>
      <c r="I2623" s="14" t="s">
        <v>1645</v>
      </c>
      <c r="J2623" s="0" t="s">
        <v>197</v>
      </c>
      <c r="K2623" s="0" t="s">
        <v>198</v>
      </c>
      <c r="L2623" s="0" t="s">
        <v>216</v>
      </c>
      <c r="M2623" s="0" t="s">
        <v>378</v>
      </c>
      <c r="N2623" s="0" t="s">
        <v>2485</v>
      </c>
      <c r="O2623" s="0" t="s">
        <v>425</v>
      </c>
      <c r="Q2623" s="0" t="s">
        <v>130</v>
      </c>
      <c r="R2623" s="0" t="s">
        <v>138</v>
      </c>
      <c r="S2623" s="14">
        <v>0</v>
      </c>
      <c r="T2623" s="0" t="s">
        <v>3265</v>
      </c>
      <c r="U2623" s="0" t="s">
        <v>138</v>
      </c>
      <c r="V2623" s="14" t="s">
        <v>138</v>
      </c>
      <c r="W2623" s="0" t="s">
        <v>138</v>
      </c>
      <c r="X2623" s="14" t="s">
        <v>138</v>
      </c>
      <c r="Y2623" s="0" t="s">
        <v>138</v>
      </c>
      <c r="Z2623" s="14" t="s">
        <v>138</v>
      </c>
      <c r="AA2623" s="0" t="s">
        <v>138</v>
      </c>
      <c r="AB2623" s="14" t="s">
        <v>138</v>
      </c>
      <c r="AD2623" s="0" t="s">
        <v>138</v>
      </c>
      <c r="AF2623" s="0">
        <v>0</v>
      </c>
      <c r="AG2623" s="0">
        <v>0</v>
      </c>
      <c r="AH2623" s="0" t="s">
        <v>140</v>
      </c>
      <c r="AI2623" s="0" t="s">
        <v>138</v>
      </c>
      <c r="AL2623" s="14"/>
      <c r="AN2623" s="14"/>
      <c r="AQ2623" s="0" t="s">
        <v>130</v>
      </c>
      <c r="AR2623" s="0" t="s">
        <v>130</v>
      </c>
      <c r="AS2623" s="0" t="s">
        <v>130</v>
      </c>
      <c r="AT2623" s="0" t="s">
        <v>130</v>
      </c>
      <c r="AU2623" s="0" t="s">
        <v>130</v>
      </c>
      <c r="AV2623" s="0" t="s">
        <v>130</v>
      </c>
      <c r="AW2623" s="0" t="s">
        <v>130</v>
      </c>
      <c r="AX2623" s="0" t="s">
        <v>130</v>
      </c>
      <c r="AY2623" s="0" t="s">
        <v>141</v>
      </c>
      <c r="AZ2623" s="0" t="s">
        <v>130</v>
      </c>
      <c r="BA2623" s="0" t="s">
        <v>130</v>
      </c>
      <c r="BB2623" s="0" t="s">
        <v>130</v>
      </c>
      <c r="BC2623" s="0" t="s">
        <v>141</v>
      </c>
      <c r="BD2623" s="0" t="s">
        <v>130</v>
      </c>
      <c r="BE2623" s="0" t="s">
        <v>130</v>
      </c>
      <c r="BF2623" s="0" t="s">
        <v>130</v>
      </c>
      <c r="BG2623" s="0" t="s">
        <v>130</v>
      </c>
      <c r="BH2623" s="0" t="s">
        <v>141</v>
      </c>
      <c r="BI2623" s="0" t="s">
        <v>141</v>
      </c>
      <c r="BJ2623" s="0" t="s">
        <v>141</v>
      </c>
      <c r="BK2623" s="0" t="s">
        <v>130</v>
      </c>
      <c r="BL2623" s="0" t="s">
        <v>141</v>
      </c>
      <c r="BM2623" s="0" t="s">
        <v>130</v>
      </c>
      <c r="BN2623" s="0" t="s">
        <v>130</v>
      </c>
      <c r="BO2623" s="0" t="s">
        <v>130</v>
      </c>
      <c r="BP2623" s="0" t="s">
        <v>130</v>
      </c>
      <c r="BQ2623" s="0" t="s">
        <v>130</v>
      </c>
      <c r="BR2623" s="0" t="s">
        <v>130</v>
      </c>
      <c r="BS2623" s="0" t="s">
        <v>130</v>
      </c>
      <c r="BT2623" s="0" t="s">
        <v>130</v>
      </c>
      <c r="BU2623" s="0" t="s">
        <v>130</v>
      </c>
      <c r="BV2623" s="0" t="s">
        <v>141</v>
      </c>
      <c r="BW2623" s="0" t="s">
        <v>141</v>
      </c>
      <c r="BX2623" s="0" t="s">
        <v>130</v>
      </c>
      <c r="BY2623" s="0" t="s">
        <v>130</v>
      </c>
      <c r="BZ2623" s="0" t="s">
        <v>130</v>
      </c>
      <c r="CA2623" s="0" t="s">
        <v>130</v>
      </c>
      <c r="CB2623" s="0" t="s">
        <v>130</v>
      </c>
      <c r="CC2623" s="0" t="s">
        <v>130</v>
      </c>
      <c r="CD2623" s="0" t="s">
        <v>130</v>
      </c>
      <c r="CE2623" s="0" t="s">
        <v>130</v>
      </c>
      <c r="CF2623" s="0" t="s">
        <v>130</v>
      </c>
      <c r="CG2623" s="0" t="s">
        <v>130</v>
      </c>
      <c r="CH2623" s="0" t="s">
        <v>130</v>
      </c>
      <c r="CI2623" s="0" t="s">
        <v>130</v>
      </c>
      <c r="CJ2623" s="0" t="s">
        <v>130</v>
      </c>
      <c r="CK2623" s="0" t="s">
        <v>130</v>
      </c>
      <c r="CL2623" s="0" t="s">
        <v>130</v>
      </c>
      <c r="CM2623" s="0" t="s">
        <v>130</v>
      </c>
      <c r="CN2623" s="0" t="s">
        <v>130</v>
      </c>
      <c r="CO2623" s="0" t="s">
        <v>130</v>
      </c>
      <c r="CP2623" s="0" t="s">
        <v>130</v>
      </c>
      <c r="CQ2623" s="0" t="s">
        <v>130</v>
      </c>
      <c r="CR2623" s="0" t="s">
        <v>130</v>
      </c>
      <c r="CS2623" s="0" t="s">
        <v>130</v>
      </c>
      <c r="CT2623" s="0" t="s">
        <v>7107</v>
      </c>
    </row>
    <row r="2624">
      <c r="A2624" s="14">
        <v>328683</v>
      </c>
      <c r="B2624" s="0" t="s">
        <v>3664</v>
      </c>
      <c r="C2624" s="16">
        <f>HYPERLINK("https://eosportal.federatedhermes.com/companies/Q29tcGFueQppNTg5MjI=", "Mercedes-Benz Group AG")</f>
      </c>
      <c r="D2624" s="0" t="s">
        <v>25</v>
      </c>
      <c r="E2624" s="0" t="s">
        <v>7108</v>
      </c>
      <c r="F2624" s="16">
        <f>HYPERLINK("https://eosportal.federatedhermes.com/engagements/RW5nYWdlbWVudAppMzU3OTg=", "Natural resource stewardship")</f>
      </c>
      <c r="G2624" s="14" t="s">
        <v>7109</v>
      </c>
      <c r="H2624" s="0" t="s">
        <v>141</v>
      </c>
      <c r="I2624" s="14" t="s">
        <v>1645</v>
      </c>
      <c r="J2624" s="0" t="s">
        <v>197</v>
      </c>
      <c r="K2624" s="0" t="s">
        <v>337</v>
      </c>
      <c r="L2624" s="0" t="s">
        <v>576</v>
      </c>
      <c r="M2624" s="0" t="s">
        <v>378</v>
      </c>
      <c r="N2624" s="0" t="s">
        <v>2485</v>
      </c>
      <c r="O2624" s="0" t="s">
        <v>425</v>
      </c>
      <c r="Q2624" s="0" t="s">
        <v>130</v>
      </c>
      <c r="R2624" s="0" t="s">
        <v>138</v>
      </c>
      <c r="S2624" s="14">
        <v>0</v>
      </c>
      <c r="T2624" s="0" t="s">
        <v>3265</v>
      </c>
      <c r="U2624" s="0" t="s">
        <v>138</v>
      </c>
      <c r="V2624" s="14" t="s">
        <v>138</v>
      </c>
      <c r="W2624" s="0" t="s">
        <v>138</v>
      </c>
      <c r="X2624" s="14" t="s">
        <v>138</v>
      </c>
      <c r="Y2624" s="0" t="s">
        <v>138</v>
      </c>
      <c r="Z2624" s="14" t="s">
        <v>138</v>
      </c>
      <c r="AA2624" s="0" t="s">
        <v>138</v>
      </c>
      <c r="AB2624" s="14" t="s">
        <v>138</v>
      </c>
      <c r="AD2624" s="0" t="s">
        <v>138</v>
      </c>
      <c r="AF2624" s="0">
        <v>0</v>
      </c>
      <c r="AG2624" s="0">
        <v>0</v>
      </c>
      <c r="AH2624" s="0" t="s">
        <v>140</v>
      </c>
      <c r="AI2624" s="0" t="s">
        <v>138</v>
      </c>
      <c r="AL2624" s="14"/>
      <c r="AN2624" s="14"/>
      <c r="AQ2624" s="0" t="s">
        <v>130</v>
      </c>
      <c r="AR2624" s="0" t="s">
        <v>130</v>
      </c>
      <c r="AS2624" s="0" t="s">
        <v>130</v>
      </c>
      <c r="AT2624" s="0" t="s">
        <v>130</v>
      </c>
      <c r="AU2624" s="0" t="s">
        <v>130</v>
      </c>
      <c r="AV2624" s="0" t="s">
        <v>130</v>
      </c>
      <c r="AW2624" s="0" t="s">
        <v>130</v>
      </c>
      <c r="AX2624" s="0" t="s">
        <v>130</v>
      </c>
      <c r="AY2624" s="0" t="s">
        <v>130</v>
      </c>
      <c r="AZ2624" s="0" t="s">
        <v>130</v>
      </c>
      <c r="BA2624" s="0" t="s">
        <v>141</v>
      </c>
      <c r="BB2624" s="0" t="s">
        <v>141</v>
      </c>
      <c r="BC2624" s="0" t="s">
        <v>130</v>
      </c>
      <c r="BD2624" s="0" t="s">
        <v>130</v>
      </c>
      <c r="BE2624" s="0" t="s">
        <v>141</v>
      </c>
      <c r="BF2624" s="0" t="s">
        <v>130</v>
      </c>
      <c r="BG2624" s="0" t="s">
        <v>130</v>
      </c>
      <c r="BH2624" s="0" t="s">
        <v>130</v>
      </c>
      <c r="BI2624" s="0" t="s">
        <v>130</v>
      </c>
      <c r="BJ2624" s="0" t="s">
        <v>130</v>
      </c>
      <c r="BK2624" s="0" t="s">
        <v>130</v>
      </c>
      <c r="BL2624" s="0" t="s">
        <v>130</v>
      </c>
      <c r="BM2624" s="0" t="s">
        <v>141</v>
      </c>
      <c r="BN2624" s="0" t="s">
        <v>130</v>
      </c>
      <c r="BO2624" s="0" t="s">
        <v>130</v>
      </c>
      <c r="BP2624" s="0" t="s">
        <v>130</v>
      </c>
      <c r="BQ2624" s="0" t="s">
        <v>130</v>
      </c>
      <c r="BR2624" s="0" t="s">
        <v>130</v>
      </c>
      <c r="BS2624" s="0" t="s">
        <v>130</v>
      </c>
      <c r="BT2624" s="0" t="s">
        <v>130</v>
      </c>
      <c r="BU2624" s="0" t="s">
        <v>130</v>
      </c>
      <c r="BV2624" s="0" t="s">
        <v>130</v>
      </c>
      <c r="BW2624" s="0" t="s">
        <v>130</v>
      </c>
      <c r="BX2624" s="0" t="s">
        <v>130</v>
      </c>
      <c r="BY2624" s="0" t="s">
        <v>130</v>
      </c>
      <c r="BZ2624" s="0" t="s">
        <v>130</v>
      </c>
      <c r="CA2624" s="0" t="s">
        <v>130</v>
      </c>
      <c r="CB2624" s="0" t="s">
        <v>130</v>
      </c>
      <c r="CC2624" s="0" t="s">
        <v>130</v>
      </c>
      <c r="CD2624" s="0" t="s">
        <v>130</v>
      </c>
      <c r="CE2624" s="0" t="s">
        <v>141</v>
      </c>
      <c r="CF2624" s="0" t="s">
        <v>130</v>
      </c>
      <c r="CG2624" s="0" t="s">
        <v>130</v>
      </c>
      <c r="CH2624" s="0" t="s">
        <v>130</v>
      </c>
      <c r="CI2624" s="0" t="s">
        <v>130</v>
      </c>
      <c r="CJ2624" s="0" t="s">
        <v>130</v>
      </c>
      <c r="CK2624" s="0" t="s">
        <v>130</v>
      </c>
      <c r="CL2624" s="0" t="s">
        <v>130</v>
      </c>
      <c r="CM2624" s="0" t="s">
        <v>130</v>
      </c>
      <c r="CN2624" s="0" t="s">
        <v>130</v>
      </c>
      <c r="CO2624" s="0" t="s">
        <v>130</v>
      </c>
      <c r="CP2624" s="0" t="s">
        <v>130</v>
      </c>
      <c r="CQ2624" s="0" t="s">
        <v>130</v>
      </c>
      <c r="CR2624" s="0" t="s">
        <v>130</v>
      </c>
      <c r="CS2624" s="0" t="s">
        <v>130</v>
      </c>
      <c r="CT2624" s="0" t="s">
        <v>7110</v>
      </c>
    </row>
    <row r="2625">
      <c r="A2625" s="14">
        <v>115757</v>
      </c>
      <c r="B2625" s="0" t="s">
        <v>2655</v>
      </c>
      <c r="C2625" s="16">
        <f>HYPERLINK("https://eosportal.federatedhermes.com/companies/Q29tcGFueQppNTg5Mjc=", "Volkswagen AG")</f>
      </c>
      <c r="D2625" s="0" t="s">
        <v>25</v>
      </c>
      <c r="E2625" s="0" t="s">
        <v>7100</v>
      </c>
      <c r="F2625" s="16">
        <f>HYPERLINK("https://eosportal.federatedhermes.com/engagements/RW5nYWdlbWVudAppMzU3OTk=", "Green steel purchasing")</f>
      </c>
      <c r="G2625" s="14" t="s">
        <v>7111</v>
      </c>
      <c r="H2625" s="0" t="s">
        <v>141</v>
      </c>
      <c r="I2625" s="14" t="s">
        <v>1645</v>
      </c>
      <c r="J2625" s="0" t="s">
        <v>197</v>
      </c>
      <c r="K2625" s="0" t="s">
        <v>198</v>
      </c>
      <c r="L2625" s="0" t="s">
        <v>216</v>
      </c>
      <c r="M2625" s="0" t="s">
        <v>378</v>
      </c>
      <c r="N2625" s="0" t="s">
        <v>2485</v>
      </c>
      <c r="O2625" s="0" t="s">
        <v>425</v>
      </c>
      <c r="Q2625" s="0" t="s">
        <v>130</v>
      </c>
      <c r="R2625" s="0" t="s">
        <v>138</v>
      </c>
      <c r="S2625" s="14">
        <v>0</v>
      </c>
      <c r="T2625" s="0" t="s">
        <v>3265</v>
      </c>
      <c r="U2625" s="0" t="s">
        <v>138</v>
      </c>
      <c r="V2625" s="14" t="s">
        <v>138</v>
      </c>
      <c r="W2625" s="0" t="s">
        <v>138</v>
      </c>
      <c r="X2625" s="14" t="s">
        <v>138</v>
      </c>
      <c r="Y2625" s="0" t="s">
        <v>138</v>
      </c>
      <c r="Z2625" s="14" t="s">
        <v>138</v>
      </c>
      <c r="AA2625" s="0" t="s">
        <v>138</v>
      </c>
      <c r="AB2625" s="14" t="s">
        <v>138</v>
      </c>
      <c r="AD2625" s="0" t="s">
        <v>138</v>
      </c>
      <c r="AF2625" s="0">
        <v>0</v>
      </c>
      <c r="AG2625" s="0">
        <v>0</v>
      </c>
      <c r="AH2625" s="0" t="s">
        <v>140</v>
      </c>
      <c r="AI2625" s="0" t="s">
        <v>138</v>
      </c>
      <c r="AL2625" s="14"/>
      <c r="AN2625" s="14"/>
      <c r="AQ2625" s="0" t="s">
        <v>130</v>
      </c>
      <c r="AR2625" s="0" t="s">
        <v>130</v>
      </c>
      <c r="AS2625" s="0" t="s">
        <v>130</v>
      </c>
      <c r="AT2625" s="0" t="s">
        <v>130</v>
      </c>
      <c r="AU2625" s="0" t="s">
        <v>130</v>
      </c>
      <c r="AV2625" s="0" t="s">
        <v>130</v>
      </c>
      <c r="AW2625" s="0" t="s">
        <v>130</v>
      </c>
      <c r="AX2625" s="0" t="s">
        <v>130</v>
      </c>
      <c r="AY2625" s="0" t="s">
        <v>141</v>
      </c>
      <c r="AZ2625" s="0" t="s">
        <v>130</v>
      </c>
      <c r="BA2625" s="0" t="s">
        <v>130</v>
      </c>
      <c r="BB2625" s="0" t="s">
        <v>130</v>
      </c>
      <c r="BC2625" s="0" t="s">
        <v>141</v>
      </c>
      <c r="BD2625" s="0" t="s">
        <v>130</v>
      </c>
      <c r="BE2625" s="0" t="s">
        <v>130</v>
      </c>
      <c r="BF2625" s="0" t="s">
        <v>130</v>
      </c>
      <c r="BG2625" s="0" t="s">
        <v>130</v>
      </c>
      <c r="BH2625" s="0" t="s">
        <v>141</v>
      </c>
      <c r="BI2625" s="0" t="s">
        <v>141</v>
      </c>
      <c r="BJ2625" s="0" t="s">
        <v>141</v>
      </c>
      <c r="BK2625" s="0" t="s">
        <v>130</v>
      </c>
      <c r="BL2625" s="0" t="s">
        <v>141</v>
      </c>
      <c r="BM2625" s="0" t="s">
        <v>130</v>
      </c>
      <c r="BN2625" s="0" t="s">
        <v>130</v>
      </c>
      <c r="BO2625" s="0" t="s">
        <v>130</v>
      </c>
      <c r="BP2625" s="0" t="s">
        <v>130</v>
      </c>
      <c r="BQ2625" s="0" t="s">
        <v>130</v>
      </c>
      <c r="BR2625" s="0" t="s">
        <v>130</v>
      </c>
      <c r="BS2625" s="0" t="s">
        <v>130</v>
      </c>
      <c r="BT2625" s="0" t="s">
        <v>130</v>
      </c>
      <c r="BU2625" s="0" t="s">
        <v>130</v>
      </c>
      <c r="BV2625" s="0" t="s">
        <v>141</v>
      </c>
      <c r="BW2625" s="0" t="s">
        <v>141</v>
      </c>
      <c r="BX2625" s="0" t="s">
        <v>130</v>
      </c>
      <c r="BY2625" s="0" t="s">
        <v>130</v>
      </c>
      <c r="BZ2625" s="0" t="s">
        <v>130</v>
      </c>
      <c r="CA2625" s="0" t="s">
        <v>130</v>
      </c>
      <c r="CB2625" s="0" t="s">
        <v>130</v>
      </c>
      <c r="CC2625" s="0" t="s">
        <v>130</v>
      </c>
      <c r="CD2625" s="0" t="s">
        <v>130</v>
      </c>
      <c r="CE2625" s="0" t="s">
        <v>130</v>
      </c>
      <c r="CF2625" s="0" t="s">
        <v>130</v>
      </c>
      <c r="CG2625" s="0" t="s">
        <v>130</v>
      </c>
      <c r="CH2625" s="0" t="s">
        <v>130</v>
      </c>
      <c r="CI2625" s="0" t="s">
        <v>130</v>
      </c>
      <c r="CJ2625" s="0" t="s">
        <v>130</v>
      </c>
      <c r="CK2625" s="0" t="s">
        <v>130</v>
      </c>
      <c r="CL2625" s="0" t="s">
        <v>130</v>
      </c>
      <c r="CM2625" s="0" t="s">
        <v>130</v>
      </c>
      <c r="CN2625" s="0" t="s">
        <v>130</v>
      </c>
      <c r="CO2625" s="0" t="s">
        <v>130</v>
      </c>
      <c r="CP2625" s="0" t="s">
        <v>130</v>
      </c>
      <c r="CQ2625" s="0" t="s">
        <v>130</v>
      </c>
      <c r="CR2625" s="0" t="s">
        <v>130</v>
      </c>
      <c r="CS2625" s="0" t="s">
        <v>130</v>
      </c>
      <c r="CT2625" s="0" t="s">
        <v>7112</v>
      </c>
    </row>
    <row r="2626">
      <c r="A2626" s="14">
        <v>216952</v>
      </c>
      <c r="B2626" s="0" t="s">
        <v>3384</v>
      </c>
      <c r="C2626" s="16">
        <f>HYPERLINK("https://eosportal.federatedhermes.com/companies/Q29tcGFueQppNjc3MjM=", "Amazon.com Inc")</f>
      </c>
      <c r="D2626" s="0" t="s">
        <v>23</v>
      </c>
      <c r="E2626" s="0" t="s">
        <v>7085</v>
      </c>
      <c r="F2626" s="16">
        <f>HYPERLINK("https://eosportal.federatedhermes.com/engagements/RW5nYWdlbWVudAppMzU4MTg=", "Worker voice and corporate culture")</f>
      </c>
      <c r="G2626" s="14" t="s">
        <v>7113</v>
      </c>
      <c r="H2626" s="0" t="s">
        <v>141</v>
      </c>
      <c r="I2626" s="14" t="s">
        <v>191</v>
      </c>
      <c r="J2626" s="0" t="s">
        <v>153</v>
      </c>
      <c r="K2626" s="0" t="s">
        <v>154</v>
      </c>
      <c r="L2626" s="0" t="s">
        <v>306</v>
      </c>
      <c r="M2626" s="0" t="s">
        <v>135</v>
      </c>
      <c r="N2626" s="0" t="s">
        <v>136</v>
      </c>
      <c r="O2626" s="0" t="s">
        <v>643</v>
      </c>
      <c r="Q2626" s="0" t="s">
        <v>130</v>
      </c>
      <c r="R2626" s="0" t="s">
        <v>130</v>
      </c>
      <c r="S2626" s="14">
        <v>0</v>
      </c>
      <c r="T2626" s="0" t="s">
        <v>446</v>
      </c>
      <c r="U2626" s="0" t="s">
        <v>221</v>
      </c>
      <c r="V2626" s="14" t="s">
        <v>446</v>
      </c>
      <c r="W2626" s="0" t="s">
        <v>223</v>
      </c>
      <c r="X2626" s="14" t="s">
        <v>138</v>
      </c>
      <c r="Y2626" s="0" t="s">
        <v>224</v>
      </c>
      <c r="Z2626" s="14" t="s">
        <v>138</v>
      </c>
      <c r="AA2626" s="0" t="s">
        <v>224</v>
      </c>
      <c r="AB2626" s="14" t="s">
        <v>138</v>
      </c>
      <c r="AD2626" s="0" t="s">
        <v>14</v>
      </c>
      <c r="AF2626" s="0">
        <v>0</v>
      </c>
      <c r="AG2626" s="0">
        <v>0</v>
      </c>
      <c r="AH2626" s="0" t="s">
        <v>140</v>
      </c>
      <c r="AI2626" s="0" t="s">
        <v>225</v>
      </c>
      <c r="AL2626" s="14"/>
      <c r="AN2626" s="14"/>
      <c r="AQ2626" s="0" t="s">
        <v>141</v>
      </c>
      <c r="AR2626" s="0" t="s">
        <v>130</v>
      </c>
      <c r="AS2626" s="0" t="s">
        <v>130</v>
      </c>
      <c r="AT2626" s="0" t="s">
        <v>130</v>
      </c>
      <c r="AU2626" s="0" t="s">
        <v>130</v>
      </c>
      <c r="AV2626" s="0" t="s">
        <v>130</v>
      </c>
      <c r="AW2626" s="0" t="s">
        <v>130</v>
      </c>
      <c r="AX2626" s="0" t="s">
        <v>141</v>
      </c>
      <c r="AY2626" s="0" t="s">
        <v>130</v>
      </c>
      <c r="AZ2626" s="0" t="s">
        <v>141</v>
      </c>
      <c r="BA2626" s="0" t="s">
        <v>130</v>
      </c>
      <c r="BB2626" s="0" t="s">
        <v>130</v>
      </c>
      <c r="BC2626" s="0" t="s">
        <v>130</v>
      </c>
      <c r="BD2626" s="0" t="s">
        <v>130</v>
      </c>
      <c r="BE2626" s="0" t="s">
        <v>130</v>
      </c>
      <c r="BF2626" s="0" t="s">
        <v>130</v>
      </c>
      <c r="BG2626" s="0" t="s">
        <v>130</v>
      </c>
      <c r="BH2626" s="0" t="s">
        <v>130</v>
      </c>
      <c r="BI2626" s="0" t="s">
        <v>130</v>
      </c>
      <c r="BJ2626" s="0" t="s">
        <v>130</v>
      </c>
      <c r="BK2626" s="0" t="s">
        <v>130</v>
      </c>
      <c r="BL2626" s="0" t="s">
        <v>130</v>
      </c>
      <c r="BM2626" s="0" t="s">
        <v>130</v>
      </c>
      <c r="BN2626" s="0" t="s">
        <v>130</v>
      </c>
      <c r="BO2626" s="0" t="s">
        <v>130</v>
      </c>
      <c r="BP2626" s="0" t="s">
        <v>130</v>
      </c>
      <c r="BQ2626" s="0" t="s">
        <v>130</v>
      </c>
      <c r="BR2626" s="0" t="s">
        <v>130</v>
      </c>
      <c r="BS2626" s="0" t="s">
        <v>130</v>
      </c>
      <c r="BT2626" s="0" t="s">
        <v>130</v>
      </c>
      <c r="BU2626" s="0" t="s">
        <v>130</v>
      </c>
      <c r="BV2626" s="0" t="s">
        <v>130</v>
      </c>
      <c r="BW2626" s="0" t="s">
        <v>130</v>
      </c>
      <c r="BX2626" s="0" t="s">
        <v>130</v>
      </c>
      <c r="BY2626" s="0" t="s">
        <v>130</v>
      </c>
      <c r="BZ2626" s="0" t="s">
        <v>130</v>
      </c>
      <c r="CA2626" s="0" t="s">
        <v>130</v>
      </c>
      <c r="CB2626" s="0" t="s">
        <v>130</v>
      </c>
      <c r="CC2626" s="0" t="s">
        <v>130</v>
      </c>
      <c r="CD2626" s="0" t="s">
        <v>130</v>
      </c>
      <c r="CE2626" s="0" t="s">
        <v>130</v>
      </c>
      <c r="CF2626" s="0" t="s">
        <v>130</v>
      </c>
      <c r="CG2626" s="0" t="s">
        <v>130</v>
      </c>
      <c r="CH2626" s="0" t="s">
        <v>130</v>
      </c>
      <c r="CI2626" s="0" t="s">
        <v>130</v>
      </c>
      <c r="CJ2626" s="0" t="s">
        <v>141</v>
      </c>
      <c r="CK2626" s="0" t="s">
        <v>130</v>
      </c>
      <c r="CL2626" s="0" t="s">
        <v>130</v>
      </c>
      <c r="CM2626" s="0" t="s">
        <v>130</v>
      </c>
      <c r="CN2626" s="0" t="s">
        <v>130</v>
      </c>
      <c r="CO2626" s="0" t="s">
        <v>130</v>
      </c>
      <c r="CP2626" s="0" t="s">
        <v>130</v>
      </c>
      <c r="CQ2626" s="0" t="s">
        <v>130</v>
      </c>
      <c r="CR2626" s="0" t="s">
        <v>130</v>
      </c>
      <c r="CS2626" s="0" t="s">
        <v>130</v>
      </c>
      <c r="CT2626" s="0" t="s">
        <v>7114</v>
      </c>
    </row>
    <row r="2627">
      <c r="A2627" s="14">
        <v>101092</v>
      </c>
      <c r="B2627" s="0" t="s">
        <v>1319</v>
      </c>
      <c r="C2627" s="16">
        <f>HYPERLINK("https://eosportal.federatedhermes.com/companies/Q29tcGFueQppNzc5MzU=", "Wells Fargo &amp; Co")</f>
      </c>
      <c r="D2627" s="0" t="s">
        <v>23</v>
      </c>
      <c r="E2627" s="0" t="s">
        <v>5543</v>
      </c>
      <c r="F2627" s="16">
        <f>HYPERLINK("https://eosportal.federatedhermes.com/engagements/RW5nYWdlbWVudAppMzU4MjI=", "Methane management best practices")</f>
      </c>
      <c r="G2627" s="14" t="s">
        <v>5008</v>
      </c>
      <c r="H2627" s="0" t="s">
        <v>141</v>
      </c>
      <c r="I2627" s="14" t="s">
        <v>191</v>
      </c>
      <c r="J2627" s="0" t="s">
        <v>197</v>
      </c>
      <c r="K2627" s="0" t="s">
        <v>198</v>
      </c>
      <c r="L2627" s="0" t="s">
        <v>220</v>
      </c>
      <c r="M2627" s="0" t="s">
        <v>135</v>
      </c>
      <c r="N2627" s="0" t="s">
        <v>136</v>
      </c>
      <c r="O2627" s="0" t="s">
        <v>238</v>
      </c>
      <c r="Q2627" s="0" t="s">
        <v>130</v>
      </c>
      <c r="R2627" s="0" t="s">
        <v>130</v>
      </c>
      <c r="S2627" s="14">
        <v>0</v>
      </c>
      <c r="T2627" s="0" t="s">
        <v>3265</v>
      </c>
      <c r="U2627" s="0" t="s">
        <v>221</v>
      </c>
      <c r="V2627" s="14" t="s">
        <v>3265</v>
      </c>
      <c r="W2627" s="0" t="s">
        <v>223</v>
      </c>
      <c r="X2627" s="14" t="s">
        <v>138</v>
      </c>
      <c r="Y2627" s="0" t="s">
        <v>224</v>
      </c>
      <c r="Z2627" s="14" t="s">
        <v>138</v>
      </c>
      <c r="AA2627" s="0" t="s">
        <v>224</v>
      </c>
      <c r="AB2627" s="14" t="s">
        <v>138</v>
      </c>
      <c r="AD2627" s="0" t="s">
        <v>14</v>
      </c>
      <c r="AF2627" s="0">
        <v>0</v>
      </c>
      <c r="AG2627" s="0">
        <v>0</v>
      </c>
      <c r="AH2627" s="0" t="s">
        <v>140</v>
      </c>
      <c r="AI2627" s="0" t="s">
        <v>232</v>
      </c>
      <c r="AL2627" s="14"/>
      <c r="AN2627" s="14"/>
      <c r="AQ2627" s="0" t="s">
        <v>130</v>
      </c>
      <c r="AR2627" s="0" t="s">
        <v>130</v>
      </c>
      <c r="AS2627" s="0" t="s">
        <v>130</v>
      </c>
      <c r="AT2627" s="0" t="s">
        <v>130</v>
      </c>
      <c r="AU2627" s="0" t="s">
        <v>130</v>
      </c>
      <c r="AV2627" s="0" t="s">
        <v>130</v>
      </c>
      <c r="AW2627" s="0" t="s">
        <v>141</v>
      </c>
      <c r="AX2627" s="0" t="s">
        <v>130</v>
      </c>
      <c r="AY2627" s="0" t="s">
        <v>141</v>
      </c>
      <c r="AZ2627" s="0" t="s">
        <v>130</v>
      </c>
      <c r="BA2627" s="0" t="s">
        <v>130</v>
      </c>
      <c r="BB2627" s="0" t="s">
        <v>130</v>
      </c>
      <c r="BC2627" s="0" t="s">
        <v>141</v>
      </c>
      <c r="BD2627" s="0" t="s">
        <v>130</v>
      </c>
      <c r="BE2627" s="0" t="s">
        <v>130</v>
      </c>
      <c r="BF2627" s="0" t="s">
        <v>130</v>
      </c>
      <c r="BG2627" s="0" t="s">
        <v>130</v>
      </c>
      <c r="BH2627" s="0" t="s">
        <v>130</v>
      </c>
      <c r="BI2627" s="0" t="s">
        <v>130</v>
      </c>
      <c r="BJ2627" s="0" t="s">
        <v>130</v>
      </c>
      <c r="BK2627" s="0" t="s">
        <v>141</v>
      </c>
      <c r="BL2627" s="0" t="s">
        <v>141</v>
      </c>
      <c r="BM2627" s="0" t="s">
        <v>130</v>
      </c>
      <c r="BN2627" s="0" t="s">
        <v>130</v>
      </c>
      <c r="BO2627" s="0" t="s">
        <v>130</v>
      </c>
      <c r="BP2627" s="0" t="s">
        <v>130</v>
      </c>
      <c r="BQ2627" s="0" t="s">
        <v>130</v>
      </c>
      <c r="BR2627" s="0" t="s">
        <v>130</v>
      </c>
      <c r="BS2627" s="0" t="s">
        <v>130</v>
      </c>
      <c r="BT2627" s="0" t="s">
        <v>130</v>
      </c>
      <c r="BU2627" s="0" t="s">
        <v>130</v>
      </c>
      <c r="BV2627" s="0" t="s">
        <v>130</v>
      </c>
      <c r="BW2627" s="0" t="s">
        <v>130</v>
      </c>
      <c r="BX2627" s="0" t="s">
        <v>130</v>
      </c>
      <c r="BY2627" s="0" t="s">
        <v>130</v>
      </c>
      <c r="BZ2627" s="0" t="s">
        <v>130</v>
      </c>
      <c r="CA2627" s="0" t="s">
        <v>130</v>
      </c>
      <c r="CB2627" s="0" t="s">
        <v>130</v>
      </c>
      <c r="CC2627" s="0" t="s">
        <v>130</v>
      </c>
      <c r="CD2627" s="0" t="s">
        <v>130</v>
      </c>
      <c r="CE2627" s="0" t="s">
        <v>130</v>
      </c>
      <c r="CF2627" s="0" t="s">
        <v>130</v>
      </c>
      <c r="CG2627" s="0" t="s">
        <v>130</v>
      </c>
      <c r="CH2627" s="0" t="s">
        <v>130</v>
      </c>
      <c r="CI2627" s="0" t="s">
        <v>130</v>
      </c>
      <c r="CJ2627" s="0" t="s">
        <v>130</v>
      </c>
      <c r="CK2627" s="0" t="s">
        <v>130</v>
      </c>
      <c r="CL2627" s="0" t="s">
        <v>130</v>
      </c>
      <c r="CM2627" s="0" t="s">
        <v>130</v>
      </c>
      <c r="CN2627" s="0" t="s">
        <v>130</v>
      </c>
      <c r="CO2627" s="0" t="s">
        <v>130</v>
      </c>
      <c r="CP2627" s="0" t="s">
        <v>130</v>
      </c>
      <c r="CQ2627" s="0" t="s">
        <v>130</v>
      </c>
      <c r="CR2627" s="0" t="s">
        <v>130</v>
      </c>
      <c r="CS2627" s="0" t="s">
        <v>130</v>
      </c>
      <c r="CT2627" s="0" t="s">
        <v>7115</v>
      </c>
    </row>
    <row r="2628">
      <c r="A2628" s="14">
        <v>101092</v>
      </c>
      <c r="B2628" s="0" t="s">
        <v>1319</v>
      </c>
      <c r="C2628" s="16">
        <f>HYPERLINK("https://eosportal.federatedhermes.com/companies/Q29tcGFueQppNzc5MzU=", "Wells Fargo &amp; Co")</f>
      </c>
      <c r="D2628" s="0" t="s">
        <v>23</v>
      </c>
      <c r="E2628" s="0" t="s">
        <v>6767</v>
      </c>
      <c r="F2628" s="16">
        <f>HYPERLINK("https://eosportal.federatedhermes.com/engagements/RW5nYWdlbWVudAppMzU4MjM=", "Turnover and unwanted attrition")</f>
      </c>
      <c r="G2628" s="14" t="s">
        <v>6768</v>
      </c>
      <c r="H2628" s="0" t="s">
        <v>141</v>
      </c>
      <c r="I2628" s="14" t="s">
        <v>191</v>
      </c>
      <c r="J2628" s="0" t="s">
        <v>153</v>
      </c>
      <c r="K2628" s="0" t="s">
        <v>154</v>
      </c>
      <c r="L2628" s="0" t="s">
        <v>268</v>
      </c>
      <c r="M2628" s="0" t="s">
        <v>135</v>
      </c>
      <c r="N2628" s="0" t="s">
        <v>136</v>
      </c>
      <c r="O2628" s="0" t="s">
        <v>238</v>
      </c>
      <c r="Q2628" s="0" t="s">
        <v>130</v>
      </c>
      <c r="R2628" s="0" t="s">
        <v>130</v>
      </c>
      <c r="S2628" s="14">
        <v>0</v>
      </c>
      <c r="T2628" s="0" t="s">
        <v>3265</v>
      </c>
      <c r="U2628" s="0" t="s">
        <v>221</v>
      </c>
      <c r="V2628" s="14" t="s">
        <v>3265</v>
      </c>
      <c r="W2628" s="0" t="s">
        <v>223</v>
      </c>
      <c r="X2628" s="14" t="s">
        <v>138</v>
      </c>
      <c r="Y2628" s="0" t="s">
        <v>224</v>
      </c>
      <c r="Z2628" s="14" t="s">
        <v>138</v>
      </c>
      <c r="AA2628" s="0" t="s">
        <v>224</v>
      </c>
      <c r="AB2628" s="14" t="s">
        <v>138</v>
      </c>
      <c r="AD2628" s="0" t="s">
        <v>14</v>
      </c>
      <c r="AF2628" s="0">
        <v>0</v>
      </c>
      <c r="AG2628" s="0">
        <v>0</v>
      </c>
      <c r="AH2628" s="0" t="s">
        <v>140</v>
      </c>
      <c r="AI2628" s="0" t="s">
        <v>232</v>
      </c>
      <c r="AL2628" s="14"/>
      <c r="AN2628" s="14"/>
      <c r="AQ2628" s="0" t="s">
        <v>130</v>
      </c>
      <c r="AR2628" s="0" t="s">
        <v>130</v>
      </c>
      <c r="AS2628" s="0" t="s">
        <v>141</v>
      </c>
      <c r="AT2628" s="0" t="s">
        <v>141</v>
      </c>
      <c r="AU2628" s="0" t="s">
        <v>141</v>
      </c>
      <c r="AV2628" s="0" t="s">
        <v>130</v>
      </c>
      <c r="AW2628" s="0" t="s">
        <v>130</v>
      </c>
      <c r="AX2628" s="0" t="s">
        <v>141</v>
      </c>
      <c r="AY2628" s="0" t="s">
        <v>130</v>
      </c>
      <c r="AZ2628" s="0" t="s">
        <v>141</v>
      </c>
      <c r="BA2628" s="0" t="s">
        <v>130</v>
      </c>
      <c r="BB2628" s="0" t="s">
        <v>130</v>
      </c>
      <c r="BC2628" s="0" t="s">
        <v>130</v>
      </c>
      <c r="BD2628" s="0" t="s">
        <v>130</v>
      </c>
      <c r="BE2628" s="0" t="s">
        <v>130</v>
      </c>
      <c r="BF2628" s="0" t="s">
        <v>141</v>
      </c>
      <c r="BG2628" s="0" t="s">
        <v>130</v>
      </c>
      <c r="BH2628" s="0" t="s">
        <v>130</v>
      </c>
      <c r="BI2628" s="0" t="s">
        <v>130</v>
      </c>
      <c r="BJ2628" s="0" t="s">
        <v>130</v>
      </c>
      <c r="BK2628" s="0" t="s">
        <v>130</v>
      </c>
      <c r="BL2628" s="0" t="s">
        <v>130</v>
      </c>
      <c r="BM2628" s="0" t="s">
        <v>130</v>
      </c>
      <c r="BN2628" s="0" t="s">
        <v>130</v>
      </c>
      <c r="BO2628" s="0" t="s">
        <v>130</v>
      </c>
      <c r="BP2628" s="0" t="s">
        <v>130</v>
      </c>
      <c r="BQ2628" s="0" t="s">
        <v>130</v>
      </c>
      <c r="BR2628" s="0" t="s">
        <v>130</v>
      </c>
      <c r="BS2628" s="0" t="s">
        <v>130</v>
      </c>
      <c r="BT2628" s="0" t="s">
        <v>130</v>
      </c>
      <c r="BU2628" s="0" t="s">
        <v>130</v>
      </c>
      <c r="BV2628" s="0" t="s">
        <v>130</v>
      </c>
      <c r="BW2628" s="0" t="s">
        <v>130</v>
      </c>
      <c r="BX2628" s="0" t="s">
        <v>130</v>
      </c>
      <c r="BY2628" s="0" t="s">
        <v>130</v>
      </c>
      <c r="BZ2628" s="0" t="s">
        <v>130</v>
      </c>
      <c r="CA2628" s="0" t="s">
        <v>130</v>
      </c>
      <c r="CB2628" s="0" t="s">
        <v>130</v>
      </c>
      <c r="CC2628" s="0" t="s">
        <v>130</v>
      </c>
      <c r="CD2628" s="0" t="s">
        <v>130</v>
      </c>
      <c r="CE2628" s="0" t="s">
        <v>130</v>
      </c>
      <c r="CF2628" s="0" t="s">
        <v>130</v>
      </c>
      <c r="CG2628" s="0" t="s">
        <v>130</v>
      </c>
      <c r="CH2628" s="0" t="s">
        <v>130</v>
      </c>
      <c r="CI2628" s="0" t="s">
        <v>130</v>
      </c>
      <c r="CJ2628" s="0" t="s">
        <v>130</v>
      </c>
      <c r="CK2628" s="0" t="s">
        <v>141</v>
      </c>
      <c r="CL2628" s="0" t="s">
        <v>130</v>
      </c>
      <c r="CM2628" s="0" t="s">
        <v>130</v>
      </c>
      <c r="CN2628" s="0" t="s">
        <v>130</v>
      </c>
      <c r="CO2628" s="0" t="s">
        <v>130</v>
      </c>
      <c r="CP2628" s="0" t="s">
        <v>130</v>
      </c>
      <c r="CQ2628" s="0" t="s">
        <v>130</v>
      </c>
      <c r="CR2628" s="0" t="s">
        <v>130</v>
      </c>
      <c r="CS2628" s="0" t="s">
        <v>130</v>
      </c>
      <c r="CT2628" s="0" t="s">
        <v>7116</v>
      </c>
    </row>
    <row r="2629">
      <c r="A2629" s="14">
        <v>61417091</v>
      </c>
      <c r="B2629" s="0" t="s">
        <v>4783</v>
      </c>
      <c r="C2629" s="16">
        <f>HYPERLINK("https://eosportal.federatedhermes.com/companies/Q29tcGFueQppNTI5MDc=", "Amcor PLC")</f>
      </c>
      <c r="D2629" s="0" t="s">
        <v>23</v>
      </c>
      <c r="E2629" s="0" t="s">
        <v>7117</v>
      </c>
      <c r="F2629" s="16">
        <f>HYPERLINK("https://eosportal.federatedhermes.com/engagements/RW5nYWdlbWVudAppMzU4Mzc=", "Disclosure of environmental management strategy")</f>
      </c>
      <c r="G2629" s="14" t="s">
        <v>7118</v>
      </c>
      <c r="H2629" s="0" t="s">
        <v>130</v>
      </c>
      <c r="I2629" s="14" t="s">
        <v>131</v>
      </c>
      <c r="J2629" s="0" t="s">
        <v>197</v>
      </c>
      <c r="K2629" s="0" t="s">
        <v>337</v>
      </c>
      <c r="L2629" s="0" t="s">
        <v>576</v>
      </c>
      <c r="M2629" s="0" t="s">
        <v>378</v>
      </c>
      <c r="N2629" s="0" t="s">
        <v>1059</v>
      </c>
      <c r="O2629" s="0" t="s">
        <v>373</v>
      </c>
      <c r="Q2629" s="0" t="s">
        <v>130</v>
      </c>
      <c r="R2629" s="0" t="s">
        <v>130</v>
      </c>
      <c r="S2629" s="14">
        <v>0</v>
      </c>
      <c r="T2629" s="0" t="s">
        <v>3265</v>
      </c>
      <c r="U2629" s="0" t="s">
        <v>221</v>
      </c>
      <c r="V2629" s="14" t="s">
        <v>3265</v>
      </c>
      <c r="W2629" s="0" t="s">
        <v>221</v>
      </c>
      <c r="X2629" s="14" t="s">
        <v>3265</v>
      </c>
      <c r="Y2629" s="0" t="s">
        <v>221</v>
      </c>
      <c r="Z2629" s="14" t="s">
        <v>449</v>
      </c>
      <c r="AA2629" s="0" t="s">
        <v>223</v>
      </c>
      <c r="AB2629" s="14" t="s">
        <v>138</v>
      </c>
      <c r="AD2629" s="0" t="s">
        <v>20</v>
      </c>
      <c r="AF2629" s="0">
        <v>0</v>
      </c>
      <c r="AG2629" s="0">
        <v>0</v>
      </c>
      <c r="AH2629" s="0" t="s">
        <v>140</v>
      </c>
      <c r="AI2629" s="0" t="s">
        <v>598</v>
      </c>
      <c r="AL2629" s="14"/>
      <c r="AN2629" s="14"/>
      <c r="AQ2629" s="0" t="s">
        <v>130</v>
      </c>
      <c r="AR2629" s="0" t="s">
        <v>130</v>
      </c>
      <c r="AS2629" s="0" t="s">
        <v>130</v>
      </c>
      <c r="AT2629" s="0" t="s">
        <v>130</v>
      </c>
      <c r="AU2629" s="0" t="s">
        <v>130</v>
      </c>
      <c r="AV2629" s="0" t="s">
        <v>130</v>
      </c>
      <c r="AW2629" s="0" t="s">
        <v>130</v>
      </c>
      <c r="AX2629" s="0" t="s">
        <v>130</v>
      </c>
      <c r="AY2629" s="0" t="s">
        <v>130</v>
      </c>
      <c r="AZ2629" s="0" t="s">
        <v>130</v>
      </c>
      <c r="BA2629" s="0" t="s">
        <v>141</v>
      </c>
      <c r="BB2629" s="0" t="s">
        <v>141</v>
      </c>
      <c r="BC2629" s="0" t="s">
        <v>130</v>
      </c>
      <c r="BD2629" s="0" t="s">
        <v>130</v>
      </c>
      <c r="BE2629" s="0" t="s">
        <v>141</v>
      </c>
      <c r="BF2629" s="0" t="s">
        <v>130</v>
      </c>
      <c r="BG2629" s="0" t="s">
        <v>130</v>
      </c>
      <c r="BH2629" s="0" t="s">
        <v>130</v>
      </c>
      <c r="BI2629" s="0" t="s">
        <v>130</v>
      </c>
      <c r="BJ2629" s="0" t="s">
        <v>130</v>
      </c>
      <c r="BK2629" s="0" t="s">
        <v>130</v>
      </c>
      <c r="BL2629" s="0" t="s">
        <v>130</v>
      </c>
      <c r="BM2629" s="0" t="s">
        <v>130</v>
      </c>
      <c r="BN2629" s="0" t="s">
        <v>130</v>
      </c>
      <c r="BO2629" s="0" t="s">
        <v>130</v>
      </c>
      <c r="BP2629" s="0" t="s">
        <v>130</v>
      </c>
      <c r="BQ2629" s="0" t="s">
        <v>130</v>
      </c>
      <c r="BR2629" s="0" t="s">
        <v>130</v>
      </c>
      <c r="BS2629" s="0" t="s">
        <v>130</v>
      </c>
      <c r="BT2629" s="0" t="s">
        <v>130</v>
      </c>
      <c r="BU2629" s="0" t="s">
        <v>130</v>
      </c>
      <c r="BV2629" s="0" t="s">
        <v>130</v>
      </c>
      <c r="BW2629" s="0" t="s">
        <v>130</v>
      </c>
      <c r="BX2629" s="0" t="s">
        <v>130</v>
      </c>
      <c r="BY2629" s="0" t="s">
        <v>130</v>
      </c>
      <c r="BZ2629" s="0" t="s">
        <v>130</v>
      </c>
      <c r="CA2629" s="0" t="s">
        <v>130</v>
      </c>
      <c r="CB2629" s="0" t="s">
        <v>130</v>
      </c>
      <c r="CC2629" s="0" t="s">
        <v>130</v>
      </c>
      <c r="CD2629" s="0" t="s">
        <v>130</v>
      </c>
      <c r="CE2629" s="0" t="s">
        <v>130</v>
      </c>
      <c r="CF2629" s="0" t="s">
        <v>130</v>
      </c>
      <c r="CG2629" s="0" t="s">
        <v>130</v>
      </c>
      <c r="CH2629" s="0" t="s">
        <v>130</v>
      </c>
      <c r="CI2629" s="0" t="s">
        <v>130</v>
      </c>
      <c r="CJ2629" s="0" t="s">
        <v>130</v>
      </c>
      <c r="CK2629" s="0" t="s">
        <v>130</v>
      </c>
      <c r="CL2629" s="0" t="s">
        <v>130</v>
      </c>
      <c r="CM2629" s="0" t="s">
        <v>130</v>
      </c>
      <c r="CN2629" s="0" t="s">
        <v>130</v>
      </c>
      <c r="CO2629" s="0" t="s">
        <v>130</v>
      </c>
      <c r="CP2629" s="0" t="s">
        <v>130</v>
      </c>
      <c r="CQ2629" s="0" t="s">
        <v>130</v>
      </c>
      <c r="CR2629" s="0" t="s">
        <v>130</v>
      </c>
      <c r="CS2629" s="0" t="s">
        <v>130</v>
      </c>
      <c r="CT2629" s="0" t="s">
        <v>7119</v>
      </c>
    </row>
    <row r="2630">
      <c r="A2630" s="14">
        <v>118130</v>
      </c>
      <c r="B2630" s="0" t="s">
        <v>2895</v>
      </c>
      <c r="C2630" s="16">
        <f>HYPERLINK("https://eosportal.federatedhermes.com/companies/Q29tcGFueQppNjI0ODA=", "Unipol Assicurazioni SPA")</f>
      </c>
      <c r="D2630" s="0" t="s">
        <v>23</v>
      </c>
      <c r="E2630" s="0" t="s">
        <v>7120</v>
      </c>
      <c r="F2630" s="16">
        <f>HYPERLINK("https://eosportal.federatedhermes.com/engagements/RW5nYWdlbWVudAppMzU4Mzk=", "Expansion of fossil fuel exclusion policy")</f>
      </c>
      <c r="G2630" s="14" t="s">
        <v>7121</v>
      </c>
      <c r="H2630" s="0" t="s">
        <v>130</v>
      </c>
      <c r="I2630" s="14" t="s">
        <v>131</v>
      </c>
      <c r="J2630" s="0" t="s">
        <v>197</v>
      </c>
      <c r="K2630" s="0" t="s">
        <v>198</v>
      </c>
      <c r="L2630" s="0" t="s">
        <v>216</v>
      </c>
      <c r="M2630" s="0" t="s">
        <v>378</v>
      </c>
      <c r="N2630" s="0" t="s">
        <v>2898</v>
      </c>
      <c r="O2630" s="0" t="s">
        <v>238</v>
      </c>
      <c r="Q2630" s="0" t="s">
        <v>141</v>
      </c>
      <c r="R2630" s="0" t="s">
        <v>130</v>
      </c>
      <c r="S2630" s="14">
        <v>1</v>
      </c>
      <c r="T2630" s="0" t="s">
        <v>3265</v>
      </c>
      <c r="U2630" s="0" t="s">
        <v>221</v>
      </c>
      <c r="V2630" s="14" t="s">
        <v>3265</v>
      </c>
      <c r="W2630" s="0" t="s">
        <v>221</v>
      </c>
      <c r="X2630" s="14" t="s">
        <v>3265</v>
      </c>
      <c r="Y2630" s="0" t="s">
        <v>223</v>
      </c>
      <c r="Z2630" s="14" t="s">
        <v>138</v>
      </c>
      <c r="AA2630" s="0" t="s">
        <v>224</v>
      </c>
      <c r="AB2630" s="14" t="s">
        <v>138</v>
      </c>
      <c r="AD2630" s="0" t="s">
        <v>17</v>
      </c>
      <c r="AF2630" s="0">
        <v>0</v>
      </c>
      <c r="AG2630" s="0">
        <v>0</v>
      </c>
      <c r="AH2630" s="0" t="s">
        <v>140</v>
      </c>
      <c r="AI2630" s="0" t="s">
        <v>598</v>
      </c>
      <c r="AK2630" s="0" t="s">
        <v>436</v>
      </c>
      <c r="AL2630" s="14"/>
      <c r="AN2630" s="14"/>
      <c r="AQ2630" s="0" t="s">
        <v>130</v>
      </c>
      <c r="AR2630" s="0" t="s">
        <v>130</v>
      </c>
      <c r="AS2630" s="0" t="s">
        <v>130</v>
      </c>
      <c r="AT2630" s="0" t="s">
        <v>130</v>
      </c>
      <c r="AU2630" s="0" t="s">
        <v>130</v>
      </c>
      <c r="AV2630" s="0" t="s">
        <v>130</v>
      </c>
      <c r="AW2630" s="0" t="s">
        <v>141</v>
      </c>
      <c r="AX2630" s="0" t="s">
        <v>130</v>
      </c>
      <c r="AY2630" s="0" t="s">
        <v>130</v>
      </c>
      <c r="AZ2630" s="0" t="s">
        <v>130</v>
      </c>
      <c r="BA2630" s="0" t="s">
        <v>130</v>
      </c>
      <c r="BB2630" s="0" t="s">
        <v>130</v>
      </c>
      <c r="BC2630" s="0" t="s">
        <v>141</v>
      </c>
      <c r="BD2630" s="0" t="s">
        <v>130</v>
      </c>
      <c r="BE2630" s="0" t="s">
        <v>130</v>
      </c>
      <c r="BF2630" s="0" t="s">
        <v>130</v>
      </c>
      <c r="BG2630" s="0" t="s">
        <v>130</v>
      </c>
      <c r="BH2630" s="0" t="s">
        <v>141</v>
      </c>
      <c r="BI2630" s="0" t="s">
        <v>141</v>
      </c>
      <c r="BJ2630" s="0" t="s">
        <v>141</v>
      </c>
      <c r="BK2630" s="0" t="s">
        <v>130</v>
      </c>
      <c r="BL2630" s="0" t="s">
        <v>130</v>
      </c>
      <c r="BM2630" s="0" t="s">
        <v>130</v>
      </c>
      <c r="BN2630" s="0" t="s">
        <v>130</v>
      </c>
      <c r="BO2630" s="0" t="s">
        <v>130</v>
      </c>
      <c r="BP2630" s="0" t="s">
        <v>130</v>
      </c>
      <c r="BQ2630" s="0" t="s">
        <v>130</v>
      </c>
      <c r="BR2630" s="0" t="s">
        <v>130</v>
      </c>
      <c r="BS2630" s="0" t="s">
        <v>130</v>
      </c>
      <c r="BT2630" s="0" t="s">
        <v>130</v>
      </c>
      <c r="BU2630" s="0" t="s">
        <v>130</v>
      </c>
      <c r="BV2630" s="0" t="s">
        <v>141</v>
      </c>
      <c r="BW2630" s="0" t="s">
        <v>141</v>
      </c>
      <c r="BX2630" s="0" t="s">
        <v>130</v>
      </c>
      <c r="BY2630" s="0" t="s">
        <v>130</v>
      </c>
      <c r="BZ2630" s="0" t="s">
        <v>130</v>
      </c>
      <c r="CA2630" s="0" t="s">
        <v>130</v>
      </c>
      <c r="CB2630" s="0" t="s">
        <v>130</v>
      </c>
      <c r="CC2630" s="0" t="s">
        <v>130</v>
      </c>
      <c r="CD2630" s="0" t="s">
        <v>130</v>
      </c>
      <c r="CE2630" s="0" t="s">
        <v>130</v>
      </c>
      <c r="CF2630" s="0" t="s">
        <v>130</v>
      </c>
      <c r="CG2630" s="0" t="s">
        <v>130</v>
      </c>
      <c r="CH2630" s="0" t="s">
        <v>130</v>
      </c>
      <c r="CI2630" s="0" t="s">
        <v>130</v>
      </c>
      <c r="CJ2630" s="0" t="s">
        <v>130</v>
      </c>
      <c r="CK2630" s="0" t="s">
        <v>130</v>
      </c>
      <c r="CL2630" s="0" t="s">
        <v>130</v>
      </c>
      <c r="CM2630" s="0" t="s">
        <v>130</v>
      </c>
      <c r="CN2630" s="0" t="s">
        <v>130</v>
      </c>
      <c r="CO2630" s="0" t="s">
        <v>130</v>
      </c>
      <c r="CP2630" s="0" t="s">
        <v>130</v>
      </c>
      <c r="CQ2630" s="0" t="s">
        <v>130</v>
      </c>
      <c r="CR2630" s="0" t="s">
        <v>130</v>
      </c>
      <c r="CS2630" s="0" t="s">
        <v>130</v>
      </c>
      <c r="CT2630" s="0" t="s">
        <v>7122</v>
      </c>
    </row>
    <row r="2631">
      <c r="A2631" s="14">
        <v>11092218</v>
      </c>
      <c r="B2631" s="0" t="s">
        <v>3976</v>
      </c>
      <c r="C2631" s="16">
        <f>HYPERLINK("https://eosportal.federatedhermes.com/companies/Q29tcGFueQppNjI1MDE=", "Meta Platforms Inc")</f>
      </c>
      <c r="D2631" s="0" t="s">
        <v>23</v>
      </c>
      <c r="E2631" s="0" t="s">
        <v>6149</v>
      </c>
      <c r="F2631" s="16">
        <f>HYPERLINK("https://eosportal.federatedhermes.com/engagements/RW5nYWdlbWVudAppMzU4NDA=", "Responsible taxation policy")</f>
      </c>
      <c r="G2631" s="14" t="s">
        <v>7123</v>
      </c>
      <c r="H2631" s="0" t="s">
        <v>141</v>
      </c>
      <c r="I2631" s="14" t="s">
        <v>191</v>
      </c>
      <c r="J2631" s="0" t="s">
        <v>153</v>
      </c>
      <c r="K2631" s="0" t="s">
        <v>185</v>
      </c>
      <c r="L2631" s="0" t="s">
        <v>548</v>
      </c>
      <c r="M2631" s="0" t="s">
        <v>135</v>
      </c>
      <c r="N2631" s="0" t="s">
        <v>136</v>
      </c>
      <c r="O2631" s="0" t="s">
        <v>137</v>
      </c>
      <c r="Q2631" s="0" t="s">
        <v>130</v>
      </c>
      <c r="R2631" s="0" t="s">
        <v>130</v>
      </c>
      <c r="S2631" s="14">
        <v>0</v>
      </c>
      <c r="T2631" s="0" t="s">
        <v>3265</v>
      </c>
      <c r="U2631" s="0" t="s">
        <v>221</v>
      </c>
      <c r="V2631" s="14" t="s">
        <v>3265</v>
      </c>
      <c r="W2631" s="0" t="s">
        <v>223</v>
      </c>
      <c r="X2631" s="14" t="s">
        <v>138</v>
      </c>
      <c r="Y2631" s="0" t="s">
        <v>224</v>
      </c>
      <c r="Z2631" s="14" t="s">
        <v>138</v>
      </c>
      <c r="AA2631" s="0" t="s">
        <v>224</v>
      </c>
      <c r="AB2631" s="14" t="s">
        <v>138</v>
      </c>
      <c r="AD2631" s="0" t="s">
        <v>14</v>
      </c>
      <c r="AF2631" s="0">
        <v>0</v>
      </c>
      <c r="AG2631" s="0">
        <v>0</v>
      </c>
      <c r="AH2631" s="0" t="s">
        <v>140</v>
      </c>
      <c r="AI2631" s="0" t="s">
        <v>232</v>
      </c>
      <c r="AL2631" s="14"/>
      <c r="AN2631" s="14"/>
      <c r="AQ2631" s="0" t="s">
        <v>130</v>
      </c>
      <c r="AR2631" s="0" t="s">
        <v>130</v>
      </c>
      <c r="AS2631" s="0" t="s">
        <v>130</v>
      </c>
      <c r="AT2631" s="0" t="s">
        <v>130</v>
      </c>
      <c r="AU2631" s="0" t="s">
        <v>130</v>
      </c>
      <c r="AV2631" s="0" t="s">
        <v>130</v>
      </c>
      <c r="AW2631" s="0" t="s">
        <v>130</v>
      </c>
      <c r="AX2631" s="0" t="s">
        <v>130</v>
      </c>
      <c r="AY2631" s="0" t="s">
        <v>130</v>
      </c>
      <c r="AZ2631" s="0" t="s">
        <v>130</v>
      </c>
      <c r="BA2631" s="0" t="s">
        <v>130</v>
      </c>
      <c r="BB2631" s="0" t="s">
        <v>130</v>
      </c>
      <c r="BC2631" s="0" t="s">
        <v>130</v>
      </c>
      <c r="BD2631" s="0" t="s">
        <v>130</v>
      </c>
      <c r="BE2631" s="0" t="s">
        <v>130</v>
      </c>
      <c r="BF2631" s="0" t="s">
        <v>130</v>
      </c>
      <c r="BG2631" s="0" t="s">
        <v>141</v>
      </c>
      <c r="BH2631" s="0" t="s">
        <v>130</v>
      </c>
      <c r="BI2631" s="0" t="s">
        <v>130</v>
      </c>
      <c r="BJ2631" s="0" t="s">
        <v>130</v>
      </c>
      <c r="BK2631" s="0" t="s">
        <v>130</v>
      </c>
      <c r="BL2631" s="0" t="s">
        <v>130</v>
      </c>
      <c r="BM2631" s="0" t="s">
        <v>130</v>
      </c>
      <c r="BN2631" s="0" t="s">
        <v>130</v>
      </c>
      <c r="BO2631" s="0" t="s">
        <v>130</v>
      </c>
      <c r="BP2631" s="0" t="s">
        <v>130</v>
      </c>
      <c r="BQ2631" s="0" t="s">
        <v>130</v>
      </c>
      <c r="BR2631" s="0" t="s">
        <v>130</v>
      </c>
      <c r="BS2631" s="0" t="s">
        <v>130</v>
      </c>
      <c r="BT2631" s="0" t="s">
        <v>130</v>
      </c>
      <c r="BU2631" s="0" t="s">
        <v>130</v>
      </c>
      <c r="BV2631" s="0" t="s">
        <v>130</v>
      </c>
      <c r="BW2631" s="0" t="s">
        <v>130</v>
      </c>
      <c r="BX2631" s="0" t="s">
        <v>130</v>
      </c>
      <c r="BY2631" s="0" t="s">
        <v>130</v>
      </c>
      <c r="BZ2631" s="0" t="s">
        <v>130</v>
      </c>
      <c r="CA2631" s="0" t="s">
        <v>130</v>
      </c>
      <c r="CB2631" s="0" t="s">
        <v>130</v>
      </c>
      <c r="CC2631" s="0" t="s">
        <v>130</v>
      </c>
      <c r="CD2631" s="0" t="s">
        <v>130</v>
      </c>
      <c r="CE2631" s="0" t="s">
        <v>130</v>
      </c>
      <c r="CF2631" s="0" t="s">
        <v>130</v>
      </c>
      <c r="CG2631" s="0" t="s">
        <v>130</v>
      </c>
      <c r="CH2631" s="0" t="s">
        <v>130</v>
      </c>
      <c r="CI2631" s="0" t="s">
        <v>130</v>
      </c>
      <c r="CJ2631" s="0" t="s">
        <v>130</v>
      </c>
      <c r="CK2631" s="0" t="s">
        <v>130</v>
      </c>
      <c r="CL2631" s="0" t="s">
        <v>130</v>
      </c>
      <c r="CM2631" s="0" t="s">
        <v>130</v>
      </c>
      <c r="CN2631" s="0" t="s">
        <v>130</v>
      </c>
      <c r="CO2631" s="0" t="s">
        <v>130</v>
      </c>
      <c r="CP2631" s="0" t="s">
        <v>130</v>
      </c>
      <c r="CQ2631" s="0" t="s">
        <v>130</v>
      </c>
      <c r="CR2631" s="0" t="s">
        <v>130</v>
      </c>
      <c r="CS2631" s="0" t="s">
        <v>130</v>
      </c>
      <c r="CT2631" s="0" t="s">
        <v>7124</v>
      </c>
    </row>
    <row r="2632">
      <c r="A2632" s="14">
        <v>876285</v>
      </c>
      <c r="B2632" s="0" t="s">
        <v>3407</v>
      </c>
      <c r="C2632" s="16">
        <f>HYPERLINK("https://eosportal.federatedhermes.com/companies/Q29tcGFueQppNDc0MDQ=", "Airbus SE")</f>
      </c>
      <c r="D2632" s="0" t="s">
        <v>25</v>
      </c>
      <c r="E2632" s="0" t="s">
        <v>7125</v>
      </c>
      <c r="F2632" s="16">
        <f>HYPERLINK("https://eosportal.federatedhermes.com/engagements/RW5nYWdlbWVudAppMzU4NTU=", "Business in high-risk regions")</f>
      </c>
      <c r="G2632" s="14" t="s">
        <v>7126</v>
      </c>
      <c r="H2632" s="0" t="s">
        <v>141</v>
      </c>
      <c r="I2632" s="14" t="s">
        <v>131</v>
      </c>
      <c r="J2632" s="0" t="s">
        <v>153</v>
      </c>
      <c r="K2632" s="0" t="s">
        <v>243</v>
      </c>
      <c r="L2632" s="0" t="s">
        <v>456</v>
      </c>
      <c r="M2632" s="0" t="s">
        <v>378</v>
      </c>
      <c r="N2632" s="0" t="s">
        <v>1646</v>
      </c>
      <c r="O2632" s="0" t="s">
        <v>176</v>
      </c>
      <c r="Q2632" s="0" t="s">
        <v>130</v>
      </c>
      <c r="R2632" s="0" t="s">
        <v>138</v>
      </c>
      <c r="S2632" s="14">
        <v>0</v>
      </c>
      <c r="T2632" s="0" t="s">
        <v>3265</v>
      </c>
      <c r="U2632" s="0" t="s">
        <v>138</v>
      </c>
      <c r="V2632" s="14" t="s">
        <v>138</v>
      </c>
      <c r="W2632" s="0" t="s">
        <v>138</v>
      </c>
      <c r="X2632" s="14" t="s">
        <v>138</v>
      </c>
      <c r="Y2632" s="0" t="s">
        <v>138</v>
      </c>
      <c r="Z2632" s="14" t="s">
        <v>138</v>
      </c>
      <c r="AA2632" s="0" t="s">
        <v>138</v>
      </c>
      <c r="AB2632" s="14" t="s">
        <v>138</v>
      </c>
      <c r="AD2632" s="0" t="s">
        <v>138</v>
      </c>
      <c r="AF2632" s="0">
        <v>0</v>
      </c>
      <c r="AG2632" s="0">
        <v>0</v>
      </c>
      <c r="AH2632" s="0" t="s">
        <v>140</v>
      </c>
      <c r="AI2632" s="0" t="s">
        <v>138</v>
      </c>
      <c r="AL2632" s="14"/>
      <c r="AN2632" s="14"/>
      <c r="AQ2632" s="0" t="s">
        <v>130</v>
      </c>
      <c r="AR2632" s="0" t="s">
        <v>130</v>
      </c>
      <c r="AS2632" s="0" t="s">
        <v>130</v>
      </c>
      <c r="AT2632" s="0" t="s">
        <v>130</v>
      </c>
      <c r="AU2632" s="0" t="s">
        <v>130</v>
      </c>
      <c r="AV2632" s="0" t="s">
        <v>130</v>
      </c>
      <c r="AW2632" s="0" t="s">
        <v>130</v>
      </c>
      <c r="AX2632" s="0" t="s">
        <v>141</v>
      </c>
      <c r="AY2632" s="0" t="s">
        <v>130</v>
      </c>
      <c r="AZ2632" s="0" t="s">
        <v>130</v>
      </c>
      <c r="BA2632" s="0" t="s">
        <v>130</v>
      </c>
      <c r="BB2632" s="0" t="s">
        <v>130</v>
      </c>
      <c r="BC2632" s="0" t="s">
        <v>130</v>
      </c>
      <c r="BD2632" s="0" t="s">
        <v>130</v>
      </c>
      <c r="BE2632" s="0" t="s">
        <v>130</v>
      </c>
      <c r="BF2632" s="0" t="s">
        <v>141</v>
      </c>
      <c r="BG2632" s="0" t="s">
        <v>130</v>
      </c>
      <c r="BH2632" s="0" t="s">
        <v>130</v>
      </c>
      <c r="BI2632" s="0" t="s">
        <v>130</v>
      </c>
      <c r="BJ2632" s="0" t="s">
        <v>130</v>
      </c>
      <c r="BK2632" s="0" t="s">
        <v>130</v>
      </c>
      <c r="BL2632" s="0" t="s">
        <v>130</v>
      </c>
      <c r="BM2632" s="0" t="s">
        <v>130</v>
      </c>
      <c r="BN2632" s="0" t="s">
        <v>130</v>
      </c>
      <c r="BO2632" s="0" t="s">
        <v>130</v>
      </c>
      <c r="BP2632" s="0" t="s">
        <v>141</v>
      </c>
      <c r="BQ2632" s="0" t="s">
        <v>130</v>
      </c>
      <c r="BR2632" s="0" t="s">
        <v>130</v>
      </c>
      <c r="BS2632" s="0" t="s">
        <v>130</v>
      </c>
      <c r="BT2632" s="0" t="s">
        <v>130</v>
      </c>
      <c r="BU2632" s="0" t="s">
        <v>130</v>
      </c>
      <c r="BV2632" s="0" t="s">
        <v>130</v>
      </c>
      <c r="BW2632" s="0" t="s">
        <v>130</v>
      </c>
      <c r="BX2632" s="0" t="s">
        <v>130</v>
      </c>
      <c r="BY2632" s="0" t="s">
        <v>130</v>
      </c>
      <c r="BZ2632" s="0" t="s">
        <v>130</v>
      </c>
      <c r="CA2632" s="0" t="s">
        <v>130</v>
      </c>
      <c r="CB2632" s="0" t="s">
        <v>130</v>
      </c>
      <c r="CC2632" s="0" t="s">
        <v>130</v>
      </c>
      <c r="CD2632" s="0" t="s">
        <v>130</v>
      </c>
      <c r="CE2632" s="0" t="s">
        <v>130</v>
      </c>
      <c r="CF2632" s="0" t="s">
        <v>130</v>
      </c>
      <c r="CG2632" s="0" t="s">
        <v>130</v>
      </c>
      <c r="CH2632" s="0" t="s">
        <v>130</v>
      </c>
      <c r="CI2632" s="0" t="s">
        <v>130</v>
      </c>
      <c r="CJ2632" s="0" t="s">
        <v>130</v>
      </c>
      <c r="CK2632" s="0" t="s">
        <v>130</v>
      </c>
      <c r="CL2632" s="0" t="s">
        <v>130</v>
      </c>
      <c r="CM2632" s="0" t="s">
        <v>130</v>
      </c>
      <c r="CN2632" s="0" t="s">
        <v>141</v>
      </c>
      <c r="CO2632" s="0" t="s">
        <v>130</v>
      </c>
      <c r="CP2632" s="0" t="s">
        <v>130</v>
      </c>
      <c r="CQ2632" s="0" t="s">
        <v>130</v>
      </c>
      <c r="CR2632" s="0" t="s">
        <v>130</v>
      </c>
      <c r="CS2632" s="0" t="s">
        <v>130</v>
      </c>
      <c r="CT2632" s="0" t="s">
        <v>7127</v>
      </c>
    </row>
    <row r="2633">
      <c r="A2633" s="14">
        <v>101215</v>
      </c>
      <c r="B2633" s="0" t="s">
        <v>1464</v>
      </c>
      <c r="C2633" s="16">
        <f>HYPERLINK("https://eosportal.federatedhermes.com/companies/Q29tcGFueQppNTIxNzY=", "Procter &amp; Gamble Co/The")</f>
      </c>
      <c r="D2633" s="0" t="s">
        <v>25</v>
      </c>
      <c r="E2633" s="0" t="s">
        <v>7128</v>
      </c>
      <c r="F2633" s="16">
        <f>HYPERLINK("https://eosportal.federatedhermes.com/engagements/RW5nYWdlbWVudAppMzU4NTY=", "Median gender and pay gap disclosure")</f>
      </c>
      <c r="G2633" s="14" t="s">
        <v>7129</v>
      </c>
      <c r="H2633" s="0" t="s">
        <v>141</v>
      </c>
      <c r="I2633" s="14" t="s">
        <v>191</v>
      </c>
      <c r="J2633" s="0" t="s">
        <v>153</v>
      </c>
      <c r="K2633" s="0" t="s">
        <v>154</v>
      </c>
      <c r="L2633" s="0" t="s">
        <v>268</v>
      </c>
      <c r="M2633" s="0" t="s">
        <v>135</v>
      </c>
      <c r="N2633" s="0" t="s">
        <v>136</v>
      </c>
      <c r="O2633" s="0" t="s">
        <v>332</v>
      </c>
      <c r="Q2633" s="0" t="s">
        <v>130</v>
      </c>
      <c r="R2633" s="0" t="s">
        <v>138</v>
      </c>
      <c r="S2633" s="14">
        <v>0</v>
      </c>
      <c r="T2633" s="0" t="s">
        <v>3265</v>
      </c>
      <c r="U2633" s="0" t="s">
        <v>138</v>
      </c>
      <c r="V2633" s="14" t="s">
        <v>138</v>
      </c>
      <c r="W2633" s="0" t="s">
        <v>138</v>
      </c>
      <c r="X2633" s="14" t="s">
        <v>138</v>
      </c>
      <c r="Y2633" s="0" t="s">
        <v>138</v>
      </c>
      <c r="Z2633" s="14" t="s">
        <v>138</v>
      </c>
      <c r="AA2633" s="0" t="s">
        <v>138</v>
      </c>
      <c r="AB2633" s="14" t="s">
        <v>138</v>
      </c>
      <c r="AD2633" s="0" t="s">
        <v>138</v>
      </c>
      <c r="AF2633" s="0">
        <v>0</v>
      </c>
      <c r="AG2633" s="0">
        <v>0</v>
      </c>
      <c r="AH2633" s="0" t="s">
        <v>140</v>
      </c>
      <c r="AI2633" s="0" t="s">
        <v>138</v>
      </c>
      <c r="AL2633" s="14"/>
      <c r="AN2633" s="14"/>
      <c r="AQ2633" s="0" t="s">
        <v>130</v>
      </c>
      <c r="AR2633" s="0" t="s">
        <v>130</v>
      </c>
      <c r="AS2633" s="0" t="s">
        <v>130</v>
      </c>
      <c r="AT2633" s="0" t="s">
        <v>130</v>
      </c>
      <c r="AU2633" s="0" t="s">
        <v>141</v>
      </c>
      <c r="AV2633" s="0" t="s">
        <v>130</v>
      </c>
      <c r="AW2633" s="0" t="s">
        <v>130</v>
      </c>
      <c r="AX2633" s="0" t="s">
        <v>141</v>
      </c>
      <c r="AY2633" s="0" t="s">
        <v>130</v>
      </c>
      <c r="AZ2633" s="0" t="s">
        <v>141</v>
      </c>
      <c r="BA2633" s="0" t="s">
        <v>130</v>
      </c>
      <c r="BB2633" s="0" t="s">
        <v>130</v>
      </c>
      <c r="BC2633" s="0" t="s">
        <v>130</v>
      </c>
      <c r="BD2633" s="0" t="s">
        <v>130</v>
      </c>
      <c r="BE2633" s="0" t="s">
        <v>130</v>
      </c>
      <c r="BF2633" s="0" t="s">
        <v>130</v>
      </c>
      <c r="BG2633" s="0" t="s">
        <v>130</v>
      </c>
      <c r="BH2633" s="0" t="s">
        <v>130</v>
      </c>
      <c r="BI2633" s="0" t="s">
        <v>130</v>
      </c>
      <c r="BJ2633" s="0" t="s">
        <v>130</v>
      </c>
      <c r="BK2633" s="0" t="s">
        <v>130</v>
      </c>
      <c r="BL2633" s="0" t="s">
        <v>130</v>
      </c>
      <c r="BM2633" s="0" t="s">
        <v>130</v>
      </c>
      <c r="BN2633" s="0" t="s">
        <v>130</v>
      </c>
      <c r="BO2633" s="0" t="s">
        <v>130</v>
      </c>
      <c r="BP2633" s="0" t="s">
        <v>130</v>
      </c>
      <c r="BQ2633" s="0" t="s">
        <v>130</v>
      </c>
      <c r="BR2633" s="0" t="s">
        <v>130</v>
      </c>
      <c r="BS2633" s="0" t="s">
        <v>130</v>
      </c>
      <c r="BT2633" s="0" t="s">
        <v>130</v>
      </c>
      <c r="BU2633" s="0" t="s">
        <v>130</v>
      </c>
      <c r="BV2633" s="0" t="s">
        <v>130</v>
      </c>
      <c r="BW2633" s="0" t="s">
        <v>130</v>
      </c>
      <c r="BX2633" s="0" t="s">
        <v>130</v>
      </c>
      <c r="BY2633" s="0" t="s">
        <v>130</v>
      </c>
      <c r="BZ2633" s="0" t="s">
        <v>130</v>
      </c>
      <c r="CA2633" s="0" t="s">
        <v>130</v>
      </c>
      <c r="CB2633" s="0" t="s">
        <v>130</v>
      </c>
      <c r="CC2633" s="0" t="s">
        <v>130</v>
      </c>
      <c r="CD2633" s="0" t="s">
        <v>130</v>
      </c>
      <c r="CE2633" s="0" t="s">
        <v>130</v>
      </c>
      <c r="CF2633" s="0" t="s">
        <v>130</v>
      </c>
      <c r="CG2633" s="0" t="s">
        <v>130</v>
      </c>
      <c r="CH2633" s="0" t="s">
        <v>130</v>
      </c>
      <c r="CI2633" s="0" t="s">
        <v>130</v>
      </c>
      <c r="CJ2633" s="0" t="s">
        <v>130</v>
      </c>
      <c r="CK2633" s="0" t="s">
        <v>141</v>
      </c>
      <c r="CL2633" s="0" t="s">
        <v>130</v>
      </c>
      <c r="CM2633" s="0" t="s">
        <v>130</v>
      </c>
      <c r="CN2633" s="0" t="s">
        <v>130</v>
      </c>
      <c r="CO2633" s="0" t="s">
        <v>130</v>
      </c>
      <c r="CP2633" s="0" t="s">
        <v>130</v>
      </c>
      <c r="CQ2633" s="0" t="s">
        <v>130</v>
      </c>
      <c r="CR2633" s="0" t="s">
        <v>130</v>
      </c>
      <c r="CS2633" s="0" t="s">
        <v>130</v>
      </c>
      <c r="CT2633" s="0" t="s">
        <v>7130</v>
      </c>
    </row>
    <row r="2634">
      <c r="A2634" s="14">
        <v>8957976</v>
      </c>
      <c r="B2634" s="0" t="s">
        <v>3934</v>
      </c>
      <c r="C2634" s="16">
        <f>HYPERLINK("https://eosportal.federatedhermes.com/companies/Q29tcGFueQppNTg5NDk=", "Tencent Holdings Ltd")</f>
      </c>
      <c r="D2634" s="0" t="s">
        <v>25</v>
      </c>
      <c r="E2634" s="0" t="s">
        <v>907</v>
      </c>
      <c r="F2634" s="16">
        <f>HYPERLINK("https://eosportal.federatedhermes.com/engagements/RW5nYWdlbWVudAppMzU4NTc=", "Climate change")</f>
      </c>
      <c r="G2634" s="14" t="s">
        <v>7131</v>
      </c>
      <c r="H2634" s="0" t="s">
        <v>141</v>
      </c>
      <c r="I2634" s="14" t="s">
        <v>191</v>
      </c>
      <c r="J2634" s="0" t="s">
        <v>197</v>
      </c>
      <c r="K2634" s="0" t="s">
        <v>198</v>
      </c>
      <c r="L2634" s="0" t="s">
        <v>216</v>
      </c>
      <c r="M2634" s="0" t="s">
        <v>2807</v>
      </c>
      <c r="N2634" s="0" t="s">
        <v>3272</v>
      </c>
      <c r="O2634" s="0" t="s">
        <v>137</v>
      </c>
      <c r="Q2634" s="0" t="s">
        <v>130</v>
      </c>
      <c r="R2634" s="0" t="s">
        <v>138</v>
      </c>
      <c r="S2634" s="14">
        <v>0</v>
      </c>
      <c r="T2634" s="0" t="s">
        <v>3265</v>
      </c>
      <c r="U2634" s="0" t="s">
        <v>138</v>
      </c>
      <c r="V2634" s="14" t="s">
        <v>138</v>
      </c>
      <c r="W2634" s="0" t="s">
        <v>138</v>
      </c>
      <c r="X2634" s="14" t="s">
        <v>138</v>
      </c>
      <c r="Y2634" s="0" t="s">
        <v>138</v>
      </c>
      <c r="Z2634" s="14" t="s">
        <v>138</v>
      </c>
      <c r="AA2634" s="0" t="s">
        <v>138</v>
      </c>
      <c r="AB2634" s="14" t="s">
        <v>138</v>
      </c>
      <c r="AD2634" s="0" t="s">
        <v>138</v>
      </c>
      <c r="AF2634" s="0">
        <v>0</v>
      </c>
      <c r="AG2634" s="0">
        <v>0</v>
      </c>
      <c r="AH2634" s="0" t="s">
        <v>140</v>
      </c>
      <c r="AI2634" s="0" t="s">
        <v>138</v>
      </c>
      <c r="AL2634" s="14"/>
      <c r="AN2634" s="14"/>
      <c r="AQ2634" s="0" t="s">
        <v>130</v>
      </c>
      <c r="AR2634" s="0" t="s">
        <v>130</v>
      </c>
      <c r="AS2634" s="0" t="s">
        <v>130</v>
      </c>
      <c r="AT2634" s="0" t="s">
        <v>130</v>
      </c>
      <c r="AU2634" s="0" t="s">
        <v>130</v>
      </c>
      <c r="AV2634" s="0" t="s">
        <v>130</v>
      </c>
      <c r="AW2634" s="0" t="s">
        <v>141</v>
      </c>
      <c r="AX2634" s="0" t="s">
        <v>130</v>
      </c>
      <c r="AY2634" s="0" t="s">
        <v>141</v>
      </c>
      <c r="AZ2634" s="0" t="s">
        <v>130</v>
      </c>
      <c r="BA2634" s="0" t="s">
        <v>130</v>
      </c>
      <c r="BB2634" s="0" t="s">
        <v>130</v>
      </c>
      <c r="BC2634" s="0" t="s">
        <v>141</v>
      </c>
      <c r="BD2634" s="0" t="s">
        <v>130</v>
      </c>
      <c r="BE2634" s="0" t="s">
        <v>130</v>
      </c>
      <c r="BF2634" s="0" t="s">
        <v>130</v>
      </c>
      <c r="BG2634" s="0" t="s">
        <v>130</v>
      </c>
      <c r="BH2634" s="0" t="s">
        <v>141</v>
      </c>
      <c r="BI2634" s="0" t="s">
        <v>141</v>
      </c>
      <c r="BJ2634" s="0" t="s">
        <v>141</v>
      </c>
      <c r="BK2634" s="0" t="s">
        <v>141</v>
      </c>
      <c r="BL2634" s="0" t="s">
        <v>141</v>
      </c>
      <c r="BM2634" s="0" t="s">
        <v>130</v>
      </c>
      <c r="BN2634" s="0" t="s">
        <v>130</v>
      </c>
      <c r="BO2634" s="0" t="s">
        <v>130</v>
      </c>
      <c r="BP2634" s="0" t="s">
        <v>130</v>
      </c>
      <c r="BQ2634" s="0" t="s">
        <v>130</v>
      </c>
      <c r="BR2634" s="0" t="s">
        <v>130</v>
      </c>
      <c r="BS2634" s="0" t="s">
        <v>130</v>
      </c>
      <c r="BT2634" s="0" t="s">
        <v>130</v>
      </c>
      <c r="BU2634" s="0" t="s">
        <v>130</v>
      </c>
      <c r="BV2634" s="0" t="s">
        <v>141</v>
      </c>
      <c r="BW2634" s="0" t="s">
        <v>141</v>
      </c>
      <c r="BX2634" s="0" t="s">
        <v>130</v>
      </c>
      <c r="BY2634" s="0" t="s">
        <v>130</v>
      </c>
      <c r="BZ2634" s="0" t="s">
        <v>130</v>
      </c>
      <c r="CA2634" s="0" t="s">
        <v>130</v>
      </c>
      <c r="CB2634" s="0" t="s">
        <v>130</v>
      </c>
      <c r="CC2634" s="0" t="s">
        <v>130</v>
      </c>
      <c r="CD2634" s="0" t="s">
        <v>130</v>
      </c>
      <c r="CE2634" s="0" t="s">
        <v>130</v>
      </c>
      <c r="CF2634" s="0" t="s">
        <v>130</v>
      </c>
      <c r="CG2634" s="0" t="s">
        <v>130</v>
      </c>
      <c r="CH2634" s="0" t="s">
        <v>130</v>
      </c>
      <c r="CI2634" s="0" t="s">
        <v>130</v>
      </c>
      <c r="CJ2634" s="0" t="s">
        <v>130</v>
      </c>
      <c r="CK2634" s="0" t="s">
        <v>130</v>
      </c>
      <c r="CL2634" s="0" t="s">
        <v>130</v>
      </c>
      <c r="CM2634" s="0" t="s">
        <v>130</v>
      </c>
      <c r="CN2634" s="0" t="s">
        <v>130</v>
      </c>
      <c r="CO2634" s="0" t="s">
        <v>130</v>
      </c>
      <c r="CP2634" s="0" t="s">
        <v>130</v>
      </c>
      <c r="CQ2634" s="0" t="s">
        <v>130</v>
      </c>
      <c r="CR2634" s="0" t="s">
        <v>130</v>
      </c>
      <c r="CS2634" s="0" t="s">
        <v>130</v>
      </c>
      <c r="CT2634" s="0" t="s">
        <v>7132</v>
      </c>
    </row>
    <row r="2635">
      <c r="A2635" s="14">
        <v>100169</v>
      </c>
      <c r="B2635" s="0" t="s">
        <v>4846</v>
      </c>
      <c r="C2635" s="16">
        <f>HYPERLINK("https://eosportal.federatedhermes.com/companies/Q29tcGFueQppNjc3MzE=", "Barclays PLC")</f>
      </c>
      <c r="D2635" s="0" t="s">
        <v>23</v>
      </c>
      <c r="E2635" s="0" t="s">
        <v>7133</v>
      </c>
      <c r="F2635" s="16">
        <f>HYPERLINK("https://eosportal.federatedhermes.com/engagements/RW5nYWdlbWVudAppMzU4NjU=", "Improved disclosures on climate aligned lobbying")</f>
      </c>
      <c r="G2635" s="14" t="s">
        <v>7134</v>
      </c>
      <c r="H2635" s="0" t="s">
        <v>141</v>
      </c>
      <c r="I2635" s="14" t="s">
        <v>191</v>
      </c>
      <c r="J2635" s="0" t="s">
        <v>197</v>
      </c>
      <c r="K2635" s="0" t="s">
        <v>198</v>
      </c>
      <c r="L2635" s="0" t="s">
        <v>199</v>
      </c>
      <c r="M2635" s="0" t="s">
        <v>272</v>
      </c>
      <c r="N2635" s="0" t="s">
        <v>273</v>
      </c>
      <c r="O2635" s="0" t="s">
        <v>238</v>
      </c>
      <c r="Q2635" s="0" t="s">
        <v>130</v>
      </c>
      <c r="R2635" s="0" t="s">
        <v>130</v>
      </c>
      <c r="S2635" s="14">
        <v>0</v>
      </c>
      <c r="T2635" s="0" t="s">
        <v>446</v>
      </c>
      <c r="U2635" s="0" t="s">
        <v>221</v>
      </c>
      <c r="V2635" s="14" t="s">
        <v>446</v>
      </c>
      <c r="W2635" s="0" t="s">
        <v>223</v>
      </c>
      <c r="X2635" s="14" t="s">
        <v>138</v>
      </c>
      <c r="Y2635" s="0" t="s">
        <v>224</v>
      </c>
      <c r="Z2635" s="14" t="s">
        <v>138</v>
      </c>
      <c r="AA2635" s="0" t="s">
        <v>224</v>
      </c>
      <c r="AB2635" s="14" t="s">
        <v>138</v>
      </c>
      <c r="AD2635" s="0" t="s">
        <v>14</v>
      </c>
      <c r="AF2635" s="0">
        <v>0</v>
      </c>
      <c r="AG2635" s="0">
        <v>0</v>
      </c>
      <c r="AH2635" s="0" t="s">
        <v>140</v>
      </c>
      <c r="AI2635" s="0" t="s">
        <v>479</v>
      </c>
      <c r="AL2635" s="14"/>
      <c r="AN2635" s="14"/>
      <c r="AQ2635" s="0" t="s">
        <v>130</v>
      </c>
      <c r="AR2635" s="0" t="s">
        <v>130</v>
      </c>
      <c r="AS2635" s="0" t="s">
        <v>130</v>
      </c>
      <c r="AT2635" s="0" t="s">
        <v>130</v>
      </c>
      <c r="AU2635" s="0" t="s">
        <v>130</v>
      </c>
      <c r="AV2635" s="0" t="s">
        <v>130</v>
      </c>
      <c r="AW2635" s="0" t="s">
        <v>130</v>
      </c>
      <c r="AX2635" s="0" t="s">
        <v>130</v>
      </c>
      <c r="AY2635" s="0" t="s">
        <v>130</v>
      </c>
      <c r="AZ2635" s="0" t="s">
        <v>130</v>
      </c>
      <c r="BA2635" s="0" t="s">
        <v>130</v>
      </c>
      <c r="BB2635" s="0" t="s">
        <v>141</v>
      </c>
      <c r="BC2635" s="0" t="s">
        <v>141</v>
      </c>
      <c r="BD2635" s="0" t="s">
        <v>130</v>
      </c>
      <c r="BE2635" s="0" t="s">
        <v>130</v>
      </c>
      <c r="BF2635" s="0" t="s">
        <v>130</v>
      </c>
      <c r="BG2635" s="0" t="s">
        <v>130</v>
      </c>
      <c r="BH2635" s="0" t="s">
        <v>130</v>
      </c>
      <c r="BI2635" s="0" t="s">
        <v>130</v>
      </c>
      <c r="BJ2635" s="0" t="s">
        <v>130</v>
      </c>
      <c r="BK2635" s="0" t="s">
        <v>130</v>
      </c>
      <c r="BL2635" s="0" t="s">
        <v>130</v>
      </c>
      <c r="BM2635" s="0" t="s">
        <v>130</v>
      </c>
      <c r="BN2635" s="0" t="s">
        <v>130</v>
      </c>
      <c r="BO2635" s="0" t="s">
        <v>130</v>
      </c>
      <c r="BP2635" s="0" t="s">
        <v>130</v>
      </c>
      <c r="BQ2635" s="0" t="s">
        <v>130</v>
      </c>
      <c r="BR2635" s="0" t="s">
        <v>130</v>
      </c>
      <c r="BS2635" s="0" t="s">
        <v>130</v>
      </c>
      <c r="BT2635" s="0" t="s">
        <v>130</v>
      </c>
      <c r="BU2635" s="0" t="s">
        <v>130</v>
      </c>
      <c r="BV2635" s="0" t="s">
        <v>130</v>
      </c>
      <c r="BW2635" s="0" t="s">
        <v>130</v>
      </c>
      <c r="BX2635" s="0" t="s">
        <v>130</v>
      </c>
      <c r="BY2635" s="0" t="s">
        <v>130</v>
      </c>
      <c r="BZ2635" s="0" t="s">
        <v>130</v>
      </c>
      <c r="CA2635" s="0" t="s">
        <v>130</v>
      </c>
      <c r="CB2635" s="0" t="s">
        <v>130</v>
      </c>
      <c r="CC2635" s="0" t="s">
        <v>130</v>
      </c>
      <c r="CD2635" s="0" t="s">
        <v>130</v>
      </c>
      <c r="CE2635" s="0" t="s">
        <v>130</v>
      </c>
      <c r="CF2635" s="0" t="s">
        <v>130</v>
      </c>
      <c r="CG2635" s="0" t="s">
        <v>130</v>
      </c>
      <c r="CH2635" s="0" t="s">
        <v>130</v>
      </c>
      <c r="CI2635" s="0" t="s">
        <v>130</v>
      </c>
      <c r="CJ2635" s="0" t="s">
        <v>130</v>
      </c>
      <c r="CK2635" s="0" t="s">
        <v>130</v>
      </c>
      <c r="CL2635" s="0" t="s">
        <v>130</v>
      </c>
      <c r="CM2635" s="0" t="s">
        <v>130</v>
      </c>
      <c r="CN2635" s="0" t="s">
        <v>130</v>
      </c>
      <c r="CO2635" s="0" t="s">
        <v>130</v>
      </c>
      <c r="CP2635" s="0" t="s">
        <v>130</v>
      </c>
      <c r="CQ2635" s="0" t="s">
        <v>130</v>
      </c>
      <c r="CR2635" s="0" t="s">
        <v>130</v>
      </c>
      <c r="CS2635" s="0" t="s">
        <v>130</v>
      </c>
      <c r="CT2635" s="0" t="s">
        <v>7135</v>
      </c>
    </row>
    <row r="2636">
      <c r="A2636" s="14">
        <v>115679</v>
      </c>
      <c r="B2636" s="0" t="s">
        <v>2603</v>
      </c>
      <c r="C2636" s="16">
        <f>HYPERLINK("https://eosportal.federatedhermes.com/companies/Q29tcGFueQppNTg5NzU=", "Bayer AG")</f>
      </c>
      <c r="D2636" s="0" t="s">
        <v>25</v>
      </c>
      <c r="E2636" s="0" t="s">
        <v>1031</v>
      </c>
      <c r="F2636" s="16">
        <f>HYPERLINK("https://eosportal.federatedhermes.com/engagements/RW5nYWdlbWVudAppMzU4ODQ=", "Access to Medicine")</f>
      </c>
      <c r="G2636" s="14" t="s">
        <v>7136</v>
      </c>
      <c r="H2636" s="0" t="s">
        <v>141</v>
      </c>
      <c r="I2636" s="14" t="s">
        <v>1645</v>
      </c>
      <c r="J2636" s="0" t="s">
        <v>153</v>
      </c>
      <c r="K2636" s="0" t="s">
        <v>243</v>
      </c>
      <c r="L2636" s="0" t="s">
        <v>292</v>
      </c>
      <c r="M2636" s="0" t="s">
        <v>378</v>
      </c>
      <c r="N2636" s="0" t="s">
        <v>2485</v>
      </c>
      <c r="O2636" s="0" t="s">
        <v>274</v>
      </c>
      <c r="Q2636" s="0" t="s">
        <v>130</v>
      </c>
      <c r="R2636" s="0" t="s">
        <v>138</v>
      </c>
      <c r="S2636" s="14">
        <v>0</v>
      </c>
      <c r="T2636" s="0" t="s">
        <v>2842</v>
      </c>
      <c r="U2636" s="0" t="s">
        <v>138</v>
      </c>
      <c r="V2636" s="14" t="s">
        <v>138</v>
      </c>
      <c r="W2636" s="0" t="s">
        <v>138</v>
      </c>
      <c r="X2636" s="14" t="s">
        <v>138</v>
      </c>
      <c r="Y2636" s="0" t="s">
        <v>138</v>
      </c>
      <c r="Z2636" s="14" t="s">
        <v>138</v>
      </c>
      <c r="AA2636" s="0" t="s">
        <v>138</v>
      </c>
      <c r="AB2636" s="14" t="s">
        <v>138</v>
      </c>
      <c r="AD2636" s="0" t="s">
        <v>138</v>
      </c>
      <c r="AF2636" s="0">
        <v>0</v>
      </c>
      <c r="AG2636" s="0">
        <v>0</v>
      </c>
      <c r="AH2636" s="0" t="s">
        <v>140</v>
      </c>
      <c r="AI2636" s="0" t="s">
        <v>138</v>
      </c>
      <c r="AL2636" s="14"/>
      <c r="AN2636" s="14"/>
      <c r="AQ2636" s="0" t="s">
        <v>130</v>
      </c>
      <c r="AR2636" s="0" t="s">
        <v>130</v>
      </c>
      <c r="AS2636" s="0" t="s">
        <v>141</v>
      </c>
      <c r="AT2636" s="0" t="s">
        <v>130</v>
      </c>
      <c r="AU2636" s="0" t="s">
        <v>130</v>
      </c>
      <c r="AV2636" s="0" t="s">
        <v>130</v>
      </c>
      <c r="AW2636" s="0" t="s">
        <v>130</v>
      </c>
      <c r="AX2636" s="0" t="s">
        <v>130</v>
      </c>
      <c r="AY2636" s="0" t="s">
        <v>130</v>
      </c>
      <c r="AZ2636" s="0" t="s">
        <v>130</v>
      </c>
      <c r="BA2636" s="0" t="s">
        <v>130</v>
      </c>
      <c r="BB2636" s="0" t="s">
        <v>130</v>
      </c>
      <c r="BC2636" s="0" t="s">
        <v>130</v>
      </c>
      <c r="BD2636" s="0" t="s">
        <v>130</v>
      </c>
      <c r="BE2636" s="0" t="s">
        <v>130</v>
      </c>
      <c r="BF2636" s="0" t="s">
        <v>130</v>
      </c>
      <c r="BG2636" s="0" t="s">
        <v>130</v>
      </c>
      <c r="BH2636" s="0" t="s">
        <v>130</v>
      </c>
      <c r="BI2636" s="0" t="s">
        <v>130</v>
      </c>
      <c r="BJ2636" s="0" t="s">
        <v>130</v>
      </c>
      <c r="BK2636" s="0" t="s">
        <v>130</v>
      </c>
      <c r="BL2636" s="0" t="s">
        <v>130</v>
      </c>
      <c r="BM2636" s="0" t="s">
        <v>130</v>
      </c>
      <c r="BN2636" s="0" t="s">
        <v>130</v>
      </c>
      <c r="BO2636" s="0" t="s">
        <v>130</v>
      </c>
      <c r="BP2636" s="0" t="s">
        <v>130</v>
      </c>
      <c r="BQ2636" s="0" t="s">
        <v>130</v>
      </c>
      <c r="BR2636" s="0" t="s">
        <v>130</v>
      </c>
      <c r="BS2636" s="0" t="s">
        <v>130</v>
      </c>
      <c r="BT2636" s="0" t="s">
        <v>130</v>
      </c>
      <c r="BU2636" s="0" t="s">
        <v>130</v>
      </c>
      <c r="BV2636" s="0" t="s">
        <v>130</v>
      </c>
      <c r="BW2636" s="0" t="s">
        <v>130</v>
      </c>
      <c r="BX2636" s="0" t="s">
        <v>130</v>
      </c>
      <c r="BY2636" s="0" t="s">
        <v>130</v>
      </c>
      <c r="BZ2636" s="0" t="s">
        <v>130</v>
      </c>
      <c r="CA2636" s="0" t="s">
        <v>130</v>
      </c>
      <c r="CB2636" s="0" t="s">
        <v>130</v>
      </c>
      <c r="CC2636" s="0" t="s">
        <v>130</v>
      </c>
      <c r="CD2636" s="0" t="s">
        <v>130</v>
      </c>
      <c r="CE2636" s="0" t="s">
        <v>130</v>
      </c>
      <c r="CF2636" s="0" t="s">
        <v>130</v>
      </c>
      <c r="CG2636" s="0" t="s">
        <v>130</v>
      </c>
      <c r="CH2636" s="0" t="s">
        <v>130</v>
      </c>
      <c r="CI2636" s="0" t="s">
        <v>130</v>
      </c>
      <c r="CJ2636" s="0" t="s">
        <v>130</v>
      </c>
      <c r="CK2636" s="0" t="s">
        <v>130</v>
      </c>
      <c r="CL2636" s="0" t="s">
        <v>130</v>
      </c>
      <c r="CM2636" s="0" t="s">
        <v>130</v>
      </c>
      <c r="CN2636" s="0" t="s">
        <v>130</v>
      </c>
      <c r="CO2636" s="0" t="s">
        <v>130</v>
      </c>
      <c r="CP2636" s="0" t="s">
        <v>130</v>
      </c>
      <c r="CQ2636" s="0" t="s">
        <v>130</v>
      </c>
      <c r="CR2636" s="0" t="s">
        <v>130</v>
      </c>
      <c r="CS2636" s="0" t="s">
        <v>130</v>
      </c>
      <c r="CT2636" s="0" t="s">
        <v>7137</v>
      </c>
    </row>
    <row r="2637">
      <c r="A2637" s="14">
        <v>100995</v>
      </c>
      <c r="B2637" s="0" t="s">
        <v>1122</v>
      </c>
      <c r="C2637" s="16">
        <f>HYPERLINK("https://eosportal.federatedhermes.com/companies/Q29tcGFueQppNDQ3Mjc=", "Micron Technology Inc")</f>
      </c>
      <c r="D2637" s="0" t="s">
        <v>23</v>
      </c>
      <c r="E2637" s="0" t="s">
        <v>7054</v>
      </c>
      <c r="F2637" s="16">
        <f>HYPERLINK("https://eosportal.federatedhermes.com/engagements/RW5nYWdlbWVudAppMzU5Mzc=", "Critical Minerals Policy")</f>
      </c>
      <c r="G2637" s="14" t="s">
        <v>7138</v>
      </c>
      <c r="H2637" s="0" t="s">
        <v>141</v>
      </c>
      <c r="I2637" s="14" t="s">
        <v>191</v>
      </c>
      <c r="J2637" s="0" t="s">
        <v>153</v>
      </c>
      <c r="K2637" s="0" t="s">
        <v>243</v>
      </c>
      <c r="L2637" s="0" t="s">
        <v>244</v>
      </c>
      <c r="M2637" s="0" t="s">
        <v>135</v>
      </c>
      <c r="N2637" s="0" t="s">
        <v>136</v>
      </c>
      <c r="O2637" s="0" t="s">
        <v>1125</v>
      </c>
      <c r="Q2637" s="0" t="s">
        <v>130</v>
      </c>
      <c r="R2637" s="0" t="s">
        <v>130</v>
      </c>
      <c r="S2637" s="14">
        <v>0</v>
      </c>
      <c r="T2637" s="0" t="s">
        <v>360</v>
      </c>
      <c r="U2637" s="0" t="s">
        <v>221</v>
      </c>
      <c r="V2637" s="14" t="s">
        <v>360</v>
      </c>
      <c r="W2637" s="0" t="s">
        <v>221</v>
      </c>
      <c r="X2637" s="14" t="s">
        <v>3562</v>
      </c>
      <c r="Y2637" s="0" t="s">
        <v>223</v>
      </c>
      <c r="Z2637" s="14" t="s">
        <v>138</v>
      </c>
      <c r="AA2637" s="0" t="s">
        <v>224</v>
      </c>
      <c r="AB2637" s="14" t="s">
        <v>138</v>
      </c>
      <c r="AD2637" s="0" t="s">
        <v>17</v>
      </c>
      <c r="AF2637" s="0">
        <v>0</v>
      </c>
      <c r="AG2637" s="0">
        <v>0</v>
      </c>
      <c r="AH2637" s="0" t="s">
        <v>140</v>
      </c>
      <c r="AI2637" s="0" t="s">
        <v>479</v>
      </c>
      <c r="AL2637" s="14"/>
      <c r="AN2637" s="14"/>
      <c r="AQ2637" s="0" t="s">
        <v>130</v>
      </c>
      <c r="AR2637" s="0" t="s">
        <v>130</v>
      </c>
      <c r="AS2637" s="0" t="s">
        <v>130</v>
      </c>
      <c r="AT2637" s="0" t="s">
        <v>130</v>
      </c>
      <c r="AU2637" s="0" t="s">
        <v>130</v>
      </c>
      <c r="AV2637" s="0" t="s">
        <v>130</v>
      </c>
      <c r="AW2637" s="0" t="s">
        <v>130</v>
      </c>
      <c r="AX2637" s="0" t="s">
        <v>141</v>
      </c>
      <c r="AY2637" s="0" t="s">
        <v>130</v>
      </c>
      <c r="AZ2637" s="0" t="s">
        <v>130</v>
      </c>
      <c r="BA2637" s="0" t="s">
        <v>130</v>
      </c>
      <c r="BB2637" s="0" t="s">
        <v>130</v>
      </c>
      <c r="BC2637" s="0" t="s">
        <v>130</v>
      </c>
      <c r="BD2637" s="0" t="s">
        <v>130</v>
      </c>
      <c r="BE2637" s="0" t="s">
        <v>130</v>
      </c>
      <c r="BF2637" s="0" t="s">
        <v>130</v>
      </c>
      <c r="BG2637" s="0" t="s">
        <v>130</v>
      </c>
      <c r="BH2637" s="0" t="s">
        <v>130</v>
      </c>
      <c r="BI2637" s="0" t="s">
        <v>130</v>
      </c>
      <c r="BJ2637" s="0" t="s">
        <v>130</v>
      </c>
      <c r="BK2637" s="0" t="s">
        <v>130</v>
      </c>
      <c r="BL2637" s="0" t="s">
        <v>130</v>
      </c>
      <c r="BM2637" s="0" t="s">
        <v>130</v>
      </c>
      <c r="BN2637" s="0" t="s">
        <v>130</v>
      </c>
      <c r="BO2637" s="0" t="s">
        <v>130</v>
      </c>
      <c r="BP2637" s="0" t="s">
        <v>130</v>
      </c>
      <c r="BQ2637" s="0" t="s">
        <v>130</v>
      </c>
      <c r="BR2637" s="0" t="s">
        <v>130</v>
      </c>
      <c r="BS2637" s="0" t="s">
        <v>130</v>
      </c>
      <c r="BT2637" s="0" t="s">
        <v>130</v>
      </c>
      <c r="BU2637" s="0" t="s">
        <v>130</v>
      </c>
      <c r="BV2637" s="0" t="s">
        <v>130</v>
      </c>
      <c r="BW2637" s="0" t="s">
        <v>130</v>
      </c>
      <c r="BX2637" s="0" t="s">
        <v>130</v>
      </c>
      <c r="BY2637" s="0" t="s">
        <v>130</v>
      </c>
      <c r="BZ2637" s="0" t="s">
        <v>130</v>
      </c>
      <c r="CA2637" s="0" t="s">
        <v>130</v>
      </c>
      <c r="CB2637" s="0" t="s">
        <v>130</v>
      </c>
      <c r="CC2637" s="0" t="s">
        <v>130</v>
      </c>
      <c r="CD2637" s="0" t="s">
        <v>130</v>
      </c>
      <c r="CE2637" s="0" t="s">
        <v>130</v>
      </c>
      <c r="CF2637" s="0" t="s">
        <v>130</v>
      </c>
      <c r="CG2637" s="0" t="s">
        <v>130</v>
      </c>
      <c r="CH2637" s="0" t="s">
        <v>130</v>
      </c>
      <c r="CI2637" s="0" t="s">
        <v>130</v>
      </c>
      <c r="CJ2637" s="0" t="s">
        <v>130</v>
      </c>
      <c r="CK2637" s="0" t="s">
        <v>130</v>
      </c>
      <c r="CL2637" s="0" t="s">
        <v>130</v>
      </c>
      <c r="CM2637" s="0" t="s">
        <v>130</v>
      </c>
      <c r="CN2637" s="0" t="s">
        <v>130</v>
      </c>
      <c r="CO2637" s="0" t="s">
        <v>130</v>
      </c>
      <c r="CP2637" s="0" t="s">
        <v>130</v>
      </c>
      <c r="CQ2637" s="0" t="s">
        <v>130</v>
      </c>
      <c r="CR2637" s="0" t="s">
        <v>130</v>
      </c>
      <c r="CS2637" s="0" t="s">
        <v>130</v>
      </c>
      <c r="CT2637" s="0" t="s">
        <v>7139</v>
      </c>
    </row>
    <row r="2638">
      <c r="A2638" s="14">
        <v>36507453</v>
      </c>
      <c r="B2638" s="0" t="s">
        <v>4479</v>
      </c>
      <c r="C2638" s="16">
        <f>HYPERLINK("https://eosportal.federatedhermes.com/companies/Q29tcGFueQppNjI0Njg=", "CNH Industrial NV")</f>
      </c>
      <c r="D2638" s="0" t="s">
        <v>23</v>
      </c>
      <c r="E2638" s="0" t="s">
        <v>228</v>
      </c>
      <c r="F2638" s="16">
        <f>HYPERLINK("https://eosportal.federatedhermes.com/engagements/RW5nYWdlbWVudAppMzU5NDE=", "Climate strategy")</f>
      </c>
      <c r="G2638" s="14" t="s">
        <v>477</v>
      </c>
      <c r="H2638" s="0" t="s">
        <v>130</v>
      </c>
      <c r="I2638" s="14" t="s">
        <v>131</v>
      </c>
      <c r="J2638" s="0" t="s">
        <v>197</v>
      </c>
      <c r="K2638" s="0" t="s">
        <v>198</v>
      </c>
      <c r="L2638" s="0" t="s">
        <v>220</v>
      </c>
      <c r="M2638" s="0" t="s">
        <v>272</v>
      </c>
      <c r="N2638" s="0" t="s">
        <v>273</v>
      </c>
      <c r="O2638" s="0" t="s">
        <v>176</v>
      </c>
      <c r="Q2638" s="0" t="s">
        <v>141</v>
      </c>
      <c r="R2638" s="0" t="s">
        <v>130</v>
      </c>
      <c r="S2638" s="14">
        <v>1</v>
      </c>
      <c r="T2638" s="0" t="s">
        <v>2842</v>
      </c>
      <c r="U2638" s="0" t="s">
        <v>221</v>
      </c>
      <c r="V2638" s="14" t="s">
        <v>2842</v>
      </c>
      <c r="W2638" s="0" t="s">
        <v>221</v>
      </c>
      <c r="X2638" s="14" t="s">
        <v>2842</v>
      </c>
      <c r="Y2638" s="0" t="s">
        <v>221</v>
      </c>
      <c r="Z2638" s="14" t="s">
        <v>4412</v>
      </c>
      <c r="AA2638" s="0" t="s">
        <v>223</v>
      </c>
      <c r="AB2638" s="14" t="s">
        <v>138</v>
      </c>
      <c r="AD2638" s="0" t="s">
        <v>20</v>
      </c>
      <c r="AF2638" s="0">
        <v>0</v>
      </c>
      <c r="AG2638" s="0">
        <v>0</v>
      </c>
      <c r="AH2638" s="0" t="s">
        <v>140</v>
      </c>
      <c r="AI2638" s="0" t="s">
        <v>598</v>
      </c>
      <c r="AK2638" s="0" t="s">
        <v>3996</v>
      </c>
      <c r="AL2638" s="14"/>
      <c r="AN2638" s="14"/>
      <c r="AQ2638" s="0" t="s">
        <v>130</v>
      </c>
      <c r="AR2638" s="0" t="s">
        <v>130</v>
      </c>
      <c r="AS2638" s="0" t="s">
        <v>130</v>
      </c>
      <c r="AT2638" s="0" t="s">
        <v>130</v>
      </c>
      <c r="AU2638" s="0" t="s">
        <v>130</v>
      </c>
      <c r="AV2638" s="0" t="s">
        <v>130</v>
      </c>
      <c r="AW2638" s="0" t="s">
        <v>141</v>
      </c>
      <c r="AX2638" s="0" t="s">
        <v>130</v>
      </c>
      <c r="AY2638" s="0" t="s">
        <v>141</v>
      </c>
      <c r="AZ2638" s="0" t="s">
        <v>130</v>
      </c>
      <c r="BA2638" s="0" t="s">
        <v>130</v>
      </c>
      <c r="BB2638" s="0" t="s">
        <v>130</v>
      </c>
      <c r="BC2638" s="0" t="s">
        <v>141</v>
      </c>
      <c r="BD2638" s="0" t="s">
        <v>130</v>
      </c>
      <c r="BE2638" s="0" t="s">
        <v>130</v>
      </c>
      <c r="BF2638" s="0" t="s">
        <v>130</v>
      </c>
      <c r="BG2638" s="0" t="s">
        <v>130</v>
      </c>
      <c r="BH2638" s="0" t="s">
        <v>141</v>
      </c>
      <c r="BI2638" s="0" t="s">
        <v>141</v>
      </c>
      <c r="BJ2638" s="0" t="s">
        <v>141</v>
      </c>
      <c r="BK2638" s="0" t="s">
        <v>130</v>
      </c>
      <c r="BL2638" s="0" t="s">
        <v>130</v>
      </c>
      <c r="BM2638" s="0" t="s">
        <v>130</v>
      </c>
      <c r="BN2638" s="0" t="s">
        <v>130</v>
      </c>
      <c r="BO2638" s="0" t="s">
        <v>130</v>
      </c>
      <c r="BP2638" s="0" t="s">
        <v>130</v>
      </c>
      <c r="BQ2638" s="0" t="s">
        <v>130</v>
      </c>
      <c r="BR2638" s="0" t="s">
        <v>130</v>
      </c>
      <c r="BS2638" s="0" t="s">
        <v>130</v>
      </c>
      <c r="BT2638" s="0" t="s">
        <v>130</v>
      </c>
      <c r="BU2638" s="0" t="s">
        <v>130</v>
      </c>
      <c r="BV2638" s="0" t="s">
        <v>141</v>
      </c>
      <c r="BW2638" s="0" t="s">
        <v>141</v>
      </c>
      <c r="BX2638" s="0" t="s">
        <v>130</v>
      </c>
      <c r="BY2638" s="0" t="s">
        <v>130</v>
      </c>
      <c r="BZ2638" s="0" t="s">
        <v>130</v>
      </c>
      <c r="CA2638" s="0" t="s">
        <v>130</v>
      </c>
      <c r="CB2638" s="0" t="s">
        <v>130</v>
      </c>
      <c r="CC2638" s="0" t="s">
        <v>130</v>
      </c>
      <c r="CD2638" s="0" t="s">
        <v>130</v>
      </c>
      <c r="CE2638" s="0" t="s">
        <v>130</v>
      </c>
      <c r="CF2638" s="0" t="s">
        <v>130</v>
      </c>
      <c r="CG2638" s="0" t="s">
        <v>130</v>
      </c>
      <c r="CH2638" s="0" t="s">
        <v>130</v>
      </c>
      <c r="CI2638" s="0" t="s">
        <v>130</v>
      </c>
      <c r="CJ2638" s="0" t="s">
        <v>130</v>
      </c>
      <c r="CK2638" s="0" t="s">
        <v>130</v>
      </c>
      <c r="CL2638" s="0" t="s">
        <v>130</v>
      </c>
      <c r="CM2638" s="0" t="s">
        <v>130</v>
      </c>
      <c r="CN2638" s="0" t="s">
        <v>130</v>
      </c>
      <c r="CO2638" s="0" t="s">
        <v>130</v>
      </c>
      <c r="CP2638" s="0" t="s">
        <v>130</v>
      </c>
      <c r="CQ2638" s="0" t="s">
        <v>130</v>
      </c>
      <c r="CR2638" s="0" t="s">
        <v>130</v>
      </c>
      <c r="CS2638" s="0" t="s">
        <v>130</v>
      </c>
      <c r="CT2638" s="0" t="s">
        <v>7140</v>
      </c>
    </row>
    <row r="2639">
      <c r="A2639" s="14">
        <v>115505</v>
      </c>
      <c r="B2639" s="0" t="s">
        <v>2425</v>
      </c>
      <c r="C2639" s="16">
        <f>HYPERLINK("https://eosportal.federatedhermes.com/companies/Q29tcGFueQppNTg5NTA=", "Vinci SA")</f>
      </c>
      <c r="D2639" s="0" t="s">
        <v>25</v>
      </c>
      <c r="E2639" s="0" t="s">
        <v>1034</v>
      </c>
      <c r="F2639" s="16">
        <f>HYPERLINK("https://eosportal.federatedhermes.com/engagements/RW5nYWdlbWVudAppMzU5Nzg=", "Board composition")</f>
      </c>
      <c r="G2639" s="14" t="s">
        <v>7141</v>
      </c>
      <c r="H2639" s="0" t="s">
        <v>141</v>
      </c>
      <c r="I2639" s="14" t="s">
        <v>191</v>
      </c>
      <c r="J2639" s="0" t="s">
        <v>145</v>
      </c>
      <c r="K2639" s="0" t="s">
        <v>164</v>
      </c>
      <c r="L2639" s="0" t="s">
        <v>165</v>
      </c>
      <c r="M2639" s="0" t="s">
        <v>378</v>
      </c>
      <c r="N2639" s="0" t="s">
        <v>1646</v>
      </c>
      <c r="O2639" s="0" t="s">
        <v>176</v>
      </c>
      <c r="Q2639" s="0" t="s">
        <v>130</v>
      </c>
      <c r="R2639" s="0" t="s">
        <v>138</v>
      </c>
      <c r="S2639" s="14">
        <v>0</v>
      </c>
      <c r="T2639" s="0" t="s">
        <v>2842</v>
      </c>
      <c r="U2639" s="0" t="s">
        <v>138</v>
      </c>
      <c r="V2639" s="14" t="s">
        <v>138</v>
      </c>
      <c r="W2639" s="0" t="s">
        <v>138</v>
      </c>
      <c r="X2639" s="14" t="s">
        <v>138</v>
      </c>
      <c r="Y2639" s="0" t="s">
        <v>138</v>
      </c>
      <c r="Z2639" s="14" t="s">
        <v>138</v>
      </c>
      <c r="AA2639" s="0" t="s">
        <v>138</v>
      </c>
      <c r="AB2639" s="14" t="s">
        <v>138</v>
      </c>
      <c r="AD2639" s="0" t="s">
        <v>138</v>
      </c>
      <c r="AF2639" s="0">
        <v>0</v>
      </c>
      <c r="AG2639" s="0">
        <v>0</v>
      </c>
      <c r="AH2639" s="0" t="s">
        <v>140</v>
      </c>
      <c r="AI2639" s="0" t="s">
        <v>138</v>
      </c>
      <c r="AL2639" s="14"/>
      <c r="AN2639" s="14"/>
      <c r="AQ2639" s="0" t="s">
        <v>130</v>
      </c>
      <c r="AR2639" s="0" t="s">
        <v>130</v>
      </c>
      <c r="AS2639" s="0" t="s">
        <v>130</v>
      </c>
      <c r="AT2639" s="0" t="s">
        <v>130</v>
      </c>
      <c r="AU2639" s="0" t="s">
        <v>130</v>
      </c>
      <c r="AV2639" s="0" t="s">
        <v>130</v>
      </c>
      <c r="AW2639" s="0" t="s">
        <v>130</v>
      </c>
      <c r="AX2639" s="0" t="s">
        <v>130</v>
      </c>
      <c r="AY2639" s="0" t="s">
        <v>130</v>
      </c>
      <c r="AZ2639" s="0" t="s">
        <v>130</v>
      </c>
      <c r="BA2639" s="0" t="s">
        <v>130</v>
      </c>
      <c r="BB2639" s="0" t="s">
        <v>130</v>
      </c>
      <c r="BC2639" s="0" t="s">
        <v>130</v>
      </c>
      <c r="BD2639" s="0" t="s">
        <v>130</v>
      </c>
      <c r="BE2639" s="0" t="s">
        <v>130</v>
      </c>
      <c r="BF2639" s="0" t="s">
        <v>130</v>
      </c>
      <c r="BG2639" s="0" t="s">
        <v>130</v>
      </c>
      <c r="BH2639" s="0" t="s">
        <v>130</v>
      </c>
      <c r="BI2639" s="0" t="s">
        <v>130</v>
      </c>
      <c r="BJ2639" s="0" t="s">
        <v>130</v>
      </c>
      <c r="BK2639" s="0" t="s">
        <v>130</v>
      </c>
      <c r="BL2639" s="0" t="s">
        <v>130</v>
      </c>
      <c r="BM2639" s="0" t="s">
        <v>130</v>
      </c>
      <c r="BN2639" s="0" t="s">
        <v>130</v>
      </c>
      <c r="BO2639" s="0" t="s">
        <v>130</v>
      </c>
      <c r="BP2639" s="0" t="s">
        <v>130</v>
      </c>
      <c r="BQ2639" s="0" t="s">
        <v>130</v>
      </c>
      <c r="BR2639" s="0" t="s">
        <v>130</v>
      </c>
      <c r="BS2639" s="0" t="s">
        <v>130</v>
      </c>
      <c r="BT2639" s="0" t="s">
        <v>130</v>
      </c>
      <c r="BU2639" s="0" t="s">
        <v>130</v>
      </c>
      <c r="BV2639" s="0" t="s">
        <v>130</v>
      </c>
      <c r="BW2639" s="0" t="s">
        <v>130</v>
      </c>
      <c r="BX2639" s="0" t="s">
        <v>130</v>
      </c>
      <c r="BY2639" s="0" t="s">
        <v>130</v>
      </c>
      <c r="BZ2639" s="0" t="s">
        <v>130</v>
      </c>
      <c r="CA2639" s="0" t="s">
        <v>130</v>
      </c>
      <c r="CB2639" s="0" t="s">
        <v>130</v>
      </c>
      <c r="CC2639" s="0" t="s">
        <v>130</v>
      </c>
      <c r="CD2639" s="0" t="s">
        <v>130</v>
      </c>
      <c r="CE2639" s="0" t="s">
        <v>130</v>
      </c>
      <c r="CF2639" s="0" t="s">
        <v>130</v>
      </c>
      <c r="CG2639" s="0" t="s">
        <v>130</v>
      </c>
      <c r="CH2639" s="0" t="s">
        <v>130</v>
      </c>
      <c r="CI2639" s="0" t="s">
        <v>130</v>
      </c>
      <c r="CJ2639" s="0" t="s">
        <v>130</v>
      </c>
      <c r="CK2639" s="0" t="s">
        <v>130</v>
      </c>
      <c r="CL2639" s="0" t="s">
        <v>130</v>
      </c>
      <c r="CM2639" s="0" t="s">
        <v>130</v>
      </c>
      <c r="CN2639" s="0" t="s">
        <v>130</v>
      </c>
      <c r="CO2639" s="0" t="s">
        <v>130</v>
      </c>
      <c r="CP2639" s="0" t="s">
        <v>130</v>
      </c>
      <c r="CQ2639" s="0" t="s">
        <v>130</v>
      </c>
      <c r="CR2639" s="0" t="s">
        <v>130</v>
      </c>
      <c r="CS2639" s="0" t="s">
        <v>130</v>
      </c>
      <c r="CT2639" s="0" t="s">
        <v>7142</v>
      </c>
    </row>
    <row r="2640">
      <c r="A2640" s="14">
        <v>9545052</v>
      </c>
      <c r="B2640" s="0" t="s">
        <v>127</v>
      </c>
      <c r="C2640" s="16">
        <f>HYPERLINK("https://eosportal.federatedhermes.com/companies/Q29tcGFueQppODM4MjI=", "Warner Bros Discovery Inc")</f>
      </c>
      <c r="D2640" s="0" t="s">
        <v>23</v>
      </c>
      <c r="E2640" s="0" t="s">
        <v>7143</v>
      </c>
      <c r="F2640" s="16">
        <f>HYPERLINK("https://eosportal.federatedhermes.com/engagements/RW5nYWdlbWVudAppMzU5OTc=", "Increase Long Term Focus of Remuneration Practices")</f>
      </c>
      <c r="G2640" s="14" t="s">
        <v>7144</v>
      </c>
      <c r="H2640" s="0" t="s">
        <v>130</v>
      </c>
      <c r="I2640" s="14" t="s">
        <v>131</v>
      </c>
      <c r="J2640" s="0" t="s">
        <v>145</v>
      </c>
      <c r="K2640" s="0" t="s">
        <v>146</v>
      </c>
      <c r="L2640" s="0" t="s">
        <v>147</v>
      </c>
      <c r="M2640" s="0" t="s">
        <v>135</v>
      </c>
      <c r="N2640" s="0" t="s">
        <v>136</v>
      </c>
      <c r="O2640" s="0" t="s">
        <v>137</v>
      </c>
      <c r="Q2640" s="0" t="s">
        <v>141</v>
      </c>
      <c r="R2640" s="0" t="s">
        <v>130</v>
      </c>
      <c r="S2640" s="14">
        <v>1</v>
      </c>
      <c r="T2640" s="0" t="s">
        <v>446</v>
      </c>
      <c r="U2640" s="0" t="s">
        <v>221</v>
      </c>
      <c r="V2640" s="14" t="s">
        <v>446</v>
      </c>
      <c r="W2640" s="0" t="s">
        <v>221</v>
      </c>
      <c r="X2640" s="14" t="s">
        <v>2842</v>
      </c>
      <c r="Y2640" s="0" t="s">
        <v>221</v>
      </c>
      <c r="Z2640" s="14" t="s">
        <v>449</v>
      </c>
      <c r="AA2640" s="0" t="s">
        <v>223</v>
      </c>
      <c r="AB2640" s="14" t="s">
        <v>138</v>
      </c>
      <c r="AD2640" s="0" t="s">
        <v>20</v>
      </c>
      <c r="AF2640" s="0">
        <v>0</v>
      </c>
      <c r="AG2640" s="0">
        <v>0</v>
      </c>
      <c r="AH2640" s="0" t="s">
        <v>140</v>
      </c>
      <c r="AI2640" s="0" t="s">
        <v>598</v>
      </c>
      <c r="AK2640" s="0" t="s">
        <v>149</v>
      </c>
      <c r="AL2640" s="14"/>
      <c r="AN2640" s="14"/>
      <c r="AQ2640" s="0" t="s">
        <v>130</v>
      </c>
      <c r="AR2640" s="0" t="s">
        <v>130</v>
      </c>
      <c r="AS2640" s="0" t="s">
        <v>130</v>
      </c>
      <c r="AT2640" s="0" t="s">
        <v>130</v>
      </c>
      <c r="AU2640" s="0" t="s">
        <v>130</v>
      </c>
      <c r="AV2640" s="0" t="s">
        <v>130</v>
      </c>
      <c r="AW2640" s="0" t="s">
        <v>130</v>
      </c>
      <c r="AX2640" s="0" t="s">
        <v>130</v>
      </c>
      <c r="AY2640" s="0" t="s">
        <v>130</v>
      </c>
      <c r="AZ2640" s="0" t="s">
        <v>130</v>
      </c>
      <c r="BA2640" s="0" t="s">
        <v>130</v>
      </c>
      <c r="BB2640" s="0" t="s">
        <v>130</v>
      </c>
      <c r="BC2640" s="0" t="s">
        <v>130</v>
      </c>
      <c r="BD2640" s="0" t="s">
        <v>130</v>
      </c>
      <c r="BE2640" s="0" t="s">
        <v>130</v>
      </c>
      <c r="BF2640" s="0" t="s">
        <v>130</v>
      </c>
      <c r="BG2640" s="0" t="s">
        <v>130</v>
      </c>
      <c r="BH2640" s="0" t="s">
        <v>130</v>
      </c>
      <c r="BI2640" s="0" t="s">
        <v>130</v>
      </c>
      <c r="BJ2640" s="0" t="s">
        <v>130</v>
      </c>
      <c r="BK2640" s="0" t="s">
        <v>130</v>
      </c>
      <c r="BL2640" s="0" t="s">
        <v>130</v>
      </c>
      <c r="BM2640" s="0" t="s">
        <v>130</v>
      </c>
      <c r="BN2640" s="0" t="s">
        <v>130</v>
      </c>
      <c r="BO2640" s="0" t="s">
        <v>130</v>
      </c>
      <c r="BP2640" s="0" t="s">
        <v>130</v>
      </c>
      <c r="BQ2640" s="0" t="s">
        <v>130</v>
      </c>
      <c r="BR2640" s="0" t="s">
        <v>130</v>
      </c>
      <c r="BS2640" s="0" t="s">
        <v>130</v>
      </c>
      <c r="BT2640" s="0" t="s">
        <v>130</v>
      </c>
      <c r="BU2640" s="0" t="s">
        <v>130</v>
      </c>
      <c r="BV2640" s="0" t="s">
        <v>130</v>
      </c>
      <c r="BW2640" s="0" t="s">
        <v>130</v>
      </c>
      <c r="BX2640" s="0" t="s">
        <v>130</v>
      </c>
      <c r="BY2640" s="0" t="s">
        <v>130</v>
      </c>
      <c r="BZ2640" s="0" t="s">
        <v>130</v>
      </c>
      <c r="CA2640" s="0" t="s">
        <v>130</v>
      </c>
      <c r="CB2640" s="0" t="s">
        <v>130</v>
      </c>
      <c r="CC2640" s="0" t="s">
        <v>130</v>
      </c>
      <c r="CD2640" s="0" t="s">
        <v>130</v>
      </c>
      <c r="CE2640" s="0" t="s">
        <v>130</v>
      </c>
      <c r="CF2640" s="0" t="s">
        <v>130</v>
      </c>
      <c r="CG2640" s="0" t="s">
        <v>130</v>
      </c>
      <c r="CH2640" s="0" t="s">
        <v>130</v>
      </c>
      <c r="CI2640" s="0" t="s">
        <v>130</v>
      </c>
      <c r="CJ2640" s="0" t="s">
        <v>130</v>
      </c>
      <c r="CK2640" s="0" t="s">
        <v>130</v>
      </c>
      <c r="CL2640" s="0" t="s">
        <v>130</v>
      </c>
      <c r="CM2640" s="0" t="s">
        <v>130</v>
      </c>
      <c r="CN2640" s="0" t="s">
        <v>130</v>
      </c>
      <c r="CO2640" s="0" t="s">
        <v>130</v>
      </c>
      <c r="CP2640" s="0" t="s">
        <v>130</v>
      </c>
      <c r="CQ2640" s="0" t="s">
        <v>130</v>
      </c>
      <c r="CR2640" s="0" t="s">
        <v>130</v>
      </c>
      <c r="CS2640" s="0" t="s">
        <v>130</v>
      </c>
      <c r="CT2640" s="0" t="s">
        <v>7145</v>
      </c>
    </row>
    <row r="2641">
      <c r="A2641" s="14">
        <v>116646</v>
      </c>
      <c r="B2641" s="0" t="s">
        <v>2753</v>
      </c>
      <c r="C2641" s="16">
        <f>HYPERLINK("https://eosportal.federatedhermes.com/companies/Q29tcGFueQppNzM3NzM=", "Morgan Stanley")</f>
      </c>
      <c r="D2641" s="0" t="s">
        <v>23</v>
      </c>
      <c r="E2641" s="0" t="s">
        <v>5543</v>
      </c>
      <c r="F2641" s="16">
        <f>HYPERLINK("https://eosportal.federatedhermes.com/engagements/RW5nYWdlbWVudAppMzYwMTk=", "Methane management best practices")</f>
      </c>
      <c r="G2641" s="14" t="s">
        <v>5544</v>
      </c>
      <c r="H2641" s="0" t="s">
        <v>141</v>
      </c>
      <c r="I2641" s="14" t="s">
        <v>131</v>
      </c>
      <c r="J2641" s="0" t="s">
        <v>197</v>
      </c>
      <c r="K2641" s="0" t="s">
        <v>198</v>
      </c>
      <c r="L2641" s="0" t="s">
        <v>220</v>
      </c>
      <c r="M2641" s="0" t="s">
        <v>135</v>
      </c>
      <c r="N2641" s="0" t="s">
        <v>136</v>
      </c>
      <c r="O2641" s="0" t="s">
        <v>238</v>
      </c>
      <c r="Q2641" s="0" t="s">
        <v>130</v>
      </c>
      <c r="R2641" s="0" t="s">
        <v>130</v>
      </c>
      <c r="S2641" s="14">
        <v>0</v>
      </c>
      <c r="T2641" s="0" t="s">
        <v>360</v>
      </c>
      <c r="U2641" s="0" t="s">
        <v>221</v>
      </c>
      <c r="V2641" s="14" t="s">
        <v>360</v>
      </c>
      <c r="W2641" s="0" t="s">
        <v>221</v>
      </c>
      <c r="X2641" s="14" t="s">
        <v>3562</v>
      </c>
      <c r="Y2641" s="0" t="s">
        <v>221</v>
      </c>
      <c r="Z2641" s="14" t="s">
        <v>2428</v>
      </c>
      <c r="AA2641" s="0" t="s">
        <v>223</v>
      </c>
      <c r="AB2641" s="14" t="s">
        <v>138</v>
      </c>
      <c r="AD2641" s="0" t="s">
        <v>20</v>
      </c>
      <c r="AF2641" s="0">
        <v>0</v>
      </c>
      <c r="AG2641" s="0">
        <v>0</v>
      </c>
      <c r="AH2641" s="0" t="s">
        <v>140</v>
      </c>
      <c r="AI2641" s="0" t="s">
        <v>598</v>
      </c>
      <c r="AL2641" s="14"/>
      <c r="AN2641" s="14"/>
      <c r="AQ2641" s="0" t="s">
        <v>130</v>
      </c>
      <c r="AR2641" s="0" t="s">
        <v>130</v>
      </c>
      <c r="AS2641" s="0" t="s">
        <v>130</v>
      </c>
      <c r="AT2641" s="0" t="s">
        <v>130</v>
      </c>
      <c r="AU2641" s="0" t="s">
        <v>130</v>
      </c>
      <c r="AV2641" s="0" t="s">
        <v>130</v>
      </c>
      <c r="AW2641" s="0" t="s">
        <v>141</v>
      </c>
      <c r="AX2641" s="0" t="s">
        <v>130</v>
      </c>
      <c r="AY2641" s="0" t="s">
        <v>141</v>
      </c>
      <c r="AZ2641" s="0" t="s">
        <v>130</v>
      </c>
      <c r="BA2641" s="0" t="s">
        <v>130</v>
      </c>
      <c r="BB2641" s="0" t="s">
        <v>130</v>
      </c>
      <c r="BC2641" s="0" t="s">
        <v>141</v>
      </c>
      <c r="BD2641" s="0" t="s">
        <v>130</v>
      </c>
      <c r="BE2641" s="0" t="s">
        <v>130</v>
      </c>
      <c r="BF2641" s="0" t="s">
        <v>130</v>
      </c>
      <c r="BG2641" s="0" t="s">
        <v>130</v>
      </c>
      <c r="BH2641" s="0" t="s">
        <v>141</v>
      </c>
      <c r="BI2641" s="0" t="s">
        <v>141</v>
      </c>
      <c r="BJ2641" s="0" t="s">
        <v>141</v>
      </c>
      <c r="BK2641" s="0" t="s">
        <v>130</v>
      </c>
      <c r="BL2641" s="0" t="s">
        <v>130</v>
      </c>
      <c r="BM2641" s="0" t="s">
        <v>130</v>
      </c>
      <c r="BN2641" s="0" t="s">
        <v>130</v>
      </c>
      <c r="BO2641" s="0" t="s">
        <v>130</v>
      </c>
      <c r="BP2641" s="0" t="s">
        <v>130</v>
      </c>
      <c r="BQ2641" s="0" t="s">
        <v>130</v>
      </c>
      <c r="BR2641" s="0" t="s">
        <v>130</v>
      </c>
      <c r="BS2641" s="0" t="s">
        <v>130</v>
      </c>
      <c r="BT2641" s="0" t="s">
        <v>130</v>
      </c>
      <c r="BU2641" s="0" t="s">
        <v>130</v>
      </c>
      <c r="BV2641" s="0" t="s">
        <v>141</v>
      </c>
      <c r="BW2641" s="0" t="s">
        <v>141</v>
      </c>
      <c r="BX2641" s="0" t="s">
        <v>130</v>
      </c>
      <c r="BY2641" s="0" t="s">
        <v>130</v>
      </c>
      <c r="BZ2641" s="0" t="s">
        <v>130</v>
      </c>
      <c r="CA2641" s="0" t="s">
        <v>130</v>
      </c>
      <c r="CB2641" s="0" t="s">
        <v>130</v>
      </c>
      <c r="CC2641" s="0" t="s">
        <v>130</v>
      </c>
      <c r="CD2641" s="0" t="s">
        <v>130</v>
      </c>
      <c r="CE2641" s="0" t="s">
        <v>130</v>
      </c>
      <c r="CF2641" s="0" t="s">
        <v>130</v>
      </c>
      <c r="CG2641" s="0" t="s">
        <v>130</v>
      </c>
      <c r="CH2641" s="0" t="s">
        <v>130</v>
      </c>
      <c r="CI2641" s="0" t="s">
        <v>130</v>
      </c>
      <c r="CJ2641" s="0" t="s">
        <v>130</v>
      </c>
      <c r="CK2641" s="0" t="s">
        <v>130</v>
      </c>
      <c r="CL2641" s="0" t="s">
        <v>130</v>
      </c>
      <c r="CM2641" s="0" t="s">
        <v>130</v>
      </c>
      <c r="CN2641" s="0" t="s">
        <v>130</v>
      </c>
      <c r="CO2641" s="0" t="s">
        <v>130</v>
      </c>
      <c r="CP2641" s="0" t="s">
        <v>130</v>
      </c>
      <c r="CQ2641" s="0" t="s">
        <v>130</v>
      </c>
      <c r="CR2641" s="0" t="s">
        <v>130</v>
      </c>
      <c r="CS2641" s="0" t="s">
        <v>130</v>
      </c>
      <c r="CT2641" s="0" t="s">
        <v>7146</v>
      </c>
    </row>
    <row r="2642">
      <c r="A2642" s="14">
        <v>9785761</v>
      </c>
      <c r="B2642" s="0" t="s">
        <v>4063</v>
      </c>
      <c r="C2642" s="16">
        <f>HYPERLINK("https://eosportal.federatedhermes.com/companies/Q29tcGFueQppODMwNTM=", "CF Industries Holdings Inc")</f>
      </c>
      <c r="D2642" s="0" t="s">
        <v>23</v>
      </c>
      <c r="E2642" s="0" t="s">
        <v>7147</v>
      </c>
      <c r="F2642" s="16">
        <f>HYPERLINK("https://eosportal.federatedhermes.com/engagements/RW5nYWdlbWVudAppMzYwMzk=", "Reduce air pollutants")</f>
      </c>
      <c r="G2642" s="14" t="s">
        <v>7148</v>
      </c>
      <c r="H2642" s="0" t="s">
        <v>130</v>
      </c>
      <c r="I2642" s="14" t="s">
        <v>131</v>
      </c>
      <c r="J2642" s="0" t="s">
        <v>197</v>
      </c>
      <c r="K2642" s="0" t="s">
        <v>348</v>
      </c>
      <c r="L2642" s="0" t="s">
        <v>650</v>
      </c>
      <c r="M2642" s="0" t="s">
        <v>135</v>
      </c>
      <c r="N2642" s="0" t="s">
        <v>136</v>
      </c>
      <c r="O2642" s="0" t="s">
        <v>706</v>
      </c>
      <c r="Q2642" s="0" t="s">
        <v>141</v>
      </c>
      <c r="R2642" s="0" t="s">
        <v>130</v>
      </c>
      <c r="S2642" s="14">
        <v>1</v>
      </c>
      <c r="T2642" s="0" t="s">
        <v>2842</v>
      </c>
      <c r="U2642" s="0" t="s">
        <v>221</v>
      </c>
      <c r="V2642" s="14" t="s">
        <v>2842</v>
      </c>
      <c r="W2642" s="0" t="s">
        <v>221</v>
      </c>
      <c r="X2642" s="14" t="s">
        <v>2842</v>
      </c>
      <c r="Y2642" s="0" t="s">
        <v>223</v>
      </c>
      <c r="Z2642" s="14" t="s">
        <v>138</v>
      </c>
      <c r="AA2642" s="0" t="s">
        <v>224</v>
      </c>
      <c r="AB2642" s="14" t="s">
        <v>138</v>
      </c>
      <c r="AD2642" s="0" t="s">
        <v>17</v>
      </c>
      <c r="AF2642" s="0">
        <v>0</v>
      </c>
      <c r="AG2642" s="0">
        <v>0</v>
      </c>
      <c r="AH2642" s="0" t="s">
        <v>140</v>
      </c>
      <c r="AI2642" s="0" t="s">
        <v>598</v>
      </c>
      <c r="AK2642" s="0" t="s">
        <v>3584</v>
      </c>
      <c r="AL2642" s="14"/>
      <c r="AN2642" s="14"/>
      <c r="AQ2642" s="0" t="s">
        <v>130</v>
      </c>
      <c r="AR2642" s="0" t="s">
        <v>130</v>
      </c>
      <c r="AS2642" s="0" t="s">
        <v>141</v>
      </c>
      <c r="AT2642" s="0" t="s">
        <v>130</v>
      </c>
      <c r="AU2642" s="0" t="s">
        <v>130</v>
      </c>
      <c r="AV2642" s="0" t="s">
        <v>130</v>
      </c>
      <c r="AW2642" s="0" t="s">
        <v>130</v>
      </c>
      <c r="AX2642" s="0" t="s">
        <v>130</v>
      </c>
      <c r="AY2642" s="0" t="s">
        <v>130</v>
      </c>
      <c r="AZ2642" s="0" t="s">
        <v>130</v>
      </c>
      <c r="BA2642" s="0" t="s">
        <v>130</v>
      </c>
      <c r="BB2642" s="0" t="s">
        <v>130</v>
      </c>
      <c r="BC2642" s="0" t="s">
        <v>130</v>
      </c>
      <c r="BD2642" s="0" t="s">
        <v>130</v>
      </c>
      <c r="BE2642" s="0" t="s">
        <v>130</v>
      </c>
      <c r="BF2642" s="0" t="s">
        <v>130</v>
      </c>
      <c r="BG2642" s="0" t="s">
        <v>130</v>
      </c>
      <c r="BH2642" s="0" t="s">
        <v>130</v>
      </c>
      <c r="BI2642" s="0" t="s">
        <v>130</v>
      </c>
      <c r="BJ2642" s="0" t="s">
        <v>130</v>
      </c>
      <c r="BK2642" s="0" t="s">
        <v>130</v>
      </c>
      <c r="BL2642" s="0" t="s">
        <v>130</v>
      </c>
      <c r="BM2642" s="0" t="s">
        <v>130</v>
      </c>
      <c r="BN2642" s="0" t="s">
        <v>130</v>
      </c>
      <c r="BO2642" s="0" t="s">
        <v>130</v>
      </c>
      <c r="BP2642" s="0" t="s">
        <v>130</v>
      </c>
      <c r="BQ2642" s="0" t="s">
        <v>130</v>
      </c>
      <c r="BR2642" s="0" t="s">
        <v>130</v>
      </c>
      <c r="BS2642" s="0" t="s">
        <v>130</v>
      </c>
      <c r="BT2642" s="0" t="s">
        <v>130</v>
      </c>
      <c r="BU2642" s="0" t="s">
        <v>130</v>
      </c>
      <c r="BV2642" s="0" t="s">
        <v>130</v>
      </c>
      <c r="BW2642" s="0" t="s">
        <v>130</v>
      </c>
      <c r="BX2642" s="0" t="s">
        <v>130</v>
      </c>
      <c r="BY2642" s="0" t="s">
        <v>130</v>
      </c>
      <c r="BZ2642" s="0" t="s">
        <v>130</v>
      </c>
      <c r="CA2642" s="0" t="s">
        <v>130</v>
      </c>
      <c r="CB2642" s="0" t="s">
        <v>130</v>
      </c>
      <c r="CC2642" s="0" t="s">
        <v>130</v>
      </c>
      <c r="CD2642" s="0" t="s">
        <v>130</v>
      </c>
      <c r="CE2642" s="0" t="s">
        <v>130</v>
      </c>
      <c r="CF2642" s="0" t="s">
        <v>130</v>
      </c>
      <c r="CG2642" s="0" t="s">
        <v>130</v>
      </c>
      <c r="CH2642" s="0" t="s">
        <v>130</v>
      </c>
      <c r="CI2642" s="0" t="s">
        <v>130</v>
      </c>
      <c r="CJ2642" s="0" t="s">
        <v>130</v>
      </c>
      <c r="CK2642" s="0" t="s">
        <v>130</v>
      </c>
      <c r="CL2642" s="0" t="s">
        <v>130</v>
      </c>
      <c r="CM2642" s="0" t="s">
        <v>130</v>
      </c>
      <c r="CN2642" s="0" t="s">
        <v>130</v>
      </c>
      <c r="CO2642" s="0" t="s">
        <v>130</v>
      </c>
      <c r="CP2642" s="0" t="s">
        <v>130</v>
      </c>
      <c r="CQ2642" s="0" t="s">
        <v>130</v>
      </c>
      <c r="CR2642" s="0" t="s">
        <v>130</v>
      </c>
      <c r="CS2642" s="0" t="s">
        <v>130</v>
      </c>
      <c r="CT2642" s="0" t="s">
        <v>7149</v>
      </c>
    </row>
    <row r="2643">
      <c r="A2643" s="14">
        <v>9785761</v>
      </c>
      <c r="B2643" s="0" t="s">
        <v>4063</v>
      </c>
      <c r="C2643" s="16">
        <f>HYPERLINK("https://eosportal.federatedhermes.com/companies/Q29tcGFueQppODMwNTM=", "CF Industries Holdings Inc")</f>
      </c>
      <c r="D2643" s="0" t="s">
        <v>23</v>
      </c>
      <c r="E2643" s="0" t="s">
        <v>7150</v>
      </c>
      <c r="F2643" s="16">
        <f>HYPERLINK("https://eosportal.federatedhermes.com/engagements/RW5nYWdlbWVudAppMzYwNDA=", "Improve water risk assessment")</f>
      </c>
      <c r="G2643" s="14" t="s">
        <v>7151</v>
      </c>
      <c r="H2643" s="0" t="s">
        <v>130</v>
      </c>
      <c r="I2643" s="14" t="s">
        <v>131</v>
      </c>
      <c r="J2643" s="0" t="s">
        <v>197</v>
      </c>
      <c r="K2643" s="0" t="s">
        <v>337</v>
      </c>
      <c r="L2643" s="0" t="s">
        <v>338</v>
      </c>
      <c r="M2643" s="0" t="s">
        <v>135</v>
      </c>
      <c r="N2643" s="0" t="s">
        <v>136</v>
      </c>
      <c r="O2643" s="0" t="s">
        <v>706</v>
      </c>
      <c r="Q2643" s="0" t="s">
        <v>130</v>
      </c>
      <c r="R2643" s="0" t="s">
        <v>130</v>
      </c>
      <c r="S2643" s="14">
        <v>0</v>
      </c>
      <c r="T2643" s="0" t="s">
        <v>2842</v>
      </c>
      <c r="U2643" s="0" t="s">
        <v>221</v>
      </c>
      <c r="V2643" s="14" t="s">
        <v>2842</v>
      </c>
      <c r="W2643" s="0" t="s">
        <v>221</v>
      </c>
      <c r="X2643" s="14" t="s">
        <v>2842</v>
      </c>
      <c r="Y2643" s="0" t="s">
        <v>223</v>
      </c>
      <c r="Z2643" s="14" t="s">
        <v>138</v>
      </c>
      <c r="AA2643" s="0" t="s">
        <v>224</v>
      </c>
      <c r="AB2643" s="14" t="s">
        <v>138</v>
      </c>
      <c r="AD2643" s="0" t="s">
        <v>17</v>
      </c>
      <c r="AF2643" s="0">
        <v>0</v>
      </c>
      <c r="AG2643" s="0">
        <v>0</v>
      </c>
      <c r="AH2643" s="0" t="s">
        <v>140</v>
      </c>
      <c r="AI2643" s="0" t="s">
        <v>598</v>
      </c>
      <c r="AL2643" s="14"/>
      <c r="AN2643" s="14"/>
      <c r="AQ2643" s="0" t="s">
        <v>130</v>
      </c>
      <c r="AR2643" s="0" t="s">
        <v>130</v>
      </c>
      <c r="AS2643" s="0" t="s">
        <v>130</v>
      </c>
      <c r="AT2643" s="0" t="s">
        <v>130</v>
      </c>
      <c r="AU2643" s="0" t="s">
        <v>130</v>
      </c>
      <c r="AV2643" s="0" t="s">
        <v>141</v>
      </c>
      <c r="AW2643" s="0" t="s">
        <v>130</v>
      </c>
      <c r="AX2643" s="0" t="s">
        <v>130</v>
      </c>
      <c r="AY2643" s="0" t="s">
        <v>130</v>
      </c>
      <c r="AZ2643" s="0" t="s">
        <v>130</v>
      </c>
      <c r="BA2643" s="0" t="s">
        <v>130</v>
      </c>
      <c r="BB2643" s="0" t="s">
        <v>130</v>
      </c>
      <c r="BC2643" s="0" t="s">
        <v>130</v>
      </c>
      <c r="BD2643" s="0" t="s">
        <v>130</v>
      </c>
      <c r="BE2643" s="0" t="s">
        <v>130</v>
      </c>
      <c r="BF2643" s="0" t="s">
        <v>130</v>
      </c>
      <c r="BG2643" s="0" t="s">
        <v>130</v>
      </c>
      <c r="BH2643" s="0" t="s">
        <v>130</v>
      </c>
      <c r="BI2643" s="0" t="s">
        <v>130</v>
      </c>
      <c r="BJ2643" s="0" t="s">
        <v>130</v>
      </c>
      <c r="BK2643" s="0" t="s">
        <v>130</v>
      </c>
      <c r="BL2643" s="0" t="s">
        <v>130</v>
      </c>
      <c r="BM2643" s="0" t="s">
        <v>130</v>
      </c>
      <c r="BN2643" s="0" t="s">
        <v>130</v>
      </c>
      <c r="BO2643" s="0" t="s">
        <v>130</v>
      </c>
      <c r="BP2643" s="0" t="s">
        <v>130</v>
      </c>
      <c r="BQ2643" s="0" t="s">
        <v>130</v>
      </c>
      <c r="BR2643" s="0" t="s">
        <v>130</v>
      </c>
      <c r="BS2643" s="0" t="s">
        <v>130</v>
      </c>
      <c r="BT2643" s="0" t="s">
        <v>130</v>
      </c>
      <c r="BU2643" s="0" t="s">
        <v>130</v>
      </c>
      <c r="BV2643" s="0" t="s">
        <v>130</v>
      </c>
      <c r="BW2643" s="0" t="s">
        <v>130</v>
      </c>
      <c r="BX2643" s="0" t="s">
        <v>141</v>
      </c>
      <c r="BY2643" s="0" t="s">
        <v>130</v>
      </c>
      <c r="BZ2643" s="0" t="s">
        <v>130</v>
      </c>
      <c r="CA2643" s="0" t="s">
        <v>130</v>
      </c>
      <c r="CB2643" s="0" t="s">
        <v>130</v>
      </c>
      <c r="CC2643" s="0" t="s">
        <v>130</v>
      </c>
      <c r="CD2643" s="0" t="s">
        <v>130</v>
      </c>
      <c r="CE2643" s="0" t="s">
        <v>130</v>
      </c>
      <c r="CF2643" s="0" t="s">
        <v>130</v>
      </c>
      <c r="CG2643" s="0" t="s">
        <v>130</v>
      </c>
      <c r="CH2643" s="0" t="s">
        <v>130</v>
      </c>
      <c r="CI2643" s="0" t="s">
        <v>130</v>
      </c>
      <c r="CJ2643" s="0" t="s">
        <v>130</v>
      </c>
      <c r="CK2643" s="0" t="s">
        <v>130</v>
      </c>
      <c r="CL2643" s="0" t="s">
        <v>130</v>
      </c>
      <c r="CM2643" s="0" t="s">
        <v>130</v>
      </c>
      <c r="CN2643" s="0" t="s">
        <v>130</v>
      </c>
      <c r="CO2643" s="0" t="s">
        <v>130</v>
      </c>
      <c r="CP2643" s="0" t="s">
        <v>130</v>
      </c>
      <c r="CQ2643" s="0" t="s">
        <v>130</v>
      </c>
      <c r="CR2643" s="0" t="s">
        <v>130</v>
      </c>
      <c r="CS2643" s="0" t="s">
        <v>130</v>
      </c>
      <c r="CT2643" s="0" t="s">
        <v>7152</v>
      </c>
    </row>
    <row r="2644">
      <c r="A2644" s="14">
        <v>9785761</v>
      </c>
      <c r="B2644" s="0" t="s">
        <v>4063</v>
      </c>
      <c r="C2644" s="16">
        <f>HYPERLINK("https://eosportal.federatedhermes.com/companies/Q29tcGFueQppODMwNTM=", "CF Industries Holdings Inc")</f>
      </c>
      <c r="D2644" s="0" t="s">
        <v>25</v>
      </c>
      <c r="E2644" s="0" t="s">
        <v>7153</v>
      </c>
      <c r="F2644" s="16">
        <f>HYPERLINK("https://eosportal.federatedhermes.com/engagements/RW5nYWdlbWVudAppMzYwNDg=", "Air pollutants")</f>
      </c>
      <c r="G2644" s="14" t="s">
        <v>7154</v>
      </c>
      <c r="H2644" s="0" t="s">
        <v>130</v>
      </c>
      <c r="I2644" s="14" t="s">
        <v>131</v>
      </c>
      <c r="J2644" s="0" t="s">
        <v>197</v>
      </c>
      <c r="K2644" s="0" t="s">
        <v>348</v>
      </c>
      <c r="L2644" s="0" t="s">
        <v>650</v>
      </c>
      <c r="M2644" s="0" t="s">
        <v>135</v>
      </c>
      <c r="N2644" s="0" t="s">
        <v>136</v>
      </c>
      <c r="O2644" s="0" t="s">
        <v>706</v>
      </c>
      <c r="Q2644" s="0" t="s">
        <v>141</v>
      </c>
      <c r="R2644" s="0" t="s">
        <v>138</v>
      </c>
      <c r="S2644" s="14">
        <v>1</v>
      </c>
      <c r="T2644" s="0" t="s">
        <v>2842</v>
      </c>
      <c r="U2644" s="0" t="s">
        <v>138</v>
      </c>
      <c r="V2644" s="14" t="s">
        <v>138</v>
      </c>
      <c r="W2644" s="0" t="s">
        <v>138</v>
      </c>
      <c r="X2644" s="14" t="s">
        <v>138</v>
      </c>
      <c r="Y2644" s="0" t="s">
        <v>138</v>
      </c>
      <c r="Z2644" s="14" t="s">
        <v>138</v>
      </c>
      <c r="AA2644" s="0" t="s">
        <v>138</v>
      </c>
      <c r="AB2644" s="14" t="s">
        <v>138</v>
      </c>
      <c r="AD2644" s="0" t="s">
        <v>138</v>
      </c>
      <c r="AF2644" s="0">
        <v>0</v>
      </c>
      <c r="AG2644" s="0">
        <v>0</v>
      </c>
      <c r="AH2644" s="0" t="s">
        <v>140</v>
      </c>
      <c r="AI2644" s="0" t="s">
        <v>138</v>
      </c>
      <c r="AK2644" s="0" t="s">
        <v>3584</v>
      </c>
      <c r="AL2644" s="14"/>
      <c r="AN2644" s="14"/>
      <c r="AQ2644" s="0" t="s">
        <v>130</v>
      </c>
      <c r="AR2644" s="0" t="s">
        <v>130</v>
      </c>
      <c r="AS2644" s="0" t="s">
        <v>141</v>
      </c>
      <c r="AT2644" s="0" t="s">
        <v>130</v>
      </c>
      <c r="AU2644" s="0" t="s">
        <v>130</v>
      </c>
      <c r="AV2644" s="0" t="s">
        <v>130</v>
      </c>
      <c r="AW2644" s="0" t="s">
        <v>130</v>
      </c>
      <c r="AX2644" s="0" t="s">
        <v>130</v>
      </c>
      <c r="AY2644" s="0" t="s">
        <v>130</v>
      </c>
      <c r="AZ2644" s="0" t="s">
        <v>130</v>
      </c>
      <c r="BA2644" s="0" t="s">
        <v>130</v>
      </c>
      <c r="BB2644" s="0" t="s">
        <v>130</v>
      </c>
      <c r="BC2644" s="0" t="s">
        <v>130</v>
      </c>
      <c r="BD2644" s="0" t="s">
        <v>130</v>
      </c>
      <c r="BE2644" s="0" t="s">
        <v>130</v>
      </c>
      <c r="BF2644" s="0" t="s">
        <v>130</v>
      </c>
      <c r="BG2644" s="0" t="s">
        <v>130</v>
      </c>
      <c r="BH2644" s="0" t="s">
        <v>130</v>
      </c>
      <c r="BI2644" s="0" t="s">
        <v>130</v>
      </c>
      <c r="BJ2644" s="0" t="s">
        <v>130</v>
      </c>
      <c r="BK2644" s="0" t="s">
        <v>130</v>
      </c>
      <c r="BL2644" s="0" t="s">
        <v>130</v>
      </c>
      <c r="BM2644" s="0" t="s">
        <v>130</v>
      </c>
      <c r="BN2644" s="0" t="s">
        <v>130</v>
      </c>
      <c r="BO2644" s="0" t="s">
        <v>130</v>
      </c>
      <c r="BP2644" s="0" t="s">
        <v>130</v>
      </c>
      <c r="BQ2644" s="0" t="s">
        <v>130</v>
      </c>
      <c r="BR2644" s="0" t="s">
        <v>130</v>
      </c>
      <c r="BS2644" s="0" t="s">
        <v>130</v>
      </c>
      <c r="BT2644" s="0" t="s">
        <v>130</v>
      </c>
      <c r="BU2644" s="0" t="s">
        <v>130</v>
      </c>
      <c r="BV2644" s="0" t="s">
        <v>130</v>
      </c>
      <c r="BW2644" s="0" t="s">
        <v>130</v>
      </c>
      <c r="BX2644" s="0" t="s">
        <v>130</v>
      </c>
      <c r="BY2644" s="0" t="s">
        <v>130</v>
      </c>
      <c r="BZ2644" s="0" t="s">
        <v>130</v>
      </c>
      <c r="CA2644" s="0" t="s">
        <v>130</v>
      </c>
      <c r="CB2644" s="0" t="s">
        <v>130</v>
      </c>
      <c r="CC2644" s="0" t="s">
        <v>130</v>
      </c>
      <c r="CD2644" s="0" t="s">
        <v>130</v>
      </c>
      <c r="CE2644" s="0" t="s">
        <v>130</v>
      </c>
      <c r="CF2644" s="0" t="s">
        <v>130</v>
      </c>
      <c r="CG2644" s="0" t="s">
        <v>130</v>
      </c>
      <c r="CH2644" s="0" t="s">
        <v>130</v>
      </c>
      <c r="CI2644" s="0" t="s">
        <v>130</v>
      </c>
      <c r="CJ2644" s="0" t="s">
        <v>130</v>
      </c>
      <c r="CK2644" s="0" t="s">
        <v>130</v>
      </c>
      <c r="CL2644" s="0" t="s">
        <v>130</v>
      </c>
      <c r="CM2644" s="0" t="s">
        <v>130</v>
      </c>
      <c r="CN2644" s="0" t="s">
        <v>130</v>
      </c>
      <c r="CO2644" s="0" t="s">
        <v>130</v>
      </c>
      <c r="CP2644" s="0" t="s">
        <v>130</v>
      </c>
      <c r="CQ2644" s="0" t="s">
        <v>130</v>
      </c>
      <c r="CR2644" s="0" t="s">
        <v>130</v>
      </c>
      <c r="CS2644" s="0" t="s">
        <v>130</v>
      </c>
      <c r="CT2644" s="0" t="s">
        <v>7155</v>
      </c>
    </row>
    <row r="2645">
      <c r="A2645" s="14">
        <v>9785761</v>
      </c>
      <c r="B2645" s="0" t="s">
        <v>4063</v>
      </c>
      <c r="C2645" s="16">
        <f>HYPERLINK("https://eosportal.federatedhermes.com/companies/Q29tcGFueQppODMwNTM=", "CF Industries Holdings Inc")</f>
      </c>
      <c r="D2645" s="0" t="s">
        <v>25</v>
      </c>
      <c r="E2645" s="0" t="s">
        <v>7156</v>
      </c>
      <c r="F2645" s="16">
        <f>HYPERLINK("https://eosportal.federatedhermes.com/engagements/RW5nYWdlbWVudAppMzYwNDk=", "Water quality")</f>
      </c>
      <c r="G2645" s="14" t="s">
        <v>7157</v>
      </c>
      <c r="H2645" s="0" t="s">
        <v>130</v>
      </c>
      <c r="I2645" s="14" t="s">
        <v>131</v>
      </c>
      <c r="J2645" s="0" t="s">
        <v>197</v>
      </c>
      <c r="K2645" s="0" t="s">
        <v>337</v>
      </c>
      <c r="L2645" s="0" t="s">
        <v>338</v>
      </c>
      <c r="M2645" s="0" t="s">
        <v>135</v>
      </c>
      <c r="N2645" s="0" t="s">
        <v>136</v>
      </c>
      <c r="O2645" s="0" t="s">
        <v>706</v>
      </c>
      <c r="Q2645" s="0" t="s">
        <v>130</v>
      </c>
      <c r="R2645" s="0" t="s">
        <v>138</v>
      </c>
      <c r="S2645" s="14">
        <v>0</v>
      </c>
      <c r="T2645" s="0" t="s">
        <v>2842</v>
      </c>
      <c r="U2645" s="0" t="s">
        <v>138</v>
      </c>
      <c r="V2645" s="14" t="s">
        <v>138</v>
      </c>
      <c r="W2645" s="0" t="s">
        <v>138</v>
      </c>
      <c r="X2645" s="14" t="s">
        <v>138</v>
      </c>
      <c r="Y2645" s="0" t="s">
        <v>138</v>
      </c>
      <c r="Z2645" s="14" t="s">
        <v>138</v>
      </c>
      <c r="AA2645" s="0" t="s">
        <v>138</v>
      </c>
      <c r="AB2645" s="14" t="s">
        <v>138</v>
      </c>
      <c r="AD2645" s="0" t="s">
        <v>138</v>
      </c>
      <c r="AF2645" s="0">
        <v>0</v>
      </c>
      <c r="AG2645" s="0">
        <v>0</v>
      </c>
      <c r="AH2645" s="0" t="s">
        <v>140</v>
      </c>
      <c r="AI2645" s="0" t="s">
        <v>138</v>
      </c>
      <c r="AL2645" s="14"/>
      <c r="AN2645" s="14"/>
      <c r="AQ2645" s="0" t="s">
        <v>130</v>
      </c>
      <c r="AR2645" s="0" t="s">
        <v>130</v>
      </c>
      <c r="AS2645" s="0" t="s">
        <v>130</v>
      </c>
      <c r="AT2645" s="0" t="s">
        <v>130</v>
      </c>
      <c r="AU2645" s="0" t="s">
        <v>130</v>
      </c>
      <c r="AV2645" s="0" t="s">
        <v>141</v>
      </c>
      <c r="AW2645" s="0" t="s">
        <v>130</v>
      </c>
      <c r="AX2645" s="0" t="s">
        <v>130</v>
      </c>
      <c r="AY2645" s="0" t="s">
        <v>130</v>
      </c>
      <c r="AZ2645" s="0" t="s">
        <v>130</v>
      </c>
      <c r="BA2645" s="0" t="s">
        <v>130</v>
      </c>
      <c r="BB2645" s="0" t="s">
        <v>130</v>
      </c>
      <c r="BC2645" s="0" t="s">
        <v>130</v>
      </c>
      <c r="BD2645" s="0" t="s">
        <v>130</v>
      </c>
      <c r="BE2645" s="0" t="s">
        <v>130</v>
      </c>
      <c r="BF2645" s="0" t="s">
        <v>130</v>
      </c>
      <c r="BG2645" s="0" t="s">
        <v>130</v>
      </c>
      <c r="BH2645" s="0" t="s">
        <v>130</v>
      </c>
      <c r="BI2645" s="0" t="s">
        <v>130</v>
      </c>
      <c r="BJ2645" s="0" t="s">
        <v>130</v>
      </c>
      <c r="BK2645" s="0" t="s">
        <v>130</v>
      </c>
      <c r="BL2645" s="0" t="s">
        <v>130</v>
      </c>
      <c r="BM2645" s="0" t="s">
        <v>130</v>
      </c>
      <c r="BN2645" s="0" t="s">
        <v>130</v>
      </c>
      <c r="BO2645" s="0" t="s">
        <v>130</v>
      </c>
      <c r="BP2645" s="0" t="s">
        <v>130</v>
      </c>
      <c r="BQ2645" s="0" t="s">
        <v>130</v>
      </c>
      <c r="BR2645" s="0" t="s">
        <v>130</v>
      </c>
      <c r="BS2645" s="0" t="s">
        <v>130</v>
      </c>
      <c r="BT2645" s="0" t="s">
        <v>130</v>
      </c>
      <c r="BU2645" s="0" t="s">
        <v>130</v>
      </c>
      <c r="BV2645" s="0" t="s">
        <v>130</v>
      </c>
      <c r="BW2645" s="0" t="s">
        <v>130</v>
      </c>
      <c r="BX2645" s="0" t="s">
        <v>141</v>
      </c>
      <c r="BY2645" s="0" t="s">
        <v>130</v>
      </c>
      <c r="BZ2645" s="0" t="s">
        <v>130</v>
      </c>
      <c r="CA2645" s="0" t="s">
        <v>130</v>
      </c>
      <c r="CB2645" s="0" t="s">
        <v>130</v>
      </c>
      <c r="CC2645" s="0" t="s">
        <v>130</v>
      </c>
      <c r="CD2645" s="0" t="s">
        <v>130</v>
      </c>
      <c r="CE2645" s="0" t="s">
        <v>130</v>
      </c>
      <c r="CF2645" s="0" t="s">
        <v>130</v>
      </c>
      <c r="CG2645" s="0" t="s">
        <v>130</v>
      </c>
      <c r="CH2645" s="0" t="s">
        <v>130</v>
      </c>
      <c r="CI2645" s="0" t="s">
        <v>130</v>
      </c>
      <c r="CJ2645" s="0" t="s">
        <v>130</v>
      </c>
      <c r="CK2645" s="0" t="s">
        <v>130</v>
      </c>
      <c r="CL2645" s="0" t="s">
        <v>130</v>
      </c>
      <c r="CM2645" s="0" t="s">
        <v>130</v>
      </c>
      <c r="CN2645" s="0" t="s">
        <v>130</v>
      </c>
      <c r="CO2645" s="0" t="s">
        <v>130</v>
      </c>
      <c r="CP2645" s="0" t="s">
        <v>130</v>
      </c>
      <c r="CQ2645" s="0" t="s">
        <v>130</v>
      </c>
      <c r="CR2645" s="0" t="s">
        <v>130</v>
      </c>
      <c r="CS2645" s="0" t="s">
        <v>130</v>
      </c>
      <c r="CT2645" s="0" t="s">
        <v>7158</v>
      </c>
    </row>
    <row r="2646">
      <c r="A2646" s="14">
        <v>117222</v>
      </c>
      <c r="B2646" s="0" t="s">
        <v>2797</v>
      </c>
      <c r="C2646" s="16">
        <f>HYPERLINK("https://eosportal.federatedhermes.com/companies/Q29tcGFueQppNTkyMTc=", "Samsung Fire &amp; Marine Insurance Co Ltd")</f>
      </c>
      <c r="D2646" s="0" t="s">
        <v>25</v>
      </c>
      <c r="E2646" s="0" t="s">
        <v>7159</v>
      </c>
      <c r="F2646" s="16">
        <f>HYPERLINK("https://eosportal.federatedhermes.com/engagements/RW5nYWdlbWVudAppMzYxMDM=", "Improve gender diversity on management level")</f>
      </c>
      <c r="G2646" s="14" t="s">
        <v>7160</v>
      </c>
      <c r="H2646" s="0" t="s">
        <v>130</v>
      </c>
      <c r="I2646" s="14" t="s">
        <v>319</v>
      </c>
      <c r="J2646" s="0" t="s">
        <v>153</v>
      </c>
      <c r="K2646" s="0" t="s">
        <v>154</v>
      </c>
      <c r="L2646" s="0" t="s">
        <v>268</v>
      </c>
      <c r="M2646" s="0" t="s">
        <v>802</v>
      </c>
      <c r="N2646" s="0" t="s">
        <v>2800</v>
      </c>
      <c r="O2646" s="0" t="s">
        <v>238</v>
      </c>
      <c r="Q2646" s="0" t="s">
        <v>141</v>
      </c>
      <c r="R2646" s="0" t="s">
        <v>138</v>
      </c>
      <c r="S2646" s="14">
        <v>1</v>
      </c>
      <c r="T2646" s="0" t="s">
        <v>2629</v>
      </c>
      <c r="U2646" s="0" t="s">
        <v>138</v>
      </c>
      <c r="V2646" s="14" t="s">
        <v>138</v>
      </c>
      <c r="W2646" s="0" t="s">
        <v>138</v>
      </c>
      <c r="X2646" s="14" t="s">
        <v>138</v>
      </c>
      <c r="Y2646" s="0" t="s">
        <v>138</v>
      </c>
      <c r="Z2646" s="14" t="s">
        <v>138</v>
      </c>
      <c r="AA2646" s="0" t="s">
        <v>138</v>
      </c>
      <c r="AB2646" s="14" t="s">
        <v>138</v>
      </c>
      <c r="AD2646" s="0" t="s">
        <v>138</v>
      </c>
      <c r="AF2646" s="0">
        <v>0</v>
      </c>
      <c r="AG2646" s="0">
        <v>0</v>
      </c>
      <c r="AH2646" s="0" t="s">
        <v>140</v>
      </c>
      <c r="AI2646" s="0" t="s">
        <v>138</v>
      </c>
      <c r="AK2646" s="0" t="s">
        <v>1151</v>
      </c>
      <c r="AL2646" s="14"/>
      <c r="AN2646" s="14"/>
      <c r="AQ2646" s="0" t="s">
        <v>130</v>
      </c>
      <c r="AR2646" s="0" t="s">
        <v>130</v>
      </c>
      <c r="AS2646" s="0" t="s">
        <v>130</v>
      </c>
      <c r="AT2646" s="0" t="s">
        <v>130</v>
      </c>
      <c r="AU2646" s="0" t="s">
        <v>141</v>
      </c>
      <c r="AV2646" s="0" t="s">
        <v>130</v>
      </c>
      <c r="AW2646" s="0" t="s">
        <v>130</v>
      </c>
      <c r="AX2646" s="0" t="s">
        <v>130</v>
      </c>
      <c r="AY2646" s="0" t="s">
        <v>130</v>
      </c>
      <c r="AZ2646" s="0" t="s">
        <v>130</v>
      </c>
      <c r="BA2646" s="0" t="s">
        <v>130</v>
      </c>
      <c r="BB2646" s="0" t="s">
        <v>130</v>
      </c>
      <c r="BC2646" s="0" t="s">
        <v>130</v>
      </c>
      <c r="BD2646" s="0" t="s">
        <v>130</v>
      </c>
      <c r="BE2646" s="0" t="s">
        <v>130</v>
      </c>
      <c r="BF2646" s="0" t="s">
        <v>130</v>
      </c>
      <c r="BG2646" s="0" t="s">
        <v>130</v>
      </c>
      <c r="BH2646" s="0" t="s">
        <v>130</v>
      </c>
      <c r="BI2646" s="0" t="s">
        <v>130</v>
      </c>
      <c r="BJ2646" s="0" t="s">
        <v>130</v>
      </c>
      <c r="BK2646" s="0" t="s">
        <v>130</v>
      </c>
      <c r="BL2646" s="0" t="s">
        <v>130</v>
      </c>
      <c r="BM2646" s="0" t="s">
        <v>130</v>
      </c>
      <c r="BN2646" s="0" t="s">
        <v>130</v>
      </c>
      <c r="BO2646" s="0" t="s">
        <v>130</v>
      </c>
      <c r="BP2646" s="0" t="s">
        <v>130</v>
      </c>
      <c r="BQ2646" s="0" t="s">
        <v>130</v>
      </c>
      <c r="BR2646" s="0" t="s">
        <v>130</v>
      </c>
      <c r="BS2646" s="0" t="s">
        <v>130</v>
      </c>
      <c r="BT2646" s="0" t="s">
        <v>130</v>
      </c>
      <c r="BU2646" s="0" t="s">
        <v>130</v>
      </c>
      <c r="BV2646" s="0" t="s">
        <v>130</v>
      </c>
      <c r="BW2646" s="0" t="s">
        <v>130</v>
      </c>
      <c r="BX2646" s="0" t="s">
        <v>130</v>
      </c>
      <c r="BY2646" s="0" t="s">
        <v>130</v>
      </c>
      <c r="BZ2646" s="0" t="s">
        <v>130</v>
      </c>
      <c r="CA2646" s="0" t="s">
        <v>130</v>
      </c>
      <c r="CB2646" s="0" t="s">
        <v>130</v>
      </c>
      <c r="CC2646" s="0" t="s">
        <v>130</v>
      </c>
      <c r="CD2646" s="0" t="s">
        <v>130</v>
      </c>
      <c r="CE2646" s="0" t="s">
        <v>130</v>
      </c>
      <c r="CF2646" s="0" t="s">
        <v>130</v>
      </c>
      <c r="CG2646" s="0" t="s">
        <v>130</v>
      </c>
      <c r="CH2646" s="0" t="s">
        <v>130</v>
      </c>
      <c r="CI2646" s="0" t="s">
        <v>130</v>
      </c>
      <c r="CJ2646" s="0" t="s">
        <v>130</v>
      </c>
      <c r="CK2646" s="0" t="s">
        <v>141</v>
      </c>
      <c r="CL2646" s="0" t="s">
        <v>130</v>
      </c>
      <c r="CM2646" s="0" t="s">
        <v>130</v>
      </c>
      <c r="CN2646" s="0" t="s">
        <v>130</v>
      </c>
      <c r="CO2646" s="0" t="s">
        <v>130</v>
      </c>
      <c r="CP2646" s="0" t="s">
        <v>130</v>
      </c>
      <c r="CQ2646" s="0" t="s">
        <v>130</v>
      </c>
      <c r="CR2646" s="0" t="s">
        <v>130</v>
      </c>
      <c r="CS2646" s="0" t="s">
        <v>130</v>
      </c>
      <c r="CT2646" s="0" t="s">
        <v>7161</v>
      </c>
    </row>
    <row r="2647">
      <c r="A2647" s="14">
        <v>305366</v>
      </c>
      <c r="B2647" s="0" t="s">
        <v>3558</v>
      </c>
      <c r="C2647" s="16">
        <f>HYPERLINK("https://eosportal.federatedhermes.com/companies/Q29tcGFueQppODQ0MTc=", "Quanta Services Inc")</f>
      </c>
      <c r="D2647" s="0" t="s">
        <v>25</v>
      </c>
      <c r="E2647" s="0" t="s">
        <v>2525</v>
      </c>
      <c r="F2647" s="16">
        <f>HYPERLINK("https://eosportal.federatedhermes.com/engagements/RW5nYWdlbWVudAppMzYxMTc=", "Health and safety management")</f>
      </c>
      <c r="G2647" s="14" t="s">
        <v>7162</v>
      </c>
      <c r="H2647" s="0" t="s">
        <v>130</v>
      </c>
      <c r="I2647" s="14" t="s">
        <v>131</v>
      </c>
      <c r="J2647" s="0" t="s">
        <v>153</v>
      </c>
      <c r="K2647" s="0" t="s">
        <v>154</v>
      </c>
      <c r="L2647" s="0" t="s">
        <v>155</v>
      </c>
      <c r="M2647" s="0" t="s">
        <v>135</v>
      </c>
      <c r="N2647" s="0" t="s">
        <v>136</v>
      </c>
      <c r="O2647" s="0" t="s">
        <v>176</v>
      </c>
      <c r="Q2647" s="0" t="s">
        <v>130</v>
      </c>
      <c r="R2647" s="0" t="s">
        <v>138</v>
      </c>
      <c r="S2647" s="14">
        <v>0</v>
      </c>
      <c r="T2647" s="0" t="s">
        <v>446</v>
      </c>
      <c r="U2647" s="0" t="s">
        <v>138</v>
      </c>
      <c r="V2647" s="14" t="s">
        <v>138</v>
      </c>
      <c r="W2647" s="0" t="s">
        <v>138</v>
      </c>
      <c r="X2647" s="14" t="s">
        <v>138</v>
      </c>
      <c r="Y2647" s="0" t="s">
        <v>138</v>
      </c>
      <c r="Z2647" s="14" t="s">
        <v>138</v>
      </c>
      <c r="AA2647" s="0" t="s">
        <v>138</v>
      </c>
      <c r="AB2647" s="14" t="s">
        <v>138</v>
      </c>
      <c r="AD2647" s="0" t="s">
        <v>138</v>
      </c>
      <c r="AF2647" s="0">
        <v>0</v>
      </c>
      <c r="AG2647" s="0">
        <v>0</v>
      </c>
      <c r="AH2647" s="0" t="s">
        <v>140</v>
      </c>
      <c r="AI2647" s="0" t="s">
        <v>138</v>
      </c>
      <c r="AL2647" s="14"/>
      <c r="AN2647" s="14"/>
      <c r="AQ2647" s="0" t="s">
        <v>130</v>
      </c>
      <c r="AR2647" s="0" t="s">
        <v>130</v>
      </c>
      <c r="AS2647" s="0" t="s">
        <v>130</v>
      </c>
      <c r="AT2647" s="0" t="s">
        <v>130</v>
      </c>
      <c r="AU2647" s="0" t="s">
        <v>130</v>
      </c>
      <c r="AV2647" s="0" t="s">
        <v>130</v>
      </c>
      <c r="AW2647" s="0" t="s">
        <v>130</v>
      </c>
      <c r="AX2647" s="0" t="s">
        <v>141</v>
      </c>
      <c r="AY2647" s="0" t="s">
        <v>130</v>
      </c>
      <c r="AZ2647" s="0" t="s">
        <v>130</v>
      </c>
      <c r="BA2647" s="0" t="s">
        <v>130</v>
      </c>
      <c r="BB2647" s="0" t="s">
        <v>130</v>
      </c>
      <c r="BC2647" s="0" t="s">
        <v>130</v>
      </c>
      <c r="BD2647" s="0" t="s">
        <v>130</v>
      </c>
      <c r="BE2647" s="0" t="s">
        <v>130</v>
      </c>
      <c r="BF2647" s="0" t="s">
        <v>130</v>
      </c>
      <c r="BG2647" s="0" t="s">
        <v>130</v>
      </c>
      <c r="BH2647" s="0" t="s">
        <v>130</v>
      </c>
      <c r="BI2647" s="0" t="s">
        <v>130</v>
      </c>
      <c r="BJ2647" s="0" t="s">
        <v>130</v>
      </c>
      <c r="BK2647" s="0" t="s">
        <v>130</v>
      </c>
      <c r="BL2647" s="0" t="s">
        <v>130</v>
      </c>
      <c r="BM2647" s="0" t="s">
        <v>130</v>
      </c>
      <c r="BN2647" s="0" t="s">
        <v>130</v>
      </c>
      <c r="BO2647" s="0" t="s">
        <v>130</v>
      </c>
      <c r="BP2647" s="0" t="s">
        <v>130</v>
      </c>
      <c r="BQ2647" s="0" t="s">
        <v>130</v>
      </c>
      <c r="BR2647" s="0" t="s">
        <v>130</v>
      </c>
      <c r="BS2647" s="0" t="s">
        <v>130</v>
      </c>
      <c r="BT2647" s="0" t="s">
        <v>130</v>
      </c>
      <c r="BU2647" s="0" t="s">
        <v>130</v>
      </c>
      <c r="BV2647" s="0" t="s">
        <v>130</v>
      </c>
      <c r="BW2647" s="0" t="s">
        <v>130</v>
      </c>
      <c r="BX2647" s="0" t="s">
        <v>130</v>
      </c>
      <c r="BY2647" s="0" t="s">
        <v>130</v>
      </c>
      <c r="BZ2647" s="0" t="s">
        <v>130</v>
      </c>
      <c r="CA2647" s="0" t="s">
        <v>130</v>
      </c>
      <c r="CB2647" s="0" t="s">
        <v>130</v>
      </c>
      <c r="CC2647" s="0" t="s">
        <v>130</v>
      </c>
      <c r="CD2647" s="0" t="s">
        <v>130</v>
      </c>
      <c r="CE2647" s="0" t="s">
        <v>130</v>
      </c>
      <c r="CF2647" s="0" t="s">
        <v>130</v>
      </c>
      <c r="CG2647" s="0" t="s">
        <v>130</v>
      </c>
      <c r="CH2647" s="0" t="s">
        <v>130</v>
      </c>
      <c r="CI2647" s="0" t="s">
        <v>141</v>
      </c>
      <c r="CJ2647" s="0" t="s">
        <v>130</v>
      </c>
      <c r="CK2647" s="0" t="s">
        <v>130</v>
      </c>
      <c r="CL2647" s="0" t="s">
        <v>130</v>
      </c>
      <c r="CM2647" s="0" t="s">
        <v>130</v>
      </c>
      <c r="CN2647" s="0" t="s">
        <v>130</v>
      </c>
      <c r="CO2647" s="0" t="s">
        <v>130</v>
      </c>
      <c r="CP2647" s="0" t="s">
        <v>130</v>
      </c>
      <c r="CQ2647" s="0" t="s">
        <v>130</v>
      </c>
      <c r="CR2647" s="0" t="s">
        <v>130</v>
      </c>
      <c r="CS2647" s="0" t="s">
        <v>130</v>
      </c>
      <c r="CT2647" s="0" t="s">
        <v>7163</v>
      </c>
    </row>
    <row r="2648">
      <c r="A2648" s="14">
        <v>11948451</v>
      </c>
      <c r="B2648" s="0" t="s">
        <v>4079</v>
      </c>
      <c r="C2648" s="16">
        <f>HYPERLINK("https://eosportal.federatedhermes.com/companies/Q29tcGFueQppNjMzMTI=", "Tesla Inc")</f>
      </c>
      <c r="D2648" s="0" t="s">
        <v>25</v>
      </c>
      <c r="E2648" s="0" t="s">
        <v>5878</v>
      </c>
      <c r="F2648" s="16">
        <f>HYPERLINK("https://eosportal.federatedhermes.com/engagements/RW5nYWdlbWVudAppMzYxNzY=", "Controversy linked to UNGC Principle 3: Freedom of association")</f>
      </c>
      <c r="G2648" s="14" t="s">
        <v>7164</v>
      </c>
      <c r="H2648" s="0" t="s">
        <v>141</v>
      </c>
      <c r="I2648" s="14" t="s">
        <v>191</v>
      </c>
      <c r="J2648" s="0" t="s">
        <v>153</v>
      </c>
      <c r="K2648" s="0" t="s">
        <v>154</v>
      </c>
      <c r="L2648" s="0" t="s">
        <v>306</v>
      </c>
      <c r="M2648" s="0" t="s">
        <v>135</v>
      </c>
      <c r="N2648" s="0" t="s">
        <v>136</v>
      </c>
      <c r="O2648" s="0" t="s">
        <v>425</v>
      </c>
      <c r="Q2648" s="0" t="s">
        <v>130</v>
      </c>
      <c r="R2648" s="0" t="s">
        <v>138</v>
      </c>
      <c r="S2648" s="14">
        <v>0</v>
      </c>
      <c r="T2648" s="0" t="s">
        <v>2842</v>
      </c>
      <c r="U2648" s="0" t="s">
        <v>138</v>
      </c>
      <c r="V2648" s="14" t="s">
        <v>138</v>
      </c>
      <c r="W2648" s="0" t="s">
        <v>138</v>
      </c>
      <c r="X2648" s="14" t="s">
        <v>138</v>
      </c>
      <c r="Y2648" s="0" t="s">
        <v>138</v>
      </c>
      <c r="Z2648" s="14" t="s">
        <v>138</v>
      </c>
      <c r="AA2648" s="0" t="s">
        <v>138</v>
      </c>
      <c r="AB2648" s="14" t="s">
        <v>138</v>
      </c>
      <c r="AD2648" s="0" t="s">
        <v>138</v>
      </c>
      <c r="AF2648" s="0">
        <v>0</v>
      </c>
      <c r="AG2648" s="0">
        <v>0</v>
      </c>
      <c r="AH2648" s="0" t="s">
        <v>140</v>
      </c>
      <c r="AI2648" s="0" t="s">
        <v>138</v>
      </c>
      <c r="AL2648" s="14"/>
      <c r="AN2648" s="14"/>
      <c r="AQ2648" s="0" t="s">
        <v>141</v>
      </c>
      <c r="AR2648" s="0" t="s">
        <v>130</v>
      </c>
      <c r="AS2648" s="0" t="s">
        <v>130</v>
      </c>
      <c r="AT2648" s="0" t="s">
        <v>130</v>
      </c>
      <c r="AU2648" s="0" t="s">
        <v>130</v>
      </c>
      <c r="AV2648" s="0" t="s">
        <v>130</v>
      </c>
      <c r="AW2648" s="0" t="s">
        <v>130</v>
      </c>
      <c r="AX2648" s="0" t="s">
        <v>141</v>
      </c>
      <c r="AY2648" s="0" t="s">
        <v>130</v>
      </c>
      <c r="AZ2648" s="0" t="s">
        <v>141</v>
      </c>
      <c r="BA2648" s="0" t="s">
        <v>130</v>
      </c>
      <c r="BB2648" s="0" t="s">
        <v>130</v>
      </c>
      <c r="BC2648" s="0" t="s">
        <v>130</v>
      </c>
      <c r="BD2648" s="0" t="s">
        <v>130</v>
      </c>
      <c r="BE2648" s="0" t="s">
        <v>130</v>
      </c>
      <c r="BF2648" s="0" t="s">
        <v>130</v>
      </c>
      <c r="BG2648" s="0" t="s">
        <v>130</v>
      </c>
      <c r="BH2648" s="0" t="s">
        <v>130</v>
      </c>
      <c r="BI2648" s="0" t="s">
        <v>130</v>
      </c>
      <c r="BJ2648" s="0" t="s">
        <v>130</v>
      </c>
      <c r="BK2648" s="0" t="s">
        <v>130</v>
      </c>
      <c r="BL2648" s="0" t="s">
        <v>130</v>
      </c>
      <c r="BM2648" s="0" t="s">
        <v>130</v>
      </c>
      <c r="BN2648" s="0" t="s">
        <v>130</v>
      </c>
      <c r="BO2648" s="0" t="s">
        <v>130</v>
      </c>
      <c r="BP2648" s="0" t="s">
        <v>141</v>
      </c>
      <c r="BQ2648" s="0" t="s">
        <v>130</v>
      </c>
      <c r="BR2648" s="0" t="s">
        <v>130</v>
      </c>
      <c r="BS2648" s="0" t="s">
        <v>130</v>
      </c>
      <c r="BT2648" s="0" t="s">
        <v>130</v>
      </c>
      <c r="BU2648" s="0" t="s">
        <v>130</v>
      </c>
      <c r="BV2648" s="0" t="s">
        <v>130</v>
      </c>
      <c r="BW2648" s="0" t="s">
        <v>130</v>
      </c>
      <c r="BX2648" s="0" t="s">
        <v>130</v>
      </c>
      <c r="BY2648" s="0" t="s">
        <v>130</v>
      </c>
      <c r="BZ2648" s="0" t="s">
        <v>130</v>
      </c>
      <c r="CA2648" s="0" t="s">
        <v>130</v>
      </c>
      <c r="CB2648" s="0" t="s">
        <v>130</v>
      </c>
      <c r="CC2648" s="0" t="s">
        <v>130</v>
      </c>
      <c r="CD2648" s="0" t="s">
        <v>130</v>
      </c>
      <c r="CE2648" s="0" t="s">
        <v>130</v>
      </c>
      <c r="CF2648" s="0" t="s">
        <v>130</v>
      </c>
      <c r="CG2648" s="0" t="s">
        <v>130</v>
      </c>
      <c r="CH2648" s="0" t="s">
        <v>130</v>
      </c>
      <c r="CI2648" s="0" t="s">
        <v>130</v>
      </c>
      <c r="CJ2648" s="0" t="s">
        <v>130</v>
      </c>
      <c r="CK2648" s="0" t="s">
        <v>130</v>
      </c>
      <c r="CL2648" s="0" t="s">
        <v>130</v>
      </c>
      <c r="CM2648" s="0" t="s">
        <v>130</v>
      </c>
      <c r="CN2648" s="0" t="s">
        <v>130</v>
      </c>
      <c r="CO2648" s="0" t="s">
        <v>130</v>
      </c>
      <c r="CP2648" s="0" t="s">
        <v>130</v>
      </c>
      <c r="CQ2648" s="0" t="s">
        <v>130</v>
      </c>
      <c r="CR2648" s="0" t="s">
        <v>130</v>
      </c>
      <c r="CS2648" s="0" t="s">
        <v>130</v>
      </c>
      <c r="CT2648" s="0" t="s">
        <v>7165</v>
      </c>
    </row>
    <row r="2649">
      <c r="A2649" s="14">
        <v>100539</v>
      </c>
      <c r="B2649" s="0" t="s">
        <v>745</v>
      </c>
      <c r="C2649" s="16">
        <f>HYPERLINK("https://eosportal.federatedhermes.com/companies/Q29tcGFueQppNTQ1MDc=", "EQT Corp")</f>
      </c>
      <c r="D2649" s="0" t="s">
        <v>23</v>
      </c>
      <c r="E2649" s="0" t="s">
        <v>5543</v>
      </c>
      <c r="F2649" s="16">
        <f>HYPERLINK("https://eosportal.federatedhermes.com/engagements/RW5nYWdlbWVudAppMzYxOTI=", "Methane management best practices")</f>
      </c>
      <c r="G2649" s="14" t="s">
        <v>5544</v>
      </c>
      <c r="H2649" s="0" t="s">
        <v>130</v>
      </c>
      <c r="I2649" s="14" t="s">
        <v>131</v>
      </c>
      <c r="J2649" s="0" t="s">
        <v>197</v>
      </c>
      <c r="K2649" s="0" t="s">
        <v>198</v>
      </c>
      <c r="L2649" s="0" t="s">
        <v>220</v>
      </c>
      <c r="M2649" s="0" t="s">
        <v>135</v>
      </c>
      <c r="N2649" s="0" t="s">
        <v>136</v>
      </c>
      <c r="O2649" s="0" t="s">
        <v>542</v>
      </c>
      <c r="Q2649" s="0" t="s">
        <v>141</v>
      </c>
      <c r="R2649" s="0" t="s">
        <v>130</v>
      </c>
      <c r="S2649" s="14">
        <v>1</v>
      </c>
      <c r="T2649" s="0" t="s">
        <v>446</v>
      </c>
      <c r="U2649" s="0" t="s">
        <v>221</v>
      </c>
      <c r="V2649" s="14" t="s">
        <v>446</v>
      </c>
      <c r="W2649" s="0" t="s">
        <v>221</v>
      </c>
      <c r="X2649" s="14" t="s">
        <v>446</v>
      </c>
      <c r="Y2649" s="0" t="s">
        <v>221</v>
      </c>
      <c r="Z2649" s="14" t="s">
        <v>2428</v>
      </c>
      <c r="AA2649" s="0" t="s">
        <v>223</v>
      </c>
      <c r="AB2649" s="14" t="s">
        <v>138</v>
      </c>
      <c r="AD2649" s="0" t="s">
        <v>20</v>
      </c>
      <c r="AF2649" s="0">
        <v>0</v>
      </c>
      <c r="AG2649" s="0">
        <v>0</v>
      </c>
      <c r="AH2649" s="0" t="s">
        <v>140</v>
      </c>
      <c r="AI2649" s="0" t="s">
        <v>598</v>
      </c>
      <c r="AK2649" s="0" t="s">
        <v>2239</v>
      </c>
      <c r="AL2649" s="14"/>
      <c r="AN2649" s="14"/>
      <c r="AQ2649" s="0" t="s">
        <v>130</v>
      </c>
      <c r="AR2649" s="0" t="s">
        <v>130</v>
      </c>
      <c r="AS2649" s="0" t="s">
        <v>130</v>
      </c>
      <c r="AT2649" s="0" t="s">
        <v>130</v>
      </c>
      <c r="AU2649" s="0" t="s">
        <v>130</v>
      </c>
      <c r="AV2649" s="0" t="s">
        <v>130</v>
      </c>
      <c r="AW2649" s="0" t="s">
        <v>141</v>
      </c>
      <c r="AX2649" s="0" t="s">
        <v>130</v>
      </c>
      <c r="AY2649" s="0" t="s">
        <v>141</v>
      </c>
      <c r="AZ2649" s="0" t="s">
        <v>130</v>
      </c>
      <c r="BA2649" s="0" t="s">
        <v>130</v>
      </c>
      <c r="BB2649" s="0" t="s">
        <v>130</v>
      </c>
      <c r="BC2649" s="0" t="s">
        <v>141</v>
      </c>
      <c r="BD2649" s="0" t="s">
        <v>130</v>
      </c>
      <c r="BE2649" s="0" t="s">
        <v>130</v>
      </c>
      <c r="BF2649" s="0" t="s">
        <v>130</v>
      </c>
      <c r="BG2649" s="0" t="s">
        <v>130</v>
      </c>
      <c r="BH2649" s="0" t="s">
        <v>130</v>
      </c>
      <c r="BI2649" s="0" t="s">
        <v>130</v>
      </c>
      <c r="BJ2649" s="0" t="s">
        <v>130</v>
      </c>
      <c r="BK2649" s="0" t="s">
        <v>130</v>
      </c>
      <c r="BL2649" s="0" t="s">
        <v>130</v>
      </c>
      <c r="BM2649" s="0" t="s">
        <v>130</v>
      </c>
      <c r="BN2649" s="0" t="s">
        <v>130</v>
      </c>
      <c r="BO2649" s="0" t="s">
        <v>130</v>
      </c>
      <c r="BP2649" s="0" t="s">
        <v>130</v>
      </c>
      <c r="BQ2649" s="0" t="s">
        <v>130</v>
      </c>
      <c r="BR2649" s="0" t="s">
        <v>130</v>
      </c>
      <c r="BS2649" s="0" t="s">
        <v>130</v>
      </c>
      <c r="BT2649" s="0" t="s">
        <v>130</v>
      </c>
      <c r="BU2649" s="0" t="s">
        <v>130</v>
      </c>
      <c r="BV2649" s="0" t="s">
        <v>130</v>
      </c>
      <c r="BW2649" s="0" t="s">
        <v>130</v>
      </c>
      <c r="BX2649" s="0" t="s">
        <v>130</v>
      </c>
      <c r="BY2649" s="0" t="s">
        <v>130</v>
      </c>
      <c r="BZ2649" s="0" t="s">
        <v>130</v>
      </c>
      <c r="CA2649" s="0" t="s">
        <v>130</v>
      </c>
      <c r="CB2649" s="0" t="s">
        <v>130</v>
      </c>
      <c r="CC2649" s="0" t="s">
        <v>130</v>
      </c>
      <c r="CD2649" s="0" t="s">
        <v>130</v>
      </c>
      <c r="CE2649" s="0" t="s">
        <v>130</v>
      </c>
      <c r="CF2649" s="0" t="s">
        <v>130</v>
      </c>
      <c r="CG2649" s="0" t="s">
        <v>130</v>
      </c>
      <c r="CH2649" s="0" t="s">
        <v>130</v>
      </c>
      <c r="CI2649" s="0" t="s">
        <v>130</v>
      </c>
      <c r="CJ2649" s="0" t="s">
        <v>130</v>
      </c>
      <c r="CK2649" s="0" t="s">
        <v>130</v>
      </c>
      <c r="CL2649" s="0" t="s">
        <v>130</v>
      </c>
      <c r="CM2649" s="0" t="s">
        <v>130</v>
      </c>
      <c r="CN2649" s="0" t="s">
        <v>130</v>
      </c>
      <c r="CO2649" s="0" t="s">
        <v>130</v>
      </c>
      <c r="CP2649" s="0" t="s">
        <v>130</v>
      </c>
      <c r="CQ2649" s="0" t="s">
        <v>130</v>
      </c>
      <c r="CR2649" s="0" t="s">
        <v>130</v>
      </c>
      <c r="CS2649" s="0" t="s">
        <v>130</v>
      </c>
      <c r="CT2649" s="0" t="s">
        <v>7166</v>
      </c>
    </row>
    <row r="2650">
      <c r="A2650" s="14">
        <v>115785</v>
      </c>
      <c r="B2650" s="0" t="s">
        <v>2695</v>
      </c>
      <c r="C2650" s="16">
        <f>HYPERLINK("https://eosportal.federatedhermes.com/companies/Q29tcGFueQppODU0NDE=", "Roche Holding AG")</f>
      </c>
      <c r="D2650" s="0" t="s">
        <v>25</v>
      </c>
      <c r="E2650" s="0" t="s">
        <v>5234</v>
      </c>
      <c r="F2650" s="16">
        <f>HYPERLINK("https://eosportal.federatedhermes.com/engagements/RW5nYWdlbWVudAppMzYyMjM=", "Antimicrobial resistance")</f>
      </c>
      <c r="G2650" s="14" t="s">
        <v>7167</v>
      </c>
      <c r="H2650" s="0" t="s">
        <v>141</v>
      </c>
      <c r="I2650" s="14" t="s">
        <v>191</v>
      </c>
      <c r="J2650" s="0" t="s">
        <v>197</v>
      </c>
      <c r="K2650" s="0" t="s">
        <v>337</v>
      </c>
      <c r="L2650" s="0" t="s">
        <v>1222</v>
      </c>
      <c r="M2650" s="0" t="s">
        <v>378</v>
      </c>
      <c r="N2650" s="0" t="s">
        <v>1059</v>
      </c>
      <c r="O2650" s="0" t="s">
        <v>274</v>
      </c>
      <c r="Q2650" s="0" t="s">
        <v>141</v>
      </c>
      <c r="R2650" s="0" t="s">
        <v>138</v>
      </c>
      <c r="S2650" s="14">
        <v>1</v>
      </c>
      <c r="T2650" s="0" t="s">
        <v>2842</v>
      </c>
      <c r="U2650" s="0" t="s">
        <v>138</v>
      </c>
      <c r="V2650" s="14" t="s">
        <v>138</v>
      </c>
      <c r="W2650" s="0" t="s">
        <v>138</v>
      </c>
      <c r="X2650" s="14" t="s">
        <v>138</v>
      </c>
      <c r="Y2650" s="0" t="s">
        <v>138</v>
      </c>
      <c r="Z2650" s="14" t="s">
        <v>138</v>
      </c>
      <c r="AA2650" s="0" t="s">
        <v>138</v>
      </c>
      <c r="AB2650" s="14" t="s">
        <v>138</v>
      </c>
      <c r="AD2650" s="0" t="s">
        <v>138</v>
      </c>
      <c r="AF2650" s="0">
        <v>0</v>
      </c>
      <c r="AG2650" s="0">
        <v>0</v>
      </c>
      <c r="AH2650" s="0" t="s">
        <v>140</v>
      </c>
      <c r="AI2650" s="0" t="s">
        <v>138</v>
      </c>
      <c r="AK2650" s="0" t="s">
        <v>2376</v>
      </c>
      <c r="AL2650" s="14"/>
      <c r="AN2650" s="14"/>
      <c r="AQ2650" s="0" t="s">
        <v>130</v>
      </c>
      <c r="AR2650" s="0" t="s">
        <v>130</v>
      </c>
      <c r="AS2650" s="0" t="s">
        <v>141</v>
      </c>
      <c r="AT2650" s="0" t="s">
        <v>130</v>
      </c>
      <c r="AU2650" s="0" t="s">
        <v>130</v>
      </c>
      <c r="AV2650" s="0" t="s">
        <v>130</v>
      </c>
      <c r="AW2650" s="0" t="s">
        <v>130</v>
      </c>
      <c r="AX2650" s="0" t="s">
        <v>130</v>
      </c>
      <c r="AY2650" s="0" t="s">
        <v>130</v>
      </c>
      <c r="AZ2650" s="0" t="s">
        <v>130</v>
      </c>
      <c r="BA2650" s="0" t="s">
        <v>130</v>
      </c>
      <c r="BB2650" s="0" t="s">
        <v>130</v>
      </c>
      <c r="BC2650" s="0" t="s">
        <v>130</v>
      </c>
      <c r="BD2650" s="0" t="s">
        <v>130</v>
      </c>
      <c r="BE2650" s="0" t="s">
        <v>130</v>
      </c>
      <c r="BF2650" s="0" t="s">
        <v>130</v>
      </c>
      <c r="BG2650" s="0" t="s">
        <v>130</v>
      </c>
      <c r="BH2650" s="0" t="s">
        <v>130</v>
      </c>
      <c r="BI2650" s="0" t="s">
        <v>130</v>
      </c>
      <c r="BJ2650" s="0" t="s">
        <v>130</v>
      </c>
      <c r="BK2650" s="0" t="s">
        <v>130</v>
      </c>
      <c r="BL2650" s="0" t="s">
        <v>130</v>
      </c>
      <c r="BM2650" s="0" t="s">
        <v>130</v>
      </c>
      <c r="BN2650" s="0" t="s">
        <v>130</v>
      </c>
      <c r="BO2650" s="0" t="s">
        <v>130</v>
      </c>
      <c r="BP2650" s="0" t="s">
        <v>130</v>
      </c>
      <c r="BQ2650" s="0" t="s">
        <v>130</v>
      </c>
      <c r="BR2650" s="0" t="s">
        <v>130</v>
      </c>
      <c r="BS2650" s="0" t="s">
        <v>130</v>
      </c>
      <c r="BT2650" s="0" t="s">
        <v>130</v>
      </c>
      <c r="BU2650" s="0" t="s">
        <v>130</v>
      </c>
      <c r="BV2650" s="0" t="s">
        <v>130</v>
      </c>
      <c r="BW2650" s="0" t="s">
        <v>130</v>
      </c>
      <c r="BX2650" s="0" t="s">
        <v>130</v>
      </c>
      <c r="BY2650" s="0" t="s">
        <v>130</v>
      </c>
      <c r="BZ2650" s="0" t="s">
        <v>130</v>
      </c>
      <c r="CA2650" s="0" t="s">
        <v>130</v>
      </c>
      <c r="CB2650" s="0" t="s">
        <v>130</v>
      </c>
      <c r="CC2650" s="0" t="s">
        <v>130</v>
      </c>
      <c r="CD2650" s="0" t="s">
        <v>130</v>
      </c>
      <c r="CE2650" s="0" t="s">
        <v>130</v>
      </c>
      <c r="CF2650" s="0" t="s">
        <v>130</v>
      </c>
      <c r="CG2650" s="0" t="s">
        <v>130</v>
      </c>
      <c r="CH2650" s="0" t="s">
        <v>130</v>
      </c>
      <c r="CI2650" s="0" t="s">
        <v>130</v>
      </c>
      <c r="CJ2650" s="0" t="s">
        <v>130</v>
      </c>
      <c r="CK2650" s="0" t="s">
        <v>130</v>
      </c>
      <c r="CL2650" s="0" t="s">
        <v>130</v>
      </c>
      <c r="CM2650" s="0" t="s">
        <v>130</v>
      </c>
      <c r="CN2650" s="0" t="s">
        <v>130</v>
      </c>
      <c r="CO2650" s="0" t="s">
        <v>130</v>
      </c>
      <c r="CP2650" s="0" t="s">
        <v>130</v>
      </c>
      <c r="CQ2650" s="0" t="s">
        <v>130</v>
      </c>
      <c r="CR2650" s="0" t="s">
        <v>130</v>
      </c>
      <c r="CS2650" s="0" t="s">
        <v>130</v>
      </c>
      <c r="CT2650" s="0" t="s">
        <v>7168</v>
      </c>
    </row>
    <row r="2651">
      <c r="A2651" s="14">
        <v>115691</v>
      </c>
      <c r="B2651" s="0" t="s">
        <v>2482</v>
      </c>
      <c r="C2651" s="16">
        <f>HYPERLINK("https://eosportal.federatedhermes.com/companies/Q29tcGFueQppNjc3MzA=", "Deutsche Bank AG")</f>
      </c>
      <c r="D2651" s="0" t="s">
        <v>25</v>
      </c>
      <c r="E2651" s="0" t="s">
        <v>7169</v>
      </c>
      <c r="F2651" s="16">
        <f>HYPERLINK("https://eosportal.federatedhermes.com/engagements/RW5nYWdlbWVudAppMzYyMzg=", "Anti-money laundering controls")</f>
      </c>
      <c r="G2651" s="14" t="s">
        <v>7170</v>
      </c>
      <c r="H2651" s="0" t="s">
        <v>141</v>
      </c>
      <c r="I2651" s="14" t="s">
        <v>191</v>
      </c>
      <c r="J2651" s="0" t="s">
        <v>132</v>
      </c>
      <c r="K2651" s="0" t="s">
        <v>260</v>
      </c>
      <c r="L2651" s="0" t="s">
        <v>261</v>
      </c>
      <c r="M2651" s="0" t="s">
        <v>378</v>
      </c>
      <c r="N2651" s="0" t="s">
        <v>2485</v>
      </c>
      <c r="O2651" s="0" t="s">
        <v>238</v>
      </c>
      <c r="Q2651" s="0" t="s">
        <v>130</v>
      </c>
      <c r="R2651" s="0" t="s">
        <v>138</v>
      </c>
      <c r="S2651" s="14">
        <v>0</v>
      </c>
      <c r="T2651" s="0" t="s">
        <v>2842</v>
      </c>
      <c r="U2651" s="0" t="s">
        <v>138</v>
      </c>
      <c r="V2651" s="14" t="s">
        <v>138</v>
      </c>
      <c r="W2651" s="0" t="s">
        <v>138</v>
      </c>
      <c r="X2651" s="14" t="s">
        <v>138</v>
      </c>
      <c r="Y2651" s="0" t="s">
        <v>138</v>
      </c>
      <c r="Z2651" s="14" t="s">
        <v>138</v>
      </c>
      <c r="AA2651" s="0" t="s">
        <v>138</v>
      </c>
      <c r="AB2651" s="14" t="s">
        <v>138</v>
      </c>
      <c r="AD2651" s="0" t="s">
        <v>138</v>
      </c>
      <c r="AF2651" s="0">
        <v>0</v>
      </c>
      <c r="AG2651" s="0">
        <v>0</v>
      </c>
      <c r="AH2651" s="0" t="s">
        <v>140</v>
      </c>
      <c r="AI2651" s="0" t="s">
        <v>138</v>
      </c>
      <c r="AL2651" s="14"/>
      <c r="AN2651" s="14"/>
      <c r="AQ2651" s="0" t="s">
        <v>130</v>
      </c>
      <c r="AR2651" s="0" t="s">
        <v>130</v>
      </c>
      <c r="AS2651" s="0" t="s">
        <v>130</v>
      </c>
      <c r="AT2651" s="0" t="s">
        <v>130</v>
      </c>
      <c r="AU2651" s="0" t="s">
        <v>130</v>
      </c>
      <c r="AV2651" s="0" t="s">
        <v>130</v>
      </c>
      <c r="AW2651" s="0" t="s">
        <v>130</v>
      </c>
      <c r="AX2651" s="0" t="s">
        <v>130</v>
      </c>
      <c r="AY2651" s="0" t="s">
        <v>130</v>
      </c>
      <c r="AZ2651" s="0" t="s">
        <v>130</v>
      </c>
      <c r="BA2651" s="0" t="s">
        <v>130</v>
      </c>
      <c r="BB2651" s="0" t="s">
        <v>130</v>
      </c>
      <c r="BC2651" s="0" t="s">
        <v>130</v>
      </c>
      <c r="BD2651" s="0" t="s">
        <v>130</v>
      </c>
      <c r="BE2651" s="0" t="s">
        <v>130</v>
      </c>
      <c r="BF2651" s="0" t="s">
        <v>130</v>
      </c>
      <c r="BG2651" s="0" t="s">
        <v>130</v>
      </c>
      <c r="BH2651" s="0" t="s">
        <v>130</v>
      </c>
      <c r="BI2651" s="0" t="s">
        <v>130</v>
      </c>
      <c r="BJ2651" s="0" t="s">
        <v>130</v>
      </c>
      <c r="BK2651" s="0" t="s">
        <v>130</v>
      </c>
      <c r="BL2651" s="0" t="s">
        <v>130</v>
      </c>
      <c r="BM2651" s="0" t="s">
        <v>130</v>
      </c>
      <c r="BN2651" s="0" t="s">
        <v>130</v>
      </c>
      <c r="BO2651" s="0" t="s">
        <v>130</v>
      </c>
      <c r="BP2651" s="0" t="s">
        <v>130</v>
      </c>
      <c r="BQ2651" s="0" t="s">
        <v>130</v>
      </c>
      <c r="BR2651" s="0" t="s">
        <v>130</v>
      </c>
      <c r="BS2651" s="0" t="s">
        <v>130</v>
      </c>
      <c r="BT2651" s="0" t="s">
        <v>130</v>
      </c>
      <c r="BU2651" s="0" t="s">
        <v>130</v>
      </c>
      <c r="BV2651" s="0" t="s">
        <v>130</v>
      </c>
      <c r="BW2651" s="0" t="s">
        <v>130</v>
      </c>
      <c r="BX2651" s="0" t="s">
        <v>130</v>
      </c>
      <c r="BY2651" s="0" t="s">
        <v>130</v>
      </c>
      <c r="BZ2651" s="0" t="s">
        <v>130</v>
      </c>
      <c r="CA2651" s="0" t="s">
        <v>130</v>
      </c>
      <c r="CB2651" s="0" t="s">
        <v>130</v>
      </c>
      <c r="CC2651" s="0" t="s">
        <v>130</v>
      </c>
      <c r="CD2651" s="0" t="s">
        <v>130</v>
      </c>
      <c r="CE2651" s="0" t="s">
        <v>130</v>
      </c>
      <c r="CF2651" s="0" t="s">
        <v>130</v>
      </c>
      <c r="CG2651" s="0" t="s">
        <v>130</v>
      </c>
      <c r="CH2651" s="0" t="s">
        <v>130</v>
      </c>
      <c r="CI2651" s="0" t="s">
        <v>130</v>
      </c>
      <c r="CJ2651" s="0" t="s">
        <v>130</v>
      </c>
      <c r="CK2651" s="0" t="s">
        <v>130</v>
      </c>
      <c r="CL2651" s="0" t="s">
        <v>130</v>
      </c>
      <c r="CM2651" s="0" t="s">
        <v>130</v>
      </c>
      <c r="CN2651" s="0" t="s">
        <v>130</v>
      </c>
      <c r="CO2651" s="0" t="s">
        <v>130</v>
      </c>
      <c r="CP2651" s="0" t="s">
        <v>130</v>
      </c>
      <c r="CQ2651" s="0" t="s">
        <v>130</v>
      </c>
      <c r="CR2651" s="0" t="s">
        <v>130</v>
      </c>
      <c r="CS2651" s="0" t="s">
        <v>130</v>
      </c>
      <c r="CT2651" s="0" t="s">
        <v>7171</v>
      </c>
    </row>
    <row r="2652">
      <c r="A2652" s="14">
        <v>101605</v>
      </c>
      <c r="B2652" s="0" t="s">
        <v>1797</v>
      </c>
      <c r="C2652" s="16">
        <f>HYPERLINK("https://eosportal.federatedhermes.com/companies/Q29tcGFueQppNjI1MDc=", "Vodafone Group PLC")</f>
      </c>
      <c r="D2652" s="0" t="s">
        <v>23</v>
      </c>
      <c r="E2652" s="0" t="s">
        <v>7172</v>
      </c>
      <c r="F2652" s="16">
        <f>HYPERLINK("https://eosportal.federatedhermes.com/engagements/RW5nYWdlbWVudAppMzYyNTU=", "Update Artificial Intelligence framework")</f>
      </c>
      <c r="G2652" s="14" t="s">
        <v>7173</v>
      </c>
      <c r="H2652" s="0" t="s">
        <v>130</v>
      </c>
      <c r="I2652" s="14" t="s">
        <v>319</v>
      </c>
      <c r="J2652" s="0" t="s">
        <v>153</v>
      </c>
      <c r="K2652" s="0" t="s">
        <v>243</v>
      </c>
      <c r="L2652" s="0" t="s">
        <v>537</v>
      </c>
      <c r="M2652" s="0" t="s">
        <v>272</v>
      </c>
      <c r="N2652" s="0" t="s">
        <v>273</v>
      </c>
      <c r="O2652" s="0" t="s">
        <v>137</v>
      </c>
      <c r="Q2652" s="0" t="s">
        <v>141</v>
      </c>
      <c r="R2652" s="0" t="s">
        <v>130</v>
      </c>
      <c r="S2652" s="14">
        <v>1</v>
      </c>
      <c r="T2652" s="0" t="s">
        <v>2842</v>
      </c>
      <c r="U2652" s="0" t="s">
        <v>221</v>
      </c>
      <c r="V2652" s="14" t="s">
        <v>2842</v>
      </c>
      <c r="W2652" s="0" t="s">
        <v>221</v>
      </c>
      <c r="X2652" s="14" t="s">
        <v>2842</v>
      </c>
      <c r="Y2652" s="0" t="s">
        <v>221</v>
      </c>
      <c r="Z2652" s="14" t="s">
        <v>449</v>
      </c>
      <c r="AA2652" s="0" t="s">
        <v>223</v>
      </c>
      <c r="AB2652" s="14" t="s">
        <v>138</v>
      </c>
      <c r="AD2652" s="0" t="s">
        <v>20</v>
      </c>
      <c r="AF2652" s="0">
        <v>0</v>
      </c>
      <c r="AG2652" s="0">
        <v>0</v>
      </c>
      <c r="AH2652" s="0" t="s">
        <v>140</v>
      </c>
      <c r="AI2652" s="0" t="s">
        <v>598</v>
      </c>
      <c r="AK2652" s="0" t="s">
        <v>1799</v>
      </c>
      <c r="AL2652" s="14"/>
      <c r="AN2652" s="14"/>
      <c r="AQ2652" s="0" t="s">
        <v>130</v>
      </c>
      <c r="AR2652" s="0" t="s">
        <v>130</v>
      </c>
      <c r="AS2652" s="0" t="s">
        <v>130</v>
      </c>
      <c r="AT2652" s="0" t="s">
        <v>130</v>
      </c>
      <c r="AU2652" s="0" t="s">
        <v>130</v>
      </c>
      <c r="AV2652" s="0" t="s">
        <v>130</v>
      </c>
      <c r="AW2652" s="0" t="s">
        <v>130</v>
      </c>
      <c r="AX2652" s="0" t="s">
        <v>130</v>
      </c>
      <c r="AY2652" s="0" t="s">
        <v>130</v>
      </c>
      <c r="AZ2652" s="0" t="s">
        <v>130</v>
      </c>
      <c r="BA2652" s="0" t="s">
        <v>130</v>
      </c>
      <c r="BB2652" s="0" t="s">
        <v>141</v>
      </c>
      <c r="BC2652" s="0" t="s">
        <v>130</v>
      </c>
      <c r="BD2652" s="0" t="s">
        <v>130</v>
      </c>
      <c r="BE2652" s="0" t="s">
        <v>130</v>
      </c>
      <c r="BF2652" s="0" t="s">
        <v>141</v>
      </c>
      <c r="BG2652" s="0" t="s">
        <v>130</v>
      </c>
      <c r="BH2652" s="0" t="s">
        <v>130</v>
      </c>
      <c r="BI2652" s="0" t="s">
        <v>130</v>
      </c>
      <c r="BJ2652" s="0" t="s">
        <v>130</v>
      </c>
      <c r="BK2652" s="0" t="s">
        <v>130</v>
      </c>
      <c r="BL2652" s="0" t="s">
        <v>130</v>
      </c>
      <c r="BM2652" s="0" t="s">
        <v>130</v>
      </c>
      <c r="BN2652" s="0" t="s">
        <v>130</v>
      </c>
      <c r="BO2652" s="0" t="s">
        <v>130</v>
      </c>
      <c r="BP2652" s="0" t="s">
        <v>130</v>
      </c>
      <c r="BQ2652" s="0" t="s">
        <v>130</v>
      </c>
      <c r="BR2652" s="0" t="s">
        <v>130</v>
      </c>
      <c r="BS2652" s="0" t="s">
        <v>130</v>
      </c>
      <c r="BT2652" s="0" t="s">
        <v>130</v>
      </c>
      <c r="BU2652" s="0" t="s">
        <v>130</v>
      </c>
      <c r="BV2652" s="0" t="s">
        <v>130</v>
      </c>
      <c r="BW2652" s="0" t="s">
        <v>130</v>
      </c>
      <c r="BX2652" s="0" t="s">
        <v>130</v>
      </c>
      <c r="BY2652" s="0" t="s">
        <v>130</v>
      </c>
      <c r="BZ2652" s="0" t="s">
        <v>130</v>
      </c>
      <c r="CA2652" s="0" t="s">
        <v>130</v>
      </c>
      <c r="CB2652" s="0" t="s">
        <v>130</v>
      </c>
      <c r="CC2652" s="0" t="s">
        <v>130</v>
      </c>
      <c r="CD2652" s="0" t="s">
        <v>130</v>
      </c>
      <c r="CE2652" s="0" t="s">
        <v>130</v>
      </c>
      <c r="CF2652" s="0" t="s">
        <v>130</v>
      </c>
      <c r="CG2652" s="0" t="s">
        <v>130</v>
      </c>
      <c r="CH2652" s="0" t="s">
        <v>130</v>
      </c>
      <c r="CI2652" s="0" t="s">
        <v>130</v>
      </c>
      <c r="CJ2652" s="0" t="s">
        <v>130</v>
      </c>
      <c r="CK2652" s="0" t="s">
        <v>130</v>
      </c>
      <c r="CL2652" s="0" t="s">
        <v>130</v>
      </c>
      <c r="CM2652" s="0" t="s">
        <v>130</v>
      </c>
      <c r="CN2652" s="0" t="s">
        <v>130</v>
      </c>
      <c r="CO2652" s="0" t="s">
        <v>130</v>
      </c>
      <c r="CP2652" s="0" t="s">
        <v>130</v>
      </c>
      <c r="CQ2652" s="0" t="s">
        <v>130</v>
      </c>
      <c r="CR2652" s="0" t="s">
        <v>130</v>
      </c>
      <c r="CS2652" s="0" t="s">
        <v>130</v>
      </c>
      <c r="CT2652" s="0" t="s">
        <v>7174</v>
      </c>
    </row>
    <row r="2653">
      <c r="A2653" s="14">
        <v>115691</v>
      </c>
      <c r="B2653" s="0" t="s">
        <v>2482</v>
      </c>
      <c r="C2653" s="16">
        <f>HYPERLINK("https://eosportal.federatedhermes.com/companies/Q29tcGFueQppNjc3MzA=", "Deutsche Bank AG")</f>
      </c>
      <c r="D2653" s="0" t="s">
        <v>23</v>
      </c>
      <c r="E2653" s="0" t="s">
        <v>5303</v>
      </c>
      <c r="F2653" s="16">
        <f>HYPERLINK("https://eosportal.federatedhermes.com/engagements/RW5nYWdlbWVudAppMzYyNTc=", "Enhanced human rights policy and reporting")</f>
      </c>
      <c r="G2653" s="14" t="s">
        <v>7175</v>
      </c>
      <c r="H2653" s="0" t="s">
        <v>141</v>
      </c>
      <c r="I2653" s="14" t="s">
        <v>191</v>
      </c>
      <c r="J2653" s="0" t="s">
        <v>153</v>
      </c>
      <c r="K2653" s="0" t="s">
        <v>243</v>
      </c>
      <c r="L2653" s="0" t="s">
        <v>244</v>
      </c>
      <c r="M2653" s="0" t="s">
        <v>378</v>
      </c>
      <c r="N2653" s="0" t="s">
        <v>2485</v>
      </c>
      <c r="O2653" s="0" t="s">
        <v>238</v>
      </c>
      <c r="Q2653" s="0" t="s">
        <v>130</v>
      </c>
      <c r="R2653" s="0" t="s">
        <v>130</v>
      </c>
      <c r="S2653" s="14">
        <v>0</v>
      </c>
      <c r="T2653" s="0" t="s">
        <v>2842</v>
      </c>
      <c r="U2653" s="0" t="s">
        <v>221</v>
      </c>
      <c r="V2653" s="14" t="s">
        <v>2842</v>
      </c>
      <c r="W2653" s="0" t="s">
        <v>221</v>
      </c>
      <c r="X2653" s="14" t="s">
        <v>2428</v>
      </c>
      <c r="Y2653" s="0" t="s">
        <v>223</v>
      </c>
      <c r="Z2653" s="14" t="s">
        <v>138</v>
      </c>
      <c r="AA2653" s="0" t="s">
        <v>224</v>
      </c>
      <c r="AB2653" s="14" t="s">
        <v>138</v>
      </c>
      <c r="AD2653" s="0" t="s">
        <v>17</v>
      </c>
      <c r="AF2653" s="0">
        <v>0</v>
      </c>
      <c r="AG2653" s="0">
        <v>0</v>
      </c>
      <c r="AH2653" s="0" t="s">
        <v>140</v>
      </c>
      <c r="AI2653" s="0" t="s">
        <v>598</v>
      </c>
      <c r="AL2653" s="14"/>
      <c r="AN2653" s="14"/>
      <c r="AQ2653" s="0" t="s">
        <v>130</v>
      </c>
      <c r="AR2653" s="0" t="s">
        <v>130</v>
      </c>
      <c r="AS2653" s="0" t="s">
        <v>130</v>
      </c>
      <c r="AT2653" s="0" t="s">
        <v>130</v>
      </c>
      <c r="AU2653" s="0" t="s">
        <v>130</v>
      </c>
      <c r="AV2653" s="0" t="s">
        <v>130</v>
      </c>
      <c r="AW2653" s="0" t="s">
        <v>130</v>
      </c>
      <c r="AX2653" s="0" t="s">
        <v>141</v>
      </c>
      <c r="AY2653" s="0" t="s">
        <v>130</v>
      </c>
      <c r="AZ2653" s="0" t="s">
        <v>130</v>
      </c>
      <c r="BA2653" s="0" t="s">
        <v>130</v>
      </c>
      <c r="BB2653" s="0" t="s">
        <v>130</v>
      </c>
      <c r="BC2653" s="0" t="s">
        <v>130</v>
      </c>
      <c r="BD2653" s="0" t="s">
        <v>130</v>
      </c>
      <c r="BE2653" s="0" t="s">
        <v>130</v>
      </c>
      <c r="BF2653" s="0" t="s">
        <v>130</v>
      </c>
      <c r="BG2653" s="0" t="s">
        <v>130</v>
      </c>
      <c r="BH2653" s="0" t="s">
        <v>130</v>
      </c>
      <c r="BI2653" s="0" t="s">
        <v>130</v>
      </c>
      <c r="BJ2653" s="0" t="s">
        <v>130</v>
      </c>
      <c r="BK2653" s="0" t="s">
        <v>130</v>
      </c>
      <c r="BL2653" s="0" t="s">
        <v>130</v>
      </c>
      <c r="BM2653" s="0" t="s">
        <v>130</v>
      </c>
      <c r="BN2653" s="0" t="s">
        <v>130</v>
      </c>
      <c r="BO2653" s="0" t="s">
        <v>130</v>
      </c>
      <c r="BP2653" s="0" t="s">
        <v>130</v>
      </c>
      <c r="BQ2653" s="0" t="s">
        <v>130</v>
      </c>
      <c r="BR2653" s="0" t="s">
        <v>130</v>
      </c>
      <c r="BS2653" s="0" t="s">
        <v>130</v>
      </c>
      <c r="BT2653" s="0" t="s">
        <v>130</v>
      </c>
      <c r="BU2653" s="0" t="s">
        <v>130</v>
      </c>
      <c r="BV2653" s="0" t="s">
        <v>130</v>
      </c>
      <c r="BW2653" s="0" t="s">
        <v>130</v>
      </c>
      <c r="BX2653" s="0" t="s">
        <v>130</v>
      </c>
      <c r="BY2653" s="0" t="s">
        <v>130</v>
      </c>
      <c r="BZ2653" s="0" t="s">
        <v>130</v>
      </c>
      <c r="CA2653" s="0" t="s">
        <v>130</v>
      </c>
      <c r="CB2653" s="0" t="s">
        <v>130</v>
      </c>
      <c r="CC2653" s="0" t="s">
        <v>130</v>
      </c>
      <c r="CD2653" s="0" t="s">
        <v>130</v>
      </c>
      <c r="CE2653" s="0" t="s">
        <v>130</v>
      </c>
      <c r="CF2653" s="0" t="s">
        <v>130</v>
      </c>
      <c r="CG2653" s="0" t="s">
        <v>130</v>
      </c>
      <c r="CH2653" s="0" t="s">
        <v>130</v>
      </c>
      <c r="CI2653" s="0" t="s">
        <v>130</v>
      </c>
      <c r="CJ2653" s="0" t="s">
        <v>130</v>
      </c>
      <c r="CK2653" s="0" t="s">
        <v>130</v>
      </c>
      <c r="CL2653" s="0" t="s">
        <v>130</v>
      </c>
      <c r="CM2653" s="0" t="s">
        <v>130</v>
      </c>
      <c r="CN2653" s="0" t="s">
        <v>130</v>
      </c>
      <c r="CO2653" s="0" t="s">
        <v>130</v>
      </c>
      <c r="CP2653" s="0" t="s">
        <v>130</v>
      </c>
      <c r="CQ2653" s="0" t="s">
        <v>130</v>
      </c>
      <c r="CR2653" s="0" t="s">
        <v>130</v>
      </c>
      <c r="CS2653" s="0" t="s">
        <v>130</v>
      </c>
      <c r="CT2653" s="0" t="s">
        <v>7176</v>
      </c>
    </row>
    <row r="2654">
      <c r="A2654" s="14">
        <v>115691</v>
      </c>
      <c r="B2654" s="0" t="s">
        <v>2482</v>
      </c>
      <c r="C2654" s="16">
        <f>HYPERLINK("https://eosportal.federatedhermes.com/companies/Q29tcGFueQppNjc3MzA=", "Deutsche Bank AG")</f>
      </c>
      <c r="D2654" s="0" t="s">
        <v>23</v>
      </c>
      <c r="E2654" s="0" t="s">
        <v>1147</v>
      </c>
      <c r="F2654" s="16">
        <f>HYPERLINK("https://eosportal.federatedhermes.com/engagements/RW5nYWdlbWVudAppMzYyNTg=", "Climate resilient strategy - enhanced scope")</f>
      </c>
      <c r="G2654" s="14" t="s">
        <v>7177</v>
      </c>
      <c r="H2654" s="0" t="s">
        <v>141</v>
      </c>
      <c r="I2654" s="14" t="s">
        <v>191</v>
      </c>
      <c r="J2654" s="0" t="s">
        <v>197</v>
      </c>
      <c r="K2654" s="0" t="s">
        <v>198</v>
      </c>
      <c r="L2654" s="0" t="s">
        <v>220</v>
      </c>
      <c r="M2654" s="0" t="s">
        <v>378</v>
      </c>
      <c r="N2654" s="0" t="s">
        <v>2485</v>
      </c>
      <c r="O2654" s="0" t="s">
        <v>238</v>
      </c>
      <c r="Q2654" s="0" t="s">
        <v>130</v>
      </c>
      <c r="R2654" s="0" t="s">
        <v>130</v>
      </c>
      <c r="S2654" s="14">
        <v>0</v>
      </c>
      <c r="T2654" s="0" t="s">
        <v>2842</v>
      </c>
      <c r="U2654" s="0" t="s">
        <v>221</v>
      </c>
      <c r="V2654" s="14" t="s">
        <v>2842</v>
      </c>
      <c r="W2654" s="0" t="s">
        <v>221</v>
      </c>
      <c r="X2654" s="14" t="s">
        <v>2842</v>
      </c>
      <c r="Y2654" s="0" t="s">
        <v>221</v>
      </c>
      <c r="Z2654" s="14" t="s">
        <v>2842</v>
      </c>
      <c r="AA2654" s="0" t="s">
        <v>223</v>
      </c>
      <c r="AB2654" s="14" t="s">
        <v>138</v>
      </c>
      <c r="AD2654" s="0" t="s">
        <v>20</v>
      </c>
      <c r="AF2654" s="0">
        <v>0</v>
      </c>
      <c r="AG2654" s="0">
        <v>0</v>
      </c>
      <c r="AH2654" s="0" t="s">
        <v>140</v>
      </c>
      <c r="AI2654" s="0" t="s">
        <v>598</v>
      </c>
      <c r="AL2654" s="14"/>
      <c r="AN2654" s="14"/>
      <c r="AQ2654" s="0" t="s">
        <v>130</v>
      </c>
      <c r="AR2654" s="0" t="s">
        <v>130</v>
      </c>
      <c r="AS2654" s="0" t="s">
        <v>130</v>
      </c>
      <c r="AT2654" s="0" t="s">
        <v>130</v>
      </c>
      <c r="AU2654" s="0" t="s">
        <v>130</v>
      </c>
      <c r="AV2654" s="0" t="s">
        <v>130</v>
      </c>
      <c r="AW2654" s="0" t="s">
        <v>141</v>
      </c>
      <c r="AX2654" s="0" t="s">
        <v>130</v>
      </c>
      <c r="AY2654" s="0" t="s">
        <v>141</v>
      </c>
      <c r="AZ2654" s="0" t="s">
        <v>130</v>
      </c>
      <c r="BA2654" s="0" t="s">
        <v>130</v>
      </c>
      <c r="BB2654" s="0" t="s">
        <v>130</v>
      </c>
      <c r="BC2654" s="0" t="s">
        <v>141</v>
      </c>
      <c r="BD2654" s="0" t="s">
        <v>130</v>
      </c>
      <c r="BE2654" s="0" t="s">
        <v>130</v>
      </c>
      <c r="BF2654" s="0" t="s">
        <v>130</v>
      </c>
      <c r="BG2654" s="0" t="s">
        <v>130</v>
      </c>
      <c r="BH2654" s="0" t="s">
        <v>141</v>
      </c>
      <c r="BI2654" s="0" t="s">
        <v>141</v>
      </c>
      <c r="BJ2654" s="0" t="s">
        <v>141</v>
      </c>
      <c r="BK2654" s="0" t="s">
        <v>130</v>
      </c>
      <c r="BL2654" s="0" t="s">
        <v>130</v>
      </c>
      <c r="BM2654" s="0" t="s">
        <v>130</v>
      </c>
      <c r="BN2654" s="0" t="s">
        <v>130</v>
      </c>
      <c r="BO2654" s="0" t="s">
        <v>130</v>
      </c>
      <c r="BP2654" s="0" t="s">
        <v>130</v>
      </c>
      <c r="BQ2654" s="0" t="s">
        <v>130</v>
      </c>
      <c r="BR2654" s="0" t="s">
        <v>130</v>
      </c>
      <c r="BS2654" s="0" t="s">
        <v>130</v>
      </c>
      <c r="BT2654" s="0" t="s">
        <v>130</v>
      </c>
      <c r="BU2654" s="0" t="s">
        <v>130</v>
      </c>
      <c r="BV2654" s="0" t="s">
        <v>141</v>
      </c>
      <c r="BW2654" s="0" t="s">
        <v>141</v>
      </c>
      <c r="BX2654" s="0" t="s">
        <v>130</v>
      </c>
      <c r="BY2654" s="0" t="s">
        <v>130</v>
      </c>
      <c r="BZ2654" s="0" t="s">
        <v>130</v>
      </c>
      <c r="CA2654" s="0" t="s">
        <v>130</v>
      </c>
      <c r="CB2654" s="0" t="s">
        <v>130</v>
      </c>
      <c r="CC2654" s="0" t="s">
        <v>130</v>
      </c>
      <c r="CD2654" s="0" t="s">
        <v>130</v>
      </c>
      <c r="CE2654" s="0" t="s">
        <v>130</v>
      </c>
      <c r="CF2654" s="0" t="s">
        <v>130</v>
      </c>
      <c r="CG2654" s="0" t="s">
        <v>130</v>
      </c>
      <c r="CH2654" s="0" t="s">
        <v>130</v>
      </c>
      <c r="CI2654" s="0" t="s">
        <v>130</v>
      </c>
      <c r="CJ2654" s="0" t="s">
        <v>130</v>
      </c>
      <c r="CK2654" s="0" t="s">
        <v>130</v>
      </c>
      <c r="CL2654" s="0" t="s">
        <v>130</v>
      </c>
      <c r="CM2654" s="0" t="s">
        <v>130</v>
      </c>
      <c r="CN2654" s="0" t="s">
        <v>130</v>
      </c>
      <c r="CO2654" s="0" t="s">
        <v>130</v>
      </c>
      <c r="CP2654" s="0" t="s">
        <v>130</v>
      </c>
      <c r="CQ2654" s="0" t="s">
        <v>130</v>
      </c>
      <c r="CR2654" s="0" t="s">
        <v>130</v>
      </c>
      <c r="CS2654" s="0" t="s">
        <v>130</v>
      </c>
      <c r="CT2654" s="0" t="s">
        <v>7178</v>
      </c>
    </row>
    <row r="2655">
      <c r="A2655" s="14">
        <v>115691</v>
      </c>
      <c r="B2655" s="0" t="s">
        <v>2482</v>
      </c>
      <c r="C2655" s="16">
        <f>HYPERLINK("https://eosportal.federatedhermes.com/companies/Q29tcGFueQppNjc3MzA=", "Deutsche Bank AG")</f>
      </c>
      <c r="D2655" s="0" t="s">
        <v>23</v>
      </c>
      <c r="E2655" s="0" t="s">
        <v>6335</v>
      </c>
      <c r="F2655" s="16">
        <f>HYPERLINK("https://eosportal.federatedhermes.com/engagements/RW5nYWdlbWVudAppMzYyNTk=", "Climate strategy - disclosure on client engagement")</f>
      </c>
      <c r="G2655" s="14" t="s">
        <v>7179</v>
      </c>
      <c r="H2655" s="0" t="s">
        <v>141</v>
      </c>
      <c r="I2655" s="14" t="s">
        <v>191</v>
      </c>
      <c r="J2655" s="0" t="s">
        <v>197</v>
      </c>
      <c r="K2655" s="0" t="s">
        <v>198</v>
      </c>
      <c r="L2655" s="0" t="s">
        <v>220</v>
      </c>
      <c r="M2655" s="0" t="s">
        <v>378</v>
      </c>
      <c r="N2655" s="0" t="s">
        <v>2485</v>
      </c>
      <c r="O2655" s="0" t="s">
        <v>238</v>
      </c>
      <c r="Q2655" s="0" t="s">
        <v>130</v>
      </c>
      <c r="R2655" s="0" t="s">
        <v>130</v>
      </c>
      <c r="S2655" s="14">
        <v>0</v>
      </c>
      <c r="T2655" s="0" t="s">
        <v>2842</v>
      </c>
      <c r="U2655" s="0" t="s">
        <v>221</v>
      </c>
      <c r="V2655" s="14" t="s">
        <v>2842</v>
      </c>
      <c r="W2655" s="0" t="s">
        <v>221</v>
      </c>
      <c r="X2655" s="14" t="s">
        <v>2842</v>
      </c>
      <c r="Y2655" s="0" t="s">
        <v>223</v>
      </c>
      <c r="Z2655" s="14" t="s">
        <v>138</v>
      </c>
      <c r="AA2655" s="0" t="s">
        <v>224</v>
      </c>
      <c r="AB2655" s="14" t="s">
        <v>138</v>
      </c>
      <c r="AD2655" s="0" t="s">
        <v>17</v>
      </c>
      <c r="AF2655" s="0">
        <v>0</v>
      </c>
      <c r="AG2655" s="0">
        <v>0</v>
      </c>
      <c r="AH2655" s="0" t="s">
        <v>140</v>
      </c>
      <c r="AI2655" s="0" t="s">
        <v>598</v>
      </c>
      <c r="AL2655" s="14"/>
      <c r="AN2655" s="14"/>
      <c r="AQ2655" s="0" t="s">
        <v>130</v>
      </c>
      <c r="AR2655" s="0" t="s">
        <v>130</v>
      </c>
      <c r="AS2655" s="0" t="s">
        <v>130</v>
      </c>
      <c r="AT2655" s="0" t="s">
        <v>130</v>
      </c>
      <c r="AU2655" s="0" t="s">
        <v>130</v>
      </c>
      <c r="AV2655" s="0" t="s">
        <v>130</v>
      </c>
      <c r="AW2655" s="0" t="s">
        <v>141</v>
      </c>
      <c r="AX2655" s="0" t="s">
        <v>130</v>
      </c>
      <c r="AY2655" s="0" t="s">
        <v>141</v>
      </c>
      <c r="AZ2655" s="0" t="s">
        <v>130</v>
      </c>
      <c r="BA2655" s="0" t="s">
        <v>130</v>
      </c>
      <c r="BB2655" s="0" t="s">
        <v>130</v>
      </c>
      <c r="BC2655" s="0" t="s">
        <v>141</v>
      </c>
      <c r="BD2655" s="0" t="s">
        <v>130</v>
      </c>
      <c r="BE2655" s="0" t="s">
        <v>130</v>
      </c>
      <c r="BF2655" s="0" t="s">
        <v>130</v>
      </c>
      <c r="BG2655" s="0" t="s">
        <v>130</v>
      </c>
      <c r="BH2655" s="0" t="s">
        <v>141</v>
      </c>
      <c r="BI2655" s="0" t="s">
        <v>141</v>
      </c>
      <c r="BJ2655" s="0" t="s">
        <v>141</v>
      </c>
      <c r="BK2655" s="0" t="s">
        <v>130</v>
      </c>
      <c r="BL2655" s="0" t="s">
        <v>130</v>
      </c>
      <c r="BM2655" s="0" t="s">
        <v>130</v>
      </c>
      <c r="BN2655" s="0" t="s">
        <v>130</v>
      </c>
      <c r="BO2655" s="0" t="s">
        <v>130</v>
      </c>
      <c r="BP2655" s="0" t="s">
        <v>130</v>
      </c>
      <c r="BQ2655" s="0" t="s">
        <v>130</v>
      </c>
      <c r="BR2655" s="0" t="s">
        <v>130</v>
      </c>
      <c r="BS2655" s="0" t="s">
        <v>130</v>
      </c>
      <c r="BT2655" s="0" t="s">
        <v>130</v>
      </c>
      <c r="BU2655" s="0" t="s">
        <v>130</v>
      </c>
      <c r="BV2655" s="0" t="s">
        <v>141</v>
      </c>
      <c r="BW2655" s="0" t="s">
        <v>141</v>
      </c>
      <c r="BX2655" s="0" t="s">
        <v>130</v>
      </c>
      <c r="BY2655" s="0" t="s">
        <v>130</v>
      </c>
      <c r="BZ2655" s="0" t="s">
        <v>130</v>
      </c>
      <c r="CA2655" s="0" t="s">
        <v>130</v>
      </c>
      <c r="CB2655" s="0" t="s">
        <v>130</v>
      </c>
      <c r="CC2655" s="0" t="s">
        <v>130</v>
      </c>
      <c r="CD2655" s="0" t="s">
        <v>130</v>
      </c>
      <c r="CE2655" s="0" t="s">
        <v>130</v>
      </c>
      <c r="CF2655" s="0" t="s">
        <v>130</v>
      </c>
      <c r="CG2655" s="0" t="s">
        <v>130</v>
      </c>
      <c r="CH2655" s="0" t="s">
        <v>130</v>
      </c>
      <c r="CI2655" s="0" t="s">
        <v>130</v>
      </c>
      <c r="CJ2655" s="0" t="s">
        <v>130</v>
      </c>
      <c r="CK2655" s="0" t="s">
        <v>130</v>
      </c>
      <c r="CL2655" s="0" t="s">
        <v>130</v>
      </c>
      <c r="CM2655" s="0" t="s">
        <v>130</v>
      </c>
      <c r="CN2655" s="0" t="s">
        <v>130</v>
      </c>
      <c r="CO2655" s="0" t="s">
        <v>130</v>
      </c>
      <c r="CP2655" s="0" t="s">
        <v>130</v>
      </c>
      <c r="CQ2655" s="0" t="s">
        <v>130</v>
      </c>
      <c r="CR2655" s="0" t="s">
        <v>130</v>
      </c>
      <c r="CS2655" s="0" t="s">
        <v>130</v>
      </c>
      <c r="CT2655" s="0" t="s">
        <v>7180</v>
      </c>
    </row>
    <row r="2656">
      <c r="A2656" s="14">
        <v>115643</v>
      </c>
      <c r="B2656" s="0" t="s">
        <v>2552</v>
      </c>
      <c r="C2656" s="16">
        <f>HYPERLINK("https://eosportal.federatedhermes.com/companies/Q29tcGFueQppNjk2MzA=", "Koninklijke Ahold Delhaize NV")</f>
      </c>
      <c r="D2656" s="0" t="s">
        <v>25</v>
      </c>
      <c r="E2656" s="0" t="s">
        <v>5155</v>
      </c>
      <c r="F2656" s="16">
        <f>HYPERLINK("https://eosportal.federatedhermes.com/engagements/RW5nYWdlbWVudAppMzYyNjM=", "Hazardous Chemicals")</f>
      </c>
      <c r="G2656" s="14" t="s">
        <v>7181</v>
      </c>
      <c r="H2656" s="0" t="s">
        <v>141</v>
      </c>
      <c r="I2656" s="14" t="s">
        <v>1645</v>
      </c>
      <c r="J2656" s="0" t="s">
        <v>197</v>
      </c>
      <c r="K2656" s="0" t="s">
        <v>348</v>
      </c>
      <c r="L2656" s="0" t="s">
        <v>650</v>
      </c>
      <c r="M2656" s="0" t="s">
        <v>378</v>
      </c>
      <c r="N2656" s="0" t="s">
        <v>2554</v>
      </c>
      <c r="O2656" s="0" t="s">
        <v>643</v>
      </c>
      <c r="Q2656" s="0" t="s">
        <v>130</v>
      </c>
      <c r="R2656" s="0" t="s">
        <v>138</v>
      </c>
      <c r="S2656" s="14">
        <v>0</v>
      </c>
      <c r="T2656" s="0" t="s">
        <v>2842</v>
      </c>
      <c r="U2656" s="0" t="s">
        <v>138</v>
      </c>
      <c r="V2656" s="14" t="s">
        <v>138</v>
      </c>
      <c r="W2656" s="0" t="s">
        <v>138</v>
      </c>
      <c r="X2656" s="14" t="s">
        <v>138</v>
      </c>
      <c r="Y2656" s="0" t="s">
        <v>138</v>
      </c>
      <c r="Z2656" s="14" t="s">
        <v>138</v>
      </c>
      <c r="AA2656" s="0" t="s">
        <v>138</v>
      </c>
      <c r="AB2656" s="14" t="s">
        <v>138</v>
      </c>
      <c r="AD2656" s="0" t="s">
        <v>138</v>
      </c>
      <c r="AF2656" s="0">
        <v>0</v>
      </c>
      <c r="AG2656" s="0">
        <v>0</v>
      </c>
      <c r="AH2656" s="0" t="s">
        <v>140</v>
      </c>
      <c r="AI2656" s="0" t="s">
        <v>138</v>
      </c>
      <c r="AL2656" s="14"/>
      <c r="AN2656" s="14"/>
      <c r="AQ2656" s="0" t="s">
        <v>130</v>
      </c>
      <c r="AR2656" s="0" t="s">
        <v>130</v>
      </c>
      <c r="AS2656" s="0" t="s">
        <v>141</v>
      </c>
      <c r="AT2656" s="0" t="s">
        <v>130</v>
      </c>
      <c r="AU2656" s="0" t="s">
        <v>130</v>
      </c>
      <c r="AV2656" s="0" t="s">
        <v>130</v>
      </c>
      <c r="AW2656" s="0" t="s">
        <v>130</v>
      </c>
      <c r="AX2656" s="0" t="s">
        <v>130</v>
      </c>
      <c r="AY2656" s="0" t="s">
        <v>130</v>
      </c>
      <c r="AZ2656" s="0" t="s">
        <v>130</v>
      </c>
      <c r="BA2656" s="0" t="s">
        <v>130</v>
      </c>
      <c r="BB2656" s="0" t="s">
        <v>141</v>
      </c>
      <c r="BC2656" s="0" t="s">
        <v>130</v>
      </c>
      <c r="BD2656" s="0" t="s">
        <v>130</v>
      </c>
      <c r="BE2656" s="0" t="s">
        <v>130</v>
      </c>
      <c r="BF2656" s="0" t="s">
        <v>130</v>
      </c>
      <c r="BG2656" s="0" t="s">
        <v>130</v>
      </c>
      <c r="BH2656" s="0" t="s">
        <v>130</v>
      </c>
      <c r="BI2656" s="0" t="s">
        <v>130</v>
      </c>
      <c r="BJ2656" s="0" t="s">
        <v>130</v>
      </c>
      <c r="BK2656" s="0" t="s">
        <v>130</v>
      </c>
      <c r="BL2656" s="0" t="s">
        <v>130</v>
      </c>
      <c r="BM2656" s="0" t="s">
        <v>130</v>
      </c>
      <c r="BN2656" s="0" t="s">
        <v>130</v>
      </c>
      <c r="BO2656" s="0" t="s">
        <v>141</v>
      </c>
      <c r="BP2656" s="0" t="s">
        <v>130</v>
      </c>
      <c r="BQ2656" s="0" t="s">
        <v>130</v>
      </c>
      <c r="BR2656" s="0" t="s">
        <v>130</v>
      </c>
      <c r="BS2656" s="0" t="s">
        <v>130</v>
      </c>
      <c r="BT2656" s="0" t="s">
        <v>130</v>
      </c>
      <c r="BU2656" s="0" t="s">
        <v>130</v>
      </c>
      <c r="BV2656" s="0" t="s">
        <v>130</v>
      </c>
      <c r="BW2656" s="0" t="s">
        <v>130</v>
      </c>
      <c r="BX2656" s="0" t="s">
        <v>130</v>
      </c>
      <c r="BY2656" s="0" t="s">
        <v>130</v>
      </c>
      <c r="BZ2656" s="0" t="s">
        <v>130</v>
      </c>
      <c r="CA2656" s="0" t="s">
        <v>130</v>
      </c>
      <c r="CB2656" s="0" t="s">
        <v>130</v>
      </c>
      <c r="CC2656" s="0" t="s">
        <v>130</v>
      </c>
      <c r="CD2656" s="0" t="s">
        <v>130</v>
      </c>
      <c r="CE2656" s="0" t="s">
        <v>130</v>
      </c>
      <c r="CF2656" s="0" t="s">
        <v>130</v>
      </c>
      <c r="CG2656" s="0" t="s">
        <v>130</v>
      </c>
      <c r="CH2656" s="0" t="s">
        <v>130</v>
      </c>
      <c r="CI2656" s="0" t="s">
        <v>130</v>
      </c>
      <c r="CJ2656" s="0" t="s">
        <v>130</v>
      </c>
      <c r="CK2656" s="0" t="s">
        <v>130</v>
      </c>
      <c r="CL2656" s="0" t="s">
        <v>130</v>
      </c>
      <c r="CM2656" s="0" t="s">
        <v>130</v>
      </c>
      <c r="CN2656" s="0" t="s">
        <v>130</v>
      </c>
      <c r="CO2656" s="0" t="s">
        <v>130</v>
      </c>
      <c r="CP2656" s="0" t="s">
        <v>130</v>
      </c>
      <c r="CQ2656" s="0" t="s">
        <v>130</v>
      </c>
      <c r="CR2656" s="0" t="s">
        <v>130</v>
      </c>
      <c r="CS2656" s="0" t="s">
        <v>130</v>
      </c>
      <c r="CT2656" s="0" t="s">
        <v>7182</v>
      </c>
    </row>
    <row r="2657">
      <c r="A2657" s="14">
        <v>61564243</v>
      </c>
      <c r="B2657" s="0" t="s">
        <v>4788</v>
      </c>
      <c r="C2657" s="16">
        <f>HYPERLINK("https://eosportal.federatedhermes.com/companies/Q29tcGFueQppNTIxNzk=", "Nordea Bank Abp")</f>
      </c>
      <c r="D2657" s="0" t="s">
        <v>23</v>
      </c>
      <c r="E2657" s="0" t="s">
        <v>1170</v>
      </c>
      <c r="F2657" s="16">
        <f>HYPERLINK("https://eosportal.federatedhermes.com/engagements/RW5nYWdlbWVudAppMzYyNzg=", "Culture change")</f>
      </c>
      <c r="G2657" s="14" t="s">
        <v>7183</v>
      </c>
      <c r="H2657" s="0" t="s">
        <v>141</v>
      </c>
      <c r="I2657" s="14" t="s">
        <v>131</v>
      </c>
      <c r="J2657" s="0" t="s">
        <v>132</v>
      </c>
      <c r="K2657" s="0" t="s">
        <v>260</v>
      </c>
      <c r="L2657" s="0" t="s">
        <v>261</v>
      </c>
      <c r="M2657" s="0" t="s">
        <v>378</v>
      </c>
      <c r="N2657" s="0" t="s">
        <v>3657</v>
      </c>
      <c r="O2657" s="0" t="s">
        <v>238</v>
      </c>
      <c r="Q2657" s="0" t="s">
        <v>130</v>
      </c>
      <c r="R2657" s="0" t="s">
        <v>130</v>
      </c>
      <c r="S2657" s="14">
        <v>0</v>
      </c>
      <c r="T2657" s="0" t="s">
        <v>3265</v>
      </c>
      <c r="U2657" s="0" t="s">
        <v>221</v>
      </c>
      <c r="V2657" s="14" t="s">
        <v>3265</v>
      </c>
      <c r="W2657" s="0" t="s">
        <v>221</v>
      </c>
      <c r="X2657" s="14" t="s">
        <v>3265</v>
      </c>
      <c r="Y2657" s="0" t="s">
        <v>221</v>
      </c>
      <c r="Z2657" s="14" t="s">
        <v>3265</v>
      </c>
      <c r="AA2657" s="0" t="s">
        <v>223</v>
      </c>
      <c r="AB2657" s="14" t="s">
        <v>138</v>
      </c>
      <c r="AD2657" s="0" t="s">
        <v>20</v>
      </c>
      <c r="AF2657" s="0">
        <v>0</v>
      </c>
      <c r="AG2657" s="0">
        <v>0</v>
      </c>
      <c r="AH2657" s="0" t="s">
        <v>140</v>
      </c>
      <c r="AI2657" s="0" t="s">
        <v>598</v>
      </c>
      <c r="AL2657" s="14"/>
      <c r="AN2657" s="14"/>
      <c r="AQ2657" s="0" t="s">
        <v>130</v>
      </c>
      <c r="AR2657" s="0" t="s">
        <v>130</v>
      </c>
      <c r="AS2657" s="0" t="s">
        <v>130</v>
      </c>
      <c r="AT2657" s="0" t="s">
        <v>130</v>
      </c>
      <c r="AU2657" s="0" t="s">
        <v>130</v>
      </c>
      <c r="AV2657" s="0" t="s">
        <v>130</v>
      </c>
      <c r="AW2657" s="0" t="s">
        <v>130</v>
      </c>
      <c r="AX2657" s="0" t="s">
        <v>130</v>
      </c>
      <c r="AY2657" s="0" t="s">
        <v>130</v>
      </c>
      <c r="AZ2657" s="0" t="s">
        <v>130</v>
      </c>
      <c r="BA2657" s="0" t="s">
        <v>130</v>
      </c>
      <c r="BB2657" s="0" t="s">
        <v>130</v>
      </c>
      <c r="BC2657" s="0" t="s">
        <v>130</v>
      </c>
      <c r="BD2657" s="0" t="s">
        <v>130</v>
      </c>
      <c r="BE2657" s="0" t="s">
        <v>130</v>
      </c>
      <c r="BF2657" s="0" t="s">
        <v>130</v>
      </c>
      <c r="BG2657" s="0" t="s">
        <v>130</v>
      </c>
      <c r="BH2657" s="0" t="s">
        <v>130</v>
      </c>
      <c r="BI2657" s="0" t="s">
        <v>130</v>
      </c>
      <c r="BJ2657" s="0" t="s">
        <v>130</v>
      </c>
      <c r="BK2657" s="0" t="s">
        <v>130</v>
      </c>
      <c r="BL2657" s="0" t="s">
        <v>130</v>
      </c>
      <c r="BM2657" s="0" t="s">
        <v>130</v>
      </c>
      <c r="BN2657" s="0" t="s">
        <v>130</v>
      </c>
      <c r="BO2657" s="0" t="s">
        <v>130</v>
      </c>
      <c r="BP2657" s="0" t="s">
        <v>130</v>
      </c>
      <c r="BQ2657" s="0" t="s">
        <v>130</v>
      </c>
      <c r="BR2657" s="0" t="s">
        <v>130</v>
      </c>
      <c r="BS2657" s="0" t="s">
        <v>130</v>
      </c>
      <c r="BT2657" s="0" t="s">
        <v>130</v>
      </c>
      <c r="BU2657" s="0" t="s">
        <v>130</v>
      </c>
      <c r="BV2657" s="0" t="s">
        <v>130</v>
      </c>
      <c r="BW2657" s="0" t="s">
        <v>130</v>
      </c>
      <c r="BX2657" s="0" t="s">
        <v>130</v>
      </c>
      <c r="BY2657" s="0" t="s">
        <v>130</v>
      </c>
      <c r="BZ2657" s="0" t="s">
        <v>130</v>
      </c>
      <c r="CA2657" s="0" t="s">
        <v>130</v>
      </c>
      <c r="CB2657" s="0" t="s">
        <v>130</v>
      </c>
      <c r="CC2657" s="0" t="s">
        <v>130</v>
      </c>
      <c r="CD2657" s="0" t="s">
        <v>130</v>
      </c>
      <c r="CE2657" s="0" t="s">
        <v>130</v>
      </c>
      <c r="CF2657" s="0" t="s">
        <v>130</v>
      </c>
      <c r="CG2657" s="0" t="s">
        <v>130</v>
      </c>
      <c r="CH2657" s="0" t="s">
        <v>130</v>
      </c>
      <c r="CI2657" s="0" t="s">
        <v>130</v>
      </c>
      <c r="CJ2657" s="0" t="s">
        <v>130</v>
      </c>
      <c r="CK2657" s="0" t="s">
        <v>130</v>
      </c>
      <c r="CL2657" s="0" t="s">
        <v>130</v>
      </c>
      <c r="CM2657" s="0" t="s">
        <v>130</v>
      </c>
      <c r="CN2657" s="0" t="s">
        <v>130</v>
      </c>
      <c r="CO2657" s="0" t="s">
        <v>130</v>
      </c>
      <c r="CP2657" s="0" t="s">
        <v>130</v>
      </c>
      <c r="CQ2657" s="0" t="s">
        <v>130</v>
      </c>
      <c r="CR2657" s="0" t="s">
        <v>130</v>
      </c>
      <c r="CS2657" s="0" t="s">
        <v>130</v>
      </c>
      <c r="CT2657" s="0" t="s">
        <v>7184</v>
      </c>
    </row>
    <row r="2658">
      <c r="A2658" s="14">
        <v>100232</v>
      </c>
      <c r="B2658" s="0" t="s">
        <v>368</v>
      </c>
      <c r="C2658" s="16">
        <f>HYPERLINK("https://eosportal.federatedhermes.com/companies/Q29tcGFueQppNjQzODg=", "BHP Group Ltd")</f>
      </c>
      <c r="D2658" s="0" t="s">
        <v>25</v>
      </c>
      <c r="E2658" s="0" t="s">
        <v>7185</v>
      </c>
      <c r="F2658" s="16">
        <f>HYPERLINK("https://eosportal.federatedhermes.com/engagements/RW5nYWdlbWVudAppMzYyODQ=", "Scope 1 and 2 emissions")</f>
      </c>
      <c r="G2658" s="14" t="s">
        <v>7186</v>
      </c>
      <c r="H2658" s="0" t="s">
        <v>141</v>
      </c>
      <c r="I2658" s="14" t="s">
        <v>191</v>
      </c>
      <c r="J2658" s="0" t="s">
        <v>197</v>
      </c>
      <c r="K2658" s="0" t="s">
        <v>198</v>
      </c>
      <c r="L2658" s="0" t="s">
        <v>216</v>
      </c>
      <c r="M2658" s="0" t="s">
        <v>371</v>
      </c>
      <c r="N2658" s="0" t="s">
        <v>372</v>
      </c>
      <c r="O2658" s="0" t="s">
        <v>373</v>
      </c>
      <c r="Q2658" s="0" t="s">
        <v>141</v>
      </c>
      <c r="R2658" s="0" t="s">
        <v>138</v>
      </c>
      <c r="S2658" s="14">
        <v>1</v>
      </c>
      <c r="T2658" s="0" t="s">
        <v>2842</v>
      </c>
      <c r="U2658" s="0" t="s">
        <v>138</v>
      </c>
      <c r="V2658" s="14" t="s">
        <v>138</v>
      </c>
      <c r="W2658" s="0" t="s">
        <v>138</v>
      </c>
      <c r="X2658" s="14" t="s">
        <v>138</v>
      </c>
      <c r="Y2658" s="0" t="s">
        <v>138</v>
      </c>
      <c r="Z2658" s="14" t="s">
        <v>138</v>
      </c>
      <c r="AA2658" s="0" t="s">
        <v>138</v>
      </c>
      <c r="AB2658" s="14" t="s">
        <v>138</v>
      </c>
      <c r="AD2658" s="0" t="s">
        <v>138</v>
      </c>
      <c r="AF2658" s="0">
        <v>0</v>
      </c>
      <c r="AG2658" s="0">
        <v>0</v>
      </c>
      <c r="AH2658" s="0" t="s">
        <v>140</v>
      </c>
      <c r="AI2658" s="0" t="s">
        <v>138</v>
      </c>
      <c r="AK2658" s="0" t="s">
        <v>2569</v>
      </c>
      <c r="AL2658" s="14"/>
      <c r="AN2658" s="14"/>
      <c r="AQ2658" s="0" t="s">
        <v>130</v>
      </c>
      <c r="AR2658" s="0" t="s">
        <v>130</v>
      </c>
      <c r="AS2658" s="0" t="s">
        <v>130</v>
      </c>
      <c r="AT2658" s="0" t="s">
        <v>130</v>
      </c>
      <c r="AU2658" s="0" t="s">
        <v>130</v>
      </c>
      <c r="AV2658" s="0" t="s">
        <v>130</v>
      </c>
      <c r="AW2658" s="0" t="s">
        <v>130</v>
      </c>
      <c r="AX2658" s="0" t="s">
        <v>130</v>
      </c>
      <c r="AY2658" s="0" t="s">
        <v>141</v>
      </c>
      <c r="AZ2658" s="0" t="s">
        <v>130</v>
      </c>
      <c r="BA2658" s="0" t="s">
        <v>130</v>
      </c>
      <c r="BB2658" s="0" t="s">
        <v>130</v>
      </c>
      <c r="BC2658" s="0" t="s">
        <v>141</v>
      </c>
      <c r="BD2658" s="0" t="s">
        <v>130</v>
      </c>
      <c r="BE2658" s="0" t="s">
        <v>130</v>
      </c>
      <c r="BF2658" s="0" t="s">
        <v>130</v>
      </c>
      <c r="BG2658" s="0" t="s">
        <v>130</v>
      </c>
      <c r="BH2658" s="0" t="s">
        <v>141</v>
      </c>
      <c r="BI2658" s="0" t="s">
        <v>141</v>
      </c>
      <c r="BJ2658" s="0" t="s">
        <v>141</v>
      </c>
      <c r="BK2658" s="0" t="s">
        <v>130</v>
      </c>
      <c r="BL2658" s="0" t="s">
        <v>130</v>
      </c>
      <c r="BM2658" s="0" t="s">
        <v>130</v>
      </c>
      <c r="BN2658" s="0" t="s">
        <v>130</v>
      </c>
      <c r="BO2658" s="0" t="s">
        <v>130</v>
      </c>
      <c r="BP2658" s="0" t="s">
        <v>130</v>
      </c>
      <c r="BQ2658" s="0" t="s">
        <v>130</v>
      </c>
      <c r="BR2658" s="0" t="s">
        <v>130</v>
      </c>
      <c r="BS2658" s="0" t="s">
        <v>130</v>
      </c>
      <c r="BT2658" s="0" t="s">
        <v>130</v>
      </c>
      <c r="BU2658" s="0" t="s">
        <v>130</v>
      </c>
      <c r="BV2658" s="0" t="s">
        <v>141</v>
      </c>
      <c r="BW2658" s="0" t="s">
        <v>141</v>
      </c>
      <c r="BX2658" s="0" t="s">
        <v>130</v>
      </c>
      <c r="BY2658" s="0" t="s">
        <v>130</v>
      </c>
      <c r="BZ2658" s="0" t="s">
        <v>130</v>
      </c>
      <c r="CA2658" s="0" t="s">
        <v>130</v>
      </c>
      <c r="CB2658" s="0" t="s">
        <v>130</v>
      </c>
      <c r="CC2658" s="0" t="s">
        <v>130</v>
      </c>
      <c r="CD2658" s="0" t="s">
        <v>130</v>
      </c>
      <c r="CE2658" s="0" t="s">
        <v>130</v>
      </c>
      <c r="CF2658" s="0" t="s">
        <v>130</v>
      </c>
      <c r="CG2658" s="0" t="s">
        <v>130</v>
      </c>
      <c r="CH2658" s="0" t="s">
        <v>130</v>
      </c>
      <c r="CI2658" s="0" t="s">
        <v>130</v>
      </c>
      <c r="CJ2658" s="0" t="s">
        <v>130</v>
      </c>
      <c r="CK2658" s="0" t="s">
        <v>130</v>
      </c>
      <c r="CL2658" s="0" t="s">
        <v>130</v>
      </c>
      <c r="CM2658" s="0" t="s">
        <v>130</v>
      </c>
      <c r="CN2658" s="0" t="s">
        <v>130</v>
      </c>
      <c r="CO2658" s="0" t="s">
        <v>130</v>
      </c>
      <c r="CP2658" s="0" t="s">
        <v>130</v>
      </c>
      <c r="CQ2658" s="0" t="s">
        <v>130</v>
      </c>
      <c r="CR2658" s="0" t="s">
        <v>130</v>
      </c>
      <c r="CS2658" s="0" t="s">
        <v>130</v>
      </c>
      <c r="CT2658" s="0" t="s">
        <v>7187</v>
      </c>
    </row>
    <row r="2659">
      <c r="A2659" s="14">
        <v>156276</v>
      </c>
      <c r="B2659" s="0" t="s">
        <v>4955</v>
      </c>
      <c r="C2659" s="16">
        <f>HYPERLINK("https://eosportal.federatedhermes.com/companies/Q29tcGFueQppNTY2Njc=", "Lonza Group AG")</f>
      </c>
      <c r="D2659" s="0" t="s">
        <v>25</v>
      </c>
      <c r="E2659" s="0" t="s">
        <v>907</v>
      </c>
      <c r="F2659" s="16">
        <f>HYPERLINK("https://eosportal.federatedhermes.com/engagements/RW5nYWdlbWVudAppMzYzMzk=", "Climate change")</f>
      </c>
      <c r="G2659" s="14" t="s">
        <v>7188</v>
      </c>
      <c r="H2659" s="0" t="s">
        <v>130</v>
      </c>
      <c r="I2659" s="14" t="s">
        <v>319</v>
      </c>
      <c r="J2659" s="0" t="s">
        <v>197</v>
      </c>
      <c r="K2659" s="0" t="s">
        <v>198</v>
      </c>
      <c r="L2659" s="0" t="s">
        <v>216</v>
      </c>
      <c r="M2659" s="0" t="s">
        <v>378</v>
      </c>
      <c r="N2659" s="0" t="s">
        <v>1059</v>
      </c>
      <c r="O2659" s="0" t="s">
        <v>274</v>
      </c>
      <c r="Q2659" s="0" t="s">
        <v>130</v>
      </c>
      <c r="R2659" s="0" t="s">
        <v>138</v>
      </c>
      <c r="S2659" s="14">
        <v>0</v>
      </c>
      <c r="T2659" s="0" t="s">
        <v>2842</v>
      </c>
      <c r="U2659" s="0" t="s">
        <v>138</v>
      </c>
      <c r="V2659" s="14" t="s">
        <v>138</v>
      </c>
      <c r="W2659" s="0" t="s">
        <v>138</v>
      </c>
      <c r="X2659" s="14" t="s">
        <v>138</v>
      </c>
      <c r="Y2659" s="0" t="s">
        <v>138</v>
      </c>
      <c r="Z2659" s="14" t="s">
        <v>138</v>
      </c>
      <c r="AA2659" s="0" t="s">
        <v>138</v>
      </c>
      <c r="AB2659" s="14" t="s">
        <v>138</v>
      </c>
      <c r="AD2659" s="0" t="s">
        <v>138</v>
      </c>
      <c r="AF2659" s="0">
        <v>0</v>
      </c>
      <c r="AG2659" s="0">
        <v>0</v>
      </c>
      <c r="AH2659" s="0" t="s">
        <v>140</v>
      </c>
      <c r="AI2659" s="0" t="s">
        <v>138</v>
      </c>
      <c r="AL2659" s="14"/>
      <c r="AN2659" s="14"/>
      <c r="AQ2659" s="0" t="s">
        <v>130</v>
      </c>
      <c r="AR2659" s="0" t="s">
        <v>130</v>
      </c>
      <c r="AS2659" s="0" t="s">
        <v>130</v>
      </c>
      <c r="AT2659" s="0" t="s">
        <v>130</v>
      </c>
      <c r="AU2659" s="0" t="s">
        <v>130</v>
      </c>
      <c r="AV2659" s="0" t="s">
        <v>130</v>
      </c>
      <c r="AW2659" s="0" t="s">
        <v>141</v>
      </c>
      <c r="AX2659" s="0" t="s">
        <v>130</v>
      </c>
      <c r="AY2659" s="0" t="s">
        <v>130</v>
      </c>
      <c r="AZ2659" s="0" t="s">
        <v>130</v>
      </c>
      <c r="BA2659" s="0" t="s">
        <v>130</v>
      </c>
      <c r="BB2659" s="0" t="s">
        <v>130</v>
      </c>
      <c r="BC2659" s="0" t="s">
        <v>141</v>
      </c>
      <c r="BD2659" s="0" t="s">
        <v>130</v>
      </c>
      <c r="BE2659" s="0" t="s">
        <v>130</v>
      </c>
      <c r="BF2659" s="0" t="s">
        <v>130</v>
      </c>
      <c r="BG2659" s="0" t="s">
        <v>130</v>
      </c>
      <c r="BH2659" s="0" t="s">
        <v>141</v>
      </c>
      <c r="BI2659" s="0" t="s">
        <v>141</v>
      </c>
      <c r="BJ2659" s="0" t="s">
        <v>141</v>
      </c>
      <c r="BK2659" s="0" t="s">
        <v>141</v>
      </c>
      <c r="BL2659" s="0" t="s">
        <v>130</v>
      </c>
      <c r="BM2659" s="0" t="s">
        <v>130</v>
      </c>
      <c r="BN2659" s="0" t="s">
        <v>130</v>
      </c>
      <c r="BO2659" s="0" t="s">
        <v>130</v>
      </c>
      <c r="BP2659" s="0" t="s">
        <v>130</v>
      </c>
      <c r="BQ2659" s="0" t="s">
        <v>130</v>
      </c>
      <c r="BR2659" s="0" t="s">
        <v>130</v>
      </c>
      <c r="BS2659" s="0" t="s">
        <v>130</v>
      </c>
      <c r="BT2659" s="0" t="s">
        <v>130</v>
      </c>
      <c r="BU2659" s="0" t="s">
        <v>130</v>
      </c>
      <c r="BV2659" s="0" t="s">
        <v>141</v>
      </c>
      <c r="BW2659" s="0" t="s">
        <v>141</v>
      </c>
      <c r="BX2659" s="0" t="s">
        <v>130</v>
      </c>
      <c r="BY2659" s="0" t="s">
        <v>130</v>
      </c>
      <c r="BZ2659" s="0" t="s">
        <v>130</v>
      </c>
      <c r="CA2659" s="0" t="s">
        <v>130</v>
      </c>
      <c r="CB2659" s="0" t="s">
        <v>130</v>
      </c>
      <c r="CC2659" s="0" t="s">
        <v>130</v>
      </c>
      <c r="CD2659" s="0" t="s">
        <v>130</v>
      </c>
      <c r="CE2659" s="0" t="s">
        <v>130</v>
      </c>
      <c r="CF2659" s="0" t="s">
        <v>130</v>
      </c>
      <c r="CG2659" s="0" t="s">
        <v>130</v>
      </c>
      <c r="CH2659" s="0" t="s">
        <v>130</v>
      </c>
      <c r="CI2659" s="0" t="s">
        <v>130</v>
      </c>
      <c r="CJ2659" s="0" t="s">
        <v>130</v>
      </c>
      <c r="CK2659" s="0" t="s">
        <v>130</v>
      </c>
      <c r="CL2659" s="0" t="s">
        <v>130</v>
      </c>
      <c r="CM2659" s="0" t="s">
        <v>130</v>
      </c>
      <c r="CN2659" s="0" t="s">
        <v>130</v>
      </c>
      <c r="CO2659" s="0" t="s">
        <v>130</v>
      </c>
      <c r="CP2659" s="0" t="s">
        <v>130</v>
      </c>
      <c r="CQ2659" s="0" t="s">
        <v>130</v>
      </c>
      <c r="CR2659" s="0" t="s">
        <v>130</v>
      </c>
      <c r="CS2659" s="0" t="s">
        <v>130</v>
      </c>
      <c r="CT2659" s="0" t="s">
        <v>7189</v>
      </c>
    </row>
    <row r="2660">
      <c r="A2660" s="14">
        <v>156276</v>
      </c>
      <c r="B2660" s="0" t="s">
        <v>4955</v>
      </c>
      <c r="C2660" s="16">
        <f>HYPERLINK("https://eosportal.federatedhermes.com/companies/Q29tcGFueQppNTY2Njc=", "Lonza Group AG")</f>
      </c>
      <c r="D2660" s="0" t="s">
        <v>25</v>
      </c>
      <c r="E2660" s="0" t="s">
        <v>7190</v>
      </c>
      <c r="F2660" s="16">
        <f>HYPERLINK("https://eosportal.federatedhermes.com/engagements/RW5nYWdlbWVudAppMzYzNDA=", "Water scarcity")</f>
      </c>
      <c r="G2660" s="14" t="s">
        <v>7191</v>
      </c>
      <c r="H2660" s="0" t="s">
        <v>130</v>
      </c>
      <c r="I2660" s="14" t="s">
        <v>319</v>
      </c>
      <c r="J2660" s="0" t="s">
        <v>197</v>
      </c>
      <c r="K2660" s="0" t="s">
        <v>337</v>
      </c>
      <c r="L2660" s="0" t="s">
        <v>338</v>
      </c>
      <c r="M2660" s="0" t="s">
        <v>378</v>
      </c>
      <c r="N2660" s="0" t="s">
        <v>1059</v>
      </c>
      <c r="O2660" s="0" t="s">
        <v>274</v>
      </c>
      <c r="Q2660" s="0" t="s">
        <v>130</v>
      </c>
      <c r="R2660" s="0" t="s">
        <v>138</v>
      </c>
      <c r="S2660" s="14">
        <v>0</v>
      </c>
      <c r="T2660" s="0" t="s">
        <v>2842</v>
      </c>
      <c r="U2660" s="0" t="s">
        <v>138</v>
      </c>
      <c r="V2660" s="14" t="s">
        <v>138</v>
      </c>
      <c r="W2660" s="0" t="s">
        <v>138</v>
      </c>
      <c r="X2660" s="14" t="s">
        <v>138</v>
      </c>
      <c r="Y2660" s="0" t="s">
        <v>138</v>
      </c>
      <c r="Z2660" s="14" t="s">
        <v>138</v>
      </c>
      <c r="AA2660" s="0" t="s">
        <v>138</v>
      </c>
      <c r="AB2660" s="14" t="s">
        <v>138</v>
      </c>
      <c r="AD2660" s="0" t="s">
        <v>138</v>
      </c>
      <c r="AF2660" s="0">
        <v>0</v>
      </c>
      <c r="AG2660" s="0">
        <v>0</v>
      </c>
      <c r="AH2660" s="0" t="s">
        <v>140</v>
      </c>
      <c r="AI2660" s="0" t="s">
        <v>138</v>
      </c>
      <c r="AL2660" s="14"/>
      <c r="AN2660" s="14"/>
      <c r="AQ2660" s="0" t="s">
        <v>130</v>
      </c>
      <c r="AR2660" s="0" t="s">
        <v>130</v>
      </c>
      <c r="AS2660" s="0" t="s">
        <v>130</v>
      </c>
      <c r="AT2660" s="0" t="s">
        <v>130</v>
      </c>
      <c r="AU2660" s="0" t="s">
        <v>130</v>
      </c>
      <c r="AV2660" s="0" t="s">
        <v>141</v>
      </c>
      <c r="AW2660" s="0" t="s">
        <v>130</v>
      </c>
      <c r="AX2660" s="0" t="s">
        <v>130</v>
      </c>
      <c r="AY2660" s="0" t="s">
        <v>130</v>
      </c>
      <c r="AZ2660" s="0" t="s">
        <v>130</v>
      </c>
      <c r="BA2660" s="0" t="s">
        <v>130</v>
      </c>
      <c r="BB2660" s="0" t="s">
        <v>130</v>
      </c>
      <c r="BC2660" s="0" t="s">
        <v>130</v>
      </c>
      <c r="BD2660" s="0" t="s">
        <v>130</v>
      </c>
      <c r="BE2660" s="0" t="s">
        <v>130</v>
      </c>
      <c r="BF2660" s="0" t="s">
        <v>130</v>
      </c>
      <c r="BG2660" s="0" t="s">
        <v>130</v>
      </c>
      <c r="BH2660" s="0" t="s">
        <v>130</v>
      </c>
      <c r="BI2660" s="0" t="s">
        <v>130</v>
      </c>
      <c r="BJ2660" s="0" t="s">
        <v>130</v>
      </c>
      <c r="BK2660" s="0" t="s">
        <v>130</v>
      </c>
      <c r="BL2660" s="0" t="s">
        <v>130</v>
      </c>
      <c r="BM2660" s="0" t="s">
        <v>130</v>
      </c>
      <c r="BN2660" s="0" t="s">
        <v>130</v>
      </c>
      <c r="BO2660" s="0" t="s">
        <v>130</v>
      </c>
      <c r="BP2660" s="0" t="s">
        <v>130</v>
      </c>
      <c r="BQ2660" s="0" t="s">
        <v>130</v>
      </c>
      <c r="BR2660" s="0" t="s">
        <v>130</v>
      </c>
      <c r="BS2660" s="0" t="s">
        <v>130</v>
      </c>
      <c r="BT2660" s="0" t="s">
        <v>130</v>
      </c>
      <c r="BU2660" s="0" t="s">
        <v>130</v>
      </c>
      <c r="BV2660" s="0" t="s">
        <v>130</v>
      </c>
      <c r="BW2660" s="0" t="s">
        <v>130</v>
      </c>
      <c r="BX2660" s="0" t="s">
        <v>141</v>
      </c>
      <c r="BY2660" s="0" t="s">
        <v>130</v>
      </c>
      <c r="BZ2660" s="0" t="s">
        <v>130</v>
      </c>
      <c r="CA2660" s="0" t="s">
        <v>130</v>
      </c>
      <c r="CB2660" s="0" t="s">
        <v>130</v>
      </c>
      <c r="CC2660" s="0" t="s">
        <v>130</v>
      </c>
      <c r="CD2660" s="0" t="s">
        <v>130</v>
      </c>
      <c r="CE2660" s="0" t="s">
        <v>130</v>
      </c>
      <c r="CF2660" s="0" t="s">
        <v>130</v>
      </c>
      <c r="CG2660" s="0" t="s">
        <v>130</v>
      </c>
      <c r="CH2660" s="0" t="s">
        <v>130</v>
      </c>
      <c r="CI2660" s="0" t="s">
        <v>130</v>
      </c>
      <c r="CJ2660" s="0" t="s">
        <v>130</v>
      </c>
      <c r="CK2660" s="0" t="s">
        <v>130</v>
      </c>
      <c r="CL2660" s="0" t="s">
        <v>130</v>
      </c>
      <c r="CM2660" s="0" t="s">
        <v>130</v>
      </c>
      <c r="CN2660" s="0" t="s">
        <v>130</v>
      </c>
      <c r="CO2660" s="0" t="s">
        <v>130</v>
      </c>
      <c r="CP2660" s="0" t="s">
        <v>130</v>
      </c>
      <c r="CQ2660" s="0" t="s">
        <v>130</v>
      </c>
      <c r="CR2660" s="0" t="s">
        <v>130</v>
      </c>
      <c r="CS2660" s="0" t="s">
        <v>130</v>
      </c>
      <c r="CT2660" s="0" t="s">
        <v>7192</v>
      </c>
    </row>
    <row r="2661">
      <c r="A2661" s="14">
        <v>101166</v>
      </c>
      <c r="B2661" s="0" t="s">
        <v>1275</v>
      </c>
      <c r="C2661" s="16">
        <f>HYPERLINK("https://eosportal.federatedhermes.com/companies/Q29tcGFueQppODU4OTI=", "Pfizer Inc")</f>
      </c>
      <c r="D2661" s="0" t="s">
        <v>25</v>
      </c>
      <c r="E2661" s="0" t="s">
        <v>2793</v>
      </c>
      <c r="F2661" s="16">
        <f>HYPERLINK("https://eosportal.federatedhermes.com/engagements/RW5nYWdlbWVudAppMzYzNDc=", "Human Capital Management")</f>
      </c>
      <c r="G2661" s="14" t="s">
        <v>7193</v>
      </c>
      <c r="H2661" s="0" t="s">
        <v>141</v>
      </c>
      <c r="I2661" s="14" t="s">
        <v>636</v>
      </c>
      <c r="J2661" s="0" t="s">
        <v>153</v>
      </c>
      <c r="K2661" s="0" t="s">
        <v>154</v>
      </c>
      <c r="L2661" s="0" t="s">
        <v>268</v>
      </c>
      <c r="M2661" s="0" t="s">
        <v>135</v>
      </c>
      <c r="N2661" s="0" t="s">
        <v>136</v>
      </c>
      <c r="O2661" s="0" t="s">
        <v>274</v>
      </c>
      <c r="Q2661" s="0" t="s">
        <v>130</v>
      </c>
      <c r="R2661" s="0" t="s">
        <v>138</v>
      </c>
      <c r="S2661" s="14">
        <v>0</v>
      </c>
      <c r="T2661" s="0" t="s">
        <v>2842</v>
      </c>
      <c r="U2661" s="0" t="s">
        <v>138</v>
      </c>
      <c r="V2661" s="14" t="s">
        <v>138</v>
      </c>
      <c r="W2661" s="0" t="s">
        <v>138</v>
      </c>
      <c r="X2661" s="14" t="s">
        <v>138</v>
      </c>
      <c r="Y2661" s="0" t="s">
        <v>138</v>
      </c>
      <c r="Z2661" s="14" t="s">
        <v>138</v>
      </c>
      <c r="AA2661" s="0" t="s">
        <v>138</v>
      </c>
      <c r="AB2661" s="14" t="s">
        <v>138</v>
      </c>
      <c r="AD2661" s="0" t="s">
        <v>138</v>
      </c>
      <c r="AF2661" s="0">
        <v>0</v>
      </c>
      <c r="AG2661" s="0">
        <v>0</v>
      </c>
      <c r="AH2661" s="0" t="s">
        <v>140</v>
      </c>
      <c r="AI2661" s="0" t="s">
        <v>138</v>
      </c>
      <c r="AL2661" s="14"/>
      <c r="AN2661" s="14"/>
      <c r="AQ2661" s="0" t="s">
        <v>130</v>
      </c>
      <c r="AR2661" s="0" t="s">
        <v>130</v>
      </c>
      <c r="AS2661" s="0" t="s">
        <v>141</v>
      </c>
      <c r="AT2661" s="0" t="s">
        <v>130</v>
      </c>
      <c r="AU2661" s="0" t="s">
        <v>141</v>
      </c>
      <c r="AV2661" s="0" t="s">
        <v>130</v>
      </c>
      <c r="AW2661" s="0" t="s">
        <v>130</v>
      </c>
      <c r="AX2661" s="0" t="s">
        <v>141</v>
      </c>
      <c r="AY2661" s="0" t="s">
        <v>130</v>
      </c>
      <c r="AZ2661" s="0" t="s">
        <v>141</v>
      </c>
      <c r="BA2661" s="0" t="s">
        <v>130</v>
      </c>
      <c r="BB2661" s="0" t="s">
        <v>130</v>
      </c>
      <c r="BC2661" s="0" t="s">
        <v>130</v>
      </c>
      <c r="BD2661" s="0" t="s">
        <v>130</v>
      </c>
      <c r="BE2661" s="0" t="s">
        <v>130</v>
      </c>
      <c r="BF2661" s="0" t="s">
        <v>130</v>
      </c>
      <c r="BG2661" s="0" t="s">
        <v>130</v>
      </c>
      <c r="BH2661" s="0" t="s">
        <v>130</v>
      </c>
      <c r="BI2661" s="0" t="s">
        <v>130</v>
      </c>
      <c r="BJ2661" s="0" t="s">
        <v>130</v>
      </c>
      <c r="BK2661" s="0" t="s">
        <v>130</v>
      </c>
      <c r="BL2661" s="0" t="s">
        <v>130</v>
      </c>
      <c r="BM2661" s="0" t="s">
        <v>130</v>
      </c>
      <c r="BN2661" s="0" t="s">
        <v>130</v>
      </c>
      <c r="BO2661" s="0" t="s">
        <v>130</v>
      </c>
      <c r="BP2661" s="0" t="s">
        <v>130</v>
      </c>
      <c r="BQ2661" s="0" t="s">
        <v>130</v>
      </c>
      <c r="BR2661" s="0" t="s">
        <v>130</v>
      </c>
      <c r="BS2661" s="0" t="s">
        <v>130</v>
      </c>
      <c r="BT2661" s="0" t="s">
        <v>130</v>
      </c>
      <c r="BU2661" s="0" t="s">
        <v>130</v>
      </c>
      <c r="BV2661" s="0" t="s">
        <v>130</v>
      </c>
      <c r="BW2661" s="0" t="s">
        <v>130</v>
      </c>
      <c r="BX2661" s="0" t="s">
        <v>130</v>
      </c>
      <c r="BY2661" s="0" t="s">
        <v>130</v>
      </c>
      <c r="BZ2661" s="0" t="s">
        <v>130</v>
      </c>
      <c r="CA2661" s="0" t="s">
        <v>130</v>
      </c>
      <c r="CB2661" s="0" t="s">
        <v>130</v>
      </c>
      <c r="CC2661" s="0" t="s">
        <v>130</v>
      </c>
      <c r="CD2661" s="0" t="s">
        <v>130</v>
      </c>
      <c r="CE2661" s="0" t="s">
        <v>130</v>
      </c>
      <c r="CF2661" s="0" t="s">
        <v>130</v>
      </c>
      <c r="CG2661" s="0" t="s">
        <v>130</v>
      </c>
      <c r="CH2661" s="0" t="s">
        <v>130</v>
      </c>
      <c r="CI2661" s="0" t="s">
        <v>130</v>
      </c>
      <c r="CJ2661" s="0" t="s">
        <v>130</v>
      </c>
      <c r="CK2661" s="0" t="s">
        <v>141</v>
      </c>
      <c r="CL2661" s="0" t="s">
        <v>130</v>
      </c>
      <c r="CM2661" s="0" t="s">
        <v>130</v>
      </c>
      <c r="CN2661" s="0" t="s">
        <v>130</v>
      </c>
      <c r="CO2661" s="0" t="s">
        <v>130</v>
      </c>
      <c r="CP2661" s="0" t="s">
        <v>130</v>
      </c>
      <c r="CQ2661" s="0" t="s">
        <v>130</v>
      </c>
      <c r="CR2661" s="0" t="s">
        <v>130</v>
      </c>
      <c r="CS2661" s="0" t="s">
        <v>130</v>
      </c>
      <c r="CT2661" s="0" t="s">
        <v>7194</v>
      </c>
    </row>
    <row r="2662">
      <c r="A2662" s="14">
        <v>100232</v>
      </c>
      <c r="B2662" s="0" t="s">
        <v>368</v>
      </c>
      <c r="C2662" s="16">
        <f>HYPERLINK("https://eosportal.federatedhermes.com/companies/Q29tcGFueQppNjQzODg=", "BHP Group Ltd")</f>
      </c>
      <c r="D2662" s="0" t="s">
        <v>23</v>
      </c>
      <c r="E2662" s="0" t="s">
        <v>7195</v>
      </c>
      <c r="F2662" s="16">
        <f>HYPERLINK("https://eosportal.federatedhermes.com/engagements/RW5nYWdlbWVudAppMzYzNjU=", "Methane disclosure and reduction")</f>
      </c>
      <c r="G2662" s="14" t="s">
        <v>7196</v>
      </c>
      <c r="H2662" s="0" t="s">
        <v>141</v>
      </c>
      <c r="I2662" s="14" t="s">
        <v>191</v>
      </c>
      <c r="J2662" s="0" t="s">
        <v>197</v>
      </c>
      <c r="K2662" s="0" t="s">
        <v>198</v>
      </c>
      <c r="L2662" s="0" t="s">
        <v>216</v>
      </c>
      <c r="M2662" s="0" t="s">
        <v>371</v>
      </c>
      <c r="N2662" s="0" t="s">
        <v>372</v>
      </c>
      <c r="O2662" s="0" t="s">
        <v>373</v>
      </c>
      <c r="Q2662" s="0" t="s">
        <v>141</v>
      </c>
      <c r="R2662" s="0" t="s">
        <v>141</v>
      </c>
      <c r="S2662" s="14">
        <v>1</v>
      </c>
      <c r="T2662" s="0" t="s">
        <v>3265</v>
      </c>
      <c r="U2662" s="0" t="s">
        <v>221</v>
      </c>
      <c r="V2662" s="14" t="s">
        <v>3265</v>
      </c>
      <c r="W2662" s="0" t="s">
        <v>221</v>
      </c>
      <c r="X2662" s="14" t="s">
        <v>361</v>
      </c>
      <c r="Y2662" s="0" t="s">
        <v>223</v>
      </c>
      <c r="Z2662" s="14" t="s">
        <v>138</v>
      </c>
      <c r="AA2662" s="0" t="s">
        <v>224</v>
      </c>
      <c r="AB2662" s="14" t="s">
        <v>138</v>
      </c>
      <c r="AC2662" s="0" t="s">
        <v>14</v>
      </c>
      <c r="AD2662" s="0" t="s">
        <v>17</v>
      </c>
      <c r="AE2662" s="0" t="s">
        <v>5508</v>
      </c>
      <c r="AF2662" s="0">
        <v>1</v>
      </c>
      <c r="AG2662" s="0">
        <v>0</v>
      </c>
      <c r="AH2662" s="0" t="s">
        <v>140</v>
      </c>
      <c r="AI2662" s="0" t="s">
        <v>598</v>
      </c>
      <c r="AK2662" s="0" t="s">
        <v>2569</v>
      </c>
      <c r="AL2662" s="14"/>
      <c r="AN2662" s="14"/>
      <c r="AQ2662" s="0" t="s">
        <v>130</v>
      </c>
      <c r="AR2662" s="0" t="s">
        <v>130</v>
      </c>
      <c r="AS2662" s="0" t="s">
        <v>130</v>
      </c>
      <c r="AT2662" s="0" t="s">
        <v>130</v>
      </c>
      <c r="AU2662" s="0" t="s">
        <v>130</v>
      </c>
      <c r="AV2662" s="0" t="s">
        <v>130</v>
      </c>
      <c r="AW2662" s="0" t="s">
        <v>141</v>
      </c>
      <c r="AX2662" s="0" t="s">
        <v>130</v>
      </c>
      <c r="AY2662" s="0" t="s">
        <v>130</v>
      </c>
      <c r="AZ2662" s="0" t="s">
        <v>130</v>
      </c>
      <c r="BA2662" s="0" t="s">
        <v>130</v>
      </c>
      <c r="BB2662" s="0" t="s">
        <v>130</v>
      </c>
      <c r="BC2662" s="0" t="s">
        <v>141</v>
      </c>
      <c r="BD2662" s="0" t="s">
        <v>130</v>
      </c>
      <c r="BE2662" s="0" t="s">
        <v>130</v>
      </c>
      <c r="BF2662" s="0" t="s">
        <v>130</v>
      </c>
      <c r="BG2662" s="0" t="s">
        <v>130</v>
      </c>
      <c r="BH2662" s="0" t="s">
        <v>141</v>
      </c>
      <c r="BI2662" s="0" t="s">
        <v>141</v>
      </c>
      <c r="BJ2662" s="0" t="s">
        <v>141</v>
      </c>
      <c r="BK2662" s="0" t="s">
        <v>130</v>
      </c>
      <c r="BL2662" s="0" t="s">
        <v>130</v>
      </c>
      <c r="BM2662" s="0" t="s">
        <v>130</v>
      </c>
      <c r="BN2662" s="0" t="s">
        <v>130</v>
      </c>
      <c r="BO2662" s="0" t="s">
        <v>130</v>
      </c>
      <c r="BP2662" s="0" t="s">
        <v>130</v>
      </c>
      <c r="BQ2662" s="0" t="s">
        <v>130</v>
      </c>
      <c r="BR2662" s="0" t="s">
        <v>130</v>
      </c>
      <c r="BS2662" s="0" t="s">
        <v>130</v>
      </c>
      <c r="BT2662" s="0" t="s">
        <v>130</v>
      </c>
      <c r="BU2662" s="0" t="s">
        <v>130</v>
      </c>
      <c r="BV2662" s="0" t="s">
        <v>141</v>
      </c>
      <c r="BW2662" s="0" t="s">
        <v>141</v>
      </c>
      <c r="BX2662" s="0" t="s">
        <v>130</v>
      </c>
      <c r="BY2662" s="0" t="s">
        <v>130</v>
      </c>
      <c r="BZ2662" s="0" t="s">
        <v>130</v>
      </c>
      <c r="CA2662" s="0" t="s">
        <v>130</v>
      </c>
      <c r="CB2662" s="0" t="s">
        <v>130</v>
      </c>
      <c r="CC2662" s="0" t="s">
        <v>130</v>
      </c>
      <c r="CD2662" s="0" t="s">
        <v>130</v>
      </c>
      <c r="CE2662" s="0" t="s">
        <v>130</v>
      </c>
      <c r="CF2662" s="0" t="s">
        <v>130</v>
      </c>
      <c r="CG2662" s="0" t="s">
        <v>130</v>
      </c>
      <c r="CH2662" s="0" t="s">
        <v>130</v>
      </c>
      <c r="CI2662" s="0" t="s">
        <v>130</v>
      </c>
      <c r="CJ2662" s="0" t="s">
        <v>130</v>
      </c>
      <c r="CK2662" s="0" t="s">
        <v>130</v>
      </c>
      <c r="CL2662" s="0" t="s">
        <v>130</v>
      </c>
      <c r="CM2662" s="0" t="s">
        <v>130</v>
      </c>
      <c r="CN2662" s="0" t="s">
        <v>130</v>
      </c>
      <c r="CO2662" s="0" t="s">
        <v>130</v>
      </c>
      <c r="CP2662" s="0" t="s">
        <v>130</v>
      </c>
      <c r="CQ2662" s="0" t="s">
        <v>130</v>
      </c>
      <c r="CR2662" s="0" t="s">
        <v>130</v>
      </c>
      <c r="CS2662" s="0" t="s">
        <v>130</v>
      </c>
      <c r="CT2662" s="0" t="s">
        <v>7197</v>
      </c>
    </row>
    <row r="2663">
      <c r="A2663" s="14">
        <v>7791092</v>
      </c>
      <c r="B2663" s="0" t="s">
        <v>3851</v>
      </c>
      <c r="C2663" s="16">
        <f>HYPERLINK("https://eosportal.federatedhermes.com/companies/Q29tcGFueQppODMyNjU=", "BYD Co Ltd")</f>
      </c>
      <c r="D2663" s="0" t="s">
        <v>23</v>
      </c>
      <c r="E2663" s="0" t="s">
        <v>7198</v>
      </c>
      <c r="F2663" s="16">
        <f>HYPERLINK("https://eosportal.federatedhermes.com/engagements/RW5nYWdlbWVudAppMzYzNjc=", "Sustainability transparency")</f>
      </c>
      <c r="G2663" s="14" t="s">
        <v>7199</v>
      </c>
      <c r="H2663" s="0" t="s">
        <v>141</v>
      </c>
      <c r="I2663" s="14" t="s">
        <v>191</v>
      </c>
      <c r="J2663" s="0" t="s">
        <v>132</v>
      </c>
      <c r="K2663" s="0" t="s">
        <v>170</v>
      </c>
      <c r="L2663" s="0" t="s">
        <v>171</v>
      </c>
      <c r="M2663" s="0" t="s">
        <v>2807</v>
      </c>
      <c r="N2663" s="0" t="s">
        <v>3272</v>
      </c>
      <c r="O2663" s="0" t="s">
        <v>425</v>
      </c>
      <c r="Q2663" s="0" t="s">
        <v>141</v>
      </c>
      <c r="R2663" s="0" t="s">
        <v>130</v>
      </c>
      <c r="S2663" s="14">
        <v>3</v>
      </c>
      <c r="T2663" s="0" t="s">
        <v>2842</v>
      </c>
      <c r="U2663" s="0" t="s">
        <v>221</v>
      </c>
      <c r="V2663" s="14" t="s">
        <v>2842</v>
      </c>
      <c r="W2663" s="0" t="s">
        <v>221</v>
      </c>
      <c r="X2663" s="14" t="s">
        <v>2428</v>
      </c>
      <c r="Y2663" s="0" t="s">
        <v>221</v>
      </c>
      <c r="Z2663" s="14" t="s">
        <v>2428</v>
      </c>
      <c r="AA2663" s="0" t="s">
        <v>223</v>
      </c>
      <c r="AB2663" s="14" t="s">
        <v>138</v>
      </c>
      <c r="AD2663" s="0" t="s">
        <v>20</v>
      </c>
      <c r="AF2663" s="0">
        <v>0</v>
      </c>
      <c r="AG2663" s="0">
        <v>0</v>
      </c>
      <c r="AH2663" s="0" t="s">
        <v>140</v>
      </c>
      <c r="AI2663" s="0" t="s">
        <v>598</v>
      </c>
      <c r="AK2663" s="0" t="s">
        <v>344</v>
      </c>
      <c r="AL2663" s="14"/>
      <c r="AN2663" s="14"/>
      <c r="AQ2663" s="0" t="s">
        <v>130</v>
      </c>
      <c r="AR2663" s="0" t="s">
        <v>130</v>
      </c>
      <c r="AS2663" s="0" t="s">
        <v>130</v>
      </c>
      <c r="AT2663" s="0" t="s">
        <v>130</v>
      </c>
      <c r="AU2663" s="0" t="s">
        <v>130</v>
      </c>
      <c r="AV2663" s="0" t="s">
        <v>130</v>
      </c>
      <c r="AW2663" s="0" t="s">
        <v>130</v>
      </c>
      <c r="AX2663" s="0" t="s">
        <v>130</v>
      </c>
      <c r="AY2663" s="0" t="s">
        <v>130</v>
      </c>
      <c r="AZ2663" s="0" t="s">
        <v>130</v>
      </c>
      <c r="BA2663" s="0" t="s">
        <v>130</v>
      </c>
      <c r="BB2663" s="0" t="s">
        <v>141</v>
      </c>
      <c r="BC2663" s="0" t="s">
        <v>130</v>
      </c>
      <c r="BD2663" s="0" t="s">
        <v>130</v>
      </c>
      <c r="BE2663" s="0" t="s">
        <v>130</v>
      </c>
      <c r="BF2663" s="0" t="s">
        <v>130</v>
      </c>
      <c r="BG2663" s="0" t="s">
        <v>130</v>
      </c>
      <c r="BH2663" s="0" t="s">
        <v>130</v>
      </c>
      <c r="BI2663" s="0" t="s">
        <v>130</v>
      </c>
      <c r="BJ2663" s="0" t="s">
        <v>130</v>
      </c>
      <c r="BK2663" s="0" t="s">
        <v>130</v>
      </c>
      <c r="BL2663" s="0" t="s">
        <v>130</v>
      </c>
      <c r="BM2663" s="0" t="s">
        <v>130</v>
      </c>
      <c r="BN2663" s="0" t="s">
        <v>130</v>
      </c>
      <c r="BO2663" s="0" t="s">
        <v>130</v>
      </c>
      <c r="BP2663" s="0" t="s">
        <v>130</v>
      </c>
      <c r="BQ2663" s="0" t="s">
        <v>130</v>
      </c>
      <c r="BR2663" s="0" t="s">
        <v>130</v>
      </c>
      <c r="BS2663" s="0" t="s">
        <v>130</v>
      </c>
      <c r="BT2663" s="0" t="s">
        <v>130</v>
      </c>
      <c r="BU2663" s="0" t="s">
        <v>130</v>
      </c>
      <c r="BV2663" s="0" t="s">
        <v>130</v>
      </c>
      <c r="BW2663" s="0" t="s">
        <v>130</v>
      </c>
      <c r="BX2663" s="0" t="s">
        <v>130</v>
      </c>
      <c r="BY2663" s="0" t="s">
        <v>130</v>
      </c>
      <c r="BZ2663" s="0" t="s">
        <v>130</v>
      </c>
      <c r="CA2663" s="0" t="s">
        <v>130</v>
      </c>
      <c r="CB2663" s="0" t="s">
        <v>130</v>
      </c>
      <c r="CC2663" s="0" t="s">
        <v>130</v>
      </c>
      <c r="CD2663" s="0" t="s">
        <v>130</v>
      </c>
      <c r="CE2663" s="0" t="s">
        <v>130</v>
      </c>
      <c r="CF2663" s="0" t="s">
        <v>130</v>
      </c>
      <c r="CG2663" s="0" t="s">
        <v>130</v>
      </c>
      <c r="CH2663" s="0" t="s">
        <v>130</v>
      </c>
      <c r="CI2663" s="0" t="s">
        <v>130</v>
      </c>
      <c r="CJ2663" s="0" t="s">
        <v>130</v>
      </c>
      <c r="CK2663" s="0" t="s">
        <v>130</v>
      </c>
      <c r="CL2663" s="0" t="s">
        <v>130</v>
      </c>
      <c r="CM2663" s="0" t="s">
        <v>130</v>
      </c>
      <c r="CN2663" s="0" t="s">
        <v>130</v>
      </c>
      <c r="CO2663" s="0" t="s">
        <v>130</v>
      </c>
      <c r="CP2663" s="0" t="s">
        <v>130</v>
      </c>
      <c r="CQ2663" s="0" t="s">
        <v>130</v>
      </c>
      <c r="CR2663" s="0" t="s">
        <v>130</v>
      </c>
      <c r="CS2663" s="0" t="s">
        <v>130</v>
      </c>
      <c r="CT2663" s="0" t="s">
        <v>7200</v>
      </c>
    </row>
    <row r="2664">
      <c r="A2664" s="14">
        <v>100355</v>
      </c>
      <c r="B2664" s="0" t="s">
        <v>604</v>
      </c>
      <c r="C2664" s="16">
        <f>HYPERLINK("https://eosportal.federatedhermes.com/companies/Q29tcGFueQppNDgyOTA=", "Coca-Cola Co/The")</f>
      </c>
      <c r="D2664" s="0" t="s">
        <v>23</v>
      </c>
      <c r="E2664" s="0" t="s">
        <v>473</v>
      </c>
      <c r="F2664" s="16">
        <f>HYPERLINK("https://eosportal.federatedhermes.com/engagements/RW5nYWdlbWVudAppMzYzODY=", "Auditor rotation")</f>
      </c>
      <c r="G2664" s="14" t="s">
        <v>7201</v>
      </c>
      <c r="H2664" s="0" t="s">
        <v>141</v>
      </c>
      <c r="I2664" s="14" t="s">
        <v>191</v>
      </c>
      <c r="J2664" s="0" t="s">
        <v>132</v>
      </c>
      <c r="K2664" s="0" t="s">
        <v>170</v>
      </c>
      <c r="L2664" s="0" t="s">
        <v>310</v>
      </c>
      <c r="M2664" s="0" t="s">
        <v>135</v>
      </c>
      <c r="N2664" s="0" t="s">
        <v>136</v>
      </c>
      <c r="O2664" s="0" t="s">
        <v>332</v>
      </c>
      <c r="Q2664" s="0" t="s">
        <v>130</v>
      </c>
      <c r="R2664" s="0" t="s">
        <v>130</v>
      </c>
      <c r="S2664" s="14">
        <v>0</v>
      </c>
      <c r="T2664" s="0" t="s">
        <v>446</v>
      </c>
      <c r="U2664" s="0" t="s">
        <v>221</v>
      </c>
      <c r="V2664" s="14" t="s">
        <v>446</v>
      </c>
      <c r="W2664" s="0" t="s">
        <v>223</v>
      </c>
      <c r="X2664" s="14" t="s">
        <v>138</v>
      </c>
      <c r="Y2664" s="0" t="s">
        <v>224</v>
      </c>
      <c r="Z2664" s="14" t="s">
        <v>138</v>
      </c>
      <c r="AA2664" s="0" t="s">
        <v>224</v>
      </c>
      <c r="AB2664" s="14" t="s">
        <v>138</v>
      </c>
      <c r="AD2664" s="0" t="s">
        <v>14</v>
      </c>
      <c r="AF2664" s="0">
        <v>0</v>
      </c>
      <c r="AG2664" s="0">
        <v>0</v>
      </c>
      <c r="AH2664" s="0" t="s">
        <v>140</v>
      </c>
      <c r="AI2664" s="0" t="s">
        <v>232</v>
      </c>
      <c r="AL2664" s="14"/>
      <c r="AN2664" s="14"/>
      <c r="AQ2664" s="0" t="s">
        <v>130</v>
      </c>
      <c r="AR2664" s="0" t="s">
        <v>130</v>
      </c>
      <c r="AS2664" s="0" t="s">
        <v>130</v>
      </c>
      <c r="AT2664" s="0" t="s">
        <v>130</v>
      </c>
      <c r="AU2664" s="0" t="s">
        <v>130</v>
      </c>
      <c r="AV2664" s="0" t="s">
        <v>130</v>
      </c>
      <c r="AW2664" s="0" t="s">
        <v>130</v>
      </c>
      <c r="AX2664" s="0" t="s">
        <v>130</v>
      </c>
      <c r="AY2664" s="0" t="s">
        <v>130</v>
      </c>
      <c r="AZ2664" s="0" t="s">
        <v>130</v>
      </c>
      <c r="BA2664" s="0" t="s">
        <v>130</v>
      </c>
      <c r="BB2664" s="0" t="s">
        <v>130</v>
      </c>
      <c r="BC2664" s="0" t="s">
        <v>130</v>
      </c>
      <c r="BD2664" s="0" t="s">
        <v>130</v>
      </c>
      <c r="BE2664" s="0" t="s">
        <v>130</v>
      </c>
      <c r="BF2664" s="0" t="s">
        <v>130</v>
      </c>
      <c r="BG2664" s="0" t="s">
        <v>130</v>
      </c>
      <c r="BH2664" s="0" t="s">
        <v>130</v>
      </c>
      <c r="BI2664" s="0" t="s">
        <v>130</v>
      </c>
      <c r="BJ2664" s="0" t="s">
        <v>130</v>
      </c>
      <c r="BK2664" s="0" t="s">
        <v>130</v>
      </c>
      <c r="BL2664" s="0" t="s">
        <v>130</v>
      </c>
      <c r="BM2664" s="0" t="s">
        <v>130</v>
      </c>
      <c r="BN2664" s="0" t="s">
        <v>130</v>
      </c>
      <c r="BO2664" s="0" t="s">
        <v>130</v>
      </c>
      <c r="BP2664" s="0" t="s">
        <v>130</v>
      </c>
      <c r="BQ2664" s="0" t="s">
        <v>130</v>
      </c>
      <c r="BR2664" s="0" t="s">
        <v>130</v>
      </c>
      <c r="BS2664" s="0" t="s">
        <v>130</v>
      </c>
      <c r="BT2664" s="0" t="s">
        <v>130</v>
      </c>
      <c r="BU2664" s="0" t="s">
        <v>130</v>
      </c>
      <c r="BV2664" s="0" t="s">
        <v>130</v>
      </c>
      <c r="BW2664" s="0" t="s">
        <v>130</v>
      </c>
      <c r="BX2664" s="0" t="s">
        <v>130</v>
      </c>
      <c r="BY2664" s="0" t="s">
        <v>130</v>
      </c>
      <c r="BZ2664" s="0" t="s">
        <v>130</v>
      </c>
      <c r="CA2664" s="0" t="s">
        <v>130</v>
      </c>
      <c r="CB2664" s="0" t="s">
        <v>130</v>
      </c>
      <c r="CC2664" s="0" t="s">
        <v>130</v>
      </c>
      <c r="CD2664" s="0" t="s">
        <v>130</v>
      </c>
      <c r="CE2664" s="0" t="s">
        <v>130</v>
      </c>
      <c r="CF2664" s="0" t="s">
        <v>130</v>
      </c>
      <c r="CG2664" s="0" t="s">
        <v>130</v>
      </c>
      <c r="CH2664" s="0" t="s">
        <v>130</v>
      </c>
      <c r="CI2664" s="0" t="s">
        <v>130</v>
      </c>
      <c r="CJ2664" s="0" t="s">
        <v>130</v>
      </c>
      <c r="CK2664" s="0" t="s">
        <v>130</v>
      </c>
      <c r="CL2664" s="0" t="s">
        <v>130</v>
      </c>
      <c r="CM2664" s="0" t="s">
        <v>130</v>
      </c>
      <c r="CN2664" s="0" t="s">
        <v>130</v>
      </c>
      <c r="CO2664" s="0" t="s">
        <v>130</v>
      </c>
      <c r="CP2664" s="0" t="s">
        <v>130</v>
      </c>
      <c r="CQ2664" s="0" t="s">
        <v>130</v>
      </c>
      <c r="CR2664" s="0" t="s">
        <v>130</v>
      </c>
      <c r="CS2664" s="0" t="s">
        <v>130</v>
      </c>
      <c r="CT2664" s="0" t="s">
        <v>7202</v>
      </c>
    </row>
    <row r="2665">
      <c r="A2665" s="14">
        <v>111759</v>
      </c>
      <c r="B2665" s="0" t="s">
        <v>4879</v>
      </c>
      <c r="C2665" s="16">
        <f>HYPERLINK("https://eosportal.federatedhermes.com/companies/Q29tcGFueQppNjI0NzE=", "HSBC Holdings PLC")</f>
      </c>
      <c r="D2665" s="0" t="s">
        <v>23</v>
      </c>
      <c r="E2665" s="0" t="s">
        <v>7203</v>
      </c>
      <c r="F2665" s="16">
        <f>HYPERLINK("https://eosportal.federatedhermes.com/engagements/RW5nYWdlbWVudAppMzYzODk=", "Improved disclosures on climate in accounts and audit report")</f>
      </c>
      <c r="G2665" s="14" t="s">
        <v>7204</v>
      </c>
      <c r="H2665" s="0" t="s">
        <v>141</v>
      </c>
      <c r="I2665" s="14" t="s">
        <v>191</v>
      </c>
      <c r="J2665" s="0" t="s">
        <v>197</v>
      </c>
      <c r="K2665" s="0" t="s">
        <v>198</v>
      </c>
      <c r="L2665" s="0" t="s">
        <v>199</v>
      </c>
      <c r="M2665" s="0" t="s">
        <v>272</v>
      </c>
      <c r="N2665" s="0" t="s">
        <v>273</v>
      </c>
      <c r="O2665" s="0" t="s">
        <v>238</v>
      </c>
      <c r="Q2665" s="0" t="s">
        <v>141</v>
      </c>
      <c r="R2665" s="0" t="s">
        <v>130</v>
      </c>
      <c r="S2665" s="14">
        <v>1</v>
      </c>
      <c r="T2665" s="0" t="s">
        <v>3265</v>
      </c>
      <c r="U2665" s="0" t="s">
        <v>221</v>
      </c>
      <c r="V2665" s="14" t="s">
        <v>3265</v>
      </c>
      <c r="W2665" s="0" t="s">
        <v>223</v>
      </c>
      <c r="X2665" s="14" t="s">
        <v>138</v>
      </c>
      <c r="Y2665" s="0" t="s">
        <v>224</v>
      </c>
      <c r="Z2665" s="14" t="s">
        <v>138</v>
      </c>
      <c r="AA2665" s="0" t="s">
        <v>224</v>
      </c>
      <c r="AB2665" s="14" t="s">
        <v>138</v>
      </c>
      <c r="AD2665" s="0" t="s">
        <v>14</v>
      </c>
      <c r="AF2665" s="0">
        <v>0</v>
      </c>
      <c r="AG2665" s="0">
        <v>0</v>
      </c>
      <c r="AH2665" s="0" t="s">
        <v>140</v>
      </c>
      <c r="AI2665" s="0" t="s">
        <v>479</v>
      </c>
      <c r="AK2665" s="0" t="s">
        <v>847</v>
      </c>
      <c r="AL2665" s="14"/>
      <c r="AN2665" s="14"/>
      <c r="AQ2665" s="0" t="s">
        <v>130</v>
      </c>
      <c r="AR2665" s="0" t="s">
        <v>130</v>
      </c>
      <c r="AS2665" s="0" t="s">
        <v>130</v>
      </c>
      <c r="AT2665" s="0" t="s">
        <v>130</v>
      </c>
      <c r="AU2665" s="0" t="s">
        <v>130</v>
      </c>
      <c r="AV2665" s="0" t="s">
        <v>130</v>
      </c>
      <c r="AW2665" s="0" t="s">
        <v>130</v>
      </c>
      <c r="AX2665" s="0" t="s">
        <v>130</v>
      </c>
      <c r="AY2665" s="0" t="s">
        <v>130</v>
      </c>
      <c r="AZ2665" s="0" t="s">
        <v>130</v>
      </c>
      <c r="BA2665" s="0" t="s">
        <v>130</v>
      </c>
      <c r="BB2665" s="0" t="s">
        <v>141</v>
      </c>
      <c r="BC2665" s="0" t="s">
        <v>141</v>
      </c>
      <c r="BD2665" s="0" t="s">
        <v>130</v>
      </c>
      <c r="BE2665" s="0" t="s">
        <v>130</v>
      </c>
      <c r="BF2665" s="0" t="s">
        <v>130</v>
      </c>
      <c r="BG2665" s="0" t="s">
        <v>130</v>
      </c>
      <c r="BH2665" s="0" t="s">
        <v>130</v>
      </c>
      <c r="BI2665" s="0" t="s">
        <v>130</v>
      </c>
      <c r="BJ2665" s="0" t="s">
        <v>130</v>
      </c>
      <c r="BK2665" s="0" t="s">
        <v>130</v>
      </c>
      <c r="BL2665" s="0" t="s">
        <v>130</v>
      </c>
      <c r="BM2665" s="0" t="s">
        <v>130</v>
      </c>
      <c r="BN2665" s="0" t="s">
        <v>130</v>
      </c>
      <c r="BO2665" s="0" t="s">
        <v>130</v>
      </c>
      <c r="BP2665" s="0" t="s">
        <v>130</v>
      </c>
      <c r="BQ2665" s="0" t="s">
        <v>130</v>
      </c>
      <c r="BR2665" s="0" t="s">
        <v>130</v>
      </c>
      <c r="BS2665" s="0" t="s">
        <v>130</v>
      </c>
      <c r="BT2665" s="0" t="s">
        <v>130</v>
      </c>
      <c r="BU2665" s="0" t="s">
        <v>130</v>
      </c>
      <c r="BV2665" s="0" t="s">
        <v>130</v>
      </c>
      <c r="BW2665" s="0" t="s">
        <v>130</v>
      </c>
      <c r="BX2665" s="0" t="s">
        <v>130</v>
      </c>
      <c r="BY2665" s="0" t="s">
        <v>130</v>
      </c>
      <c r="BZ2665" s="0" t="s">
        <v>130</v>
      </c>
      <c r="CA2665" s="0" t="s">
        <v>130</v>
      </c>
      <c r="CB2665" s="0" t="s">
        <v>130</v>
      </c>
      <c r="CC2665" s="0" t="s">
        <v>130</v>
      </c>
      <c r="CD2665" s="0" t="s">
        <v>130</v>
      </c>
      <c r="CE2665" s="0" t="s">
        <v>130</v>
      </c>
      <c r="CF2665" s="0" t="s">
        <v>130</v>
      </c>
      <c r="CG2665" s="0" t="s">
        <v>130</v>
      </c>
      <c r="CH2665" s="0" t="s">
        <v>130</v>
      </c>
      <c r="CI2665" s="0" t="s">
        <v>130</v>
      </c>
      <c r="CJ2665" s="0" t="s">
        <v>130</v>
      </c>
      <c r="CK2665" s="0" t="s">
        <v>130</v>
      </c>
      <c r="CL2665" s="0" t="s">
        <v>130</v>
      </c>
      <c r="CM2665" s="0" t="s">
        <v>130</v>
      </c>
      <c r="CN2665" s="0" t="s">
        <v>130</v>
      </c>
      <c r="CO2665" s="0" t="s">
        <v>130</v>
      </c>
      <c r="CP2665" s="0" t="s">
        <v>130</v>
      </c>
      <c r="CQ2665" s="0" t="s">
        <v>130</v>
      </c>
      <c r="CR2665" s="0" t="s">
        <v>130</v>
      </c>
      <c r="CS2665" s="0" t="s">
        <v>130</v>
      </c>
      <c r="CT2665" s="0" t="s">
        <v>7205</v>
      </c>
    </row>
    <row r="2666">
      <c r="A2666" s="14">
        <v>101166</v>
      </c>
      <c r="B2666" s="0" t="s">
        <v>1275</v>
      </c>
      <c r="C2666" s="16">
        <f>HYPERLINK("https://eosportal.federatedhermes.com/companies/Q29tcGFueQppODU4OTI=", "Pfizer Inc")</f>
      </c>
      <c r="D2666" s="0" t="s">
        <v>23</v>
      </c>
      <c r="E2666" s="0" t="s">
        <v>7206</v>
      </c>
      <c r="F2666" s="16">
        <f>HYPERLINK("https://eosportal.federatedhermes.com/engagements/RW5nYWdlbWVudAppMzYzOTM=", "Access to Medicine Methodology")</f>
      </c>
      <c r="G2666" s="14" t="s">
        <v>7207</v>
      </c>
      <c r="H2666" s="0" t="s">
        <v>141</v>
      </c>
      <c r="I2666" s="14" t="s">
        <v>636</v>
      </c>
      <c r="J2666" s="0" t="s">
        <v>153</v>
      </c>
      <c r="K2666" s="0" t="s">
        <v>243</v>
      </c>
      <c r="L2666" s="0" t="s">
        <v>292</v>
      </c>
      <c r="M2666" s="0" t="s">
        <v>135</v>
      </c>
      <c r="N2666" s="0" t="s">
        <v>136</v>
      </c>
      <c r="O2666" s="0" t="s">
        <v>274</v>
      </c>
      <c r="Q2666" s="0" t="s">
        <v>141</v>
      </c>
      <c r="R2666" s="0" t="s">
        <v>130</v>
      </c>
      <c r="S2666" s="14">
        <v>1</v>
      </c>
      <c r="T2666" s="0" t="s">
        <v>2842</v>
      </c>
      <c r="U2666" s="0" t="s">
        <v>221</v>
      </c>
      <c r="V2666" s="14" t="s">
        <v>2842</v>
      </c>
      <c r="W2666" s="0" t="s">
        <v>221</v>
      </c>
      <c r="X2666" s="14" t="s">
        <v>2842</v>
      </c>
      <c r="Y2666" s="0" t="s">
        <v>223</v>
      </c>
      <c r="Z2666" s="14" t="s">
        <v>138</v>
      </c>
      <c r="AA2666" s="0" t="s">
        <v>224</v>
      </c>
      <c r="AB2666" s="14" t="s">
        <v>138</v>
      </c>
      <c r="AD2666" s="0" t="s">
        <v>17</v>
      </c>
      <c r="AF2666" s="0">
        <v>0</v>
      </c>
      <c r="AG2666" s="0">
        <v>0</v>
      </c>
      <c r="AH2666" s="0" t="s">
        <v>140</v>
      </c>
      <c r="AI2666" s="0" t="s">
        <v>598</v>
      </c>
      <c r="AK2666" s="0" t="s">
        <v>1289</v>
      </c>
      <c r="AL2666" s="14"/>
      <c r="AN2666" s="14"/>
      <c r="AQ2666" s="0" t="s">
        <v>130</v>
      </c>
      <c r="AR2666" s="0" t="s">
        <v>130</v>
      </c>
      <c r="AS2666" s="0" t="s">
        <v>141</v>
      </c>
      <c r="AT2666" s="0" t="s">
        <v>130</v>
      </c>
      <c r="AU2666" s="0" t="s">
        <v>130</v>
      </c>
      <c r="AV2666" s="0" t="s">
        <v>130</v>
      </c>
      <c r="AW2666" s="0" t="s">
        <v>130</v>
      </c>
      <c r="AX2666" s="0" t="s">
        <v>130</v>
      </c>
      <c r="AY2666" s="0" t="s">
        <v>141</v>
      </c>
      <c r="AZ2666" s="0" t="s">
        <v>130</v>
      </c>
      <c r="BA2666" s="0" t="s">
        <v>130</v>
      </c>
      <c r="BB2666" s="0" t="s">
        <v>130</v>
      </c>
      <c r="BC2666" s="0" t="s">
        <v>130</v>
      </c>
      <c r="BD2666" s="0" t="s">
        <v>130</v>
      </c>
      <c r="BE2666" s="0" t="s">
        <v>130</v>
      </c>
      <c r="BF2666" s="0" t="s">
        <v>130</v>
      </c>
      <c r="BG2666" s="0" t="s">
        <v>130</v>
      </c>
      <c r="BH2666" s="0" t="s">
        <v>130</v>
      </c>
      <c r="BI2666" s="0" t="s">
        <v>130</v>
      </c>
      <c r="BJ2666" s="0" t="s">
        <v>130</v>
      </c>
      <c r="BK2666" s="0" t="s">
        <v>130</v>
      </c>
      <c r="BL2666" s="0" t="s">
        <v>130</v>
      </c>
      <c r="BM2666" s="0" t="s">
        <v>130</v>
      </c>
      <c r="BN2666" s="0" t="s">
        <v>130</v>
      </c>
      <c r="BO2666" s="0" t="s">
        <v>130</v>
      </c>
      <c r="BP2666" s="0" t="s">
        <v>130</v>
      </c>
      <c r="BQ2666" s="0" t="s">
        <v>130</v>
      </c>
      <c r="BR2666" s="0" t="s">
        <v>130</v>
      </c>
      <c r="BS2666" s="0" t="s">
        <v>130</v>
      </c>
      <c r="BT2666" s="0" t="s">
        <v>130</v>
      </c>
      <c r="BU2666" s="0" t="s">
        <v>130</v>
      </c>
      <c r="BV2666" s="0" t="s">
        <v>130</v>
      </c>
      <c r="BW2666" s="0" t="s">
        <v>130</v>
      </c>
      <c r="BX2666" s="0" t="s">
        <v>130</v>
      </c>
      <c r="BY2666" s="0" t="s">
        <v>130</v>
      </c>
      <c r="BZ2666" s="0" t="s">
        <v>130</v>
      </c>
      <c r="CA2666" s="0" t="s">
        <v>130</v>
      </c>
      <c r="CB2666" s="0" t="s">
        <v>130</v>
      </c>
      <c r="CC2666" s="0" t="s">
        <v>130</v>
      </c>
      <c r="CD2666" s="0" t="s">
        <v>130</v>
      </c>
      <c r="CE2666" s="0" t="s">
        <v>130</v>
      </c>
      <c r="CF2666" s="0" t="s">
        <v>130</v>
      </c>
      <c r="CG2666" s="0" t="s">
        <v>130</v>
      </c>
      <c r="CH2666" s="0" t="s">
        <v>130</v>
      </c>
      <c r="CI2666" s="0" t="s">
        <v>130</v>
      </c>
      <c r="CJ2666" s="0" t="s">
        <v>130</v>
      </c>
      <c r="CK2666" s="0" t="s">
        <v>130</v>
      </c>
      <c r="CL2666" s="0" t="s">
        <v>130</v>
      </c>
      <c r="CM2666" s="0" t="s">
        <v>130</v>
      </c>
      <c r="CN2666" s="0" t="s">
        <v>130</v>
      </c>
      <c r="CO2666" s="0" t="s">
        <v>130</v>
      </c>
      <c r="CP2666" s="0" t="s">
        <v>130</v>
      </c>
      <c r="CQ2666" s="0" t="s">
        <v>130</v>
      </c>
      <c r="CR2666" s="0" t="s">
        <v>130</v>
      </c>
      <c r="CS2666" s="0" t="s">
        <v>130</v>
      </c>
      <c r="CT2666" s="0" t="s">
        <v>7208</v>
      </c>
    </row>
    <row r="2667">
      <c r="A2667" s="14">
        <v>115757</v>
      </c>
      <c r="B2667" s="0" t="s">
        <v>2655</v>
      </c>
      <c r="C2667" s="16">
        <f>HYPERLINK("https://eosportal.federatedhermes.com/companies/Q29tcGFueQppNTg5Mjc=", "Volkswagen AG")</f>
      </c>
      <c r="D2667" s="0" t="s">
        <v>25</v>
      </c>
      <c r="E2667" s="0" t="s">
        <v>7209</v>
      </c>
      <c r="F2667" s="16">
        <f>HYPERLINK("https://eosportal.federatedhermes.com/engagements/RW5nYWdlbWVudAppMzYzOTc=", "Potential factory closures in Germany")</f>
      </c>
      <c r="G2667" s="14" t="s">
        <v>7210</v>
      </c>
      <c r="H2667" s="0" t="s">
        <v>141</v>
      </c>
      <c r="I2667" s="14" t="s">
        <v>1645</v>
      </c>
      <c r="J2667" s="0" t="s">
        <v>153</v>
      </c>
      <c r="K2667" s="0" t="s">
        <v>154</v>
      </c>
      <c r="L2667" s="0" t="s">
        <v>306</v>
      </c>
      <c r="M2667" s="0" t="s">
        <v>378</v>
      </c>
      <c r="N2667" s="0" t="s">
        <v>2485</v>
      </c>
      <c r="O2667" s="0" t="s">
        <v>425</v>
      </c>
      <c r="Q2667" s="0" t="s">
        <v>130</v>
      </c>
      <c r="R2667" s="0" t="s">
        <v>138</v>
      </c>
      <c r="S2667" s="14">
        <v>0</v>
      </c>
      <c r="T2667" s="0" t="s">
        <v>2842</v>
      </c>
      <c r="U2667" s="0" t="s">
        <v>138</v>
      </c>
      <c r="V2667" s="14" t="s">
        <v>138</v>
      </c>
      <c r="W2667" s="0" t="s">
        <v>138</v>
      </c>
      <c r="X2667" s="14" t="s">
        <v>138</v>
      </c>
      <c r="Y2667" s="0" t="s">
        <v>138</v>
      </c>
      <c r="Z2667" s="14" t="s">
        <v>138</v>
      </c>
      <c r="AA2667" s="0" t="s">
        <v>138</v>
      </c>
      <c r="AB2667" s="14" t="s">
        <v>138</v>
      </c>
      <c r="AD2667" s="0" t="s">
        <v>138</v>
      </c>
      <c r="AF2667" s="0">
        <v>0</v>
      </c>
      <c r="AG2667" s="0">
        <v>0</v>
      </c>
      <c r="AH2667" s="0" t="s">
        <v>140</v>
      </c>
      <c r="AI2667" s="0" t="s">
        <v>138</v>
      </c>
      <c r="AL2667" s="14"/>
      <c r="AN2667" s="14"/>
      <c r="AQ2667" s="0" t="s">
        <v>130</v>
      </c>
      <c r="AR2667" s="0" t="s">
        <v>130</v>
      </c>
      <c r="AS2667" s="0" t="s">
        <v>130</v>
      </c>
      <c r="AT2667" s="0" t="s">
        <v>130</v>
      </c>
      <c r="AU2667" s="0" t="s">
        <v>130</v>
      </c>
      <c r="AV2667" s="0" t="s">
        <v>130</v>
      </c>
      <c r="AW2667" s="0" t="s">
        <v>130</v>
      </c>
      <c r="AX2667" s="0" t="s">
        <v>141</v>
      </c>
      <c r="AY2667" s="0" t="s">
        <v>130</v>
      </c>
      <c r="AZ2667" s="0" t="s">
        <v>130</v>
      </c>
      <c r="BA2667" s="0" t="s">
        <v>130</v>
      </c>
      <c r="BB2667" s="0" t="s">
        <v>130</v>
      </c>
      <c r="BC2667" s="0" t="s">
        <v>130</v>
      </c>
      <c r="BD2667" s="0" t="s">
        <v>130</v>
      </c>
      <c r="BE2667" s="0" t="s">
        <v>130</v>
      </c>
      <c r="BF2667" s="0" t="s">
        <v>130</v>
      </c>
      <c r="BG2667" s="0" t="s">
        <v>130</v>
      </c>
      <c r="BH2667" s="0" t="s">
        <v>130</v>
      </c>
      <c r="BI2667" s="0" t="s">
        <v>130</v>
      </c>
      <c r="BJ2667" s="0" t="s">
        <v>130</v>
      </c>
      <c r="BK2667" s="0" t="s">
        <v>130</v>
      </c>
      <c r="BL2667" s="0" t="s">
        <v>130</v>
      </c>
      <c r="BM2667" s="0" t="s">
        <v>130</v>
      </c>
      <c r="BN2667" s="0" t="s">
        <v>130</v>
      </c>
      <c r="BO2667" s="0" t="s">
        <v>130</v>
      </c>
      <c r="BP2667" s="0" t="s">
        <v>130</v>
      </c>
      <c r="BQ2667" s="0" t="s">
        <v>130</v>
      </c>
      <c r="BR2667" s="0" t="s">
        <v>130</v>
      </c>
      <c r="BS2667" s="0" t="s">
        <v>130</v>
      </c>
      <c r="BT2667" s="0" t="s">
        <v>130</v>
      </c>
      <c r="BU2667" s="0" t="s">
        <v>130</v>
      </c>
      <c r="BV2667" s="0" t="s">
        <v>130</v>
      </c>
      <c r="BW2667" s="0" t="s">
        <v>130</v>
      </c>
      <c r="BX2667" s="0" t="s">
        <v>130</v>
      </c>
      <c r="BY2667" s="0" t="s">
        <v>130</v>
      </c>
      <c r="BZ2667" s="0" t="s">
        <v>130</v>
      </c>
      <c r="CA2667" s="0" t="s">
        <v>130</v>
      </c>
      <c r="CB2667" s="0" t="s">
        <v>130</v>
      </c>
      <c r="CC2667" s="0" t="s">
        <v>130</v>
      </c>
      <c r="CD2667" s="0" t="s">
        <v>130</v>
      </c>
      <c r="CE2667" s="0" t="s">
        <v>130</v>
      </c>
      <c r="CF2667" s="0" t="s">
        <v>130</v>
      </c>
      <c r="CG2667" s="0" t="s">
        <v>130</v>
      </c>
      <c r="CH2667" s="0" t="s">
        <v>130</v>
      </c>
      <c r="CI2667" s="0" t="s">
        <v>130</v>
      </c>
      <c r="CJ2667" s="0" t="s">
        <v>130</v>
      </c>
      <c r="CK2667" s="0" t="s">
        <v>130</v>
      </c>
      <c r="CL2667" s="0" t="s">
        <v>130</v>
      </c>
      <c r="CM2667" s="0" t="s">
        <v>130</v>
      </c>
      <c r="CN2667" s="0" t="s">
        <v>130</v>
      </c>
      <c r="CO2667" s="0" t="s">
        <v>130</v>
      </c>
      <c r="CP2667" s="0" t="s">
        <v>130</v>
      </c>
      <c r="CQ2667" s="0" t="s">
        <v>130</v>
      </c>
      <c r="CR2667" s="0" t="s">
        <v>130</v>
      </c>
      <c r="CS2667" s="0" t="s">
        <v>130</v>
      </c>
      <c r="CT2667" s="0" t="s">
        <v>7211</v>
      </c>
    </row>
    <row r="2668">
      <c r="A2668" s="14">
        <v>100466</v>
      </c>
      <c r="B2668" s="0" t="s">
        <v>655</v>
      </c>
      <c r="C2668" s="16">
        <f>HYPERLINK("https://eosportal.federatedhermes.com/companies/Q29tcGFueQppNzc5Mjg=", "Dominion Energy Inc")</f>
      </c>
      <c r="D2668" s="0" t="s">
        <v>25</v>
      </c>
      <c r="E2668" s="0" t="s">
        <v>7019</v>
      </c>
      <c r="F2668" s="16">
        <f>HYPERLINK("https://eosportal.federatedhermes.com/engagements/RW5nYWdlbWVudAppMzY0MzU=", "Utilities challenge EPA on carbon capture and sequestration technology")</f>
      </c>
      <c r="G2668" s="14" t="s">
        <v>7212</v>
      </c>
      <c r="H2668" s="0" t="s">
        <v>141</v>
      </c>
      <c r="I2668" s="14" t="s">
        <v>131</v>
      </c>
      <c r="J2668" s="0" t="s">
        <v>197</v>
      </c>
      <c r="K2668" s="0" t="s">
        <v>198</v>
      </c>
      <c r="L2668" s="0" t="s">
        <v>199</v>
      </c>
      <c r="M2668" s="0" t="s">
        <v>135</v>
      </c>
      <c r="N2668" s="0" t="s">
        <v>136</v>
      </c>
      <c r="O2668" s="0" t="s">
        <v>192</v>
      </c>
      <c r="Q2668" s="0" t="s">
        <v>130</v>
      </c>
      <c r="R2668" s="0" t="s">
        <v>138</v>
      </c>
      <c r="S2668" s="14">
        <v>0</v>
      </c>
      <c r="T2668" s="0" t="s">
        <v>3265</v>
      </c>
      <c r="U2668" s="0" t="s">
        <v>138</v>
      </c>
      <c r="V2668" s="14" t="s">
        <v>138</v>
      </c>
      <c r="W2668" s="0" t="s">
        <v>138</v>
      </c>
      <c r="X2668" s="14" t="s">
        <v>138</v>
      </c>
      <c r="Y2668" s="0" t="s">
        <v>138</v>
      </c>
      <c r="Z2668" s="14" t="s">
        <v>138</v>
      </c>
      <c r="AA2668" s="0" t="s">
        <v>138</v>
      </c>
      <c r="AB2668" s="14" t="s">
        <v>138</v>
      </c>
      <c r="AD2668" s="0" t="s">
        <v>138</v>
      </c>
      <c r="AF2668" s="0">
        <v>0</v>
      </c>
      <c r="AG2668" s="0">
        <v>0</v>
      </c>
      <c r="AH2668" s="0" t="s">
        <v>140</v>
      </c>
      <c r="AI2668" s="0" t="s">
        <v>138</v>
      </c>
      <c r="AL2668" s="14"/>
      <c r="AN2668" s="14"/>
      <c r="AQ2668" s="0" t="s">
        <v>130</v>
      </c>
      <c r="AR2668" s="0" t="s">
        <v>130</v>
      </c>
      <c r="AS2668" s="0" t="s">
        <v>130</v>
      </c>
      <c r="AT2668" s="0" t="s">
        <v>130</v>
      </c>
      <c r="AU2668" s="0" t="s">
        <v>130</v>
      </c>
      <c r="AV2668" s="0" t="s">
        <v>130</v>
      </c>
      <c r="AW2668" s="0" t="s">
        <v>130</v>
      </c>
      <c r="AX2668" s="0" t="s">
        <v>130</v>
      </c>
      <c r="AY2668" s="0" t="s">
        <v>130</v>
      </c>
      <c r="AZ2668" s="0" t="s">
        <v>130</v>
      </c>
      <c r="BA2668" s="0" t="s">
        <v>130</v>
      </c>
      <c r="BB2668" s="0" t="s">
        <v>141</v>
      </c>
      <c r="BC2668" s="0" t="s">
        <v>141</v>
      </c>
      <c r="BD2668" s="0" t="s">
        <v>130</v>
      </c>
      <c r="BE2668" s="0" t="s">
        <v>130</v>
      </c>
      <c r="BF2668" s="0" t="s">
        <v>130</v>
      </c>
      <c r="BG2668" s="0" t="s">
        <v>130</v>
      </c>
      <c r="BH2668" s="0" t="s">
        <v>130</v>
      </c>
      <c r="BI2668" s="0" t="s">
        <v>130</v>
      </c>
      <c r="BJ2668" s="0" t="s">
        <v>130</v>
      </c>
      <c r="BK2668" s="0" t="s">
        <v>130</v>
      </c>
      <c r="BL2668" s="0" t="s">
        <v>130</v>
      </c>
      <c r="BM2668" s="0" t="s">
        <v>130</v>
      </c>
      <c r="BN2668" s="0" t="s">
        <v>130</v>
      </c>
      <c r="BO2668" s="0" t="s">
        <v>130</v>
      </c>
      <c r="BP2668" s="0" t="s">
        <v>130</v>
      </c>
      <c r="BQ2668" s="0" t="s">
        <v>130</v>
      </c>
      <c r="BR2668" s="0" t="s">
        <v>130</v>
      </c>
      <c r="BS2668" s="0" t="s">
        <v>130</v>
      </c>
      <c r="BT2668" s="0" t="s">
        <v>130</v>
      </c>
      <c r="BU2668" s="0" t="s">
        <v>130</v>
      </c>
      <c r="BV2668" s="0" t="s">
        <v>130</v>
      </c>
      <c r="BW2668" s="0" t="s">
        <v>130</v>
      </c>
      <c r="BX2668" s="0" t="s">
        <v>130</v>
      </c>
      <c r="BY2668" s="0" t="s">
        <v>130</v>
      </c>
      <c r="BZ2668" s="0" t="s">
        <v>130</v>
      </c>
      <c r="CA2668" s="0" t="s">
        <v>130</v>
      </c>
      <c r="CB2668" s="0" t="s">
        <v>130</v>
      </c>
      <c r="CC2668" s="0" t="s">
        <v>130</v>
      </c>
      <c r="CD2668" s="0" t="s">
        <v>130</v>
      </c>
      <c r="CE2668" s="0" t="s">
        <v>130</v>
      </c>
      <c r="CF2668" s="0" t="s">
        <v>130</v>
      </c>
      <c r="CG2668" s="0" t="s">
        <v>130</v>
      </c>
      <c r="CH2668" s="0" t="s">
        <v>130</v>
      </c>
      <c r="CI2668" s="0" t="s">
        <v>130</v>
      </c>
      <c r="CJ2668" s="0" t="s">
        <v>130</v>
      </c>
      <c r="CK2668" s="0" t="s">
        <v>130</v>
      </c>
      <c r="CL2668" s="0" t="s">
        <v>130</v>
      </c>
      <c r="CM2668" s="0" t="s">
        <v>130</v>
      </c>
      <c r="CN2668" s="0" t="s">
        <v>130</v>
      </c>
      <c r="CO2668" s="0" t="s">
        <v>130</v>
      </c>
      <c r="CP2668" s="0" t="s">
        <v>130</v>
      </c>
      <c r="CQ2668" s="0" t="s">
        <v>130</v>
      </c>
      <c r="CR2668" s="0" t="s">
        <v>130</v>
      </c>
      <c r="CS2668" s="0" t="s">
        <v>130</v>
      </c>
      <c r="CT2668" s="0" t="s">
        <v>7213</v>
      </c>
    </row>
    <row r="2669">
      <c r="A2669" s="14">
        <v>7791092</v>
      </c>
      <c r="B2669" s="0" t="s">
        <v>3851</v>
      </c>
      <c r="C2669" s="16">
        <f>HYPERLINK("https://eosportal.federatedhermes.com/companies/Q29tcGFueQppODMyNjU=", "BYD Co Ltd")</f>
      </c>
      <c r="D2669" s="0" t="s">
        <v>23</v>
      </c>
      <c r="E2669" s="0" t="s">
        <v>7214</v>
      </c>
      <c r="F2669" s="16">
        <f>HYPERLINK("https://eosportal.federatedhermes.com/engagements/RW5nYWdlbWVudAppMzY0NjI=", "Supply chain human and labour rights policy and due diligence")</f>
      </c>
      <c r="G2669" s="14" t="s">
        <v>7215</v>
      </c>
      <c r="H2669" s="0" t="s">
        <v>141</v>
      </c>
      <c r="I2669" s="14" t="s">
        <v>191</v>
      </c>
      <c r="J2669" s="0" t="s">
        <v>153</v>
      </c>
      <c r="K2669" s="0" t="s">
        <v>243</v>
      </c>
      <c r="L2669" s="0" t="s">
        <v>244</v>
      </c>
      <c r="M2669" s="0" t="s">
        <v>2807</v>
      </c>
      <c r="N2669" s="0" t="s">
        <v>3272</v>
      </c>
      <c r="O2669" s="0" t="s">
        <v>425</v>
      </c>
      <c r="Q2669" s="0" t="s">
        <v>141</v>
      </c>
      <c r="R2669" s="0" t="s">
        <v>130</v>
      </c>
      <c r="S2669" s="14">
        <v>3</v>
      </c>
      <c r="T2669" s="0" t="s">
        <v>2842</v>
      </c>
      <c r="U2669" s="0" t="s">
        <v>221</v>
      </c>
      <c r="V2669" s="14" t="s">
        <v>2842</v>
      </c>
      <c r="W2669" s="0" t="s">
        <v>223</v>
      </c>
      <c r="X2669" s="14" t="s">
        <v>138</v>
      </c>
      <c r="Y2669" s="0" t="s">
        <v>224</v>
      </c>
      <c r="Z2669" s="14" t="s">
        <v>138</v>
      </c>
      <c r="AA2669" s="0" t="s">
        <v>224</v>
      </c>
      <c r="AB2669" s="14" t="s">
        <v>138</v>
      </c>
      <c r="AD2669" s="0" t="s">
        <v>14</v>
      </c>
      <c r="AF2669" s="0">
        <v>0</v>
      </c>
      <c r="AG2669" s="0">
        <v>0</v>
      </c>
      <c r="AH2669" s="0" t="s">
        <v>140</v>
      </c>
      <c r="AI2669" s="0" t="s">
        <v>232</v>
      </c>
      <c r="AK2669" s="0" t="s">
        <v>344</v>
      </c>
      <c r="AL2669" s="14"/>
      <c r="AN2669" s="14"/>
      <c r="AQ2669" s="0" t="s">
        <v>130</v>
      </c>
      <c r="AR2669" s="0" t="s">
        <v>130</v>
      </c>
      <c r="AS2669" s="0" t="s">
        <v>130</v>
      </c>
      <c r="AT2669" s="0" t="s">
        <v>130</v>
      </c>
      <c r="AU2669" s="0" t="s">
        <v>130</v>
      </c>
      <c r="AV2669" s="0" t="s">
        <v>130</v>
      </c>
      <c r="AW2669" s="0" t="s">
        <v>130</v>
      </c>
      <c r="AX2669" s="0" t="s">
        <v>141</v>
      </c>
      <c r="AY2669" s="0" t="s">
        <v>130</v>
      </c>
      <c r="AZ2669" s="0" t="s">
        <v>130</v>
      </c>
      <c r="BA2669" s="0" t="s">
        <v>130</v>
      </c>
      <c r="BB2669" s="0" t="s">
        <v>130</v>
      </c>
      <c r="BC2669" s="0" t="s">
        <v>130</v>
      </c>
      <c r="BD2669" s="0" t="s">
        <v>130</v>
      </c>
      <c r="BE2669" s="0" t="s">
        <v>130</v>
      </c>
      <c r="BF2669" s="0" t="s">
        <v>130</v>
      </c>
      <c r="BG2669" s="0" t="s">
        <v>130</v>
      </c>
      <c r="BH2669" s="0" t="s">
        <v>130</v>
      </c>
      <c r="BI2669" s="0" t="s">
        <v>130</v>
      </c>
      <c r="BJ2669" s="0" t="s">
        <v>130</v>
      </c>
      <c r="BK2669" s="0" t="s">
        <v>130</v>
      </c>
      <c r="BL2669" s="0" t="s">
        <v>130</v>
      </c>
      <c r="BM2669" s="0" t="s">
        <v>130</v>
      </c>
      <c r="BN2669" s="0" t="s">
        <v>130</v>
      </c>
      <c r="BO2669" s="0" t="s">
        <v>130</v>
      </c>
      <c r="BP2669" s="0" t="s">
        <v>130</v>
      </c>
      <c r="BQ2669" s="0" t="s">
        <v>130</v>
      </c>
      <c r="BR2669" s="0" t="s">
        <v>130</v>
      </c>
      <c r="BS2669" s="0" t="s">
        <v>130</v>
      </c>
      <c r="BT2669" s="0" t="s">
        <v>130</v>
      </c>
      <c r="BU2669" s="0" t="s">
        <v>130</v>
      </c>
      <c r="BV2669" s="0" t="s">
        <v>130</v>
      </c>
      <c r="BW2669" s="0" t="s">
        <v>130</v>
      </c>
      <c r="BX2669" s="0" t="s">
        <v>130</v>
      </c>
      <c r="BY2669" s="0" t="s">
        <v>130</v>
      </c>
      <c r="BZ2669" s="0" t="s">
        <v>130</v>
      </c>
      <c r="CA2669" s="0" t="s">
        <v>130</v>
      </c>
      <c r="CB2669" s="0" t="s">
        <v>130</v>
      </c>
      <c r="CC2669" s="0" t="s">
        <v>130</v>
      </c>
      <c r="CD2669" s="0" t="s">
        <v>130</v>
      </c>
      <c r="CE2669" s="0" t="s">
        <v>130</v>
      </c>
      <c r="CF2669" s="0" t="s">
        <v>130</v>
      </c>
      <c r="CG2669" s="0" t="s">
        <v>130</v>
      </c>
      <c r="CH2669" s="0" t="s">
        <v>130</v>
      </c>
      <c r="CI2669" s="0" t="s">
        <v>130</v>
      </c>
      <c r="CJ2669" s="0" t="s">
        <v>130</v>
      </c>
      <c r="CK2669" s="0" t="s">
        <v>130</v>
      </c>
      <c r="CL2669" s="0" t="s">
        <v>130</v>
      </c>
      <c r="CM2669" s="0" t="s">
        <v>141</v>
      </c>
      <c r="CN2669" s="0" t="s">
        <v>141</v>
      </c>
      <c r="CO2669" s="0" t="s">
        <v>130</v>
      </c>
      <c r="CP2669" s="0" t="s">
        <v>141</v>
      </c>
      <c r="CQ2669" s="0" t="s">
        <v>130</v>
      </c>
      <c r="CR2669" s="0" t="s">
        <v>130</v>
      </c>
      <c r="CS2669" s="0" t="s">
        <v>130</v>
      </c>
      <c r="CT2669" s="0" t="s">
        <v>7216</v>
      </c>
    </row>
    <row r="2670">
      <c r="A2670" s="14">
        <v>11583006</v>
      </c>
      <c r="B2670" s="0" t="s">
        <v>4054</v>
      </c>
      <c r="C2670" s="16">
        <f>HYPERLINK("https://eosportal.federatedhermes.com/companies/Q29tcGFueQppODUyMTc=", "Rexel SA")</f>
      </c>
      <c r="D2670" s="0" t="s">
        <v>23</v>
      </c>
      <c r="E2670" s="0" t="s">
        <v>6411</v>
      </c>
      <c r="F2670" s="16">
        <f>HYPERLINK("https://eosportal.federatedhermes.com/engagements/RW5nYWdlbWVudAppMzY1MDc=", "Decent work - living wages and decent employment")</f>
      </c>
      <c r="G2670" s="14" t="s">
        <v>7217</v>
      </c>
      <c r="H2670" s="0" t="s">
        <v>130</v>
      </c>
      <c r="I2670" s="14" t="s">
        <v>131</v>
      </c>
      <c r="J2670" s="0" t="s">
        <v>153</v>
      </c>
      <c r="K2670" s="0" t="s">
        <v>154</v>
      </c>
      <c r="L2670" s="0" t="s">
        <v>306</v>
      </c>
      <c r="M2670" s="0" t="s">
        <v>378</v>
      </c>
      <c r="N2670" s="0" t="s">
        <v>1646</v>
      </c>
      <c r="O2670" s="0" t="s">
        <v>176</v>
      </c>
      <c r="Q2670" s="0" t="s">
        <v>130</v>
      </c>
      <c r="R2670" s="0" t="s">
        <v>130</v>
      </c>
      <c r="S2670" s="14">
        <v>0</v>
      </c>
      <c r="T2670" s="0" t="s">
        <v>2842</v>
      </c>
      <c r="U2670" s="0" t="s">
        <v>221</v>
      </c>
      <c r="V2670" s="14" t="s">
        <v>2842</v>
      </c>
      <c r="W2670" s="0" t="s">
        <v>221</v>
      </c>
      <c r="X2670" s="14" t="s">
        <v>2842</v>
      </c>
      <c r="Y2670" s="0" t="s">
        <v>223</v>
      </c>
      <c r="Z2670" s="14" t="s">
        <v>138</v>
      </c>
      <c r="AA2670" s="0" t="s">
        <v>224</v>
      </c>
      <c r="AB2670" s="14" t="s">
        <v>138</v>
      </c>
      <c r="AD2670" s="0" t="s">
        <v>17</v>
      </c>
      <c r="AF2670" s="0">
        <v>0</v>
      </c>
      <c r="AG2670" s="0">
        <v>0</v>
      </c>
      <c r="AH2670" s="0" t="s">
        <v>140</v>
      </c>
      <c r="AI2670" s="0" t="s">
        <v>598</v>
      </c>
      <c r="AL2670" s="14"/>
      <c r="AN2670" s="14"/>
      <c r="AQ2670" s="0" t="s">
        <v>141</v>
      </c>
      <c r="AR2670" s="0" t="s">
        <v>130</v>
      </c>
      <c r="AS2670" s="0" t="s">
        <v>130</v>
      </c>
      <c r="AT2670" s="0" t="s">
        <v>130</v>
      </c>
      <c r="AU2670" s="0" t="s">
        <v>130</v>
      </c>
      <c r="AV2670" s="0" t="s">
        <v>130</v>
      </c>
      <c r="AW2670" s="0" t="s">
        <v>130</v>
      </c>
      <c r="AX2670" s="0" t="s">
        <v>141</v>
      </c>
      <c r="AY2670" s="0" t="s">
        <v>130</v>
      </c>
      <c r="AZ2670" s="0" t="s">
        <v>141</v>
      </c>
      <c r="BA2670" s="0" t="s">
        <v>130</v>
      </c>
      <c r="BB2670" s="0" t="s">
        <v>130</v>
      </c>
      <c r="BC2670" s="0" t="s">
        <v>130</v>
      </c>
      <c r="BD2670" s="0" t="s">
        <v>130</v>
      </c>
      <c r="BE2670" s="0" t="s">
        <v>130</v>
      </c>
      <c r="BF2670" s="0" t="s">
        <v>130</v>
      </c>
      <c r="BG2670" s="0" t="s">
        <v>130</v>
      </c>
      <c r="BH2670" s="0" t="s">
        <v>130</v>
      </c>
      <c r="BI2670" s="0" t="s">
        <v>130</v>
      </c>
      <c r="BJ2670" s="0" t="s">
        <v>130</v>
      </c>
      <c r="BK2670" s="0" t="s">
        <v>130</v>
      </c>
      <c r="BL2670" s="0" t="s">
        <v>130</v>
      </c>
      <c r="BM2670" s="0" t="s">
        <v>130</v>
      </c>
      <c r="BN2670" s="0" t="s">
        <v>130</v>
      </c>
      <c r="BO2670" s="0" t="s">
        <v>130</v>
      </c>
      <c r="BP2670" s="0" t="s">
        <v>130</v>
      </c>
      <c r="BQ2670" s="0" t="s">
        <v>130</v>
      </c>
      <c r="BR2670" s="0" t="s">
        <v>130</v>
      </c>
      <c r="BS2670" s="0" t="s">
        <v>130</v>
      </c>
      <c r="BT2670" s="0" t="s">
        <v>130</v>
      </c>
      <c r="BU2670" s="0" t="s">
        <v>130</v>
      </c>
      <c r="BV2670" s="0" t="s">
        <v>130</v>
      </c>
      <c r="BW2670" s="0" t="s">
        <v>130</v>
      </c>
      <c r="BX2670" s="0" t="s">
        <v>130</v>
      </c>
      <c r="BY2670" s="0" t="s">
        <v>130</v>
      </c>
      <c r="BZ2670" s="0" t="s">
        <v>130</v>
      </c>
      <c r="CA2670" s="0" t="s">
        <v>130</v>
      </c>
      <c r="CB2670" s="0" t="s">
        <v>130</v>
      </c>
      <c r="CC2670" s="0" t="s">
        <v>130</v>
      </c>
      <c r="CD2670" s="0" t="s">
        <v>130</v>
      </c>
      <c r="CE2670" s="0" t="s">
        <v>130</v>
      </c>
      <c r="CF2670" s="0" t="s">
        <v>130</v>
      </c>
      <c r="CG2670" s="0" t="s">
        <v>130</v>
      </c>
      <c r="CH2670" s="0" t="s">
        <v>130</v>
      </c>
      <c r="CI2670" s="0" t="s">
        <v>130</v>
      </c>
      <c r="CJ2670" s="0" t="s">
        <v>130</v>
      </c>
      <c r="CK2670" s="0" t="s">
        <v>130</v>
      </c>
      <c r="CL2670" s="0" t="s">
        <v>130</v>
      </c>
      <c r="CM2670" s="0" t="s">
        <v>130</v>
      </c>
      <c r="CN2670" s="0" t="s">
        <v>130</v>
      </c>
      <c r="CO2670" s="0" t="s">
        <v>130</v>
      </c>
      <c r="CP2670" s="0" t="s">
        <v>130</v>
      </c>
      <c r="CQ2670" s="0" t="s">
        <v>130</v>
      </c>
      <c r="CR2670" s="0" t="s">
        <v>130</v>
      </c>
      <c r="CS2670" s="0" t="s">
        <v>130</v>
      </c>
      <c r="CT2670" s="0" t="s">
        <v>7218</v>
      </c>
    </row>
    <row r="2671">
      <c r="A2671" s="14">
        <v>11583006</v>
      </c>
      <c r="B2671" s="0" t="s">
        <v>4054</v>
      </c>
      <c r="C2671" s="16">
        <f>HYPERLINK("https://eosportal.federatedhermes.com/companies/Q29tcGFueQppODUyMTc=", "Rexel SA")</f>
      </c>
      <c r="D2671" s="0" t="s">
        <v>23</v>
      </c>
      <c r="E2671" s="0" t="s">
        <v>7219</v>
      </c>
      <c r="F2671" s="16">
        <f>HYPERLINK("https://eosportal.federatedhermes.com/engagements/RW5nYWdlbWVudAppMzY1MDg=", "Health and safety policy and performance")</f>
      </c>
      <c r="G2671" s="14" t="s">
        <v>7220</v>
      </c>
      <c r="H2671" s="0" t="s">
        <v>130</v>
      </c>
      <c r="I2671" s="14" t="s">
        <v>131</v>
      </c>
      <c r="J2671" s="0" t="s">
        <v>153</v>
      </c>
      <c r="K2671" s="0" t="s">
        <v>154</v>
      </c>
      <c r="L2671" s="0" t="s">
        <v>155</v>
      </c>
      <c r="M2671" s="0" t="s">
        <v>378</v>
      </c>
      <c r="N2671" s="0" t="s">
        <v>1646</v>
      </c>
      <c r="O2671" s="0" t="s">
        <v>176</v>
      </c>
      <c r="Q2671" s="0" t="s">
        <v>130</v>
      </c>
      <c r="R2671" s="0" t="s">
        <v>130</v>
      </c>
      <c r="S2671" s="14">
        <v>0</v>
      </c>
      <c r="T2671" s="0" t="s">
        <v>2842</v>
      </c>
      <c r="U2671" s="0" t="s">
        <v>221</v>
      </c>
      <c r="V2671" s="14" t="s">
        <v>2842</v>
      </c>
      <c r="W2671" s="0" t="s">
        <v>221</v>
      </c>
      <c r="X2671" s="14" t="s">
        <v>2842</v>
      </c>
      <c r="Y2671" s="0" t="s">
        <v>221</v>
      </c>
      <c r="Z2671" s="14" t="s">
        <v>2428</v>
      </c>
      <c r="AA2671" s="0" t="s">
        <v>223</v>
      </c>
      <c r="AB2671" s="14" t="s">
        <v>138</v>
      </c>
      <c r="AD2671" s="0" t="s">
        <v>20</v>
      </c>
      <c r="AF2671" s="0">
        <v>0</v>
      </c>
      <c r="AG2671" s="0">
        <v>0</v>
      </c>
      <c r="AH2671" s="0" t="s">
        <v>140</v>
      </c>
      <c r="AI2671" s="0" t="s">
        <v>598</v>
      </c>
      <c r="AL2671" s="14"/>
      <c r="AN2671" s="14"/>
      <c r="AQ2671" s="0" t="s">
        <v>130</v>
      </c>
      <c r="AR2671" s="0" t="s">
        <v>130</v>
      </c>
      <c r="AS2671" s="0" t="s">
        <v>141</v>
      </c>
      <c r="AT2671" s="0" t="s">
        <v>130</v>
      </c>
      <c r="AU2671" s="0" t="s">
        <v>130</v>
      </c>
      <c r="AV2671" s="0" t="s">
        <v>130</v>
      </c>
      <c r="AW2671" s="0" t="s">
        <v>130</v>
      </c>
      <c r="AX2671" s="0" t="s">
        <v>141</v>
      </c>
      <c r="AY2671" s="0" t="s">
        <v>130</v>
      </c>
      <c r="AZ2671" s="0" t="s">
        <v>130</v>
      </c>
      <c r="BA2671" s="0" t="s">
        <v>130</v>
      </c>
      <c r="BB2671" s="0" t="s">
        <v>130</v>
      </c>
      <c r="BC2671" s="0" t="s">
        <v>130</v>
      </c>
      <c r="BD2671" s="0" t="s">
        <v>130</v>
      </c>
      <c r="BE2671" s="0" t="s">
        <v>130</v>
      </c>
      <c r="BF2671" s="0" t="s">
        <v>130</v>
      </c>
      <c r="BG2671" s="0" t="s">
        <v>130</v>
      </c>
      <c r="BH2671" s="0" t="s">
        <v>130</v>
      </c>
      <c r="BI2671" s="0" t="s">
        <v>130</v>
      </c>
      <c r="BJ2671" s="0" t="s">
        <v>130</v>
      </c>
      <c r="BK2671" s="0" t="s">
        <v>130</v>
      </c>
      <c r="BL2671" s="0" t="s">
        <v>130</v>
      </c>
      <c r="BM2671" s="0" t="s">
        <v>130</v>
      </c>
      <c r="BN2671" s="0" t="s">
        <v>130</v>
      </c>
      <c r="BO2671" s="0" t="s">
        <v>130</v>
      </c>
      <c r="BP2671" s="0" t="s">
        <v>130</v>
      </c>
      <c r="BQ2671" s="0" t="s">
        <v>130</v>
      </c>
      <c r="BR2671" s="0" t="s">
        <v>130</v>
      </c>
      <c r="BS2671" s="0" t="s">
        <v>130</v>
      </c>
      <c r="BT2671" s="0" t="s">
        <v>130</v>
      </c>
      <c r="BU2671" s="0" t="s">
        <v>130</v>
      </c>
      <c r="BV2671" s="0" t="s">
        <v>130</v>
      </c>
      <c r="BW2671" s="0" t="s">
        <v>130</v>
      </c>
      <c r="BX2671" s="0" t="s">
        <v>130</v>
      </c>
      <c r="BY2671" s="0" t="s">
        <v>130</v>
      </c>
      <c r="BZ2671" s="0" t="s">
        <v>130</v>
      </c>
      <c r="CA2671" s="0" t="s">
        <v>130</v>
      </c>
      <c r="CB2671" s="0" t="s">
        <v>130</v>
      </c>
      <c r="CC2671" s="0" t="s">
        <v>130</v>
      </c>
      <c r="CD2671" s="0" t="s">
        <v>130</v>
      </c>
      <c r="CE2671" s="0" t="s">
        <v>130</v>
      </c>
      <c r="CF2671" s="0" t="s">
        <v>130</v>
      </c>
      <c r="CG2671" s="0" t="s">
        <v>141</v>
      </c>
      <c r="CH2671" s="0" t="s">
        <v>141</v>
      </c>
      <c r="CI2671" s="0" t="s">
        <v>141</v>
      </c>
      <c r="CJ2671" s="0" t="s">
        <v>130</v>
      </c>
      <c r="CK2671" s="0" t="s">
        <v>130</v>
      </c>
      <c r="CL2671" s="0" t="s">
        <v>130</v>
      </c>
      <c r="CM2671" s="0" t="s">
        <v>130</v>
      </c>
      <c r="CN2671" s="0" t="s">
        <v>130</v>
      </c>
      <c r="CO2671" s="0" t="s">
        <v>130</v>
      </c>
      <c r="CP2671" s="0" t="s">
        <v>130</v>
      </c>
      <c r="CQ2671" s="0" t="s">
        <v>130</v>
      </c>
      <c r="CR2671" s="0" t="s">
        <v>130</v>
      </c>
      <c r="CS2671" s="0" t="s">
        <v>130</v>
      </c>
      <c r="CT2671" s="0" t="s">
        <v>7221</v>
      </c>
    </row>
    <row r="2672">
      <c r="A2672" s="14">
        <v>100232</v>
      </c>
      <c r="B2672" s="0" t="s">
        <v>368</v>
      </c>
      <c r="C2672" s="16">
        <f>HYPERLINK("https://eosportal.federatedhermes.com/companies/Q29tcGFueQppNjQzODg=", "BHP Group Ltd")</f>
      </c>
      <c r="D2672" s="0" t="s">
        <v>23</v>
      </c>
      <c r="E2672" s="0" t="s">
        <v>7222</v>
      </c>
      <c r="F2672" s="16">
        <f>HYPERLINK("https://eosportal.federatedhermes.com/engagements/RW5nYWdlbWVudAppMzY1MzA=", "Scope 3 emissions action plan")</f>
      </c>
      <c r="G2672" s="14" t="s">
        <v>7223</v>
      </c>
      <c r="H2672" s="0" t="s">
        <v>141</v>
      </c>
      <c r="I2672" s="14" t="s">
        <v>191</v>
      </c>
      <c r="J2672" s="0" t="s">
        <v>197</v>
      </c>
      <c r="K2672" s="0" t="s">
        <v>198</v>
      </c>
      <c r="L2672" s="0" t="s">
        <v>216</v>
      </c>
      <c r="M2672" s="0" t="s">
        <v>371</v>
      </c>
      <c r="N2672" s="0" t="s">
        <v>372</v>
      </c>
      <c r="O2672" s="0" t="s">
        <v>373</v>
      </c>
      <c r="Q2672" s="0" t="s">
        <v>141</v>
      </c>
      <c r="R2672" s="0" t="s">
        <v>141</v>
      </c>
      <c r="S2672" s="14">
        <v>1</v>
      </c>
      <c r="T2672" s="0" t="s">
        <v>3265</v>
      </c>
      <c r="U2672" s="0" t="s">
        <v>221</v>
      </c>
      <c r="V2672" s="14" t="s">
        <v>3265</v>
      </c>
      <c r="W2672" s="0" t="s">
        <v>221</v>
      </c>
      <c r="X2672" s="14" t="s">
        <v>361</v>
      </c>
      <c r="Y2672" s="0" t="s">
        <v>223</v>
      </c>
      <c r="Z2672" s="14" t="s">
        <v>138</v>
      </c>
      <c r="AA2672" s="0" t="s">
        <v>224</v>
      </c>
      <c r="AB2672" s="14" t="s">
        <v>138</v>
      </c>
      <c r="AC2672" s="0" t="s">
        <v>14</v>
      </c>
      <c r="AD2672" s="0" t="s">
        <v>17</v>
      </c>
      <c r="AE2672" s="0" t="s">
        <v>5508</v>
      </c>
      <c r="AF2672" s="0">
        <v>1</v>
      </c>
      <c r="AG2672" s="0">
        <v>0</v>
      </c>
      <c r="AH2672" s="0" t="s">
        <v>140</v>
      </c>
      <c r="AI2672" s="0" t="s">
        <v>598</v>
      </c>
      <c r="AK2672" s="0" t="s">
        <v>2569</v>
      </c>
      <c r="AL2672" s="14"/>
      <c r="AN2672" s="14"/>
      <c r="AQ2672" s="0" t="s">
        <v>130</v>
      </c>
      <c r="AR2672" s="0" t="s">
        <v>130</v>
      </c>
      <c r="AS2672" s="0" t="s">
        <v>130</v>
      </c>
      <c r="AT2672" s="0" t="s">
        <v>130</v>
      </c>
      <c r="AU2672" s="0" t="s">
        <v>130</v>
      </c>
      <c r="AV2672" s="0" t="s">
        <v>130</v>
      </c>
      <c r="AW2672" s="0" t="s">
        <v>141</v>
      </c>
      <c r="AX2672" s="0" t="s">
        <v>130</v>
      </c>
      <c r="AY2672" s="0" t="s">
        <v>130</v>
      </c>
      <c r="AZ2672" s="0" t="s">
        <v>130</v>
      </c>
      <c r="BA2672" s="0" t="s">
        <v>130</v>
      </c>
      <c r="BB2672" s="0" t="s">
        <v>130</v>
      </c>
      <c r="BC2672" s="0" t="s">
        <v>141</v>
      </c>
      <c r="BD2672" s="0" t="s">
        <v>130</v>
      </c>
      <c r="BE2672" s="0" t="s">
        <v>130</v>
      </c>
      <c r="BF2672" s="0" t="s">
        <v>130</v>
      </c>
      <c r="BG2672" s="0" t="s">
        <v>130</v>
      </c>
      <c r="BH2672" s="0" t="s">
        <v>141</v>
      </c>
      <c r="BI2672" s="0" t="s">
        <v>141</v>
      </c>
      <c r="BJ2672" s="0" t="s">
        <v>141</v>
      </c>
      <c r="BK2672" s="0" t="s">
        <v>130</v>
      </c>
      <c r="BL2672" s="0" t="s">
        <v>130</v>
      </c>
      <c r="BM2672" s="0" t="s">
        <v>130</v>
      </c>
      <c r="BN2672" s="0" t="s">
        <v>130</v>
      </c>
      <c r="BO2672" s="0" t="s">
        <v>130</v>
      </c>
      <c r="BP2672" s="0" t="s">
        <v>130</v>
      </c>
      <c r="BQ2672" s="0" t="s">
        <v>130</v>
      </c>
      <c r="BR2672" s="0" t="s">
        <v>130</v>
      </c>
      <c r="BS2672" s="0" t="s">
        <v>130</v>
      </c>
      <c r="BT2672" s="0" t="s">
        <v>130</v>
      </c>
      <c r="BU2672" s="0" t="s">
        <v>130</v>
      </c>
      <c r="BV2672" s="0" t="s">
        <v>141</v>
      </c>
      <c r="BW2672" s="0" t="s">
        <v>141</v>
      </c>
      <c r="BX2672" s="0" t="s">
        <v>130</v>
      </c>
      <c r="BY2672" s="0" t="s">
        <v>130</v>
      </c>
      <c r="BZ2672" s="0" t="s">
        <v>130</v>
      </c>
      <c r="CA2672" s="0" t="s">
        <v>130</v>
      </c>
      <c r="CB2672" s="0" t="s">
        <v>130</v>
      </c>
      <c r="CC2672" s="0" t="s">
        <v>130</v>
      </c>
      <c r="CD2672" s="0" t="s">
        <v>130</v>
      </c>
      <c r="CE2672" s="0" t="s">
        <v>130</v>
      </c>
      <c r="CF2672" s="0" t="s">
        <v>130</v>
      </c>
      <c r="CG2672" s="0" t="s">
        <v>130</v>
      </c>
      <c r="CH2672" s="0" t="s">
        <v>130</v>
      </c>
      <c r="CI2672" s="0" t="s">
        <v>130</v>
      </c>
      <c r="CJ2672" s="0" t="s">
        <v>130</v>
      </c>
      <c r="CK2672" s="0" t="s">
        <v>130</v>
      </c>
      <c r="CL2672" s="0" t="s">
        <v>130</v>
      </c>
      <c r="CM2672" s="0" t="s">
        <v>130</v>
      </c>
      <c r="CN2672" s="0" t="s">
        <v>130</v>
      </c>
      <c r="CO2672" s="0" t="s">
        <v>130</v>
      </c>
      <c r="CP2672" s="0" t="s">
        <v>130</v>
      </c>
      <c r="CQ2672" s="0" t="s">
        <v>130</v>
      </c>
      <c r="CR2672" s="0" t="s">
        <v>130</v>
      </c>
      <c r="CS2672" s="0" t="s">
        <v>130</v>
      </c>
      <c r="CT2672" s="0" t="s">
        <v>7224</v>
      </c>
    </row>
    <row r="2673">
      <c r="A2673" s="14">
        <v>328455</v>
      </c>
      <c r="B2673" s="0" t="s">
        <v>3655</v>
      </c>
      <c r="C2673" s="16">
        <f>HYPERLINK("https://eosportal.federatedhermes.com/companies/Q29tcGFueQppNjc3Mjk=", "Fortum OYJ")</f>
      </c>
      <c r="D2673" s="0" t="s">
        <v>23</v>
      </c>
      <c r="E2673" s="0" t="s">
        <v>7225</v>
      </c>
      <c r="F2673" s="16">
        <f>HYPERLINK("https://eosportal.federatedhermes.com/engagements/RW5nYWdlbWVudAppMzY1NDI=", "Supply chain methane emissions")</f>
      </c>
      <c r="G2673" s="14" t="s">
        <v>7226</v>
      </c>
      <c r="H2673" s="0" t="s">
        <v>130</v>
      </c>
      <c r="I2673" s="14" t="s">
        <v>319</v>
      </c>
      <c r="J2673" s="0" t="s">
        <v>197</v>
      </c>
      <c r="K2673" s="0" t="s">
        <v>198</v>
      </c>
      <c r="L2673" s="0" t="s">
        <v>216</v>
      </c>
      <c r="M2673" s="0" t="s">
        <v>378</v>
      </c>
      <c r="N2673" s="0" t="s">
        <v>3657</v>
      </c>
      <c r="O2673" s="0" t="s">
        <v>192</v>
      </c>
      <c r="Q2673" s="0" t="s">
        <v>141</v>
      </c>
      <c r="R2673" s="0" t="s">
        <v>130</v>
      </c>
      <c r="S2673" s="14">
        <v>1</v>
      </c>
      <c r="T2673" s="0" t="s">
        <v>3265</v>
      </c>
      <c r="U2673" s="0" t="s">
        <v>221</v>
      </c>
      <c r="V2673" s="14" t="s">
        <v>3265</v>
      </c>
      <c r="W2673" s="0" t="s">
        <v>223</v>
      </c>
      <c r="X2673" s="14" t="s">
        <v>138</v>
      </c>
      <c r="Y2673" s="0" t="s">
        <v>224</v>
      </c>
      <c r="Z2673" s="14" t="s">
        <v>138</v>
      </c>
      <c r="AA2673" s="0" t="s">
        <v>224</v>
      </c>
      <c r="AB2673" s="14" t="s">
        <v>138</v>
      </c>
      <c r="AD2673" s="0" t="s">
        <v>14</v>
      </c>
      <c r="AF2673" s="0">
        <v>0</v>
      </c>
      <c r="AG2673" s="0">
        <v>0</v>
      </c>
      <c r="AH2673" s="0" t="s">
        <v>140</v>
      </c>
      <c r="AI2673" s="0" t="s">
        <v>232</v>
      </c>
      <c r="AK2673" s="0" t="s">
        <v>847</v>
      </c>
      <c r="AL2673" s="14"/>
      <c r="AN2673" s="14"/>
      <c r="AQ2673" s="0" t="s">
        <v>130</v>
      </c>
      <c r="AR2673" s="0" t="s">
        <v>130</v>
      </c>
      <c r="AS2673" s="0" t="s">
        <v>130</v>
      </c>
      <c r="AT2673" s="0" t="s">
        <v>130</v>
      </c>
      <c r="AU2673" s="0" t="s">
        <v>130</v>
      </c>
      <c r="AV2673" s="0" t="s">
        <v>130</v>
      </c>
      <c r="AW2673" s="0" t="s">
        <v>141</v>
      </c>
      <c r="AX2673" s="0" t="s">
        <v>130</v>
      </c>
      <c r="AY2673" s="0" t="s">
        <v>130</v>
      </c>
      <c r="AZ2673" s="0" t="s">
        <v>130</v>
      </c>
      <c r="BA2673" s="0" t="s">
        <v>130</v>
      </c>
      <c r="BB2673" s="0" t="s">
        <v>130</v>
      </c>
      <c r="BC2673" s="0" t="s">
        <v>141</v>
      </c>
      <c r="BD2673" s="0" t="s">
        <v>130</v>
      </c>
      <c r="BE2673" s="0" t="s">
        <v>130</v>
      </c>
      <c r="BF2673" s="0" t="s">
        <v>130</v>
      </c>
      <c r="BG2673" s="0" t="s">
        <v>130</v>
      </c>
      <c r="BH2673" s="0" t="s">
        <v>141</v>
      </c>
      <c r="BI2673" s="0" t="s">
        <v>141</v>
      </c>
      <c r="BJ2673" s="0" t="s">
        <v>141</v>
      </c>
      <c r="BK2673" s="0" t="s">
        <v>130</v>
      </c>
      <c r="BL2673" s="0" t="s">
        <v>130</v>
      </c>
      <c r="BM2673" s="0" t="s">
        <v>130</v>
      </c>
      <c r="BN2673" s="0" t="s">
        <v>130</v>
      </c>
      <c r="BO2673" s="0" t="s">
        <v>130</v>
      </c>
      <c r="BP2673" s="0" t="s">
        <v>130</v>
      </c>
      <c r="BQ2673" s="0" t="s">
        <v>130</v>
      </c>
      <c r="BR2673" s="0" t="s">
        <v>130</v>
      </c>
      <c r="BS2673" s="0" t="s">
        <v>130</v>
      </c>
      <c r="BT2673" s="0" t="s">
        <v>130</v>
      </c>
      <c r="BU2673" s="0" t="s">
        <v>130</v>
      </c>
      <c r="BV2673" s="0" t="s">
        <v>141</v>
      </c>
      <c r="BW2673" s="0" t="s">
        <v>141</v>
      </c>
      <c r="BX2673" s="0" t="s">
        <v>130</v>
      </c>
      <c r="BY2673" s="0" t="s">
        <v>130</v>
      </c>
      <c r="BZ2673" s="0" t="s">
        <v>130</v>
      </c>
      <c r="CA2673" s="0" t="s">
        <v>130</v>
      </c>
      <c r="CB2673" s="0" t="s">
        <v>130</v>
      </c>
      <c r="CC2673" s="0" t="s">
        <v>130</v>
      </c>
      <c r="CD2673" s="0" t="s">
        <v>130</v>
      </c>
      <c r="CE2673" s="0" t="s">
        <v>130</v>
      </c>
      <c r="CF2673" s="0" t="s">
        <v>130</v>
      </c>
      <c r="CG2673" s="0" t="s">
        <v>130</v>
      </c>
      <c r="CH2673" s="0" t="s">
        <v>130</v>
      </c>
      <c r="CI2673" s="0" t="s">
        <v>130</v>
      </c>
      <c r="CJ2673" s="0" t="s">
        <v>130</v>
      </c>
      <c r="CK2673" s="0" t="s">
        <v>130</v>
      </c>
      <c r="CL2673" s="0" t="s">
        <v>130</v>
      </c>
      <c r="CM2673" s="0" t="s">
        <v>130</v>
      </c>
      <c r="CN2673" s="0" t="s">
        <v>130</v>
      </c>
      <c r="CO2673" s="0" t="s">
        <v>130</v>
      </c>
      <c r="CP2673" s="0" t="s">
        <v>130</v>
      </c>
      <c r="CQ2673" s="0" t="s">
        <v>130</v>
      </c>
      <c r="CR2673" s="0" t="s">
        <v>130</v>
      </c>
      <c r="CS2673" s="0" t="s">
        <v>130</v>
      </c>
      <c r="CT2673" s="0" t="s">
        <v>7227</v>
      </c>
    </row>
    <row r="2674">
      <c r="A2674" s="14">
        <v>153205</v>
      </c>
      <c r="B2674" s="0" t="s">
        <v>2912</v>
      </c>
      <c r="C2674" s="16">
        <f>HYPERLINK("https://eosportal.federatedhermes.com/companies/Q29tcGFueQppNDQzNzI=", "Japan Tobacco Inc")</f>
      </c>
      <c r="D2674" s="0" t="s">
        <v>25</v>
      </c>
      <c r="E2674" s="0" t="s">
        <v>7228</v>
      </c>
      <c r="F2674" s="16">
        <f>HYPERLINK("https://eosportal.federatedhermes.com/engagements/RW5nYWdlbWVudAppMzY1Nzk=", "Company to continue enhance its protection of biodiversity")</f>
      </c>
      <c r="G2674" s="14" t="s">
        <v>7229</v>
      </c>
      <c r="H2674" s="0" t="s">
        <v>130</v>
      </c>
      <c r="I2674" s="14" t="s">
        <v>319</v>
      </c>
      <c r="J2674" s="0" t="s">
        <v>197</v>
      </c>
      <c r="K2674" s="0" t="s">
        <v>337</v>
      </c>
      <c r="L2674" s="0" t="s">
        <v>576</v>
      </c>
      <c r="M2674" s="0" t="s">
        <v>802</v>
      </c>
      <c r="N2674" s="0" t="s">
        <v>952</v>
      </c>
      <c r="O2674" s="0" t="s">
        <v>332</v>
      </c>
      <c r="Q2674" s="0" t="s">
        <v>130</v>
      </c>
      <c r="R2674" s="0" t="s">
        <v>138</v>
      </c>
      <c r="S2674" s="14">
        <v>0</v>
      </c>
      <c r="T2674" s="0" t="s">
        <v>2842</v>
      </c>
      <c r="U2674" s="0" t="s">
        <v>138</v>
      </c>
      <c r="V2674" s="14" t="s">
        <v>138</v>
      </c>
      <c r="W2674" s="0" t="s">
        <v>138</v>
      </c>
      <c r="X2674" s="14" t="s">
        <v>138</v>
      </c>
      <c r="Y2674" s="0" t="s">
        <v>138</v>
      </c>
      <c r="Z2674" s="14" t="s">
        <v>138</v>
      </c>
      <c r="AA2674" s="0" t="s">
        <v>138</v>
      </c>
      <c r="AB2674" s="14" t="s">
        <v>138</v>
      </c>
      <c r="AD2674" s="0" t="s">
        <v>138</v>
      </c>
      <c r="AF2674" s="0">
        <v>0</v>
      </c>
      <c r="AG2674" s="0">
        <v>0</v>
      </c>
      <c r="AH2674" s="0" t="s">
        <v>140</v>
      </c>
      <c r="AI2674" s="0" t="s">
        <v>138</v>
      </c>
      <c r="AL2674" s="14"/>
      <c r="AN2674" s="14"/>
      <c r="AQ2674" s="0" t="s">
        <v>130</v>
      </c>
      <c r="AR2674" s="0" t="s">
        <v>130</v>
      </c>
      <c r="AS2674" s="0" t="s">
        <v>130</v>
      </c>
      <c r="AT2674" s="0" t="s">
        <v>130</v>
      </c>
      <c r="AU2674" s="0" t="s">
        <v>130</v>
      </c>
      <c r="AV2674" s="0" t="s">
        <v>130</v>
      </c>
      <c r="AW2674" s="0" t="s">
        <v>130</v>
      </c>
      <c r="AX2674" s="0" t="s">
        <v>130</v>
      </c>
      <c r="AY2674" s="0" t="s">
        <v>130</v>
      </c>
      <c r="AZ2674" s="0" t="s">
        <v>130</v>
      </c>
      <c r="BA2674" s="0" t="s">
        <v>130</v>
      </c>
      <c r="BB2674" s="0" t="s">
        <v>141</v>
      </c>
      <c r="BC2674" s="0" t="s">
        <v>141</v>
      </c>
      <c r="BD2674" s="0" t="s">
        <v>130</v>
      </c>
      <c r="BE2674" s="0" t="s">
        <v>141</v>
      </c>
      <c r="BF2674" s="0" t="s">
        <v>130</v>
      </c>
      <c r="BG2674" s="0" t="s">
        <v>130</v>
      </c>
      <c r="BH2674" s="0" t="s">
        <v>130</v>
      </c>
      <c r="BI2674" s="0" t="s">
        <v>130</v>
      </c>
      <c r="BJ2674" s="0" t="s">
        <v>130</v>
      </c>
      <c r="BK2674" s="0" t="s">
        <v>130</v>
      </c>
      <c r="BL2674" s="0" t="s">
        <v>130</v>
      </c>
      <c r="BM2674" s="0" t="s">
        <v>141</v>
      </c>
      <c r="BN2674" s="0" t="s">
        <v>130</v>
      </c>
      <c r="BO2674" s="0" t="s">
        <v>130</v>
      </c>
      <c r="BP2674" s="0" t="s">
        <v>130</v>
      </c>
      <c r="BQ2674" s="0" t="s">
        <v>130</v>
      </c>
      <c r="BR2674" s="0" t="s">
        <v>130</v>
      </c>
      <c r="BS2674" s="0" t="s">
        <v>130</v>
      </c>
      <c r="BT2674" s="0" t="s">
        <v>130</v>
      </c>
      <c r="BU2674" s="0" t="s">
        <v>130</v>
      </c>
      <c r="BV2674" s="0" t="s">
        <v>130</v>
      </c>
      <c r="BW2674" s="0" t="s">
        <v>130</v>
      </c>
      <c r="BX2674" s="0" t="s">
        <v>130</v>
      </c>
      <c r="BY2674" s="0" t="s">
        <v>130</v>
      </c>
      <c r="BZ2674" s="0" t="s">
        <v>130</v>
      </c>
      <c r="CA2674" s="0" t="s">
        <v>130</v>
      </c>
      <c r="CB2674" s="0" t="s">
        <v>141</v>
      </c>
      <c r="CC2674" s="0" t="s">
        <v>130</v>
      </c>
      <c r="CD2674" s="0" t="s">
        <v>130</v>
      </c>
      <c r="CE2674" s="0" t="s">
        <v>130</v>
      </c>
      <c r="CF2674" s="0" t="s">
        <v>130</v>
      </c>
      <c r="CG2674" s="0" t="s">
        <v>130</v>
      </c>
      <c r="CH2674" s="0" t="s">
        <v>130</v>
      </c>
      <c r="CI2674" s="0" t="s">
        <v>130</v>
      </c>
      <c r="CJ2674" s="0" t="s">
        <v>130</v>
      </c>
      <c r="CK2674" s="0" t="s">
        <v>130</v>
      </c>
      <c r="CL2674" s="0" t="s">
        <v>130</v>
      </c>
      <c r="CM2674" s="0" t="s">
        <v>130</v>
      </c>
      <c r="CN2674" s="0" t="s">
        <v>130</v>
      </c>
      <c r="CO2674" s="0" t="s">
        <v>130</v>
      </c>
      <c r="CP2674" s="0" t="s">
        <v>130</v>
      </c>
      <c r="CQ2674" s="0" t="s">
        <v>130</v>
      </c>
      <c r="CR2674" s="0" t="s">
        <v>130</v>
      </c>
      <c r="CS2674" s="0" t="s">
        <v>130</v>
      </c>
      <c r="CT2674" s="0" t="s">
        <v>7230</v>
      </c>
    </row>
    <row r="2675">
      <c r="A2675" s="14">
        <v>153205</v>
      </c>
      <c r="B2675" s="0" t="s">
        <v>2912</v>
      </c>
      <c r="C2675" s="16">
        <f>HYPERLINK("https://eosportal.federatedhermes.com/companies/Q29tcGFueQppNDQzNzI=", "Japan Tobacco Inc")</f>
      </c>
      <c r="D2675" s="0" t="s">
        <v>25</v>
      </c>
      <c r="E2675" s="0" t="s">
        <v>7231</v>
      </c>
      <c r="F2675" s="16">
        <f>HYPERLINK("https://eosportal.federatedhermes.com/engagements/RW5nYWdlbWVudAppMzY1ODA=", "Reduction of allegiant (strategic or cross) shareholdings")</f>
      </c>
      <c r="G2675" s="14" t="s">
        <v>7232</v>
      </c>
      <c r="H2675" s="0" t="s">
        <v>130</v>
      </c>
      <c r="I2675" s="14" t="s">
        <v>319</v>
      </c>
      <c r="J2675" s="0" t="s">
        <v>132</v>
      </c>
      <c r="K2675" s="0" t="s">
        <v>133</v>
      </c>
      <c r="L2675" s="0" t="s">
        <v>753</v>
      </c>
      <c r="M2675" s="0" t="s">
        <v>802</v>
      </c>
      <c r="N2675" s="0" t="s">
        <v>952</v>
      </c>
      <c r="O2675" s="0" t="s">
        <v>332</v>
      </c>
      <c r="Q2675" s="0" t="s">
        <v>130</v>
      </c>
      <c r="R2675" s="0" t="s">
        <v>138</v>
      </c>
      <c r="S2675" s="14">
        <v>0</v>
      </c>
      <c r="T2675" s="0" t="s">
        <v>2842</v>
      </c>
      <c r="U2675" s="0" t="s">
        <v>138</v>
      </c>
      <c r="V2675" s="14" t="s">
        <v>138</v>
      </c>
      <c r="W2675" s="0" t="s">
        <v>138</v>
      </c>
      <c r="X2675" s="14" t="s">
        <v>138</v>
      </c>
      <c r="Y2675" s="0" t="s">
        <v>138</v>
      </c>
      <c r="Z2675" s="14" t="s">
        <v>138</v>
      </c>
      <c r="AA2675" s="0" t="s">
        <v>138</v>
      </c>
      <c r="AB2675" s="14" t="s">
        <v>138</v>
      </c>
      <c r="AD2675" s="0" t="s">
        <v>138</v>
      </c>
      <c r="AF2675" s="0">
        <v>0</v>
      </c>
      <c r="AG2675" s="0">
        <v>0</v>
      </c>
      <c r="AH2675" s="0" t="s">
        <v>140</v>
      </c>
      <c r="AI2675" s="0" t="s">
        <v>138</v>
      </c>
      <c r="AL2675" s="14"/>
      <c r="AN2675" s="14"/>
      <c r="AQ2675" s="0" t="s">
        <v>130</v>
      </c>
      <c r="AR2675" s="0" t="s">
        <v>130</v>
      </c>
      <c r="AS2675" s="0" t="s">
        <v>130</v>
      </c>
      <c r="AT2675" s="0" t="s">
        <v>130</v>
      </c>
      <c r="AU2675" s="0" t="s">
        <v>130</v>
      </c>
      <c r="AV2675" s="0" t="s">
        <v>130</v>
      </c>
      <c r="AW2675" s="0" t="s">
        <v>130</v>
      </c>
      <c r="AX2675" s="0" t="s">
        <v>130</v>
      </c>
      <c r="AY2675" s="0" t="s">
        <v>130</v>
      </c>
      <c r="AZ2675" s="0" t="s">
        <v>130</v>
      </c>
      <c r="BA2675" s="0" t="s">
        <v>130</v>
      </c>
      <c r="BB2675" s="0" t="s">
        <v>130</v>
      </c>
      <c r="BC2675" s="0" t="s">
        <v>130</v>
      </c>
      <c r="BD2675" s="0" t="s">
        <v>130</v>
      </c>
      <c r="BE2675" s="0" t="s">
        <v>130</v>
      </c>
      <c r="BF2675" s="0" t="s">
        <v>130</v>
      </c>
      <c r="BG2675" s="0" t="s">
        <v>130</v>
      </c>
      <c r="BH2675" s="0" t="s">
        <v>130</v>
      </c>
      <c r="BI2675" s="0" t="s">
        <v>130</v>
      </c>
      <c r="BJ2675" s="0" t="s">
        <v>130</v>
      </c>
      <c r="BK2675" s="0" t="s">
        <v>130</v>
      </c>
      <c r="BL2675" s="0" t="s">
        <v>130</v>
      </c>
      <c r="BM2675" s="0" t="s">
        <v>130</v>
      </c>
      <c r="BN2675" s="0" t="s">
        <v>130</v>
      </c>
      <c r="BO2675" s="0" t="s">
        <v>130</v>
      </c>
      <c r="BP2675" s="0" t="s">
        <v>130</v>
      </c>
      <c r="BQ2675" s="0" t="s">
        <v>130</v>
      </c>
      <c r="BR2675" s="0" t="s">
        <v>130</v>
      </c>
      <c r="BS2675" s="0" t="s">
        <v>130</v>
      </c>
      <c r="BT2675" s="0" t="s">
        <v>130</v>
      </c>
      <c r="BU2675" s="0" t="s">
        <v>130</v>
      </c>
      <c r="BV2675" s="0" t="s">
        <v>130</v>
      </c>
      <c r="BW2675" s="0" t="s">
        <v>130</v>
      </c>
      <c r="BX2675" s="0" t="s">
        <v>130</v>
      </c>
      <c r="BY2675" s="0" t="s">
        <v>130</v>
      </c>
      <c r="BZ2675" s="0" t="s">
        <v>130</v>
      </c>
      <c r="CA2675" s="0" t="s">
        <v>130</v>
      </c>
      <c r="CB2675" s="0" t="s">
        <v>130</v>
      </c>
      <c r="CC2675" s="0" t="s">
        <v>130</v>
      </c>
      <c r="CD2675" s="0" t="s">
        <v>130</v>
      </c>
      <c r="CE2675" s="0" t="s">
        <v>130</v>
      </c>
      <c r="CF2675" s="0" t="s">
        <v>130</v>
      </c>
      <c r="CG2675" s="0" t="s">
        <v>130</v>
      </c>
      <c r="CH2675" s="0" t="s">
        <v>130</v>
      </c>
      <c r="CI2675" s="0" t="s">
        <v>130</v>
      </c>
      <c r="CJ2675" s="0" t="s">
        <v>130</v>
      </c>
      <c r="CK2675" s="0" t="s">
        <v>130</v>
      </c>
      <c r="CL2675" s="0" t="s">
        <v>130</v>
      </c>
      <c r="CM2675" s="0" t="s">
        <v>130</v>
      </c>
      <c r="CN2675" s="0" t="s">
        <v>130</v>
      </c>
      <c r="CO2675" s="0" t="s">
        <v>130</v>
      </c>
      <c r="CP2675" s="0" t="s">
        <v>130</v>
      </c>
      <c r="CQ2675" s="0" t="s">
        <v>130</v>
      </c>
      <c r="CR2675" s="0" t="s">
        <v>130</v>
      </c>
      <c r="CS2675" s="0" t="s">
        <v>130</v>
      </c>
      <c r="CT2675" s="0" t="s">
        <v>7233</v>
      </c>
    </row>
    <row r="2676">
      <c r="A2676" s="14">
        <v>112122</v>
      </c>
      <c r="B2676" s="0" t="s">
        <v>799</v>
      </c>
      <c r="C2676" s="16">
        <f>HYPERLINK("https://eosportal.federatedhermes.com/companies/Q29tcGFueQppNjMxMDk=", "Prudential PLC")</f>
      </c>
      <c r="D2676" s="0" t="s">
        <v>23</v>
      </c>
      <c r="E2676" s="0" t="s">
        <v>7234</v>
      </c>
      <c r="F2676" s="16">
        <f>HYPERLINK("https://eosportal.federatedhermes.com/engagements/RW5nYWdlbWVudAppMzY2MDQ=", "Remuneration policy redesign")</f>
      </c>
      <c r="G2676" s="14" t="s">
        <v>7235</v>
      </c>
      <c r="H2676" s="0" t="s">
        <v>130</v>
      </c>
      <c r="I2676" s="14" t="s">
        <v>319</v>
      </c>
      <c r="J2676" s="0" t="s">
        <v>145</v>
      </c>
      <c r="K2676" s="0" t="s">
        <v>146</v>
      </c>
      <c r="L2676" s="0" t="s">
        <v>147</v>
      </c>
      <c r="M2676" s="0" t="s">
        <v>802</v>
      </c>
      <c r="N2676" s="0" t="s">
        <v>803</v>
      </c>
      <c r="O2676" s="0" t="s">
        <v>238</v>
      </c>
      <c r="Q2676" s="0" t="s">
        <v>141</v>
      </c>
      <c r="R2676" s="0" t="s">
        <v>141</v>
      </c>
      <c r="S2676" s="14">
        <v>1</v>
      </c>
      <c r="T2676" s="0" t="s">
        <v>2842</v>
      </c>
      <c r="U2676" s="0" t="s">
        <v>221</v>
      </c>
      <c r="V2676" s="14" t="s">
        <v>2842</v>
      </c>
      <c r="W2676" s="0" t="s">
        <v>221</v>
      </c>
      <c r="X2676" s="14" t="s">
        <v>2842</v>
      </c>
      <c r="Y2676" s="0" t="s">
        <v>221</v>
      </c>
      <c r="Z2676" s="14" t="s">
        <v>361</v>
      </c>
      <c r="AA2676" s="0" t="s">
        <v>223</v>
      </c>
      <c r="AB2676" s="14" t="s">
        <v>138</v>
      </c>
      <c r="AC2676" s="0" t="s">
        <v>17</v>
      </c>
      <c r="AD2676" s="0" t="s">
        <v>20</v>
      </c>
      <c r="AE2676" s="0" t="s">
        <v>2266</v>
      </c>
      <c r="AF2676" s="0">
        <v>1</v>
      </c>
      <c r="AG2676" s="0">
        <v>0</v>
      </c>
      <c r="AH2676" s="0" t="s">
        <v>140</v>
      </c>
      <c r="AI2676" s="0" t="s">
        <v>598</v>
      </c>
      <c r="AK2676" s="0" t="s">
        <v>226</v>
      </c>
      <c r="AL2676" s="14"/>
      <c r="AN2676" s="14"/>
      <c r="AQ2676" s="0" t="s">
        <v>130</v>
      </c>
      <c r="AR2676" s="0" t="s">
        <v>130</v>
      </c>
      <c r="AS2676" s="0" t="s">
        <v>130</v>
      </c>
      <c r="AT2676" s="0" t="s">
        <v>130</v>
      </c>
      <c r="AU2676" s="0" t="s">
        <v>130</v>
      </c>
      <c r="AV2676" s="0" t="s">
        <v>130</v>
      </c>
      <c r="AW2676" s="0" t="s">
        <v>130</v>
      </c>
      <c r="AX2676" s="0" t="s">
        <v>130</v>
      </c>
      <c r="AY2676" s="0" t="s">
        <v>130</v>
      </c>
      <c r="AZ2676" s="0" t="s">
        <v>130</v>
      </c>
      <c r="BA2676" s="0" t="s">
        <v>130</v>
      </c>
      <c r="BB2676" s="0" t="s">
        <v>130</v>
      </c>
      <c r="BC2676" s="0" t="s">
        <v>130</v>
      </c>
      <c r="BD2676" s="0" t="s">
        <v>130</v>
      </c>
      <c r="BE2676" s="0" t="s">
        <v>130</v>
      </c>
      <c r="BF2676" s="0" t="s">
        <v>130</v>
      </c>
      <c r="BG2676" s="0" t="s">
        <v>130</v>
      </c>
      <c r="BH2676" s="0" t="s">
        <v>130</v>
      </c>
      <c r="BI2676" s="0" t="s">
        <v>130</v>
      </c>
      <c r="BJ2676" s="0" t="s">
        <v>130</v>
      </c>
      <c r="BK2676" s="0" t="s">
        <v>130</v>
      </c>
      <c r="BL2676" s="0" t="s">
        <v>130</v>
      </c>
      <c r="BM2676" s="0" t="s">
        <v>130</v>
      </c>
      <c r="BN2676" s="0" t="s">
        <v>130</v>
      </c>
      <c r="BO2676" s="0" t="s">
        <v>130</v>
      </c>
      <c r="BP2676" s="0" t="s">
        <v>130</v>
      </c>
      <c r="BQ2676" s="0" t="s">
        <v>130</v>
      </c>
      <c r="BR2676" s="0" t="s">
        <v>130</v>
      </c>
      <c r="BS2676" s="0" t="s">
        <v>130</v>
      </c>
      <c r="BT2676" s="0" t="s">
        <v>130</v>
      </c>
      <c r="BU2676" s="0" t="s">
        <v>130</v>
      </c>
      <c r="BV2676" s="0" t="s">
        <v>130</v>
      </c>
      <c r="BW2676" s="0" t="s">
        <v>130</v>
      </c>
      <c r="BX2676" s="0" t="s">
        <v>130</v>
      </c>
      <c r="BY2676" s="0" t="s">
        <v>130</v>
      </c>
      <c r="BZ2676" s="0" t="s">
        <v>130</v>
      </c>
      <c r="CA2676" s="0" t="s">
        <v>130</v>
      </c>
      <c r="CB2676" s="0" t="s">
        <v>130</v>
      </c>
      <c r="CC2676" s="0" t="s">
        <v>130</v>
      </c>
      <c r="CD2676" s="0" t="s">
        <v>130</v>
      </c>
      <c r="CE2676" s="0" t="s">
        <v>130</v>
      </c>
      <c r="CF2676" s="0" t="s">
        <v>130</v>
      </c>
      <c r="CG2676" s="0" t="s">
        <v>130</v>
      </c>
      <c r="CH2676" s="0" t="s">
        <v>130</v>
      </c>
      <c r="CI2676" s="0" t="s">
        <v>130</v>
      </c>
      <c r="CJ2676" s="0" t="s">
        <v>130</v>
      </c>
      <c r="CK2676" s="0" t="s">
        <v>130</v>
      </c>
      <c r="CL2676" s="0" t="s">
        <v>130</v>
      </c>
      <c r="CM2676" s="0" t="s">
        <v>130</v>
      </c>
      <c r="CN2676" s="0" t="s">
        <v>130</v>
      </c>
      <c r="CO2676" s="0" t="s">
        <v>130</v>
      </c>
      <c r="CP2676" s="0" t="s">
        <v>130</v>
      </c>
      <c r="CQ2676" s="0" t="s">
        <v>130</v>
      </c>
      <c r="CR2676" s="0" t="s">
        <v>130</v>
      </c>
      <c r="CS2676" s="0" t="s">
        <v>130</v>
      </c>
      <c r="CT2676" s="0" t="s">
        <v>7236</v>
      </c>
    </row>
    <row r="2677">
      <c r="A2677" s="14">
        <v>71820725</v>
      </c>
      <c r="B2677" s="0" t="s">
        <v>6788</v>
      </c>
      <c r="C2677" s="16">
        <f>HYPERLINK("https://eosportal.federatedhermes.com/companies/Q29tcGFueQppNDQxMzM=", "Agnico Eagle Mines Ltd")</f>
      </c>
      <c r="D2677" s="0" t="s">
        <v>25</v>
      </c>
      <c r="E2677" s="0" t="s">
        <v>7237</v>
      </c>
      <c r="F2677" s="16">
        <f>HYPERLINK("https://eosportal.federatedhermes.com/engagements/RW5nYWdlbWVudAppMzY2NzI=", "Gender pay gap analysis")</f>
      </c>
      <c r="G2677" s="14" t="s">
        <v>7238</v>
      </c>
      <c r="H2677" s="0" t="s">
        <v>130</v>
      </c>
      <c r="I2677" s="14" t="s">
        <v>319</v>
      </c>
      <c r="J2677" s="0" t="s">
        <v>153</v>
      </c>
      <c r="K2677" s="0" t="s">
        <v>154</v>
      </c>
      <c r="L2677" s="0" t="s">
        <v>306</v>
      </c>
      <c r="M2677" s="0" t="s">
        <v>135</v>
      </c>
      <c r="N2677" s="0" t="s">
        <v>1678</v>
      </c>
      <c r="O2677" s="0" t="s">
        <v>373</v>
      </c>
      <c r="Q2677" s="0" t="s">
        <v>130</v>
      </c>
      <c r="R2677" s="0" t="s">
        <v>138</v>
      </c>
      <c r="S2677" s="14">
        <v>0</v>
      </c>
      <c r="T2677" s="0" t="s">
        <v>2842</v>
      </c>
      <c r="U2677" s="0" t="s">
        <v>138</v>
      </c>
      <c r="V2677" s="14" t="s">
        <v>138</v>
      </c>
      <c r="W2677" s="0" t="s">
        <v>138</v>
      </c>
      <c r="X2677" s="14" t="s">
        <v>138</v>
      </c>
      <c r="Y2677" s="0" t="s">
        <v>138</v>
      </c>
      <c r="Z2677" s="14" t="s">
        <v>138</v>
      </c>
      <c r="AA2677" s="0" t="s">
        <v>138</v>
      </c>
      <c r="AB2677" s="14" t="s">
        <v>138</v>
      </c>
      <c r="AD2677" s="0" t="s">
        <v>138</v>
      </c>
      <c r="AF2677" s="0">
        <v>0</v>
      </c>
      <c r="AG2677" s="0">
        <v>0</v>
      </c>
      <c r="AH2677" s="0" t="s">
        <v>140</v>
      </c>
      <c r="AI2677" s="0" t="s">
        <v>138</v>
      </c>
      <c r="AL2677" s="14"/>
      <c r="AN2677" s="14"/>
      <c r="AQ2677" s="0" t="s">
        <v>141</v>
      </c>
      <c r="AR2677" s="0" t="s">
        <v>130</v>
      </c>
      <c r="AS2677" s="0" t="s">
        <v>130</v>
      </c>
      <c r="AT2677" s="0" t="s">
        <v>130</v>
      </c>
      <c r="AU2677" s="0" t="s">
        <v>130</v>
      </c>
      <c r="AV2677" s="0" t="s">
        <v>130</v>
      </c>
      <c r="AW2677" s="0" t="s">
        <v>130</v>
      </c>
      <c r="AX2677" s="0" t="s">
        <v>141</v>
      </c>
      <c r="AY2677" s="0" t="s">
        <v>130</v>
      </c>
      <c r="AZ2677" s="0" t="s">
        <v>141</v>
      </c>
      <c r="BA2677" s="0" t="s">
        <v>130</v>
      </c>
      <c r="BB2677" s="0" t="s">
        <v>130</v>
      </c>
      <c r="BC2677" s="0" t="s">
        <v>130</v>
      </c>
      <c r="BD2677" s="0" t="s">
        <v>130</v>
      </c>
      <c r="BE2677" s="0" t="s">
        <v>130</v>
      </c>
      <c r="BF2677" s="0" t="s">
        <v>130</v>
      </c>
      <c r="BG2677" s="0" t="s">
        <v>130</v>
      </c>
      <c r="BH2677" s="0" t="s">
        <v>130</v>
      </c>
      <c r="BI2677" s="0" t="s">
        <v>130</v>
      </c>
      <c r="BJ2677" s="0" t="s">
        <v>130</v>
      </c>
      <c r="BK2677" s="0" t="s">
        <v>130</v>
      </c>
      <c r="BL2677" s="0" t="s">
        <v>130</v>
      </c>
      <c r="BM2677" s="0" t="s">
        <v>130</v>
      </c>
      <c r="BN2677" s="0" t="s">
        <v>130</v>
      </c>
      <c r="BO2677" s="0" t="s">
        <v>130</v>
      </c>
      <c r="BP2677" s="0" t="s">
        <v>130</v>
      </c>
      <c r="BQ2677" s="0" t="s">
        <v>130</v>
      </c>
      <c r="BR2677" s="0" t="s">
        <v>130</v>
      </c>
      <c r="BS2677" s="0" t="s">
        <v>130</v>
      </c>
      <c r="BT2677" s="0" t="s">
        <v>130</v>
      </c>
      <c r="BU2677" s="0" t="s">
        <v>130</v>
      </c>
      <c r="BV2677" s="0" t="s">
        <v>130</v>
      </c>
      <c r="BW2677" s="0" t="s">
        <v>130</v>
      </c>
      <c r="BX2677" s="0" t="s">
        <v>130</v>
      </c>
      <c r="BY2677" s="0" t="s">
        <v>130</v>
      </c>
      <c r="BZ2677" s="0" t="s">
        <v>130</v>
      </c>
      <c r="CA2677" s="0" t="s">
        <v>130</v>
      </c>
      <c r="CB2677" s="0" t="s">
        <v>130</v>
      </c>
      <c r="CC2677" s="0" t="s">
        <v>130</v>
      </c>
      <c r="CD2677" s="0" t="s">
        <v>130</v>
      </c>
      <c r="CE2677" s="0" t="s">
        <v>130</v>
      </c>
      <c r="CF2677" s="0" t="s">
        <v>130</v>
      </c>
      <c r="CG2677" s="0" t="s">
        <v>130</v>
      </c>
      <c r="CH2677" s="0" t="s">
        <v>130</v>
      </c>
      <c r="CI2677" s="0" t="s">
        <v>130</v>
      </c>
      <c r="CJ2677" s="0" t="s">
        <v>130</v>
      </c>
      <c r="CK2677" s="0" t="s">
        <v>130</v>
      </c>
      <c r="CL2677" s="0" t="s">
        <v>130</v>
      </c>
      <c r="CM2677" s="0" t="s">
        <v>130</v>
      </c>
      <c r="CN2677" s="0" t="s">
        <v>130</v>
      </c>
      <c r="CO2677" s="0" t="s">
        <v>130</v>
      </c>
      <c r="CP2677" s="0" t="s">
        <v>130</v>
      </c>
      <c r="CQ2677" s="0" t="s">
        <v>130</v>
      </c>
      <c r="CR2677" s="0" t="s">
        <v>130</v>
      </c>
      <c r="CS2677" s="0" t="s">
        <v>130</v>
      </c>
      <c r="CT2677" s="0" t="s">
        <v>7239</v>
      </c>
    </row>
    <row r="2678">
      <c r="A2678" s="14">
        <v>46946968</v>
      </c>
      <c r="B2678" s="0" t="s">
        <v>4663</v>
      </c>
      <c r="C2678" s="16">
        <f>HYPERLINK("https://eosportal.federatedhermes.com/companies/Q29tcGFueQppNTE1MjI=", "Alphabet Inc")</f>
      </c>
      <c r="D2678" s="0" t="s">
        <v>25</v>
      </c>
      <c r="E2678" s="0" t="s">
        <v>7240</v>
      </c>
      <c r="F2678" s="16">
        <f>HYPERLINK("https://eosportal.federatedhermes.com/engagements/RW5nYWdlbWVudAppMzY3MTg=", "Cyber regulations")</f>
      </c>
      <c r="G2678" s="14" t="s">
        <v>7240</v>
      </c>
      <c r="H2678" s="0" t="s">
        <v>141</v>
      </c>
      <c r="I2678" s="14" t="s">
        <v>191</v>
      </c>
      <c r="J2678" s="0" t="s">
        <v>132</v>
      </c>
      <c r="K2678" s="0" t="s">
        <v>260</v>
      </c>
      <c r="L2678" s="0" t="s">
        <v>743</v>
      </c>
      <c r="M2678" s="0" t="s">
        <v>135</v>
      </c>
      <c r="N2678" s="0" t="s">
        <v>136</v>
      </c>
      <c r="O2678" s="0" t="s">
        <v>137</v>
      </c>
      <c r="Q2678" s="0" t="s">
        <v>130</v>
      </c>
      <c r="R2678" s="0" t="s">
        <v>138</v>
      </c>
      <c r="S2678" s="14">
        <v>0</v>
      </c>
      <c r="T2678" s="0" t="s">
        <v>2842</v>
      </c>
      <c r="U2678" s="0" t="s">
        <v>138</v>
      </c>
      <c r="V2678" s="14" t="s">
        <v>138</v>
      </c>
      <c r="W2678" s="0" t="s">
        <v>138</v>
      </c>
      <c r="X2678" s="14" t="s">
        <v>138</v>
      </c>
      <c r="Y2678" s="0" t="s">
        <v>138</v>
      </c>
      <c r="Z2678" s="14" t="s">
        <v>138</v>
      </c>
      <c r="AA2678" s="0" t="s">
        <v>138</v>
      </c>
      <c r="AB2678" s="14" t="s">
        <v>138</v>
      </c>
      <c r="AD2678" s="0" t="s">
        <v>138</v>
      </c>
      <c r="AF2678" s="0">
        <v>0</v>
      </c>
      <c r="AG2678" s="0">
        <v>0</v>
      </c>
      <c r="AH2678" s="0" t="s">
        <v>140</v>
      </c>
      <c r="AI2678" s="0" t="s">
        <v>138</v>
      </c>
      <c r="AL2678" s="14"/>
      <c r="AN2678" s="14"/>
      <c r="AQ2678" s="0" t="s">
        <v>130</v>
      </c>
      <c r="AR2678" s="0" t="s">
        <v>130</v>
      </c>
      <c r="AS2678" s="0" t="s">
        <v>130</v>
      </c>
      <c r="AT2678" s="0" t="s">
        <v>130</v>
      </c>
      <c r="AU2678" s="0" t="s">
        <v>130</v>
      </c>
      <c r="AV2678" s="0" t="s">
        <v>130</v>
      </c>
      <c r="AW2678" s="0" t="s">
        <v>130</v>
      </c>
      <c r="AX2678" s="0" t="s">
        <v>130</v>
      </c>
      <c r="AY2678" s="0" t="s">
        <v>130</v>
      </c>
      <c r="AZ2678" s="0" t="s">
        <v>130</v>
      </c>
      <c r="BA2678" s="0" t="s">
        <v>130</v>
      </c>
      <c r="BB2678" s="0" t="s">
        <v>130</v>
      </c>
      <c r="BC2678" s="0" t="s">
        <v>130</v>
      </c>
      <c r="BD2678" s="0" t="s">
        <v>130</v>
      </c>
      <c r="BE2678" s="0" t="s">
        <v>130</v>
      </c>
      <c r="BF2678" s="0" t="s">
        <v>130</v>
      </c>
      <c r="BG2678" s="0" t="s">
        <v>130</v>
      </c>
      <c r="BH2678" s="0" t="s">
        <v>130</v>
      </c>
      <c r="BI2678" s="0" t="s">
        <v>130</v>
      </c>
      <c r="BJ2678" s="0" t="s">
        <v>130</v>
      </c>
      <c r="BK2678" s="0" t="s">
        <v>130</v>
      </c>
      <c r="BL2678" s="0" t="s">
        <v>130</v>
      </c>
      <c r="BM2678" s="0" t="s">
        <v>130</v>
      </c>
      <c r="BN2678" s="0" t="s">
        <v>130</v>
      </c>
      <c r="BO2678" s="0" t="s">
        <v>130</v>
      </c>
      <c r="BP2678" s="0" t="s">
        <v>130</v>
      </c>
      <c r="BQ2678" s="0" t="s">
        <v>130</v>
      </c>
      <c r="BR2678" s="0" t="s">
        <v>130</v>
      </c>
      <c r="BS2678" s="0" t="s">
        <v>130</v>
      </c>
      <c r="BT2678" s="0" t="s">
        <v>130</v>
      </c>
      <c r="BU2678" s="0" t="s">
        <v>130</v>
      </c>
      <c r="BV2678" s="0" t="s">
        <v>130</v>
      </c>
      <c r="BW2678" s="0" t="s">
        <v>130</v>
      </c>
      <c r="BX2678" s="0" t="s">
        <v>130</v>
      </c>
      <c r="BY2678" s="0" t="s">
        <v>130</v>
      </c>
      <c r="BZ2678" s="0" t="s">
        <v>130</v>
      </c>
      <c r="CA2678" s="0" t="s">
        <v>130</v>
      </c>
      <c r="CB2678" s="0" t="s">
        <v>130</v>
      </c>
      <c r="CC2678" s="0" t="s">
        <v>130</v>
      </c>
      <c r="CD2678" s="0" t="s">
        <v>130</v>
      </c>
      <c r="CE2678" s="0" t="s">
        <v>130</v>
      </c>
      <c r="CF2678" s="0" t="s">
        <v>130</v>
      </c>
      <c r="CG2678" s="0" t="s">
        <v>130</v>
      </c>
      <c r="CH2678" s="0" t="s">
        <v>130</v>
      </c>
      <c r="CI2678" s="0" t="s">
        <v>130</v>
      </c>
      <c r="CJ2678" s="0" t="s">
        <v>130</v>
      </c>
      <c r="CK2678" s="0" t="s">
        <v>130</v>
      </c>
      <c r="CL2678" s="0" t="s">
        <v>130</v>
      </c>
      <c r="CM2678" s="0" t="s">
        <v>130</v>
      </c>
      <c r="CN2678" s="0" t="s">
        <v>130</v>
      </c>
      <c r="CO2678" s="0" t="s">
        <v>130</v>
      </c>
      <c r="CP2678" s="0" t="s">
        <v>130</v>
      </c>
      <c r="CQ2678" s="0" t="s">
        <v>130</v>
      </c>
      <c r="CR2678" s="0" t="s">
        <v>130</v>
      </c>
      <c r="CS2678" s="0" t="s">
        <v>130</v>
      </c>
      <c r="CT2678" s="0" t="s">
        <v>7241</v>
      </c>
    </row>
    <row r="2679">
      <c r="A2679" s="14">
        <v>100532</v>
      </c>
      <c r="B2679" s="0" t="s">
        <v>724</v>
      </c>
      <c r="C2679" s="16">
        <f>HYPERLINK("https://eosportal.federatedhermes.com/companies/Q29tcGFueQppNTQ1MDU=", "Entergy Corp")</f>
      </c>
      <c r="D2679" s="0" t="s">
        <v>25</v>
      </c>
      <c r="E2679" s="0" t="s">
        <v>7242</v>
      </c>
      <c r="F2679" s="16">
        <f>HYPERLINK("https://eosportal.federatedhermes.com/engagements/RW5nYWdlbWVudAppMzY3MTk=", "Water risk")</f>
      </c>
      <c r="G2679" s="14" t="s">
        <v>7243</v>
      </c>
      <c r="H2679" s="0" t="s">
        <v>141</v>
      </c>
      <c r="I2679" s="14" t="s">
        <v>636</v>
      </c>
      <c r="J2679" s="0" t="s">
        <v>197</v>
      </c>
      <c r="K2679" s="0" t="s">
        <v>337</v>
      </c>
      <c r="L2679" s="0" t="s">
        <v>338</v>
      </c>
      <c r="M2679" s="0" t="s">
        <v>135</v>
      </c>
      <c r="N2679" s="0" t="s">
        <v>136</v>
      </c>
      <c r="O2679" s="0" t="s">
        <v>192</v>
      </c>
      <c r="Q2679" s="0" t="s">
        <v>130</v>
      </c>
      <c r="R2679" s="0" t="s">
        <v>138</v>
      </c>
      <c r="S2679" s="14">
        <v>0</v>
      </c>
      <c r="T2679" s="0" t="s">
        <v>2842</v>
      </c>
      <c r="U2679" s="0" t="s">
        <v>138</v>
      </c>
      <c r="V2679" s="14" t="s">
        <v>138</v>
      </c>
      <c r="W2679" s="0" t="s">
        <v>138</v>
      </c>
      <c r="X2679" s="14" t="s">
        <v>138</v>
      </c>
      <c r="Y2679" s="0" t="s">
        <v>138</v>
      </c>
      <c r="Z2679" s="14" t="s">
        <v>138</v>
      </c>
      <c r="AA2679" s="0" t="s">
        <v>138</v>
      </c>
      <c r="AB2679" s="14" t="s">
        <v>138</v>
      </c>
      <c r="AD2679" s="0" t="s">
        <v>138</v>
      </c>
      <c r="AF2679" s="0">
        <v>0</v>
      </c>
      <c r="AG2679" s="0">
        <v>0</v>
      </c>
      <c r="AH2679" s="0" t="s">
        <v>140</v>
      </c>
      <c r="AI2679" s="0" t="s">
        <v>138</v>
      </c>
      <c r="AL2679" s="14"/>
      <c r="AN2679" s="14"/>
      <c r="AQ2679" s="0" t="s">
        <v>130</v>
      </c>
      <c r="AR2679" s="0" t="s">
        <v>130</v>
      </c>
      <c r="AS2679" s="0" t="s">
        <v>130</v>
      </c>
      <c r="AT2679" s="0" t="s">
        <v>130</v>
      </c>
      <c r="AU2679" s="0" t="s">
        <v>130</v>
      </c>
      <c r="AV2679" s="0" t="s">
        <v>141</v>
      </c>
      <c r="AW2679" s="0" t="s">
        <v>130</v>
      </c>
      <c r="AX2679" s="0" t="s">
        <v>130</v>
      </c>
      <c r="AY2679" s="0" t="s">
        <v>130</v>
      </c>
      <c r="AZ2679" s="0" t="s">
        <v>130</v>
      </c>
      <c r="BA2679" s="0" t="s">
        <v>130</v>
      </c>
      <c r="BB2679" s="0" t="s">
        <v>130</v>
      </c>
      <c r="BC2679" s="0" t="s">
        <v>130</v>
      </c>
      <c r="BD2679" s="0" t="s">
        <v>130</v>
      </c>
      <c r="BE2679" s="0" t="s">
        <v>130</v>
      </c>
      <c r="BF2679" s="0" t="s">
        <v>130</v>
      </c>
      <c r="BG2679" s="0" t="s">
        <v>130</v>
      </c>
      <c r="BH2679" s="0" t="s">
        <v>130</v>
      </c>
      <c r="BI2679" s="0" t="s">
        <v>130</v>
      </c>
      <c r="BJ2679" s="0" t="s">
        <v>130</v>
      </c>
      <c r="BK2679" s="0" t="s">
        <v>130</v>
      </c>
      <c r="BL2679" s="0" t="s">
        <v>130</v>
      </c>
      <c r="BM2679" s="0" t="s">
        <v>130</v>
      </c>
      <c r="BN2679" s="0" t="s">
        <v>130</v>
      </c>
      <c r="BO2679" s="0" t="s">
        <v>130</v>
      </c>
      <c r="BP2679" s="0" t="s">
        <v>130</v>
      </c>
      <c r="BQ2679" s="0" t="s">
        <v>130</v>
      </c>
      <c r="BR2679" s="0" t="s">
        <v>130</v>
      </c>
      <c r="BS2679" s="0" t="s">
        <v>130</v>
      </c>
      <c r="BT2679" s="0" t="s">
        <v>130</v>
      </c>
      <c r="BU2679" s="0" t="s">
        <v>130</v>
      </c>
      <c r="BV2679" s="0" t="s">
        <v>130</v>
      </c>
      <c r="BW2679" s="0" t="s">
        <v>130</v>
      </c>
      <c r="BX2679" s="0" t="s">
        <v>141</v>
      </c>
      <c r="BY2679" s="0" t="s">
        <v>130</v>
      </c>
      <c r="BZ2679" s="0" t="s">
        <v>130</v>
      </c>
      <c r="CA2679" s="0" t="s">
        <v>130</v>
      </c>
      <c r="CB2679" s="0" t="s">
        <v>130</v>
      </c>
      <c r="CC2679" s="0" t="s">
        <v>130</v>
      </c>
      <c r="CD2679" s="0" t="s">
        <v>130</v>
      </c>
      <c r="CE2679" s="0" t="s">
        <v>130</v>
      </c>
      <c r="CF2679" s="0" t="s">
        <v>130</v>
      </c>
      <c r="CG2679" s="0" t="s">
        <v>130</v>
      </c>
      <c r="CH2679" s="0" t="s">
        <v>130</v>
      </c>
      <c r="CI2679" s="0" t="s">
        <v>130</v>
      </c>
      <c r="CJ2679" s="0" t="s">
        <v>130</v>
      </c>
      <c r="CK2679" s="0" t="s">
        <v>130</v>
      </c>
      <c r="CL2679" s="0" t="s">
        <v>130</v>
      </c>
      <c r="CM2679" s="0" t="s">
        <v>130</v>
      </c>
      <c r="CN2679" s="0" t="s">
        <v>130</v>
      </c>
      <c r="CO2679" s="0" t="s">
        <v>130</v>
      </c>
      <c r="CP2679" s="0" t="s">
        <v>130</v>
      </c>
      <c r="CQ2679" s="0" t="s">
        <v>130</v>
      </c>
      <c r="CR2679" s="0" t="s">
        <v>130</v>
      </c>
      <c r="CS2679" s="0" t="s">
        <v>130</v>
      </c>
      <c r="CT2679" s="0" t="s">
        <v>7244</v>
      </c>
    </row>
    <row r="2680">
      <c r="A2680" s="14">
        <v>111129</v>
      </c>
      <c r="B2680" s="0" t="s">
        <v>329</v>
      </c>
      <c r="C2680" s="16">
        <f>HYPERLINK("https://eosportal.federatedhermes.com/companies/Q29tcGFueQppNzU3MjA=", "Associated British Foods PLC")</f>
      </c>
      <c r="D2680" s="0" t="s">
        <v>25</v>
      </c>
      <c r="E2680" s="0" t="s">
        <v>7245</v>
      </c>
      <c r="F2680" s="16">
        <f>HYPERLINK("https://eosportal.federatedhermes.com/engagements/RW5nYWdlbWVudAppMzY3MjE=", "ABF Lobbying and advocacy report")</f>
      </c>
      <c r="G2680" s="14" t="s">
        <v>7246</v>
      </c>
      <c r="H2680" s="0" t="s">
        <v>141</v>
      </c>
      <c r="I2680" s="14" t="s">
        <v>191</v>
      </c>
      <c r="J2680" s="0" t="s">
        <v>197</v>
      </c>
      <c r="K2680" s="0" t="s">
        <v>198</v>
      </c>
      <c r="L2680" s="0" t="s">
        <v>199</v>
      </c>
      <c r="M2680" s="0" t="s">
        <v>272</v>
      </c>
      <c r="N2680" s="0" t="s">
        <v>273</v>
      </c>
      <c r="O2680" s="0" t="s">
        <v>332</v>
      </c>
      <c r="Q2680" s="0" t="s">
        <v>130</v>
      </c>
      <c r="R2680" s="0" t="s">
        <v>138</v>
      </c>
      <c r="S2680" s="14">
        <v>0</v>
      </c>
      <c r="T2680" s="0" t="s">
        <v>2842</v>
      </c>
      <c r="U2680" s="0" t="s">
        <v>138</v>
      </c>
      <c r="V2680" s="14" t="s">
        <v>138</v>
      </c>
      <c r="W2680" s="0" t="s">
        <v>138</v>
      </c>
      <c r="X2680" s="14" t="s">
        <v>138</v>
      </c>
      <c r="Y2680" s="0" t="s">
        <v>138</v>
      </c>
      <c r="Z2680" s="14" t="s">
        <v>138</v>
      </c>
      <c r="AA2680" s="0" t="s">
        <v>138</v>
      </c>
      <c r="AB2680" s="14" t="s">
        <v>138</v>
      </c>
      <c r="AD2680" s="0" t="s">
        <v>138</v>
      </c>
      <c r="AF2680" s="0">
        <v>0</v>
      </c>
      <c r="AG2680" s="0">
        <v>0</v>
      </c>
      <c r="AH2680" s="0" t="s">
        <v>140</v>
      </c>
      <c r="AI2680" s="0" t="s">
        <v>138</v>
      </c>
      <c r="AL2680" s="14"/>
      <c r="AN2680" s="14"/>
      <c r="AQ2680" s="0" t="s">
        <v>130</v>
      </c>
      <c r="AR2680" s="0" t="s">
        <v>130</v>
      </c>
      <c r="AS2680" s="0" t="s">
        <v>130</v>
      </c>
      <c r="AT2680" s="0" t="s">
        <v>130</v>
      </c>
      <c r="AU2680" s="0" t="s">
        <v>130</v>
      </c>
      <c r="AV2680" s="0" t="s">
        <v>130</v>
      </c>
      <c r="AW2680" s="0" t="s">
        <v>130</v>
      </c>
      <c r="AX2680" s="0" t="s">
        <v>130</v>
      </c>
      <c r="AY2680" s="0" t="s">
        <v>130</v>
      </c>
      <c r="AZ2680" s="0" t="s">
        <v>130</v>
      </c>
      <c r="BA2680" s="0" t="s">
        <v>130</v>
      </c>
      <c r="BB2680" s="0" t="s">
        <v>141</v>
      </c>
      <c r="BC2680" s="0" t="s">
        <v>141</v>
      </c>
      <c r="BD2680" s="0" t="s">
        <v>130</v>
      </c>
      <c r="BE2680" s="0" t="s">
        <v>130</v>
      </c>
      <c r="BF2680" s="0" t="s">
        <v>130</v>
      </c>
      <c r="BG2680" s="0" t="s">
        <v>130</v>
      </c>
      <c r="BH2680" s="0" t="s">
        <v>130</v>
      </c>
      <c r="BI2680" s="0" t="s">
        <v>130</v>
      </c>
      <c r="BJ2680" s="0" t="s">
        <v>130</v>
      </c>
      <c r="BK2680" s="0" t="s">
        <v>130</v>
      </c>
      <c r="BL2680" s="0" t="s">
        <v>130</v>
      </c>
      <c r="BM2680" s="0" t="s">
        <v>130</v>
      </c>
      <c r="BN2680" s="0" t="s">
        <v>130</v>
      </c>
      <c r="BO2680" s="0" t="s">
        <v>130</v>
      </c>
      <c r="BP2680" s="0" t="s">
        <v>130</v>
      </c>
      <c r="BQ2680" s="0" t="s">
        <v>130</v>
      </c>
      <c r="BR2680" s="0" t="s">
        <v>130</v>
      </c>
      <c r="BS2680" s="0" t="s">
        <v>130</v>
      </c>
      <c r="BT2680" s="0" t="s">
        <v>130</v>
      </c>
      <c r="BU2680" s="0" t="s">
        <v>130</v>
      </c>
      <c r="BV2680" s="0" t="s">
        <v>130</v>
      </c>
      <c r="BW2680" s="0" t="s">
        <v>130</v>
      </c>
      <c r="BX2680" s="0" t="s">
        <v>130</v>
      </c>
      <c r="BY2680" s="0" t="s">
        <v>130</v>
      </c>
      <c r="BZ2680" s="0" t="s">
        <v>130</v>
      </c>
      <c r="CA2680" s="0" t="s">
        <v>130</v>
      </c>
      <c r="CB2680" s="0" t="s">
        <v>130</v>
      </c>
      <c r="CC2680" s="0" t="s">
        <v>130</v>
      </c>
      <c r="CD2680" s="0" t="s">
        <v>130</v>
      </c>
      <c r="CE2680" s="0" t="s">
        <v>130</v>
      </c>
      <c r="CF2680" s="0" t="s">
        <v>130</v>
      </c>
      <c r="CG2680" s="0" t="s">
        <v>130</v>
      </c>
      <c r="CH2680" s="0" t="s">
        <v>130</v>
      </c>
      <c r="CI2680" s="0" t="s">
        <v>130</v>
      </c>
      <c r="CJ2680" s="0" t="s">
        <v>130</v>
      </c>
      <c r="CK2680" s="0" t="s">
        <v>130</v>
      </c>
      <c r="CL2680" s="0" t="s">
        <v>130</v>
      </c>
      <c r="CM2680" s="0" t="s">
        <v>130</v>
      </c>
      <c r="CN2680" s="0" t="s">
        <v>130</v>
      </c>
      <c r="CO2680" s="0" t="s">
        <v>130</v>
      </c>
      <c r="CP2680" s="0" t="s">
        <v>130</v>
      </c>
      <c r="CQ2680" s="0" t="s">
        <v>130</v>
      </c>
      <c r="CR2680" s="0" t="s">
        <v>130</v>
      </c>
      <c r="CS2680" s="0" t="s">
        <v>130</v>
      </c>
      <c r="CT2680" s="0" t="s">
        <v>7247</v>
      </c>
    </row>
    <row r="2681">
      <c r="A2681" s="14">
        <v>8779219</v>
      </c>
      <c r="B2681" s="0" t="s">
        <v>3920</v>
      </c>
      <c r="C2681" s="16">
        <f>HYPERLINK("https://eosportal.federatedhermes.com/companies/Q29tcGFueQppNTIxNzU=", "T-Mobile US Inc")</f>
      </c>
      <c r="D2681" s="0" t="s">
        <v>23</v>
      </c>
      <c r="E2681" s="0" t="s">
        <v>6118</v>
      </c>
      <c r="F2681" s="16">
        <f>HYPERLINK("https://eosportal.federatedhermes.com/engagements/RW5nYWdlbWVudAppMzY3MzY=", "Workforce metrics disclosure")</f>
      </c>
      <c r="G2681" s="14" t="s">
        <v>7248</v>
      </c>
      <c r="H2681" s="0" t="s">
        <v>141</v>
      </c>
      <c r="I2681" s="14" t="s">
        <v>636</v>
      </c>
      <c r="J2681" s="0" t="s">
        <v>153</v>
      </c>
      <c r="K2681" s="0" t="s">
        <v>154</v>
      </c>
      <c r="L2681" s="0" t="s">
        <v>268</v>
      </c>
      <c r="M2681" s="0" t="s">
        <v>135</v>
      </c>
      <c r="N2681" s="0" t="s">
        <v>136</v>
      </c>
      <c r="O2681" s="0" t="s">
        <v>137</v>
      </c>
      <c r="Q2681" s="0" t="s">
        <v>141</v>
      </c>
      <c r="R2681" s="0" t="s">
        <v>130</v>
      </c>
      <c r="S2681" s="14">
        <v>1</v>
      </c>
      <c r="T2681" s="0" t="s">
        <v>2842</v>
      </c>
      <c r="U2681" s="0" t="s">
        <v>221</v>
      </c>
      <c r="V2681" s="14" t="s">
        <v>2842</v>
      </c>
      <c r="W2681" s="0" t="s">
        <v>221</v>
      </c>
      <c r="X2681" s="14" t="s">
        <v>4412</v>
      </c>
      <c r="Y2681" s="0" t="s">
        <v>223</v>
      </c>
      <c r="Z2681" s="14" t="s">
        <v>138</v>
      </c>
      <c r="AA2681" s="0" t="s">
        <v>224</v>
      </c>
      <c r="AB2681" s="14" t="s">
        <v>138</v>
      </c>
      <c r="AD2681" s="0" t="s">
        <v>17</v>
      </c>
      <c r="AF2681" s="0">
        <v>0</v>
      </c>
      <c r="AG2681" s="0">
        <v>0</v>
      </c>
      <c r="AH2681" s="0" t="s">
        <v>140</v>
      </c>
      <c r="AI2681" s="0" t="s">
        <v>598</v>
      </c>
      <c r="AK2681" s="0" t="s">
        <v>1470</v>
      </c>
      <c r="AL2681" s="14"/>
      <c r="AN2681" s="14"/>
      <c r="AQ2681" s="0" t="s">
        <v>130</v>
      </c>
      <c r="AR2681" s="0" t="s">
        <v>130</v>
      </c>
      <c r="AS2681" s="0" t="s">
        <v>130</v>
      </c>
      <c r="AT2681" s="0" t="s">
        <v>130</v>
      </c>
      <c r="AU2681" s="0" t="s">
        <v>141</v>
      </c>
      <c r="AV2681" s="0" t="s">
        <v>130</v>
      </c>
      <c r="AW2681" s="0" t="s">
        <v>130</v>
      </c>
      <c r="AX2681" s="0" t="s">
        <v>141</v>
      </c>
      <c r="AY2681" s="0" t="s">
        <v>130</v>
      </c>
      <c r="AZ2681" s="0" t="s">
        <v>141</v>
      </c>
      <c r="BA2681" s="0" t="s">
        <v>130</v>
      </c>
      <c r="BB2681" s="0" t="s">
        <v>130</v>
      </c>
      <c r="BC2681" s="0" t="s">
        <v>130</v>
      </c>
      <c r="BD2681" s="0" t="s">
        <v>130</v>
      </c>
      <c r="BE2681" s="0" t="s">
        <v>130</v>
      </c>
      <c r="BF2681" s="0" t="s">
        <v>130</v>
      </c>
      <c r="BG2681" s="0" t="s">
        <v>130</v>
      </c>
      <c r="BH2681" s="0" t="s">
        <v>130</v>
      </c>
      <c r="BI2681" s="0" t="s">
        <v>130</v>
      </c>
      <c r="BJ2681" s="0" t="s">
        <v>130</v>
      </c>
      <c r="BK2681" s="0" t="s">
        <v>130</v>
      </c>
      <c r="BL2681" s="0" t="s">
        <v>130</v>
      </c>
      <c r="BM2681" s="0" t="s">
        <v>130</v>
      </c>
      <c r="BN2681" s="0" t="s">
        <v>130</v>
      </c>
      <c r="BO2681" s="0" t="s">
        <v>130</v>
      </c>
      <c r="BP2681" s="0" t="s">
        <v>130</v>
      </c>
      <c r="BQ2681" s="0" t="s">
        <v>130</v>
      </c>
      <c r="BR2681" s="0" t="s">
        <v>130</v>
      </c>
      <c r="BS2681" s="0" t="s">
        <v>130</v>
      </c>
      <c r="BT2681" s="0" t="s">
        <v>130</v>
      </c>
      <c r="BU2681" s="0" t="s">
        <v>130</v>
      </c>
      <c r="BV2681" s="0" t="s">
        <v>130</v>
      </c>
      <c r="BW2681" s="0" t="s">
        <v>130</v>
      </c>
      <c r="BX2681" s="0" t="s">
        <v>130</v>
      </c>
      <c r="BY2681" s="0" t="s">
        <v>130</v>
      </c>
      <c r="BZ2681" s="0" t="s">
        <v>130</v>
      </c>
      <c r="CA2681" s="0" t="s">
        <v>130</v>
      </c>
      <c r="CB2681" s="0" t="s">
        <v>130</v>
      </c>
      <c r="CC2681" s="0" t="s">
        <v>130</v>
      </c>
      <c r="CD2681" s="0" t="s">
        <v>130</v>
      </c>
      <c r="CE2681" s="0" t="s">
        <v>130</v>
      </c>
      <c r="CF2681" s="0" t="s">
        <v>130</v>
      </c>
      <c r="CG2681" s="0" t="s">
        <v>130</v>
      </c>
      <c r="CH2681" s="0" t="s">
        <v>130</v>
      </c>
      <c r="CI2681" s="0" t="s">
        <v>130</v>
      </c>
      <c r="CJ2681" s="0" t="s">
        <v>130</v>
      </c>
      <c r="CK2681" s="0" t="s">
        <v>141</v>
      </c>
      <c r="CL2681" s="0" t="s">
        <v>130</v>
      </c>
      <c r="CM2681" s="0" t="s">
        <v>130</v>
      </c>
      <c r="CN2681" s="0" t="s">
        <v>130</v>
      </c>
      <c r="CO2681" s="0" t="s">
        <v>130</v>
      </c>
      <c r="CP2681" s="0" t="s">
        <v>130</v>
      </c>
      <c r="CQ2681" s="0" t="s">
        <v>130</v>
      </c>
      <c r="CR2681" s="0" t="s">
        <v>130</v>
      </c>
      <c r="CS2681" s="0" t="s">
        <v>130</v>
      </c>
      <c r="CT2681" s="0" t="s">
        <v>7249</v>
      </c>
    </row>
    <row r="2682">
      <c r="A2682" s="14">
        <v>101491</v>
      </c>
      <c r="B2682" s="0" t="s">
        <v>1642</v>
      </c>
      <c r="C2682" s="16">
        <f>HYPERLINK("https://eosportal.federatedhermes.com/companies/Q29tcGFueQppNjMzMzM=", "TotalEnergies SE")</f>
      </c>
      <c r="D2682" s="0" t="s">
        <v>23</v>
      </c>
      <c r="E2682" s="0" t="s">
        <v>7250</v>
      </c>
      <c r="F2682" s="16">
        <f>HYPERLINK("https://eosportal.federatedhermes.com/engagements/RW5nYWdlbWVudAppMzY3Mzg=", "Improved biodiversity targets for Uganda operations")</f>
      </c>
      <c r="G2682" s="14" t="s">
        <v>7251</v>
      </c>
      <c r="H2682" s="0" t="s">
        <v>141</v>
      </c>
      <c r="I2682" s="14" t="s">
        <v>1645</v>
      </c>
      <c r="J2682" s="0" t="s">
        <v>197</v>
      </c>
      <c r="K2682" s="0" t="s">
        <v>337</v>
      </c>
      <c r="L2682" s="0" t="s">
        <v>576</v>
      </c>
      <c r="M2682" s="0" t="s">
        <v>378</v>
      </c>
      <c r="N2682" s="0" t="s">
        <v>1646</v>
      </c>
      <c r="O2682" s="0" t="s">
        <v>542</v>
      </c>
      <c r="Q2682" s="0" t="s">
        <v>141</v>
      </c>
      <c r="R2682" s="0" t="s">
        <v>141</v>
      </c>
      <c r="S2682" s="14">
        <v>2</v>
      </c>
      <c r="T2682" s="0" t="s">
        <v>446</v>
      </c>
      <c r="U2682" s="0" t="s">
        <v>221</v>
      </c>
      <c r="V2682" s="14" t="s">
        <v>446</v>
      </c>
      <c r="W2682" s="0" t="s">
        <v>221</v>
      </c>
      <c r="X2682" s="14" t="s">
        <v>2842</v>
      </c>
      <c r="Y2682" s="0" t="s">
        <v>221</v>
      </c>
      <c r="Z2682" s="14" t="s">
        <v>361</v>
      </c>
      <c r="AA2682" s="0" t="s">
        <v>223</v>
      </c>
      <c r="AB2682" s="14" t="s">
        <v>138</v>
      </c>
      <c r="AC2682" s="0" t="s">
        <v>17</v>
      </c>
      <c r="AD2682" s="0" t="s">
        <v>20</v>
      </c>
      <c r="AE2682" s="0" t="s">
        <v>2266</v>
      </c>
      <c r="AF2682" s="0">
        <v>1</v>
      </c>
      <c r="AG2682" s="0">
        <v>0</v>
      </c>
      <c r="AH2682" s="0" t="s">
        <v>140</v>
      </c>
      <c r="AI2682" s="0" t="s">
        <v>598</v>
      </c>
      <c r="AK2682" s="0" t="s">
        <v>2976</v>
      </c>
      <c r="AL2682" s="14"/>
      <c r="AN2682" s="14"/>
      <c r="AQ2682" s="0" t="s">
        <v>130</v>
      </c>
      <c r="AR2682" s="0" t="s">
        <v>130</v>
      </c>
      <c r="AS2682" s="0" t="s">
        <v>130</v>
      </c>
      <c r="AT2682" s="0" t="s">
        <v>130</v>
      </c>
      <c r="AU2682" s="0" t="s">
        <v>130</v>
      </c>
      <c r="AV2682" s="0" t="s">
        <v>130</v>
      </c>
      <c r="AW2682" s="0" t="s">
        <v>130</v>
      </c>
      <c r="AX2682" s="0" t="s">
        <v>130</v>
      </c>
      <c r="AY2682" s="0" t="s">
        <v>130</v>
      </c>
      <c r="AZ2682" s="0" t="s">
        <v>130</v>
      </c>
      <c r="BA2682" s="0" t="s">
        <v>130</v>
      </c>
      <c r="BB2682" s="0" t="s">
        <v>141</v>
      </c>
      <c r="BC2682" s="0" t="s">
        <v>130</v>
      </c>
      <c r="BD2682" s="0" t="s">
        <v>130</v>
      </c>
      <c r="BE2682" s="0" t="s">
        <v>141</v>
      </c>
      <c r="BF2682" s="0" t="s">
        <v>130</v>
      </c>
      <c r="BG2682" s="0" t="s">
        <v>130</v>
      </c>
      <c r="BH2682" s="0" t="s">
        <v>130</v>
      </c>
      <c r="BI2682" s="0" t="s">
        <v>130</v>
      </c>
      <c r="BJ2682" s="0" t="s">
        <v>130</v>
      </c>
      <c r="BK2682" s="0" t="s">
        <v>130</v>
      </c>
      <c r="BL2682" s="0" t="s">
        <v>130</v>
      </c>
      <c r="BM2682" s="0" t="s">
        <v>141</v>
      </c>
      <c r="BN2682" s="0" t="s">
        <v>130</v>
      </c>
      <c r="BO2682" s="0" t="s">
        <v>130</v>
      </c>
      <c r="BP2682" s="0" t="s">
        <v>130</v>
      </c>
      <c r="BQ2682" s="0" t="s">
        <v>130</v>
      </c>
      <c r="BR2682" s="0" t="s">
        <v>130</v>
      </c>
      <c r="BS2682" s="0" t="s">
        <v>130</v>
      </c>
      <c r="BT2682" s="0" t="s">
        <v>130</v>
      </c>
      <c r="BU2682" s="0" t="s">
        <v>130</v>
      </c>
      <c r="BV2682" s="0" t="s">
        <v>130</v>
      </c>
      <c r="BW2682" s="0" t="s">
        <v>130</v>
      </c>
      <c r="BX2682" s="0" t="s">
        <v>130</v>
      </c>
      <c r="BY2682" s="0" t="s">
        <v>130</v>
      </c>
      <c r="BZ2682" s="0" t="s">
        <v>130</v>
      </c>
      <c r="CA2682" s="0" t="s">
        <v>130</v>
      </c>
      <c r="CB2682" s="0" t="s">
        <v>130</v>
      </c>
      <c r="CC2682" s="0" t="s">
        <v>130</v>
      </c>
      <c r="CD2682" s="0" t="s">
        <v>130</v>
      </c>
      <c r="CE2682" s="0" t="s">
        <v>141</v>
      </c>
      <c r="CF2682" s="0" t="s">
        <v>141</v>
      </c>
      <c r="CG2682" s="0" t="s">
        <v>130</v>
      </c>
      <c r="CH2682" s="0" t="s">
        <v>130</v>
      </c>
      <c r="CI2682" s="0" t="s">
        <v>130</v>
      </c>
      <c r="CJ2682" s="0" t="s">
        <v>130</v>
      </c>
      <c r="CK2682" s="0" t="s">
        <v>130</v>
      </c>
      <c r="CL2682" s="0" t="s">
        <v>130</v>
      </c>
      <c r="CM2682" s="0" t="s">
        <v>130</v>
      </c>
      <c r="CN2682" s="0" t="s">
        <v>130</v>
      </c>
      <c r="CO2682" s="0" t="s">
        <v>130</v>
      </c>
      <c r="CP2682" s="0" t="s">
        <v>130</v>
      </c>
      <c r="CQ2682" s="0" t="s">
        <v>130</v>
      </c>
      <c r="CR2682" s="0" t="s">
        <v>130</v>
      </c>
      <c r="CS2682" s="0" t="s">
        <v>130</v>
      </c>
      <c r="CT2682" s="0" t="s">
        <v>7252</v>
      </c>
    </row>
    <row r="2683">
      <c r="A2683" s="14">
        <v>136114</v>
      </c>
      <c r="B2683" s="0" t="s">
        <v>3038</v>
      </c>
      <c r="C2683" s="16">
        <f>HYPERLINK("https://eosportal.federatedhermes.com/companies/Q29tcGFueQppNzM3Nzc=", "Petroleo Brasileiro SA - Petrobras")</f>
      </c>
      <c r="D2683" s="0" t="s">
        <v>23</v>
      </c>
      <c r="E2683" s="0" t="s">
        <v>7253</v>
      </c>
      <c r="F2683" s="16">
        <f>HYPERLINK("https://eosportal.federatedhermes.com/engagements/RW5nYWdlbWVudAppMzY3NDA=", "Decarbonisation Strategy - Biofuels")</f>
      </c>
      <c r="G2683" s="14" t="s">
        <v>7254</v>
      </c>
      <c r="H2683" s="0" t="s">
        <v>141</v>
      </c>
      <c r="I2683" s="14" t="s">
        <v>191</v>
      </c>
      <c r="J2683" s="0" t="s">
        <v>197</v>
      </c>
      <c r="K2683" s="0" t="s">
        <v>198</v>
      </c>
      <c r="L2683" s="0" t="s">
        <v>220</v>
      </c>
      <c r="M2683" s="0" t="s">
        <v>2807</v>
      </c>
      <c r="N2683" s="0" t="s">
        <v>3041</v>
      </c>
      <c r="O2683" s="0" t="s">
        <v>542</v>
      </c>
      <c r="Q2683" s="0" t="s">
        <v>141</v>
      </c>
      <c r="R2683" s="0" t="s">
        <v>130</v>
      </c>
      <c r="S2683" s="14">
        <v>1</v>
      </c>
      <c r="T2683" s="0" t="s">
        <v>2842</v>
      </c>
      <c r="U2683" s="0" t="s">
        <v>221</v>
      </c>
      <c r="V2683" s="14" t="s">
        <v>2842</v>
      </c>
      <c r="W2683" s="0" t="s">
        <v>223</v>
      </c>
      <c r="X2683" s="14" t="s">
        <v>138</v>
      </c>
      <c r="Y2683" s="0" t="s">
        <v>224</v>
      </c>
      <c r="Z2683" s="14" t="s">
        <v>138</v>
      </c>
      <c r="AA2683" s="0" t="s">
        <v>224</v>
      </c>
      <c r="AB2683" s="14" t="s">
        <v>138</v>
      </c>
      <c r="AD2683" s="0" t="s">
        <v>14</v>
      </c>
      <c r="AF2683" s="0">
        <v>0</v>
      </c>
      <c r="AG2683" s="0">
        <v>0</v>
      </c>
      <c r="AH2683" s="0" t="s">
        <v>140</v>
      </c>
      <c r="AI2683" s="0" t="s">
        <v>479</v>
      </c>
      <c r="AK2683" s="0" t="s">
        <v>3042</v>
      </c>
      <c r="AL2683" s="14"/>
      <c r="AN2683" s="14"/>
      <c r="AQ2683" s="0" t="s">
        <v>130</v>
      </c>
      <c r="AR2683" s="0" t="s">
        <v>130</v>
      </c>
      <c r="AS2683" s="0" t="s">
        <v>130</v>
      </c>
      <c r="AT2683" s="0" t="s">
        <v>130</v>
      </c>
      <c r="AU2683" s="0" t="s">
        <v>130</v>
      </c>
      <c r="AV2683" s="0" t="s">
        <v>130</v>
      </c>
      <c r="AW2683" s="0" t="s">
        <v>141</v>
      </c>
      <c r="AX2683" s="0" t="s">
        <v>130</v>
      </c>
      <c r="AY2683" s="0" t="s">
        <v>141</v>
      </c>
      <c r="AZ2683" s="0" t="s">
        <v>130</v>
      </c>
      <c r="BA2683" s="0" t="s">
        <v>130</v>
      </c>
      <c r="BB2683" s="0" t="s">
        <v>130</v>
      </c>
      <c r="BC2683" s="0" t="s">
        <v>141</v>
      </c>
      <c r="BD2683" s="0" t="s">
        <v>130</v>
      </c>
      <c r="BE2683" s="0" t="s">
        <v>130</v>
      </c>
      <c r="BF2683" s="0" t="s">
        <v>130</v>
      </c>
      <c r="BG2683" s="0" t="s">
        <v>130</v>
      </c>
      <c r="BH2683" s="0" t="s">
        <v>130</v>
      </c>
      <c r="BI2683" s="0" t="s">
        <v>130</v>
      </c>
      <c r="BJ2683" s="0" t="s">
        <v>130</v>
      </c>
      <c r="BK2683" s="0" t="s">
        <v>130</v>
      </c>
      <c r="BL2683" s="0" t="s">
        <v>130</v>
      </c>
      <c r="BM2683" s="0" t="s">
        <v>130</v>
      </c>
      <c r="BN2683" s="0" t="s">
        <v>130</v>
      </c>
      <c r="BO2683" s="0" t="s">
        <v>130</v>
      </c>
      <c r="BP2683" s="0" t="s">
        <v>130</v>
      </c>
      <c r="BQ2683" s="0" t="s">
        <v>130</v>
      </c>
      <c r="BR2683" s="0" t="s">
        <v>130</v>
      </c>
      <c r="BS2683" s="0" t="s">
        <v>130</v>
      </c>
      <c r="BT2683" s="0" t="s">
        <v>130</v>
      </c>
      <c r="BU2683" s="0" t="s">
        <v>130</v>
      </c>
      <c r="BV2683" s="0" t="s">
        <v>130</v>
      </c>
      <c r="BW2683" s="0" t="s">
        <v>130</v>
      </c>
      <c r="BX2683" s="0" t="s">
        <v>130</v>
      </c>
      <c r="BY2683" s="0" t="s">
        <v>130</v>
      </c>
      <c r="BZ2683" s="0" t="s">
        <v>130</v>
      </c>
      <c r="CA2683" s="0" t="s">
        <v>130</v>
      </c>
      <c r="CB2683" s="0" t="s">
        <v>130</v>
      </c>
      <c r="CC2683" s="0" t="s">
        <v>130</v>
      </c>
      <c r="CD2683" s="0" t="s">
        <v>130</v>
      </c>
      <c r="CE2683" s="0" t="s">
        <v>130</v>
      </c>
      <c r="CF2683" s="0" t="s">
        <v>130</v>
      </c>
      <c r="CG2683" s="0" t="s">
        <v>130</v>
      </c>
      <c r="CH2683" s="0" t="s">
        <v>130</v>
      </c>
      <c r="CI2683" s="0" t="s">
        <v>130</v>
      </c>
      <c r="CJ2683" s="0" t="s">
        <v>130</v>
      </c>
      <c r="CK2683" s="0" t="s">
        <v>130</v>
      </c>
      <c r="CL2683" s="0" t="s">
        <v>130</v>
      </c>
      <c r="CM2683" s="0" t="s">
        <v>130</v>
      </c>
      <c r="CN2683" s="0" t="s">
        <v>130</v>
      </c>
      <c r="CO2683" s="0" t="s">
        <v>130</v>
      </c>
      <c r="CP2683" s="0" t="s">
        <v>130</v>
      </c>
      <c r="CQ2683" s="0" t="s">
        <v>130</v>
      </c>
      <c r="CR2683" s="0" t="s">
        <v>130</v>
      </c>
      <c r="CS2683" s="0" t="s">
        <v>130</v>
      </c>
      <c r="CT2683" s="0" t="s">
        <v>7255</v>
      </c>
    </row>
    <row r="2684">
      <c r="A2684" s="14">
        <v>117142</v>
      </c>
      <c r="B2684" s="0" t="s">
        <v>2790</v>
      </c>
      <c r="C2684" s="16">
        <f>HYPERLINK("https://eosportal.federatedhermes.com/companies/Q29tcGFueQppNTkyMTI=", "O'Reilly Automotive Inc")</f>
      </c>
      <c r="D2684" s="0" t="s">
        <v>23</v>
      </c>
      <c r="E2684" s="0" t="s">
        <v>7256</v>
      </c>
      <c r="F2684" s="16">
        <f>HYPERLINK("https://eosportal.federatedhermes.com/engagements/RW5nYWdlbWVudAppMzY4MDc=", "Human rights risk assessment")</f>
      </c>
      <c r="G2684" s="14" t="s">
        <v>7257</v>
      </c>
      <c r="H2684" s="0" t="s">
        <v>141</v>
      </c>
      <c r="I2684" s="14" t="s">
        <v>131</v>
      </c>
      <c r="J2684" s="0" t="s">
        <v>153</v>
      </c>
      <c r="K2684" s="0" t="s">
        <v>243</v>
      </c>
      <c r="L2684" s="0" t="s">
        <v>244</v>
      </c>
      <c r="M2684" s="0" t="s">
        <v>135</v>
      </c>
      <c r="N2684" s="0" t="s">
        <v>136</v>
      </c>
      <c r="O2684" s="0" t="s">
        <v>643</v>
      </c>
      <c r="Q2684" s="0" t="s">
        <v>141</v>
      </c>
      <c r="R2684" s="0" t="s">
        <v>130</v>
      </c>
      <c r="S2684" s="14">
        <v>1</v>
      </c>
      <c r="T2684" s="0" t="s">
        <v>2842</v>
      </c>
      <c r="U2684" s="0" t="s">
        <v>221</v>
      </c>
      <c r="V2684" s="14" t="s">
        <v>2842</v>
      </c>
      <c r="W2684" s="0" t="s">
        <v>223</v>
      </c>
      <c r="X2684" s="14" t="s">
        <v>138</v>
      </c>
      <c r="Y2684" s="0" t="s">
        <v>224</v>
      </c>
      <c r="Z2684" s="14" t="s">
        <v>138</v>
      </c>
      <c r="AA2684" s="0" t="s">
        <v>224</v>
      </c>
      <c r="AB2684" s="14" t="s">
        <v>138</v>
      </c>
      <c r="AD2684" s="0" t="s">
        <v>14</v>
      </c>
      <c r="AF2684" s="0">
        <v>0</v>
      </c>
      <c r="AG2684" s="0">
        <v>0</v>
      </c>
      <c r="AH2684" s="0" t="s">
        <v>140</v>
      </c>
      <c r="AI2684" s="0" t="s">
        <v>479</v>
      </c>
      <c r="AK2684" s="0" t="s">
        <v>2795</v>
      </c>
      <c r="AL2684" s="14"/>
      <c r="AN2684" s="14"/>
      <c r="AQ2684" s="0" t="s">
        <v>130</v>
      </c>
      <c r="AR2684" s="0" t="s">
        <v>130</v>
      </c>
      <c r="AS2684" s="0" t="s">
        <v>130</v>
      </c>
      <c r="AT2684" s="0" t="s">
        <v>130</v>
      </c>
      <c r="AU2684" s="0" t="s">
        <v>130</v>
      </c>
      <c r="AV2684" s="0" t="s">
        <v>130</v>
      </c>
      <c r="AW2684" s="0" t="s">
        <v>130</v>
      </c>
      <c r="AX2684" s="0" t="s">
        <v>141</v>
      </c>
      <c r="AY2684" s="0" t="s">
        <v>130</v>
      </c>
      <c r="AZ2684" s="0" t="s">
        <v>130</v>
      </c>
      <c r="BA2684" s="0" t="s">
        <v>130</v>
      </c>
      <c r="BB2684" s="0" t="s">
        <v>130</v>
      </c>
      <c r="BC2684" s="0" t="s">
        <v>130</v>
      </c>
      <c r="BD2684" s="0" t="s">
        <v>130</v>
      </c>
      <c r="BE2684" s="0" t="s">
        <v>130</v>
      </c>
      <c r="BF2684" s="0" t="s">
        <v>130</v>
      </c>
      <c r="BG2684" s="0" t="s">
        <v>130</v>
      </c>
      <c r="BH2684" s="0" t="s">
        <v>130</v>
      </c>
      <c r="BI2684" s="0" t="s">
        <v>130</v>
      </c>
      <c r="BJ2684" s="0" t="s">
        <v>130</v>
      </c>
      <c r="BK2684" s="0" t="s">
        <v>130</v>
      </c>
      <c r="BL2684" s="0" t="s">
        <v>130</v>
      </c>
      <c r="BM2684" s="0" t="s">
        <v>130</v>
      </c>
      <c r="BN2684" s="0" t="s">
        <v>130</v>
      </c>
      <c r="BO2684" s="0" t="s">
        <v>130</v>
      </c>
      <c r="BP2684" s="0" t="s">
        <v>130</v>
      </c>
      <c r="BQ2684" s="0" t="s">
        <v>130</v>
      </c>
      <c r="BR2684" s="0" t="s">
        <v>130</v>
      </c>
      <c r="BS2684" s="0" t="s">
        <v>130</v>
      </c>
      <c r="BT2684" s="0" t="s">
        <v>130</v>
      </c>
      <c r="BU2684" s="0" t="s">
        <v>130</v>
      </c>
      <c r="BV2684" s="0" t="s">
        <v>130</v>
      </c>
      <c r="BW2684" s="0" t="s">
        <v>130</v>
      </c>
      <c r="BX2684" s="0" t="s">
        <v>130</v>
      </c>
      <c r="BY2684" s="0" t="s">
        <v>130</v>
      </c>
      <c r="BZ2684" s="0" t="s">
        <v>130</v>
      </c>
      <c r="CA2684" s="0" t="s">
        <v>130</v>
      </c>
      <c r="CB2684" s="0" t="s">
        <v>130</v>
      </c>
      <c r="CC2684" s="0" t="s">
        <v>130</v>
      </c>
      <c r="CD2684" s="0" t="s">
        <v>130</v>
      </c>
      <c r="CE2684" s="0" t="s">
        <v>130</v>
      </c>
      <c r="CF2684" s="0" t="s">
        <v>130</v>
      </c>
      <c r="CG2684" s="0" t="s">
        <v>130</v>
      </c>
      <c r="CH2684" s="0" t="s">
        <v>130</v>
      </c>
      <c r="CI2684" s="0" t="s">
        <v>130</v>
      </c>
      <c r="CJ2684" s="0" t="s">
        <v>130</v>
      </c>
      <c r="CK2684" s="0" t="s">
        <v>130</v>
      </c>
      <c r="CL2684" s="0" t="s">
        <v>130</v>
      </c>
      <c r="CM2684" s="0" t="s">
        <v>130</v>
      </c>
      <c r="CN2684" s="0" t="s">
        <v>130</v>
      </c>
      <c r="CO2684" s="0" t="s">
        <v>130</v>
      </c>
      <c r="CP2684" s="0" t="s">
        <v>130</v>
      </c>
      <c r="CQ2684" s="0" t="s">
        <v>130</v>
      </c>
      <c r="CR2684" s="0" t="s">
        <v>130</v>
      </c>
      <c r="CS2684" s="0" t="s">
        <v>130</v>
      </c>
      <c r="CT2684" s="0" t="s">
        <v>7258</v>
      </c>
    </row>
    <row r="2685">
      <c r="A2685" s="14">
        <v>117142</v>
      </c>
      <c r="B2685" s="0" t="s">
        <v>2790</v>
      </c>
      <c r="C2685" s="16">
        <f>HYPERLINK("https://eosportal.federatedhermes.com/companies/Q29tcGFueQppNTkyMTI=", "O'Reilly Automotive Inc")</f>
      </c>
      <c r="D2685" s="0" t="s">
        <v>23</v>
      </c>
      <c r="E2685" s="0" t="s">
        <v>459</v>
      </c>
      <c r="F2685" s="16">
        <f>HYPERLINK("https://eosportal.federatedhermes.com/engagements/RW5nYWdlbWVudAppMzY4MDg=", "Human capital management")</f>
      </c>
      <c r="G2685" s="14" t="s">
        <v>7259</v>
      </c>
      <c r="H2685" s="0" t="s">
        <v>141</v>
      </c>
      <c r="I2685" s="14" t="s">
        <v>131</v>
      </c>
      <c r="J2685" s="0" t="s">
        <v>153</v>
      </c>
      <c r="K2685" s="0" t="s">
        <v>154</v>
      </c>
      <c r="L2685" s="0" t="s">
        <v>306</v>
      </c>
      <c r="M2685" s="0" t="s">
        <v>135</v>
      </c>
      <c r="N2685" s="0" t="s">
        <v>136</v>
      </c>
      <c r="O2685" s="0" t="s">
        <v>643</v>
      </c>
      <c r="Q2685" s="0" t="s">
        <v>141</v>
      </c>
      <c r="R2685" s="0" t="s">
        <v>130</v>
      </c>
      <c r="S2685" s="14">
        <v>1</v>
      </c>
      <c r="T2685" s="0" t="s">
        <v>2842</v>
      </c>
      <c r="U2685" s="0" t="s">
        <v>221</v>
      </c>
      <c r="V2685" s="14" t="s">
        <v>2842</v>
      </c>
      <c r="W2685" s="0" t="s">
        <v>223</v>
      </c>
      <c r="X2685" s="14" t="s">
        <v>138</v>
      </c>
      <c r="Y2685" s="0" t="s">
        <v>224</v>
      </c>
      <c r="Z2685" s="14" t="s">
        <v>138</v>
      </c>
      <c r="AA2685" s="0" t="s">
        <v>224</v>
      </c>
      <c r="AB2685" s="14" t="s">
        <v>138</v>
      </c>
      <c r="AD2685" s="0" t="s">
        <v>14</v>
      </c>
      <c r="AF2685" s="0">
        <v>0</v>
      </c>
      <c r="AG2685" s="0">
        <v>0</v>
      </c>
      <c r="AH2685" s="0" t="s">
        <v>140</v>
      </c>
      <c r="AI2685" s="0" t="s">
        <v>479</v>
      </c>
      <c r="AK2685" s="0" t="s">
        <v>2795</v>
      </c>
      <c r="AL2685" s="14"/>
      <c r="AN2685" s="14"/>
      <c r="AQ2685" s="0" t="s">
        <v>130</v>
      </c>
      <c r="AR2685" s="0" t="s">
        <v>130</v>
      </c>
      <c r="AS2685" s="0" t="s">
        <v>130</v>
      </c>
      <c r="AT2685" s="0" t="s">
        <v>130</v>
      </c>
      <c r="AU2685" s="0" t="s">
        <v>130</v>
      </c>
      <c r="AV2685" s="0" t="s">
        <v>130</v>
      </c>
      <c r="AW2685" s="0" t="s">
        <v>130</v>
      </c>
      <c r="AX2685" s="0" t="s">
        <v>141</v>
      </c>
      <c r="AY2685" s="0" t="s">
        <v>130</v>
      </c>
      <c r="AZ2685" s="0" t="s">
        <v>141</v>
      </c>
      <c r="BA2685" s="0" t="s">
        <v>130</v>
      </c>
      <c r="BB2685" s="0" t="s">
        <v>130</v>
      </c>
      <c r="BC2685" s="0" t="s">
        <v>130</v>
      </c>
      <c r="BD2685" s="0" t="s">
        <v>130</v>
      </c>
      <c r="BE2685" s="0" t="s">
        <v>130</v>
      </c>
      <c r="BF2685" s="0" t="s">
        <v>130</v>
      </c>
      <c r="BG2685" s="0" t="s">
        <v>130</v>
      </c>
      <c r="BH2685" s="0" t="s">
        <v>130</v>
      </c>
      <c r="BI2685" s="0" t="s">
        <v>130</v>
      </c>
      <c r="BJ2685" s="0" t="s">
        <v>130</v>
      </c>
      <c r="BK2685" s="0" t="s">
        <v>130</v>
      </c>
      <c r="BL2685" s="0" t="s">
        <v>130</v>
      </c>
      <c r="BM2685" s="0" t="s">
        <v>130</v>
      </c>
      <c r="BN2685" s="0" t="s">
        <v>130</v>
      </c>
      <c r="BO2685" s="0" t="s">
        <v>130</v>
      </c>
      <c r="BP2685" s="0" t="s">
        <v>130</v>
      </c>
      <c r="BQ2685" s="0" t="s">
        <v>130</v>
      </c>
      <c r="BR2685" s="0" t="s">
        <v>130</v>
      </c>
      <c r="BS2685" s="0" t="s">
        <v>130</v>
      </c>
      <c r="BT2685" s="0" t="s">
        <v>130</v>
      </c>
      <c r="BU2685" s="0" t="s">
        <v>130</v>
      </c>
      <c r="BV2685" s="0" t="s">
        <v>130</v>
      </c>
      <c r="BW2685" s="0" t="s">
        <v>130</v>
      </c>
      <c r="BX2685" s="0" t="s">
        <v>130</v>
      </c>
      <c r="BY2685" s="0" t="s">
        <v>130</v>
      </c>
      <c r="BZ2685" s="0" t="s">
        <v>130</v>
      </c>
      <c r="CA2685" s="0" t="s">
        <v>130</v>
      </c>
      <c r="CB2685" s="0" t="s">
        <v>130</v>
      </c>
      <c r="CC2685" s="0" t="s">
        <v>130</v>
      </c>
      <c r="CD2685" s="0" t="s">
        <v>130</v>
      </c>
      <c r="CE2685" s="0" t="s">
        <v>130</v>
      </c>
      <c r="CF2685" s="0" t="s">
        <v>130</v>
      </c>
      <c r="CG2685" s="0" t="s">
        <v>130</v>
      </c>
      <c r="CH2685" s="0" t="s">
        <v>130</v>
      </c>
      <c r="CI2685" s="0" t="s">
        <v>130</v>
      </c>
      <c r="CJ2685" s="0" t="s">
        <v>130</v>
      </c>
      <c r="CK2685" s="0" t="s">
        <v>130</v>
      </c>
      <c r="CL2685" s="0" t="s">
        <v>130</v>
      </c>
      <c r="CM2685" s="0" t="s">
        <v>130</v>
      </c>
      <c r="CN2685" s="0" t="s">
        <v>130</v>
      </c>
      <c r="CO2685" s="0" t="s">
        <v>130</v>
      </c>
      <c r="CP2685" s="0" t="s">
        <v>130</v>
      </c>
      <c r="CQ2685" s="0" t="s">
        <v>130</v>
      </c>
      <c r="CR2685" s="0" t="s">
        <v>130</v>
      </c>
      <c r="CS2685" s="0" t="s">
        <v>130</v>
      </c>
      <c r="CT2685" s="0" t="s">
        <v>7260</v>
      </c>
    </row>
    <row r="2686">
      <c r="A2686" s="14">
        <v>112428</v>
      </c>
      <c r="B2686" s="0" t="s">
        <v>975</v>
      </c>
      <c r="C2686" s="16">
        <f>HYPERLINK("https://eosportal.federatedhermes.com/companies/Q29tcGFueQppNDQ0Mjg=", "Lloyds Banking Group PLC")</f>
      </c>
      <c r="D2686" s="0" t="s">
        <v>25</v>
      </c>
      <c r="E2686" s="0" t="s">
        <v>7261</v>
      </c>
      <c r="F2686" s="16">
        <f>HYPERLINK("https://eosportal.federatedhermes.com/engagements/RW5nYWdlbWVudAppMzY4MTM=", "Board governance on climate change and biodiversity")</f>
      </c>
      <c r="G2686" s="14" t="s">
        <v>7262</v>
      </c>
      <c r="H2686" s="0" t="s">
        <v>141</v>
      </c>
      <c r="I2686" s="14" t="s">
        <v>636</v>
      </c>
      <c r="J2686" s="0" t="s">
        <v>197</v>
      </c>
      <c r="K2686" s="0" t="s">
        <v>348</v>
      </c>
      <c r="L2686" s="0" t="s">
        <v>349</v>
      </c>
      <c r="M2686" s="0" t="s">
        <v>272</v>
      </c>
      <c r="N2686" s="0" t="s">
        <v>273</v>
      </c>
      <c r="O2686" s="0" t="s">
        <v>238</v>
      </c>
      <c r="Q2686" s="0" t="s">
        <v>130</v>
      </c>
      <c r="R2686" s="0" t="s">
        <v>138</v>
      </c>
      <c r="S2686" s="14">
        <v>0</v>
      </c>
      <c r="T2686" s="0" t="s">
        <v>3562</v>
      </c>
      <c r="U2686" s="0" t="s">
        <v>138</v>
      </c>
      <c r="V2686" s="14" t="s">
        <v>138</v>
      </c>
      <c r="W2686" s="0" t="s">
        <v>138</v>
      </c>
      <c r="X2686" s="14" t="s">
        <v>138</v>
      </c>
      <c r="Y2686" s="0" t="s">
        <v>138</v>
      </c>
      <c r="Z2686" s="14" t="s">
        <v>138</v>
      </c>
      <c r="AA2686" s="0" t="s">
        <v>138</v>
      </c>
      <c r="AB2686" s="14" t="s">
        <v>138</v>
      </c>
      <c r="AD2686" s="0" t="s">
        <v>138</v>
      </c>
      <c r="AF2686" s="0">
        <v>0</v>
      </c>
      <c r="AG2686" s="0">
        <v>0</v>
      </c>
      <c r="AH2686" s="0" t="s">
        <v>140</v>
      </c>
      <c r="AI2686" s="0" t="s">
        <v>138</v>
      </c>
      <c r="AL2686" s="14"/>
      <c r="AN2686" s="14"/>
      <c r="AQ2686" s="0" t="s">
        <v>130</v>
      </c>
      <c r="AR2686" s="0" t="s">
        <v>130</v>
      </c>
      <c r="AS2686" s="0" t="s">
        <v>130</v>
      </c>
      <c r="AT2686" s="0" t="s">
        <v>130</v>
      </c>
      <c r="AU2686" s="0" t="s">
        <v>130</v>
      </c>
      <c r="AV2686" s="0" t="s">
        <v>130</v>
      </c>
      <c r="AW2686" s="0" t="s">
        <v>130</v>
      </c>
      <c r="AX2686" s="0" t="s">
        <v>130</v>
      </c>
      <c r="AY2686" s="0" t="s">
        <v>130</v>
      </c>
      <c r="AZ2686" s="0" t="s">
        <v>130</v>
      </c>
      <c r="BA2686" s="0" t="s">
        <v>130</v>
      </c>
      <c r="BB2686" s="0" t="s">
        <v>141</v>
      </c>
      <c r="BC2686" s="0" t="s">
        <v>130</v>
      </c>
      <c r="BD2686" s="0" t="s">
        <v>130</v>
      </c>
      <c r="BE2686" s="0" t="s">
        <v>130</v>
      </c>
      <c r="BF2686" s="0" t="s">
        <v>130</v>
      </c>
      <c r="BG2686" s="0" t="s">
        <v>130</v>
      </c>
      <c r="BH2686" s="0" t="s">
        <v>130</v>
      </c>
      <c r="BI2686" s="0" t="s">
        <v>130</v>
      </c>
      <c r="BJ2686" s="0" t="s">
        <v>130</v>
      </c>
      <c r="BK2686" s="0" t="s">
        <v>130</v>
      </c>
      <c r="BL2686" s="0" t="s">
        <v>130</v>
      </c>
      <c r="BM2686" s="0" t="s">
        <v>130</v>
      </c>
      <c r="BN2686" s="0" t="s">
        <v>130</v>
      </c>
      <c r="BO2686" s="0" t="s">
        <v>130</v>
      </c>
      <c r="BP2686" s="0" t="s">
        <v>130</v>
      </c>
      <c r="BQ2686" s="0" t="s">
        <v>130</v>
      </c>
      <c r="BR2686" s="0" t="s">
        <v>130</v>
      </c>
      <c r="BS2686" s="0" t="s">
        <v>130</v>
      </c>
      <c r="BT2686" s="0" t="s">
        <v>130</v>
      </c>
      <c r="BU2686" s="0" t="s">
        <v>130</v>
      </c>
      <c r="BV2686" s="0" t="s">
        <v>130</v>
      </c>
      <c r="BW2686" s="0" t="s">
        <v>130</v>
      </c>
      <c r="BX2686" s="0" t="s">
        <v>130</v>
      </c>
      <c r="BY2686" s="0" t="s">
        <v>130</v>
      </c>
      <c r="BZ2686" s="0" t="s">
        <v>130</v>
      </c>
      <c r="CA2686" s="0" t="s">
        <v>130</v>
      </c>
      <c r="CB2686" s="0" t="s">
        <v>130</v>
      </c>
      <c r="CC2686" s="0" t="s">
        <v>130</v>
      </c>
      <c r="CD2686" s="0" t="s">
        <v>141</v>
      </c>
      <c r="CE2686" s="0" t="s">
        <v>130</v>
      </c>
      <c r="CF2686" s="0" t="s">
        <v>130</v>
      </c>
      <c r="CG2686" s="0" t="s">
        <v>130</v>
      </c>
      <c r="CH2686" s="0" t="s">
        <v>130</v>
      </c>
      <c r="CI2686" s="0" t="s">
        <v>130</v>
      </c>
      <c r="CJ2686" s="0" t="s">
        <v>130</v>
      </c>
      <c r="CK2686" s="0" t="s">
        <v>130</v>
      </c>
      <c r="CL2686" s="0" t="s">
        <v>130</v>
      </c>
      <c r="CM2686" s="0" t="s">
        <v>130</v>
      </c>
      <c r="CN2686" s="0" t="s">
        <v>130</v>
      </c>
      <c r="CO2686" s="0" t="s">
        <v>130</v>
      </c>
      <c r="CP2686" s="0" t="s">
        <v>130</v>
      </c>
      <c r="CQ2686" s="0" t="s">
        <v>130</v>
      </c>
      <c r="CR2686" s="0" t="s">
        <v>130</v>
      </c>
      <c r="CS2686" s="0" t="s">
        <v>130</v>
      </c>
      <c r="CT2686" s="0" t="s">
        <v>7263</v>
      </c>
    </row>
    <row r="2687">
      <c r="A2687" s="14">
        <v>100532</v>
      </c>
      <c r="B2687" s="0" t="s">
        <v>724</v>
      </c>
      <c r="C2687" s="16">
        <f>HYPERLINK("https://eosportal.federatedhermes.com/companies/Q29tcGFueQppNTQ1MDU=", "Entergy Corp")</f>
      </c>
      <c r="D2687" s="0" t="s">
        <v>23</v>
      </c>
      <c r="E2687" s="0" t="s">
        <v>228</v>
      </c>
      <c r="F2687" s="16">
        <f>HYPERLINK("https://eosportal.federatedhermes.com/engagements/RW5nYWdlbWVudAppMzY4NjM=", "Climate strategy")</f>
      </c>
      <c r="G2687" s="14" t="s">
        <v>4543</v>
      </c>
      <c r="H2687" s="0" t="s">
        <v>141</v>
      </c>
      <c r="I2687" s="14" t="s">
        <v>636</v>
      </c>
      <c r="J2687" s="0" t="s">
        <v>197</v>
      </c>
      <c r="K2687" s="0" t="s">
        <v>198</v>
      </c>
      <c r="L2687" s="0" t="s">
        <v>220</v>
      </c>
      <c r="M2687" s="0" t="s">
        <v>135</v>
      </c>
      <c r="N2687" s="0" t="s">
        <v>136</v>
      </c>
      <c r="O2687" s="0" t="s">
        <v>192</v>
      </c>
      <c r="Q2687" s="0" t="s">
        <v>141</v>
      </c>
      <c r="R2687" s="0" t="s">
        <v>141</v>
      </c>
      <c r="S2687" s="14">
        <v>2</v>
      </c>
      <c r="T2687" s="0" t="s">
        <v>2842</v>
      </c>
      <c r="U2687" s="0" t="s">
        <v>221</v>
      </c>
      <c r="V2687" s="14" t="s">
        <v>2842</v>
      </c>
      <c r="W2687" s="0" t="s">
        <v>221</v>
      </c>
      <c r="X2687" s="14" t="s">
        <v>361</v>
      </c>
      <c r="Y2687" s="0" t="s">
        <v>223</v>
      </c>
      <c r="Z2687" s="14" t="s">
        <v>138</v>
      </c>
      <c r="AA2687" s="0" t="s">
        <v>224</v>
      </c>
      <c r="AB2687" s="14" t="s">
        <v>138</v>
      </c>
      <c r="AC2687" s="0" t="s">
        <v>14</v>
      </c>
      <c r="AD2687" s="0" t="s">
        <v>17</v>
      </c>
      <c r="AE2687" s="0" t="s">
        <v>5508</v>
      </c>
      <c r="AF2687" s="0">
        <v>1</v>
      </c>
      <c r="AG2687" s="0">
        <v>0</v>
      </c>
      <c r="AH2687" s="0" t="s">
        <v>140</v>
      </c>
      <c r="AI2687" s="0" t="s">
        <v>598</v>
      </c>
      <c r="AK2687" s="0" t="s">
        <v>749</v>
      </c>
      <c r="AL2687" s="14"/>
      <c r="AN2687" s="14"/>
      <c r="AQ2687" s="0" t="s">
        <v>130</v>
      </c>
      <c r="AR2687" s="0" t="s">
        <v>130</v>
      </c>
      <c r="AS2687" s="0" t="s">
        <v>130</v>
      </c>
      <c r="AT2687" s="0" t="s">
        <v>130</v>
      </c>
      <c r="AU2687" s="0" t="s">
        <v>130</v>
      </c>
      <c r="AV2687" s="0" t="s">
        <v>130</v>
      </c>
      <c r="AW2687" s="0" t="s">
        <v>141</v>
      </c>
      <c r="AX2687" s="0" t="s">
        <v>130</v>
      </c>
      <c r="AY2687" s="0" t="s">
        <v>141</v>
      </c>
      <c r="AZ2687" s="0" t="s">
        <v>130</v>
      </c>
      <c r="BA2687" s="0" t="s">
        <v>130</v>
      </c>
      <c r="BB2687" s="0" t="s">
        <v>130</v>
      </c>
      <c r="BC2687" s="0" t="s">
        <v>141</v>
      </c>
      <c r="BD2687" s="0" t="s">
        <v>130</v>
      </c>
      <c r="BE2687" s="0" t="s">
        <v>130</v>
      </c>
      <c r="BF2687" s="0" t="s">
        <v>130</v>
      </c>
      <c r="BG2687" s="0" t="s">
        <v>130</v>
      </c>
      <c r="BH2687" s="0" t="s">
        <v>141</v>
      </c>
      <c r="BI2687" s="0" t="s">
        <v>141</v>
      </c>
      <c r="BJ2687" s="0" t="s">
        <v>141</v>
      </c>
      <c r="BK2687" s="0" t="s">
        <v>130</v>
      </c>
      <c r="BL2687" s="0" t="s">
        <v>130</v>
      </c>
      <c r="BM2687" s="0" t="s">
        <v>130</v>
      </c>
      <c r="BN2687" s="0" t="s">
        <v>130</v>
      </c>
      <c r="BO2687" s="0" t="s">
        <v>130</v>
      </c>
      <c r="BP2687" s="0" t="s">
        <v>130</v>
      </c>
      <c r="BQ2687" s="0" t="s">
        <v>130</v>
      </c>
      <c r="BR2687" s="0" t="s">
        <v>130</v>
      </c>
      <c r="BS2687" s="0" t="s">
        <v>130</v>
      </c>
      <c r="BT2687" s="0" t="s">
        <v>130</v>
      </c>
      <c r="BU2687" s="0" t="s">
        <v>130</v>
      </c>
      <c r="BV2687" s="0" t="s">
        <v>141</v>
      </c>
      <c r="BW2687" s="0" t="s">
        <v>141</v>
      </c>
      <c r="BX2687" s="0" t="s">
        <v>130</v>
      </c>
      <c r="BY2687" s="0" t="s">
        <v>130</v>
      </c>
      <c r="BZ2687" s="0" t="s">
        <v>130</v>
      </c>
      <c r="CA2687" s="0" t="s">
        <v>130</v>
      </c>
      <c r="CB2687" s="0" t="s">
        <v>130</v>
      </c>
      <c r="CC2687" s="0" t="s">
        <v>130</v>
      </c>
      <c r="CD2687" s="0" t="s">
        <v>130</v>
      </c>
      <c r="CE2687" s="0" t="s">
        <v>130</v>
      </c>
      <c r="CF2687" s="0" t="s">
        <v>130</v>
      </c>
      <c r="CG2687" s="0" t="s">
        <v>130</v>
      </c>
      <c r="CH2687" s="0" t="s">
        <v>130</v>
      </c>
      <c r="CI2687" s="0" t="s">
        <v>130</v>
      </c>
      <c r="CJ2687" s="0" t="s">
        <v>130</v>
      </c>
      <c r="CK2687" s="0" t="s">
        <v>130</v>
      </c>
      <c r="CL2687" s="0" t="s">
        <v>130</v>
      </c>
      <c r="CM2687" s="0" t="s">
        <v>130</v>
      </c>
      <c r="CN2687" s="0" t="s">
        <v>130</v>
      </c>
      <c r="CO2687" s="0" t="s">
        <v>130</v>
      </c>
      <c r="CP2687" s="0" t="s">
        <v>130</v>
      </c>
      <c r="CQ2687" s="0" t="s">
        <v>130</v>
      </c>
      <c r="CR2687" s="0" t="s">
        <v>130</v>
      </c>
      <c r="CS2687" s="0" t="s">
        <v>130</v>
      </c>
      <c r="CT2687" s="0" t="s">
        <v>7264</v>
      </c>
    </row>
    <row r="2688">
      <c r="A2688" s="14">
        <v>100285</v>
      </c>
      <c r="B2688" s="0" t="s">
        <v>423</v>
      </c>
      <c r="C2688" s="16">
        <f>HYPERLINK("https://eosportal.federatedhermes.com/companies/Q29tcGFueQppNzM3OTg=", "Caterpillar Inc")</f>
      </c>
      <c r="D2688" s="0" t="s">
        <v>25</v>
      </c>
      <c r="E2688" s="0" t="s">
        <v>7088</v>
      </c>
      <c r="F2688" s="16">
        <f>HYPERLINK("https://eosportal.federatedhermes.com/engagements/RW5nYWdlbWVudAppMzY5NDk=", "High-Risk Regions")</f>
      </c>
      <c r="G2688" s="14" t="s">
        <v>7265</v>
      </c>
      <c r="H2688" s="0" t="s">
        <v>141</v>
      </c>
      <c r="I2688" s="14" t="s">
        <v>191</v>
      </c>
      <c r="J2688" s="0" t="s">
        <v>153</v>
      </c>
      <c r="K2688" s="0" t="s">
        <v>243</v>
      </c>
      <c r="L2688" s="0" t="s">
        <v>456</v>
      </c>
      <c r="M2688" s="0" t="s">
        <v>135</v>
      </c>
      <c r="N2688" s="0" t="s">
        <v>136</v>
      </c>
      <c r="O2688" s="0" t="s">
        <v>425</v>
      </c>
      <c r="Q2688" s="0" t="s">
        <v>141</v>
      </c>
      <c r="R2688" s="0" t="s">
        <v>138</v>
      </c>
      <c r="S2688" s="14">
        <v>1</v>
      </c>
      <c r="T2688" s="0" t="s">
        <v>446</v>
      </c>
      <c r="U2688" s="0" t="s">
        <v>138</v>
      </c>
      <c r="V2688" s="14" t="s">
        <v>138</v>
      </c>
      <c r="W2688" s="0" t="s">
        <v>138</v>
      </c>
      <c r="X2688" s="14" t="s">
        <v>138</v>
      </c>
      <c r="Y2688" s="0" t="s">
        <v>138</v>
      </c>
      <c r="Z2688" s="14" t="s">
        <v>138</v>
      </c>
      <c r="AA2688" s="0" t="s">
        <v>138</v>
      </c>
      <c r="AB2688" s="14" t="s">
        <v>138</v>
      </c>
      <c r="AD2688" s="0" t="s">
        <v>138</v>
      </c>
      <c r="AF2688" s="0">
        <v>0</v>
      </c>
      <c r="AG2688" s="0">
        <v>0</v>
      </c>
      <c r="AH2688" s="0" t="s">
        <v>140</v>
      </c>
      <c r="AI2688" s="0" t="s">
        <v>138</v>
      </c>
      <c r="AK2688" s="0" t="s">
        <v>436</v>
      </c>
      <c r="AL2688" s="14"/>
      <c r="AN2688" s="14"/>
      <c r="AQ2688" s="0" t="s">
        <v>130</v>
      </c>
      <c r="AR2688" s="0" t="s">
        <v>130</v>
      </c>
      <c r="AS2688" s="0" t="s">
        <v>130</v>
      </c>
      <c r="AT2688" s="0" t="s">
        <v>130</v>
      </c>
      <c r="AU2688" s="0" t="s">
        <v>130</v>
      </c>
      <c r="AV2688" s="0" t="s">
        <v>130</v>
      </c>
      <c r="AW2688" s="0" t="s">
        <v>130</v>
      </c>
      <c r="AX2688" s="0" t="s">
        <v>141</v>
      </c>
      <c r="AY2688" s="0" t="s">
        <v>130</v>
      </c>
      <c r="AZ2688" s="0" t="s">
        <v>130</v>
      </c>
      <c r="BA2688" s="0" t="s">
        <v>130</v>
      </c>
      <c r="BB2688" s="0" t="s">
        <v>130</v>
      </c>
      <c r="BC2688" s="0" t="s">
        <v>130</v>
      </c>
      <c r="BD2688" s="0" t="s">
        <v>130</v>
      </c>
      <c r="BE2688" s="0" t="s">
        <v>130</v>
      </c>
      <c r="BF2688" s="0" t="s">
        <v>141</v>
      </c>
      <c r="BG2688" s="0" t="s">
        <v>130</v>
      </c>
      <c r="BH2688" s="0" t="s">
        <v>130</v>
      </c>
      <c r="BI2688" s="0" t="s">
        <v>130</v>
      </c>
      <c r="BJ2688" s="0" t="s">
        <v>130</v>
      </c>
      <c r="BK2688" s="0" t="s">
        <v>130</v>
      </c>
      <c r="BL2688" s="0" t="s">
        <v>130</v>
      </c>
      <c r="BM2688" s="0" t="s">
        <v>130</v>
      </c>
      <c r="BN2688" s="0" t="s">
        <v>130</v>
      </c>
      <c r="BO2688" s="0" t="s">
        <v>130</v>
      </c>
      <c r="BP2688" s="0" t="s">
        <v>130</v>
      </c>
      <c r="BQ2688" s="0" t="s">
        <v>130</v>
      </c>
      <c r="BR2688" s="0" t="s">
        <v>130</v>
      </c>
      <c r="BS2688" s="0" t="s">
        <v>130</v>
      </c>
      <c r="BT2688" s="0" t="s">
        <v>130</v>
      </c>
      <c r="BU2688" s="0" t="s">
        <v>130</v>
      </c>
      <c r="BV2688" s="0" t="s">
        <v>130</v>
      </c>
      <c r="BW2688" s="0" t="s">
        <v>130</v>
      </c>
      <c r="BX2688" s="0" t="s">
        <v>130</v>
      </c>
      <c r="BY2688" s="0" t="s">
        <v>130</v>
      </c>
      <c r="BZ2688" s="0" t="s">
        <v>130</v>
      </c>
      <c r="CA2688" s="0" t="s">
        <v>130</v>
      </c>
      <c r="CB2688" s="0" t="s">
        <v>130</v>
      </c>
      <c r="CC2688" s="0" t="s">
        <v>130</v>
      </c>
      <c r="CD2688" s="0" t="s">
        <v>130</v>
      </c>
      <c r="CE2688" s="0" t="s">
        <v>130</v>
      </c>
      <c r="CF2688" s="0" t="s">
        <v>130</v>
      </c>
      <c r="CG2688" s="0" t="s">
        <v>130</v>
      </c>
      <c r="CH2688" s="0" t="s">
        <v>130</v>
      </c>
      <c r="CI2688" s="0" t="s">
        <v>130</v>
      </c>
      <c r="CJ2688" s="0" t="s">
        <v>130</v>
      </c>
      <c r="CK2688" s="0" t="s">
        <v>130</v>
      </c>
      <c r="CL2688" s="0" t="s">
        <v>130</v>
      </c>
      <c r="CM2688" s="0" t="s">
        <v>130</v>
      </c>
      <c r="CN2688" s="0" t="s">
        <v>130</v>
      </c>
      <c r="CO2688" s="0" t="s">
        <v>130</v>
      </c>
      <c r="CP2688" s="0" t="s">
        <v>130</v>
      </c>
      <c r="CQ2688" s="0" t="s">
        <v>130</v>
      </c>
      <c r="CR2688" s="0" t="s">
        <v>130</v>
      </c>
      <c r="CS2688" s="0" t="s">
        <v>130</v>
      </c>
      <c r="CT2688" s="0" t="s">
        <v>7266</v>
      </c>
    </row>
    <row r="2689">
      <c r="A2689" s="14">
        <v>115505</v>
      </c>
      <c r="B2689" s="0" t="s">
        <v>2425</v>
      </c>
      <c r="C2689" s="16">
        <f>HYPERLINK("https://eosportal.federatedhermes.com/companies/Q29tcGFueQppNTg5NTA=", "Vinci SA")</f>
      </c>
      <c r="D2689" s="0" t="s">
        <v>25</v>
      </c>
      <c r="E2689" s="0" t="s">
        <v>7267</v>
      </c>
      <c r="F2689" s="16">
        <f>HYPERLINK("https://eosportal.federatedhermes.com/engagements/RW5nYWdlbWVudAppMzY5Nzg=", "Risk assessment for potential work in disputed territories")</f>
      </c>
      <c r="G2689" s="14" t="s">
        <v>7268</v>
      </c>
      <c r="H2689" s="0" t="s">
        <v>141</v>
      </c>
      <c r="I2689" s="14" t="s">
        <v>191</v>
      </c>
      <c r="J2689" s="0" t="s">
        <v>153</v>
      </c>
      <c r="K2689" s="0" t="s">
        <v>243</v>
      </c>
      <c r="L2689" s="0" t="s">
        <v>571</v>
      </c>
      <c r="M2689" s="0" t="s">
        <v>378</v>
      </c>
      <c r="N2689" s="0" t="s">
        <v>1646</v>
      </c>
      <c r="O2689" s="0" t="s">
        <v>176</v>
      </c>
      <c r="Q2689" s="0" t="s">
        <v>130</v>
      </c>
      <c r="R2689" s="0" t="s">
        <v>138</v>
      </c>
      <c r="S2689" s="14">
        <v>0</v>
      </c>
      <c r="T2689" s="0" t="s">
        <v>2842</v>
      </c>
      <c r="U2689" s="0" t="s">
        <v>138</v>
      </c>
      <c r="V2689" s="14" t="s">
        <v>138</v>
      </c>
      <c r="W2689" s="0" t="s">
        <v>138</v>
      </c>
      <c r="X2689" s="14" t="s">
        <v>138</v>
      </c>
      <c r="Y2689" s="0" t="s">
        <v>138</v>
      </c>
      <c r="Z2689" s="14" t="s">
        <v>138</v>
      </c>
      <c r="AA2689" s="0" t="s">
        <v>138</v>
      </c>
      <c r="AB2689" s="14" t="s">
        <v>138</v>
      </c>
      <c r="AD2689" s="0" t="s">
        <v>138</v>
      </c>
      <c r="AF2689" s="0">
        <v>0</v>
      </c>
      <c r="AG2689" s="0">
        <v>0</v>
      </c>
      <c r="AH2689" s="0" t="s">
        <v>140</v>
      </c>
      <c r="AI2689" s="0" t="s">
        <v>138</v>
      </c>
      <c r="AL2689" s="14"/>
      <c r="AN2689" s="14"/>
      <c r="AQ2689" s="0" t="s">
        <v>141</v>
      </c>
      <c r="AR2689" s="0" t="s">
        <v>130</v>
      </c>
      <c r="AS2689" s="0" t="s">
        <v>130</v>
      </c>
      <c r="AT2689" s="0" t="s">
        <v>130</v>
      </c>
      <c r="AU2689" s="0" t="s">
        <v>130</v>
      </c>
      <c r="AV2689" s="0" t="s">
        <v>130</v>
      </c>
      <c r="AW2689" s="0" t="s">
        <v>130</v>
      </c>
      <c r="AX2689" s="0" t="s">
        <v>130</v>
      </c>
      <c r="AY2689" s="0" t="s">
        <v>130</v>
      </c>
      <c r="AZ2689" s="0" t="s">
        <v>141</v>
      </c>
      <c r="BA2689" s="0" t="s">
        <v>130</v>
      </c>
      <c r="BB2689" s="0" t="s">
        <v>130</v>
      </c>
      <c r="BC2689" s="0" t="s">
        <v>130</v>
      </c>
      <c r="BD2689" s="0" t="s">
        <v>130</v>
      </c>
      <c r="BE2689" s="0" t="s">
        <v>130</v>
      </c>
      <c r="BF2689" s="0" t="s">
        <v>141</v>
      </c>
      <c r="BG2689" s="0" t="s">
        <v>130</v>
      </c>
      <c r="BH2689" s="0" t="s">
        <v>130</v>
      </c>
      <c r="BI2689" s="0" t="s">
        <v>130</v>
      </c>
      <c r="BJ2689" s="0" t="s">
        <v>130</v>
      </c>
      <c r="BK2689" s="0" t="s">
        <v>130</v>
      </c>
      <c r="BL2689" s="0" t="s">
        <v>130</v>
      </c>
      <c r="BM2689" s="0" t="s">
        <v>130</v>
      </c>
      <c r="BN2689" s="0" t="s">
        <v>130</v>
      </c>
      <c r="BO2689" s="0" t="s">
        <v>130</v>
      </c>
      <c r="BP2689" s="0" t="s">
        <v>130</v>
      </c>
      <c r="BQ2689" s="0" t="s">
        <v>130</v>
      </c>
      <c r="BR2689" s="0" t="s">
        <v>130</v>
      </c>
      <c r="BS2689" s="0" t="s">
        <v>130</v>
      </c>
      <c r="BT2689" s="0" t="s">
        <v>130</v>
      </c>
      <c r="BU2689" s="0" t="s">
        <v>130</v>
      </c>
      <c r="BV2689" s="0" t="s">
        <v>130</v>
      </c>
      <c r="BW2689" s="0" t="s">
        <v>130</v>
      </c>
      <c r="BX2689" s="0" t="s">
        <v>130</v>
      </c>
      <c r="BY2689" s="0" t="s">
        <v>130</v>
      </c>
      <c r="BZ2689" s="0" t="s">
        <v>130</v>
      </c>
      <c r="CA2689" s="0" t="s">
        <v>130</v>
      </c>
      <c r="CB2689" s="0" t="s">
        <v>130</v>
      </c>
      <c r="CC2689" s="0" t="s">
        <v>130</v>
      </c>
      <c r="CD2689" s="0" t="s">
        <v>130</v>
      </c>
      <c r="CE2689" s="0" t="s">
        <v>130</v>
      </c>
      <c r="CF2689" s="0" t="s">
        <v>130</v>
      </c>
      <c r="CG2689" s="0" t="s">
        <v>130</v>
      </c>
      <c r="CH2689" s="0" t="s">
        <v>130</v>
      </c>
      <c r="CI2689" s="0" t="s">
        <v>130</v>
      </c>
      <c r="CJ2689" s="0" t="s">
        <v>130</v>
      </c>
      <c r="CK2689" s="0" t="s">
        <v>130</v>
      </c>
      <c r="CL2689" s="0" t="s">
        <v>130</v>
      </c>
      <c r="CM2689" s="0" t="s">
        <v>130</v>
      </c>
      <c r="CN2689" s="0" t="s">
        <v>130</v>
      </c>
      <c r="CO2689" s="0" t="s">
        <v>130</v>
      </c>
      <c r="CP2689" s="0" t="s">
        <v>130</v>
      </c>
      <c r="CQ2689" s="0" t="s">
        <v>130</v>
      </c>
      <c r="CR2689" s="0" t="s">
        <v>130</v>
      </c>
      <c r="CS2689" s="0" t="s">
        <v>130</v>
      </c>
      <c r="CT2689" s="0" t="s">
        <v>7269</v>
      </c>
    </row>
    <row r="2690">
      <c r="A2690" s="14">
        <v>115757</v>
      </c>
      <c r="B2690" s="0" t="s">
        <v>2655</v>
      </c>
      <c r="C2690" s="16">
        <f>HYPERLINK("https://eosportal.federatedhermes.com/companies/Q29tcGFueQppNTg5Mjc=", "Volkswagen AG")</f>
      </c>
      <c r="D2690" s="0" t="s">
        <v>23</v>
      </c>
      <c r="E2690" s="0" t="s">
        <v>7270</v>
      </c>
      <c r="F2690" s="16">
        <f>HYPERLINK("https://eosportal.federatedhermes.com/engagements/RW5nYWdlbWVudAppMzY5OTU=", "Improving the independence of the board")</f>
      </c>
      <c r="G2690" s="14" t="s">
        <v>7271</v>
      </c>
      <c r="H2690" s="0" t="s">
        <v>141</v>
      </c>
      <c r="I2690" s="14" t="s">
        <v>1645</v>
      </c>
      <c r="J2690" s="0" t="s">
        <v>145</v>
      </c>
      <c r="K2690" s="0" t="s">
        <v>164</v>
      </c>
      <c r="L2690" s="0" t="s">
        <v>165</v>
      </c>
      <c r="M2690" s="0" t="s">
        <v>378</v>
      </c>
      <c r="N2690" s="0" t="s">
        <v>2485</v>
      </c>
      <c r="O2690" s="0" t="s">
        <v>425</v>
      </c>
      <c r="Q2690" s="0" t="s">
        <v>141</v>
      </c>
      <c r="R2690" s="0" t="s">
        <v>130</v>
      </c>
      <c r="S2690" s="14">
        <v>1</v>
      </c>
      <c r="T2690" s="0" t="s">
        <v>2842</v>
      </c>
      <c r="U2690" s="0" t="s">
        <v>221</v>
      </c>
      <c r="V2690" s="14" t="s">
        <v>2842</v>
      </c>
      <c r="W2690" s="0" t="s">
        <v>223</v>
      </c>
      <c r="X2690" s="14" t="s">
        <v>138</v>
      </c>
      <c r="Y2690" s="0" t="s">
        <v>224</v>
      </c>
      <c r="Z2690" s="14" t="s">
        <v>138</v>
      </c>
      <c r="AA2690" s="0" t="s">
        <v>224</v>
      </c>
      <c r="AB2690" s="14" t="s">
        <v>138</v>
      </c>
      <c r="AD2690" s="0" t="s">
        <v>14</v>
      </c>
      <c r="AF2690" s="0">
        <v>0</v>
      </c>
      <c r="AG2690" s="0">
        <v>0</v>
      </c>
      <c r="AH2690" s="0" t="s">
        <v>140</v>
      </c>
      <c r="AI2690" s="0" t="s">
        <v>479</v>
      </c>
      <c r="AK2690" s="0" t="s">
        <v>2658</v>
      </c>
      <c r="AL2690" s="14"/>
      <c r="AN2690" s="14"/>
      <c r="AQ2690" s="0" t="s">
        <v>130</v>
      </c>
      <c r="AR2690" s="0" t="s">
        <v>130</v>
      </c>
      <c r="AS2690" s="0" t="s">
        <v>130</v>
      </c>
      <c r="AT2690" s="0" t="s">
        <v>130</v>
      </c>
      <c r="AU2690" s="0" t="s">
        <v>130</v>
      </c>
      <c r="AV2690" s="0" t="s">
        <v>130</v>
      </c>
      <c r="AW2690" s="0" t="s">
        <v>130</v>
      </c>
      <c r="AX2690" s="0" t="s">
        <v>130</v>
      </c>
      <c r="AY2690" s="0" t="s">
        <v>130</v>
      </c>
      <c r="AZ2690" s="0" t="s">
        <v>130</v>
      </c>
      <c r="BA2690" s="0" t="s">
        <v>130</v>
      </c>
      <c r="BB2690" s="0" t="s">
        <v>130</v>
      </c>
      <c r="BC2690" s="0" t="s">
        <v>130</v>
      </c>
      <c r="BD2690" s="0" t="s">
        <v>130</v>
      </c>
      <c r="BE2690" s="0" t="s">
        <v>130</v>
      </c>
      <c r="BF2690" s="0" t="s">
        <v>130</v>
      </c>
      <c r="BG2690" s="0" t="s">
        <v>130</v>
      </c>
      <c r="BH2690" s="0" t="s">
        <v>130</v>
      </c>
      <c r="BI2690" s="0" t="s">
        <v>130</v>
      </c>
      <c r="BJ2690" s="0" t="s">
        <v>130</v>
      </c>
      <c r="BK2690" s="0" t="s">
        <v>130</v>
      </c>
      <c r="BL2690" s="0" t="s">
        <v>130</v>
      </c>
      <c r="BM2690" s="0" t="s">
        <v>130</v>
      </c>
      <c r="BN2690" s="0" t="s">
        <v>130</v>
      </c>
      <c r="BO2690" s="0" t="s">
        <v>130</v>
      </c>
      <c r="BP2690" s="0" t="s">
        <v>130</v>
      </c>
      <c r="BQ2690" s="0" t="s">
        <v>130</v>
      </c>
      <c r="BR2690" s="0" t="s">
        <v>130</v>
      </c>
      <c r="BS2690" s="0" t="s">
        <v>130</v>
      </c>
      <c r="BT2690" s="0" t="s">
        <v>130</v>
      </c>
      <c r="BU2690" s="0" t="s">
        <v>130</v>
      </c>
      <c r="BV2690" s="0" t="s">
        <v>130</v>
      </c>
      <c r="BW2690" s="0" t="s">
        <v>130</v>
      </c>
      <c r="BX2690" s="0" t="s">
        <v>130</v>
      </c>
      <c r="BY2690" s="0" t="s">
        <v>130</v>
      </c>
      <c r="BZ2690" s="0" t="s">
        <v>130</v>
      </c>
      <c r="CA2690" s="0" t="s">
        <v>130</v>
      </c>
      <c r="CB2690" s="0" t="s">
        <v>130</v>
      </c>
      <c r="CC2690" s="0" t="s">
        <v>130</v>
      </c>
      <c r="CD2690" s="0" t="s">
        <v>130</v>
      </c>
      <c r="CE2690" s="0" t="s">
        <v>130</v>
      </c>
      <c r="CF2690" s="0" t="s">
        <v>130</v>
      </c>
      <c r="CG2690" s="0" t="s">
        <v>130</v>
      </c>
      <c r="CH2690" s="0" t="s">
        <v>130</v>
      </c>
      <c r="CI2690" s="0" t="s">
        <v>130</v>
      </c>
      <c r="CJ2690" s="0" t="s">
        <v>130</v>
      </c>
      <c r="CK2690" s="0" t="s">
        <v>130</v>
      </c>
      <c r="CL2690" s="0" t="s">
        <v>130</v>
      </c>
      <c r="CM2690" s="0" t="s">
        <v>130</v>
      </c>
      <c r="CN2690" s="0" t="s">
        <v>130</v>
      </c>
      <c r="CO2690" s="0" t="s">
        <v>130</v>
      </c>
      <c r="CP2690" s="0" t="s">
        <v>130</v>
      </c>
      <c r="CQ2690" s="0" t="s">
        <v>130</v>
      </c>
      <c r="CR2690" s="0" t="s">
        <v>130</v>
      </c>
      <c r="CS2690" s="0" t="s">
        <v>130</v>
      </c>
      <c r="CT2690" s="0" t="s">
        <v>7272</v>
      </c>
    </row>
    <row r="2691">
      <c r="A2691" s="14">
        <v>115757</v>
      </c>
      <c r="B2691" s="0" t="s">
        <v>2655</v>
      </c>
      <c r="C2691" s="16">
        <f>HYPERLINK("https://eosportal.federatedhermes.com/companies/Q29tcGFueQppNTg5Mjc=", "Volkswagen AG")</f>
      </c>
      <c r="D2691" s="0" t="s">
        <v>23</v>
      </c>
      <c r="E2691" s="0" t="s">
        <v>5905</v>
      </c>
      <c r="F2691" s="16">
        <f>HYPERLINK("https://eosportal.federatedhermes.com/engagements/RW5nYWdlbWVudAppMzY5OTY=", "Human rights in the supply chain")</f>
      </c>
      <c r="G2691" s="14" t="s">
        <v>7273</v>
      </c>
      <c r="H2691" s="0" t="s">
        <v>141</v>
      </c>
      <c r="I2691" s="14" t="s">
        <v>1645</v>
      </c>
      <c r="J2691" s="0" t="s">
        <v>153</v>
      </c>
      <c r="K2691" s="0" t="s">
        <v>243</v>
      </c>
      <c r="L2691" s="0" t="s">
        <v>244</v>
      </c>
      <c r="M2691" s="0" t="s">
        <v>378</v>
      </c>
      <c r="N2691" s="0" t="s">
        <v>2485</v>
      </c>
      <c r="O2691" s="0" t="s">
        <v>425</v>
      </c>
      <c r="Q2691" s="0" t="s">
        <v>141</v>
      </c>
      <c r="R2691" s="0" t="s">
        <v>130</v>
      </c>
      <c r="S2691" s="14">
        <v>1</v>
      </c>
      <c r="T2691" s="0" t="s">
        <v>2842</v>
      </c>
      <c r="U2691" s="0" t="s">
        <v>221</v>
      </c>
      <c r="V2691" s="14" t="s">
        <v>2842</v>
      </c>
      <c r="W2691" s="0" t="s">
        <v>223</v>
      </c>
      <c r="X2691" s="14" t="s">
        <v>138</v>
      </c>
      <c r="Y2691" s="0" t="s">
        <v>224</v>
      </c>
      <c r="Z2691" s="14" t="s">
        <v>138</v>
      </c>
      <c r="AA2691" s="0" t="s">
        <v>224</v>
      </c>
      <c r="AB2691" s="14" t="s">
        <v>138</v>
      </c>
      <c r="AD2691" s="0" t="s">
        <v>14</v>
      </c>
      <c r="AF2691" s="0">
        <v>0</v>
      </c>
      <c r="AG2691" s="0">
        <v>0</v>
      </c>
      <c r="AH2691" s="0" t="s">
        <v>140</v>
      </c>
      <c r="AI2691" s="0" t="s">
        <v>479</v>
      </c>
      <c r="AK2691" s="0" t="s">
        <v>413</v>
      </c>
      <c r="AL2691" s="14"/>
      <c r="AN2691" s="14"/>
      <c r="AQ2691" s="0" t="s">
        <v>130</v>
      </c>
      <c r="AR2691" s="0" t="s">
        <v>130</v>
      </c>
      <c r="AS2691" s="0" t="s">
        <v>130</v>
      </c>
      <c r="AT2691" s="0" t="s">
        <v>130</v>
      </c>
      <c r="AU2691" s="0" t="s">
        <v>130</v>
      </c>
      <c r="AV2691" s="0" t="s">
        <v>130</v>
      </c>
      <c r="AW2691" s="0" t="s">
        <v>130</v>
      </c>
      <c r="AX2691" s="0" t="s">
        <v>141</v>
      </c>
      <c r="AY2691" s="0" t="s">
        <v>130</v>
      </c>
      <c r="AZ2691" s="0" t="s">
        <v>130</v>
      </c>
      <c r="BA2691" s="0" t="s">
        <v>130</v>
      </c>
      <c r="BB2691" s="0" t="s">
        <v>130</v>
      </c>
      <c r="BC2691" s="0" t="s">
        <v>130</v>
      </c>
      <c r="BD2691" s="0" t="s">
        <v>130</v>
      </c>
      <c r="BE2691" s="0" t="s">
        <v>130</v>
      </c>
      <c r="BF2691" s="0" t="s">
        <v>130</v>
      </c>
      <c r="BG2691" s="0" t="s">
        <v>130</v>
      </c>
      <c r="BH2691" s="0" t="s">
        <v>130</v>
      </c>
      <c r="BI2691" s="0" t="s">
        <v>130</v>
      </c>
      <c r="BJ2691" s="0" t="s">
        <v>130</v>
      </c>
      <c r="BK2691" s="0" t="s">
        <v>130</v>
      </c>
      <c r="BL2691" s="0" t="s">
        <v>130</v>
      </c>
      <c r="BM2691" s="0" t="s">
        <v>130</v>
      </c>
      <c r="BN2691" s="0" t="s">
        <v>130</v>
      </c>
      <c r="BO2691" s="0" t="s">
        <v>130</v>
      </c>
      <c r="BP2691" s="0" t="s">
        <v>130</v>
      </c>
      <c r="BQ2691" s="0" t="s">
        <v>130</v>
      </c>
      <c r="BR2691" s="0" t="s">
        <v>130</v>
      </c>
      <c r="BS2691" s="0" t="s">
        <v>130</v>
      </c>
      <c r="BT2691" s="0" t="s">
        <v>130</v>
      </c>
      <c r="BU2691" s="0" t="s">
        <v>130</v>
      </c>
      <c r="BV2691" s="0" t="s">
        <v>130</v>
      </c>
      <c r="BW2691" s="0" t="s">
        <v>130</v>
      </c>
      <c r="BX2691" s="0" t="s">
        <v>130</v>
      </c>
      <c r="BY2691" s="0" t="s">
        <v>130</v>
      </c>
      <c r="BZ2691" s="0" t="s">
        <v>130</v>
      </c>
      <c r="CA2691" s="0" t="s">
        <v>130</v>
      </c>
      <c r="CB2691" s="0" t="s">
        <v>130</v>
      </c>
      <c r="CC2691" s="0" t="s">
        <v>130</v>
      </c>
      <c r="CD2691" s="0" t="s">
        <v>130</v>
      </c>
      <c r="CE2691" s="0" t="s">
        <v>130</v>
      </c>
      <c r="CF2691" s="0" t="s">
        <v>130</v>
      </c>
      <c r="CG2691" s="0" t="s">
        <v>130</v>
      </c>
      <c r="CH2691" s="0" t="s">
        <v>130</v>
      </c>
      <c r="CI2691" s="0" t="s">
        <v>130</v>
      </c>
      <c r="CJ2691" s="0" t="s">
        <v>130</v>
      </c>
      <c r="CK2691" s="0" t="s">
        <v>130</v>
      </c>
      <c r="CL2691" s="0" t="s">
        <v>130</v>
      </c>
      <c r="CM2691" s="0" t="s">
        <v>130</v>
      </c>
      <c r="CN2691" s="0" t="s">
        <v>130</v>
      </c>
      <c r="CO2691" s="0" t="s">
        <v>130</v>
      </c>
      <c r="CP2691" s="0" t="s">
        <v>130</v>
      </c>
      <c r="CQ2691" s="0" t="s">
        <v>130</v>
      </c>
      <c r="CR2691" s="0" t="s">
        <v>130</v>
      </c>
      <c r="CS2691" s="0" t="s">
        <v>130</v>
      </c>
      <c r="CT2691" s="0" t="s">
        <v>7274</v>
      </c>
    </row>
    <row r="2692">
      <c r="A2692" s="14">
        <v>11092218</v>
      </c>
      <c r="B2692" s="0" t="s">
        <v>3976</v>
      </c>
      <c r="C2692" s="16">
        <f>HYPERLINK("https://eosportal.federatedhermes.com/companies/Q29tcGFueQppNjI1MDE=", "Meta Platforms Inc")</f>
      </c>
      <c r="D2692" s="0" t="s">
        <v>23</v>
      </c>
      <c r="E2692" s="0" t="s">
        <v>7275</v>
      </c>
      <c r="F2692" s="16">
        <f>HYPERLINK("https://eosportal.federatedhermes.com/engagements/RW5nYWdlbWVudAppMzY5OTc=", "AI and human capital mangement")</f>
      </c>
      <c r="G2692" s="14" t="s">
        <v>7276</v>
      </c>
      <c r="H2692" s="0" t="s">
        <v>141</v>
      </c>
      <c r="I2692" s="14" t="s">
        <v>191</v>
      </c>
      <c r="J2692" s="0" t="s">
        <v>153</v>
      </c>
      <c r="K2692" s="0" t="s">
        <v>154</v>
      </c>
      <c r="L2692" s="0" t="s">
        <v>306</v>
      </c>
      <c r="M2692" s="0" t="s">
        <v>135</v>
      </c>
      <c r="N2692" s="0" t="s">
        <v>136</v>
      </c>
      <c r="O2692" s="0" t="s">
        <v>137</v>
      </c>
      <c r="Q2692" s="0" t="s">
        <v>141</v>
      </c>
      <c r="R2692" s="0" t="s">
        <v>130</v>
      </c>
      <c r="S2692" s="14">
        <v>1</v>
      </c>
      <c r="T2692" s="0" t="s">
        <v>2842</v>
      </c>
      <c r="U2692" s="0" t="s">
        <v>221</v>
      </c>
      <c r="V2692" s="14" t="s">
        <v>2842</v>
      </c>
      <c r="W2692" s="0" t="s">
        <v>223</v>
      </c>
      <c r="X2692" s="14" t="s">
        <v>138</v>
      </c>
      <c r="Y2692" s="0" t="s">
        <v>224</v>
      </c>
      <c r="Z2692" s="14" t="s">
        <v>138</v>
      </c>
      <c r="AA2692" s="0" t="s">
        <v>224</v>
      </c>
      <c r="AB2692" s="14" t="s">
        <v>138</v>
      </c>
      <c r="AD2692" s="0" t="s">
        <v>14</v>
      </c>
      <c r="AF2692" s="0">
        <v>0</v>
      </c>
      <c r="AG2692" s="0">
        <v>0</v>
      </c>
      <c r="AH2692" s="0" t="s">
        <v>140</v>
      </c>
      <c r="AI2692" s="0" t="s">
        <v>479</v>
      </c>
      <c r="AK2692" s="0" t="s">
        <v>3996</v>
      </c>
      <c r="AL2692" s="14"/>
      <c r="AN2692" s="14"/>
      <c r="AQ2692" s="0" t="s">
        <v>130</v>
      </c>
      <c r="AR2692" s="0" t="s">
        <v>130</v>
      </c>
      <c r="AS2692" s="0" t="s">
        <v>130</v>
      </c>
      <c r="AT2692" s="0" t="s">
        <v>130</v>
      </c>
      <c r="AU2692" s="0" t="s">
        <v>130</v>
      </c>
      <c r="AV2692" s="0" t="s">
        <v>130</v>
      </c>
      <c r="AW2692" s="0" t="s">
        <v>130</v>
      </c>
      <c r="AX2692" s="0" t="s">
        <v>141</v>
      </c>
      <c r="AY2692" s="0" t="s">
        <v>130</v>
      </c>
      <c r="AZ2692" s="0" t="s">
        <v>141</v>
      </c>
      <c r="BA2692" s="0" t="s">
        <v>130</v>
      </c>
      <c r="BB2692" s="0" t="s">
        <v>130</v>
      </c>
      <c r="BC2692" s="0" t="s">
        <v>130</v>
      </c>
      <c r="BD2692" s="0" t="s">
        <v>130</v>
      </c>
      <c r="BE2692" s="0" t="s">
        <v>130</v>
      </c>
      <c r="BF2692" s="0" t="s">
        <v>130</v>
      </c>
      <c r="BG2692" s="0" t="s">
        <v>130</v>
      </c>
      <c r="BH2692" s="0" t="s">
        <v>130</v>
      </c>
      <c r="BI2692" s="0" t="s">
        <v>130</v>
      </c>
      <c r="BJ2692" s="0" t="s">
        <v>130</v>
      </c>
      <c r="BK2692" s="0" t="s">
        <v>130</v>
      </c>
      <c r="BL2692" s="0" t="s">
        <v>130</v>
      </c>
      <c r="BM2692" s="0" t="s">
        <v>130</v>
      </c>
      <c r="BN2692" s="0" t="s">
        <v>130</v>
      </c>
      <c r="BO2692" s="0" t="s">
        <v>130</v>
      </c>
      <c r="BP2692" s="0" t="s">
        <v>130</v>
      </c>
      <c r="BQ2692" s="0" t="s">
        <v>130</v>
      </c>
      <c r="BR2692" s="0" t="s">
        <v>130</v>
      </c>
      <c r="BS2692" s="0" t="s">
        <v>130</v>
      </c>
      <c r="BT2692" s="0" t="s">
        <v>130</v>
      </c>
      <c r="BU2692" s="0" t="s">
        <v>130</v>
      </c>
      <c r="BV2692" s="0" t="s">
        <v>130</v>
      </c>
      <c r="BW2692" s="0" t="s">
        <v>130</v>
      </c>
      <c r="BX2692" s="0" t="s">
        <v>130</v>
      </c>
      <c r="BY2692" s="0" t="s">
        <v>130</v>
      </c>
      <c r="BZ2692" s="0" t="s">
        <v>130</v>
      </c>
      <c r="CA2692" s="0" t="s">
        <v>130</v>
      </c>
      <c r="CB2692" s="0" t="s">
        <v>130</v>
      </c>
      <c r="CC2692" s="0" t="s">
        <v>130</v>
      </c>
      <c r="CD2692" s="0" t="s">
        <v>130</v>
      </c>
      <c r="CE2692" s="0" t="s">
        <v>130</v>
      </c>
      <c r="CF2692" s="0" t="s">
        <v>130</v>
      </c>
      <c r="CG2692" s="0" t="s">
        <v>130</v>
      </c>
      <c r="CH2692" s="0" t="s">
        <v>130</v>
      </c>
      <c r="CI2692" s="0" t="s">
        <v>130</v>
      </c>
      <c r="CJ2692" s="0" t="s">
        <v>130</v>
      </c>
      <c r="CK2692" s="0" t="s">
        <v>130</v>
      </c>
      <c r="CL2692" s="0" t="s">
        <v>130</v>
      </c>
      <c r="CM2692" s="0" t="s">
        <v>130</v>
      </c>
      <c r="CN2692" s="0" t="s">
        <v>130</v>
      </c>
      <c r="CO2692" s="0" t="s">
        <v>130</v>
      </c>
      <c r="CP2692" s="0" t="s">
        <v>130</v>
      </c>
      <c r="CQ2692" s="0" t="s">
        <v>130</v>
      </c>
      <c r="CR2692" s="0" t="s">
        <v>130</v>
      </c>
      <c r="CS2692" s="0" t="s">
        <v>130</v>
      </c>
      <c r="CT2692" s="0" t="s">
        <v>7277</v>
      </c>
    </row>
    <row r="2693">
      <c r="A2693" s="14">
        <v>16857643</v>
      </c>
      <c r="B2693" s="0" t="s">
        <v>4271</v>
      </c>
      <c r="C2693" s="16">
        <f>HYPERLINK("https://eosportal.federatedhermes.com/companies/Q29tcGFueQppNzgyNzY=", "Alibaba Group Holding Ltd")</f>
      </c>
      <c r="D2693" s="0" t="s">
        <v>25</v>
      </c>
      <c r="E2693" s="0" t="s">
        <v>7278</v>
      </c>
      <c r="F2693" s="16">
        <f>HYPERLINK("https://eosportal.federatedhermes.com/engagements/RW5nYWdlbWVudAppMzcwMDk=", "Reduced usage and increased recyclability and recycling of packaging")</f>
      </c>
      <c r="G2693" s="14" t="s">
        <v>7279</v>
      </c>
      <c r="H2693" s="0" t="s">
        <v>141</v>
      </c>
      <c r="I2693" s="14" t="s">
        <v>1645</v>
      </c>
      <c r="J2693" s="0" t="s">
        <v>197</v>
      </c>
      <c r="K2693" s="0" t="s">
        <v>348</v>
      </c>
      <c r="L2693" s="0" t="s">
        <v>349</v>
      </c>
      <c r="M2693" s="0" t="s">
        <v>802</v>
      </c>
      <c r="N2693" s="0" t="s">
        <v>803</v>
      </c>
      <c r="O2693" s="0" t="s">
        <v>643</v>
      </c>
      <c r="Q2693" s="0" t="s">
        <v>130</v>
      </c>
      <c r="R2693" s="0" t="s">
        <v>138</v>
      </c>
      <c r="S2693" s="14">
        <v>0</v>
      </c>
      <c r="T2693" s="0" t="s">
        <v>2842</v>
      </c>
      <c r="U2693" s="0" t="s">
        <v>138</v>
      </c>
      <c r="V2693" s="14" t="s">
        <v>138</v>
      </c>
      <c r="W2693" s="0" t="s">
        <v>138</v>
      </c>
      <c r="X2693" s="14" t="s">
        <v>138</v>
      </c>
      <c r="Y2693" s="0" t="s">
        <v>138</v>
      </c>
      <c r="Z2693" s="14" t="s">
        <v>138</v>
      </c>
      <c r="AA2693" s="0" t="s">
        <v>138</v>
      </c>
      <c r="AB2693" s="14" t="s">
        <v>138</v>
      </c>
      <c r="AD2693" s="0" t="s">
        <v>138</v>
      </c>
      <c r="AF2693" s="0">
        <v>0</v>
      </c>
      <c r="AG2693" s="0">
        <v>0</v>
      </c>
      <c r="AH2693" s="0" t="s">
        <v>140</v>
      </c>
      <c r="AI2693" s="0" t="s">
        <v>138</v>
      </c>
      <c r="AL2693" s="14"/>
      <c r="AN2693" s="14"/>
      <c r="AQ2693" s="0" t="s">
        <v>130</v>
      </c>
      <c r="AR2693" s="0" t="s">
        <v>130</v>
      </c>
      <c r="AS2693" s="0" t="s">
        <v>130</v>
      </c>
      <c r="AT2693" s="0" t="s">
        <v>130</v>
      </c>
      <c r="AU2693" s="0" t="s">
        <v>130</v>
      </c>
      <c r="AV2693" s="0" t="s">
        <v>130</v>
      </c>
      <c r="AW2693" s="0" t="s">
        <v>130</v>
      </c>
      <c r="AX2693" s="0" t="s">
        <v>130</v>
      </c>
      <c r="AY2693" s="0" t="s">
        <v>130</v>
      </c>
      <c r="AZ2693" s="0" t="s">
        <v>130</v>
      </c>
      <c r="BA2693" s="0" t="s">
        <v>141</v>
      </c>
      <c r="BB2693" s="0" t="s">
        <v>141</v>
      </c>
      <c r="BC2693" s="0" t="s">
        <v>130</v>
      </c>
      <c r="BD2693" s="0" t="s">
        <v>130</v>
      </c>
      <c r="BE2693" s="0" t="s">
        <v>130</v>
      </c>
      <c r="BF2693" s="0" t="s">
        <v>130</v>
      </c>
      <c r="BG2693" s="0" t="s">
        <v>130</v>
      </c>
      <c r="BH2693" s="0" t="s">
        <v>130</v>
      </c>
      <c r="BI2693" s="0" t="s">
        <v>130</v>
      </c>
      <c r="BJ2693" s="0" t="s">
        <v>130</v>
      </c>
      <c r="BK2693" s="0" t="s">
        <v>130</v>
      </c>
      <c r="BL2693" s="0" t="s">
        <v>130</v>
      </c>
      <c r="BM2693" s="0" t="s">
        <v>130</v>
      </c>
      <c r="BN2693" s="0" t="s">
        <v>130</v>
      </c>
      <c r="BO2693" s="0" t="s">
        <v>130</v>
      </c>
      <c r="BP2693" s="0" t="s">
        <v>130</v>
      </c>
      <c r="BQ2693" s="0" t="s">
        <v>130</v>
      </c>
      <c r="BR2693" s="0" t="s">
        <v>130</v>
      </c>
      <c r="BS2693" s="0" t="s">
        <v>130</v>
      </c>
      <c r="BT2693" s="0" t="s">
        <v>130</v>
      </c>
      <c r="BU2693" s="0" t="s">
        <v>130</v>
      </c>
      <c r="BV2693" s="0" t="s">
        <v>130</v>
      </c>
      <c r="BW2693" s="0" t="s">
        <v>130</v>
      </c>
      <c r="BX2693" s="0" t="s">
        <v>130</v>
      </c>
      <c r="BY2693" s="0" t="s">
        <v>130</v>
      </c>
      <c r="BZ2693" s="0" t="s">
        <v>130</v>
      </c>
      <c r="CA2693" s="0" t="s">
        <v>130</v>
      </c>
      <c r="CB2693" s="0" t="s">
        <v>130</v>
      </c>
      <c r="CC2693" s="0" t="s">
        <v>130</v>
      </c>
      <c r="CD2693" s="0" t="s">
        <v>141</v>
      </c>
      <c r="CE2693" s="0" t="s">
        <v>130</v>
      </c>
      <c r="CF2693" s="0" t="s">
        <v>130</v>
      </c>
      <c r="CG2693" s="0" t="s">
        <v>130</v>
      </c>
      <c r="CH2693" s="0" t="s">
        <v>130</v>
      </c>
      <c r="CI2693" s="0" t="s">
        <v>130</v>
      </c>
      <c r="CJ2693" s="0" t="s">
        <v>130</v>
      </c>
      <c r="CK2693" s="0" t="s">
        <v>130</v>
      </c>
      <c r="CL2693" s="0" t="s">
        <v>130</v>
      </c>
      <c r="CM2693" s="0" t="s">
        <v>130</v>
      </c>
      <c r="CN2693" s="0" t="s">
        <v>130</v>
      </c>
      <c r="CO2693" s="0" t="s">
        <v>130</v>
      </c>
      <c r="CP2693" s="0" t="s">
        <v>130</v>
      </c>
      <c r="CQ2693" s="0" t="s">
        <v>130</v>
      </c>
      <c r="CR2693" s="0" t="s">
        <v>130</v>
      </c>
      <c r="CS2693" s="0" t="s">
        <v>130</v>
      </c>
      <c r="CT2693" s="0" t="s">
        <v>7280</v>
      </c>
    </row>
    <row r="2694">
      <c r="A2694" s="14">
        <v>216952</v>
      </c>
      <c r="B2694" s="0" t="s">
        <v>3384</v>
      </c>
      <c r="C2694" s="16">
        <f>HYPERLINK("https://eosportal.federatedhermes.com/companies/Q29tcGFueQppNjc3MjM=", "Amazon.com Inc")</f>
      </c>
      <c r="D2694" s="0" t="s">
        <v>25</v>
      </c>
      <c r="E2694" s="0" t="s">
        <v>907</v>
      </c>
      <c r="F2694" s="16">
        <f>HYPERLINK("https://eosportal.federatedhermes.com/engagements/RW5nYWdlbWVudAppMzcwNTg=", "Climate change")</f>
      </c>
      <c r="G2694" s="14" t="s">
        <v>7281</v>
      </c>
      <c r="H2694" s="0" t="s">
        <v>141</v>
      </c>
      <c r="I2694" s="14" t="s">
        <v>191</v>
      </c>
      <c r="J2694" s="0" t="s">
        <v>197</v>
      </c>
      <c r="K2694" s="0" t="s">
        <v>198</v>
      </c>
      <c r="L2694" s="0" t="s">
        <v>216</v>
      </c>
      <c r="M2694" s="0" t="s">
        <v>135</v>
      </c>
      <c r="N2694" s="0" t="s">
        <v>136</v>
      </c>
      <c r="O2694" s="0" t="s">
        <v>643</v>
      </c>
      <c r="Q2694" s="0" t="s">
        <v>130</v>
      </c>
      <c r="R2694" s="0" t="s">
        <v>138</v>
      </c>
      <c r="S2694" s="14">
        <v>0</v>
      </c>
      <c r="T2694" s="0" t="s">
        <v>2842</v>
      </c>
      <c r="U2694" s="0" t="s">
        <v>138</v>
      </c>
      <c r="V2694" s="14" t="s">
        <v>138</v>
      </c>
      <c r="W2694" s="0" t="s">
        <v>138</v>
      </c>
      <c r="X2694" s="14" t="s">
        <v>138</v>
      </c>
      <c r="Y2694" s="0" t="s">
        <v>138</v>
      </c>
      <c r="Z2694" s="14" t="s">
        <v>138</v>
      </c>
      <c r="AA2694" s="0" t="s">
        <v>138</v>
      </c>
      <c r="AB2694" s="14" t="s">
        <v>138</v>
      </c>
      <c r="AD2694" s="0" t="s">
        <v>138</v>
      </c>
      <c r="AF2694" s="0">
        <v>0</v>
      </c>
      <c r="AG2694" s="0">
        <v>0</v>
      </c>
      <c r="AH2694" s="0" t="s">
        <v>140</v>
      </c>
      <c r="AI2694" s="0" t="s">
        <v>138</v>
      </c>
      <c r="AL2694" s="14"/>
      <c r="AN2694" s="14"/>
      <c r="AQ2694" s="0" t="s">
        <v>130</v>
      </c>
      <c r="AR2694" s="0" t="s">
        <v>130</v>
      </c>
      <c r="AS2694" s="0" t="s">
        <v>130</v>
      </c>
      <c r="AT2694" s="0" t="s">
        <v>130</v>
      </c>
      <c r="AU2694" s="0" t="s">
        <v>130</v>
      </c>
      <c r="AV2694" s="0" t="s">
        <v>130</v>
      </c>
      <c r="AW2694" s="0" t="s">
        <v>141</v>
      </c>
      <c r="AX2694" s="0" t="s">
        <v>130</v>
      </c>
      <c r="AY2694" s="0" t="s">
        <v>130</v>
      </c>
      <c r="AZ2694" s="0" t="s">
        <v>130</v>
      </c>
      <c r="BA2694" s="0" t="s">
        <v>130</v>
      </c>
      <c r="BB2694" s="0" t="s">
        <v>130</v>
      </c>
      <c r="BC2694" s="0" t="s">
        <v>141</v>
      </c>
      <c r="BD2694" s="0" t="s">
        <v>130</v>
      </c>
      <c r="BE2694" s="0" t="s">
        <v>130</v>
      </c>
      <c r="BF2694" s="0" t="s">
        <v>130</v>
      </c>
      <c r="BG2694" s="0" t="s">
        <v>130</v>
      </c>
      <c r="BH2694" s="0" t="s">
        <v>141</v>
      </c>
      <c r="BI2694" s="0" t="s">
        <v>141</v>
      </c>
      <c r="BJ2694" s="0" t="s">
        <v>141</v>
      </c>
      <c r="BK2694" s="0" t="s">
        <v>130</v>
      </c>
      <c r="BL2694" s="0" t="s">
        <v>130</v>
      </c>
      <c r="BM2694" s="0" t="s">
        <v>130</v>
      </c>
      <c r="BN2694" s="0" t="s">
        <v>130</v>
      </c>
      <c r="BO2694" s="0" t="s">
        <v>130</v>
      </c>
      <c r="BP2694" s="0" t="s">
        <v>130</v>
      </c>
      <c r="BQ2694" s="0" t="s">
        <v>130</v>
      </c>
      <c r="BR2694" s="0" t="s">
        <v>130</v>
      </c>
      <c r="BS2694" s="0" t="s">
        <v>130</v>
      </c>
      <c r="BT2694" s="0" t="s">
        <v>130</v>
      </c>
      <c r="BU2694" s="0" t="s">
        <v>130</v>
      </c>
      <c r="BV2694" s="0" t="s">
        <v>141</v>
      </c>
      <c r="BW2694" s="0" t="s">
        <v>141</v>
      </c>
      <c r="BX2694" s="0" t="s">
        <v>130</v>
      </c>
      <c r="BY2694" s="0" t="s">
        <v>130</v>
      </c>
      <c r="BZ2694" s="0" t="s">
        <v>130</v>
      </c>
      <c r="CA2694" s="0" t="s">
        <v>130</v>
      </c>
      <c r="CB2694" s="0" t="s">
        <v>130</v>
      </c>
      <c r="CC2694" s="0" t="s">
        <v>130</v>
      </c>
      <c r="CD2694" s="0" t="s">
        <v>130</v>
      </c>
      <c r="CE2694" s="0" t="s">
        <v>130</v>
      </c>
      <c r="CF2694" s="0" t="s">
        <v>130</v>
      </c>
      <c r="CG2694" s="0" t="s">
        <v>130</v>
      </c>
      <c r="CH2694" s="0" t="s">
        <v>130</v>
      </c>
      <c r="CI2694" s="0" t="s">
        <v>130</v>
      </c>
      <c r="CJ2694" s="0" t="s">
        <v>130</v>
      </c>
      <c r="CK2694" s="0" t="s">
        <v>130</v>
      </c>
      <c r="CL2694" s="0" t="s">
        <v>130</v>
      </c>
      <c r="CM2694" s="0" t="s">
        <v>130</v>
      </c>
      <c r="CN2694" s="0" t="s">
        <v>130</v>
      </c>
      <c r="CO2694" s="0" t="s">
        <v>130</v>
      </c>
      <c r="CP2694" s="0" t="s">
        <v>130</v>
      </c>
      <c r="CQ2694" s="0" t="s">
        <v>130</v>
      </c>
      <c r="CR2694" s="0" t="s">
        <v>130</v>
      </c>
      <c r="CS2694" s="0" t="s">
        <v>130</v>
      </c>
      <c r="CT2694" s="0" t="s">
        <v>7282</v>
      </c>
    </row>
    <row r="2695">
      <c r="A2695" s="14">
        <v>115230</v>
      </c>
      <c r="B2695" s="0" t="s">
        <v>2352</v>
      </c>
      <c r="C2695" s="16">
        <f>HYPERLINK("https://eosportal.federatedhermes.com/companies/Q29tcGFueQppNjI0OTg=", "Air Liquide SA")</f>
      </c>
      <c r="D2695" s="0" t="s">
        <v>25</v>
      </c>
      <c r="E2695" s="0" t="s">
        <v>7283</v>
      </c>
      <c r="F2695" s="16">
        <f>HYPERLINK("https://eosportal.federatedhermes.com/engagements/RW5nYWdlbWVudAppMzcwODY=", "Executive Remuneration - LTIP with no vesting period")</f>
      </c>
      <c r="G2695" s="14" t="s">
        <v>7284</v>
      </c>
      <c r="H2695" s="0" t="s">
        <v>141</v>
      </c>
      <c r="I2695" s="14" t="s">
        <v>1645</v>
      </c>
      <c r="J2695" s="0" t="s">
        <v>145</v>
      </c>
      <c r="K2695" s="0" t="s">
        <v>146</v>
      </c>
      <c r="L2695" s="0" t="s">
        <v>147</v>
      </c>
      <c r="M2695" s="0" t="s">
        <v>378</v>
      </c>
      <c r="N2695" s="0" t="s">
        <v>1646</v>
      </c>
      <c r="O2695" s="0" t="s">
        <v>706</v>
      </c>
      <c r="Q2695" s="0" t="s">
        <v>141</v>
      </c>
      <c r="R2695" s="0" t="s">
        <v>138</v>
      </c>
      <c r="S2695" s="14">
        <v>1</v>
      </c>
      <c r="T2695" s="0" t="s">
        <v>2842</v>
      </c>
      <c r="U2695" s="0" t="s">
        <v>138</v>
      </c>
      <c r="V2695" s="14" t="s">
        <v>138</v>
      </c>
      <c r="W2695" s="0" t="s">
        <v>138</v>
      </c>
      <c r="X2695" s="14" t="s">
        <v>138</v>
      </c>
      <c r="Y2695" s="0" t="s">
        <v>138</v>
      </c>
      <c r="Z2695" s="14" t="s">
        <v>138</v>
      </c>
      <c r="AA2695" s="0" t="s">
        <v>138</v>
      </c>
      <c r="AB2695" s="14" t="s">
        <v>138</v>
      </c>
      <c r="AD2695" s="0" t="s">
        <v>138</v>
      </c>
      <c r="AF2695" s="0">
        <v>0</v>
      </c>
      <c r="AG2695" s="0">
        <v>0</v>
      </c>
      <c r="AH2695" s="0" t="s">
        <v>140</v>
      </c>
      <c r="AI2695" s="0" t="s">
        <v>138</v>
      </c>
      <c r="AK2695" s="0" t="s">
        <v>436</v>
      </c>
      <c r="AL2695" s="14"/>
      <c r="AN2695" s="14"/>
      <c r="AQ2695" s="0" t="s">
        <v>130</v>
      </c>
      <c r="AR2695" s="0" t="s">
        <v>130</v>
      </c>
      <c r="AS2695" s="0" t="s">
        <v>130</v>
      </c>
      <c r="AT2695" s="0" t="s">
        <v>130</v>
      </c>
      <c r="AU2695" s="0" t="s">
        <v>130</v>
      </c>
      <c r="AV2695" s="0" t="s">
        <v>130</v>
      </c>
      <c r="AW2695" s="0" t="s">
        <v>130</v>
      </c>
      <c r="AX2695" s="0" t="s">
        <v>130</v>
      </c>
      <c r="AY2695" s="0" t="s">
        <v>130</v>
      </c>
      <c r="AZ2695" s="0" t="s">
        <v>130</v>
      </c>
      <c r="BA2695" s="0" t="s">
        <v>130</v>
      </c>
      <c r="BB2695" s="0" t="s">
        <v>130</v>
      </c>
      <c r="BC2695" s="0" t="s">
        <v>130</v>
      </c>
      <c r="BD2695" s="0" t="s">
        <v>130</v>
      </c>
      <c r="BE2695" s="0" t="s">
        <v>130</v>
      </c>
      <c r="BF2695" s="0" t="s">
        <v>130</v>
      </c>
      <c r="BG2695" s="0" t="s">
        <v>130</v>
      </c>
      <c r="BH2695" s="0" t="s">
        <v>130</v>
      </c>
      <c r="BI2695" s="0" t="s">
        <v>130</v>
      </c>
      <c r="BJ2695" s="0" t="s">
        <v>130</v>
      </c>
      <c r="BK2695" s="0" t="s">
        <v>130</v>
      </c>
      <c r="BL2695" s="0" t="s">
        <v>130</v>
      </c>
      <c r="BM2695" s="0" t="s">
        <v>130</v>
      </c>
      <c r="BN2695" s="0" t="s">
        <v>130</v>
      </c>
      <c r="BO2695" s="0" t="s">
        <v>130</v>
      </c>
      <c r="BP2695" s="0" t="s">
        <v>130</v>
      </c>
      <c r="BQ2695" s="0" t="s">
        <v>130</v>
      </c>
      <c r="BR2695" s="0" t="s">
        <v>130</v>
      </c>
      <c r="BS2695" s="0" t="s">
        <v>130</v>
      </c>
      <c r="BT2695" s="0" t="s">
        <v>130</v>
      </c>
      <c r="BU2695" s="0" t="s">
        <v>130</v>
      </c>
      <c r="BV2695" s="0" t="s">
        <v>130</v>
      </c>
      <c r="BW2695" s="0" t="s">
        <v>130</v>
      </c>
      <c r="BX2695" s="0" t="s">
        <v>130</v>
      </c>
      <c r="BY2695" s="0" t="s">
        <v>130</v>
      </c>
      <c r="BZ2695" s="0" t="s">
        <v>130</v>
      </c>
      <c r="CA2695" s="0" t="s">
        <v>130</v>
      </c>
      <c r="CB2695" s="0" t="s">
        <v>130</v>
      </c>
      <c r="CC2695" s="0" t="s">
        <v>130</v>
      </c>
      <c r="CD2695" s="0" t="s">
        <v>130</v>
      </c>
      <c r="CE2695" s="0" t="s">
        <v>130</v>
      </c>
      <c r="CF2695" s="0" t="s">
        <v>130</v>
      </c>
      <c r="CG2695" s="0" t="s">
        <v>130</v>
      </c>
      <c r="CH2695" s="0" t="s">
        <v>130</v>
      </c>
      <c r="CI2695" s="0" t="s">
        <v>130</v>
      </c>
      <c r="CJ2695" s="0" t="s">
        <v>130</v>
      </c>
      <c r="CK2695" s="0" t="s">
        <v>130</v>
      </c>
      <c r="CL2695" s="0" t="s">
        <v>130</v>
      </c>
      <c r="CM2695" s="0" t="s">
        <v>130</v>
      </c>
      <c r="CN2695" s="0" t="s">
        <v>130</v>
      </c>
      <c r="CO2695" s="0" t="s">
        <v>130</v>
      </c>
      <c r="CP2695" s="0" t="s">
        <v>130</v>
      </c>
      <c r="CQ2695" s="0" t="s">
        <v>130</v>
      </c>
      <c r="CR2695" s="0" t="s">
        <v>130</v>
      </c>
      <c r="CS2695" s="0" t="s">
        <v>130</v>
      </c>
      <c r="CT2695" s="0" t="s">
        <v>7285</v>
      </c>
    </row>
    <row r="2696">
      <c r="A2696" s="14">
        <v>101639</v>
      </c>
      <c r="B2696" s="0" t="s">
        <v>1867</v>
      </c>
      <c r="C2696" s="16">
        <f>HYPERLINK("https://eosportal.federatedhermes.com/companies/Q29tcGFueQppNzU2NzE=", "West Pharmaceutical Services Inc")</f>
      </c>
      <c r="D2696" s="0" t="s">
        <v>23</v>
      </c>
      <c r="E2696" s="0" t="s">
        <v>1147</v>
      </c>
      <c r="F2696" s="16">
        <f>HYPERLINK("https://eosportal.federatedhermes.com/engagements/RW5nYWdlbWVudAppMzcxMDY=", "Climate resilient strategy - enhanced scope")</f>
      </c>
      <c r="G2696" s="14" t="s">
        <v>7286</v>
      </c>
      <c r="H2696" s="0" t="s">
        <v>130</v>
      </c>
      <c r="I2696" s="14" t="s">
        <v>131</v>
      </c>
      <c r="J2696" s="0" t="s">
        <v>197</v>
      </c>
      <c r="K2696" s="0" t="s">
        <v>198</v>
      </c>
      <c r="L2696" s="0" t="s">
        <v>220</v>
      </c>
      <c r="M2696" s="0" t="s">
        <v>135</v>
      </c>
      <c r="N2696" s="0" t="s">
        <v>136</v>
      </c>
      <c r="O2696" s="0" t="s">
        <v>274</v>
      </c>
      <c r="Q2696" s="0" t="s">
        <v>130</v>
      </c>
      <c r="R2696" s="0" t="s">
        <v>130</v>
      </c>
      <c r="S2696" s="14">
        <v>0</v>
      </c>
      <c r="T2696" s="0" t="s">
        <v>2842</v>
      </c>
      <c r="U2696" s="0" t="s">
        <v>221</v>
      </c>
      <c r="V2696" s="14" t="s">
        <v>2842</v>
      </c>
      <c r="W2696" s="0" t="s">
        <v>221</v>
      </c>
      <c r="X2696" s="14" t="s">
        <v>2428</v>
      </c>
      <c r="Y2696" s="0" t="s">
        <v>221</v>
      </c>
      <c r="Z2696" s="14" t="s">
        <v>449</v>
      </c>
      <c r="AA2696" s="0" t="s">
        <v>223</v>
      </c>
      <c r="AB2696" s="14" t="s">
        <v>138</v>
      </c>
      <c r="AD2696" s="0" t="s">
        <v>20</v>
      </c>
      <c r="AF2696" s="0">
        <v>0</v>
      </c>
      <c r="AG2696" s="0">
        <v>0</v>
      </c>
      <c r="AH2696" s="0" t="s">
        <v>140</v>
      </c>
      <c r="AI2696" s="0" t="s">
        <v>598</v>
      </c>
      <c r="AL2696" s="14"/>
      <c r="AN2696" s="14"/>
      <c r="AQ2696" s="0" t="s">
        <v>130</v>
      </c>
      <c r="AR2696" s="0" t="s">
        <v>130</v>
      </c>
      <c r="AS2696" s="0" t="s">
        <v>130</v>
      </c>
      <c r="AT2696" s="0" t="s">
        <v>130</v>
      </c>
      <c r="AU2696" s="0" t="s">
        <v>130</v>
      </c>
      <c r="AV2696" s="0" t="s">
        <v>130</v>
      </c>
      <c r="AW2696" s="0" t="s">
        <v>141</v>
      </c>
      <c r="AX2696" s="0" t="s">
        <v>130</v>
      </c>
      <c r="AY2696" s="0" t="s">
        <v>141</v>
      </c>
      <c r="AZ2696" s="0" t="s">
        <v>130</v>
      </c>
      <c r="BA2696" s="0" t="s">
        <v>130</v>
      </c>
      <c r="BB2696" s="0" t="s">
        <v>130</v>
      </c>
      <c r="BC2696" s="0" t="s">
        <v>141</v>
      </c>
      <c r="BD2696" s="0" t="s">
        <v>130</v>
      </c>
      <c r="BE2696" s="0" t="s">
        <v>130</v>
      </c>
      <c r="BF2696" s="0" t="s">
        <v>130</v>
      </c>
      <c r="BG2696" s="0" t="s">
        <v>130</v>
      </c>
      <c r="BH2696" s="0" t="s">
        <v>141</v>
      </c>
      <c r="BI2696" s="0" t="s">
        <v>141</v>
      </c>
      <c r="BJ2696" s="0" t="s">
        <v>141</v>
      </c>
      <c r="BK2696" s="0" t="s">
        <v>130</v>
      </c>
      <c r="BL2696" s="0" t="s">
        <v>130</v>
      </c>
      <c r="BM2696" s="0" t="s">
        <v>130</v>
      </c>
      <c r="BN2696" s="0" t="s">
        <v>130</v>
      </c>
      <c r="BO2696" s="0" t="s">
        <v>130</v>
      </c>
      <c r="BP2696" s="0" t="s">
        <v>130</v>
      </c>
      <c r="BQ2696" s="0" t="s">
        <v>130</v>
      </c>
      <c r="BR2696" s="0" t="s">
        <v>130</v>
      </c>
      <c r="BS2696" s="0" t="s">
        <v>130</v>
      </c>
      <c r="BT2696" s="0" t="s">
        <v>130</v>
      </c>
      <c r="BU2696" s="0" t="s">
        <v>130</v>
      </c>
      <c r="BV2696" s="0" t="s">
        <v>141</v>
      </c>
      <c r="BW2696" s="0" t="s">
        <v>141</v>
      </c>
      <c r="BX2696" s="0" t="s">
        <v>130</v>
      </c>
      <c r="BY2696" s="0" t="s">
        <v>130</v>
      </c>
      <c r="BZ2696" s="0" t="s">
        <v>130</v>
      </c>
      <c r="CA2696" s="0" t="s">
        <v>130</v>
      </c>
      <c r="CB2696" s="0" t="s">
        <v>130</v>
      </c>
      <c r="CC2696" s="0" t="s">
        <v>130</v>
      </c>
      <c r="CD2696" s="0" t="s">
        <v>130</v>
      </c>
      <c r="CE2696" s="0" t="s">
        <v>130</v>
      </c>
      <c r="CF2696" s="0" t="s">
        <v>130</v>
      </c>
      <c r="CG2696" s="0" t="s">
        <v>130</v>
      </c>
      <c r="CH2696" s="0" t="s">
        <v>130</v>
      </c>
      <c r="CI2696" s="0" t="s">
        <v>130</v>
      </c>
      <c r="CJ2696" s="0" t="s">
        <v>130</v>
      </c>
      <c r="CK2696" s="0" t="s">
        <v>130</v>
      </c>
      <c r="CL2696" s="0" t="s">
        <v>130</v>
      </c>
      <c r="CM2696" s="0" t="s">
        <v>130</v>
      </c>
      <c r="CN2696" s="0" t="s">
        <v>130</v>
      </c>
      <c r="CO2696" s="0" t="s">
        <v>130</v>
      </c>
      <c r="CP2696" s="0" t="s">
        <v>130</v>
      </c>
      <c r="CQ2696" s="0" t="s">
        <v>130</v>
      </c>
      <c r="CR2696" s="0" t="s">
        <v>130</v>
      </c>
      <c r="CS2696" s="0" t="s">
        <v>130</v>
      </c>
      <c r="CT2696" s="0" t="s">
        <v>7287</v>
      </c>
    </row>
    <row r="2697">
      <c r="A2697" s="14">
        <v>171258</v>
      </c>
      <c r="B2697" s="0" t="s">
        <v>3052</v>
      </c>
      <c r="C2697" s="16">
        <f>HYPERLINK("https://eosportal.federatedhermes.com/companies/Q29tcGFueQppNjc3MzQ=", "Credicorp Ltd")</f>
      </c>
      <c r="D2697" s="0" t="s">
        <v>25</v>
      </c>
      <c r="E2697" s="0" t="s">
        <v>7288</v>
      </c>
      <c r="F2697" s="16">
        <f>HYPERLINK("https://eosportal.federatedhermes.com/engagements/RW5nYWdlbWVudAppMzcxMTI=", "Financial inclusion - gender")</f>
      </c>
      <c r="G2697" s="14" t="s">
        <v>7289</v>
      </c>
      <c r="H2697" s="0" t="s">
        <v>130</v>
      </c>
      <c r="I2697" s="14" t="s">
        <v>131</v>
      </c>
      <c r="J2697" s="0" t="s">
        <v>153</v>
      </c>
      <c r="K2697" s="0" t="s">
        <v>243</v>
      </c>
      <c r="L2697" s="0" t="s">
        <v>292</v>
      </c>
      <c r="M2697" s="0" t="s">
        <v>2807</v>
      </c>
      <c r="N2697" s="0" t="s">
        <v>3055</v>
      </c>
      <c r="O2697" s="0" t="s">
        <v>238</v>
      </c>
      <c r="Q2697" s="0" t="s">
        <v>141</v>
      </c>
      <c r="R2697" s="0" t="s">
        <v>138</v>
      </c>
      <c r="S2697" s="14">
        <v>1</v>
      </c>
      <c r="T2697" s="0" t="s">
        <v>478</v>
      </c>
      <c r="U2697" s="0" t="s">
        <v>138</v>
      </c>
      <c r="V2697" s="14" t="s">
        <v>138</v>
      </c>
      <c r="W2697" s="0" t="s">
        <v>138</v>
      </c>
      <c r="X2697" s="14" t="s">
        <v>138</v>
      </c>
      <c r="Y2697" s="0" t="s">
        <v>138</v>
      </c>
      <c r="Z2697" s="14" t="s">
        <v>138</v>
      </c>
      <c r="AA2697" s="0" t="s">
        <v>138</v>
      </c>
      <c r="AB2697" s="14" t="s">
        <v>138</v>
      </c>
      <c r="AD2697" s="0" t="s">
        <v>138</v>
      </c>
      <c r="AF2697" s="0">
        <v>0</v>
      </c>
      <c r="AG2697" s="0">
        <v>0</v>
      </c>
      <c r="AH2697" s="0" t="s">
        <v>140</v>
      </c>
      <c r="AI2697" s="0" t="s">
        <v>138</v>
      </c>
      <c r="AK2697" s="0" t="s">
        <v>2376</v>
      </c>
      <c r="AL2697" s="14"/>
      <c r="AN2697" s="14"/>
      <c r="AQ2697" s="0" t="s">
        <v>141</v>
      </c>
      <c r="AR2697" s="0" t="s">
        <v>130</v>
      </c>
      <c r="AS2697" s="0" t="s">
        <v>130</v>
      </c>
      <c r="AT2697" s="0" t="s">
        <v>130</v>
      </c>
      <c r="AU2697" s="0" t="s">
        <v>141</v>
      </c>
      <c r="AV2697" s="0" t="s">
        <v>130</v>
      </c>
      <c r="AW2697" s="0" t="s">
        <v>130</v>
      </c>
      <c r="AX2697" s="0" t="s">
        <v>141</v>
      </c>
      <c r="AY2697" s="0" t="s">
        <v>130</v>
      </c>
      <c r="AZ2697" s="0" t="s">
        <v>130</v>
      </c>
      <c r="BA2697" s="0" t="s">
        <v>130</v>
      </c>
      <c r="BB2697" s="0" t="s">
        <v>130</v>
      </c>
      <c r="BC2697" s="0" t="s">
        <v>130</v>
      </c>
      <c r="BD2697" s="0" t="s">
        <v>130</v>
      </c>
      <c r="BE2697" s="0" t="s">
        <v>130</v>
      </c>
      <c r="BF2697" s="0" t="s">
        <v>130</v>
      </c>
      <c r="BG2697" s="0" t="s">
        <v>130</v>
      </c>
      <c r="BH2697" s="0" t="s">
        <v>130</v>
      </c>
      <c r="BI2697" s="0" t="s">
        <v>130</v>
      </c>
      <c r="BJ2697" s="0" t="s">
        <v>130</v>
      </c>
      <c r="BK2697" s="0" t="s">
        <v>130</v>
      </c>
      <c r="BL2697" s="0" t="s">
        <v>130</v>
      </c>
      <c r="BM2697" s="0" t="s">
        <v>130</v>
      </c>
      <c r="BN2697" s="0" t="s">
        <v>130</v>
      </c>
      <c r="BO2697" s="0" t="s">
        <v>130</v>
      </c>
      <c r="BP2697" s="0" t="s">
        <v>130</v>
      </c>
      <c r="BQ2697" s="0" t="s">
        <v>130</v>
      </c>
      <c r="BR2697" s="0" t="s">
        <v>130</v>
      </c>
      <c r="BS2697" s="0" t="s">
        <v>130</v>
      </c>
      <c r="BT2697" s="0" t="s">
        <v>130</v>
      </c>
      <c r="BU2697" s="0" t="s">
        <v>130</v>
      </c>
      <c r="BV2697" s="0" t="s">
        <v>130</v>
      </c>
      <c r="BW2697" s="0" t="s">
        <v>130</v>
      </c>
      <c r="BX2697" s="0" t="s">
        <v>130</v>
      </c>
      <c r="BY2697" s="0" t="s">
        <v>130</v>
      </c>
      <c r="BZ2697" s="0" t="s">
        <v>130</v>
      </c>
      <c r="CA2697" s="0" t="s">
        <v>130</v>
      </c>
      <c r="CB2697" s="0" t="s">
        <v>130</v>
      </c>
      <c r="CC2697" s="0" t="s">
        <v>130</v>
      </c>
      <c r="CD2697" s="0" t="s">
        <v>130</v>
      </c>
      <c r="CE2697" s="0" t="s">
        <v>130</v>
      </c>
      <c r="CF2697" s="0" t="s">
        <v>130</v>
      </c>
      <c r="CG2697" s="0" t="s">
        <v>130</v>
      </c>
      <c r="CH2697" s="0" t="s">
        <v>130</v>
      </c>
      <c r="CI2697" s="0" t="s">
        <v>130</v>
      </c>
      <c r="CJ2697" s="0" t="s">
        <v>130</v>
      </c>
      <c r="CK2697" s="0" t="s">
        <v>130</v>
      </c>
      <c r="CL2697" s="0" t="s">
        <v>130</v>
      </c>
      <c r="CM2697" s="0" t="s">
        <v>130</v>
      </c>
      <c r="CN2697" s="0" t="s">
        <v>130</v>
      </c>
      <c r="CO2697" s="0" t="s">
        <v>130</v>
      </c>
      <c r="CP2697" s="0" t="s">
        <v>130</v>
      </c>
      <c r="CQ2697" s="0" t="s">
        <v>130</v>
      </c>
      <c r="CR2697" s="0" t="s">
        <v>130</v>
      </c>
      <c r="CS2697" s="0" t="s">
        <v>130</v>
      </c>
      <c r="CT2697" s="0" t="s">
        <v>7290</v>
      </c>
    </row>
    <row r="2698">
      <c r="A2698" s="14">
        <v>1750153</v>
      </c>
      <c r="B2698" s="0" t="s">
        <v>3705</v>
      </c>
      <c r="C2698" s="16">
        <f>HYPERLINK("https://eosportal.federatedhermes.com/companies/Q29tcGFueQppNzc5MjU=", "Mastercard Inc")</f>
      </c>
      <c r="D2698" s="0" t="s">
        <v>25</v>
      </c>
      <c r="E2698" s="0" t="s">
        <v>3737</v>
      </c>
      <c r="F2698" s="16">
        <f>HYPERLINK("https://eosportal.federatedhermes.com/engagements/RW5nYWdlbWVudAppMzcxMTU=", "Sustainability Reporting")</f>
      </c>
      <c r="G2698" s="14" t="s">
        <v>7291</v>
      </c>
      <c r="H2698" s="0" t="s">
        <v>141</v>
      </c>
      <c r="I2698" s="14" t="s">
        <v>131</v>
      </c>
      <c r="J2698" s="0" t="s">
        <v>132</v>
      </c>
      <c r="K2698" s="0" t="s">
        <v>170</v>
      </c>
      <c r="L2698" s="0" t="s">
        <v>171</v>
      </c>
      <c r="M2698" s="0" t="s">
        <v>135</v>
      </c>
      <c r="N2698" s="0" t="s">
        <v>136</v>
      </c>
      <c r="O2698" s="0" t="s">
        <v>137</v>
      </c>
      <c r="Q2698" s="0" t="s">
        <v>130</v>
      </c>
      <c r="R2698" s="0" t="s">
        <v>138</v>
      </c>
      <c r="S2698" s="14">
        <v>0</v>
      </c>
      <c r="T2698" s="0" t="s">
        <v>3562</v>
      </c>
      <c r="U2698" s="0" t="s">
        <v>138</v>
      </c>
      <c r="V2698" s="14" t="s">
        <v>138</v>
      </c>
      <c r="W2698" s="0" t="s">
        <v>138</v>
      </c>
      <c r="X2698" s="14" t="s">
        <v>138</v>
      </c>
      <c r="Y2698" s="0" t="s">
        <v>138</v>
      </c>
      <c r="Z2698" s="14" t="s">
        <v>138</v>
      </c>
      <c r="AA2698" s="0" t="s">
        <v>138</v>
      </c>
      <c r="AB2698" s="14" t="s">
        <v>138</v>
      </c>
      <c r="AD2698" s="0" t="s">
        <v>138</v>
      </c>
      <c r="AF2698" s="0">
        <v>0</v>
      </c>
      <c r="AG2698" s="0">
        <v>0</v>
      </c>
      <c r="AH2698" s="0" t="s">
        <v>140</v>
      </c>
      <c r="AI2698" s="0" t="s">
        <v>138</v>
      </c>
      <c r="AL2698" s="14"/>
      <c r="AN2698" s="14"/>
      <c r="AQ2698" s="0" t="s">
        <v>130</v>
      </c>
      <c r="AR2698" s="0" t="s">
        <v>130</v>
      </c>
      <c r="AS2698" s="0" t="s">
        <v>130</v>
      </c>
      <c r="AT2698" s="0" t="s">
        <v>130</v>
      </c>
      <c r="AU2698" s="0" t="s">
        <v>130</v>
      </c>
      <c r="AV2698" s="0" t="s">
        <v>130</v>
      </c>
      <c r="AW2698" s="0" t="s">
        <v>130</v>
      </c>
      <c r="AX2698" s="0" t="s">
        <v>130</v>
      </c>
      <c r="AY2698" s="0" t="s">
        <v>130</v>
      </c>
      <c r="AZ2698" s="0" t="s">
        <v>130</v>
      </c>
      <c r="BA2698" s="0" t="s">
        <v>130</v>
      </c>
      <c r="BB2698" s="0" t="s">
        <v>141</v>
      </c>
      <c r="BC2698" s="0" t="s">
        <v>130</v>
      </c>
      <c r="BD2698" s="0" t="s">
        <v>130</v>
      </c>
      <c r="BE2698" s="0" t="s">
        <v>130</v>
      </c>
      <c r="BF2698" s="0" t="s">
        <v>130</v>
      </c>
      <c r="BG2698" s="0" t="s">
        <v>130</v>
      </c>
      <c r="BH2698" s="0" t="s">
        <v>130</v>
      </c>
      <c r="BI2698" s="0" t="s">
        <v>130</v>
      </c>
      <c r="BJ2698" s="0" t="s">
        <v>130</v>
      </c>
      <c r="BK2698" s="0" t="s">
        <v>130</v>
      </c>
      <c r="BL2698" s="0" t="s">
        <v>130</v>
      </c>
      <c r="BM2698" s="0" t="s">
        <v>130</v>
      </c>
      <c r="BN2698" s="0" t="s">
        <v>130</v>
      </c>
      <c r="BO2698" s="0" t="s">
        <v>130</v>
      </c>
      <c r="BP2698" s="0" t="s">
        <v>130</v>
      </c>
      <c r="BQ2698" s="0" t="s">
        <v>130</v>
      </c>
      <c r="BR2698" s="0" t="s">
        <v>130</v>
      </c>
      <c r="BS2698" s="0" t="s">
        <v>130</v>
      </c>
      <c r="BT2698" s="0" t="s">
        <v>130</v>
      </c>
      <c r="BU2698" s="0" t="s">
        <v>130</v>
      </c>
      <c r="BV2698" s="0" t="s">
        <v>130</v>
      </c>
      <c r="BW2698" s="0" t="s">
        <v>130</v>
      </c>
      <c r="BX2698" s="0" t="s">
        <v>130</v>
      </c>
      <c r="BY2698" s="0" t="s">
        <v>130</v>
      </c>
      <c r="BZ2698" s="0" t="s">
        <v>130</v>
      </c>
      <c r="CA2698" s="0" t="s">
        <v>130</v>
      </c>
      <c r="CB2698" s="0" t="s">
        <v>130</v>
      </c>
      <c r="CC2698" s="0" t="s">
        <v>130</v>
      </c>
      <c r="CD2698" s="0" t="s">
        <v>130</v>
      </c>
      <c r="CE2698" s="0" t="s">
        <v>130</v>
      </c>
      <c r="CF2698" s="0" t="s">
        <v>130</v>
      </c>
      <c r="CG2698" s="0" t="s">
        <v>130</v>
      </c>
      <c r="CH2698" s="0" t="s">
        <v>130</v>
      </c>
      <c r="CI2698" s="0" t="s">
        <v>130</v>
      </c>
      <c r="CJ2698" s="0" t="s">
        <v>130</v>
      </c>
      <c r="CK2698" s="0" t="s">
        <v>130</v>
      </c>
      <c r="CL2698" s="0" t="s">
        <v>130</v>
      </c>
      <c r="CM2698" s="0" t="s">
        <v>130</v>
      </c>
      <c r="CN2698" s="0" t="s">
        <v>130</v>
      </c>
      <c r="CO2698" s="0" t="s">
        <v>130</v>
      </c>
      <c r="CP2698" s="0" t="s">
        <v>130</v>
      </c>
      <c r="CQ2698" s="0" t="s">
        <v>130</v>
      </c>
      <c r="CR2698" s="0" t="s">
        <v>130</v>
      </c>
      <c r="CS2698" s="0" t="s">
        <v>130</v>
      </c>
      <c r="CT2698" s="0" t="s">
        <v>7292</v>
      </c>
    </row>
    <row r="2699">
      <c r="A2699" s="14">
        <v>305366</v>
      </c>
      <c r="B2699" s="0" t="s">
        <v>3558</v>
      </c>
      <c r="C2699" s="16">
        <f>HYPERLINK("https://eosportal.federatedhermes.com/companies/Q29tcGFueQppODQ0MTc=", "Quanta Services Inc")</f>
      </c>
      <c r="D2699" s="0" t="s">
        <v>23</v>
      </c>
      <c r="E2699" s="0" t="s">
        <v>2525</v>
      </c>
      <c r="F2699" s="16">
        <f>HYPERLINK("https://eosportal.federatedhermes.com/engagements/RW5nYWdlbWVudAppMzcxMjI=", "Health and safety management")</f>
      </c>
      <c r="G2699" s="14" t="s">
        <v>7293</v>
      </c>
      <c r="H2699" s="0" t="s">
        <v>130</v>
      </c>
      <c r="I2699" s="14" t="s">
        <v>131</v>
      </c>
      <c r="J2699" s="0" t="s">
        <v>153</v>
      </c>
      <c r="K2699" s="0" t="s">
        <v>154</v>
      </c>
      <c r="L2699" s="0" t="s">
        <v>155</v>
      </c>
      <c r="M2699" s="0" t="s">
        <v>135</v>
      </c>
      <c r="N2699" s="0" t="s">
        <v>136</v>
      </c>
      <c r="O2699" s="0" t="s">
        <v>176</v>
      </c>
      <c r="Q2699" s="0" t="s">
        <v>141</v>
      </c>
      <c r="R2699" s="0" t="s">
        <v>130</v>
      </c>
      <c r="S2699" s="14">
        <v>1</v>
      </c>
      <c r="T2699" s="0" t="s">
        <v>446</v>
      </c>
      <c r="U2699" s="0" t="s">
        <v>221</v>
      </c>
      <c r="V2699" s="14" t="s">
        <v>446</v>
      </c>
      <c r="W2699" s="0" t="s">
        <v>221</v>
      </c>
      <c r="X2699" s="14" t="s">
        <v>449</v>
      </c>
      <c r="Y2699" s="0" t="s">
        <v>223</v>
      </c>
      <c r="Z2699" s="14" t="s">
        <v>138</v>
      </c>
      <c r="AA2699" s="0" t="s">
        <v>224</v>
      </c>
      <c r="AB2699" s="14" t="s">
        <v>138</v>
      </c>
      <c r="AD2699" s="0" t="s">
        <v>17</v>
      </c>
      <c r="AF2699" s="0">
        <v>0</v>
      </c>
      <c r="AG2699" s="0">
        <v>0</v>
      </c>
      <c r="AH2699" s="0" t="s">
        <v>140</v>
      </c>
      <c r="AI2699" s="0" t="s">
        <v>598</v>
      </c>
      <c r="AK2699" s="0" t="s">
        <v>587</v>
      </c>
      <c r="AL2699" s="14"/>
      <c r="AN2699" s="14"/>
      <c r="AQ2699" s="0" t="s">
        <v>130</v>
      </c>
      <c r="AR2699" s="0" t="s">
        <v>130</v>
      </c>
      <c r="AS2699" s="0" t="s">
        <v>130</v>
      </c>
      <c r="AT2699" s="0" t="s">
        <v>130</v>
      </c>
      <c r="AU2699" s="0" t="s">
        <v>130</v>
      </c>
      <c r="AV2699" s="0" t="s">
        <v>130</v>
      </c>
      <c r="AW2699" s="0" t="s">
        <v>130</v>
      </c>
      <c r="AX2699" s="0" t="s">
        <v>141</v>
      </c>
      <c r="AY2699" s="0" t="s">
        <v>130</v>
      </c>
      <c r="AZ2699" s="0" t="s">
        <v>130</v>
      </c>
      <c r="BA2699" s="0" t="s">
        <v>130</v>
      </c>
      <c r="BB2699" s="0" t="s">
        <v>130</v>
      </c>
      <c r="BC2699" s="0" t="s">
        <v>130</v>
      </c>
      <c r="BD2699" s="0" t="s">
        <v>130</v>
      </c>
      <c r="BE2699" s="0" t="s">
        <v>130</v>
      </c>
      <c r="BF2699" s="0" t="s">
        <v>130</v>
      </c>
      <c r="BG2699" s="0" t="s">
        <v>130</v>
      </c>
      <c r="BH2699" s="0" t="s">
        <v>130</v>
      </c>
      <c r="BI2699" s="0" t="s">
        <v>130</v>
      </c>
      <c r="BJ2699" s="0" t="s">
        <v>130</v>
      </c>
      <c r="BK2699" s="0" t="s">
        <v>130</v>
      </c>
      <c r="BL2699" s="0" t="s">
        <v>130</v>
      </c>
      <c r="BM2699" s="0" t="s">
        <v>130</v>
      </c>
      <c r="BN2699" s="0" t="s">
        <v>130</v>
      </c>
      <c r="BO2699" s="0" t="s">
        <v>130</v>
      </c>
      <c r="BP2699" s="0" t="s">
        <v>130</v>
      </c>
      <c r="BQ2699" s="0" t="s">
        <v>130</v>
      </c>
      <c r="BR2699" s="0" t="s">
        <v>130</v>
      </c>
      <c r="BS2699" s="0" t="s">
        <v>130</v>
      </c>
      <c r="BT2699" s="0" t="s">
        <v>130</v>
      </c>
      <c r="BU2699" s="0" t="s">
        <v>130</v>
      </c>
      <c r="BV2699" s="0" t="s">
        <v>130</v>
      </c>
      <c r="BW2699" s="0" t="s">
        <v>130</v>
      </c>
      <c r="BX2699" s="0" t="s">
        <v>130</v>
      </c>
      <c r="BY2699" s="0" t="s">
        <v>130</v>
      </c>
      <c r="BZ2699" s="0" t="s">
        <v>130</v>
      </c>
      <c r="CA2699" s="0" t="s">
        <v>130</v>
      </c>
      <c r="CB2699" s="0" t="s">
        <v>130</v>
      </c>
      <c r="CC2699" s="0" t="s">
        <v>130</v>
      </c>
      <c r="CD2699" s="0" t="s">
        <v>130</v>
      </c>
      <c r="CE2699" s="0" t="s">
        <v>130</v>
      </c>
      <c r="CF2699" s="0" t="s">
        <v>130</v>
      </c>
      <c r="CG2699" s="0" t="s">
        <v>130</v>
      </c>
      <c r="CH2699" s="0" t="s">
        <v>130</v>
      </c>
      <c r="CI2699" s="0" t="s">
        <v>141</v>
      </c>
      <c r="CJ2699" s="0" t="s">
        <v>130</v>
      </c>
      <c r="CK2699" s="0" t="s">
        <v>130</v>
      </c>
      <c r="CL2699" s="0" t="s">
        <v>130</v>
      </c>
      <c r="CM2699" s="0" t="s">
        <v>130</v>
      </c>
      <c r="CN2699" s="0" t="s">
        <v>130</v>
      </c>
      <c r="CO2699" s="0" t="s">
        <v>130</v>
      </c>
      <c r="CP2699" s="0" t="s">
        <v>130</v>
      </c>
      <c r="CQ2699" s="0" t="s">
        <v>130</v>
      </c>
      <c r="CR2699" s="0" t="s">
        <v>130</v>
      </c>
      <c r="CS2699" s="0" t="s">
        <v>130</v>
      </c>
      <c r="CT2699" s="0" t="s">
        <v>7294</v>
      </c>
    </row>
    <row r="2700">
      <c r="A2700" s="14">
        <v>115505</v>
      </c>
      <c r="B2700" s="0" t="s">
        <v>2425</v>
      </c>
      <c r="C2700" s="16">
        <f>HYPERLINK("https://eosportal.federatedhermes.com/companies/Q29tcGFueQppNTg5NTA=", "Vinci SA")</f>
      </c>
      <c r="D2700" s="0" t="s">
        <v>23</v>
      </c>
      <c r="E2700" s="0" t="s">
        <v>7057</v>
      </c>
      <c r="F2700" s="16">
        <f>HYPERLINK("https://eosportal.federatedhermes.com/engagements/RW5nYWdlbWVudAppMzcxMzI=", "Climate lobbying disclosure")</f>
      </c>
      <c r="G2700" s="14" t="s">
        <v>7295</v>
      </c>
      <c r="H2700" s="0" t="s">
        <v>141</v>
      </c>
      <c r="I2700" s="14" t="s">
        <v>191</v>
      </c>
      <c r="J2700" s="0" t="s">
        <v>197</v>
      </c>
      <c r="K2700" s="0" t="s">
        <v>198</v>
      </c>
      <c r="L2700" s="0" t="s">
        <v>199</v>
      </c>
      <c r="M2700" s="0" t="s">
        <v>378</v>
      </c>
      <c r="N2700" s="0" t="s">
        <v>1646</v>
      </c>
      <c r="O2700" s="0" t="s">
        <v>176</v>
      </c>
      <c r="Q2700" s="0" t="s">
        <v>130</v>
      </c>
      <c r="R2700" s="0" t="s">
        <v>130</v>
      </c>
      <c r="S2700" s="14">
        <v>0</v>
      </c>
      <c r="T2700" s="0" t="s">
        <v>2842</v>
      </c>
      <c r="U2700" s="0" t="s">
        <v>221</v>
      </c>
      <c r="V2700" s="14" t="s">
        <v>2842</v>
      </c>
      <c r="W2700" s="0" t="s">
        <v>221</v>
      </c>
      <c r="X2700" s="14" t="s">
        <v>2842</v>
      </c>
      <c r="Y2700" s="0" t="s">
        <v>223</v>
      </c>
      <c r="Z2700" s="14" t="s">
        <v>138</v>
      </c>
      <c r="AA2700" s="0" t="s">
        <v>224</v>
      </c>
      <c r="AB2700" s="14" t="s">
        <v>138</v>
      </c>
      <c r="AD2700" s="0" t="s">
        <v>17</v>
      </c>
      <c r="AF2700" s="0">
        <v>0</v>
      </c>
      <c r="AG2700" s="0">
        <v>0</v>
      </c>
      <c r="AH2700" s="0" t="s">
        <v>140</v>
      </c>
      <c r="AI2700" s="0" t="s">
        <v>598</v>
      </c>
      <c r="AL2700" s="14"/>
      <c r="AN2700" s="14"/>
      <c r="AQ2700" s="0" t="s">
        <v>130</v>
      </c>
      <c r="AR2700" s="0" t="s">
        <v>130</v>
      </c>
      <c r="AS2700" s="0" t="s">
        <v>130</v>
      </c>
      <c r="AT2700" s="0" t="s">
        <v>130</v>
      </c>
      <c r="AU2700" s="0" t="s">
        <v>130</v>
      </c>
      <c r="AV2700" s="0" t="s">
        <v>130</v>
      </c>
      <c r="AW2700" s="0" t="s">
        <v>130</v>
      </c>
      <c r="AX2700" s="0" t="s">
        <v>130</v>
      </c>
      <c r="AY2700" s="0" t="s">
        <v>130</v>
      </c>
      <c r="AZ2700" s="0" t="s">
        <v>130</v>
      </c>
      <c r="BA2700" s="0" t="s">
        <v>130</v>
      </c>
      <c r="BB2700" s="0" t="s">
        <v>141</v>
      </c>
      <c r="BC2700" s="0" t="s">
        <v>141</v>
      </c>
      <c r="BD2700" s="0" t="s">
        <v>130</v>
      </c>
      <c r="BE2700" s="0" t="s">
        <v>130</v>
      </c>
      <c r="BF2700" s="0" t="s">
        <v>130</v>
      </c>
      <c r="BG2700" s="0" t="s">
        <v>130</v>
      </c>
      <c r="BH2700" s="0" t="s">
        <v>130</v>
      </c>
      <c r="BI2700" s="0" t="s">
        <v>130</v>
      </c>
      <c r="BJ2700" s="0" t="s">
        <v>130</v>
      </c>
      <c r="BK2700" s="0" t="s">
        <v>130</v>
      </c>
      <c r="BL2700" s="0" t="s">
        <v>130</v>
      </c>
      <c r="BM2700" s="0" t="s">
        <v>130</v>
      </c>
      <c r="BN2700" s="0" t="s">
        <v>130</v>
      </c>
      <c r="BO2700" s="0" t="s">
        <v>130</v>
      </c>
      <c r="BP2700" s="0" t="s">
        <v>130</v>
      </c>
      <c r="BQ2700" s="0" t="s">
        <v>130</v>
      </c>
      <c r="BR2700" s="0" t="s">
        <v>130</v>
      </c>
      <c r="BS2700" s="0" t="s">
        <v>130</v>
      </c>
      <c r="BT2700" s="0" t="s">
        <v>130</v>
      </c>
      <c r="BU2700" s="0" t="s">
        <v>130</v>
      </c>
      <c r="BV2700" s="0" t="s">
        <v>130</v>
      </c>
      <c r="BW2700" s="0" t="s">
        <v>130</v>
      </c>
      <c r="BX2700" s="0" t="s">
        <v>130</v>
      </c>
      <c r="BY2700" s="0" t="s">
        <v>130</v>
      </c>
      <c r="BZ2700" s="0" t="s">
        <v>130</v>
      </c>
      <c r="CA2700" s="0" t="s">
        <v>130</v>
      </c>
      <c r="CB2700" s="0" t="s">
        <v>130</v>
      </c>
      <c r="CC2700" s="0" t="s">
        <v>130</v>
      </c>
      <c r="CD2700" s="0" t="s">
        <v>130</v>
      </c>
      <c r="CE2700" s="0" t="s">
        <v>130</v>
      </c>
      <c r="CF2700" s="0" t="s">
        <v>130</v>
      </c>
      <c r="CG2700" s="0" t="s">
        <v>130</v>
      </c>
      <c r="CH2700" s="0" t="s">
        <v>130</v>
      </c>
      <c r="CI2700" s="0" t="s">
        <v>130</v>
      </c>
      <c r="CJ2700" s="0" t="s">
        <v>130</v>
      </c>
      <c r="CK2700" s="0" t="s">
        <v>130</v>
      </c>
      <c r="CL2700" s="0" t="s">
        <v>130</v>
      </c>
      <c r="CM2700" s="0" t="s">
        <v>130</v>
      </c>
      <c r="CN2700" s="0" t="s">
        <v>130</v>
      </c>
      <c r="CO2700" s="0" t="s">
        <v>130</v>
      </c>
      <c r="CP2700" s="0" t="s">
        <v>130</v>
      </c>
      <c r="CQ2700" s="0" t="s">
        <v>130</v>
      </c>
      <c r="CR2700" s="0" t="s">
        <v>130</v>
      </c>
      <c r="CS2700" s="0" t="s">
        <v>130</v>
      </c>
      <c r="CT2700" s="0" t="s">
        <v>7296</v>
      </c>
    </row>
    <row r="2701">
      <c r="A2701" s="14">
        <v>225906</v>
      </c>
      <c r="B2701" s="0" t="s">
        <v>3499</v>
      </c>
      <c r="C2701" s="16">
        <f>HYPERLINK("https://eosportal.federatedhermes.com/companies/Q29tcGFueQppNTg5ODU=", "Valero Energy Corp")</f>
      </c>
      <c r="D2701" s="0" t="s">
        <v>23</v>
      </c>
      <c r="E2701" s="0" t="s">
        <v>7297</v>
      </c>
      <c r="F2701" s="16">
        <f>HYPERLINK("https://eosportal.federatedhermes.com/engagements/RW5nYWdlbWVudAppMzcxMzM=", "Renewable supply chain - renewably sourced feedstocks")</f>
      </c>
      <c r="G2701" s="14" t="s">
        <v>7298</v>
      </c>
      <c r="H2701" s="0" t="s">
        <v>141</v>
      </c>
      <c r="I2701" s="14" t="s">
        <v>191</v>
      </c>
      <c r="J2701" s="0" t="s">
        <v>197</v>
      </c>
      <c r="K2701" s="0" t="s">
        <v>337</v>
      </c>
      <c r="L2701" s="0" t="s">
        <v>576</v>
      </c>
      <c r="M2701" s="0" t="s">
        <v>135</v>
      </c>
      <c r="N2701" s="0" t="s">
        <v>136</v>
      </c>
      <c r="O2701" s="0" t="s">
        <v>542</v>
      </c>
      <c r="Q2701" s="0" t="s">
        <v>141</v>
      </c>
      <c r="R2701" s="0" t="s">
        <v>130</v>
      </c>
      <c r="S2701" s="14">
        <v>1</v>
      </c>
      <c r="T2701" s="0" t="s">
        <v>3265</v>
      </c>
      <c r="U2701" s="0" t="s">
        <v>221</v>
      </c>
      <c r="V2701" s="14" t="s">
        <v>3265</v>
      </c>
      <c r="W2701" s="0" t="s">
        <v>221</v>
      </c>
      <c r="X2701" s="14" t="s">
        <v>3265</v>
      </c>
      <c r="Y2701" s="0" t="s">
        <v>223</v>
      </c>
      <c r="Z2701" s="14" t="s">
        <v>138</v>
      </c>
      <c r="AA2701" s="0" t="s">
        <v>224</v>
      </c>
      <c r="AB2701" s="14" t="s">
        <v>138</v>
      </c>
      <c r="AD2701" s="0" t="s">
        <v>17</v>
      </c>
      <c r="AF2701" s="0">
        <v>0</v>
      </c>
      <c r="AG2701" s="0">
        <v>0</v>
      </c>
      <c r="AH2701" s="0" t="s">
        <v>140</v>
      </c>
      <c r="AI2701" s="0" t="s">
        <v>598</v>
      </c>
      <c r="AK2701" s="0" t="s">
        <v>1386</v>
      </c>
      <c r="AL2701" s="14"/>
      <c r="AN2701" s="14"/>
      <c r="AQ2701" s="0" t="s">
        <v>130</v>
      </c>
      <c r="AR2701" s="0" t="s">
        <v>141</v>
      </c>
      <c r="AS2701" s="0" t="s">
        <v>130</v>
      </c>
      <c r="AT2701" s="0" t="s">
        <v>130</v>
      </c>
      <c r="AU2701" s="0" t="s">
        <v>130</v>
      </c>
      <c r="AV2701" s="0" t="s">
        <v>141</v>
      </c>
      <c r="AW2701" s="0" t="s">
        <v>130</v>
      </c>
      <c r="AX2701" s="0" t="s">
        <v>130</v>
      </c>
      <c r="AY2701" s="0" t="s">
        <v>130</v>
      </c>
      <c r="AZ2701" s="0" t="s">
        <v>130</v>
      </c>
      <c r="BA2701" s="0" t="s">
        <v>130</v>
      </c>
      <c r="BB2701" s="0" t="s">
        <v>141</v>
      </c>
      <c r="BC2701" s="0" t="s">
        <v>141</v>
      </c>
      <c r="BD2701" s="0" t="s">
        <v>141</v>
      </c>
      <c r="BE2701" s="0" t="s">
        <v>141</v>
      </c>
      <c r="BF2701" s="0" t="s">
        <v>130</v>
      </c>
      <c r="BG2701" s="0" t="s">
        <v>130</v>
      </c>
      <c r="BH2701" s="0" t="s">
        <v>130</v>
      </c>
      <c r="BI2701" s="0" t="s">
        <v>130</v>
      </c>
      <c r="BJ2701" s="0" t="s">
        <v>130</v>
      </c>
      <c r="BK2701" s="0" t="s">
        <v>130</v>
      </c>
      <c r="BL2701" s="0" t="s">
        <v>130</v>
      </c>
      <c r="BM2701" s="0" t="s">
        <v>141</v>
      </c>
      <c r="BN2701" s="0" t="s">
        <v>130</v>
      </c>
      <c r="BO2701" s="0" t="s">
        <v>130</v>
      </c>
      <c r="BP2701" s="0" t="s">
        <v>130</v>
      </c>
      <c r="BQ2701" s="0" t="s">
        <v>130</v>
      </c>
      <c r="BR2701" s="0" t="s">
        <v>130</v>
      </c>
      <c r="BS2701" s="0" t="s">
        <v>130</v>
      </c>
      <c r="BT2701" s="0" t="s">
        <v>130</v>
      </c>
      <c r="BU2701" s="0" t="s">
        <v>130</v>
      </c>
      <c r="BV2701" s="0" t="s">
        <v>130</v>
      </c>
      <c r="BW2701" s="0" t="s">
        <v>130</v>
      </c>
      <c r="BX2701" s="0" t="s">
        <v>130</v>
      </c>
      <c r="BY2701" s="0" t="s">
        <v>130</v>
      </c>
      <c r="BZ2701" s="0" t="s">
        <v>130</v>
      </c>
      <c r="CA2701" s="0" t="s">
        <v>141</v>
      </c>
      <c r="CB2701" s="0" t="s">
        <v>130</v>
      </c>
      <c r="CC2701" s="0" t="s">
        <v>130</v>
      </c>
      <c r="CD2701" s="0" t="s">
        <v>130</v>
      </c>
      <c r="CE2701" s="0" t="s">
        <v>130</v>
      </c>
      <c r="CF2701" s="0" t="s">
        <v>141</v>
      </c>
      <c r="CG2701" s="0" t="s">
        <v>130</v>
      </c>
      <c r="CH2701" s="0" t="s">
        <v>130</v>
      </c>
      <c r="CI2701" s="0" t="s">
        <v>130</v>
      </c>
      <c r="CJ2701" s="0" t="s">
        <v>130</v>
      </c>
      <c r="CK2701" s="0" t="s">
        <v>130</v>
      </c>
      <c r="CL2701" s="0" t="s">
        <v>130</v>
      </c>
      <c r="CM2701" s="0" t="s">
        <v>130</v>
      </c>
      <c r="CN2701" s="0" t="s">
        <v>130</v>
      </c>
      <c r="CO2701" s="0" t="s">
        <v>130</v>
      </c>
      <c r="CP2701" s="0" t="s">
        <v>130</v>
      </c>
      <c r="CQ2701" s="0" t="s">
        <v>130</v>
      </c>
      <c r="CR2701" s="0" t="s">
        <v>130</v>
      </c>
      <c r="CS2701" s="0" t="s">
        <v>130</v>
      </c>
      <c r="CT2701" s="0" t="s">
        <v>7299</v>
      </c>
    </row>
    <row r="2702">
      <c r="A2702" s="14">
        <v>115230</v>
      </c>
      <c r="B2702" s="0" t="s">
        <v>2352</v>
      </c>
      <c r="C2702" s="16">
        <f>HYPERLINK("https://eosportal.federatedhermes.com/companies/Q29tcGFueQppNjI0OTg=", "Air Liquide SA")</f>
      </c>
      <c r="D2702" s="0" t="s">
        <v>23</v>
      </c>
      <c r="E2702" s="0" t="s">
        <v>7300</v>
      </c>
      <c r="F2702" s="16">
        <f>HYPERLINK("https://eosportal.federatedhermes.com/engagements/RW5nYWdlbWVudAppMzcxMzQ=", "Increase Low-Carbon Hydrogen Production Capacity")</f>
      </c>
      <c r="G2702" s="14" t="s">
        <v>7301</v>
      </c>
      <c r="H2702" s="0" t="s">
        <v>141</v>
      </c>
      <c r="I2702" s="14" t="s">
        <v>1645</v>
      </c>
      <c r="J2702" s="0" t="s">
        <v>197</v>
      </c>
      <c r="K2702" s="0" t="s">
        <v>198</v>
      </c>
      <c r="L2702" s="0" t="s">
        <v>220</v>
      </c>
      <c r="M2702" s="0" t="s">
        <v>378</v>
      </c>
      <c r="N2702" s="0" t="s">
        <v>1646</v>
      </c>
      <c r="O2702" s="0" t="s">
        <v>706</v>
      </c>
      <c r="Q2702" s="0" t="s">
        <v>130</v>
      </c>
      <c r="R2702" s="0" t="s">
        <v>130</v>
      </c>
      <c r="S2702" s="14">
        <v>0</v>
      </c>
      <c r="T2702" s="0" t="s">
        <v>2842</v>
      </c>
      <c r="U2702" s="0" t="s">
        <v>221</v>
      </c>
      <c r="V2702" s="14" t="s">
        <v>2842</v>
      </c>
      <c r="W2702" s="0" t="s">
        <v>223</v>
      </c>
      <c r="X2702" s="14" t="s">
        <v>138</v>
      </c>
      <c r="Y2702" s="0" t="s">
        <v>224</v>
      </c>
      <c r="Z2702" s="14" t="s">
        <v>138</v>
      </c>
      <c r="AA2702" s="0" t="s">
        <v>224</v>
      </c>
      <c r="AB2702" s="14" t="s">
        <v>138</v>
      </c>
      <c r="AD2702" s="0" t="s">
        <v>14</v>
      </c>
      <c r="AF2702" s="0">
        <v>0</v>
      </c>
      <c r="AG2702" s="0">
        <v>0</v>
      </c>
      <c r="AH2702" s="0" t="s">
        <v>140</v>
      </c>
      <c r="AI2702" s="0" t="s">
        <v>479</v>
      </c>
      <c r="AL2702" s="14"/>
      <c r="AN2702" s="14"/>
      <c r="AQ2702" s="0" t="s">
        <v>130</v>
      </c>
      <c r="AR2702" s="0" t="s">
        <v>130</v>
      </c>
      <c r="AS2702" s="0" t="s">
        <v>130</v>
      </c>
      <c r="AT2702" s="0" t="s">
        <v>130</v>
      </c>
      <c r="AU2702" s="0" t="s">
        <v>130</v>
      </c>
      <c r="AV2702" s="0" t="s">
        <v>130</v>
      </c>
      <c r="AW2702" s="0" t="s">
        <v>141</v>
      </c>
      <c r="AX2702" s="0" t="s">
        <v>130</v>
      </c>
      <c r="AY2702" s="0" t="s">
        <v>141</v>
      </c>
      <c r="AZ2702" s="0" t="s">
        <v>130</v>
      </c>
      <c r="BA2702" s="0" t="s">
        <v>130</v>
      </c>
      <c r="BB2702" s="0" t="s">
        <v>130</v>
      </c>
      <c r="BC2702" s="0" t="s">
        <v>141</v>
      </c>
      <c r="BD2702" s="0" t="s">
        <v>130</v>
      </c>
      <c r="BE2702" s="0" t="s">
        <v>130</v>
      </c>
      <c r="BF2702" s="0" t="s">
        <v>130</v>
      </c>
      <c r="BG2702" s="0" t="s">
        <v>130</v>
      </c>
      <c r="BH2702" s="0" t="s">
        <v>130</v>
      </c>
      <c r="BI2702" s="0" t="s">
        <v>141</v>
      </c>
      <c r="BJ2702" s="0" t="s">
        <v>130</v>
      </c>
      <c r="BK2702" s="0" t="s">
        <v>130</v>
      </c>
      <c r="BL2702" s="0" t="s">
        <v>130</v>
      </c>
      <c r="BM2702" s="0" t="s">
        <v>130</v>
      </c>
      <c r="BN2702" s="0" t="s">
        <v>130</v>
      </c>
      <c r="BO2702" s="0" t="s">
        <v>130</v>
      </c>
      <c r="BP2702" s="0" t="s">
        <v>130</v>
      </c>
      <c r="BQ2702" s="0" t="s">
        <v>130</v>
      </c>
      <c r="BR2702" s="0" t="s">
        <v>130</v>
      </c>
      <c r="BS2702" s="0" t="s">
        <v>130</v>
      </c>
      <c r="BT2702" s="0" t="s">
        <v>130</v>
      </c>
      <c r="BU2702" s="0" t="s">
        <v>130</v>
      </c>
      <c r="BV2702" s="0" t="s">
        <v>130</v>
      </c>
      <c r="BW2702" s="0" t="s">
        <v>130</v>
      </c>
      <c r="BX2702" s="0" t="s">
        <v>130</v>
      </c>
      <c r="BY2702" s="0" t="s">
        <v>130</v>
      </c>
      <c r="BZ2702" s="0" t="s">
        <v>130</v>
      </c>
      <c r="CA2702" s="0" t="s">
        <v>130</v>
      </c>
      <c r="CB2702" s="0" t="s">
        <v>130</v>
      </c>
      <c r="CC2702" s="0" t="s">
        <v>130</v>
      </c>
      <c r="CD2702" s="0" t="s">
        <v>130</v>
      </c>
      <c r="CE2702" s="0" t="s">
        <v>130</v>
      </c>
      <c r="CF2702" s="0" t="s">
        <v>130</v>
      </c>
      <c r="CG2702" s="0" t="s">
        <v>130</v>
      </c>
      <c r="CH2702" s="0" t="s">
        <v>130</v>
      </c>
      <c r="CI2702" s="0" t="s">
        <v>130</v>
      </c>
      <c r="CJ2702" s="0" t="s">
        <v>130</v>
      </c>
      <c r="CK2702" s="0" t="s">
        <v>130</v>
      </c>
      <c r="CL2702" s="0" t="s">
        <v>130</v>
      </c>
      <c r="CM2702" s="0" t="s">
        <v>130</v>
      </c>
      <c r="CN2702" s="0" t="s">
        <v>130</v>
      </c>
      <c r="CO2702" s="0" t="s">
        <v>130</v>
      </c>
      <c r="CP2702" s="0" t="s">
        <v>130</v>
      </c>
      <c r="CQ2702" s="0" t="s">
        <v>130</v>
      </c>
      <c r="CR2702" s="0" t="s">
        <v>130</v>
      </c>
      <c r="CS2702" s="0" t="s">
        <v>130</v>
      </c>
      <c r="CT2702" s="0" t="s">
        <v>7302</v>
      </c>
    </row>
    <row r="2703">
      <c r="A2703" s="14">
        <v>115230</v>
      </c>
      <c r="B2703" s="0" t="s">
        <v>2352</v>
      </c>
      <c r="C2703" s="16">
        <f>HYPERLINK("https://eosportal.federatedhermes.com/companies/Q29tcGFueQppNjI0OTg=", "Air Liquide SA")</f>
      </c>
      <c r="D2703" s="0" t="s">
        <v>23</v>
      </c>
      <c r="E2703" s="0" t="s">
        <v>7303</v>
      </c>
      <c r="F2703" s="16">
        <f>HYPERLINK("https://eosportal.federatedhermes.com/engagements/RW5nYWdlbWVudAppMzcxMzU=", "Electrification of remaining steam-powered Air Separation Units")</f>
      </c>
      <c r="G2703" s="14" t="s">
        <v>7304</v>
      </c>
      <c r="H2703" s="0" t="s">
        <v>141</v>
      </c>
      <c r="I2703" s="14" t="s">
        <v>1645</v>
      </c>
      <c r="J2703" s="0" t="s">
        <v>197</v>
      </c>
      <c r="K2703" s="0" t="s">
        <v>198</v>
      </c>
      <c r="L2703" s="0" t="s">
        <v>216</v>
      </c>
      <c r="M2703" s="0" t="s">
        <v>378</v>
      </c>
      <c r="N2703" s="0" t="s">
        <v>1646</v>
      </c>
      <c r="O2703" s="0" t="s">
        <v>706</v>
      </c>
      <c r="Q2703" s="0" t="s">
        <v>141</v>
      </c>
      <c r="R2703" s="0" t="s">
        <v>141</v>
      </c>
      <c r="S2703" s="14">
        <v>1</v>
      </c>
      <c r="T2703" s="0" t="s">
        <v>2842</v>
      </c>
      <c r="U2703" s="0" t="s">
        <v>221</v>
      </c>
      <c r="V2703" s="14" t="s">
        <v>2842</v>
      </c>
      <c r="W2703" s="0" t="s">
        <v>221</v>
      </c>
      <c r="X2703" s="14" t="s">
        <v>361</v>
      </c>
      <c r="Y2703" s="0" t="s">
        <v>223</v>
      </c>
      <c r="Z2703" s="14" t="s">
        <v>138</v>
      </c>
      <c r="AA2703" s="0" t="s">
        <v>224</v>
      </c>
      <c r="AB2703" s="14" t="s">
        <v>138</v>
      </c>
      <c r="AC2703" s="0" t="s">
        <v>14</v>
      </c>
      <c r="AD2703" s="0" t="s">
        <v>17</v>
      </c>
      <c r="AE2703" s="0" t="s">
        <v>5508</v>
      </c>
      <c r="AF2703" s="0">
        <v>1</v>
      </c>
      <c r="AG2703" s="0">
        <v>0</v>
      </c>
      <c r="AH2703" s="0" t="s">
        <v>140</v>
      </c>
      <c r="AI2703" s="0" t="s">
        <v>598</v>
      </c>
      <c r="AK2703" s="0" t="s">
        <v>226</v>
      </c>
      <c r="AL2703" s="14"/>
      <c r="AN2703" s="14"/>
      <c r="AQ2703" s="0" t="s">
        <v>130</v>
      </c>
      <c r="AR2703" s="0" t="s">
        <v>130</v>
      </c>
      <c r="AS2703" s="0" t="s">
        <v>130</v>
      </c>
      <c r="AT2703" s="0" t="s">
        <v>130</v>
      </c>
      <c r="AU2703" s="0" t="s">
        <v>130</v>
      </c>
      <c r="AV2703" s="0" t="s">
        <v>130</v>
      </c>
      <c r="AW2703" s="0" t="s">
        <v>141</v>
      </c>
      <c r="AX2703" s="0" t="s">
        <v>130</v>
      </c>
      <c r="AY2703" s="0" t="s">
        <v>141</v>
      </c>
      <c r="AZ2703" s="0" t="s">
        <v>130</v>
      </c>
      <c r="BA2703" s="0" t="s">
        <v>130</v>
      </c>
      <c r="BB2703" s="0" t="s">
        <v>130</v>
      </c>
      <c r="BC2703" s="0" t="s">
        <v>141</v>
      </c>
      <c r="BD2703" s="0" t="s">
        <v>130</v>
      </c>
      <c r="BE2703" s="0" t="s">
        <v>130</v>
      </c>
      <c r="BF2703" s="0" t="s">
        <v>130</v>
      </c>
      <c r="BG2703" s="0" t="s">
        <v>130</v>
      </c>
      <c r="BH2703" s="0" t="s">
        <v>141</v>
      </c>
      <c r="BI2703" s="0" t="s">
        <v>141</v>
      </c>
      <c r="BJ2703" s="0" t="s">
        <v>141</v>
      </c>
      <c r="BK2703" s="0" t="s">
        <v>130</v>
      </c>
      <c r="BL2703" s="0" t="s">
        <v>130</v>
      </c>
      <c r="BM2703" s="0" t="s">
        <v>130</v>
      </c>
      <c r="BN2703" s="0" t="s">
        <v>130</v>
      </c>
      <c r="BO2703" s="0" t="s">
        <v>130</v>
      </c>
      <c r="BP2703" s="0" t="s">
        <v>130</v>
      </c>
      <c r="BQ2703" s="0" t="s">
        <v>130</v>
      </c>
      <c r="BR2703" s="0" t="s">
        <v>130</v>
      </c>
      <c r="BS2703" s="0" t="s">
        <v>130</v>
      </c>
      <c r="BT2703" s="0" t="s">
        <v>130</v>
      </c>
      <c r="BU2703" s="0" t="s">
        <v>130</v>
      </c>
      <c r="BV2703" s="0" t="s">
        <v>141</v>
      </c>
      <c r="BW2703" s="0" t="s">
        <v>141</v>
      </c>
      <c r="BX2703" s="0" t="s">
        <v>130</v>
      </c>
      <c r="BY2703" s="0" t="s">
        <v>130</v>
      </c>
      <c r="BZ2703" s="0" t="s">
        <v>130</v>
      </c>
      <c r="CA2703" s="0" t="s">
        <v>130</v>
      </c>
      <c r="CB2703" s="0" t="s">
        <v>130</v>
      </c>
      <c r="CC2703" s="0" t="s">
        <v>130</v>
      </c>
      <c r="CD2703" s="0" t="s">
        <v>130</v>
      </c>
      <c r="CE2703" s="0" t="s">
        <v>130</v>
      </c>
      <c r="CF2703" s="0" t="s">
        <v>130</v>
      </c>
      <c r="CG2703" s="0" t="s">
        <v>130</v>
      </c>
      <c r="CH2703" s="0" t="s">
        <v>130</v>
      </c>
      <c r="CI2703" s="0" t="s">
        <v>130</v>
      </c>
      <c r="CJ2703" s="0" t="s">
        <v>130</v>
      </c>
      <c r="CK2703" s="0" t="s">
        <v>130</v>
      </c>
      <c r="CL2703" s="0" t="s">
        <v>130</v>
      </c>
      <c r="CM2703" s="0" t="s">
        <v>130</v>
      </c>
      <c r="CN2703" s="0" t="s">
        <v>130</v>
      </c>
      <c r="CO2703" s="0" t="s">
        <v>130</v>
      </c>
      <c r="CP2703" s="0" t="s">
        <v>130</v>
      </c>
      <c r="CQ2703" s="0" t="s">
        <v>130</v>
      </c>
      <c r="CR2703" s="0" t="s">
        <v>130</v>
      </c>
      <c r="CS2703" s="0" t="s">
        <v>130</v>
      </c>
      <c r="CT2703" s="0" t="s">
        <v>7305</v>
      </c>
    </row>
    <row r="2704">
      <c r="A2704" s="14">
        <v>304214</v>
      </c>
      <c r="B2704" s="0" t="s">
        <v>3545</v>
      </c>
      <c r="C2704" s="16">
        <f>HYPERLINK("https://eosportal.federatedhermes.com/companies/Q29tcGFueQppODU4Nzc=", "Anhui Conch Cement Co Ltd")</f>
      </c>
      <c r="D2704" s="0" t="s">
        <v>25</v>
      </c>
      <c r="E2704" s="0" t="s">
        <v>7306</v>
      </c>
      <c r="F2704" s="16">
        <f>HYPERLINK("https://eosportal.federatedhermes.com/engagements/RW5nYWdlbWVudAppMzcxNTg=", "Carbon Capture, Utilisation and Storage (CCUS)")</f>
      </c>
      <c r="G2704" s="14" t="s">
        <v>7307</v>
      </c>
      <c r="H2704" s="0" t="s">
        <v>141</v>
      </c>
      <c r="I2704" s="14" t="s">
        <v>131</v>
      </c>
      <c r="J2704" s="0" t="s">
        <v>197</v>
      </c>
      <c r="K2704" s="0" t="s">
        <v>198</v>
      </c>
      <c r="L2704" s="0" t="s">
        <v>220</v>
      </c>
      <c r="M2704" s="0" t="s">
        <v>2807</v>
      </c>
      <c r="N2704" s="0" t="s">
        <v>3272</v>
      </c>
      <c r="O2704" s="0" t="s">
        <v>373</v>
      </c>
      <c r="Q2704" s="0" t="s">
        <v>141</v>
      </c>
      <c r="R2704" s="0" t="s">
        <v>138</v>
      </c>
      <c r="S2704" s="14">
        <v>1</v>
      </c>
      <c r="T2704" s="0" t="s">
        <v>2842</v>
      </c>
      <c r="U2704" s="0" t="s">
        <v>138</v>
      </c>
      <c r="V2704" s="14" t="s">
        <v>138</v>
      </c>
      <c r="W2704" s="0" t="s">
        <v>138</v>
      </c>
      <c r="X2704" s="14" t="s">
        <v>138</v>
      </c>
      <c r="Y2704" s="0" t="s">
        <v>138</v>
      </c>
      <c r="Z2704" s="14" t="s">
        <v>138</v>
      </c>
      <c r="AA2704" s="0" t="s">
        <v>138</v>
      </c>
      <c r="AB2704" s="14" t="s">
        <v>138</v>
      </c>
      <c r="AD2704" s="0" t="s">
        <v>138</v>
      </c>
      <c r="AF2704" s="0">
        <v>0</v>
      </c>
      <c r="AG2704" s="0">
        <v>0</v>
      </c>
      <c r="AH2704" s="0" t="s">
        <v>140</v>
      </c>
      <c r="AI2704" s="0" t="s">
        <v>138</v>
      </c>
      <c r="AK2704" s="0" t="s">
        <v>2795</v>
      </c>
      <c r="AL2704" s="14"/>
      <c r="AN2704" s="14"/>
      <c r="AQ2704" s="0" t="s">
        <v>130</v>
      </c>
      <c r="AR2704" s="0" t="s">
        <v>130</v>
      </c>
      <c r="AS2704" s="0" t="s">
        <v>130</v>
      </c>
      <c r="AT2704" s="0" t="s">
        <v>130</v>
      </c>
      <c r="AU2704" s="0" t="s">
        <v>130</v>
      </c>
      <c r="AV2704" s="0" t="s">
        <v>130</v>
      </c>
      <c r="AW2704" s="0" t="s">
        <v>141</v>
      </c>
      <c r="AX2704" s="0" t="s">
        <v>130</v>
      </c>
      <c r="AY2704" s="0" t="s">
        <v>141</v>
      </c>
      <c r="AZ2704" s="0" t="s">
        <v>130</v>
      </c>
      <c r="BA2704" s="0" t="s">
        <v>130</v>
      </c>
      <c r="BB2704" s="0" t="s">
        <v>130</v>
      </c>
      <c r="BC2704" s="0" t="s">
        <v>141</v>
      </c>
      <c r="BD2704" s="0" t="s">
        <v>130</v>
      </c>
      <c r="BE2704" s="0" t="s">
        <v>130</v>
      </c>
      <c r="BF2704" s="0" t="s">
        <v>130</v>
      </c>
      <c r="BG2704" s="0" t="s">
        <v>130</v>
      </c>
      <c r="BH2704" s="0" t="s">
        <v>141</v>
      </c>
      <c r="BI2704" s="0" t="s">
        <v>141</v>
      </c>
      <c r="BJ2704" s="0" t="s">
        <v>141</v>
      </c>
      <c r="BK2704" s="0" t="s">
        <v>130</v>
      </c>
      <c r="BL2704" s="0" t="s">
        <v>130</v>
      </c>
      <c r="BM2704" s="0" t="s">
        <v>130</v>
      </c>
      <c r="BN2704" s="0" t="s">
        <v>130</v>
      </c>
      <c r="BO2704" s="0" t="s">
        <v>130</v>
      </c>
      <c r="BP2704" s="0" t="s">
        <v>130</v>
      </c>
      <c r="BQ2704" s="0" t="s">
        <v>130</v>
      </c>
      <c r="BR2704" s="0" t="s">
        <v>130</v>
      </c>
      <c r="BS2704" s="0" t="s">
        <v>130</v>
      </c>
      <c r="BT2704" s="0" t="s">
        <v>130</v>
      </c>
      <c r="BU2704" s="0" t="s">
        <v>130</v>
      </c>
      <c r="BV2704" s="0" t="s">
        <v>130</v>
      </c>
      <c r="BW2704" s="0" t="s">
        <v>130</v>
      </c>
      <c r="BX2704" s="0" t="s">
        <v>130</v>
      </c>
      <c r="BY2704" s="0" t="s">
        <v>130</v>
      </c>
      <c r="BZ2704" s="0" t="s">
        <v>130</v>
      </c>
      <c r="CA2704" s="0" t="s">
        <v>130</v>
      </c>
      <c r="CB2704" s="0" t="s">
        <v>130</v>
      </c>
      <c r="CC2704" s="0" t="s">
        <v>130</v>
      </c>
      <c r="CD2704" s="0" t="s">
        <v>130</v>
      </c>
      <c r="CE2704" s="0" t="s">
        <v>130</v>
      </c>
      <c r="CF2704" s="0" t="s">
        <v>130</v>
      </c>
      <c r="CG2704" s="0" t="s">
        <v>130</v>
      </c>
      <c r="CH2704" s="0" t="s">
        <v>130</v>
      </c>
      <c r="CI2704" s="0" t="s">
        <v>130</v>
      </c>
      <c r="CJ2704" s="0" t="s">
        <v>130</v>
      </c>
      <c r="CK2704" s="0" t="s">
        <v>130</v>
      </c>
      <c r="CL2704" s="0" t="s">
        <v>130</v>
      </c>
      <c r="CM2704" s="0" t="s">
        <v>130</v>
      </c>
      <c r="CN2704" s="0" t="s">
        <v>130</v>
      </c>
      <c r="CO2704" s="0" t="s">
        <v>130</v>
      </c>
      <c r="CP2704" s="0" t="s">
        <v>130</v>
      </c>
      <c r="CQ2704" s="0" t="s">
        <v>130</v>
      </c>
      <c r="CR2704" s="0" t="s">
        <v>130</v>
      </c>
      <c r="CS2704" s="0" t="s">
        <v>130</v>
      </c>
      <c r="CT2704" s="0" t="s">
        <v>7308</v>
      </c>
    </row>
    <row r="2705">
      <c r="A2705" s="14">
        <v>101450</v>
      </c>
      <c r="B2705" s="0" t="s">
        <v>1601</v>
      </c>
      <c r="C2705" s="16">
        <f>HYPERLINK("https://eosportal.federatedhermes.com/companies/Q29tcGFueQppNjUwODQ=", "Telefonica SA")</f>
      </c>
      <c r="D2705" s="0" t="s">
        <v>25</v>
      </c>
      <c r="E2705" s="0" t="s">
        <v>7309</v>
      </c>
      <c r="F2705" s="16">
        <f>HYPERLINK("https://eosportal.federatedhermes.com/engagements/RW5nYWdlbWVudAppMzcxOTA=", "Avoided Emissions and Reputational Risk")</f>
      </c>
      <c r="G2705" s="14" t="s">
        <v>7310</v>
      </c>
      <c r="H2705" s="0" t="s">
        <v>141</v>
      </c>
      <c r="I2705" s="14" t="s">
        <v>131</v>
      </c>
      <c r="J2705" s="0" t="s">
        <v>197</v>
      </c>
      <c r="K2705" s="0" t="s">
        <v>198</v>
      </c>
      <c r="L2705" s="0" t="s">
        <v>220</v>
      </c>
      <c r="M2705" s="0" t="s">
        <v>378</v>
      </c>
      <c r="N2705" s="0" t="s">
        <v>379</v>
      </c>
      <c r="O2705" s="0" t="s">
        <v>137</v>
      </c>
      <c r="Q2705" s="0" t="s">
        <v>130</v>
      </c>
      <c r="R2705" s="0" t="s">
        <v>138</v>
      </c>
      <c r="S2705" s="14">
        <v>0</v>
      </c>
      <c r="T2705" s="0" t="s">
        <v>2842</v>
      </c>
      <c r="U2705" s="0" t="s">
        <v>138</v>
      </c>
      <c r="V2705" s="14" t="s">
        <v>138</v>
      </c>
      <c r="W2705" s="0" t="s">
        <v>138</v>
      </c>
      <c r="X2705" s="14" t="s">
        <v>138</v>
      </c>
      <c r="Y2705" s="0" t="s">
        <v>138</v>
      </c>
      <c r="Z2705" s="14" t="s">
        <v>138</v>
      </c>
      <c r="AA2705" s="0" t="s">
        <v>138</v>
      </c>
      <c r="AB2705" s="14" t="s">
        <v>138</v>
      </c>
      <c r="AD2705" s="0" t="s">
        <v>138</v>
      </c>
      <c r="AF2705" s="0">
        <v>0</v>
      </c>
      <c r="AG2705" s="0">
        <v>0</v>
      </c>
      <c r="AH2705" s="0" t="s">
        <v>140</v>
      </c>
      <c r="AI2705" s="0" t="s">
        <v>138</v>
      </c>
      <c r="AL2705" s="14"/>
      <c r="AN2705" s="14"/>
      <c r="AQ2705" s="0" t="s">
        <v>130</v>
      </c>
      <c r="AR2705" s="0" t="s">
        <v>130</v>
      </c>
      <c r="AS2705" s="0" t="s">
        <v>130</v>
      </c>
      <c r="AT2705" s="0" t="s">
        <v>130</v>
      </c>
      <c r="AU2705" s="0" t="s">
        <v>130</v>
      </c>
      <c r="AV2705" s="0" t="s">
        <v>130</v>
      </c>
      <c r="AW2705" s="0" t="s">
        <v>141</v>
      </c>
      <c r="AX2705" s="0" t="s">
        <v>130</v>
      </c>
      <c r="AY2705" s="0" t="s">
        <v>141</v>
      </c>
      <c r="AZ2705" s="0" t="s">
        <v>130</v>
      </c>
      <c r="BA2705" s="0" t="s">
        <v>130</v>
      </c>
      <c r="BB2705" s="0" t="s">
        <v>130</v>
      </c>
      <c r="BC2705" s="0" t="s">
        <v>141</v>
      </c>
      <c r="BD2705" s="0" t="s">
        <v>130</v>
      </c>
      <c r="BE2705" s="0" t="s">
        <v>130</v>
      </c>
      <c r="BF2705" s="0" t="s">
        <v>130</v>
      </c>
      <c r="BG2705" s="0" t="s">
        <v>130</v>
      </c>
      <c r="BH2705" s="0" t="s">
        <v>141</v>
      </c>
      <c r="BI2705" s="0" t="s">
        <v>141</v>
      </c>
      <c r="BJ2705" s="0" t="s">
        <v>141</v>
      </c>
      <c r="BK2705" s="0" t="s">
        <v>130</v>
      </c>
      <c r="BL2705" s="0" t="s">
        <v>130</v>
      </c>
      <c r="BM2705" s="0" t="s">
        <v>130</v>
      </c>
      <c r="BN2705" s="0" t="s">
        <v>130</v>
      </c>
      <c r="BO2705" s="0" t="s">
        <v>130</v>
      </c>
      <c r="BP2705" s="0" t="s">
        <v>130</v>
      </c>
      <c r="BQ2705" s="0" t="s">
        <v>130</v>
      </c>
      <c r="BR2705" s="0" t="s">
        <v>130</v>
      </c>
      <c r="BS2705" s="0" t="s">
        <v>130</v>
      </c>
      <c r="BT2705" s="0" t="s">
        <v>130</v>
      </c>
      <c r="BU2705" s="0" t="s">
        <v>130</v>
      </c>
      <c r="BV2705" s="0" t="s">
        <v>141</v>
      </c>
      <c r="BW2705" s="0" t="s">
        <v>141</v>
      </c>
      <c r="BX2705" s="0" t="s">
        <v>130</v>
      </c>
      <c r="BY2705" s="0" t="s">
        <v>130</v>
      </c>
      <c r="BZ2705" s="0" t="s">
        <v>130</v>
      </c>
      <c r="CA2705" s="0" t="s">
        <v>130</v>
      </c>
      <c r="CB2705" s="0" t="s">
        <v>130</v>
      </c>
      <c r="CC2705" s="0" t="s">
        <v>130</v>
      </c>
      <c r="CD2705" s="0" t="s">
        <v>130</v>
      </c>
      <c r="CE2705" s="0" t="s">
        <v>130</v>
      </c>
      <c r="CF2705" s="0" t="s">
        <v>130</v>
      </c>
      <c r="CG2705" s="0" t="s">
        <v>130</v>
      </c>
      <c r="CH2705" s="0" t="s">
        <v>130</v>
      </c>
      <c r="CI2705" s="0" t="s">
        <v>130</v>
      </c>
      <c r="CJ2705" s="0" t="s">
        <v>130</v>
      </c>
      <c r="CK2705" s="0" t="s">
        <v>130</v>
      </c>
      <c r="CL2705" s="0" t="s">
        <v>130</v>
      </c>
      <c r="CM2705" s="0" t="s">
        <v>130</v>
      </c>
      <c r="CN2705" s="0" t="s">
        <v>130</v>
      </c>
      <c r="CO2705" s="0" t="s">
        <v>130</v>
      </c>
      <c r="CP2705" s="0" t="s">
        <v>130</v>
      </c>
      <c r="CQ2705" s="0" t="s">
        <v>130</v>
      </c>
      <c r="CR2705" s="0" t="s">
        <v>130</v>
      </c>
      <c r="CS2705" s="0" t="s">
        <v>130</v>
      </c>
      <c r="CT2705" s="0" t="s">
        <v>7311</v>
      </c>
    </row>
    <row r="2706">
      <c r="A2706" s="14">
        <v>112319</v>
      </c>
      <c r="B2706" s="0" t="s">
        <v>4913</v>
      </c>
      <c r="C2706" s="16">
        <f>HYPERLINK("https://eosportal.federatedhermes.com/companies/Q29tcGFueQppNjI0NzU=", "Standard Chartered PLC")</f>
      </c>
      <c r="D2706" s="0" t="s">
        <v>25</v>
      </c>
      <c r="E2706" s="0" t="s">
        <v>6444</v>
      </c>
      <c r="F2706" s="16">
        <f>HYPERLINK("https://eosportal.federatedhermes.com/engagements/RW5nYWdlbWVudAppMzcyODI=", "Biodiversity and nature")</f>
      </c>
      <c r="G2706" s="14" t="s">
        <v>7312</v>
      </c>
      <c r="H2706" s="0" t="s">
        <v>141</v>
      </c>
      <c r="I2706" s="14" t="s">
        <v>191</v>
      </c>
      <c r="J2706" s="0" t="s">
        <v>197</v>
      </c>
      <c r="K2706" s="0" t="s">
        <v>337</v>
      </c>
      <c r="L2706" s="0" t="s">
        <v>576</v>
      </c>
      <c r="M2706" s="0" t="s">
        <v>272</v>
      </c>
      <c r="N2706" s="0" t="s">
        <v>273</v>
      </c>
      <c r="O2706" s="0" t="s">
        <v>238</v>
      </c>
      <c r="Q2706" s="0" t="s">
        <v>130</v>
      </c>
      <c r="R2706" s="0" t="s">
        <v>138</v>
      </c>
      <c r="S2706" s="14">
        <v>0</v>
      </c>
      <c r="T2706" s="0" t="s">
        <v>2842</v>
      </c>
      <c r="U2706" s="0" t="s">
        <v>138</v>
      </c>
      <c r="V2706" s="14" t="s">
        <v>138</v>
      </c>
      <c r="W2706" s="0" t="s">
        <v>138</v>
      </c>
      <c r="X2706" s="14" t="s">
        <v>138</v>
      </c>
      <c r="Y2706" s="0" t="s">
        <v>138</v>
      </c>
      <c r="Z2706" s="14" t="s">
        <v>138</v>
      </c>
      <c r="AA2706" s="0" t="s">
        <v>138</v>
      </c>
      <c r="AB2706" s="14" t="s">
        <v>138</v>
      </c>
      <c r="AD2706" s="0" t="s">
        <v>138</v>
      </c>
      <c r="AF2706" s="0">
        <v>0</v>
      </c>
      <c r="AG2706" s="0">
        <v>0</v>
      </c>
      <c r="AH2706" s="0" t="s">
        <v>140</v>
      </c>
      <c r="AI2706" s="0" t="s">
        <v>138</v>
      </c>
      <c r="AL2706" s="14"/>
      <c r="AN2706" s="14"/>
      <c r="AQ2706" s="0" t="s">
        <v>130</v>
      </c>
      <c r="AR2706" s="0" t="s">
        <v>130</v>
      </c>
      <c r="AS2706" s="0" t="s">
        <v>130</v>
      </c>
      <c r="AT2706" s="0" t="s">
        <v>130</v>
      </c>
      <c r="AU2706" s="0" t="s">
        <v>130</v>
      </c>
      <c r="AV2706" s="0" t="s">
        <v>130</v>
      </c>
      <c r="AW2706" s="0" t="s">
        <v>130</v>
      </c>
      <c r="AX2706" s="0" t="s">
        <v>130</v>
      </c>
      <c r="AY2706" s="0" t="s">
        <v>130</v>
      </c>
      <c r="AZ2706" s="0" t="s">
        <v>130</v>
      </c>
      <c r="BA2706" s="0" t="s">
        <v>130</v>
      </c>
      <c r="BB2706" s="0" t="s">
        <v>141</v>
      </c>
      <c r="BC2706" s="0" t="s">
        <v>130</v>
      </c>
      <c r="BD2706" s="0" t="s">
        <v>130</v>
      </c>
      <c r="BE2706" s="0" t="s">
        <v>141</v>
      </c>
      <c r="BF2706" s="0" t="s">
        <v>130</v>
      </c>
      <c r="BG2706" s="0" t="s">
        <v>130</v>
      </c>
      <c r="BH2706" s="0" t="s">
        <v>130</v>
      </c>
      <c r="BI2706" s="0" t="s">
        <v>130</v>
      </c>
      <c r="BJ2706" s="0" t="s">
        <v>130</v>
      </c>
      <c r="BK2706" s="0" t="s">
        <v>130</v>
      </c>
      <c r="BL2706" s="0" t="s">
        <v>130</v>
      </c>
      <c r="BM2706" s="0" t="s">
        <v>130</v>
      </c>
      <c r="BN2706" s="0" t="s">
        <v>130</v>
      </c>
      <c r="BO2706" s="0" t="s">
        <v>130</v>
      </c>
      <c r="BP2706" s="0" t="s">
        <v>130</v>
      </c>
      <c r="BQ2706" s="0" t="s">
        <v>130</v>
      </c>
      <c r="BR2706" s="0" t="s">
        <v>130</v>
      </c>
      <c r="BS2706" s="0" t="s">
        <v>130</v>
      </c>
      <c r="BT2706" s="0" t="s">
        <v>130</v>
      </c>
      <c r="BU2706" s="0" t="s">
        <v>130</v>
      </c>
      <c r="BV2706" s="0" t="s">
        <v>130</v>
      </c>
      <c r="BW2706" s="0" t="s">
        <v>130</v>
      </c>
      <c r="BX2706" s="0" t="s">
        <v>130</v>
      </c>
      <c r="BY2706" s="0" t="s">
        <v>130</v>
      </c>
      <c r="BZ2706" s="0" t="s">
        <v>130</v>
      </c>
      <c r="CA2706" s="0" t="s">
        <v>130</v>
      </c>
      <c r="CB2706" s="0" t="s">
        <v>130</v>
      </c>
      <c r="CC2706" s="0" t="s">
        <v>130</v>
      </c>
      <c r="CD2706" s="0" t="s">
        <v>130</v>
      </c>
      <c r="CE2706" s="0" t="s">
        <v>130</v>
      </c>
      <c r="CF2706" s="0" t="s">
        <v>130</v>
      </c>
      <c r="CG2706" s="0" t="s">
        <v>130</v>
      </c>
      <c r="CH2706" s="0" t="s">
        <v>130</v>
      </c>
      <c r="CI2706" s="0" t="s">
        <v>130</v>
      </c>
      <c r="CJ2706" s="0" t="s">
        <v>130</v>
      </c>
      <c r="CK2706" s="0" t="s">
        <v>130</v>
      </c>
      <c r="CL2706" s="0" t="s">
        <v>130</v>
      </c>
      <c r="CM2706" s="0" t="s">
        <v>130</v>
      </c>
      <c r="CN2706" s="0" t="s">
        <v>130</v>
      </c>
      <c r="CO2706" s="0" t="s">
        <v>130</v>
      </c>
      <c r="CP2706" s="0" t="s">
        <v>130</v>
      </c>
      <c r="CQ2706" s="0" t="s">
        <v>130</v>
      </c>
      <c r="CR2706" s="0" t="s">
        <v>130</v>
      </c>
      <c r="CS2706" s="0" t="s">
        <v>130</v>
      </c>
      <c r="CT2706" s="0" t="s">
        <v>7313</v>
      </c>
    </row>
    <row r="2707">
      <c r="A2707" s="14">
        <v>101548</v>
      </c>
      <c r="B2707" s="0" t="s">
        <v>1738</v>
      </c>
      <c r="C2707" s="16">
        <f>HYPERLINK("https://eosportal.federatedhermes.com/companies/Q29tcGFueQppNjI0NTk=", "UnitedHealth Group Inc")</f>
      </c>
      <c r="D2707" s="0" t="s">
        <v>25</v>
      </c>
      <c r="E2707" s="0" t="s">
        <v>5868</v>
      </c>
      <c r="F2707" s="16">
        <f>HYPERLINK("https://eosportal.federatedhermes.com/engagements/RW5nYWdlbWVudAppMzczMDM=", "Controversy linked to UNGC Principle 1: Human rights")</f>
      </c>
      <c r="G2707" s="14" t="s">
        <v>7314</v>
      </c>
      <c r="H2707" s="0" t="s">
        <v>141</v>
      </c>
      <c r="I2707" s="14" t="s">
        <v>636</v>
      </c>
      <c r="J2707" s="0" t="s">
        <v>132</v>
      </c>
      <c r="K2707" s="0" t="s">
        <v>260</v>
      </c>
      <c r="L2707" s="0" t="s">
        <v>743</v>
      </c>
      <c r="M2707" s="0" t="s">
        <v>135</v>
      </c>
      <c r="N2707" s="0" t="s">
        <v>136</v>
      </c>
      <c r="O2707" s="0" t="s">
        <v>274</v>
      </c>
      <c r="Q2707" s="0" t="s">
        <v>141</v>
      </c>
      <c r="R2707" s="0" t="s">
        <v>138</v>
      </c>
      <c r="S2707" s="14">
        <v>1</v>
      </c>
      <c r="T2707" s="0" t="s">
        <v>3265</v>
      </c>
      <c r="U2707" s="0" t="s">
        <v>138</v>
      </c>
      <c r="V2707" s="14" t="s">
        <v>138</v>
      </c>
      <c r="W2707" s="0" t="s">
        <v>138</v>
      </c>
      <c r="X2707" s="14" t="s">
        <v>138</v>
      </c>
      <c r="Y2707" s="0" t="s">
        <v>138</v>
      </c>
      <c r="Z2707" s="14" t="s">
        <v>138</v>
      </c>
      <c r="AA2707" s="0" t="s">
        <v>138</v>
      </c>
      <c r="AB2707" s="14" t="s">
        <v>138</v>
      </c>
      <c r="AD2707" s="0" t="s">
        <v>138</v>
      </c>
      <c r="AF2707" s="0">
        <v>0</v>
      </c>
      <c r="AG2707" s="0">
        <v>0</v>
      </c>
      <c r="AH2707" s="0" t="s">
        <v>140</v>
      </c>
      <c r="AI2707" s="0" t="s">
        <v>138</v>
      </c>
      <c r="AK2707" s="0" t="s">
        <v>2529</v>
      </c>
      <c r="AL2707" s="14"/>
      <c r="AN2707" s="14"/>
      <c r="AQ2707" s="0" t="s">
        <v>130</v>
      </c>
      <c r="AR2707" s="0" t="s">
        <v>130</v>
      </c>
      <c r="AS2707" s="0" t="s">
        <v>130</v>
      </c>
      <c r="AT2707" s="0" t="s">
        <v>130</v>
      </c>
      <c r="AU2707" s="0" t="s">
        <v>130</v>
      </c>
      <c r="AV2707" s="0" t="s">
        <v>130</v>
      </c>
      <c r="AW2707" s="0" t="s">
        <v>130</v>
      </c>
      <c r="AX2707" s="0" t="s">
        <v>130</v>
      </c>
      <c r="AY2707" s="0" t="s">
        <v>130</v>
      </c>
      <c r="AZ2707" s="0" t="s">
        <v>130</v>
      </c>
      <c r="BA2707" s="0" t="s">
        <v>130</v>
      </c>
      <c r="BB2707" s="0" t="s">
        <v>130</v>
      </c>
      <c r="BC2707" s="0" t="s">
        <v>130</v>
      </c>
      <c r="BD2707" s="0" t="s">
        <v>130</v>
      </c>
      <c r="BE2707" s="0" t="s">
        <v>130</v>
      </c>
      <c r="BF2707" s="0" t="s">
        <v>130</v>
      </c>
      <c r="BG2707" s="0" t="s">
        <v>130</v>
      </c>
      <c r="BH2707" s="0" t="s">
        <v>130</v>
      </c>
      <c r="BI2707" s="0" t="s">
        <v>130</v>
      </c>
      <c r="BJ2707" s="0" t="s">
        <v>130</v>
      </c>
      <c r="BK2707" s="0" t="s">
        <v>130</v>
      </c>
      <c r="BL2707" s="0" t="s">
        <v>130</v>
      </c>
      <c r="BM2707" s="0" t="s">
        <v>130</v>
      </c>
      <c r="BN2707" s="0" t="s">
        <v>130</v>
      </c>
      <c r="BO2707" s="0" t="s">
        <v>130</v>
      </c>
      <c r="BP2707" s="0" t="s">
        <v>141</v>
      </c>
      <c r="BQ2707" s="0" t="s">
        <v>130</v>
      </c>
      <c r="BR2707" s="0" t="s">
        <v>130</v>
      </c>
      <c r="BS2707" s="0" t="s">
        <v>130</v>
      </c>
      <c r="BT2707" s="0" t="s">
        <v>130</v>
      </c>
      <c r="BU2707" s="0" t="s">
        <v>130</v>
      </c>
      <c r="BV2707" s="0" t="s">
        <v>130</v>
      </c>
      <c r="BW2707" s="0" t="s">
        <v>130</v>
      </c>
      <c r="BX2707" s="0" t="s">
        <v>130</v>
      </c>
      <c r="BY2707" s="0" t="s">
        <v>130</v>
      </c>
      <c r="BZ2707" s="0" t="s">
        <v>130</v>
      </c>
      <c r="CA2707" s="0" t="s">
        <v>130</v>
      </c>
      <c r="CB2707" s="0" t="s">
        <v>130</v>
      </c>
      <c r="CC2707" s="0" t="s">
        <v>130</v>
      </c>
      <c r="CD2707" s="0" t="s">
        <v>130</v>
      </c>
      <c r="CE2707" s="0" t="s">
        <v>130</v>
      </c>
      <c r="CF2707" s="0" t="s">
        <v>130</v>
      </c>
      <c r="CG2707" s="0" t="s">
        <v>130</v>
      </c>
      <c r="CH2707" s="0" t="s">
        <v>130</v>
      </c>
      <c r="CI2707" s="0" t="s">
        <v>130</v>
      </c>
      <c r="CJ2707" s="0" t="s">
        <v>130</v>
      </c>
      <c r="CK2707" s="0" t="s">
        <v>130</v>
      </c>
      <c r="CL2707" s="0" t="s">
        <v>130</v>
      </c>
      <c r="CM2707" s="0" t="s">
        <v>130</v>
      </c>
      <c r="CN2707" s="0" t="s">
        <v>130</v>
      </c>
      <c r="CO2707" s="0" t="s">
        <v>130</v>
      </c>
      <c r="CP2707" s="0" t="s">
        <v>130</v>
      </c>
      <c r="CQ2707" s="0" t="s">
        <v>130</v>
      </c>
      <c r="CR2707" s="0" t="s">
        <v>130</v>
      </c>
      <c r="CS2707" s="0" t="s">
        <v>130</v>
      </c>
      <c r="CT2707" s="0" t="s">
        <v>7315</v>
      </c>
    </row>
    <row r="2708">
      <c r="A2708" s="14">
        <v>216952</v>
      </c>
      <c r="B2708" s="0" t="s">
        <v>3384</v>
      </c>
      <c r="C2708" s="16">
        <f>HYPERLINK("https://eosportal.federatedhermes.com/companies/Q29tcGFueQppNjc3MjM=", "Amazon.com Inc")</f>
      </c>
      <c r="D2708" s="0" t="s">
        <v>25</v>
      </c>
      <c r="E2708" s="0" t="s">
        <v>7316</v>
      </c>
      <c r="F2708" s="16">
        <f>HYPERLINK("https://eosportal.federatedhermes.com/engagements/RW5nYWdlbWVudAppMzczMDU=", "Controversy linked to UNGC Principle 4: Forced and compulsory labour")</f>
      </c>
      <c r="G2708" s="14" t="s">
        <v>7317</v>
      </c>
      <c r="H2708" s="0" t="s">
        <v>141</v>
      </c>
      <c r="I2708" s="14" t="s">
        <v>191</v>
      </c>
      <c r="J2708" s="0" t="s">
        <v>153</v>
      </c>
      <c r="K2708" s="0" t="s">
        <v>154</v>
      </c>
      <c r="L2708" s="0" t="s">
        <v>155</v>
      </c>
      <c r="M2708" s="0" t="s">
        <v>135</v>
      </c>
      <c r="N2708" s="0" t="s">
        <v>136</v>
      </c>
      <c r="O2708" s="0" t="s">
        <v>643</v>
      </c>
      <c r="Q2708" s="0" t="s">
        <v>130</v>
      </c>
      <c r="R2708" s="0" t="s">
        <v>138</v>
      </c>
      <c r="S2708" s="14">
        <v>0</v>
      </c>
      <c r="T2708" s="0" t="s">
        <v>446</v>
      </c>
      <c r="U2708" s="0" t="s">
        <v>138</v>
      </c>
      <c r="V2708" s="14" t="s">
        <v>138</v>
      </c>
      <c r="W2708" s="0" t="s">
        <v>138</v>
      </c>
      <c r="X2708" s="14" t="s">
        <v>138</v>
      </c>
      <c r="Y2708" s="0" t="s">
        <v>138</v>
      </c>
      <c r="Z2708" s="14" t="s">
        <v>138</v>
      </c>
      <c r="AA2708" s="0" t="s">
        <v>138</v>
      </c>
      <c r="AB2708" s="14" t="s">
        <v>138</v>
      </c>
      <c r="AD2708" s="0" t="s">
        <v>138</v>
      </c>
      <c r="AF2708" s="0">
        <v>0</v>
      </c>
      <c r="AG2708" s="0">
        <v>0</v>
      </c>
      <c r="AH2708" s="0" t="s">
        <v>140</v>
      </c>
      <c r="AI2708" s="0" t="s">
        <v>138</v>
      </c>
      <c r="AL2708" s="14"/>
      <c r="AN2708" s="14"/>
      <c r="AQ2708" s="0" t="s">
        <v>130</v>
      </c>
      <c r="AR2708" s="0" t="s">
        <v>130</v>
      </c>
      <c r="AS2708" s="0" t="s">
        <v>130</v>
      </c>
      <c r="AT2708" s="0" t="s">
        <v>130</v>
      </c>
      <c r="AU2708" s="0" t="s">
        <v>130</v>
      </c>
      <c r="AV2708" s="0" t="s">
        <v>130</v>
      </c>
      <c r="AW2708" s="0" t="s">
        <v>130</v>
      </c>
      <c r="AX2708" s="0" t="s">
        <v>141</v>
      </c>
      <c r="AY2708" s="0" t="s">
        <v>130</v>
      </c>
      <c r="AZ2708" s="0" t="s">
        <v>130</v>
      </c>
      <c r="BA2708" s="0" t="s">
        <v>130</v>
      </c>
      <c r="BB2708" s="0" t="s">
        <v>130</v>
      </c>
      <c r="BC2708" s="0" t="s">
        <v>130</v>
      </c>
      <c r="BD2708" s="0" t="s">
        <v>130</v>
      </c>
      <c r="BE2708" s="0" t="s">
        <v>130</v>
      </c>
      <c r="BF2708" s="0" t="s">
        <v>130</v>
      </c>
      <c r="BG2708" s="0" t="s">
        <v>130</v>
      </c>
      <c r="BH2708" s="0" t="s">
        <v>130</v>
      </c>
      <c r="BI2708" s="0" t="s">
        <v>130</v>
      </c>
      <c r="BJ2708" s="0" t="s">
        <v>130</v>
      </c>
      <c r="BK2708" s="0" t="s">
        <v>130</v>
      </c>
      <c r="BL2708" s="0" t="s">
        <v>130</v>
      </c>
      <c r="BM2708" s="0" t="s">
        <v>130</v>
      </c>
      <c r="BN2708" s="0" t="s">
        <v>130</v>
      </c>
      <c r="BO2708" s="0" t="s">
        <v>130</v>
      </c>
      <c r="BP2708" s="0" t="s">
        <v>141</v>
      </c>
      <c r="BQ2708" s="0" t="s">
        <v>130</v>
      </c>
      <c r="BR2708" s="0" t="s">
        <v>130</v>
      </c>
      <c r="BS2708" s="0" t="s">
        <v>130</v>
      </c>
      <c r="BT2708" s="0" t="s">
        <v>130</v>
      </c>
      <c r="BU2708" s="0" t="s">
        <v>130</v>
      </c>
      <c r="BV2708" s="0" t="s">
        <v>130</v>
      </c>
      <c r="BW2708" s="0" t="s">
        <v>130</v>
      </c>
      <c r="BX2708" s="0" t="s">
        <v>130</v>
      </c>
      <c r="BY2708" s="0" t="s">
        <v>130</v>
      </c>
      <c r="BZ2708" s="0" t="s">
        <v>130</v>
      </c>
      <c r="CA2708" s="0" t="s">
        <v>130</v>
      </c>
      <c r="CB2708" s="0" t="s">
        <v>130</v>
      </c>
      <c r="CC2708" s="0" t="s">
        <v>130</v>
      </c>
      <c r="CD2708" s="0" t="s">
        <v>130</v>
      </c>
      <c r="CE2708" s="0" t="s">
        <v>130</v>
      </c>
      <c r="CF2708" s="0" t="s">
        <v>130</v>
      </c>
      <c r="CG2708" s="0" t="s">
        <v>130</v>
      </c>
      <c r="CH2708" s="0" t="s">
        <v>130</v>
      </c>
      <c r="CI2708" s="0" t="s">
        <v>141</v>
      </c>
      <c r="CJ2708" s="0" t="s">
        <v>130</v>
      </c>
      <c r="CK2708" s="0" t="s">
        <v>130</v>
      </c>
      <c r="CL2708" s="0" t="s">
        <v>130</v>
      </c>
      <c r="CM2708" s="0" t="s">
        <v>130</v>
      </c>
      <c r="CN2708" s="0" t="s">
        <v>130</v>
      </c>
      <c r="CO2708" s="0" t="s">
        <v>130</v>
      </c>
      <c r="CP2708" s="0" t="s">
        <v>130</v>
      </c>
      <c r="CQ2708" s="0" t="s">
        <v>130</v>
      </c>
      <c r="CR2708" s="0" t="s">
        <v>130</v>
      </c>
      <c r="CS2708" s="0" t="s">
        <v>130</v>
      </c>
      <c r="CT2708" s="0" t="s">
        <v>7318</v>
      </c>
    </row>
    <row r="2709">
      <c r="A2709" s="14">
        <v>101092</v>
      </c>
      <c r="B2709" s="0" t="s">
        <v>1319</v>
      </c>
      <c r="C2709" s="16">
        <f>HYPERLINK("https://eosportal.federatedhermes.com/companies/Q29tcGFueQppNzc5MzU=", "Wells Fargo &amp; Co")</f>
      </c>
      <c r="D2709" s="0" t="s">
        <v>25</v>
      </c>
      <c r="E2709" s="0" t="s">
        <v>5865</v>
      </c>
      <c r="F2709" s="16">
        <f>HYPERLINK("https://eosportal.federatedhermes.com/engagements/RW5nYWdlbWVudAppMzczMDc=", "Controversy linked to UNGC Principle 10: Corruption and bribery")</f>
      </c>
      <c r="G2709" s="14" t="s">
        <v>7319</v>
      </c>
      <c r="H2709" s="0" t="s">
        <v>141</v>
      </c>
      <c r="I2709" s="14" t="s">
        <v>191</v>
      </c>
      <c r="J2709" s="0" t="s">
        <v>153</v>
      </c>
      <c r="K2709" s="0" t="s">
        <v>185</v>
      </c>
      <c r="L2709" s="0" t="s">
        <v>186</v>
      </c>
      <c r="M2709" s="0" t="s">
        <v>135</v>
      </c>
      <c r="N2709" s="0" t="s">
        <v>136</v>
      </c>
      <c r="O2709" s="0" t="s">
        <v>238</v>
      </c>
      <c r="Q2709" s="0" t="s">
        <v>130</v>
      </c>
      <c r="R2709" s="0" t="s">
        <v>138</v>
      </c>
      <c r="S2709" s="14">
        <v>0</v>
      </c>
      <c r="T2709" s="0" t="s">
        <v>3265</v>
      </c>
      <c r="U2709" s="0" t="s">
        <v>138</v>
      </c>
      <c r="V2709" s="14" t="s">
        <v>138</v>
      </c>
      <c r="W2709" s="0" t="s">
        <v>138</v>
      </c>
      <c r="X2709" s="14" t="s">
        <v>138</v>
      </c>
      <c r="Y2709" s="0" t="s">
        <v>138</v>
      </c>
      <c r="Z2709" s="14" t="s">
        <v>138</v>
      </c>
      <c r="AA2709" s="0" t="s">
        <v>138</v>
      </c>
      <c r="AB2709" s="14" t="s">
        <v>138</v>
      </c>
      <c r="AD2709" s="0" t="s">
        <v>138</v>
      </c>
      <c r="AF2709" s="0">
        <v>0</v>
      </c>
      <c r="AG2709" s="0">
        <v>0</v>
      </c>
      <c r="AH2709" s="0" t="s">
        <v>140</v>
      </c>
      <c r="AI2709" s="0" t="s">
        <v>138</v>
      </c>
      <c r="AL2709" s="14"/>
      <c r="AN2709" s="14"/>
      <c r="AQ2709" s="0" t="s">
        <v>130</v>
      </c>
      <c r="AR2709" s="0" t="s">
        <v>130</v>
      </c>
      <c r="AS2709" s="0" t="s">
        <v>130</v>
      </c>
      <c r="AT2709" s="0" t="s">
        <v>130</v>
      </c>
      <c r="AU2709" s="0" t="s">
        <v>130</v>
      </c>
      <c r="AV2709" s="0" t="s">
        <v>130</v>
      </c>
      <c r="AW2709" s="0" t="s">
        <v>130</v>
      </c>
      <c r="AX2709" s="0" t="s">
        <v>130</v>
      </c>
      <c r="AY2709" s="0" t="s">
        <v>130</v>
      </c>
      <c r="AZ2709" s="0" t="s">
        <v>130</v>
      </c>
      <c r="BA2709" s="0" t="s">
        <v>130</v>
      </c>
      <c r="BB2709" s="0" t="s">
        <v>130</v>
      </c>
      <c r="BC2709" s="0" t="s">
        <v>130</v>
      </c>
      <c r="BD2709" s="0" t="s">
        <v>130</v>
      </c>
      <c r="BE2709" s="0" t="s">
        <v>130</v>
      </c>
      <c r="BF2709" s="0" t="s">
        <v>130</v>
      </c>
      <c r="BG2709" s="0" t="s">
        <v>130</v>
      </c>
      <c r="BH2709" s="0" t="s">
        <v>130</v>
      </c>
      <c r="BI2709" s="0" t="s">
        <v>130</v>
      </c>
      <c r="BJ2709" s="0" t="s">
        <v>130</v>
      </c>
      <c r="BK2709" s="0" t="s">
        <v>130</v>
      </c>
      <c r="BL2709" s="0" t="s">
        <v>130</v>
      </c>
      <c r="BM2709" s="0" t="s">
        <v>130</v>
      </c>
      <c r="BN2709" s="0" t="s">
        <v>130</v>
      </c>
      <c r="BO2709" s="0" t="s">
        <v>130</v>
      </c>
      <c r="BP2709" s="0" t="s">
        <v>141</v>
      </c>
      <c r="BQ2709" s="0" t="s">
        <v>130</v>
      </c>
      <c r="BR2709" s="0" t="s">
        <v>130</v>
      </c>
      <c r="BS2709" s="0" t="s">
        <v>130</v>
      </c>
      <c r="BT2709" s="0" t="s">
        <v>130</v>
      </c>
      <c r="BU2709" s="0" t="s">
        <v>130</v>
      </c>
      <c r="BV2709" s="0" t="s">
        <v>130</v>
      </c>
      <c r="BW2709" s="0" t="s">
        <v>130</v>
      </c>
      <c r="BX2709" s="0" t="s">
        <v>130</v>
      </c>
      <c r="BY2709" s="0" t="s">
        <v>130</v>
      </c>
      <c r="BZ2709" s="0" t="s">
        <v>130</v>
      </c>
      <c r="CA2709" s="0" t="s">
        <v>130</v>
      </c>
      <c r="CB2709" s="0" t="s">
        <v>130</v>
      </c>
      <c r="CC2709" s="0" t="s">
        <v>130</v>
      </c>
      <c r="CD2709" s="0" t="s">
        <v>130</v>
      </c>
      <c r="CE2709" s="0" t="s">
        <v>130</v>
      </c>
      <c r="CF2709" s="0" t="s">
        <v>130</v>
      </c>
      <c r="CG2709" s="0" t="s">
        <v>130</v>
      </c>
      <c r="CH2709" s="0" t="s">
        <v>130</v>
      </c>
      <c r="CI2709" s="0" t="s">
        <v>130</v>
      </c>
      <c r="CJ2709" s="0" t="s">
        <v>130</v>
      </c>
      <c r="CK2709" s="0" t="s">
        <v>130</v>
      </c>
      <c r="CL2709" s="0" t="s">
        <v>130</v>
      </c>
      <c r="CM2709" s="0" t="s">
        <v>130</v>
      </c>
      <c r="CN2709" s="0" t="s">
        <v>130</v>
      </c>
      <c r="CO2709" s="0" t="s">
        <v>130</v>
      </c>
      <c r="CP2709" s="0" t="s">
        <v>130</v>
      </c>
      <c r="CQ2709" s="0" t="s">
        <v>130</v>
      </c>
      <c r="CR2709" s="0" t="s">
        <v>130</v>
      </c>
      <c r="CS2709" s="0" t="s">
        <v>130</v>
      </c>
      <c r="CT2709" s="0" t="s">
        <v>7320</v>
      </c>
    </row>
    <row r="2710">
      <c r="A2710" s="14">
        <v>41234897</v>
      </c>
      <c r="B2710" s="0" t="s">
        <v>4547</v>
      </c>
      <c r="C2710" s="16">
        <f>HYPERLINK("https://eosportal.federatedhermes.com/companies/Q29tcGFueQppNzkwOTY=", "UBS Group AG")</f>
      </c>
      <c r="D2710" s="0" t="s">
        <v>25</v>
      </c>
      <c r="E2710" s="0" t="s">
        <v>5865</v>
      </c>
      <c r="F2710" s="16">
        <f>HYPERLINK("https://eosportal.federatedhermes.com/engagements/RW5nYWdlbWVudAppMzczMDk=", "Controversy linked to UNGC Principle 10: Corruption and bribery")</f>
      </c>
      <c r="G2710" s="14" t="s">
        <v>7321</v>
      </c>
      <c r="H2710" s="0" t="s">
        <v>141</v>
      </c>
      <c r="I2710" s="14" t="s">
        <v>131</v>
      </c>
      <c r="J2710" s="0" t="s">
        <v>153</v>
      </c>
      <c r="K2710" s="0" t="s">
        <v>185</v>
      </c>
      <c r="L2710" s="0" t="s">
        <v>186</v>
      </c>
      <c r="M2710" s="0" t="s">
        <v>378</v>
      </c>
      <c r="N2710" s="0" t="s">
        <v>1059</v>
      </c>
      <c r="O2710" s="0" t="s">
        <v>238</v>
      </c>
      <c r="Q2710" s="0" t="s">
        <v>141</v>
      </c>
      <c r="R2710" s="0" t="s">
        <v>138</v>
      </c>
      <c r="S2710" s="14">
        <v>1</v>
      </c>
      <c r="T2710" s="0" t="s">
        <v>3265</v>
      </c>
      <c r="U2710" s="0" t="s">
        <v>138</v>
      </c>
      <c r="V2710" s="14" t="s">
        <v>138</v>
      </c>
      <c r="W2710" s="0" t="s">
        <v>138</v>
      </c>
      <c r="X2710" s="14" t="s">
        <v>138</v>
      </c>
      <c r="Y2710" s="0" t="s">
        <v>138</v>
      </c>
      <c r="Z2710" s="14" t="s">
        <v>138</v>
      </c>
      <c r="AA2710" s="0" t="s">
        <v>138</v>
      </c>
      <c r="AB2710" s="14" t="s">
        <v>138</v>
      </c>
      <c r="AD2710" s="0" t="s">
        <v>138</v>
      </c>
      <c r="AF2710" s="0">
        <v>0</v>
      </c>
      <c r="AG2710" s="0">
        <v>0</v>
      </c>
      <c r="AH2710" s="0" t="s">
        <v>140</v>
      </c>
      <c r="AI2710" s="0" t="s">
        <v>138</v>
      </c>
      <c r="AK2710" s="0" t="s">
        <v>1834</v>
      </c>
      <c r="AL2710" s="14"/>
      <c r="AN2710" s="14"/>
      <c r="AQ2710" s="0" t="s">
        <v>130</v>
      </c>
      <c r="AR2710" s="0" t="s">
        <v>130</v>
      </c>
      <c r="AS2710" s="0" t="s">
        <v>130</v>
      </c>
      <c r="AT2710" s="0" t="s">
        <v>130</v>
      </c>
      <c r="AU2710" s="0" t="s">
        <v>130</v>
      </c>
      <c r="AV2710" s="0" t="s">
        <v>130</v>
      </c>
      <c r="AW2710" s="0" t="s">
        <v>130</v>
      </c>
      <c r="AX2710" s="0" t="s">
        <v>130</v>
      </c>
      <c r="AY2710" s="0" t="s">
        <v>130</v>
      </c>
      <c r="AZ2710" s="0" t="s">
        <v>130</v>
      </c>
      <c r="BA2710" s="0" t="s">
        <v>130</v>
      </c>
      <c r="BB2710" s="0" t="s">
        <v>130</v>
      </c>
      <c r="BC2710" s="0" t="s">
        <v>130</v>
      </c>
      <c r="BD2710" s="0" t="s">
        <v>130</v>
      </c>
      <c r="BE2710" s="0" t="s">
        <v>130</v>
      </c>
      <c r="BF2710" s="0" t="s">
        <v>130</v>
      </c>
      <c r="BG2710" s="0" t="s">
        <v>130</v>
      </c>
      <c r="BH2710" s="0" t="s">
        <v>130</v>
      </c>
      <c r="BI2710" s="0" t="s">
        <v>130</v>
      </c>
      <c r="BJ2710" s="0" t="s">
        <v>130</v>
      </c>
      <c r="BK2710" s="0" t="s">
        <v>130</v>
      </c>
      <c r="BL2710" s="0" t="s">
        <v>130</v>
      </c>
      <c r="BM2710" s="0" t="s">
        <v>130</v>
      </c>
      <c r="BN2710" s="0" t="s">
        <v>130</v>
      </c>
      <c r="BO2710" s="0" t="s">
        <v>130</v>
      </c>
      <c r="BP2710" s="0" t="s">
        <v>141</v>
      </c>
      <c r="BQ2710" s="0" t="s">
        <v>130</v>
      </c>
      <c r="BR2710" s="0" t="s">
        <v>130</v>
      </c>
      <c r="BS2710" s="0" t="s">
        <v>130</v>
      </c>
      <c r="BT2710" s="0" t="s">
        <v>130</v>
      </c>
      <c r="BU2710" s="0" t="s">
        <v>130</v>
      </c>
      <c r="BV2710" s="0" t="s">
        <v>130</v>
      </c>
      <c r="BW2710" s="0" t="s">
        <v>130</v>
      </c>
      <c r="BX2710" s="0" t="s">
        <v>130</v>
      </c>
      <c r="BY2710" s="0" t="s">
        <v>130</v>
      </c>
      <c r="BZ2710" s="0" t="s">
        <v>130</v>
      </c>
      <c r="CA2710" s="0" t="s">
        <v>130</v>
      </c>
      <c r="CB2710" s="0" t="s">
        <v>130</v>
      </c>
      <c r="CC2710" s="0" t="s">
        <v>130</v>
      </c>
      <c r="CD2710" s="0" t="s">
        <v>130</v>
      </c>
      <c r="CE2710" s="0" t="s">
        <v>130</v>
      </c>
      <c r="CF2710" s="0" t="s">
        <v>130</v>
      </c>
      <c r="CG2710" s="0" t="s">
        <v>130</v>
      </c>
      <c r="CH2710" s="0" t="s">
        <v>130</v>
      </c>
      <c r="CI2710" s="0" t="s">
        <v>130</v>
      </c>
      <c r="CJ2710" s="0" t="s">
        <v>130</v>
      </c>
      <c r="CK2710" s="0" t="s">
        <v>130</v>
      </c>
      <c r="CL2710" s="0" t="s">
        <v>130</v>
      </c>
      <c r="CM2710" s="0" t="s">
        <v>130</v>
      </c>
      <c r="CN2710" s="0" t="s">
        <v>130</v>
      </c>
      <c r="CO2710" s="0" t="s">
        <v>130</v>
      </c>
      <c r="CP2710" s="0" t="s">
        <v>130</v>
      </c>
      <c r="CQ2710" s="0" t="s">
        <v>130</v>
      </c>
      <c r="CR2710" s="0" t="s">
        <v>130</v>
      </c>
      <c r="CS2710" s="0" t="s">
        <v>130</v>
      </c>
      <c r="CT2710" s="0" t="s">
        <v>7322</v>
      </c>
    </row>
    <row r="2711">
      <c r="A2711" s="14">
        <v>8957976</v>
      </c>
      <c r="B2711" s="0" t="s">
        <v>3934</v>
      </c>
      <c r="C2711" s="16">
        <f>HYPERLINK("https://eosportal.federatedhermes.com/companies/Q29tcGFueQppNTg5NDk=", "Tencent Holdings Ltd")</f>
      </c>
      <c r="D2711" s="0" t="s">
        <v>25</v>
      </c>
      <c r="E2711" s="0" t="s">
        <v>4947</v>
      </c>
      <c r="F2711" s="16">
        <f>HYPERLINK("https://eosportal.federatedhermes.com/engagements/RW5nYWdlbWVudAppMzczNTA=", "Audit committee independence")</f>
      </c>
      <c r="G2711" s="14" t="s">
        <v>7323</v>
      </c>
      <c r="H2711" s="0" t="s">
        <v>141</v>
      </c>
      <c r="I2711" s="14" t="s">
        <v>191</v>
      </c>
      <c r="J2711" s="0" t="s">
        <v>145</v>
      </c>
      <c r="K2711" s="0" t="s">
        <v>164</v>
      </c>
      <c r="L2711" s="0" t="s">
        <v>165</v>
      </c>
      <c r="M2711" s="0" t="s">
        <v>2807</v>
      </c>
      <c r="N2711" s="0" t="s">
        <v>3272</v>
      </c>
      <c r="O2711" s="0" t="s">
        <v>137</v>
      </c>
      <c r="Q2711" s="0" t="s">
        <v>130</v>
      </c>
      <c r="R2711" s="0" t="s">
        <v>138</v>
      </c>
      <c r="S2711" s="14">
        <v>0</v>
      </c>
      <c r="T2711" s="0" t="s">
        <v>3562</v>
      </c>
      <c r="U2711" s="0" t="s">
        <v>138</v>
      </c>
      <c r="V2711" s="14" t="s">
        <v>138</v>
      </c>
      <c r="W2711" s="0" t="s">
        <v>138</v>
      </c>
      <c r="X2711" s="14" t="s">
        <v>138</v>
      </c>
      <c r="Y2711" s="0" t="s">
        <v>138</v>
      </c>
      <c r="Z2711" s="14" t="s">
        <v>138</v>
      </c>
      <c r="AA2711" s="0" t="s">
        <v>138</v>
      </c>
      <c r="AB2711" s="14" t="s">
        <v>138</v>
      </c>
      <c r="AD2711" s="0" t="s">
        <v>138</v>
      </c>
      <c r="AF2711" s="0">
        <v>0</v>
      </c>
      <c r="AG2711" s="0">
        <v>0</v>
      </c>
      <c r="AH2711" s="0" t="s">
        <v>140</v>
      </c>
      <c r="AI2711" s="0" t="s">
        <v>138</v>
      </c>
      <c r="AL2711" s="14"/>
      <c r="AN2711" s="14"/>
      <c r="AQ2711" s="0" t="s">
        <v>130</v>
      </c>
      <c r="AR2711" s="0" t="s">
        <v>130</v>
      </c>
      <c r="AS2711" s="0" t="s">
        <v>130</v>
      </c>
      <c r="AT2711" s="0" t="s">
        <v>130</v>
      </c>
      <c r="AU2711" s="0" t="s">
        <v>130</v>
      </c>
      <c r="AV2711" s="0" t="s">
        <v>130</v>
      </c>
      <c r="AW2711" s="0" t="s">
        <v>130</v>
      </c>
      <c r="AX2711" s="0" t="s">
        <v>130</v>
      </c>
      <c r="AY2711" s="0" t="s">
        <v>130</v>
      </c>
      <c r="AZ2711" s="0" t="s">
        <v>130</v>
      </c>
      <c r="BA2711" s="0" t="s">
        <v>130</v>
      </c>
      <c r="BB2711" s="0" t="s">
        <v>130</v>
      </c>
      <c r="BC2711" s="0" t="s">
        <v>130</v>
      </c>
      <c r="BD2711" s="0" t="s">
        <v>130</v>
      </c>
      <c r="BE2711" s="0" t="s">
        <v>130</v>
      </c>
      <c r="BF2711" s="0" t="s">
        <v>130</v>
      </c>
      <c r="BG2711" s="0" t="s">
        <v>130</v>
      </c>
      <c r="BH2711" s="0" t="s">
        <v>130</v>
      </c>
      <c r="BI2711" s="0" t="s">
        <v>130</v>
      </c>
      <c r="BJ2711" s="0" t="s">
        <v>130</v>
      </c>
      <c r="BK2711" s="0" t="s">
        <v>130</v>
      </c>
      <c r="BL2711" s="0" t="s">
        <v>130</v>
      </c>
      <c r="BM2711" s="0" t="s">
        <v>130</v>
      </c>
      <c r="BN2711" s="0" t="s">
        <v>130</v>
      </c>
      <c r="BO2711" s="0" t="s">
        <v>130</v>
      </c>
      <c r="BP2711" s="0" t="s">
        <v>130</v>
      </c>
      <c r="BQ2711" s="0" t="s">
        <v>130</v>
      </c>
      <c r="BR2711" s="0" t="s">
        <v>130</v>
      </c>
      <c r="BS2711" s="0" t="s">
        <v>130</v>
      </c>
      <c r="BT2711" s="0" t="s">
        <v>130</v>
      </c>
      <c r="BU2711" s="0" t="s">
        <v>130</v>
      </c>
      <c r="BV2711" s="0" t="s">
        <v>130</v>
      </c>
      <c r="BW2711" s="0" t="s">
        <v>130</v>
      </c>
      <c r="BX2711" s="0" t="s">
        <v>130</v>
      </c>
      <c r="BY2711" s="0" t="s">
        <v>130</v>
      </c>
      <c r="BZ2711" s="0" t="s">
        <v>130</v>
      </c>
      <c r="CA2711" s="0" t="s">
        <v>130</v>
      </c>
      <c r="CB2711" s="0" t="s">
        <v>130</v>
      </c>
      <c r="CC2711" s="0" t="s">
        <v>130</v>
      </c>
      <c r="CD2711" s="0" t="s">
        <v>130</v>
      </c>
      <c r="CE2711" s="0" t="s">
        <v>130</v>
      </c>
      <c r="CF2711" s="0" t="s">
        <v>130</v>
      </c>
      <c r="CG2711" s="0" t="s">
        <v>130</v>
      </c>
      <c r="CH2711" s="0" t="s">
        <v>130</v>
      </c>
      <c r="CI2711" s="0" t="s">
        <v>130</v>
      </c>
      <c r="CJ2711" s="0" t="s">
        <v>130</v>
      </c>
      <c r="CK2711" s="0" t="s">
        <v>130</v>
      </c>
      <c r="CL2711" s="0" t="s">
        <v>130</v>
      </c>
      <c r="CM2711" s="0" t="s">
        <v>130</v>
      </c>
      <c r="CN2711" s="0" t="s">
        <v>130</v>
      </c>
      <c r="CO2711" s="0" t="s">
        <v>130</v>
      </c>
      <c r="CP2711" s="0" t="s">
        <v>130</v>
      </c>
      <c r="CQ2711" s="0" t="s">
        <v>130</v>
      </c>
      <c r="CR2711" s="0" t="s">
        <v>130</v>
      </c>
      <c r="CS2711" s="0" t="s">
        <v>130</v>
      </c>
      <c r="CT2711" s="0" t="s">
        <v>7324</v>
      </c>
    </row>
    <row r="2712">
      <c r="A2712" s="14">
        <v>129309</v>
      </c>
      <c r="B2712" s="0" t="s">
        <v>2992</v>
      </c>
      <c r="C2712" s="16">
        <f>HYPERLINK("https://eosportal.federatedhermes.com/companies/Q29tcGFueQppNzc5MzY=", "POSCO Holdings Inc")</f>
      </c>
      <c r="D2712" s="0" t="s">
        <v>23</v>
      </c>
      <c r="E2712" s="0" t="s">
        <v>7325</v>
      </c>
      <c r="F2712" s="16">
        <f>HYPERLINK("https://eosportal.federatedhermes.com/engagements/RW5nYWdlbWVudAppMzczODA=", "Indigenous Peoples policy")</f>
      </c>
      <c r="G2712" s="14" t="s">
        <v>7326</v>
      </c>
      <c r="H2712" s="0" t="s">
        <v>141</v>
      </c>
      <c r="I2712" s="14" t="s">
        <v>191</v>
      </c>
      <c r="J2712" s="0" t="s">
        <v>153</v>
      </c>
      <c r="K2712" s="0" t="s">
        <v>243</v>
      </c>
      <c r="L2712" s="0" t="s">
        <v>571</v>
      </c>
      <c r="M2712" s="0" t="s">
        <v>802</v>
      </c>
      <c r="N2712" s="0" t="s">
        <v>2800</v>
      </c>
      <c r="O2712" s="0" t="s">
        <v>373</v>
      </c>
      <c r="Q2712" s="0" t="s">
        <v>141</v>
      </c>
      <c r="R2712" s="0" t="s">
        <v>141</v>
      </c>
      <c r="S2712" s="14">
        <v>4</v>
      </c>
      <c r="T2712" s="0" t="s">
        <v>2842</v>
      </c>
      <c r="U2712" s="0" t="s">
        <v>221</v>
      </c>
      <c r="V2712" s="14" t="s">
        <v>2842</v>
      </c>
      <c r="W2712" s="0" t="s">
        <v>221</v>
      </c>
      <c r="X2712" s="14" t="s">
        <v>361</v>
      </c>
      <c r="Y2712" s="0" t="s">
        <v>223</v>
      </c>
      <c r="Z2712" s="14" t="s">
        <v>138</v>
      </c>
      <c r="AA2712" s="0" t="s">
        <v>224</v>
      </c>
      <c r="AB2712" s="14" t="s">
        <v>138</v>
      </c>
      <c r="AC2712" s="0" t="s">
        <v>14</v>
      </c>
      <c r="AD2712" s="0" t="s">
        <v>17</v>
      </c>
      <c r="AE2712" s="0" t="s">
        <v>5508</v>
      </c>
      <c r="AF2712" s="0">
        <v>1</v>
      </c>
      <c r="AG2712" s="0">
        <v>0</v>
      </c>
      <c r="AH2712" s="0" t="s">
        <v>140</v>
      </c>
      <c r="AI2712" s="0" t="s">
        <v>598</v>
      </c>
      <c r="AK2712" s="0" t="s">
        <v>3013</v>
      </c>
      <c r="AL2712" s="14"/>
      <c r="AN2712" s="14"/>
      <c r="AQ2712" s="0" t="s">
        <v>141</v>
      </c>
      <c r="AR2712" s="0" t="s">
        <v>130</v>
      </c>
      <c r="AS2712" s="0" t="s">
        <v>130</v>
      </c>
      <c r="AT2712" s="0" t="s">
        <v>130</v>
      </c>
      <c r="AU2712" s="0" t="s">
        <v>130</v>
      </c>
      <c r="AV2712" s="0" t="s">
        <v>130</v>
      </c>
      <c r="AW2712" s="0" t="s">
        <v>130</v>
      </c>
      <c r="AX2712" s="0" t="s">
        <v>130</v>
      </c>
      <c r="AY2712" s="0" t="s">
        <v>130</v>
      </c>
      <c r="AZ2712" s="0" t="s">
        <v>141</v>
      </c>
      <c r="BA2712" s="0" t="s">
        <v>130</v>
      </c>
      <c r="BB2712" s="0" t="s">
        <v>130</v>
      </c>
      <c r="BC2712" s="0" t="s">
        <v>130</v>
      </c>
      <c r="BD2712" s="0" t="s">
        <v>130</v>
      </c>
      <c r="BE2712" s="0" t="s">
        <v>130</v>
      </c>
      <c r="BF2712" s="0" t="s">
        <v>141</v>
      </c>
      <c r="BG2712" s="0" t="s">
        <v>130</v>
      </c>
      <c r="BH2712" s="0" t="s">
        <v>130</v>
      </c>
      <c r="BI2712" s="0" t="s">
        <v>130</v>
      </c>
      <c r="BJ2712" s="0" t="s">
        <v>130</v>
      </c>
      <c r="BK2712" s="0" t="s">
        <v>130</v>
      </c>
      <c r="BL2712" s="0" t="s">
        <v>130</v>
      </c>
      <c r="BM2712" s="0" t="s">
        <v>130</v>
      </c>
      <c r="BN2712" s="0" t="s">
        <v>130</v>
      </c>
      <c r="BO2712" s="0" t="s">
        <v>130</v>
      </c>
      <c r="BP2712" s="0" t="s">
        <v>130</v>
      </c>
      <c r="BQ2712" s="0" t="s">
        <v>130</v>
      </c>
      <c r="BR2712" s="0" t="s">
        <v>130</v>
      </c>
      <c r="BS2712" s="0" t="s">
        <v>130</v>
      </c>
      <c r="BT2712" s="0" t="s">
        <v>130</v>
      </c>
      <c r="BU2712" s="0" t="s">
        <v>130</v>
      </c>
      <c r="BV2712" s="0" t="s">
        <v>130</v>
      </c>
      <c r="BW2712" s="0" t="s">
        <v>130</v>
      </c>
      <c r="BX2712" s="0" t="s">
        <v>130</v>
      </c>
      <c r="BY2712" s="0" t="s">
        <v>130</v>
      </c>
      <c r="BZ2712" s="0" t="s">
        <v>130</v>
      </c>
      <c r="CA2712" s="0" t="s">
        <v>130</v>
      </c>
      <c r="CB2712" s="0" t="s">
        <v>130</v>
      </c>
      <c r="CC2712" s="0" t="s">
        <v>130</v>
      </c>
      <c r="CD2712" s="0" t="s">
        <v>130</v>
      </c>
      <c r="CE2712" s="0" t="s">
        <v>130</v>
      </c>
      <c r="CF2712" s="0" t="s">
        <v>130</v>
      </c>
      <c r="CG2712" s="0" t="s">
        <v>130</v>
      </c>
      <c r="CH2712" s="0" t="s">
        <v>130</v>
      </c>
      <c r="CI2712" s="0" t="s">
        <v>130</v>
      </c>
      <c r="CJ2712" s="0" t="s">
        <v>130</v>
      </c>
      <c r="CK2712" s="0" t="s">
        <v>130</v>
      </c>
      <c r="CL2712" s="0" t="s">
        <v>130</v>
      </c>
      <c r="CM2712" s="0" t="s">
        <v>141</v>
      </c>
      <c r="CN2712" s="0" t="s">
        <v>141</v>
      </c>
      <c r="CO2712" s="0" t="s">
        <v>141</v>
      </c>
      <c r="CP2712" s="0" t="s">
        <v>141</v>
      </c>
      <c r="CQ2712" s="0" t="s">
        <v>130</v>
      </c>
      <c r="CR2712" s="0" t="s">
        <v>130</v>
      </c>
      <c r="CS2712" s="0" t="s">
        <v>130</v>
      </c>
      <c r="CT2712" s="0" t="s">
        <v>7327</v>
      </c>
    </row>
    <row r="2713">
      <c r="A2713" s="14">
        <v>101174</v>
      </c>
      <c r="B2713" s="0" t="s">
        <v>1365</v>
      </c>
      <c r="C2713" s="16">
        <f>HYPERLINK("https://eosportal.federatedhermes.com/companies/Q29tcGFueQppNTg5ODc=", "ConocoPhillips")</f>
      </c>
      <c r="D2713" s="0" t="s">
        <v>25</v>
      </c>
      <c r="E2713" s="0" t="s">
        <v>7328</v>
      </c>
      <c r="F2713" s="16">
        <f>HYPERLINK("https://eosportal.federatedhermes.com/engagements/RW5nYWdlbWVudAppMzc0MTY=", "AI Value Chain Methane Emissions Reduction convening")</f>
      </c>
      <c r="G2713" s="14" t="s">
        <v>7329</v>
      </c>
      <c r="H2713" s="0" t="s">
        <v>141</v>
      </c>
      <c r="I2713" s="14" t="s">
        <v>191</v>
      </c>
      <c r="J2713" s="0" t="s">
        <v>197</v>
      </c>
      <c r="K2713" s="0" t="s">
        <v>198</v>
      </c>
      <c r="L2713" s="0" t="s">
        <v>220</v>
      </c>
      <c r="M2713" s="0" t="s">
        <v>135</v>
      </c>
      <c r="N2713" s="0" t="s">
        <v>136</v>
      </c>
      <c r="O2713" s="0" t="s">
        <v>542</v>
      </c>
      <c r="Q2713" s="0" t="s">
        <v>130</v>
      </c>
      <c r="R2713" s="0" t="s">
        <v>138</v>
      </c>
      <c r="S2713" s="14">
        <v>0</v>
      </c>
      <c r="T2713" s="0" t="s">
        <v>2428</v>
      </c>
      <c r="U2713" s="0" t="s">
        <v>138</v>
      </c>
      <c r="V2713" s="14" t="s">
        <v>138</v>
      </c>
      <c r="W2713" s="0" t="s">
        <v>138</v>
      </c>
      <c r="X2713" s="14" t="s">
        <v>138</v>
      </c>
      <c r="Y2713" s="0" t="s">
        <v>138</v>
      </c>
      <c r="Z2713" s="14" t="s">
        <v>138</v>
      </c>
      <c r="AA2713" s="0" t="s">
        <v>138</v>
      </c>
      <c r="AB2713" s="14" t="s">
        <v>138</v>
      </c>
      <c r="AD2713" s="0" t="s">
        <v>138</v>
      </c>
      <c r="AF2713" s="0">
        <v>0</v>
      </c>
      <c r="AG2713" s="0">
        <v>0</v>
      </c>
      <c r="AH2713" s="0" t="s">
        <v>140</v>
      </c>
      <c r="AI2713" s="0" t="s">
        <v>138</v>
      </c>
      <c r="AL2713" s="14"/>
      <c r="AN2713" s="14"/>
      <c r="AQ2713" s="0" t="s">
        <v>130</v>
      </c>
      <c r="AR2713" s="0" t="s">
        <v>130</v>
      </c>
      <c r="AS2713" s="0" t="s">
        <v>130</v>
      </c>
      <c r="AT2713" s="0" t="s">
        <v>130</v>
      </c>
      <c r="AU2713" s="0" t="s">
        <v>130</v>
      </c>
      <c r="AV2713" s="0" t="s">
        <v>130</v>
      </c>
      <c r="AW2713" s="0" t="s">
        <v>141</v>
      </c>
      <c r="AX2713" s="0" t="s">
        <v>130</v>
      </c>
      <c r="AY2713" s="0" t="s">
        <v>141</v>
      </c>
      <c r="AZ2713" s="0" t="s">
        <v>130</v>
      </c>
      <c r="BA2713" s="0" t="s">
        <v>130</v>
      </c>
      <c r="BB2713" s="0" t="s">
        <v>130</v>
      </c>
      <c r="BC2713" s="0" t="s">
        <v>141</v>
      </c>
      <c r="BD2713" s="0" t="s">
        <v>130</v>
      </c>
      <c r="BE2713" s="0" t="s">
        <v>130</v>
      </c>
      <c r="BF2713" s="0" t="s">
        <v>130</v>
      </c>
      <c r="BG2713" s="0" t="s">
        <v>130</v>
      </c>
      <c r="BH2713" s="0" t="s">
        <v>141</v>
      </c>
      <c r="BI2713" s="0" t="s">
        <v>141</v>
      </c>
      <c r="BJ2713" s="0" t="s">
        <v>141</v>
      </c>
      <c r="BK2713" s="0" t="s">
        <v>130</v>
      </c>
      <c r="BL2713" s="0" t="s">
        <v>130</v>
      </c>
      <c r="BM2713" s="0" t="s">
        <v>130</v>
      </c>
      <c r="BN2713" s="0" t="s">
        <v>130</v>
      </c>
      <c r="BO2713" s="0" t="s">
        <v>130</v>
      </c>
      <c r="BP2713" s="0" t="s">
        <v>130</v>
      </c>
      <c r="BQ2713" s="0" t="s">
        <v>130</v>
      </c>
      <c r="BR2713" s="0" t="s">
        <v>130</v>
      </c>
      <c r="BS2713" s="0" t="s">
        <v>130</v>
      </c>
      <c r="BT2713" s="0" t="s">
        <v>130</v>
      </c>
      <c r="BU2713" s="0" t="s">
        <v>130</v>
      </c>
      <c r="BV2713" s="0" t="s">
        <v>141</v>
      </c>
      <c r="BW2713" s="0" t="s">
        <v>141</v>
      </c>
      <c r="BX2713" s="0" t="s">
        <v>130</v>
      </c>
      <c r="BY2713" s="0" t="s">
        <v>130</v>
      </c>
      <c r="BZ2713" s="0" t="s">
        <v>130</v>
      </c>
      <c r="CA2713" s="0" t="s">
        <v>130</v>
      </c>
      <c r="CB2713" s="0" t="s">
        <v>130</v>
      </c>
      <c r="CC2713" s="0" t="s">
        <v>130</v>
      </c>
      <c r="CD2713" s="0" t="s">
        <v>130</v>
      </c>
      <c r="CE2713" s="0" t="s">
        <v>130</v>
      </c>
      <c r="CF2713" s="0" t="s">
        <v>130</v>
      </c>
      <c r="CG2713" s="0" t="s">
        <v>130</v>
      </c>
      <c r="CH2713" s="0" t="s">
        <v>130</v>
      </c>
      <c r="CI2713" s="0" t="s">
        <v>130</v>
      </c>
      <c r="CJ2713" s="0" t="s">
        <v>130</v>
      </c>
      <c r="CK2713" s="0" t="s">
        <v>130</v>
      </c>
      <c r="CL2713" s="0" t="s">
        <v>130</v>
      </c>
      <c r="CM2713" s="0" t="s">
        <v>130</v>
      </c>
      <c r="CN2713" s="0" t="s">
        <v>130</v>
      </c>
      <c r="CO2713" s="0" t="s">
        <v>130</v>
      </c>
      <c r="CP2713" s="0" t="s">
        <v>130</v>
      </c>
      <c r="CQ2713" s="0" t="s">
        <v>130</v>
      </c>
      <c r="CR2713" s="0" t="s">
        <v>130</v>
      </c>
      <c r="CS2713" s="0" t="s">
        <v>130</v>
      </c>
      <c r="CT2713" s="0" t="s">
        <v>7330</v>
      </c>
    </row>
    <row r="2714">
      <c r="A2714" s="14">
        <v>101174</v>
      </c>
      <c r="B2714" s="0" t="s">
        <v>1365</v>
      </c>
      <c r="C2714" s="16">
        <f>HYPERLINK("https://eosportal.federatedhermes.com/companies/Q29tcGFueQppNTg5ODc=", "ConocoPhillips")</f>
      </c>
      <c r="D2714" s="0" t="s">
        <v>23</v>
      </c>
      <c r="E2714" s="0" t="s">
        <v>5543</v>
      </c>
      <c r="F2714" s="16">
        <f>HYPERLINK("https://eosportal.federatedhermes.com/engagements/RW5nYWdlbWVudAppMzc0MzU=", "Methane management best practices")</f>
      </c>
      <c r="G2714" s="14" t="s">
        <v>7331</v>
      </c>
      <c r="H2714" s="0" t="s">
        <v>141</v>
      </c>
      <c r="I2714" s="14" t="s">
        <v>191</v>
      </c>
      <c r="J2714" s="0" t="s">
        <v>197</v>
      </c>
      <c r="K2714" s="0" t="s">
        <v>198</v>
      </c>
      <c r="L2714" s="0" t="s">
        <v>220</v>
      </c>
      <c r="M2714" s="0" t="s">
        <v>135</v>
      </c>
      <c r="N2714" s="0" t="s">
        <v>136</v>
      </c>
      <c r="O2714" s="0" t="s">
        <v>542</v>
      </c>
      <c r="Q2714" s="0" t="s">
        <v>141</v>
      </c>
      <c r="R2714" s="0" t="s">
        <v>130</v>
      </c>
      <c r="S2714" s="14">
        <v>1</v>
      </c>
      <c r="T2714" s="0" t="s">
        <v>3562</v>
      </c>
      <c r="U2714" s="0" t="s">
        <v>221</v>
      </c>
      <c r="V2714" s="14" t="s">
        <v>3562</v>
      </c>
      <c r="W2714" s="0" t="s">
        <v>221</v>
      </c>
      <c r="X2714" s="14" t="s">
        <v>3562</v>
      </c>
      <c r="Y2714" s="0" t="s">
        <v>223</v>
      </c>
      <c r="Z2714" s="14" t="s">
        <v>138</v>
      </c>
      <c r="AA2714" s="0" t="s">
        <v>224</v>
      </c>
      <c r="AB2714" s="14" t="s">
        <v>138</v>
      </c>
      <c r="AD2714" s="0" t="s">
        <v>17</v>
      </c>
      <c r="AF2714" s="0">
        <v>0</v>
      </c>
      <c r="AG2714" s="0">
        <v>0</v>
      </c>
      <c r="AH2714" s="0" t="s">
        <v>140</v>
      </c>
      <c r="AI2714" s="0" t="s">
        <v>598</v>
      </c>
      <c r="AK2714" s="0" t="s">
        <v>2330</v>
      </c>
      <c r="AL2714" s="14"/>
      <c r="AN2714" s="14"/>
      <c r="AQ2714" s="0" t="s">
        <v>130</v>
      </c>
      <c r="AR2714" s="0" t="s">
        <v>130</v>
      </c>
      <c r="AS2714" s="0" t="s">
        <v>130</v>
      </c>
      <c r="AT2714" s="0" t="s">
        <v>130</v>
      </c>
      <c r="AU2714" s="0" t="s">
        <v>130</v>
      </c>
      <c r="AV2714" s="0" t="s">
        <v>130</v>
      </c>
      <c r="AW2714" s="0" t="s">
        <v>141</v>
      </c>
      <c r="AX2714" s="0" t="s">
        <v>130</v>
      </c>
      <c r="AY2714" s="0" t="s">
        <v>141</v>
      </c>
      <c r="AZ2714" s="0" t="s">
        <v>130</v>
      </c>
      <c r="BA2714" s="0" t="s">
        <v>130</v>
      </c>
      <c r="BB2714" s="0" t="s">
        <v>130</v>
      </c>
      <c r="BC2714" s="0" t="s">
        <v>141</v>
      </c>
      <c r="BD2714" s="0" t="s">
        <v>130</v>
      </c>
      <c r="BE2714" s="0" t="s">
        <v>130</v>
      </c>
      <c r="BF2714" s="0" t="s">
        <v>130</v>
      </c>
      <c r="BG2714" s="0" t="s">
        <v>130</v>
      </c>
      <c r="BH2714" s="0" t="s">
        <v>130</v>
      </c>
      <c r="BI2714" s="0" t="s">
        <v>130</v>
      </c>
      <c r="BJ2714" s="0" t="s">
        <v>130</v>
      </c>
      <c r="BK2714" s="0" t="s">
        <v>130</v>
      </c>
      <c r="BL2714" s="0" t="s">
        <v>130</v>
      </c>
      <c r="BM2714" s="0" t="s">
        <v>130</v>
      </c>
      <c r="BN2714" s="0" t="s">
        <v>130</v>
      </c>
      <c r="BO2714" s="0" t="s">
        <v>130</v>
      </c>
      <c r="BP2714" s="0" t="s">
        <v>130</v>
      </c>
      <c r="BQ2714" s="0" t="s">
        <v>130</v>
      </c>
      <c r="BR2714" s="0" t="s">
        <v>130</v>
      </c>
      <c r="BS2714" s="0" t="s">
        <v>130</v>
      </c>
      <c r="BT2714" s="0" t="s">
        <v>130</v>
      </c>
      <c r="BU2714" s="0" t="s">
        <v>130</v>
      </c>
      <c r="BV2714" s="0" t="s">
        <v>130</v>
      </c>
      <c r="BW2714" s="0" t="s">
        <v>130</v>
      </c>
      <c r="BX2714" s="0" t="s">
        <v>130</v>
      </c>
      <c r="BY2714" s="0" t="s">
        <v>130</v>
      </c>
      <c r="BZ2714" s="0" t="s">
        <v>130</v>
      </c>
      <c r="CA2714" s="0" t="s">
        <v>130</v>
      </c>
      <c r="CB2714" s="0" t="s">
        <v>130</v>
      </c>
      <c r="CC2714" s="0" t="s">
        <v>130</v>
      </c>
      <c r="CD2714" s="0" t="s">
        <v>130</v>
      </c>
      <c r="CE2714" s="0" t="s">
        <v>130</v>
      </c>
      <c r="CF2714" s="0" t="s">
        <v>130</v>
      </c>
      <c r="CG2714" s="0" t="s">
        <v>130</v>
      </c>
      <c r="CH2714" s="0" t="s">
        <v>130</v>
      </c>
      <c r="CI2714" s="0" t="s">
        <v>130</v>
      </c>
      <c r="CJ2714" s="0" t="s">
        <v>130</v>
      </c>
      <c r="CK2714" s="0" t="s">
        <v>130</v>
      </c>
      <c r="CL2714" s="0" t="s">
        <v>130</v>
      </c>
      <c r="CM2714" s="0" t="s">
        <v>130</v>
      </c>
      <c r="CN2714" s="0" t="s">
        <v>130</v>
      </c>
      <c r="CO2714" s="0" t="s">
        <v>130</v>
      </c>
      <c r="CP2714" s="0" t="s">
        <v>130</v>
      </c>
      <c r="CQ2714" s="0" t="s">
        <v>130</v>
      </c>
      <c r="CR2714" s="0" t="s">
        <v>130</v>
      </c>
      <c r="CS2714" s="0" t="s">
        <v>130</v>
      </c>
      <c r="CT2714" s="0" t="s">
        <v>7332</v>
      </c>
    </row>
    <row r="2715">
      <c r="A2715" s="14">
        <v>101174</v>
      </c>
      <c r="B2715" s="0" t="s">
        <v>1365</v>
      </c>
      <c r="C2715" s="16">
        <f>HYPERLINK("https://eosportal.federatedhermes.com/companies/Q29tcGFueQppNTg5ODc=", "ConocoPhillips")</f>
      </c>
      <c r="D2715" s="0" t="s">
        <v>23</v>
      </c>
      <c r="E2715" s="0" t="s">
        <v>5543</v>
      </c>
      <c r="F2715" s="16">
        <f>HYPERLINK("https://eosportal.federatedhermes.com/engagements/RW5nYWdlbWVudAppMzc0Mzc=", "Methane management best practices")</f>
      </c>
      <c r="G2715" s="14" t="s">
        <v>5544</v>
      </c>
      <c r="H2715" s="0" t="s">
        <v>141</v>
      </c>
      <c r="I2715" s="14" t="s">
        <v>191</v>
      </c>
      <c r="J2715" s="0" t="s">
        <v>197</v>
      </c>
      <c r="K2715" s="0" t="s">
        <v>198</v>
      </c>
      <c r="L2715" s="0" t="s">
        <v>220</v>
      </c>
      <c r="M2715" s="0" t="s">
        <v>135</v>
      </c>
      <c r="N2715" s="0" t="s">
        <v>136</v>
      </c>
      <c r="O2715" s="0" t="s">
        <v>542</v>
      </c>
      <c r="Q2715" s="0" t="s">
        <v>141</v>
      </c>
      <c r="R2715" s="0" t="s">
        <v>130</v>
      </c>
      <c r="S2715" s="14">
        <v>1</v>
      </c>
      <c r="T2715" s="0" t="s">
        <v>2428</v>
      </c>
      <c r="U2715" s="0" t="s">
        <v>221</v>
      </c>
      <c r="V2715" s="14" t="s">
        <v>2428</v>
      </c>
      <c r="W2715" s="0" t="s">
        <v>221</v>
      </c>
      <c r="X2715" s="14" t="s">
        <v>2428</v>
      </c>
      <c r="Y2715" s="0" t="s">
        <v>223</v>
      </c>
      <c r="Z2715" s="14" t="s">
        <v>138</v>
      </c>
      <c r="AA2715" s="0" t="s">
        <v>224</v>
      </c>
      <c r="AB2715" s="14" t="s">
        <v>138</v>
      </c>
      <c r="AD2715" s="0" t="s">
        <v>17</v>
      </c>
      <c r="AF2715" s="0">
        <v>0</v>
      </c>
      <c r="AG2715" s="0">
        <v>0</v>
      </c>
      <c r="AH2715" s="0" t="s">
        <v>140</v>
      </c>
      <c r="AI2715" s="0" t="s">
        <v>598</v>
      </c>
      <c r="AK2715" s="0" t="s">
        <v>2330</v>
      </c>
      <c r="AL2715" s="14"/>
      <c r="AN2715" s="14"/>
      <c r="AQ2715" s="0" t="s">
        <v>130</v>
      </c>
      <c r="AR2715" s="0" t="s">
        <v>130</v>
      </c>
      <c r="AS2715" s="0" t="s">
        <v>130</v>
      </c>
      <c r="AT2715" s="0" t="s">
        <v>130</v>
      </c>
      <c r="AU2715" s="0" t="s">
        <v>130</v>
      </c>
      <c r="AV2715" s="0" t="s">
        <v>130</v>
      </c>
      <c r="AW2715" s="0" t="s">
        <v>141</v>
      </c>
      <c r="AX2715" s="0" t="s">
        <v>130</v>
      </c>
      <c r="AY2715" s="0" t="s">
        <v>141</v>
      </c>
      <c r="AZ2715" s="0" t="s">
        <v>130</v>
      </c>
      <c r="BA2715" s="0" t="s">
        <v>130</v>
      </c>
      <c r="BB2715" s="0" t="s">
        <v>130</v>
      </c>
      <c r="BC2715" s="0" t="s">
        <v>141</v>
      </c>
      <c r="BD2715" s="0" t="s">
        <v>130</v>
      </c>
      <c r="BE2715" s="0" t="s">
        <v>130</v>
      </c>
      <c r="BF2715" s="0" t="s">
        <v>130</v>
      </c>
      <c r="BG2715" s="0" t="s">
        <v>130</v>
      </c>
      <c r="BH2715" s="0" t="s">
        <v>130</v>
      </c>
      <c r="BI2715" s="0" t="s">
        <v>130</v>
      </c>
      <c r="BJ2715" s="0" t="s">
        <v>130</v>
      </c>
      <c r="BK2715" s="0" t="s">
        <v>130</v>
      </c>
      <c r="BL2715" s="0" t="s">
        <v>130</v>
      </c>
      <c r="BM2715" s="0" t="s">
        <v>130</v>
      </c>
      <c r="BN2715" s="0" t="s">
        <v>130</v>
      </c>
      <c r="BO2715" s="0" t="s">
        <v>130</v>
      </c>
      <c r="BP2715" s="0" t="s">
        <v>130</v>
      </c>
      <c r="BQ2715" s="0" t="s">
        <v>130</v>
      </c>
      <c r="BR2715" s="0" t="s">
        <v>130</v>
      </c>
      <c r="BS2715" s="0" t="s">
        <v>130</v>
      </c>
      <c r="BT2715" s="0" t="s">
        <v>130</v>
      </c>
      <c r="BU2715" s="0" t="s">
        <v>130</v>
      </c>
      <c r="BV2715" s="0" t="s">
        <v>130</v>
      </c>
      <c r="BW2715" s="0" t="s">
        <v>130</v>
      </c>
      <c r="BX2715" s="0" t="s">
        <v>130</v>
      </c>
      <c r="BY2715" s="0" t="s">
        <v>130</v>
      </c>
      <c r="BZ2715" s="0" t="s">
        <v>130</v>
      </c>
      <c r="CA2715" s="0" t="s">
        <v>130</v>
      </c>
      <c r="CB2715" s="0" t="s">
        <v>130</v>
      </c>
      <c r="CC2715" s="0" t="s">
        <v>130</v>
      </c>
      <c r="CD2715" s="0" t="s">
        <v>130</v>
      </c>
      <c r="CE2715" s="0" t="s">
        <v>130</v>
      </c>
      <c r="CF2715" s="0" t="s">
        <v>130</v>
      </c>
      <c r="CG2715" s="0" t="s">
        <v>130</v>
      </c>
      <c r="CH2715" s="0" t="s">
        <v>130</v>
      </c>
      <c r="CI2715" s="0" t="s">
        <v>130</v>
      </c>
      <c r="CJ2715" s="0" t="s">
        <v>130</v>
      </c>
      <c r="CK2715" s="0" t="s">
        <v>130</v>
      </c>
      <c r="CL2715" s="0" t="s">
        <v>130</v>
      </c>
      <c r="CM2715" s="0" t="s">
        <v>130</v>
      </c>
      <c r="CN2715" s="0" t="s">
        <v>130</v>
      </c>
      <c r="CO2715" s="0" t="s">
        <v>130</v>
      </c>
      <c r="CP2715" s="0" t="s">
        <v>130</v>
      </c>
      <c r="CQ2715" s="0" t="s">
        <v>130</v>
      </c>
      <c r="CR2715" s="0" t="s">
        <v>130</v>
      </c>
      <c r="CS2715" s="0" t="s">
        <v>130</v>
      </c>
      <c r="CT2715" s="0" t="s">
        <v>7333</v>
      </c>
    </row>
    <row r="2716">
      <c r="A2716" s="14">
        <v>100315</v>
      </c>
      <c r="B2716" s="0" t="s">
        <v>539</v>
      </c>
      <c r="C2716" s="16">
        <f>HYPERLINK("https://eosportal.federatedhermes.com/companies/Q29tcGFueQppNzcwNTA=", "Chevron Corp")</f>
      </c>
      <c r="D2716" s="0" t="s">
        <v>23</v>
      </c>
      <c r="E2716" s="0" t="s">
        <v>5543</v>
      </c>
      <c r="F2716" s="16">
        <f>HYPERLINK("https://eosportal.federatedhermes.com/engagements/RW5nYWdlbWVudAppMzc0Mzg=", "Methane management best practices")</f>
      </c>
      <c r="G2716" s="14" t="s">
        <v>5544</v>
      </c>
      <c r="H2716" s="0" t="s">
        <v>141</v>
      </c>
      <c r="I2716" s="14" t="s">
        <v>191</v>
      </c>
      <c r="J2716" s="0" t="s">
        <v>197</v>
      </c>
      <c r="K2716" s="0" t="s">
        <v>198</v>
      </c>
      <c r="L2716" s="0" t="s">
        <v>220</v>
      </c>
      <c r="M2716" s="0" t="s">
        <v>135</v>
      </c>
      <c r="N2716" s="0" t="s">
        <v>136</v>
      </c>
      <c r="O2716" s="0" t="s">
        <v>542</v>
      </c>
      <c r="Q2716" s="0" t="s">
        <v>141</v>
      </c>
      <c r="R2716" s="0" t="s">
        <v>130</v>
      </c>
      <c r="S2716" s="14">
        <v>1</v>
      </c>
      <c r="T2716" s="0" t="s">
        <v>2428</v>
      </c>
      <c r="U2716" s="0" t="s">
        <v>221</v>
      </c>
      <c r="V2716" s="14" t="s">
        <v>2428</v>
      </c>
      <c r="W2716" s="0" t="s">
        <v>221</v>
      </c>
      <c r="X2716" s="14" t="s">
        <v>2428</v>
      </c>
      <c r="Y2716" s="0" t="s">
        <v>223</v>
      </c>
      <c r="Z2716" s="14" t="s">
        <v>138</v>
      </c>
      <c r="AA2716" s="0" t="s">
        <v>224</v>
      </c>
      <c r="AB2716" s="14" t="s">
        <v>138</v>
      </c>
      <c r="AD2716" s="0" t="s">
        <v>17</v>
      </c>
      <c r="AF2716" s="0">
        <v>0</v>
      </c>
      <c r="AG2716" s="0">
        <v>0</v>
      </c>
      <c r="AH2716" s="0" t="s">
        <v>140</v>
      </c>
      <c r="AI2716" s="0" t="s">
        <v>598</v>
      </c>
      <c r="AK2716" s="0" t="s">
        <v>2044</v>
      </c>
      <c r="AL2716" s="14"/>
      <c r="AN2716" s="14"/>
      <c r="AQ2716" s="0" t="s">
        <v>130</v>
      </c>
      <c r="AR2716" s="0" t="s">
        <v>130</v>
      </c>
      <c r="AS2716" s="0" t="s">
        <v>130</v>
      </c>
      <c r="AT2716" s="0" t="s">
        <v>130</v>
      </c>
      <c r="AU2716" s="0" t="s">
        <v>130</v>
      </c>
      <c r="AV2716" s="0" t="s">
        <v>130</v>
      </c>
      <c r="AW2716" s="0" t="s">
        <v>141</v>
      </c>
      <c r="AX2716" s="0" t="s">
        <v>130</v>
      </c>
      <c r="AY2716" s="0" t="s">
        <v>141</v>
      </c>
      <c r="AZ2716" s="0" t="s">
        <v>130</v>
      </c>
      <c r="BA2716" s="0" t="s">
        <v>130</v>
      </c>
      <c r="BB2716" s="0" t="s">
        <v>130</v>
      </c>
      <c r="BC2716" s="0" t="s">
        <v>141</v>
      </c>
      <c r="BD2716" s="0" t="s">
        <v>130</v>
      </c>
      <c r="BE2716" s="0" t="s">
        <v>130</v>
      </c>
      <c r="BF2716" s="0" t="s">
        <v>130</v>
      </c>
      <c r="BG2716" s="0" t="s">
        <v>130</v>
      </c>
      <c r="BH2716" s="0" t="s">
        <v>130</v>
      </c>
      <c r="BI2716" s="0" t="s">
        <v>130</v>
      </c>
      <c r="BJ2716" s="0" t="s">
        <v>130</v>
      </c>
      <c r="BK2716" s="0" t="s">
        <v>130</v>
      </c>
      <c r="BL2716" s="0" t="s">
        <v>130</v>
      </c>
      <c r="BM2716" s="0" t="s">
        <v>130</v>
      </c>
      <c r="BN2716" s="0" t="s">
        <v>130</v>
      </c>
      <c r="BO2716" s="0" t="s">
        <v>130</v>
      </c>
      <c r="BP2716" s="0" t="s">
        <v>130</v>
      </c>
      <c r="BQ2716" s="0" t="s">
        <v>130</v>
      </c>
      <c r="BR2716" s="0" t="s">
        <v>130</v>
      </c>
      <c r="BS2716" s="0" t="s">
        <v>130</v>
      </c>
      <c r="BT2716" s="0" t="s">
        <v>130</v>
      </c>
      <c r="BU2716" s="0" t="s">
        <v>130</v>
      </c>
      <c r="BV2716" s="0" t="s">
        <v>130</v>
      </c>
      <c r="BW2716" s="0" t="s">
        <v>130</v>
      </c>
      <c r="BX2716" s="0" t="s">
        <v>130</v>
      </c>
      <c r="BY2716" s="0" t="s">
        <v>130</v>
      </c>
      <c r="BZ2716" s="0" t="s">
        <v>130</v>
      </c>
      <c r="CA2716" s="0" t="s">
        <v>130</v>
      </c>
      <c r="CB2716" s="0" t="s">
        <v>130</v>
      </c>
      <c r="CC2716" s="0" t="s">
        <v>130</v>
      </c>
      <c r="CD2716" s="0" t="s">
        <v>130</v>
      </c>
      <c r="CE2716" s="0" t="s">
        <v>130</v>
      </c>
      <c r="CF2716" s="0" t="s">
        <v>130</v>
      </c>
      <c r="CG2716" s="0" t="s">
        <v>130</v>
      </c>
      <c r="CH2716" s="0" t="s">
        <v>130</v>
      </c>
      <c r="CI2716" s="0" t="s">
        <v>130</v>
      </c>
      <c r="CJ2716" s="0" t="s">
        <v>130</v>
      </c>
      <c r="CK2716" s="0" t="s">
        <v>130</v>
      </c>
      <c r="CL2716" s="0" t="s">
        <v>130</v>
      </c>
      <c r="CM2716" s="0" t="s">
        <v>130</v>
      </c>
      <c r="CN2716" s="0" t="s">
        <v>130</v>
      </c>
      <c r="CO2716" s="0" t="s">
        <v>130</v>
      </c>
      <c r="CP2716" s="0" t="s">
        <v>130</v>
      </c>
      <c r="CQ2716" s="0" t="s">
        <v>130</v>
      </c>
      <c r="CR2716" s="0" t="s">
        <v>130</v>
      </c>
      <c r="CS2716" s="0" t="s">
        <v>130</v>
      </c>
      <c r="CT2716" s="0" t="s">
        <v>7334</v>
      </c>
    </row>
    <row r="2717">
      <c r="A2717" s="14">
        <v>100232</v>
      </c>
      <c r="B2717" s="0" t="s">
        <v>368</v>
      </c>
      <c r="C2717" s="16">
        <f>HYPERLINK("https://eosportal.federatedhermes.com/companies/Q29tcGFueQppNjQzODg=", "BHP Group Ltd")</f>
      </c>
      <c r="D2717" s="0" t="s">
        <v>25</v>
      </c>
      <c r="E2717" s="0" t="s">
        <v>7335</v>
      </c>
      <c r="F2717" s="16">
        <f>HYPERLINK("https://eosportal.federatedhermes.com/engagements/RW5nYWdlbWVudAppMzc0Mzk=", "Sexual Harassment")</f>
      </c>
      <c r="G2717" s="14" t="s">
        <v>7336</v>
      </c>
      <c r="H2717" s="0" t="s">
        <v>141</v>
      </c>
      <c r="I2717" s="14" t="s">
        <v>191</v>
      </c>
      <c r="J2717" s="0" t="s">
        <v>153</v>
      </c>
      <c r="K2717" s="0" t="s">
        <v>154</v>
      </c>
      <c r="L2717" s="0" t="s">
        <v>155</v>
      </c>
      <c r="M2717" s="0" t="s">
        <v>371</v>
      </c>
      <c r="N2717" s="0" t="s">
        <v>372</v>
      </c>
      <c r="O2717" s="0" t="s">
        <v>373</v>
      </c>
      <c r="Q2717" s="0" t="s">
        <v>141</v>
      </c>
      <c r="R2717" s="0" t="s">
        <v>138</v>
      </c>
      <c r="S2717" s="14">
        <v>1</v>
      </c>
      <c r="T2717" s="0" t="s">
        <v>2842</v>
      </c>
      <c r="U2717" s="0" t="s">
        <v>138</v>
      </c>
      <c r="V2717" s="14" t="s">
        <v>138</v>
      </c>
      <c r="W2717" s="0" t="s">
        <v>138</v>
      </c>
      <c r="X2717" s="14" t="s">
        <v>138</v>
      </c>
      <c r="Y2717" s="0" t="s">
        <v>138</v>
      </c>
      <c r="Z2717" s="14" t="s">
        <v>138</v>
      </c>
      <c r="AA2717" s="0" t="s">
        <v>138</v>
      </c>
      <c r="AB2717" s="14" t="s">
        <v>138</v>
      </c>
      <c r="AD2717" s="0" t="s">
        <v>138</v>
      </c>
      <c r="AF2717" s="0">
        <v>0</v>
      </c>
      <c r="AG2717" s="0">
        <v>0</v>
      </c>
      <c r="AH2717" s="0" t="s">
        <v>140</v>
      </c>
      <c r="AI2717" s="0" t="s">
        <v>138</v>
      </c>
      <c r="AK2717" s="0" t="s">
        <v>2741</v>
      </c>
      <c r="AL2717" s="14"/>
      <c r="AN2717" s="14"/>
      <c r="AQ2717" s="0" t="s">
        <v>130</v>
      </c>
      <c r="AR2717" s="0" t="s">
        <v>130</v>
      </c>
      <c r="AS2717" s="0" t="s">
        <v>130</v>
      </c>
      <c r="AT2717" s="0" t="s">
        <v>130</v>
      </c>
      <c r="AU2717" s="0" t="s">
        <v>130</v>
      </c>
      <c r="AV2717" s="0" t="s">
        <v>130</v>
      </c>
      <c r="AW2717" s="0" t="s">
        <v>130</v>
      </c>
      <c r="AX2717" s="0" t="s">
        <v>141</v>
      </c>
      <c r="AY2717" s="0" t="s">
        <v>130</v>
      </c>
      <c r="AZ2717" s="0" t="s">
        <v>141</v>
      </c>
      <c r="BA2717" s="0" t="s">
        <v>130</v>
      </c>
      <c r="BB2717" s="0" t="s">
        <v>130</v>
      </c>
      <c r="BC2717" s="0" t="s">
        <v>130</v>
      </c>
      <c r="BD2717" s="0" t="s">
        <v>130</v>
      </c>
      <c r="BE2717" s="0" t="s">
        <v>130</v>
      </c>
      <c r="BF2717" s="0" t="s">
        <v>130</v>
      </c>
      <c r="BG2717" s="0" t="s">
        <v>130</v>
      </c>
      <c r="BH2717" s="0" t="s">
        <v>130</v>
      </c>
      <c r="BI2717" s="0" t="s">
        <v>130</v>
      </c>
      <c r="BJ2717" s="0" t="s">
        <v>130</v>
      </c>
      <c r="BK2717" s="0" t="s">
        <v>130</v>
      </c>
      <c r="BL2717" s="0" t="s">
        <v>130</v>
      </c>
      <c r="BM2717" s="0" t="s">
        <v>130</v>
      </c>
      <c r="BN2717" s="0" t="s">
        <v>130</v>
      </c>
      <c r="BO2717" s="0" t="s">
        <v>130</v>
      </c>
      <c r="BP2717" s="0" t="s">
        <v>130</v>
      </c>
      <c r="BQ2717" s="0" t="s">
        <v>130</v>
      </c>
      <c r="BR2717" s="0" t="s">
        <v>130</v>
      </c>
      <c r="BS2717" s="0" t="s">
        <v>130</v>
      </c>
      <c r="BT2717" s="0" t="s">
        <v>130</v>
      </c>
      <c r="BU2717" s="0" t="s">
        <v>130</v>
      </c>
      <c r="BV2717" s="0" t="s">
        <v>130</v>
      </c>
      <c r="BW2717" s="0" t="s">
        <v>130</v>
      </c>
      <c r="BX2717" s="0" t="s">
        <v>130</v>
      </c>
      <c r="BY2717" s="0" t="s">
        <v>130</v>
      </c>
      <c r="BZ2717" s="0" t="s">
        <v>130</v>
      </c>
      <c r="CA2717" s="0" t="s">
        <v>130</v>
      </c>
      <c r="CB2717" s="0" t="s">
        <v>130</v>
      </c>
      <c r="CC2717" s="0" t="s">
        <v>130</v>
      </c>
      <c r="CD2717" s="0" t="s">
        <v>130</v>
      </c>
      <c r="CE2717" s="0" t="s">
        <v>130</v>
      </c>
      <c r="CF2717" s="0" t="s">
        <v>130</v>
      </c>
      <c r="CG2717" s="0" t="s">
        <v>130</v>
      </c>
      <c r="CH2717" s="0" t="s">
        <v>130</v>
      </c>
      <c r="CI2717" s="0" t="s">
        <v>141</v>
      </c>
      <c r="CJ2717" s="0" t="s">
        <v>130</v>
      </c>
      <c r="CK2717" s="0" t="s">
        <v>130</v>
      </c>
      <c r="CL2717" s="0" t="s">
        <v>130</v>
      </c>
      <c r="CM2717" s="0" t="s">
        <v>130</v>
      </c>
      <c r="CN2717" s="0" t="s">
        <v>130</v>
      </c>
      <c r="CO2717" s="0" t="s">
        <v>130</v>
      </c>
      <c r="CP2717" s="0" t="s">
        <v>130</v>
      </c>
      <c r="CQ2717" s="0" t="s">
        <v>130</v>
      </c>
      <c r="CR2717" s="0" t="s">
        <v>130</v>
      </c>
      <c r="CS2717" s="0" t="s">
        <v>130</v>
      </c>
      <c r="CT2717" s="0" t="s">
        <v>7337</v>
      </c>
    </row>
    <row r="2718">
      <c r="A2718" s="14">
        <v>115679</v>
      </c>
      <c r="B2718" s="0" t="s">
        <v>2603</v>
      </c>
      <c r="C2718" s="16">
        <f>HYPERLINK("https://eosportal.federatedhermes.com/companies/Q29tcGFueQppNTg5NzU=", "Bayer AG")</f>
      </c>
      <c r="D2718" s="0" t="s">
        <v>25</v>
      </c>
      <c r="E2718" s="0" t="s">
        <v>7338</v>
      </c>
      <c r="F2718" s="16">
        <f>HYPERLINK("https://eosportal.federatedhermes.com/engagements/RW5nYWdlbWVudAppMzc0NTM=", "Diversity in leadership")</f>
      </c>
      <c r="G2718" s="14" t="s">
        <v>7339</v>
      </c>
      <c r="H2718" s="0" t="s">
        <v>141</v>
      </c>
      <c r="I2718" s="14" t="s">
        <v>1645</v>
      </c>
      <c r="J2718" s="0" t="s">
        <v>145</v>
      </c>
      <c r="K2718" s="0" t="s">
        <v>164</v>
      </c>
      <c r="L2718" s="0" t="s">
        <v>165</v>
      </c>
      <c r="M2718" s="0" t="s">
        <v>378</v>
      </c>
      <c r="N2718" s="0" t="s">
        <v>2485</v>
      </c>
      <c r="O2718" s="0" t="s">
        <v>274</v>
      </c>
      <c r="Q2718" s="0" t="s">
        <v>130</v>
      </c>
      <c r="R2718" s="0" t="s">
        <v>138</v>
      </c>
      <c r="S2718" s="14">
        <v>0</v>
      </c>
      <c r="T2718" s="0" t="s">
        <v>2428</v>
      </c>
      <c r="U2718" s="0" t="s">
        <v>138</v>
      </c>
      <c r="V2718" s="14" t="s">
        <v>138</v>
      </c>
      <c r="W2718" s="0" t="s">
        <v>138</v>
      </c>
      <c r="X2718" s="14" t="s">
        <v>138</v>
      </c>
      <c r="Y2718" s="0" t="s">
        <v>138</v>
      </c>
      <c r="Z2718" s="14" t="s">
        <v>138</v>
      </c>
      <c r="AA2718" s="0" t="s">
        <v>138</v>
      </c>
      <c r="AB2718" s="14" t="s">
        <v>138</v>
      </c>
      <c r="AD2718" s="0" t="s">
        <v>138</v>
      </c>
      <c r="AF2718" s="0">
        <v>0</v>
      </c>
      <c r="AG2718" s="0">
        <v>0</v>
      </c>
      <c r="AH2718" s="0" t="s">
        <v>140</v>
      </c>
      <c r="AI2718" s="0" t="s">
        <v>138</v>
      </c>
      <c r="AL2718" s="14"/>
      <c r="AN2718" s="14"/>
      <c r="AQ2718" s="0" t="s">
        <v>130</v>
      </c>
      <c r="AR2718" s="0" t="s">
        <v>130</v>
      </c>
      <c r="AS2718" s="0" t="s">
        <v>130</v>
      </c>
      <c r="AT2718" s="0" t="s">
        <v>130</v>
      </c>
      <c r="AU2718" s="0" t="s">
        <v>141</v>
      </c>
      <c r="AV2718" s="0" t="s">
        <v>130</v>
      </c>
      <c r="AW2718" s="0" t="s">
        <v>130</v>
      </c>
      <c r="AX2718" s="0" t="s">
        <v>130</v>
      </c>
      <c r="AY2718" s="0" t="s">
        <v>130</v>
      </c>
      <c r="AZ2718" s="0" t="s">
        <v>130</v>
      </c>
      <c r="BA2718" s="0" t="s">
        <v>130</v>
      </c>
      <c r="BB2718" s="0" t="s">
        <v>130</v>
      </c>
      <c r="BC2718" s="0" t="s">
        <v>130</v>
      </c>
      <c r="BD2718" s="0" t="s">
        <v>130</v>
      </c>
      <c r="BE2718" s="0" t="s">
        <v>130</v>
      </c>
      <c r="BF2718" s="0" t="s">
        <v>130</v>
      </c>
      <c r="BG2718" s="0" t="s">
        <v>130</v>
      </c>
      <c r="BH2718" s="0" t="s">
        <v>130</v>
      </c>
      <c r="BI2718" s="0" t="s">
        <v>130</v>
      </c>
      <c r="BJ2718" s="0" t="s">
        <v>130</v>
      </c>
      <c r="BK2718" s="0" t="s">
        <v>130</v>
      </c>
      <c r="BL2718" s="0" t="s">
        <v>130</v>
      </c>
      <c r="BM2718" s="0" t="s">
        <v>130</v>
      </c>
      <c r="BN2718" s="0" t="s">
        <v>130</v>
      </c>
      <c r="BO2718" s="0" t="s">
        <v>130</v>
      </c>
      <c r="BP2718" s="0" t="s">
        <v>130</v>
      </c>
      <c r="BQ2718" s="0" t="s">
        <v>130</v>
      </c>
      <c r="BR2718" s="0" t="s">
        <v>130</v>
      </c>
      <c r="BS2718" s="0" t="s">
        <v>130</v>
      </c>
      <c r="BT2718" s="0" t="s">
        <v>130</v>
      </c>
      <c r="BU2718" s="0" t="s">
        <v>130</v>
      </c>
      <c r="BV2718" s="0" t="s">
        <v>130</v>
      </c>
      <c r="BW2718" s="0" t="s">
        <v>130</v>
      </c>
      <c r="BX2718" s="0" t="s">
        <v>130</v>
      </c>
      <c r="BY2718" s="0" t="s">
        <v>130</v>
      </c>
      <c r="BZ2718" s="0" t="s">
        <v>130</v>
      </c>
      <c r="CA2718" s="0" t="s">
        <v>130</v>
      </c>
      <c r="CB2718" s="0" t="s">
        <v>130</v>
      </c>
      <c r="CC2718" s="0" t="s">
        <v>130</v>
      </c>
      <c r="CD2718" s="0" t="s">
        <v>130</v>
      </c>
      <c r="CE2718" s="0" t="s">
        <v>130</v>
      </c>
      <c r="CF2718" s="0" t="s">
        <v>130</v>
      </c>
      <c r="CG2718" s="0" t="s">
        <v>130</v>
      </c>
      <c r="CH2718" s="0" t="s">
        <v>130</v>
      </c>
      <c r="CI2718" s="0" t="s">
        <v>130</v>
      </c>
      <c r="CJ2718" s="0" t="s">
        <v>130</v>
      </c>
      <c r="CK2718" s="0" t="s">
        <v>130</v>
      </c>
      <c r="CL2718" s="0" t="s">
        <v>130</v>
      </c>
      <c r="CM2718" s="0" t="s">
        <v>130</v>
      </c>
      <c r="CN2718" s="0" t="s">
        <v>130</v>
      </c>
      <c r="CO2718" s="0" t="s">
        <v>130</v>
      </c>
      <c r="CP2718" s="0" t="s">
        <v>130</v>
      </c>
      <c r="CQ2718" s="0" t="s">
        <v>130</v>
      </c>
      <c r="CR2718" s="0" t="s">
        <v>130</v>
      </c>
      <c r="CS2718" s="0" t="s">
        <v>130</v>
      </c>
      <c r="CT2718" s="0" t="s">
        <v>7340</v>
      </c>
    </row>
    <row r="2719">
      <c r="A2719" s="14">
        <v>115679</v>
      </c>
      <c r="B2719" s="0" t="s">
        <v>2603</v>
      </c>
      <c r="C2719" s="16">
        <f>HYPERLINK("https://eosportal.federatedhermes.com/companies/Q29tcGFueQppNTg5NzU=", "Bayer AG")</f>
      </c>
      <c r="D2719" s="0" t="s">
        <v>25</v>
      </c>
      <c r="E2719" s="0" t="s">
        <v>7341</v>
      </c>
      <c r="F2719" s="16">
        <f>HYPERLINK("https://eosportal.federatedhermes.com/engagements/RW5nYWdlbWVudAppMzc0NTQ=", "Supervisory board composition and expertise")</f>
      </c>
      <c r="G2719" s="14" t="s">
        <v>7342</v>
      </c>
      <c r="H2719" s="0" t="s">
        <v>141</v>
      </c>
      <c r="I2719" s="14" t="s">
        <v>1645</v>
      </c>
      <c r="J2719" s="0" t="s">
        <v>145</v>
      </c>
      <c r="K2719" s="0" t="s">
        <v>164</v>
      </c>
      <c r="L2719" s="0" t="s">
        <v>970</v>
      </c>
      <c r="M2719" s="0" t="s">
        <v>378</v>
      </c>
      <c r="N2719" s="0" t="s">
        <v>2485</v>
      </c>
      <c r="O2719" s="0" t="s">
        <v>274</v>
      </c>
      <c r="Q2719" s="0" t="s">
        <v>141</v>
      </c>
      <c r="R2719" s="0" t="s">
        <v>138</v>
      </c>
      <c r="S2719" s="14">
        <v>1</v>
      </c>
      <c r="T2719" s="0" t="s">
        <v>2428</v>
      </c>
      <c r="U2719" s="0" t="s">
        <v>138</v>
      </c>
      <c r="V2719" s="14" t="s">
        <v>138</v>
      </c>
      <c r="W2719" s="0" t="s">
        <v>138</v>
      </c>
      <c r="X2719" s="14" t="s">
        <v>138</v>
      </c>
      <c r="Y2719" s="0" t="s">
        <v>138</v>
      </c>
      <c r="Z2719" s="14" t="s">
        <v>138</v>
      </c>
      <c r="AA2719" s="0" t="s">
        <v>138</v>
      </c>
      <c r="AB2719" s="14" t="s">
        <v>138</v>
      </c>
      <c r="AD2719" s="0" t="s">
        <v>138</v>
      </c>
      <c r="AF2719" s="0">
        <v>0</v>
      </c>
      <c r="AG2719" s="0">
        <v>0</v>
      </c>
      <c r="AH2719" s="0" t="s">
        <v>140</v>
      </c>
      <c r="AI2719" s="0" t="s">
        <v>138</v>
      </c>
      <c r="AK2719" s="0" t="s">
        <v>2263</v>
      </c>
      <c r="AL2719" s="14"/>
      <c r="AN2719" s="14"/>
      <c r="AQ2719" s="0" t="s">
        <v>130</v>
      </c>
      <c r="AR2719" s="0" t="s">
        <v>130</v>
      </c>
      <c r="AS2719" s="0" t="s">
        <v>130</v>
      </c>
      <c r="AT2719" s="0" t="s">
        <v>130</v>
      </c>
      <c r="AU2719" s="0" t="s">
        <v>130</v>
      </c>
      <c r="AV2719" s="0" t="s">
        <v>130</v>
      </c>
      <c r="AW2719" s="0" t="s">
        <v>130</v>
      </c>
      <c r="AX2719" s="0" t="s">
        <v>130</v>
      </c>
      <c r="AY2719" s="0" t="s">
        <v>130</v>
      </c>
      <c r="AZ2719" s="0" t="s">
        <v>130</v>
      </c>
      <c r="BA2719" s="0" t="s">
        <v>130</v>
      </c>
      <c r="BB2719" s="0" t="s">
        <v>130</v>
      </c>
      <c r="BC2719" s="0" t="s">
        <v>130</v>
      </c>
      <c r="BD2719" s="0" t="s">
        <v>130</v>
      </c>
      <c r="BE2719" s="0" t="s">
        <v>130</v>
      </c>
      <c r="BF2719" s="0" t="s">
        <v>130</v>
      </c>
      <c r="BG2719" s="0" t="s">
        <v>130</v>
      </c>
      <c r="BH2719" s="0" t="s">
        <v>130</v>
      </c>
      <c r="BI2719" s="0" t="s">
        <v>130</v>
      </c>
      <c r="BJ2719" s="0" t="s">
        <v>130</v>
      </c>
      <c r="BK2719" s="0" t="s">
        <v>130</v>
      </c>
      <c r="BL2719" s="0" t="s">
        <v>130</v>
      </c>
      <c r="BM2719" s="0" t="s">
        <v>130</v>
      </c>
      <c r="BN2719" s="0" t="s">
        <v>130</v>
      </c>
      <c r="BO2719" s="0" t="s">
        <v>130</v>
      </c>
      <c r="BP2719" s="0" t="s">
        <v>130</v>
      </c>
      <c r="BQ2719" s="0" t="s">
        <v>130</v>
      </c>
      <c r="BR2719" s="0" t="s">
        <v>130</v>
      </c>
      <c r="BS2719" s="0" t="s">
        <v>130</v>
      </c>
      <c r="BT2719" s="0" t="s">
        <v>130</v>
      </c>
      <c r="BU2719" s="0" t="s">
        <v>130</v>
      </c>
      <c r="BV2719" s="0" t="s">
        <v>130</v>
      </c>
      <c r="BW2719" s="0" t="s">
        <v>130</v>
      </c>
      <c r="BX2719" s="0" t="s">
        <v>130</v>
      </c>
      <c r="BY2719" s="0" t="s">
        <v>130</v>
      </c>
      <c r="BZ2719" s="0" t="s">
        <v>130</v>
      </c>
      <c r="CA2719" s="0" t="s">
        <v>130</v>
      </c>
      <c r="CB2719" s="0" t="s">
        <v>130</v>
      </c>
      <c r="CC2719" s="0" t="s">
        <v>130</v>
      </c>
      <c r="CD2719" s="0" t="s">
        <v>130</v>
      </c>
      <c r="CE2719" s="0" t="s">
        <v>130</v>
      </c>
      <c r="CF2719" s="0" t="s">
        <v>130</v>
      </c>
      <c r="CG2719" s="0" t="s">
        <v>130</v>
      </c>
      <c r="CH2719" s="0" t="s">
        <v>130</v>
      </c>
      <c r="CI2719" s="0" t="s">
        <v>130</v>
      </c>
      <c r="CJ2719" s="0" t="s">
        <v>130</v>
      </c>
      <c r="CK2719" s="0" t="s">
        <v>130</v>
      </c>
      <c r="CL2719" s="0" t="s">
        <v>130</v>
      </c>
      <c r="CM2719" s="0" t="s">
        <v>130</v>
      </c>
      <c r="CN2719" s="0" t="s">
        <v>130</v>
      </c>
      <c r="CO2719" s="0" t="s">
        <v>130</v>
      </c>
      <c r="CP2719" s="0" t="s">
        <v>130</v>
      </c>
      <c r="CQ2719" s="0" t="s">
        <v>130</v>
      </c>
      <c r="CR2719" s="0" t="s">
        <v>130</v>
      </c>
      <c r="CS2719" s="0" t="s">
        <v>130</v>
      </c>
      <c r="CT2719" s="0" t="s">
        <v>7343</v>
      </c>
    </row>
    <row r="2720">
      <c r="A2720" s="14">
        <v>115679</v>
      </c>
      <c r="B2720" s="0" t="s">
        <v>2603</v>
      </c>
      <c r="C2720" s="16">
        <f>HYPERLINK("https://eosportal.federatedhermes.com/companies/Q29tcGFueQppNTg5NzU=", "Bayer AG")</f>
      </c>
      <c r="D2720" s="0" t="s">
        <v>25</v>
      </c>
      <c r="E2720" s="0" t="s">
        <v>7344</v>
      </c>
      <c r="F2720" s="16">
        <f>HYPERLINK("https://eosportal.federatedhermes.com/engagements/RW5nYWdlbWVudAppMzc0NTU=", "Company culture &amp; talent")</f>
      </c>
      <c r="G2720" s="14" t="s">
        <v>7345</v>
      </c>
      <c r="H2720" s="0" t="s">
        <v>141</v>
      </c>
      <c r="I2720" s="14" t="s">
        <v>1645</v>
      </c>
      <c r="J2720" s="0" t="s">
        <v>153</v>
      </c>
      <c r="K2720" s="0" t="s">
        <v>154</v>
      </c>
      <c r="L2720" s="0" t="s">
        <v>268</v>
      </c>
      <c r="M2720" s="0" t="s">
        <v>378</v>
      </c>
      <c r="N2720" s="0" t="s">
        <v>2485</v>
      </c>
      <c r="O2720" s="0" t="s">
        <v>274</v>
      </c>
      <c r="Q2720" s="0" t="s">
        <v>130</v>
      </c>
      <c r="R2720" s="0" t="s">
        <v>138</v>
      </c>
      <c r="S2720" s="14">
        <v>0</v>
      </c>
      <c r="T2720" s="0" t="s">
        <v>2428</v>
      </c>
      <c r="U2720" s="0" t="s">
        <v>138</v>
      </c>
      <c r="V2720" s="14" t="s">
        <v>138</v>
      </c>
      <c r="W2720" s="0" t="s">
        <v>138</v>
      </c>
      <c r="X2720" s="14" t="s">
        <v>138</v>
      </c>
      <c r="Y2720" s="0" t="s">
        <v>138</v>
      </c>
      <c r="Z2720" s="14" t="s">
        <v>138</v>
      </c>
      <c r="AA2720" s="0" t="s">
        <v>138</v>
      </c>
      <c r="AB2720" s="14" t="s">
        <v>138</v>
      </c>
      <c r="AD2720" s="0" t="s">
        <v>138</v>
      </c>
      <c r="AF2720" s="0">
        <v>0</v>
      </c>
      <c r="AG2720" s="0">
        <v>0</v>
      </c>
      <c r="AH2720" s="0" t="s">
        <v>140</v>
      </c>
      <c r="AI2720" s="0" t="s">
        <v>138</v>
      </c>
      <c r="AL2720" s="14"/>
      <c r="AN2720" s="14"/>
      <c r="AQ2720" s="0" t="s">
        <v>130</v>
      </c>
      <c r="AR2720" s="0" t="s">
        <v>130</v>
      </c>
      <c r="AS2720" s="0" t="s">
        <v>130</v>
      </c>
      <c r="AT2720" s="0" t="s">
        <v>130</v>
      </c>
      <c r="AU2720" s="0" t="s">
        <v>130</v>
      </c>
      <c r="AV2720" s="0" t="s">
        <v>130</v>
      </c>
      <c r="AW2720" s="0" t="s">
        <v>130</v>
      </c>
      <c r="AX2720" s="0" t="s">
        <v>141</v>
      </c>
      <c r="AY2720" s="0" t="s">
        <v>130</v>
      </c>
      <c r="AZ2720" s="0" t="s">
        <v>130</v>
      </c>
      <c r="BA2720" s="0" t="s">
        <v>130</v>
      </c>
      <c r="BB2720" s="0" t="s">
        <v>130</v>
      </c>
      <c r="BC2720" s="0" t="s">
        <v>130</v>
      </c>
      <c r="BD2720" s="0" t="s">
        <v>130</v>
      </c>
      <c r="BE2720" s="0" t="s">
        <v>130</v>
      </c>
      <c r="BF2720" s="0" t="s">
        <v>130</v>
      </c>
      <c r="BG2720" s="0" t="s">
        <v>130</v>
      </c>
      <c r="BH2720" s="0" t="s">
        <v>130</v>
      </c>
      <c r="BI2720" s="0" t="s">
        <v>130</v>
      </c>
      <c r="BJ2720" s="0" t="s">
        <v>130</v>
      </c>
      <c r="BK2720" s="0" t="s">
        <v>130</v>
      </c>
      <c r="BL2720" s="0" t="s">
        <v>130</v>
      </c>
      <c r="BM2720" s="0" t="s">
        <v>130</v>
      </c>
      <c r="BN2720" s="0" t="s">
        <v>130</v>
      </c>
      <c r="BO2720" s="0" t="s">
        <v>130</v>
      </c>
      <c r="BP2720" s="0" t="s">
        <v>130</v>
      </c>
      <c r="BQ2720" s="0" t="s">
        <v>130</v>
      </c>
      <c r="BR2720" s="0" t="s">
        <v>130</v>
      </c>
      <c r="BS2720" s="0" t="s">
        <v>130</v>
      </c>
      <c r="BT2720" s="0" t="s">
        <v>130</v>
      </c>
      <c r="BU2720" s="0" t="s">
        <v>130</v>
      </c>
      <c r="BV2720" s="0" t="s">
        <v>130</v>
      </c>
      <c r="BW2720" s="0" t="s">
        <v>130</v>
      </c>
      <c r="BX2720" s="0" t="s">
        <v>130</v>
      </c>
      <c r="BY2720" s="0" t="s">
        <v>130</v>
      </c>
      <c r="BZ2720" s="0" t="s">
        <v>130</v>
      </c>
      <c r="CA2720" s="0" t="s">
        <v>130</v>
      </c>
      <c r="CB2720" s="0" t="s">
        <v>130</v>
      </c>
      <c r="CC2720" s="0" t="s">
        <v>130</v>
      </c>
      <c r="CD2720" s="0" t="s">
        <v>130</v>
      </c>
      <c r="CE2720" s="0" t="s">
        <v>130</v>
      </c>
      <c r="CF2720" s="0" t="s">
        <v>130</v>
      </c>
      <c r="CG2720" s="0" t="s">
        <v>130</v>
      </c>
      <c r="CH2720" s="0" t="s">
        <v>130</v>
      </c>
      <c r="CI2720" s="0" t="s">
        <v>130</v>
      </c>
      <c r="CJ2720" s="0" t="s">
        <v>130</v>
      </c>
      <c r="CK2720" s="0" t="s">
        <v>141</v>
      </c>
      <c r="CL2720" s="0" t="s">
        <v>130</v>
      </c>
      <c r="CM2720" s="0" t="s">
        <v>130</v>
      </c>
      <c r="CN2720" s="0" t="s">
        <v>130</v>
      </c>
      <c r="CO2720" s="0" t="s">
        <v>130</v>
      </c>
      <c r="CP2720" s="0" t="s">
        <v>130</v>
      </c>
      <c r="CQ2720" s="0" t="s">
        <v>130</v>
      </c>
      <c r="CR2720" s="0" t="s">
        <v>130</v>
      </c>
      <c r="CS2720" s="0" t="s">
        <v>130</v>
      </c>
      <c r="CT2720" s="0" t="s">
        <v>7346</v>
      </c>
    </row>
    <row r="2721">
      <c r="A2721" s="14">
        <v>115679</v>
      </c>
      <c r="B2721" s="0" t="s">
        <v>2603</v>
      </c>
      <c r="C2721" s="16">
        <f>HYPERLINK("https://eosportal.federatedhermes.com/companies/Q29tcGFueQppNTg5NzU=", "Bayer AG")</f>
      </c>
      <c r="D2721" s="0" t="s">
        <v>25</v>
      </c>
      <c r="E2721" s="0" t="s">
        <v>7347</v>
      </c>
      <c r="F2721" s="16">
        <f>HYPERLINK("https://eosportal.federatedhermes.com/engagements/RW5nYWdlbWVudAppMzc0NTY=", "Board oversight of risk and strategy implementation")</f>
      </c>
      <c r="G2721" s="14" t="s">
        <v>7348</v>
      </c>
      <c r="H2721" s="0" t="s">
        <v>141</v>
      </c>
      <c r="I2721" s="14" t="s">
        <v>1645</v>
      </c>
      <c r="J2721" s="0" t="s">
        <v>132</v>
      </c>
      <c r="K2721" s="0" t="s">
        <v>260</v>
      </c>
      <c r="L2721" s="0" t="s">
        <v>261</v>
      </c>
      <c r="M2721" s="0" t="s">
        <v>378</v>
      </c>
      <c r="N2721" s="0" t="s">
        <v>2485</v>
      </c>
      <c r="O2721" s="0" t="s">
        <v>274</v>
      </c>
      <c r="Q2721" s="0" t="s">
        <v>141</v>
      </c>
      <c r="R2721" s="0" t="s">
        <v>138</v>
      </c>
      <c r="S2721" s="14">
        <v>1</v>
      </c>
      <c r="T2721" s="0" t="s">
        <v>2428</v>
      </c>
      <c r="U2721" s="0" t="s">
        <v>138</v>
      </c>
      <c r="V2721" s="14" t="s">
        <v>138</v>
      </c>
      <c r="W2721" s="0" t="s">
        <v>138</v>
      </c>
      <c r="X2721" s="14" t="s">
        <v>138</v>
      </c>
      <c r="Y2721" s="0" t="s">
        <v>138</v>
      </c>
      <c r="Z2721" s="14" t="s">
        <v>138</v>
      </c>
      <c r="AA2721" s="0" t="s">
        <v>138</v>
      </c>
      <c r="AB2721" s="14" t="s">
        <v>138</v>
      </c>
      <c r="AD2721" s="0" t="s">
        <v>138</v>
      </c>
      <c r="AF2721" s="0">
        <v>0</v>
      </c>
      <c r="AG2721" s="0">
        <v>0</v>
      </c>
      <c r="AH2721" s="0" t="s">
        <v>140</v>
      </c>
      <c r="AI2721" s="0" t="s">
        <v>138</v>
      </c>
      <c r="AK2721" s="0" t="s">
        <v>2263</v>
      </c>
      <c r="AL2721" s="14"/>
      <c r="AN2721" s="14"/>
      <c r="AQ2721" s="0" t="s">
        <v>130</v>
      </c>
      <c r="AR2721" s="0" t="s">
        <v>130</v>
      </c>
      <c r="AS2721" s="0" t="s">
        <v>130</v>
      </c>
      <c r="AT2721" s="0" t="s">
        <v>130</v>
      </c>
      <c r="AU2721" s="0" t="s">
        <v>130</v>
      </c>
      <c r="AV2721" s="0" t="s">
        <v>130</v>
      </c>
      <c r="AW2721" s="0" t="s">
        <v>130</v>
      </c>
      <c r="AX2721" s="0" t="s">
        <v>130</v>
      </c>
      <c r="AY2721" s="0" t="s">
        <v>130</v>
      </c>
      <c r="AZ2721" s="0" t="s">
        <v>130</v>
      </c>
      <c r="BA2721" s="0" t="s">
        <v>130</v>
      </c>
      <c r="BB2721" s="0" t="s">
        <v>130</v>
      </c>
      <c r="BC2721" s="0" t="s">
        <v>130</v>
      </c>
      <c r="BD2721" s="0" t="s">
        <v>130</v>
      </c>
      <c r="BE2721" s="0" t="s">
        <v>130</v>
      </c>
      <c r="BF2721" s="0" t="s">
        <v>130</v>
      </c>
      <c r="BG2721" s="0" t="s">
        <v>130</v>
      </c>
      <c r="BH2721" s="0" t="s">
        <v>130</v>
      </c>
      <c r="BI2721" s="0" t="s">
        <v>130</v>
      </c>
      <c r="BJ2721" s="0" t="s">
        <v>130</v>
      </c>
      <c r="BK2721" s="0" t="s">
        <v>130</v>
      </c>
      <c r="BL2721" s="0" t="s">
        <v>130</v>
      </c>
      <c r="BM2721" s="0" t="s">
        <v>130</v>
      </c>
      <c r="BN2721" s="0" t="s">
        <v>130</v>
      </c>
      <c r="BO2721" s="0" t="s">
        <v>130</v>
      </c>
      <c r="BP2721" s="0" t="s">
        <v>130</v>
      </c>
      <c r="BQ2721" s="0" t="s">
        <v>130</v>
      </c>
      <c r="BR2721" s="0" t="s">
        <v>130</v>
      </c>
      <c r="BS2721" s="0" t="s">
        <v>130</v>
      </c>
      <c r="BT2721" s="0" t="s">
        <v>130</v>
      </c>
      <c r="BU2721" s="0" t="s">
        <v>130</v>
      </c>
      <c r="BV2721" s="0" t="s">
        <v>130</v>
      </c>
      <c r="BW2721" s="0" t="s">
        <v>130</v>
      </c>
      <c r="BX2721" s="0" t="s">
        <v>130</v>
      </c>
      <c r="BY2721" s="0" t="s">
        <v>130</v>
      </c>
      <c r="BZ2721" s="0" t="s">
        <v>130</v>
      </c>
      <c r="CA2721" s="0" t="s">
        <v>130</v>
      </c>
      <c r="CB2721" s="0" t="s">
        <v>130</v>
      </c>
      <c r="CC2721" s="0" t="s">
        <v>130</v>
      </c>
      <c r="CD2721" s="0" t="s">
        <v>130</v>
      </c>
      <c r="CE2721" s="0" t="s">
        <v>130</v>
      </c>
      <c r="CF2721" s="0" t="s">
        <v>130</v>
      </c>
      <c r="CG2721" s="0" t="s">
        <v>130</v>
      </c>
      <c r="CH2721" s="0" t="s">
        <v>130</v>
      </c>
      <c r="CI2721" s="0" t="s">
        <v>130</v>
      </c>
      <c r="CJ2721" s="0" t="s">
        <v>130</v>
      </c>
      <c r="CK2721" s="0" t="s">
        <v>130</v>
      </c>
      <c r="CL2721" s="0" t="s">
        <v>130</v>
      </c>
      <c r="CM2721" s="0" t="s">
        <v>130</v>
      </c>
      <c r="CN2721" s="0" t="s">
        <v>130</v>
      </c>
      <c r="CO2721" s="0" t="s">
        <v>130</v>
      </c>
      <c r="CP2721" s="0" t="s">
        <v>130</v>
      </c>
      <c r="CQ2721" s="0" t="s">
        <v>130</v>
      </c>
      <c r="CR2721" s="0" t="s">
        <v>130</v>
      </c>
      <c r="CS2721" s="0" t="s">
        <v>130</v>
      </c>
      <c r="CT2721" s="0" t="s">
        <v>7349</v>
      </c>
    </row>
    <row r="2722">
      <c r="A2722" s="14">
        <v>115679</v>
      </c>
      <c r="B2722" s="0" t="s">
        <v>2603</v>
      </c>
      <c r="C2722" s="16">
        <f>HYPERLINK("https://eosportal.federatedhermes.com/companies/Q29tcGFueQppNTg5NzU=", "Bayer AG")</f>
      </c>
      <c r="D2722" s="0" t="s">
        <v>25</v>
      </c>
      <c r="E2722" s="0" t="s">
        <v>7350</v>
      </c>
      <c r="F2722" s="16">
        <f>HYPERLINK("https://eosportal.federatedhermes.com/engagements/RW5nYWdlbWVudAppMzc0NTc=", "Product pipeline")</f>
      </c>
      <c r="G2722" s="14" t="s">
        <v>7351</v>
      </c>
      <c r="H2722" s="0" t="s">
        <v>141</v>
      </c>
      <c r="I2722" s="14" t="s">
        <v>1645</v>
      </c>
      <c r="J2722" s="0" t="s">
        <v>132</v>
      </c>
      <c r="K2722" s="0" t="s">
        <v>133</v>
      </c>
      <c r="L2722" s="0" t="s">
        <v>160</v>
      </c>
      <c r="M2722" s="0" t="s">
        <v>378</v>
      </c>
      <c r="N2722" s="0" t="s">
        <v>2485</v>
      </c>
      <c r="O2722" s="0" t="s">
        <v>274</v>
      </c>
      <c r="Q2722" s="0" t="s">
        <v>141</v>
      </c>
      <c r="R2722" s="0" t="s">
        <v>138</v>
      </c>
      <c r="S2722" s="14">
        <v>1</v>
      </c>
      <c r="T2722" s="0" t="s">
        <v>2428</v>
      </c>
      <c r="U2722" s="0" t="s">
        <v>138</v>
      </c>
      <c r="V2722" s="14" t="s">
        <v>138</v>
      </c>
      <c r="W2722" s="0" t="s">
        <v>138</v>
      </c>
      <c r="X2722" s="14" t="s">
        <v>138</v>
      </c>
      <c r="Y2722" s="0" t="s">
        <v>138</v>
      </c>
      <c r="Z2722" s="14" t="s">
        <v>138</v>
      </c>
      <c r="AA2722" s="0" t="s">
        <v>138</v>
      </c>
      <c r="AB2722" s="14" t="s">
        <v>138</v>
      </c>
      <c r="AD2722" s="0" t="s">
        <v>138</v>
      </c>
      <c r="AF2722" s="0">
        <v>0</v>
      </c>
      <c r="AG2722" s="0">
        <v>0</v>
      </c>
      <c r="AH2722" s="0" t="s">
        <v>140</v>
      </c>
      <c r="AI2722" s="0" t="s">
        <v>138</v>
      </c>
      <c r="AK2722" s="0" t="s">
        <v>2263</v>
      </c>
      <c r="AL2722" s="14"/>
      <c r="AN2722" s="14"/>
      <c r="AQ2722" s="0" t="s">
        <v>130</v>
      </c>
      <c r="AR2722" s="0" t="s">
        <v>130</v>
      </c>
      <c r="AS2722" s="0" t="s">
        <v>130</v>
      </c>
      <c r="AT2722" s="0" t="s">
        <v>130</v>
      </c>
      <c r="AU2722" s="0" t="s">
        <v>130</v>
      </c>
      <c r="AV2722" s="0" t="s">
        <v>130</v>
      </c>
      <c r="AW2722" s="0" t="s">
        <v>130</v>
      </c>
      <c r="AX2722" s="0" t="s">
        <v>130</v>
      </c>
      <c r="AY2722" s="0" t="s">
        <v>141</v>
      </c>
      <c r="AZ2722" s="0" t="s">
        <v>130</v>
      </c>
      <c r="BA2722" s="0" t="s">
        <v>130</v>
      </c>
      <c r="BB2722" s="0" t="s">
        <v>130</v>
      </c>
      <c r="BC2722" s="0" t="s">
        <v>130</v>
      </c>
      <c r="BD2722" s="0" t="s">
        <v>130</v>
      </c>
      <c r="BE2722" s="0" t="s">
        <v>130</v>
      </c>
      <c r="BF2722" s="0" t="s">
        <v>130</v>
      </c>
      <c r="BG2722" s="0" t="s">
        <v>130</v>
      </c>
      <c r="BH2722" s="0" t="s">
        <v>130</v>
      </c>
      <c r="BI2722" s="0" t="s">
        <v>130</v>
      </c>
      <c r="BJ2722" s="0" t="s">
        <v>130</v>
      </c>
      <c r="BK2722" s="0" t="s">
        <v>130</v>
      </c>
      <c r="BL2722" s="0" t="s">
        <v>130</v>
      </c>
      <c r="BM2722" s="0" t="s">
        <v>130</v>
      </c>
      <c r="BN2722" s="0" t="s">
        <v>130</v>
      </c>
      <c r="BO2722" s="0" t="s">
        <v>130</v>
      </c>
      <c r="BP2722" s="0" t="s">
        <v>130</v>
      </c>
      <c r="BQ2722" s="0" t="s">
        <v>130</v>
      </c>
      <c r="BR2722" s="0" t="s">
        <v>130</v>
      </c>
      <c r="BS2722" s="0" t="s">
        <v>130</v>
      </c>
      <c r="BT2722" s="0" t="s">
        <v>130</v>
      </c>
      <c r="BU2722" s="0" t="s">
        <v>130</v>
      </c>
      <c r="BV2722" s="0" t="s">
        <v>130</v>
      </c>
      <c r="BW2722" s="0" t="s">
        <v>130</v>
      </c>
      <c r="BX2722" s="0" t="s">
        <v>130</v>
      </c>
      <c r="BY2722" s="0" t="s">
        <v>130</v>
      </c>
      <c r="BZ2722" s="0" t="s">
        <v>130</v>
      </c>
      <c r="CA2722" s="0" t="s">
        <v>130</v>
      </c>
      <c r="CB2722" s="0" t="s">
        <v>130</v>
      </c>
      <c r="CC2722" s="0" t="s">
        <v>130</v>
      </c>
      <c r="CD2722" s="0" t="s">
        <v>130</v>
      </c>
      <c r="CE2722" s="0" t="s">
        <v>130</v>
      </c>
      <c r="CF2722" s="0" t="s">
        <v>130</v>
      </c>
      <c r="CG2722" s="0" t="s">
        <v>130</v>
      </c>
      <c r="CH2722" s="0" t="s">
        <v>130</v>
      </c>
      <c r="CI2722" s="0" t="s">
        <v>130</v>
      </c>
      <c r="CJ2722" s="0" t="s">
        <v>130</v>
      </c>
      <c r="CK2722" s="0" t="s">
        <v>130</v>
      </c>
      <c r="CL2722" s="0" t="s">
        <v>130</v>
      </c>
      <c r="CM2722" s="0" t="s">
        <v>130</v>
      </c>
      <c r="CN2722" s="0" t="s">
        <v>130</v>
      </c>
      <c r="CO2722" s="0" t="s">
        <v>130</v>
      </c>
      <c r="CP2722" s="0" t="s">
        <v>130</v>
      </c>
      <c r="CQ2722" s="0" t="s">
        <v>130</v>
      </c>
      <c r="CR2722" s="0" t="s">
        <v>130</v>
      </c>
      <c r="CS2722" s="0" t="s">
        <v>130</v>
      </c>
      <c r="CT2722" s="0" t="s">
        <v>7352</v>
      </c>
    </row>
    <row r="2723">
      <c r="A2723" s="14">
        <v>115679</v>
      </c>
      <c r="B2723" s="0" t="s">
        <v>2603</v>
      </c>
      <c r="C2723" s="16">
        <f>HYPERLINK("https://eosportal.federatedhermes.com/companies/Q29tcGFueQppNTg5NzU=", "Bayer AG")</f>
      </c>
      <c r="D2723" s="0" t="s">
        <v>25</v>
      </c>
      <c r="E2723" s="0" t="s">
        <v>341</v>
      </c>
      <c r="F2723" s="16">
        <f>HYPERLINK("https://eosportal.federatedhermes.com/engagements/RW5nYWdlbWVudAppMzc0NTg=", "Remuneration")</f>
      </c>
      <c r="G2723" s="14" t="s">
        <v>7353</v>
      </c>
      <c r="H2723" s="0" t="s">
        <v>141</v>
      </c>
      <c r="I2723" s="14" t="s">
        <v>1645</v>
      </c>
      <c r="J2723" s="0" t="s">
        <v>145</v>
      </c>
      <c r="K2723" s="0" t="s">
        <v>146</v>
      </c>
      <c r="L2723" s="0" t="s">
        <v>147</v>
      </c>
      <c r="M2723" s="0" t="s">
        <v>378</v>
      </c>
      <c r="N2723" s="0" t="s">
        <v>2485</v>
      </c>
      <c r="O2723" s="0" t="s">
        <v>274</v>
      </c>
      <c r="Q2723" s="0" t="s">
        <v>130</v>
      </c>
      <c r="R2723" s="0" t="s">
        <v>138</v>
      </c>
      <c r="S2723" s="14">
        <v>0</v>
      </c>
      <c r="T2723" s="0" t="s">
        <v>2428</v>
      </c>
      <c r="U2723" s="0" t="s">
        <v>138</v>
      </c>
      <c r="V2723" s="14" t="s">
        <v>138</v>
      </c>
      <c r="W2723" s="0" t="s">
        <v>138</v>
      </c>
      <c r="X2723" s="14" t="s">
        <v>138</v>
      </c>
      <c r="Y2723" s="0" t="s">
        <v>138</v>
      </c>
      <c r="Z2723" s="14" t="s">
        <v>138</v>
      </c>
      <c r="AA2723" s="0" t="s">
        <v>138</v>
      </c>
      <c r="AB2723" s="14" t="s">
        <v>138</v>
      </c>
      <c r="AD2723" s="0" t="s">
        <v>138</v>
      </c>
      <c r="AF2723" s="0">
        <v>0</v>
      </c>
      <c r="AG2723" s="0">
        <v>0</v>
      </c>
      <c r="AH2723" s="0" t="s">
        <v>140</v>
      </c>
      <c r="AI2723" s="0" t="s">
        <v>138</v>
      </c>
      <c r="AL2723" s="14"/>
      <c r="AN2723" s="14"/>
      <c r="AQ2723" s="0" t="s">
        <v>130</v>
      </c>
      <c r="AR2723" s="0" t="s">
        <v>130</v>
      </c>
      <c r="AS2723" s="0" t="s">
        <v>130</v>
      </c>
      <c r="AT2723" s="0" t="s">
        <v>130</v>
      </c>
      <c r="AU2723" s="0" t="s">
        <v>130</v>
      </c>
      <c r="AV2723" s="0" t="s">
        <v>130</v>
      </c>
      <c r="AW2723" s="0" t="s">
        <v>130</v>
      </c>
      <c r="AX2723" s="0" t="s">
        <v>130</v>
      </c>
      <c r="AY2723" s="0" t="s">
        <v>130</v>
      </c>
      <c r="AZ2723" s="0" t="s">
        <v>130</v>
      </c>
      <c r="BA2723" s="0" t="s">
        <v>130</v>
      </c>
      <c r="BB2723" s="0" t="s">
        <v>130</v>
      </c>
      <c r="BC2723" s="0" t="s">
        <v>130</v>
      </c>
      <c r="BD2723" s="0" t="s">
        <v>130</v>
      </c>
      <c r="BE2723" s="0" t="s">
        <v>130</v>
      </c>
      <c r="BF2723" s="0" t="s">
        <v>130</v>
      </c>
      <c r="BG2723" s="0" t="s">
        <v>130</v>
      </c>
      <c r="BH2723" s="0" t="s">
        <v>130</v>
      </c>
      <c r="BI2723" s="0" t="s">
        <v>130</v>
      </c>
      <c r="BJ2723" s="0" t="s">
        <v>130</v>
      </c>
      <c r="BK2723" s="0" t="s">
        <v>130</v>
      </c>
      <c r="BL2723" s="0" t="s">
        <v>130</v>
      </c>
      <c r="BM2723" s="0" t="s">
        <v>130</v>
      </c>
      <c r="BN2723" s="0" t="s">
        <v>130</v>
      </c>
      <c r="BO2723" s="0" t="s">
        <v>130</v>
      </c>
      <c r="BP2723" s="0" t="s">
        <v>130</v>
      </c>
      <c r="BQ2723" s="0" t="s">
        <v>130</v>
      </c>
      <c r="BR2723" s="0" t="s">
        <v>130</v>
      </c>
      <c r="BS2723" s="0" t="s">
        <v>130</v>
      </c>
      <c r="BT2723" s="0" t="s">
        <v>130</v>
      </c>
      <c r="BU2723" s="0" t="s">
        <v>130</v>
      </c>
      <c r="BV2723" s="0" t="s">
        <v>130</v>
      </c>
      <c r="BW2723" s="0" t="s">
        <v>130</v>
      </c>
      <c r="BX2723" s="0" t="s">
        <v>130</v>
      </c>
      <c r="BY2723" s="0" t="s">
        <v>130</v>
      </c>
      <c r="BZ2723" s="0" t="s">
        <v>130</v>
      </c>
      <c r="CA2723" s="0" t="s">
        <v>130</v>
      </c>
      <c r="CB2723" s="0" t="s">
        <v>130</v>
      </c>
      <c r="CC2723" s="0" t="s">
        <v>130</v>
      </c>
      <c r="CD2723" s="0" t="s">
        <v>130</v>
      </c>
      <c r="CE2723" s="0" t="s">
        <v>130</v>
      </c>
      <c r="CF2723" s="0" t="s">
        <v>130</v>
      </c>
      <c r="CG2723" s="0" t="s">
        <v>130</v>
      </c>
      <c r="CH2723" s="0" t="s">
        <v>130</v>
      </c>
      <c r="CI2723" s="0" t="s">
        <v>130</v>
      </c>
      <c r="CJ2723" s="0" t="s">
        <v>130</v>
      </c>
      <c r="CK2723" s="0" t="s">
        <v>130</v>
      </c>
      <c r="CL2723" s="0" t="s">
        <v>130</v>
      </c>
      <c r="CM2723" s="0" t="s">
        <v>130</v>
      </c>
      <c r="CN2723" s="0" t="s">
        <v>130</v>
      </c>
      <c r="CO2723" s="0" t="s">
        <v>130</v>
      </c>
      <c r="CP2723" s="0" t="s">
        <v>130</v>
      </c>
      <c r="CQ2723" s="0" t="s">
        <v>130</v>
      </c>
      <c r="CR2723" s="0" t="s">
        <v>130</v>
      </c>
      <c r="CS2723" s="0" t="s">
        <v>130</v>
      </c>
      <c r="CT2723" s="0" t="s">
        <v>7354</v>
      </c>
    </row>
    <row r="2724">
      <c r="A2724" s="14">
        <v>41633927</v>
      </c>
      <c r="B2724" s="0" t="s">
        <v>4569</v>
      </c>
      <c r="C2724" s="16">
        <f>HYPERLINK("https://eosportal.federatedhermes.com/companies/Q29tcGFueQppNTIxODI=", "Stellantis NV")</f>
      </c>
      <c r="D2724" s="0" t="s">
        <v>25</v>
      </c>
      <c r="E2724" s="0" t="s">
        <v>7355</v>
      </c>
      <c r="F2724" s="16">
        <f>HYPERLINK("https://eosportal.federatedhermes.com/engagements/RW5nYWdlbWVudAppMzc0NzY=", "Nickel Supply Chain Management")</f>
      </c>
      <c r="G2724" s="14" t="s">
        <v>7356</v>
      </c>
      <c r="H2724" s="0" t="s">
        <v>141</v>
      </c>
      <c r="I2724" s="14" t="s">
        <v>1645</v>
      </c>
      <c r="J2724" s="0" t="s">
        <v>197</v>
      </c>
      <c r="K2724" s="0" t="s">
        <v>337</v>
      </c>
      <c r="L2724" s="0" t="s">
        <v>576</v>
      </c>
      <c r="M2724" s="0" t="s">
        <v>378</v>
      </c>
      <c r="N2724" s="0" t="s">
        <v>2554</v>
      </c>
      <c r="O2724" s="0" t="s">
        <v>425</v>
      </c>
      <c r="Q2724" s="0" t="s">
        <v>130</v>
      </c>
      <c r="R2724" s="0" t="s">
        <v>138</v>
      </c>
      <c r="S2724" s="14">
        <v>0</v>
      </c>
      <c r="T2724" s="0" t="s">
        <v>2428</v>
      </c>
      <c r="U2724" s="0" t="s">
        <v>138</v>
      </c>
      <c r="V2724" s="14" t="s">
        <v>138</v>
      </c>
      <c r="W2724" s="0" t="s">
        <v>138</v>
      </c>
      <c r="X2724" s="14" t="s">
        <v>138</v>
      </c>
      <c r="Y2724" s="0" t="s">
        <v>138</v>
      </c>
      <c r="Z2724" s="14" t="s">
        <v>138</v>
      </c>
      <c r="AA2724" s="0" t="s">
        <v>138</v>
      </c>
      <c r="AB2724" s="14" t="s">
        <v>138</v>
      </c>
      <c r="AD2724" s="0" t="s">
        <v>138</v>
      </c>
      <c r="AF2724" s="0">
        <v>0</v>
      </c>
      <c r="AG2724" s="0">
        <v>0</v>
      </c>
      <c r="AH2724" s="0" t="s">
        <v>140</v>
      </c>
      <c r="AI2724" s="0" t="s">
        <v>138</v>
      </c>
      <c r="AL2724" s="14"/>
      <c r="AN2724" s="14"/>
      <c r="AQ2724" s="0" t="s">
        <v>130</v>
      </c>
      <c r="AR2724" s="0" t="s">
        <v>130</v>
      </c>
      <c r="AS2724" s="0" t="s">
        <v>130</v>
      </c>
      <c r="AT2724" s="0" t="s">
        <v>130</v>
      </c>
      <c r="AU2724" s="0" t="s">
        <v>130</v>
      </c>
      <c r="AV2724" s="0" t="s">
        <v>130</v>
      </c>
      <c r="AW2724" s="0" t="s">
        <v>130</v>
      </c>
      <c r="AX2724" s="0" t="s">
        <v>130</v>
      </c>
      <c r="AY2724" s="0" t="s">
        <v>130</v>
      </c>
      <c r="AZ2724" s="0" t="s">
        <v>130</v>
      </c>
      <c r="BA2724" s="0" t="s">
        <v>130</v>
      </c>
      <c r="BB2724" s="0" t="s">
        <v>141</v>
      </c>
      <c r="BC2724" s="0" t="s">
        <v>130</v>
      </c>
      <c r="BD2724" s="0" t="s">
        <v>130</v>
      </c>
      <c r="BE2724" s="0" t="s">
        <v>141</v>
      </c>
      <c r="BF2724" s="0" t="s">
        <v>130</v>
      </c>
      <c r="BG2724" s="0" t="s">
        <v>130</v>
      </c>
      <c r="BH2724" s="0" t="s">
        <v>130</v>
      </c>
      <c r="BI2724" s="0" t="s">
        <v>130</v>
      </c>
      <c r="BJ2724" s="0" t="s">
        <v>130</v>
      </c>
      <c r="BK2724" s="0" t="s">
        <v>130</v>
      </c>
      <c r="BL2724" s="0" t="s">
        <v>130</v>
      </c>
      <c r="BM2724" s="0" t="s">
        <v>141</v>
      </c>
      <c r="BN2724" s="0" t="s">
        <v>130</v>
      </c>
      <c r="BO2724" s="0" t="s">
        <v>130</v>
      </c>
      <c r="BP2724" s="0" t="s">
        <v>130</v>
      </c>
      <c r="BQ2724" s="0" t="s">
        <v>130</v>
      </c>
      <c r="BR2724" s="0" t="s">
        <v>130</v>
      </c>
      <c r="BS2724" s="0" t="s">
        <v>130</v>
      </c>
      <c r="BT2724" s="0" t="s">
        <v>130</v>
      </c>
      <c r="BU2724" s="0" t="s">
        <v>130</v>
      </c>
      <c r="BV2724" s="0" t="s">
        <v>130</v>
      </c>
      <c r="BW2724" s="0" t="s">
        <v>130</v>
      </c>
      <c r="BX2724" s="0" t="s">
        <v>130</v>
      </c>
      <c r="BY2724" s="0" t="s">
        <v>130</v>
      </c>
      <c r="BZ2724" s="0" t="s">
        <v>130</v>
      </c>
      <c r="CA2724" s="0" t="s">
        <v>130</v>
      </c>
      <c r="CB2724" s="0" t="s">
        <v>130</v>
      </c>
      <c r="CC2724" s="0" t="s">
        <v>130</v>
      </c>
      <c r="CD2724" s="0" t="s">
        <v>130</v>
      </c>
      <c r="CE2724" s="0" t="s">
        <v>141</v>
      </c>
      <c r="CF2724" s="0" t="s">
        <v>141</v>
      </c>
      <c r="CG2724" s="0" t="s">
        <v>130</v>
      </c>
      <c r="CH2724" s="0" t="s">
        <v>130</v>
      </c>
      <c r="CI2724" s="0" t="s">
        <v>130</v>
      </c>
      <c r="CJ2724" s="0" t="s">
        <v>130</v>
      </c>
      <c r="CK2724" s="0" t="s">
        <v>130</v>
      </c>
      <c r="CL2724" s="0" t="s">
        <v>130</v>
      </c>
      <c r="CM2724" s="0" t="s">
        <v>130</v>
      </c>
      <c r="CN2724" s="0" t="s">
        <v>130</v>
      </c>
      <c r="CO2724" s="0" t="s">
        <v>130</v>
      </c>
      <c r="CP2724" s="0" t="s">
        <v>130</v>
      </c>
      <c r="CQ2724" s="0" t="s">
        <v>130</v>
      </c>
      <c r="CR2724" s="0" t="s">
        <v>130</v>
      </c>
      <c r="CS2724" s="0" t="s">
        <v>130</v>
      </c>
      <c r="CT2724" s="0" t="s">
        <v>7357</v>
      </c>
    </row>
    <row r="2725">
      <c r="A2725" s="14">
        <v>328683</v>
      </c>
      <c r="B2725" s="0" t="s">
        <v>3664</v>
      </c>
      <c r="C2725" s="16">
        <f>HYPERLINK("https://eosportal.federatedhermes.com/companies/Q29tcGFueQppNTg5MjI=", "Mercedes-Benz Group AG")</f>
      </c>
      <c r="D2725" s="0" t="s">
        <v>23</v>
      </c>
      <c r="E2725" s="0" t="s">
        <v>7358</v>
      </c>
      <c r="F2725" s="16">
        <f>HYPERLINK("https://eosportal.federatedhermes.com/engagements/RW5nYWdlbWVudAppMzc1MTc=", "Management of Biodiversity impact of Nickel Supply Chain")</f>
      </c>
      <c r="G2725" s="14" t="s">
        <v>7359</v>
      </c>
      <c r="H2725" s="0" t="s">
        <v>141</v>
      </c>
      <c r="I2725" s="14" t="s">
        <v>1645</v>
      </c>
      <c r="J2725" s="0" t="s">
        <v>197</v>
      </c>
      <c r="K2725" s="0" t="s">
        <v>337</v>
      </c>
      <c r="L2725" s="0" t="s">
        <v>576</v>
      </c>
      <c r="M2725" s="0" t="s">
        <v>378</v>
      </c>
      <c r="N2725" s="0" t="s">
        <v>2485</v>
      </c>
      <c r="O2725" s="0" t="s">
        <v>425</v>
      </c>
      <c r="Q2725" s="0" t="s">
        <v>130</v>
      </c>
      <c r="R2725" s="0" t="s">
        <v>130</v>
      </c>
      <c r="S2725" s="14">
        <v>0</v>
      </c>
      <c r="T2725" s="0" t="s">
        <v>2428</v>
      </c>
      <c r="U2725" s="0" t="s">
        <v>221</v>
      </c>
      <c r="V2725" s="14" t="s">
        <v>2428</v>
      </c>
      <c r="W2725" s="0" t="s">
        <v>221</v>
      </c>
      <c r="X2725" s="14" t="s">
        <v>2428</v>
      </c>
      <c r="Y2725" s="0" t="s">
        <v>223</v>
      </c>
      <c r="Z2725" s="14" t="s">
        <v>138</v>
      </c>
      <c r="AA2725" s="0" t="s">
        <v>224</v>
      </c>
      <c r="AB2725" s="14" t="s">
        <v>138</v>
      </c>
      <c r="AD2725" s="0" t="s">
        <v>17</v>
      </c>
      <c r="AF2725" s="0">
        <v>0</v>
      </c>
      <c r="AG2725" s="0">
        <v>0</v>
      </c>
      <c r="AH2725" s="0" t="s">
        <v>140</v>
      </c>
      <c r="AI2725" s="0" t="s">
        <v>598</v>
      </c>
      <c r="AL2725" s="14"/>
      <c r="AN2725" s="14"/>
      <c r="AQ2725" s="0" t="s">
        <v>130</v>
      </c>
      <c r="AR2725" s="0" t="s">
        <v>130</v>
      </c>
      <c r="AS2725" s="0" t="s">
        <v>130</v>
      </c>
      <c r="AT2725" s="0" t="s">
        <v>130</v>
      </c>
      <c r="AU2725" s="0" t="s">
        <v>130</v>
      </c>
      <c r="AV2725" s="0" t="s">
        <v>130</v>
      </c>
      <c r="AW2725" s="0" t="s">
        <v>130</v>
      </c>
      <c r="AX2725" s="0" t="s">
        <v>130</v>
      </c>
      <c r="AY2725" s="0" t="s">
        <v>130</v>
      </c>
      <c r="AZ2725" s="0" t="s">
        <v>130</v>
      </c>
      <c r="BA2725" s="0" t="s">
        <v>130</v>
      </c>
      <c r="BB2725" s="0" t="s">
        <v>141</v>
      </c>
      <c r="BC2725" s="0" t="s">
        <v>130</v>
      </c>
      <c r="BD2725" s="0" t="s">
        <v>130</v>
      </c>
      <c r="BE2725" s="0" t="s">
        <v>141</v>
      </c>
      <c r="BF2725" s="0" t="s">
        <v>130</v>
      </c>
      <c r="BG2725" s="0" t="s">
        <v>130</v>
      </c>
      <c r="BH2725" s="0" t="s">
        <v>130</v>
      </c>
      <c r="BI2725" s="0" t="s">
        <v>130</v>
      </c>
      <c r="BJ2725" s="0" t="s">
        <v>130</v>
      </c>
      <c r="BK2725" s="0" t="s">
        <v>130</v>
      </c>
      <c r="BL2725" s="0" t="s">
        <v>130</v>
      </c>
      <c r="BM2725" s="0" t="s">
        <v>141</v>
      </c>
      <c r="BN2725" s="0" t="s">
        <v>130</v>
      </c>
      <c r="BO2725" s="0" t="s">
        <v>130</v>
      </c>
      <c r="BP2725" s="0" t="s">
        <v>130</v>
      </c>
      <c r="BQ2725" s="0" t="s">
        <v>130</v>
      </c>
      <c r="BR2725" s="0" t="s">
        <v>130</v>
      </c>
      <c r="BS2725" s="0" t="s">
        <v>130</v>
      </c>
      <c r="BT2725" s="0" t="s">
        <v>130</v>
      </c>
      <c r="BU2725" s="0" t="s">
        <v>130</v>
      </c>
      <c r="BV2725" s="0" t="s">
        <v>130</v>
      </c>
      <c r="BW2725" s="0" t="s">
        <v>130</v>
      </c>
      <c r="BX2725" s="0" t="s">
        <v>130</v>
      </c>
      <c r="BY2725" s="0" t="s">
        <v>130</v>
      </c>
      <c r="BZ2725" s="0" t="s">
        <v>130</v>
      </c>
      <c r="CA2725" s="0" t="s">
        <v>141</v>
      </c>
      <c r="CB2725" s="0" t="s">
        <v>130</v>
      </c>
      <c r="CC2725" s="0" t="s">
        <v>130</v>
      </c>
      <c r="CD2725" s="0" t="s">
        <v>130</v>
      </c>
      <c r="CE2725" s="0" t="s">
        <v>130</v>
      </c>
      <c r="CF2725" s="0" t="s">
        <v>130</v>
      </c>
      <c r="CG2725" s="0" t="s">
        <v>130</v>
      </c>
      <c r="CH2725" s="0" t="s">
        <v>130</v>
      </c>
      <c r="CI2725" s="0" t="s">
        <v>130</v>
      </c>
      <c r="CJ2725" s="0" t="s">
        <v>130</v>
      </c>
      <c r="CK2725" s="0" t="s">
        <v>130</v>
      </c>
      <c r="CL2725" s="0" t="s">
        <v>130</v>
      </c>
      <c r="CM2725" s="0" t="s">
        <v>130</v>
      </c>
      <c r="CN2725" s="0" t="s">
        <v>130</v>
      </c>
      <c r="CO2725" s="0" t="s">
        <v>130</v>
      </c>
      <c r="CP2725" s="0" t="s">
        <v>130</v>
      </c>
      <c r="CQ2725" s="0" t="s">
        <v>130</v>
      </c>
      <c r="CR2725" s="0" t="s">
        <v>130</v>
      </c>
      <c r="CS2725" s="0" t="s">
        <v>130</v>
      </c>
      <c r="CT2725" s="0" t="s">
        <v>7360</v>
      </c>
    </row>
    <row r="2726">
      <c r="A2726" s="14">
        <v>918049</v>
      </c>
      <c r="B2726" s="0" t="s">
        <v>3423</v>
      </c>
      <c r="C2726" s="16">
        <f>HYPERLINK("https://eosportal.federatedhermes.com/companies/Q29tcGFueQppNjQzOTQ=", "Enel SpA")</f>
      </c>
      <c r="D2726" s="0" t="s">
        <v>25</v>
      </c>
      <c r="E2726" s="0" t="s">
        <v>7361</v>
      </c>
      <c r="F2726" s="16">
        <f>HYPERLINK("https://eosportal.federatedhermes.com/engagements/RW5nYWdlbWVudAppMzc1ODY=", "Responsible coal ash treatment")</f>
      </c>
      <c r="G2726" s="14" t="s">
        <v>7362</v>
      </c>
      <c r="H2726" s="0" t="s">
        <v>141</v>
      </c>
      <c r="I2726" s="14" t="s">
        <v>636</v>
      </c>
      <c r="J2726" s="0" t="s">
        <v>197</v>
      </c>
      <c r="K2726" s="0" t="s">
        <v>348</v>
      </c>
      <c r="L2726" s="0" t="s">
        <v>650</v>
      </c>
      <c r="M2726" s="0" t="s">
        <v>378</v>
      </c>
      <c r="N2726" s="0" t="s">
        <v>2898</v>
      </c>
      <c r="O2726" s="0" t="s">
        <v>192</v>
      </c>
      <c r="Q2726" s="0" t="s">
        <v>130</v>
      </c>
      <c r="R2726" s="0" t="s">
        <v>138</v>
      </c>
      <c r="S2726" s="14">
        <v>0</v>
      </c>
      <c r="T2726" s="0" t="s">
        <v>2428</v>
      </c>
      <c r="U2726" s="0" t="s">
        <v>138</v>
      </c>
      <c r="V2726" s="14" t="s">
        <v>138</v>
      </c>
      <c r="W2726" s="0" t="s">
        <v>138</v>
      </c>
      <c r="X2726" s="14" t="s">
        <v>138</v>
      </c>
      <c r="Y2726" s="0" t="s">
        <v>138</v>
      </c>
      <c r="Z2726" s="14" t="s">
        <v>138</v>
      </c>
      <c r="AA2726" s="0" t="s">
        <v>138</v>
      </c>
      <c r="AB2726" s="14" t="s">
        <v>138</v>
      </c>
      <c r="AD2726" s="0" t="s">
        <v>138</v>
      </c>
      <c r="AF2726" s="0">
        <v>0</v>
      </c>
      <c r="AG2726" s="0">
        <v>0</v>
      </c>
      <c r="AH2726" s="0" t="s">
        <v>140</v>
      </c>
      <c r="AI2726" s="0" t="s">
        <v>138</v>
      </c>
      <c r="AL2726" s="14"/>
      <c r="AN2726" s="14"/>
      <c r="AQ2726" s="0" t="s">
        <v>130</v>
      </c>
      <c r="AR2726" s="0" t="s">
        <v>130</v>
      </c>
      <c r="AS2726" s="0" t="s">
        <v>130</v>
      </c>
      <c r="AT2726" s="0" t="s">
        <v>130</v>
      </c>
      <c r="AU2726" s="0" t="s">
        <v>130</v>
      </c>
      <c r="AV2726" s="0" t="s">
        <v>130</v>
      </c>
      <c r="AW2726" s="0" t="s">
        <v>130</v>
      </c>
      <c r="AX2726" s="0" t="s">
        <v>130</v>
      </c>
      <c r="AY2726" s="0" t="s">
        <v>130</v>
      </c>
      <c r="AZ2726" s="0" t="s">
        <v>130</v>
      </c>
      <c r="BA2726" s="0" t="s">
        <v>130</v>
      </c>
      <c r="BB2726" s="0" t="s">
        <v>141</v>
      </c>
      <c r="BC2726" s="0" t="s">
        <v>130</v>
      </c>
      <c r="BD2726" s="0" t="s">
        <v>130</v>
      </c>
      <c r="BE2726" s="0" t="s">
        <v>130</v>
      </c>
      <c r="BF2726" s="0" t="s">
        <v>130</v>
      </c>
      <c r="BG2726" s="0" t="s">
        <v>130</v>
      </c>
      <c r="BH2726" s="0" t="s">
        <v>130</v>
      </c>
      <c r="BI2726" s="0" t="s">
        <v>130</v>
      </c>
      <c r="BJ2726" s="0" t="s">
        <v>130</v>
      </c>
      <c r="BK2726" s="0" t="s">
        <v>130</v>
      </c>
      <c r="BL2726" s="0" t="s">
        <v>130</v>
      </c>
      <c r="BM2726" s="0" t="s">
        <v>130</v>
      </c>
      <c r="BN2726" s="0" t="s">
        <v>141</v>
      </c>
      <c r="BO2726" s="0" t="s">
        <v>141</v>
      </c>
      <c r="BP2726" s="0" t="s">
        <v>130</v>
      </c>
      <c r="BQ2726" s="0" t="s">
        <v>130</v>
      </c>
      <c r="BR2726" s="0" t="s">
        <v>130</v>
      </c>
      <c r="BS2726" s="0" t="s">
        <v>130</v>
      </c>
      <c r="BT2726" s="0" t="s">
        <v>130</v>
      </c>
      <c r="BU2726" s="0" t="s">
        <v>130</v>
      </c>
      <c r="BV2726" s="0" t="s">
        <v>130</v>
      </c>
      <c r="BW2726" s="0" t="s">
        <v>130</v>
      </c>
      <c r="BX2726" s="0" t="s">
        <v>130</v>
      </c>
      <c r="BY2726" s="0" t="s">
        <v>130</v>
      </c>
      <c r="BZ2726" s="0" t="s">
        <v>130</v>
      </c>
      <c r="CA2726" s="0" t="s">
        <v>130</v>
      </c>
      <c r="CB2726" s="0" t="s">
        <v>130</v>
      </c>
      <c r="CC2726" s="0" t="s">
        <v>130</v>
      </c>
      <c r="CD2726" s="0" t="s">
        <v>130</v>
      </c>
      <c r="CE2726" s="0" t="s">
        <v>130</v>
      </c>
      <c r="CF2726" s="0" t="s">
        <v>130</v>
      </c>
      <c r="CG2726" s="0" t="s">
        <v>130</v>
      </c>
      <c r="CH2726" s="0" t="s">
        <v>130</v>
      </c>
      <c r="CI2726" s="0" t="s">
        <v>130</v>
      </c>
      <c r="CJ2726" s="0" t="s">
        <v>130</v>
      </c>
      <c r="CK2726" s="0" t="s">
        <v>130</v>
      </c>
      <c r="CL2726" s="0" t="s">
        <v>130</v>
      </c>
      <c r="CM2726" s="0" t="s">
        <v>130</v>
      </c>
      <c r="CN2726" s="0" t="s">
        <v>130</v>
      </c>
      <c r="CO2726" s="0" t="s">
        <v>130</v>
      </c>
      <c r="CP2726" s="0" t="s">
        <v>130</v>
      </c>
      <c r="CQ2726" s="0" t="s">
        <v>130</v>
      </c>
      <c r="CR2726" s="0" t="s">
        <v>130</v>
      </c>
      <c r="CS2726" s="0" t="s">
        <v>130</v>
      </c>
      <c r="CT2726" s="0" t="s">
        <v>7363</v>
      </c>
    </row>
    <row r="2727">
      <c r="A2727" s="14">
        <v>115230</v>
      </c>
      <c r="B2727" s="0" t="s">
        <v>2352</v>
      </c>
      <c r="C2727" s="16">
        <f>HYPERLINK("https://eosportal.federatedhermes.com/companies/Q29tcGFueQppNjI0OTg=", "Air Liquide SA")</f>
      </c>
      <c r="D2727" s="0" t="s">
        <v>23</v>
      </c>
      <c r="E2727" s="0" t="s">
        <v>7364</v>
      </c>
      <c r="F2727" s="16">
        <f>HYPERLINK("https://eosportal.federatedhermes.com/engagements/RW5nYWdlbWVudAppMzc2MDA=", "Succession Planning")</f>
      </c>
      <c r="G2727" s="14" t="s">
        <v>7365</v>
      </c>
      <c r="H2727" s="0" t="s">
        <v>141</v>
      </c>
      <c r="I2727" s="14" t="s">
        <v>1645</v>
      </c>
      <c r="J2727" s="0" t="s">
        <v>145</v>
      </c>
      <c r="K2727" s="0" t="s">
        <v>164</v>
      </c>
      <c r="L2727" s="0" t="s">
        <v>277</v>
      </c>
      <c r="M2727" s="0" t="s">
        <v>378</v>
      </c>
      <c r="N2727" s="0" t="s">
        <v>1646</v>
      </c>
      <c r="O2727" s="0" t="s">
        <v>706</v>
      </c>
      <c r="Q2727" s="0" t="s">
        <v>141</v>
      </c>
      <c r="R2727" s="0" t="s">
        <v>130</v>
      </c>
      <c r="S2727" s="14">
        <v>1</v>
      </c>
      <c r="T2727" s="0" t="s">
        <v>2842</v>
      </c>
      <c r="U2727" s="0" t="s">
        <v>221</v>
      </c>
      <c r="V2727" s="14" t="s">
        <v>2842</v>
      </c>
      <c r="W2727" s="0" t="s">
        <v>223</v>
      </c>
      <c r="X2727" s="14" t="s">
        <v>138</v>
      </c>
      <c r="Y2727" s="0" t="s">
        <v>224</v>
      </c>
      <c r="Z2727" s="14" t="s">
        <v>138</v>
      </c>
      <c r="AA2727" s="0" t="s">
        <v>224</v>
      </c>
      <c r="AB2727" s="14" t="s">
        <v>138</v>
      </c>
      <c r="AD2727" s="0" t="s">
        <v>14</v>
      </c>
      <c r="AF2727" s="0">
        <v>0</v>
      </c>
      <c r="AG2727" s="0">
        <v>0</v>
      </c>
      <c r="AH2727" s="0" t="s">
        <v>140</v>
      </c>
      <c r="AI2727" s="0" t="s">
        <v>598</v>
      </c>
      <c r="AK2727" s="0" t="s">
        <v>436</v>
      </c>
      <c r="AL2727" s="14"/>
      <c r="AN2727" s="14"/>
      <c r="AQ2727" s="0" t="s">
        <v>130</v>
      </c>
      <c r="AR2727" s="0" t="s">
        <v>130</v>
      </c>
      <c r="AS2727" s="0" t="s">
        <v>130</v>
      </c>
      <c r="AT2727" s="0" t="s">
        <v>130</v>
      </c>
      <c r="AU2727" s="0" t="s">
        <v>130</v>
      </c>
      <c r="AV2727" s="0" t="s">
        <v>130</v>
      </c>
      <c r="AW2727" s="0" t="s">
        <v>130</v>
      </c>
      <c r="AX2727" s="0" t="s">
        <v>130</v>
      </c>
      <c r="AY2727" s="0" t="s">
        <v>130</v>
      </c>
      <c r="AZ2727" s="0" t="s">
        <v>130</v>
      </c>
      <c r="BA2727" s="0" t="s">
        <v>130</v>
      </c>
      <c r="BB2727" s="0" t="s">
        <v>130</v>
      </c>
      <c r="BC2727" s="0" t="s">
        <v>130</v>
      </c>
      <c r="BD2727" s="0" t="s">
        <v>130</v>
      </c>
      <c r="BE2727" s="0" t="s">
        <v>130</v>
      </c>
      <c r="BF2727" s="0" t="s">
        <v>130</v>
      </c>
      <c r="BG2727" s="0" t="s">
        <v>130</v>
      </c>
      <c r="BH2727" s="0" t="s">
        <v>130</v>
      </c>
      <c r="BI2727" s="0" t="s">
        <v>130</v>
      </c>
      <c r="BJ2727" s="0" t="s">
        <v>130</v>
      </c>
      <c r="BK2727" s="0" t="s">
        <v>130</v>
      </c>
      <c r="BL2727" s="0" t="s">
        <v>130</v>
      </c>
      <c r="BM2727" s="0" t="s">
        <v>130</v>
      </c>
      <c r="BN2727" s="0" t="s">
        <v>130</v>
      </c>
      <c r="BO2727" s="0" t="s">
        <v>130</v>
      </c>
      <c r="BP2727" s="0" t="s">
        <v>130</v>
      </c>
      <c r="BQ2727" s="0" t="s">
        <v>130</v>
      </c>
      <c r="BR2727" s="0" t="s">
        <v>130</v>
      </c>
      <c r="BS2727" s="0" t="s">
        <v>130</v>
      </c>
      <c r="BT2727" s="0" t="s">
        <v>130</v>
      </c>
      <c r="BU2727" s="0" t="s">
        <v>130</v>
      </c>
      <c r="BV2727" s="0" t="s">
        <v>130</v>
      </c>
      <c r="BW2727" s="0" t="s">
        <v>130</v>
      </c>
      <c r="BX2727" s="0" t="s">
        <v>130</v>
      </c>
      <c r="BY2727" s="0" t="s">
        <v>130</v>
      </c>
      <c r="BZ2727" s="0" t="s">
        <v>130</v>
      </c>
      <c r="CA2727" s="0" t="s">
        <v>130</v>
      </c>
      <c r="CB2727" s="0" t="s">
        <v>130</v>
      </c>
      <c r="CC2727" s="0" t="s">
        <v>130</v>
      </c>
      <c r="CD2727" s="0" t="s">
        <v>130</v>
      </c>
      <c r="CE2727" s="0" t="s">
        <v>130</v>
      </c>
      <c r="CF2727" s="0" t="s">
        <v>130</v>
      </c>
      <c r="CG2727" s="0" t="s">
        <v>130</v>
      </c>
      <c r="CH2727" s="0" t="s">
        <v>130</v>
      </c>
      <c r="CI2727" s="0" t="s">
        <v>130</v>
      </c>
      <c r="CJ2727" s="0" t="s">
        <v>130</v>
      </c>
      <c r="CK2727" s="0" t="s">
        <v>130</v>
      </c>
      <c r="CL2727" s="0" t="s">
        <v>130</v>
      </c>
      <c r="CM2727" s="0" t="s">
        <v>130</v>
      </c>
      <c r="CN2727" s="0" t="s">
        <v>130</v>
      </c>
      <c r="CO2727" s="0" t="s">
        <v>130</v>
      </c>
      <c r="CP2727" s="0" t="s">
        <v>130</v>
      </c>
      <c r="CQ2727" s="0" t="s">
        <v>130</v>
      </c>
      <c r="CR2727" s="0" t="s">
        <v>130</v>
      </c>
      <c r="CS2727" s="0" t="s">
        <v>130</v>
      </c>
      <c r="CT2727" s="0" t="s">
        <v>7366</v>
      </c>
    </row>
    <row r="2728">
      <c r="A2728" s="14">
        <v>115230</v>
      </c>
      <c r="B2728" s="0" t="s">
        <v>2352</v>
      </c>
      <c r="C2728" s="16">
        <f>HYPERLINK("https://eosportal.federatedhermes.com/companies/Q29tcGFueQppNjI0OTg=", "Air Liquide SA")</f>
      </c>
      <c r="D2728" s="0" t="s">
        <v>23</v>
      </c>
      <c r="E2728" s="0" t="s">
        <v>7367</v>
      </c>
      <c r="F2728" s="16">
        <f>HYPERLINK("https://eosportal.federatedhermes.com/engagements/RW5nYWdlbWVudAppMzc2MDE=", "Cooling-off Period")</f>
      </c>
      <c r="G2728" s="14" t="s">
        <v>7368</v>
      </c>
      <c r="H2728" s="0" t="s">
        <v>141</v>
      </c>
      <c r="I2728" s="14" t="s">
        <v>1645</v>
      </c>
      <c r="J2728" s="0" t="s">
        <v>145</v>
      </c>
      <c r="K2728" s="0" t="s">
        <v>164</v>
      </c>
      <c r="L2728" s="0" t="s">
        <v>165</v>
      </c>
      <c r="M2728" s="0" t="s">
        <v>378</v>
      </c>
      <c r="N2728" s="0" t="s">
        <v>1646</v>
      </c>
      <c r="O2728" s="0" t="s">
        <v>706</v>
      </c>
      <c r="Q2728" s="0" t="s">
        <v>130</v>
      </c>
      <c r="R2728" s="0" t="s">
        <v>130</v>
      </c>
      <c r="S2728" s="14">
        <v>0</v>
      </c>
      <c r="T2728" s="0" t="s">
        <v>2842</v>
      </c>
      <c r="U2728" s="0" t="s">
        <v>221</v>
      </c>
      <c r="V2728" s="14" t="s">
        <v>2842</v>
      </c>
      <c r="W2728" s="0" t="s">
        <v>223</v>
      </c>
      <c r="X2728" s="14" t="s">
        <v>138</v>
      </c>
      <c r="Y2728" s="0" t="s">
        <v>224</v>
      </c>
      <c r="Z2728" s="14" t="s">
        <v>138</v>
      </c>
      <c r="AA2728" s="0" t="s">
        <v>224</v>
      </c>
      <c r="AB2728" s="14" t="s">
        <v>138</v>
      </c>
      <c r="AD2728" s="0" t="s">
        <v>14</v>
      </c>
      <c r="AF2728" s="0">
        <v>0</v>
      </c>
      <c r="AG2728" s="0">
        <v>0</v>
      </c>
      <c r="AH2728" s="0" t="s">
        <v>140</v>
      </c>
      <c r="AI2728" s="0" t="s">
        <v>598</v>
      </c>
      <c r="AL2728" s="14"/>
      <c r="AN2728" s="14"/>
      <c r="AQ2728" s="0" t="s">
        <v>130</v>
      </c>
      <c r="AR2728" s="0" t="s">
        <v>130</v>
      </c>
      <c r="AS2728" s="0" t="s">
        <v>130</v>
      </c>
      <c r="AT2728" s="0" t="s">
        <v>130</v>
      </c>
      <c r="AU2728" s="0" t="s">
        <v>130</v>
      </c>
      <c r="AV2728" s="0" t="s">
        <v>130</v>
      </c>
      <c r="AW2728" s="0" t="s">
        <v>130</v>
      </c>
      <c r="AX2728" s="0" t="s">
        <v>130</v>
      </c>
      <c r="AY2728" s="0" t="s">
        <v>130</v>
      </c>
      <c r="AZ2728" s="0" t="s">
        <v>130</v>
      </c>
      <c r="BA2728" s="0" t="s">
        <v>130</v>
      </c>
      <c r="BB2728" s="0" t="s">
        <v>130</v>
      </c>
      <c r="BC2728" s="0" t="s">
        <v>130</v>
      </c>
      <c r="BD2728" s="0" t="s">
        <v>130</v>
      </c>
      <c r="BE2728" s="0" t="s">
        <v>130</v>
      </c>
      <c r="BF2728" s="0" t="s">
        <v>130</v>
      </c>
      <c r="BG2728" s="0" t="s">
        <v>130</v>
      </c>
      <c r="BH2728" s="0" t="s">
        <v>130</v>
      </c>
      <c r="BI2728" s="0" t="s">
        <v>130</v>
      </c>
      <c r="BJ2728" s="0" t="s">
        <v>130</v>
      </c>
      <c r="BK2728" s="0" t="s">
        <v>130</v>
      </c>
      <c r="BL2728" s="0" t="s">
        <v>130</v>
      </c>
      <c r="BM2728" s="0" t="s">
        <v>130</v>
      </c>
      <c r="BN2728" s="0" t="s">
        <v>130</v>
      </c>
      <c r="BO2728" s="0" t="s">
        <v>130</v>
      </c>
      <c r="BP2728" s="0" t="s">
        <v>130</v>
      </c>
      <c r="BQ2728" s="0" t="s">
        <v>130</v>
      </c>
      <c r="BR2728" s="0" t="s">
        <v>130</v>
      </c>
      <c r="BS2728" s="0" t="s">
        <v>130</v>
      </c>
      <c r="BT2728" s="0" t="s">
        <v>130</v>
      </c>
      <c r="BU2728" s="0" t="s">
        <v>130</v>
      </c>
      <c r="BV2728" s="0" t="s">
        <v>130</v>
      </c>
      <c r="BW2728" s="0" t="s">
        <v>130</v>
      </c>
      <c r="BX2728" s="0" t="s">
        <v>130</v>
      </c>
      <c r="BY2728" s="0" t="s">
        <v>130</v>
      </c>
      <c r="BZ2728" s="0" t="s">
        <v>130</v>
      </c>
      <c r="CA2728" s="0" t="s">
        <v>130</v>
      </c>
      <c r="CB2728" s="0" t="s">
        <v>130</v>
      </c>
      <c r="CC2728" s="0" t="s">
        <v>130</v>
      </c>
      <c r="CD2728" s="0" t="s">
        <v>130</v>
      </c>
      <c r="CE2728" s="0" t="s">
        <v>130</v>
      </c>
      <c r="CF2728" s="0" t="s">
        <v>130</v>
      </c>
      <c r="CG2728" s="0" t="s">
        <v>130</v>
      </c>
      <c r="CH2728" s="0" t="s">
        <v>130</v>
      </c>
      <c r="CI2728" s="0" t="s">
        <v>130</v>
      </c>
      <c r="CJ2728" s="0" t="s">
        <v>130</v>
      </c>
      <c r="CK2728" s="0" t="s">
        <v>130</v>
      </c>
      <c r="CL2728" s="0" t="s">
        <v>130</v>
      </c>
      <c r="CM2728" s="0" t="s">
        <v>130</v>
      </c>
      <c r="CN2728" s="0" t="s">
        <v>130</v>
      </c>
      <c r="CO2728" s="0" t="s">
        <v>130</v>
      </c>
      <c r="CP2728" s="0" t="s">
        <v>130</v>
      </c>
      <c r="CQ2728" s="0" t="s">
        <v>130</v>
      </c>
      <c r="CR2728" s="0" t="s">
        <v>130</v>
      </c>
      <c r="CS2728" s="0" t="s">
        <v>130</v>
      </c>
      <c r="CT2728" s="0" t="s">
        <v>7369</v>
      </c>
    </row>
    <row r="2729">
      <c r="A2729" s="14">
        <v>253334</v>
      </c>
      <c r="B2729" s="0" t="s">
        <v>3516</v>
      </c>
      <c r="C2729" s="16">
        <f>HYPERLINK("https://eosportal.federatedhermes.com/companies/Q29tcGFueQppODY1MjA=", "GAIL India Ltd")</f>
      </c>
      <c r="D2729" s="0" t="s">
        <v>23</v>
      </c>
      <c r="E2729" s="0" t="s">
        <v>7370</v>
      </c>
      <c r="F2729" s="16">
        <f>HYPERLINK("https://eosportal.federatedhermes.com/engagements/RW5nYWdlbWVudAppMzc2MDU=", "Methane Emissions Measurement and Disclosure")</f>
      </c>
      <c r="G2729" s="14" t="s">
        <v>7371</v>
      </c>
      <c r="H2729" s="0" t="s">
        <v>130</v>
      </c>
      <c r="I2729" s="14" t="s">
        <v>131</v>
      </c>
      <c r="J2729" s="0" t="s">
        <v>197</v>
      </c>
      <c r="K2729" s="0" t="s">
        <v>198</v>
      </c>
      <c r="L2729" s="0" t="s">
        <v>199</v>
      </c>
      <c r="M2729" s="0" t="s">
        <v>2807</v>
      </c>
      <c r="N2729" s="0" t="s">
        <v>2969</v>
      </c>
      <c r="O2729" s="0" t="s">
        <v>192</v>
      </c>
      <c r="Q2729" s="0" t="s">
        <v>141</v>
      </c>
      <c r="R2729" s="0" t="s">
        <v>141</v>
      </c>
      <c r="S2729" s="14">
        <v>1</v>
      </c>
      <c r="T2729" s="0" t="s">
        <v>2842</v>
      </c>
      <c r="U2729" s="0" t="s">
        <v>221</v>
      </c>
      <c r="V2729" s="14" t="s">
        <v>2842</v>
      </c>
      <c r="W2729" s="0" t="s">
        <v>221</v>
      </c>
      <c r="X2729" s="14" t="s">
        <v>361</v>
      </c>
      <c r="Y2729" s="0" t="s">
        <v>223</v>
      </c>
      <c r="Z2729" s="14" t="s">
        <v>138</v>
      </c>
      <c r="AA2729" s="0" t="s">
        <v>224</v>
      </c>
      <c r="AB2729" s="14" t="s">
        <v>138</v>
      </c>
      <c r="AC2729" s="0" t="s">
        <v>14</v>
      </c>
      <c r="AD2729" s="0" t="s">
        <v>17</v>
      </c>
      <c r="AE2729" s="0" t="s">
        <v>5508</v>
      </c>
      <c r="AF2729" s="0">
        <v>1</v>
      </c>
      <c r="AG2729" s="0">
        <v>0</v>
      </c>
      <c r="AH2729" s="0" t="s">
        <v>140</v>
      </c>
      <c r="AI2729" s="0" t="s">
        <v>598</v>
      </c>
      <c r="AK2729" s="0" t="s">
        <v>2523</v>
      </c>
      <c r="AL2729" s="14"/>
      <c r="AN2729" s="14"/>
      <c r="AQ2729" s="0" t="s">
        <v>130</v>
      </c>
      <c r="AR2729" s="0" t="s">
        <v>130</v>
      </c>
      <c r="AS2729" s="0" t="s">
        <v>130</v>
      </c>
      <c r="AT2729" s="0" t="s">
        <v>130</v>
      </c>
      <c r="AU2729" s="0" t="s">
        <v>130</v>
      </c>
      <c r="AV2729" s="0" t="s">
        <v>130</v>
      </c>
      <c r="AW2729" s="0" t="s">
        <v>130</v>
      </c>
      <c r="AX2729" s="0" t="s">
        <v>130</v>
      </c>
      <c r="AY2729" s="0" t="s">
        <v>130</v>
      </c>
      <c r="AZ2729" s="0" t="s">
        <v>130</v>
      </c>
      <c r="BA2729" s="0" t="s">
        <v>130</v>
      </c>
      <c r="BB2729" s="0" t="s">
        <v>141</v>
      </c>
      <c r="BC2729" s="0" t="s">
        <v>141</v>
      </c>
      <c r="BD2729" s="0" t="s">
        <v>130</v>
      </c>
      <c r="BE2729" s="0" t="s">
        <v>130</v>
      </c>
      <c r="BF2729" s="0" t="s">
        <v>130</v>
      </c>
      <c r="BG2729" s="0" t="s">
        <v>130</v>
      </c>
      <c r="BH2729" s="0" t="s">
        <v>141</v>
      </c>
      <c r="BI2729" s="0" t="s">
        <v>141</v>
      </c>
      <c r="BJ2729" s="0" t="s">
        <v>141</v>
      </c>
      <c r="BK2729" s="0" t="s">
        <v>130</v>
      </c>
      <c r="BL2729" s="0" t="s">
        <v>130</v>
      </c>
      <c r="BM2729" s="0" t="s">
        <v>130</v>
      </c>
      <c r="BN2729" s="0" t="s">
        <v>130</v>
      </c>
      <c r="BO2729" s="0" t="s">
        <v>130</v>
      </c>
      <c r="BP2729" s="0" t="s">
        <v>130</v>
      </c>
      <c r="BQ2729" s="0" t="s">
        <v>130</v>
      </c>
      <c r="BR2729" s="0" t="s">
        <v>130</v>
      </c>
      <c r="BS2729" s="0" t="s">
        <v>130</v>
      </c>
      <c r="BT2729" s="0" t="s">
        <v>130</v>
      </c>
      <c r="BU2729" s="0" t="s">
        <v>130</v>
      </c>
      <c r="BV2729" s="0" t="s">
        <v>141</v>
      </c>
      <c r="BW2729" s="0" t="s">
        <v>141</v>
      </c>
      <c r="BX2729" s="0" t="s">
        <v>130</v>
      </c>
      <c r="BY2729" s="0" t="s">
        <v>130</v>
      </c>
      <c r="BZ2729" s="0" t="s">
        <v>130</v>
      </c>
      <c r="CA2729" s="0" t="s">
        <v>130</v>
      </c>
      <c r="CB2729" s="0" t="s">
        <v>130</v>
      </c>
      <c r="CC2729" s="0" t="s">
        <v>130</v>
      </c>
      <c r="CD2729" s="0" t="s">
        <v>130</v>
      </c>
      <c r="CE2729" s="0" t="s">
        <v>130</v>
      </c>
      <c r="CF2729" s="0" t="s">
        <v>130</v>
      </c>
      <c r="CG2729" s="0" t="s">
        <v>130</v>
      </c>
      <c r="CH2729" s="0" t="s">
        <v>130</v>
      </c>
      <c r="CI2729" s="0" t="s">
        <v>130</v>
      </c>
      <c r="CJ2729" s="0" t="s">
        <v>130</v>
      </c>
      <c r="CK2729" s="0" t="s">
        <v>130</v>
      </c>
      <c r="CL2729" s="0" t="s">
        <v>130</v>
      </c>
      <c r="CM2729" s="0" t="s">
        <v>130</v>
      </c>
      <c r="CN2729" s="0" t="s">
        <v>130</v>
      </c>
      <c r="CO2729" s="0" t="s">
        <v>130</v>
      </c>
      <c r="CP2729" s="0" t="s">
        <v>130</v>
      </c>
      <c r="CQ2729" s="0" t="s">
        <v>130</v>
      </c>
      <c r="CR2729" s="0" t="s">
        <v>130</v>
      </c>
      <c r="CS2729" s="0" t="s">
        <v>130</v>
      </c>
      <c r="CT2729" s="0" t="s">
        <v>7372</v>
      </c>
    </row>
    <row r="2730">
      <c r="A2730" s="14">
        <v>101779</v>
      </c>
      <c r="B2730" s="0" t="s">
        <v>2006</v>
      </c>
      <c r="C2730" s="16">
        <f>HYPERLINK("https://eosportal.federatedhermes.com/companies/Q29tcGFueQppODE1NDU=", "Tyson Foods Inc")</f>
      </c>
      <c r="D2730" s="0" t="s">
        <v>25</v>
      </c>
      <c r="E2730" s="0" t="s">
        <v>7373</v>
      </c>
      <c r="F2730" s="16">
        <f>HYPERLINK("https://eosportal.federatedhermes.com/engagements/RW5nYWdlbWVudAppMzc2NDM=", "Executive pay misaligned with EOS principles")</f>
      </c>
      <c r="G2730" s="14" t="s">
        <v>7374</v>
      </c>
      <c r="H2730" s="0" t="s">
        <v>141</v>
      </c>
      <c r="I2730" s="14" t="s">
        <v>131</v>
      </c>
      <c r="J2730" s="0" t="s">
        <v>145</v>
      </c>
      <c r="K2730" s="0" t="s">
        <v>146</v>
      </c>
      <c r="L2730" s="0" t="s">
        <v>147</v>
      </c>
      <c r="M2730" s="0" t="s">
        <v>135</v>
      </c>
      <c r="N2730" s="0" t="s">
        <v>136</v>
      </c>
      <c r="O2730" s="0" t="s">
        <v>332</v>
      </c>
      <c r="Q2730" s="0" t="s">
        <v>130</v>
      </c>
      <c r="R2730" s="0" t="s">
        <v>138</v>
      </c>
      <c r="S2730" s="14">
        <v>0</v>
      </c>
      <c r="T2730" s="0" t="s">
        <v>2428</v>
      </c>
      <c r="U2730" s="0" t="s">
        <v>138</v>
      </c>
      <c r="V2730" s="14" t="s">
        <v>138</v>
      </c>
      <c r="W2730" s="0" t="s">
        <v>138</v>
      </c>
      <c r="X2730" s="14" t="s">
        <v>138</v>
      </c>
      <c r="Y2730" s="0" t="s">
        <v>138</v>
      </c>
      <c r="Z2730" s="14" t="s">
        <v>138</v>
      </c>
      <c r="AA2730" s="0" t="s">
        <v>138</v>
      </c>
      <c r="AB2730" s="14" t="s">
        <v>138</v>
      </c>
      <c r="AD2730" s="0" t="s">
        <v>138</v>
      </c>
      <c r="AF2730" s="0">
        <v>0</v>
      </c>
      <c r="AG2730" s="0">
        <v>0</v>
      </c>
      <c r="AH2730" s="0" t="s">
        <v>140</v>
      </c>
      <c r="AI2730" s="0" t="s">
        <v>138</v>
      </c>
      <c r="AL2730" s="14"/>
      <c r="AN2730" s="14"/>
      <c r="AQ2730" s="0" t="s">
        <v>130</v>
      </c>
      <c r="AR2730" s="0" t="s">
        <v>130</v>
      </c>
      <c r="AS2730" s="0" t="s">
        <v>130</v>
      </c>
      <c r="AT2730" s="0" t="s">
        <v>130</v>
      </c>
      <c r="AU2730" s="0" t="s">
        <v>130</v>
      </c>
      <c r="AV2730" s="0" t="s">
        <v>130</v>
      </c>
      <c r="AW2730" s="0" t="s">
        <v>130</v>
      </c>
      <c r="AX2730" s="0" t="s">
        <v>130</v>
      </c>
      <c r="AY2730" s="0" t="s">
        <v>130</v>
      </c>
      <c r="AZ2730" s="0" t="s">
        <v>130</v>
      </c>
      <c r="BA2730" s="0" t="s">
        <v>130</v>
      </c>
      <c r="BB2730" s="0" t="s">
        <v>130</v>
      </c>
      <c r="BC2730" s="0" t="s">
        <v>130</v>
      </c>
      <c r="BD2730" s="0" t="s">
        <v>130</v>
      </c>
      <c r="BE2730" s="0" t="s">
        <v>130</v>
      </c>
      <c r="BF2730" s="0" t="s">
        <v>130</v>
      </c>
      <c r="BG2730" s="0" t="s">
        <v>130</v>
      </c>
      <c r="BH2730" s="0" t="s">
        <v>130</v>
      </c>
      <c r="BI2730" s="0" t="s">
        <v>130</v>
      </c>
      <c r="BJ2730" s="0" t="s">
        <v>130</v>
      </c>
      <c r="BK2730" s="0" t="s">
        <v>130</v>
      </c>
      <c r="BL2730" s="0" t="s">
        <v>130</v>
      </c>
      <c r="BM2730" s="0" t="s">
        <v>130</v>
      </c>
      <c r="BN2730" s="0" t="s">
        <v>130</v>
      </c>
      <c r="BO2730" s="0" t="s">
        <v>130</v>
      </c>
      <c r="BP2730" s="0" t="s">
        <v>130</v>
      </c>
      <c r="BQ2730" s="0" t="s">
        <v>130</v>
      </c>
      <c r="BR2730" s="0" t="s">
        <v>130</v>
      </c>
      <c r="BS2730" s="0" t="s">
        <v>130</v>
      </c>
      <c r="BT2730" s="0" t="s">
        <v>130</v>
      </c>
      <c r="BU2730" s="0" t="s">
        <v>130</v>
      </c>
      <c r="BV2730" s="0" t="s">
        <v>130</v>
      </c>
      <c r="BW2730" s="0" t="s">
        <v>130</v>
      </c>
      <c r="BX2730" s="0" t="s">
        <v>130</v>
      </c>
      <c r="BY2730" s="0" t="s">
        <v>130</v>
      </c>
      <c r="BZ2730" s="0" t="s">
        <v>130</v>
      </c>
      <c r="CA2730" s="0" t="s">
        <v>130</v>
      </c>
      <c r="CB2730" s="0" t="s">
        <v>130</v>
      </c>
      <c r="CC2730" s="0" t="s">
        <v>130</v>
      </c>
      <c r="CD2730" s="0" t="s">
        <v>130</v>
      </c>
      <c r="CE2730" s="0" t="s">
        <v>130</v>
      </c>
      <c r="CF2730" s="0" t="s">
        <v>130</v>
      </c>
      <c r="CG2730" s="0" t="s">
        <v>130</v>
      </c>
      <c r="CH2730" s="0" t="s">
        <v>130</v>
      </c>
      <c r="CI2730" s="0" t="s">
        <v>130</v>
      </c>
      <c r="CJ2730" s="0" t="s">
        <v>130</v>
      </c>
      <c r="CK2730" s="0" t="s">
        <v>130</v>
      </c>
      <c r="CL2730" s="0" t="s">
        <v>130</v>
      </c>
      <c r="CM2730" s="0" t="s">
        <v>130</v>
      </c>
      <c r="CN2730" s="0" t="s">
        <v>130</v>
      </c>
      <c r="CO2730" s="0" t="s">
        <v>130</v>
      </c>
      <c r="CP2730" s="0" t="s">
        <v>130</v>
      </c>
      <c r="CQ2730" s="0" t="s">
        <v>130</v>
      </c>
      <c r="CR2730" s="0" t="s">
        <v>130</v>
      </c>
      <c r="CS2730" s="0" t="s">
        <v>130</v>
      </c>
      <c r="CT2730" s="0" t="s">
        <v>7375</v>
      </c>
    </row>
    <row r="2731">
      <c r="A2731" s="14">
        <v>7791092</v>
      </c>
      <c r="B2731" s="0" t="s">
        <v>3851</v>
      </c>
      <c r="C2731" s="16">
        <f>HYPERLINK("https://eosportal.federatedhermes.com/companies/Q29tcGFueQppODMyNjU=", "BYD Co Ltd")</f>
      </c>
      <c r="D2731" s="0" t="s">
        <v>25</v>
      </c>
      <c r="E2731" s="0" t="s">
        <v>7376</v>
      </c>
      <c r="F2731" s="16">
        <f>HYPERLINK("https://eosportal.federatedhermes.com/engagements/RW5nYWdlbWVudAppMzc2NDQ=", "Phasing out the e-cigarette business")</f>
      </c>
      <c r="G2731" s="14" t="s">
        <v>7377</v>
      </c>
      <c r="H2731" s="0" t="s">
        <v>141</v>
      </c>
      <c r="I2731" s="14" t="s">
        <v>191</v>
      </c>
      <c r="J2731" s="0" t="s">
        <v>153</v>
      </c>
      <c r="K2731" s="0" t="s">
        <v>185</v>
      </c>
      <c r="L2731" s="0" t="s">
        <v>626</v>
      </c>
      <c r="M2731" s="0" t="s">
        <v>2807</v>
      </c>
      <c r="N2731" s="0" t="s">
        <v>3272</v>
      </c>
      <c r="O2731" s="0" t="s">
        <v>425</v>
      </c>
      <c r="Q2731" s="0" t="s">
        <v>130</v>
      </c>
      <c r="R2731" s="0" t="s">
        <v>138</v>
      </c>
      <c r="S2731" s="14">
        <v>0</v>
      </c>
      <c r="T2731" s="0" t="s">
        <v>2428</v>
      </c>
      <c r="U2731" s="0" t="s">
        <v>138</v>
      </c>
      <c r="V2731" s="14" t="s">
        <v>138</v>
      </c>
      <c r="W2731" s="0" t="s">
        <v>138</v>
      </c>
      <c r="X2731" s="14" t="s">
        <v>138</v>
      </c>
      <c r="Y2731" s="0" t="s">
        <v>138</v>
      </c>
      <c r="Z2731" s="14" t="s">
        <v>138</v>
      </c>
      <c r="AA2731" s="0" t="s">
        <v>138</v>
      </c>
      <c r="AB2731" s="14" t="s">
        <v>138</v>
      </c>
      <c r="AD2731" s="0" t="s">
        <v>138</v>
      </c>
      <c r="AF2731" s="0">
        <v>0</v>
      </c>
      <c r="AG2731" s="0">
        <v>0</v>
      </c>
      <c r="AH2731" s="0" t="s">
        <v>140</v>
      </c>
      <c r="AI2731" s="0" t="s">
        <v>138</v>
      </c>
      <c r="AL2731" s="14"/>
      <c r="AN2731" s="14"/>
      <c r="AQ2731" s="0" t="s">
        <v>130</v>
      </c>
      <c r="AR2731" s="0" t="s">
        <v>130</v>
      </c>
      <c r="AS2731" s="0" t="s">
        <v>141</v>
      </c>
      <c r="AT2731" s="0" t="s">
        <v>130</v>
      </c>
      <c r="AU2731" s="0" t="s">
        <v>130</v>
      </c>
      <c r="AV2731" s="0" t="s">
        <v>130</v>
      </c>
      <c r="AW2731" s="0" t="s">
        <v>130</v>
      </c>
      <c r="AX2731" s="0" t="s">
        <v>130</v>
      </c>
      <c r="AY2731" s="0" t="s">
        <v>130</v>
      </c>
      <c r="AZ2731" s="0" t="s">
        <v>130</v>
      </c>
      <c r="BA2731" s="0" t="s">
        <v>130</v>
      </c>
      <c r="BB2731" s="0" t="s">
        <v>130</v>
      </c>
      <c r="BC2731" s="0" t="s">
        <v>130</v>
      </c>
      <c r="BD2731" s="0" t="s">
        <v>130</v>
      </c>
      <c r="BE2731" s="0" t="s">
        <v>130</v>
      </c>
      <c r="BF2731" s="0" t="s">
        <v>130</v>
      </c>
      <c r="BG2731" s="0" t="s">
        <v>130</v>
      </c>
      <c r="BH2731" s="0" t="s">
        <v>130</v>
      </c>
      <c r="BI2731" s="0" t="s">
        <v>130</v>
      </c>
      <c r="BJ2731" s="0" t="s">
        <v>130</v>
      </c>
      <c r="BK2731" s="0" t="s">
        <v>130</v>
      </c>
      <c r="BL2731" s="0" t="s">
        <v>130</v>
      </c>
      <c r="BM2731" s="0" t="s">
        <v>130</v>
      </c>
      <c r="BN2731" s="0" t="s">
        <v>130</v>
      </c>
      <c r="BO2731" s="0" t="s">
        <v>130</v>
      </c>
      <c r="BP2731" s="0" t="s">
        <v>130</v>
      </c>
      <c r="BQ2731" s="0" t="s">
        <v>130</v>
      </c>
      <c r="BR2731" s="0" t="s">
        <v>130</v>
      </c>
      <c r="BS2731" s="0" t="s">
        <v>130</v>
      </c>
      <c r="BT2731" s="0" t="s">
        <v>130</v>
      </c>
      <c r="BU2731" s="0" t="s">
        <v>130</v>
      </c>
      <c r="BV2731" s="0" t="s">
        <v>130</v>
      </c>
      <c r="BW2731" s="0" t="s">
        <v>130</v>
      </c>
      <c r="BX2731" s="0" t="s">
        <v>130</v>
      </c>
      <c r="BY2731" s="0" t="s">
        <v>130</v>
      </c>
      <c r="BZ2731" s="0" t="s">
        <v>130</v>
      </c>
      <c r="CA2731" s="0" t="s">
        <v>130</v>
      </c>
      <c r="CB2731" s="0" t="s">
        <v>130</v>
      </c>
      <c r="CC2731" s="0" t="s">
        <v>130</v>
      </c>
      <c r="CD2731" s="0" t="s">
        <v>130</v>
      </c>
      <c r="CE2731" s="0" t="s">
        <v>130</v>
      </c>
      <c r="CF2731" s="0" t="s">
        <v>130</v>
      </c>
      <c r="CG2731" s="0" t="s">
        <v>130</v>
      </c>
      <c r="CH2731" s="0" t="s">
        <v>130</v>
      </c>
      <c r="CI2731" s="0" t="s">
        <v>130</v>
      </c>
      <c r="CJ2731" s="0" t="s">
        <v>130</v>
      </c>
      <c r="CK2731" s="0" t="s">
        <v>130</v>
      </c>
      <c r="CL2731" s="0" t="s">
        <v>130</v>
      </c>
      <c r="CM2731" s="0" t="s">
        <v>130</v>
      </c>
      <c r="CN2731" s="0" t="s">
        <v>130</v>
      </c>
      <c r="CO2731" s="0" t="s">
        <v>130</v>
      </c>
      <c r="CP2731" s="0" t="s">
        <v>130</v>
      </c>
      <c r="CQ2731" s="0" t="s">
        <v>130</v>
      </c>
      <c r="CR2731" s="0" t="s">
        <v>130</v>
      </c>
      <c r="CS2731" s="0" t="s">
        <v>130</v>
      </c>
      <c r="CT2731" s="0" t="s">
        <v>7378</v>
      </c>
    </row>
    <row r="2732">
      <c r="A2732" s="14">
        <v>100546</v>
      </c>
      <c r="B2732" s="0" t="s">
        <v>776</v>
      </c>
      <c r="C2732" s="16">
        <f>HYPERLINK("https://eosportal.federatedhermes.com/companies/Q29tcGFueQppNzU3MjY=", "Exxon Mobil Corp")</f>
      </c>
      <c r="D2732" s="0" t="s">
        <v>23</v>
      </c>
      <c r="E2732" s="0" t="s">
        <v>5543</v>
      </c>
      <c r="F2732" s="16">
        <f>HYPERLINK("https://eosportal.federatedhermes.com/engagements/RW5nYWdlbWVudAppMzc2NDk=", "Methane management best practices")</f>
      </c>
      <c r="G2732" s="14" t="s">
        <v>5544</v>
      </c>
      <c r="H2732" s="0" t="s">
        <v>141</v>
      </c>
      <c r="I2732" s="14" t="s">
        <v>191</v>
      </c>
      <c r="J2732" s="0" t="s">
        <v>197</v>
      </c>
      <c r="K2732" s="0" t="s">
        <v>198</v>
      </c>
      <c r="L2732" s="0" t="s">
        <v>220</v>
      </c>
      <c r="M2732" s="0" t="s">
        <v>135</v>
      </c>
      <c r="N2732" s="0" t="s">
        <v>136</v>
      </c>
      <c r="O2732" s="0" t="s">
        <v>542</v>
      </c>
      <c r="Q2732" s="0" t="s">
        <v>130</v>
      </c>
      <c r="R2732" s="0" t="s">
        <v>130</v>
      </c>
      <c r="S2732" s="14">
        <v>0</v>
      </c>
      <c r="T2732" s="0" t="s">
        <v>2428</v>
      </c>
      <c r="U2732" s="0" t="s">
        <v>221</v>
      </c>
      <c r="V2732" s="14" t="s">
        <v>2428</v>
      </c>
      <c r="W2732" s="0" t="s">
        <v>221</v>
      </c>
      <c r="X2732" s="14" t="s">
        <v>2428</v>
      </c>
      <c r="Y2732" s="0" t="s">
        <v>223</v>
      </c>
      <c r="Z2732" s="14" t="s">
        <v>138</v>
      </c>
      <c r="AA2732" s="0" t="s">
        <v>224</v>
      </c>
      <c r="AB2732" s="14" t="s">
        <v>138</v>
      </c>
      <c r="AD2732" s="0" t="s">
        <v>17</v>
      </c>
      <c r="AF2732" s="0">
        <v>0</v>
      </c>
      <c r="AG2732" s="0">
        <v>0</v>
      </c>
      <c r="AH2732" s="0" t="s">
        <v>140</v>
      </c>
      <c r="AI2732" s="0" t="s">
        <v>598</v>
      </c>
      <c r="AL2732" s="14"/>
      <c r="AN2732" s="14"/>
      <c r="AQ2732" s="0" t="s">
        <v>130</v>
      </c>
      <c r="AR2732" s="0" t="s">
        <v>130</v>
      </c>
      <c r="AS2732" s="0" t="s">
        <v>130</v>
      </c>
      <c r="AT2732" s="0" t="s">
        <v>130</v>
      </c>
      <c r="AU2732" s="0" t="s">
        <v>130</v>
      </c>
      <c r="AV2732" s="0" t="s">
        <v>130</v>
      </c>
      <c r="AW2732" s="0" t="s">
        <v>141</v>
      </c>
      <c r="AX2732" s="0" t="s">
        <v>130</v>
      </c>
      <c r="AY2732" s="0" t="s">
        <v>141</v>
      </c>
      <c r="AZ2732" s="0" t="s">
        <v>130</v>
      </c>
      <c r="BA2732" s="0" t="s">
        <v>130</v>
      </c>
      <c r="BB2732" s="0" t="s">
        <v>130</v>
      </c>
      <c r="BC2732" s="0" t="s">
        <v>141</v>
      </c>
      <c r="BD2732" s="0" t="s">
        <v>130</v>
      </c>
      <c r="BE2732" s="0" t="s">
        <v>130</v>
      </c>
      <c r="BF2732" s="0" t="s">
        <v>130</v>
      </c>
      <c r="BG2732" s="0" t="s">
        <v>130</v>
      </c>
      <c r="BH2732" s="0" t="s">
        <v>130</v>
      </c>
      <c r="BI2732" s="0" t="s">
        <v>130</v>
      </c>
      <c r="BJ2732" s="0" t="s">
        <v>130</v>
      </c>
      <c r="BK2732" s="0" t="s">
        <v>130</v>
      </c>
      <c r="BL2732" s="0" t="s">
        <v>130</v>
      </c>
      <c r="BM2732" s="0" t="s">
        <v>130</v>
      </c>
      <c r="BN2732" s="0" t="s">
        <v>130</v>
      </c>
      <c r="BO2732" s="0" t="s">
        <v>130</v>
      </c>
      <c r="BP2732" s="0" t="s">
        <v>130</v>
      </c>
      <c r="BQ2732" s="0" t="s">
        <v>130</v>
      </c>
      <c r="BR2732" s="0" t="s">
        <v>130</v>
      </c>
      <c r="BS2732" s="0" t="s">
        <v>130</v>
      </c>
      <c r="BT2732" s="0" t="s">
        <v>130</v>
      </c>
      <c r="BU2732" s="0" t="s">
        <v>130</v>
      </c>
      <c r="BV2732" s="0" t="s">
        <v>130</v>
      </c>
      <c r="BW2732" s="0" t="s">
        <v>130</v>
      </c>
      <c r="BX2732" s="0" t="s">
        <v>130</v>
      </c>
      <c r="BY2732" s="0" t="s">
        <v>130</v>
      </c>
      <c r="BZ2732" s="0" t="s">
        <v>130</v>
      </c>
      <c r="CA2732" s="0" t="s">
        <v>130</v>
      </c>
      <c r="CB2732" s="0" t="s">
        <v>130</v>
      </c>
      <c r="CC2732" s="0" t="s">
        <v>130</v>
      </c>
      <c r="CD2732" s="0" t="s">
        <v>130</v>
      </c>
      <c r="CE2732" s="0" t="s">
        <v>130</v>
      </c>
      <c r="CF2732" s="0" t="s">
        <v>130</v>
      </c>
      <c r="CG2732" s="0" t="s">
        <v>130</v>
      </c>
      <c r="CH2732" s="0" t="s">
        <v>130</v>
      </c>
      <c r="CI2732" s="0" t="s">
        <v>130</v>
      </c>
      <c r="CJ2732" s="0" t="s">
        <v>130</v>
      </c>
      <c r="CK2732" s="0" t="s">
        <v>130</v>
      </c>
      <c r="CL2732" s="0" t="s">
        <v>130</v>
      </c>
      <c r="CM2732" s="0" t="s">
        <v>130</v>
      </c>
      <c r="CN2732" s="0" t="s">
        <v>130</v>
      </c>
      <c r="CO2732" s="0" t="s">
        <v>130</v>
      </c>
      <c r="CP2732" s="0" t="s">
        <v>130</v>
      </c>
      <c r="CQ2732" s="0" t="s">
        <v>130</v>
      </c>
      <c r="CR2732" s="0" t="s">
        <v>130</v>
      </c>
      <c r="CS2732" s="0" t="s">
        <v>130</v>
      </c>
      <c r="CT2732" s="0" t="s">
        <v>7379</v>
      </c>
    </row>
    <row r="2733">
      <c r="A2733" s="14">
        <v>115682</v>
      </c>
      <c r="B2733" s="0" t="s">
        <v>2620</v>
      </c>
      <c r="C2733" s="16">
        <f>HYPERLINK("https://eosportal.federatedhermes.com/companies/Q29tcGFueQppNTMxNDc=", "Bayerische Motoren Werke AG (BMW)")</f>
      </c>
      <c r="D2733" s="0" t="s">
        <v>23</v>
      </c>
      <c r="E2733" s="0" t="s">
        <v>7380</v>
      </c>
      <c r="F2733" s="16">
        <f>HYPERLINK("https://eosportal.federatedhermes.com/engagements/RW5nYWdlbWVudAppMzc2ODY=", "Spring initiative on natural resource stewardship")</f>
      </c>
      <c r="G2733" s="14" t="s">
        <v>7381</v>
      </c>
      <c r="H2733" s="0" t="s">
        <v>141</v>
      </c>
      <c r="I2733" s="14" t="s">
        <v>1645</v>
      </c>
      <c r="J2733" s="0" t="s">
        <v>197</v>
      </c>
      <c r="K2733" s="0" t="s">
        <v>337</v>
      </c>
      <c r="L2733" s="0" t="s">
        <v>576</v>
      </c>
      <c r="M2733" s="0" t="s">
        <v>378</v>
      </c>
      <c r="N2733" s="0" t="s">
        <v>2485</v>
      </c>
      <c r="O2733" s="0" t="s">
        <v>425</v>
      </c>
      <c r="Q2733" s="0" t="s">
        <v>141</v>
      </c>
      <c r="R2733" s="0" t="s">
        <v>130</v>
      </c>
      <c r="S2733" s="14">
        <v>1</v>
      </c>
      <c r="T2733" s="0" t="s">
        <v>2428</v>
      </c>
      <c r="U2733" s="0" t="s">
        <v>221</v>
      </c>
      <c r="V2733" s="14" t="s">
        <v>2428</v>
      </c>
      <c r="W2733" s="0" t="s">
        <v>221</v>
      </c>
      <c r="X2733" s="14" t="s">
        <v>2428</v>
      </c>
      <c r="Y2733" s="0" t="s">
        <v>223</v>
      </c>
      <c r="Z2733" s="14" t="s">
        <v>138</v>
      </c>
      <c r="AA2733" s="0" t="s">
        <v>224</v>
      </c>
      <c r="AB2733" s="14" t="s">
        <v>138</v>
      </c>
      <c r="AD2733" s="0" t="s">
        <v>17</v>
      </c>
      <c r="AF2733" s="0">
        <v>0</v>
      </c>
      <c r="AG2733" s="0">
        <v>0</v>
      </c>
      <c r="AH2733" s="0" t="s">
        <v>140</v>
      </c>
      <c r="AI2733" s="0" t="s">
        <v>598</v>
      </c>
      <c r="AK2733" s="0" t="s">
        <v>344</v>
      </c>
      <c r="AL2733" s="14"/>
      <c r="AN2733" s="14"/>
      <c r="AQ2733" s="0" t="s">
        <v>130</v>
      </c>
      <c r="AR2733" s="0" t="s">
        <v>130</v>
      </c>
      <c r="AS2733" s="0" t="s">
        <v>130</v>
      </c>
      <c r="AT2733" s="0" t="s">
        <v>130</v>
      </c>
      <c r="AU2733" s="0" t="s">
        <v>130</v>
      </c>
      <c r="AV2733" s="0" t="s">
        <v>130</v>
      </c>
      <c r="AW2733" s="0" t="s">
        <v>130</v>
      </c>
      <c r="AX2733" s="0" t="s">
        <v>130</v>
      </c>
      <c r="AY2733" s="0" t="s">
        <v>130</v>
      </c>
      <c r="AZ2733" s="0" t="s">
        <v>130</v>
      </c>
      <c r="BA2733" s="0" t="s">
        <v>130</v>
      </c>
      <c r="BB2733" s="0" t="s">
        <v>141</v>
      </c>
      <c r="BC2733" s="0" t="s">
        <v>141</v>
      </c>
      <c r="BD2733" s="0" t="s">
        <v>130</v>
      </c>
      <c r="BE2733" s="0" t="s">
        <v>141</v>
      </c>
      <c r="BF2733" s="0" t="s">
        <v>130</v>
      </c>
      <c r="BG2733" s="0" t="s">
        <v>130</v>
      </c>
      <c r="BH2733" s="0" t="s">
        <v>130</v>
      </c>
      <c r="BI2733" s="0" t="s">
        <v>130</v>
      </c>
      <c r="BJ2733" s="0" t="s">
        <v>130</v>
      </c>
      <c r="BK2733" s="0" t="s">
        <v>130</v>
      </c>
      <c r="BL2733" s="0" t="s">
        <v>130</v>
      </c>
      <c r="BM2733" s="0" t="s">
        <v>130</v>
      </c>
      <c r="BN2733" s="0" t="s">
        <v>130</v>
      </c>
      <c r="BO2733" s="0" t="s">
        <v>130</v>
      </c>
      <c r="BP2733" s="0" t="s">
        <v>130</v>
      </c>
      <c r="BQ2733" s="0" t="s">
        <v>130</v>
      </c>
      <c r="BR2733" s="0" t="s">
        <v>130</v>
      </c>
      <c r="BS2733" s="0" t="s">
        <v>130</v>
      </c>
      <c r="BT2733" s="0" t="s">
        <v>130</v>
      </c>
      <c r="BU2733" s="0" t="s">
        <v>130</v>
      </c>
      <c r="BV2733" s="0" t="s">
        <v>130</v>
      </c>
      <c r="BW2733" s="0" t="s">
        <v>130</v>
      </c>
      <c r="BX2733" s="0" t="s">
        <v>130</v>
      </c>
      <c r="BY2733" s="0" t="s">
        <v>130</v>
      </c>
      <c r="BZ2733" s="0" t="s">
        <v>130</v>
      </c>
      <c r="CA2733" s="0" t="s">
        <v>130</v>
      </c>
      <c r="CB2733" s="0" t="s">
        <v>130</v>
      </c>
      <c r="CC2733" s="0" t="s">
        <v>130</v>
      </c>
      <c r="CD2733" s="0" t="s">
        <v>130</v>
      </c>
      <c r="CE2733" s="0" t="s">
        <v>130</v>
      </c>
      <c r="CF2733" s="0" t="s">
        <v>130</v>
      </c>
      <c r="CG2733" s="0" t="s">
        <v>130</v>
      </c>
      <c r="CH2733" s="0" t="s">
        <v>130</v>
      </c>
      <c r="CI2733" s="0" t="s">
        <v>130</v>
      </c>
      <c r="CJ2733" s="0" t="s">
        <v>130</v>
      </c>
      <c r="CK2733" s="0" t="s">
        <v>130</v>
      </c>
      <c r="CL2733" s="0" t="s">
        <v>130</v>
      </c>
      <c r="CM2733" s="0" t="s">
        <v>130</v>
      </c>
      <c r="CN2733" s="0" t="s">
        <v>130</v>
      </c>
      <c r="CO2733" s="0" t="s">
        <v>130</v>
      </c>
      <c r="CP2733" s="0" t="s">
        <v>130</v>
      </c>
      <c r="CQ2733" s="0" t="s">
        <v>130</v>
      </c>
      <c r="CR2733" s="0" t="s">
        <v>130</v>
      </c>
      <c r="CS2733" s="0" t="s">
        <v>130</v>
      </c>
      <c r="CT2733" s="0" t="s">
        <v>7382</v>
      </c>
    </row>
    <row r="2734">
      <c r="A2734" s="14">
        <v>28399721</v>
      </c>
      <c r="B2734" s="0" t="s">
        <v>4350</v>
      </c>
      <c r="C2734" s="16">
        <f>HYPERLINK("https://eosportal.federatedhermes.com/companies/Q29tcGFueQppNTg5ODY=", "Phillips 66")</f>
      </c>
      <c r="D2734" s="0" t="s">
        <v>23</v>
      </c>
      <c r="E2734" s="0" t="s">
        <v>7383</v>
      </c>
      <c r="F2734" s="16">
        <f>HYPERLINK("https://eosportal.federatedhermes.com/engagements/RW5nYWdlbWVudAppMzc3MTE=", "Amend Bylaws")</f>
      </c>
      <c r="G2734" s="14" t="s">
        <v>7384</v>
      </c>
      <c r="H2734" s="0" t="s">
        <v>141</v>
      </c>
      <c r="I2734" s="14" t="s">
        <v>191</v>
      </c>
      <c r="J2734" s="0" t="s">
        <v>145</v>
      </c>
      <c r="K2734" s="0" t="s">
        <v>400</v>
      </c>
      <c r="L2734" s="0" t="s">
        <v>401</v>
      </c>
      <c r="M2734" s="0" t="s">
        <v>135</v>
      </c>
      <c r="N2734" s="0" t="s">
        <v>136</v>
      </c>
      <c r="O2734" s="0" t="s">
        <v>542</v>
      </c>
      <c r="Q2734" s="0" t="s">
        <v>130</v>
      </c>
      <c r="R2734" s="0" t="s">
        <v>130</v>
      </c>
      <c r="S2734" s="14">
        <v>0</v>
      </c>
      <c r="T2734" s="0" t="s">
        <v>2428</v>
      </c>
      <c r="U2734" s="0" t="s">
        <v>221</v>
      </c>
      <c r="V2734" s="14" t="s">
        <v>2428</v>
      </c>
      <c r="W2734" s="0" t="s">
        <v>221</v>
      </c>
      <c r="X2734" s="14" t="s">
        <v>2428</v>
      </c>
      <c r="Y2734" s="0" t="s">
        <v>221</v>
      </c>
      <c r="Z2734" s="14" t="s">
        <v>4412</v>
      </c>
      <c r="AA2734" s="0" t="s">
        <v>223</v>
      </c>
      <c r="AB2734" s="14" t="s">
        <v>138</v>
      </c>
      <c r="AD2734" s="0" t="s">
        <v>20</v>
      </c>
      <c r="AF2734" s="0">
        <v>0</v>
      </c>
      <c r="AG2734" s="0">
        <v>0</v>
      </c>
      <c r="AH2734" s="0" t="s">
        <v>140</v>
      </c>
      <c r="AI2734" s="0" t="s">
        <v>598</v>
      </c>
      <c r="AL2734" s="14"/>
      <c r="AN2734" s="14"/>
      <c r="AQ2734" s="0" t="s">
        <v>130</v>
      </c>
      <c r="AR2734" s="0" t="s">
        <v>130</v>
      </c>
      <c r="AS2734" s="0" t="s">
        <v>130</v>
      </c>
      <c r="AT2734" s="0" t="s">
        <v>130</v>
      </c>
      <c r="AU2734" s="0" t="s">
        <v>130</v>
      </c>
      <c r="AV2734" s="0" t="s">
        <v>130</v>
      </c>
      <c r="AW2734" s="0" t="s">
        <v>130</v>
      </c>
      <c r="AX2734" s="0" t="s">
        <v>130</v>
      </c>
      <c r="AY2734" s="0" t="s">
        <v>130</v>
      </c>
      <c r="AZ2734" s="0" t="s">
        <v>130</v>
      </c>
      <c r="BA2734" s="0" t="s">
        <v>130</v>
      </c>
      <c r="BB2734" s="0" t="s">
        <v>130</v>
      </c>
      <c r="BC2734" s="0" t="s">
        <v>130</v>
      </c>
      <c r="BD2734" s="0" t="s">
        <v>130</v>
      </c>
      <c r="BE2734" s="0" t="s">
        <v>130</v>
      </c>
      <c r="BF2734" s="0" t="s">
        <v>130</v>
      </c>
      <c r="BG2734" s="0" t="s">
        <v>130</v>
      </c>
      <c r="BH2734" s="0" t="s">
        <v>130</v>
      </c>
      <c r="BI2734" s="0" t="s">
        <v>130</v>
      </c>
      <c r="BJ2734" s="0" t="s">
        <v>130</v>
      </c>
      <c r="BK2734" s="0" t="s">
        <v>130</v>
      </c>
      <c r="BL2734" s="0" t="s">
        <v>130</v>
      </c>
      <c r="BM2734" s="0" t="s">
        <v>130</v>
      </c>
      <c r="BN2734" s="0" t="s">
        <v>130</v>
      </c>
      <c r="BO2734" s="0" t="s">
        <v>130</v>
      </c>
      <c r="BP2734" s="0" t="s">
        <v>130</v>
      </c>
      <c r="BQ2734" s="0" t="s">
        <v>130</v>
      </c>
      <c r="BR2734" s="0" t="s">
        <v>130</v>
      </c>
      <c r="BS2734" s="0" t="s">
        <v>130</v>
      </c>
      <c r="BT2734" s="0" t="s">
        <v>130</v>
      </c>
      <c r="BU2734" s="0" t="s">
        <v>130</v>
      </c>
      <c r="BV2734" s="0" t="s">
        <v>130</v>
      </c>
      <c r="BW2734" s="0" t="s">
        <v>130</v>
      </c>
      <c r="BX2734" s="0" t="s">
        <v>130</v>
      </c>
      <c r="BY2734" s="0" t="s">
        <v>130</v>
      </c>
      <c r="BZ2734" s="0" t="s">
        <v>130</v>
      </c>
      <c r="CA2734" s="0" t="s">
        <v>130</v>
      </c>
      <c r="CB2734" s="0" t="s">
        <v>130</v>
      </c>
      <c r="CC2734" s="0" t="s">
        <v>130</v>
      </c>
      <c r="CD2734" s="0" t="s">
        <v>130</v>
      </c>
      <c r="CE2734" s="0" t="s">
        <v>130</v>
      </c>
      <c r="CF2734" s="0" t="s">
        <v>130</v>
      </c>
      <c r="CG2734" s="0" t="s">
        <v>130</v>
      </c>
      <c r="CH2734" s="0" t="s">
        <v>130</v>
      </c>
      <c r="CI2734" s="0" t="s">
        <v>130</v>
      </c>
      <c r="CJ2734" s="0" t="s">
        <v>130</v>
      </c>
      <c r="CK2734" s="0" t="s">
        <v>130</v>
      </c>
      <c r="CL2734" s="0" t="s">
        <v>130</v>
      </c>
      <c r="CM2734" s="0" t="s">
        <v>130</v>
      </c>
      <c r="CN2734" s="0" t="s">
        <v>130</v>
      </c>
      <c r="CO2734" s="0" t="s">
        <v>130</v>
      </c>
      <c r="CP2734" s="0" t="s">
        <v>130</v>
      </c>
      <c r="CQ2734" s="0" t="s">
        <v>130</v>
      </c>
      <c r="CR2734" s="0" t="s">
        <v>130</v>
      </c>
      <c r="CS2734" s="0" t="s">
        <v>130</v>
      </c>
      <c r="CT2734" s="0" t="s">
        <v>7385</v>
      </c>
    </row>
    <row r="2735">
      <c r="A2735" s="14">
        <v>115679</v>
      </c>
      <c r="B2735" s="0" t="s">
        <v>2603</v>
      </c>
      <c r="C2735" s="16">
        <f>HYPERLINK("https://eosportal.federatedhermes.com/companies/Q29tcGFueQppNTg5NzU=", "Bayer AG")</f>
      </c>
      <c r="D2735" s="0" t="s">
        <v>23</v>
      </c>
      <c r="E2735" s="0" t="s">
        <v>7386</v>
      </c>
      <c r="F2735" s="16">
        <f>HYPERLINK("https://eosportal.federatedhermes.com/engagements/RW5nYWdlbWVudAppMzc3MjE=", "Board oversight of company culture following change in operating model")</f>
      </c>
      <c r="G2735" s="14" t="s">
        <v>7387</v>
      </c>
      <c r="H2735" s="0" t="s">
        <v>141</v>
      </c>
      <c r="I2735" s="14" t="s">
        <v>1645</v>
      </c>
      <c r="J2735" s="0" t="s">
        <v>145</v>
      </c>
      <c r="K2735" s="0" t="s">
        <v>164</v>
      </c>
      <c r="L2735" s="0" t="s">
        <v>970</v>
      </c>
      <c r="M2735" s="0" t="s">
        <v>378</v>
      </c>
      <c r="N2735" s="0" t="s">
        <v>2485</v>
      </c>
      <c r="O2735" s="0" t="s">
        <v>274</v>
      </c>
      <c r="Q2735" s="0" t="s">
        <v>130</v>
      </c>
      <c r="R2735" s="0" t="s">
        <v>130</v>
      </c>
      <c r="S2735" s="14">
        <v>0</v>
      </c>
      <c r="T2735" s="0" t="s">
        <v>2428</v>
      </c>
      <c r="U2735" s="0" t="s">
        <v>221</v>
      </c>
      <c r="V2735" s="14" t="s">
        <v>2428</v>
      </c>
      <c r="W2735" s="0" t="s">
        <v>223</v>
      </c>
      <c r="X2735" s="14" t="s">
        <v>138</v>
      </c>
      <c r="Y2735" s="0" t="s">
        <v>224</v>
      </c>
      <c r="Z2735" s="14" t="s">
        <v>138</v>
      </c>
      <c r="AA2735" s="0" t="s">
        <v>224</v>
      </c>
      <c r="AB2735" s="14" t="s">
        <v>138</v>
      </c>
      <c r="AD2735" s="0" t="s">
        <v>14</v>
      </c>
      <c r="AF2735" s="0">
        <v>0</v>
      </c>
      <c r="AG2735" s="0">
        <v>0</v>
      </c>
      <c r="AH2735" s="0" t="s">
        <v>140</v>
      </c>
      <c r="AI2735" s="0" t="s">
        <v>479</v>
      </c>
      <c r="AL2735" s="14"/>
      <c r="AN2735" s="14"/>
      <c r="AQ2735" s="0" t="s">
        <v>130</v>
      </c>
      <c r="AR2735" s="0" t="s">
        <v>130</v>
      </c>
      <c r="AS2735" s="0" t="s">
        <v>130</v>
      </c>
      <c r="AT2735" s="0" t="s">
        <v>130</v>
      </c>
      <c r="AU2735" s="0" t="s">
        <v>130</v>
      </c>
      <c r="AV2735" s="0" t="s">
        <v>130</v>
      </c>
      <c r="AW2735" s="0" t="s">
        <v>130</v>
      </c>
      <c r="AX2735" s="0" t="s">
        <v>130</v>
      </c>
      <c r="AY2735" s="0" t="s">
        <v>130</v>
      </c>
      <c r="AZ2735" s="0" t="s">
        <v>130</v>
      </c>
      <c r="BA2735" s="0" t="s">
        <v>130</v>
      </c>
      <c r="BB2735" s="0" t="s">
        <v>130</v>
      </c>
      <c r="BC2735" s="0" t="s">
        <v>130</v>
      </c>
      <c r="BD2735" s="0" t="s">
        <v>130</v>
      </c>
      <c r="BE2735" s="0" t="s">
        <v>130</v>
      </c>
      <c r="BF2735" s="0" t="s">
        <v>130</v>
      </c>
      <c r="BG2735" s="0" t="s">
        <v>130</v>
      </c>
      <c r="BH2735" s="0" t="s">
        <v>130</v>
      </c>
      <c r="BI2735" s="0" t="s">
        <v>130</v>
      </c>
      <c r="BJ2735" s="0" t="s">
        <v>130</v>
      </c>
      <c r="BK2735" s="0" t="s">
        <v>130</v>
      </c>
      <c r="BL2735" s="0" t="s">
        <v>130</v>
      </c>
      <c r="BM2735" s="0" t="s">
        <v>130</v>
      </c>
      <c r="BN2735" s="0" t="s">
        <v>130</v>
      </c>
      <c r="BO2735" s="0" t="s">
        <v>130</v>
      </c>
      <c r="BP2735" s="0" t="s">
        <v>130</v>
      </c>
      <c r="BQ2735" s="0" t="s">
        <v>130</v>
      </c>
      <c r="BR2735" s="0" t="s">
        <v>130</v>
      </c>
      <c r="BS2735" s="0" t="s">
        <v>130</v>
      </c>
      <c r="BT2735" s="0" t="s">
        <v>130</v>
      </c>
      <c r="BU2735" s="0" t="s">
        <v>130</v>
      </c>
      <c r="BV2735" s="0" t="s">
        <v>130</v>
      </c>
      <c r="BW2735" s="0" t="s">
        <v>130</v>
      </c>
      <c r="BX2735" s="0" t="s">
        <v>130</v>
      </c>
      <c r="BY2735" s="0" t="s">
        <v>130</v>
      </c>
      <c r="BZ2735" s="0" t="s">
        <v>130</v>
      </c>
      <c r="CA2735" s="0" t="s">
        <v>130</v>
      </c>
      <c r="CB2735" s="0" t="s">
        <v>130</v>
      </c>
      <c r="CC2735" s="0" t="s">
        <v>130</v>
      </c>
      <c r="CD2735" s="0" t="s">
        <v>130</v>
      </c>
      <c r="CE2735" s="0" t="s">
        <v>130</v>
      </c>
      <c r="CF2735" s="0" t="s">
        <v>130</v>
      </c>
      <c r="CG2735" s="0" t="s">
        <v>130</v>
      </c>
      <c r="CH2735" s="0" t="s">
        <v>130</v>
      </c>
      <c r="CI2735" s="0" t="s">
        <v>130</v>
      </c>
      <c r="CJ2735" s="0" t="s">
        <v>130</v>
      </c>
      <c r="CK2735" s="0" t="s">
        <v>130</v>
      </c>
      <c r="CL2735" s="0" t="s">
        <v>130</v>
      </c>
      <c r="CM2735" s="0" t="s">
        <v>130</v>
      </c>
      <c r="CN2735" s="0" t="s">
        <v>130</v>
      </c>
      <c r="CO2735" s="0" t="s">
        <v>130</v>
      </c>
      <c r="CP2735" s="0" t="s">
        <v>130</v>
      </c>
      <c r="CQ2735" s="0" t="s">
        <v>130</v>
      </c>
      <c r="CR2735" s="0" t="s">
        <v>130</v>
      </c>
      <c r="CS2735" s="0" t="s">
        <v>130</v>
      </c>
      <c r="CT2735" s="0" t="s">
        <v>7388</v>
      </c>
    </row>
    <row r="2736">
      <c r="A2736" s="14">
        <v>7281855</v>
      </c>
      <c r="B2736" s="0" t="s">
        <v>3813</v>
      </c>
      <c r="C2736" s="16">
        <f>HYPERLINK("https://eosportal.federatedhermes.com/companies/Q29tcGFueQppODU4ODE=", "LG Chem Ltd")</f>
      </c>
      <c r="D2736" s="0" t="s">
        <v>23</v>
      </c>
      <c r="E2736" s="0" t="s">
        <v>7389</v>
      </c>
      <c r="F2736" s="16">
        <f>HYPERLINK("https://eosportal.federatedhermes.com/engagements/RW5nYWdlbWVudAppMzc3OTI=", "Finance Expertise in the Audit Committee")</f>
      </c>
      <c r="G2736" s="14" t="s">
        <v>7390</v>
      </c>
      <c r="H2736" s="0" t="s">
        <v>141</v>
      </c>
      <c r="I2736" s="14" t="s">
        <v>191</v>
      </c>
      <c r="J2736" s="0" t="s">
        <v>145</v>
      </c>
      <c r="K2736" s="0" t="s">
        <v>164</v>
      </c>
      <c r="L2736" s="0" t="s">
        <v>165</v>
      </c>
      <c r="M2736" s="0" t="s">
        <v>802</v>
      </c>
      <c r="N2736" s="0" t="s">
        <v>2800</v>
      </c>
      <c r="O2736" s="0" t="s">
        <v>706</v>
      </c>
      <c r="Q2736" s="0" t="s">
        <v>130</v>
      </c>
      <c r="R2736" s="0" t="s">
        <v>130</v>
      </c>
      <c r="S2736" s="14">
        <v>0</v>
      </c>
      <c r="T2736" s="0" t="s">
        <v>2428</v>
      </c>
      <c r="U2736" s="0" t="s">
        <v>221</v>
      </c>
      <c r="V2736" s="14" t="s">
        <v>2428</v>
      </c>
      <c r="W2736" s="0" t="s">
        <v>223</v>
      </c>
      <c r="X2736" s="14" t="s">
        <v>138</v>
      </c>
      <c r="Y2736" s="0" t="s">
        <v>224</v>
      </c>
      <c r="Z2736" s="14" t="s">
        <v>138</v>
      </c>
      <c r="AA2736" s="0" t="s">
        <v>224</v>
      </c>
      <c r="AB2736" s="14" t="s">
        <v>138</v>
      </c>
      <c r="AD2736" s="0" t="s">
        <v>14</v>
      </c>
      <c r="AF2736" s="0">
        <v>0</v>
      </c>
      <c r="AG2736" s="0">
        <v>0</v>
      </c>
      <c r="AH2736" s="0" t="s">
        <v>140</v>
      </c>
      <c r="AI2736" s="0" t="s">
        <v>479</v>
      </c>
      <c r="AL2736" s="14"/>
      <c r="AN2736" s="14"/>
      <c r="AQ2736" s="0" t="s">
        <v>130</v>
      </c>
      <c r="AR2736" s="0" t="s">
        <v>130</v>
      </c>
      <c r="AS2736" s="0" t="s">
        <v>130</v>
      </c>
      <c r="AT2736" s="0" t="s">
        <v>130</v>
      </c>
      <c r="AU2736" s="0" t="s">
        <v>130</v>
      </c>
      <c r="AV2736" s="0" t="s">
        <v>130</v>
      </c>
      <c r="AW2736" s="0" t="s">
        <v>130</v>
      </c>
      <c r="AX2736" s="0" t="s">
        <v>130</v>
      </c>
      <c r="AY2736" s="0" t="s">
        <v>130</v>
      </c>
      <c r="AZ2736" s="0" t="s">
        <v>130</v>
      </c>
      <c r="BA2736" s="0" t="s">
        <v>130</v>
      </c>
      <c r="BB2736" s="0" t="s">
        <v>130</v>
      </c>
      <c r="BC2736" s="0" t="s">
        <v>130</v>
      </c>
      <c r="BD2736" s="0" t="s">
        <v>130</v>
      </c>
      <c r="BE2736" s="0" t="s">
        <v>130</v>
      </c>
      <c r="BF2736" s="0" t="s">
        <v>130</v>
      </c>
      <c r="BG2736" s="0" t="s">
        <v>130</v>
      </c>
      <c r="BH2736" s="0" t="s">
        <v>130</v>
      </c>
      <c r="BI2736" s="0" t="s">
        <v>130</v>
      </c>
      <c r="BJ2736" s="0" t="s">
        <v>130</v>
      </c>
      <c r="BK2736" s="0" t="s">
        <v>130</v>
      </c>
      <c r="BL2736" s="0" t="s">
        <v>130</v>
      </c>
      <c r="BM2736" s="0" t="s">
        <v>130</v>
      </c>
      <c r="BN2736" s="0" t="s">
        <v>130</v>
      </c>
      <c r="BO2736" s="0" t="s">
        <v>130</v>
      </c>
      <c r="BP2736" s="0" t="s">
        <v>130</v>
      </c>
      <c r="BQ2736" s="0" t="s">
        <v>130</v>
      </c>
      <c r="BR2736" s="0" t="s">
        <v>130</v>
      </c>
      <c r="BS2736" s="0" t="s">
        <v>130</v>
      </c>
      <c r="BT2736" s="0" t="s">
        <v>130</v>
      </c>
      <c r="BU2736" s="0" t="s">
        <v>130</v>
      </c>
      <c r="BV2736" s="0" t="s">
        <v>130</v>
      </c>
      <c r="BW2736" s="0" t="s">
        <v>130</v>
      </c>
      <c r="BX2736" s="0" t="s">
        <v>130</v>
      </c>
      <c r="BY2736" s="0" t="s">
        <v>130</v>
      </c>
      <c r="BZ2736" s="0" t="s">
        <v>130</v>
      </c>
      <c r="CA2736" s="0" t="s">
        <v>130</v>
      </c>
      <c r="CB2736" s="0" t="s">
        <v>130</v>
      </c>
      <c r="CC2736" s="0" t="s">
        <v>130</v>
      </c>
      <c r="CD2736" s="0" t="s">
        <v>130</v>
      </c>
      <c r="CE2736" s="0" t="s">
        <v>130</v>
      </c>
      <c r="CF2736" s="0" t="s">
        <v>130</v>
      </c>
      <c r="CG2736" s="0" t="s">
        <v>130</v>
      </c>
      <c r="CH2736" s="0" t="s">
        <v>130</v>
      </c>
      <c r="CI2736" s="0" t="s">
        <v>130</v>
      </c>
      <c r="CJ2736" s="0" t="s">
        <v>130</v>
      </c>
      <c r="CK2736" s="0" t="s">
        <v>130</v>
      </c>
      <c r="CL2736" s="0" t="s">
        <v>130</v>
      </c>
      <c r="CM2736" s="0" t="s">
        <v>130</v>
      </c>
      <c r="CN2736" s="0" t="s">
        <v>130</v>
      </c>
      <c r="CO2736" s="0" t="s">
        <v>130</v>
      </c>
      <c r="CP2736" s="0" t="s">
        <v>130</v>
      </c>
      <c r="CQ2736" s="0" t="s">
        <v>130</v>
      </c>
      <c r="CR2736" s="0" t="s">
        <v>130</v>
      </c>
      <c r="CS2736" s="0" t="s">
        <v>130</v>
      </c>
      <c r="CT2736" s="0" t="s">
        <v>7391</v>
      </c>
    </row>
    <row r="2737">
      <c r="A2737" s="14">
        <v>7281855</v>
      </c>
      <c r="B2737" s="0" t="s">
        <v>3813</v>
      </c>
      <c r="C2737" s="16">
        <f>HYPERLINK("https://eosportal.federatedhermes.com/companies/Q29tcGFueQppODU4ODE=", "LG Chem Ltd")</f>
      </c>
      <c r="D2737" s="0" t="s">
        <v>23</v>
      </c>
      <c r="E2737" s="0" t="s">
        <v>7392</v>
      </c>
      <c r="F2737" s="16">
        <f>HYPERLINK("https://eosportal.federatedhermes.com/engagements/RW5nYWdlbWVudAppMzc3OTM=", "Senior Management Experience on the Board of Directors")</f>
      </c>
      <c r="G2737" s="14" t="s">
        <v>7393</v>
      </c>
      <c r="H2737" s="0" t="s">
        <v>141</v>
      </c>
      <c r="I2737" s="14" t="s">
        <v>191</v>
      </c>
      <c r="J2737" s="0" t="s">
        <v>145</v>
      </c>
      <c r="K2737" s="0" t="s">
        <v>164</v>
      </c>
      <c r="L2737" s="0" t="s">
        <v>165</v>
      </c>
      <c r="M2737" s="0" t="s">
        <v>802</v>
      </c>
      <c r="N2737" s="0" t="s">
        <v>2800</v>
      </c>
      <c r="O2737" s="0" t="s">
        <v>706</v>
      </c>
      <c r="Q2737" s="0" t="s">
        <v>130</v>
      </c>
      <c r="R2737" s="0" t="s">
        <v>130</v>
      </c>
      <c r="S2737" s="14">
        <v>0</v>
      </c>
      <c r="T2737" s="0" t="s">
        <v>2428</v>
      </c>
      <c r="U2737" s="0" t="s">
        <v>221</v>
      </c>
      <c r="V2737" s="14" t="s">
        <v>2428</v>
      </c>
      <c r="W2737" s="0" t="s">
        <v>223</v>
      </c>
      <c r="X2737" s="14" t="s">
        <v>138</v>
      </c>
      <c r="Y2737" s="0" t="s">
        <v>224</v>
      </c>
      <c r="Z2737" s="14" t="s">
        <v>138</v>
      </c>
      <c r="AA2737" s="0" t="s">
        <v>224</v>
      </c>
      <c r="AB2737" s="14" t="s">
        <v>138</v>
      </c>
      <c r="AD2737" s="0" t="s">
        <v>14</v>
      </c>
      <c r="AF2737" s="0">
        <v>0</v>
      </c>
      <c r="AG2737" s="0">
        <v>0</v>
      </c>
      <c r="AH2737" s="0" t="s">
        <v>140</v>
      </c>
      <c r="AI2737" s="0" t="s">
        <v>479</v>
      </c>
      <c r="AL2737" s="14"/>
      <c r="AN2737" s="14"/>
      <c r="AQ2737" s="0" t="s">
        <v>130</v>
      </c>
      <c r="AR2737" s="0" t="s">
        <v>130</v>
      </c>
      <c r="AS2737" s="0" t="s">
        <v>130</v>
      </c>
      <c r="AT2737" s="0" t="s">
        <v>130</v>
      </c>
      <c r="AU2737" s="0" t="s">
        <v>130</v>
      </c>
      <c r="AV2737" s="0" t="s">
        <v>130</v>
      </c>
      <c r="AW2737" s="0" t="s">
        <v>130</v>
      </c>
      <c r="AX2737" s="0" t="s">
        <v>130</v>
      </c>
      <c r="AY2737" s="0" t="s">
        <v>130</v>
      </c>
      <c r="AZ2737" s="0" t="s">
        <v>130</v>
      </c>
      <c r="BA2737" s="0" t="s">
        <v>130</v>
      </c>
      <c r="BB2737" s="0" t="s">
        <v>130</v>
      </c>
      <c r="BC2737" s="0" t="s">
        <v>130</v>
      </c>
      <c r="BD2737" s="0" t="s">
        <v>130</v>
      </c>
      <c r="BE2737" s="0" t="s">
        <v>130</v>
      </c>
      <c r="BF2737" s="0" t="s">
        <v>130</v>
      </c>
      <c r="BG2737" s="0" t="s">
        <v>130</v>
      </c>
      <c r="BH2737" s="0" t="s">
        <v>130</v>
      </c>
      <c r="BI2737" s="0" t="s">
        <v>130</v>
      </c>
      <c r="BJ2737" s="0" t="s">
        <v>130</v>
      </c>
      <c r="BK2737" s="0" t="s">
        <v>130</v>
      </c>
      <c r="BL2737" s="0" t="s">
        <v>130</v>
      </c>
      <c r="BM2737" s="0" t="s">
        <v>130</v>
      </c>
      <c r="BN2737" s="0" t="s">
        <v>130</v>
      </c>
      <c r="BO2737" s="0" t="s">
        <v>130</v>
      </c>
      <c r="BP2737" s="0" t="s">
        <v>130</v>
      </c>
      <c r="BQ2737" s="0" t="s">
        <v>130</v>
      </c>
      <c r="BR2737" s="0" t="s">
        <v>130</v>
      </c>
      <c r="BS2737" s="0" t="s">
        <v>130</v>
      </c>
      <c r="BT2737" s="0" t="s">
        <v>130</v>
      </c>
      <c r="BU2737" s="0" t="s">
        <v>130</v>
      </c>
      <c r="BV2737" s="0" t="s">
        <v>130</v>
      </c>
      <c r="BW2737" s="0" t="s">
        <v>130</v>
      </c>
      <c r="BX2737" s="0" t="s">
        <v>130</v>
      </c>
      <c r="BY2737" s="0" t="s">
        <v>130</v>
      </c>
      <c r="BZ2737" s="0" t="s">
        <v>130</v>
      </c>
      <c r="CA2737" s="0" t="s">
        <v>130</v>
      </c>
      <c r="CB2737" s="0" t="s">
        <v>130</v>
      </c>
      <c r="CC2737" s="0" t="s">
        <v>130</v>
      </c>
      <c r="CD2737" s="0" t="s">
        <v>130</v>
      </c>
      <c r="CE2737" s="0" t="s">
        <v>130</v>
      </c>
      <c r="CF2737" s="0" t="s">
        <v>130</v>
      </c>
      <c r="CG2737" s="0" t="s">
        <v>130</v>
      </c>
      <c r="CH2737" s="0" t="s">
        <v>130</v>
      </c>
      <c r="CI2737" s="0" t="s">
        <v>130</v>
      </c>
      <c r="CJ2737" s="0" t="s">
        <v>130</v>
      </c>
      <c r="CK2737" s="0" t="s">
        <v>130</v>
      </c>
      <c r="CL2737" s="0" t="s">
        <v>130</v>
      </c>
      <c r="CM2737" s="0" t="s">
        <v>130</v>
      </c>
      <c r="CN2737" s="0" t="s">
        <v>130</v>
      </c>
      <c r="CO2737" s="0" t="s">
        <v>130</v>
      </c>
      <c r="CP2737" s="0" t="s">
        <v>130</v>
      </c>
      <c r="CQ2737" s="0" t="s">
        <v>130</v>
      </c>
      <c r="CR2737" s="0" t="s">
        <v>130</v>
      </c>
      <c r="CS2737" s="0" t="s">
        <v>130</v>
      </c>
      <c r="CT2737" s="0" t="s">
        <v>7394</v>
      </c>
    </row>
    <row r="2738">
      <c r="A2738" s="14">
        <v>117341</v>
      </c>
      <c r="B2738" s="0" t="s">
        <v>2804</v>
      </c>
      <c r="C2738" s="16">
        <f>HYPERLINK("https://eosportal.federatedhermes.com/companies/Q29tcGFueQppNjI0ODY=", "Cemex SAB de CV")</f>
      </c>
      <c r="D2738" s="0" t="s">
        <v>25</v>
      </c>
      <c r="E2738" s="0" t="s">
        <v>3049</v>
      </c>
      <c r="F2738" s="16">
        <f>HYPERLINK("https://eosportal.federatedhermes.com/engagements/RW5nYWdlbWVudAppMzc4MjM=", "Board Succession")</f>
      </c>
      <c r="G2738" s="14" t="s">
        <v>7395</v>
      </c>
      <c r="H2738" s="0" t="s">
        <v>141</v>
      </c>
      <c r="I2738" s="14" t="s">
        <v>636</v>
      </c>
      <c r="J2738" s="0" t="s">
        <v>145</v>
      </c>
      <c r="K2738" s="0" t="s">
        <v>164</v>
      </c>
      <c r="L2738" s="0" t="s">
        <v>277</v>
      </c>
      <c r="M2738" s="0" t="s">
        <v>2807</v>
      </c>
      <c r="N2738" s="0" t="s">
        <v>2808</v>
      </c>
      <c r="O2738" s="0" t="s">
        <v>373</v>
      </c>
      <c r="Q2738" s="0" t="s">
        <v>130</v>
      </c>
      <c r="R2738" s="0" t="s">
        <v>138</v>
      </c>
      <c r="S2738" s="14">
        <v>0</v>
      </c>
      <c r="T2738" s="0" t="s">
        <v>2428</v>
      </c>
      <c r="U2738" s="0" t="s">
        <v>138</v>
      </c>
      <c r="V2738" s="14" t="s">
        <v>138</v>
      </c>
      <c r="W2738" s="0" t="s">
        <v>138</v>
      </c>
      <c r="X2738" s="14" t="s">
        <v>138</v>
      </c>
      <c r="Y2738" s="0" t="s">
        <v>138</v>
      </c>
      <c r="Z2738" s="14" t="s">
        <v>138</v>
      </c>
      <c r="AA2738" s="0" t="s">
        <v>138</v>
      </c>
      <c r="AB2738" s="14" t="s">
        <v>138</v>
      </c>
      <c r="AD2738" s="0" t="s">
        <v>138</v>
      </c>
      <c r="AF2738" s="0">
        <v>0</v>
      </c>
      <c r="AG2738" s="0">
        <v>0</v>
      </c>
      <c r="AH2738" s="0" t="s">
        <v>140</v>
      </c>
      <c r="AI2738" s="0" t="s">
        <v>138</v>
      </c>
      <c r="AL2738" s="14"/>
      <c r="AN2738" s="14"/>
      <c r="AQ2738" s="0" t="s">
        <v>130</v>
      </c>
      <c r="AR2738" s="0" t="s">
        <v>130</v>
      </c>
      <c r="AS2738" s="0" t="s">
        <v>130</v>
      </c>
      <c r="AT2738" s="0" t="s">
        <v>130</v>
      </c>
      <c r="AU2738" s="0" t="s">
        <v>130</v>
      </c>
      <c r="AV2738" s="0" t="s">
        <v>130</v>
      </c>
      <c r="AW2738" s="0" t="s">
        <v>130</v>
      </c>
      <c r="AX2738" s="0" t="s">
        <v>130</v>
      </c>
      <c r="AY2738" s="0" t="s">
        <v>130</v>
      </c>
      <c r="AZ2738" s="0" t="s">
        <v>130</v>
      </c>
      <c r="BA2738" s="0" t="s">
        <v>130</v>
      </c>
      <c r="BB2738" s="0" t="s">
        <v>130</v>
      </c>
      <c r="BC2738" s="0" t="s">
        <v>130</v>
      </c>
      <c r="BD2738" s="0" t="s">
        <v>130</v>
      </c>
      <c r="BE2738" s="0" t="s">
        <v>130</v>
      </c>
      <c r="BF2738" s="0" t="s">
        <v>130</v>
      </c>
      <c r="BG2738" s="0" t="s">
        <v>130</v>
      </c>
      <c r="BH2738" s="0" t="s">
        <v>130</v>
      </c>
      <c r="BI2738" s="0" t="s">
        <v>130</v>
      </c>
      <c r="BJ2738" s="0" t="s">
        <v>130</v>
      </c>
      <c r="BK2738" s="0" t="s">
        <v>130</v>
      </c>
      <c r="BL2738" s="0" t="s">
        <v>130</v>
      </c>
      <c r="BM2738" s="0" t="s">
        <v>130</v>
      </c>
      <c r="BN2738" s="0" t="s">
        <v>130</v>
      </c>
      <c r="BO2738" s="0" t="s">
        <v>130</v>
      </c>
      <c r="BP2738" s="0" t="s">
        <v>130</v>
      </c>
      <c r="BQ2738" s="0" t="s">
        <v>130</v>
      </c>
      <c r="BR2738" s="0" t="s">
        <v>130</v>
      </c>
      <c r="BS2738" s="0" t="s">
        <v>130</v>
      </c>
      <c r="BT2738" s="0" t="s">
        <v>130</v>
      </c>
      <c r="BU2738" s="0" t="s">
        <v>130</v>
      </c>
      <c r="BV2738" s="0" t="s">
        <v>130</v>
      </c>
      <c r="BW2738" s="0" t="s">
        <v>130</v>
      </c>
      <c r="BX2738" s="0" t="s">
        <v>130</v>
      </c>
      <c r="BY2738" s="0" t="s">
        <v>130</v>
      </c>
      <c r="BZ2738" s="0" t="s">
        <v>130</v>
      </c>
      <c r="CA2738" s="0" t="s">
        <v>130</v>
      </c>
      <c r="CB2738" s="0" t="s">
        <v>130</v>
      </c>
      <c r="CC2738" s="0" t="s">
        <v>130</v>
      </c>
      <c r="CD2738" s="0" t="s">
        <v>130</v>
      </c>
      <c r="CE2738" s="0" t="s">
        <v>130</v>
      </c>
      <c r="CF2738" s="0" t="s">
        <v>130</v>
      </c>
      <c r="CG2738" s="0" t="s">
        <v>130</v>
      </c>
      <c r="CH2738" s="0" t="s">
        <v>130</v>
      </c>
      <c r="CI2738" s="0" t="s">
        <v>130</v>
      </c>
      <c r="CJ2738" s="0" t="s">
        <v>130</v>
      </c>
      <c r="CK2738" s="0" t="s">
        <v>130</v>
      </c>
      <c r="CL2738" s="0" t="s">
        <v>130</v>
      </c>
      <c r="CM2738" s="0" t="s">
        <v>130</v>
      </c>
      <c r="CN2738" s="0" t="s">
        <v>130</v>
      </c>
      <c r="CO2738" s="0" t="s">
        <v>130</v>
      </c>
      <c r="CP2738" s="0" t="s">
        <v>130</v>
      </c>
      <c r="CQ2738" s="0" t="s">
        <v>130</v>
      </c>
      <c r="CR2738" s="0" t="s">
        <v>130</v>
      </c>
      <c r="CS2738" s="0" t="s">
        <v>130</v>
      </c>
      <c r="CT2738" s="0" t="s">
        <v>7396</v>
      </c>
    </row>
    <row r="2739">
      <c r="A2739" s="14">
        <v>101652</v>
      </c>
      <c r="B2739" s="0" t="s">
        <v>1784</v>
      </c>
      <c r="C2739" s="16">
        <f>HYPERLINK("https://eosportal.federatedhermes.com/companies/Q29tcGFueQppNTg5NjE=", "Weyerhaeuser Co")</f>
      </c>
      <c r="D2739" s="0" t="s">
        <v>23</v>
      </c>
      <c r="E2739" s="0" t="s">
        <v>7397</v>
      </c>
      <c r="F2739" s="16">
        <f>HYPERLINK("https://eosportal.federatedhermes.com/engagements/RW5nYWdlbWVudAppMzc4MzA=", "Health &amp; Safety")</f>
      </c>
      <c r="G2739" s="14" t="s">
        <v>7398</v>
      </c>
      <c r="H2739" s="0" t="s">
        <v>130</v>
      </c>
      <c r="I2739" s="14" t="s">
        <v>131</v>
      </c>
      <c r="J2739" s="0" t="s">
        <v>153</v>
      </c>
      <c r="K2739" s="0" t="s">
        <v>154</v>
      </c>
      <c r="L2739" s="0" t="s">
        <v>155</v>
      </c>
      <c r="M2739" s="0" t="s">
        <v>135</v>
      </c>
      <c r="N2739" s="0" t="s">
        <v>136</v>
      </c>
      <c r="O2739" s="0" t="s">
        <v>238</v>
      </c>
      <c r="Q2739" s="0" t="s">
        <v>141</v>
      </c>
      <c r="R2739" s="0" t="s">
        <v>141</v>
      </c>
      <c r="S2739" s="14">
        <v>1</v>
      </c>
      <c r="T2739" s="0" t="s">
        <v>2428</v>
      </c>
      <c r="U2739" s="0" t="s">
        <v>221</v>
      </c>
      <c r="V2739" s="14" t="s">
        <v>2428</v>
      </c>
      <c r="W2739" s="0" t="s">
        <v>221</v>
      </c>
      <c r="X2739" s="14" t="s">
        <v>2428</v>
      </c>
      <c r="Y2739" s="0" t="s">
        <v>221</v>
      </c>
      <c r="Z2739" s="14" t="s">
        <v>361</v>
      </c>
      <c r="AA2739" s="0" t="s">
        <v>223</v>
      </c>
      <c r="AB2739" s="14" t="s">
        <v>138</v>
      </c>
      <c r="AC2739" s="0" t="s">
        <v>17</v>
      </c>
      <c r="AD2739" s="0" t="s">
        <v>20</v>
      </c>
      <c r="AE2739" s="0" t="s">
        <v>2266</v>
      </c>
      <c r="AF2739" s="0">
        <v>1</v>
      </c>
      <c r="AG2739" s="0">
        <v>0</v>
      </c>
      <c r="AH2739" s="0" t="s">
        <v>140</v>
      </c>
      <c r="AI2739" s="0" t="s">
        <v>598</v>
      </c>
      <c r="AK2739" s="0" t="s">
        <v>2456</v>
      </c>
      <c r="AL2739" s="14"/>
      <c r="AN2739" s="14"/>
      <c r="AQ2739" s="0" t="s">
        <v>130</v>
      </c>
      <c r="AR2739" s="0" t="s">
        <v>130</v>
      </c>
      <c r="AS2739" s="0" t="s">
        <v>141</v>
      </c>
      <c r="AT2739" s="0" t="s">
        <v>130</v>
      </c>
      <c r="AU2739" s="0" t="s">
        <v>130</v>
      </c>
      <c r="AV2739" s="0" t="s">
        <v>130</v>
      </c>
      <c r="AW2739" s="0" t="s">
        <v>130</v>
      </c>
      <c r="AX2739" s="0" t="s">
        <v>141</v>
      </c>
      <c r="AY2739" s="0" t="s">
        <v>130</v>
      </c>
      <c r="AZ2739" s="0" t="s">
        <v>130</v>
      </c>
      <c r="BA2739" s="0" t="s">
        <v>130</v>
      </c>
      <c r="BB2739" s="0" t="s">
        <v>130</v>
      </c>
      <c r="BC2739" s="0" t="s">
        <v>130</v>
      </c>
      <c r="BD2739" s="0" t="s">
        <v>130</v>
      </c>
      <c r="BE2739" s="0" t="s">
        <v>130</v>
      </c>
      <c r="BF2739" s="0" t="s">
        <v>130</v>
      </c>
      <c r="BG2739" s="0" t="s">
        <v>130</v>
      </c>
      <c r="BH2739" s="0" t="s">
        <v>130</v>
      </c>
      <c r="BI2739" s="0" t="s">
        <v>130</v>
      </c>
      <c r="BJ2739" s="0" t="s">
        <v>130</v>
      </c>
      <c r="BK2739" s="0" t="s">
        <v>130</v>
      </c>
      <c r="BL2739" s="0" t="s">
        <v>130</v>
      </c>
      <c r="BM2739" s="0" t="s">
        <v>130</v>
      </c>
      <c r="BN2739" s="0" t="s">
        <v>130</v>
      </c>
      <c r="BO2739" s="0" t="s">
        <v>130</v>
      </c>
      <c r="BP2739" s="0" t="s">
        <v>130</v>
      </c>
      <c r="BQ2739" s="0" t="s">
        <v>130</v>
      </c>
      <c r="BR2739" s="0" t="s">
        <v>130</v>
      </c>
      <c r="BS2739" s="0" t="s">
        <v>130</v>
      </c>
      <c r="BT2739" s="0" t="s">
        <v>130</v>
      </c>
      <c r="BU2739" s="0" t="s">
        <v>130</v>
      </c>
      <c r="BV2739" s="0" t="s">
        <v>130</v>
      </c>
      <c r="BW2739" s="0" t="s">
        <v>130</v>
      </c>
      <c r="BX2739" s="0" t="s">
        <v>130</v>
      </c>
      <c r="BY2739" s="0" t="s">
        <v>130</v>
      </c>
      <c r="BZ2739" s="0" t="s">
        <v>130</v>
      </c>
      <c r="CA2739" s="0" t="s">
        <v>130</v>
      </c>
      <c r="CB2739" s="0" t="s">
        <v>130</v>
      </c>
      <c r="CC2739" s="0" t="s">
        <v>130</v>
      </c>
      <c r="CD2739" s="0" t="s">
        <v>130</v>
      </c>
      <c r="CE2739" s="0" t="s">
        <v>130</v>
      </c>
      <c r="CF2739" s="0" t="s">
        <v>130</v>
      </c>
      <c r="CG2739" s="0" t="s">
        <v>130</v>
      </c>
      <c r="CH2739" s="0" t="s">
        <v>130</v>
      </c>
      <c r="CI2739" s="0" t="s">
        <v>141</v>
      </c>
      <c r="CJ2739" s="0" t="s">
        <v>130</v>
      </c>
      <c r="CK2739" s="0" t="s">
        <v>130</v>
      </c>
      <c r="CL2739" s="0" t="s">
        <v>130</v>
      </c>
      <c r="CM2739" s="0" t="s">
        <v>130</v>
      </c>
      <c r="CN2739" s="0" t="s">
        <v>130</v>
      </c>
      <c r="CO2739" s="0" t="s">
        <v>130</v>
      </c>
      <c r="CP2739" s="0" t="s">
        <v>130</v>
      </c>
      <c r="CQ2739" s="0" t="s">
        <v>130</v>
      </c>
      <c r="CR2739" s="0" t="s">
        <v>130</v>
      </c>
      <c r="CS2739" s="0" t="s">
        <v>130</v>
      </c>
      <c r="CT2739" s="0" t="s">
        <v>7399</v>
      </c>
    </row>
    <row r="2740">
      <c r="A2740" s="14">
        <v>46946968</v>
      </c>
      <c r="B2740" s="0" t="s">
        <v>4663</v>
      </c>
      <c r="C2740" s="16">
        <f>HYPERLINK("https://eosportal.federatedhermes.com/companies/Q29tcGFueQppNTE1MjI=", "Alphabet Inc")</f>
      </c>
      <c r="D2740" s="0" t="s">
        <v>25</v>
      </c>
      <c r="E2740" s="0" t="s">
        <v>7400</v>
      </c>
      <c r="F2740" s="16">
        <f>HYPERLINK("https://eosportal.federatedhermes.com/engagements/RW5nYWdlbWVudAppMzc4Mzk=", "Climate (including water) impacts of AI and data center growth")</f>
      </c>
      <c r="G2740" s="14" t="s">
        <v>7401</v>
      </c>
      <c r="H2740" s="0" t="s">
        <v>141</v>
      </c>
      <c r="I2740" s="14" t="s">
        <v>191</v>
      </c>
      <c r="J2740" s="0" t="s">
        <v>197</v>
      </c>
      <c r="K2740" s="0" t="s">
        <v>198</v>
      </c>
      <c r="L2740" s="0" t="s">
        <v>216</v>
      </c>
      <c r="M2740" s="0" t="s">
        <v>135</v>
      </c>
      <c r="N2740" s="0" t="s">
        <v>136</v>
      </c>
      <c r="O2740" s="0" t="s">
        <v>137</v>
      </c>
      <c r="Q2740" s="0" t="s">
        <v>141</v>
      </c>
      <c r="R2740" s="0" t="s">
        <v>138</v>
      </c>
      <c r="S2740" s="14">
        <v>2</v>
      </c>
      <c r="T2740" s="0" t="s">
        <v>2428</v>
      </c>
      <c r="U2740" s="0" t="s">
        <v>138</v>
      </c>
      <c r="V2740" s="14" t="s">
        <v>138</v>
      </c>
      <c r="W2740" s="0" t="s">
        <v>138</v>
      </c>
      <c r="X2740" s="14" t="s">
        <v>138</v>
      </c>
      <c r="Y2740" s="0" t="s">
        <v>138</v>
      </c>
      <c r="Z2740" s="14" t="s">
        <v>138</v>
      </c>
      <c r="AA2740" s="0" t="s">
        <v>138</v>
      </c>
      <c r="AB2740" s="14" t="s">
        <v>138</v>
      </c>
      <c r="AD2740" s="0" t="s">
        <v>138</v>
      </c>
      <c r="AF2740" s="0">
        <v>0</v>
      </c>
      <c r="AG2740" s="0">
        <v>0</v>
      </c>
      <c r="AH2740" s="0" t="s">
        <v>140</v>
      </c>
      <c r="AI2740" s="0" t="s">
        <v>138</v>
      </c>
      <c r="AK2740" s="0" t="s">
        <v>4274</v>
      </c>
      <c r="AL2740" s="14"/>
      <c r="AN2740" s="14"/>
      <c r="AQ2740" s="0" t="s">
        <v>130</v>
      </c>
      <c r="AR2740" s="0" t="s">
        <v>130</v>
      </c>
      <c r="AS2740" s="0" t="s">
        <v>130</v>
      </c>
      <c r="AT2740" s="0" t="s">
        <v>130</v>
      </c>
      <c r="AU2740" s="0" t="s">
        <v>130</v>
      </c>
      <c r="AV2740" s="0" t="s">
        <v>130</v>
      </c>
      <c r="AW2740" s="0" t="s">
        <v>141</v>
      </c>
      <c r="AX2740" s="0" t="s">
        <v>130</v>
      </c>
      <c r="AY2740" s="0" t="s">
        <v>130</v>
      </c>
      <c r="AZ2740" s="0" t="s">
        <v>130</v>
      </c>
      <c r="BA2740" s="0" t="s">
        <v>130</v>
      </c>
      <c r="BB2740" s="0" t="s">
        <v>130</v>
      </c>
      <c r="BC2740" s="0" t="s">
        <v>141</v>
      </c>
      <c r="BD2740" s="0" t="s">
        <v>130</v>
      </c>
      <c r="BE2740" s="0" t="s">
        <v>130</v>
      </c>
      <c r="BF2740" s="0" t="s">
        <v>130</v>
      </c>
      <c r="BG2740" s="0" t="s">
        <v>130</v>
      </c>
      <c r="BH2740" s="0" t="s">
        <v>141</v>
      </c>
      <c r="BI2740" s="0" t="s">
        <v>141</v>
      </c>
      <c r="BJ2740" s="0" t="s">
        <v>141</v>
      </c>
      <c r="BK2740" s="0" t="s">
        <v>130</v>
      </c>
      <c r="BL2740" s="0" t="s">
        <v>130</v>
      </c>
      <c r="BM2740" s="0" t="s">
        <v>130</v>
      </c>
      <c r="BN2740" s="0" t="s">
        <v>130</v>
      </c>
      <c r="BO2740" s="0" t="s">
        <v>130</v>
      </c>
      <c r="BP2740" s="0" t="s">
        <v>130</v>
      </c>
      <c r="BQ2740" s="0" t="s">
        <v>130</v>
      </c>
      <c r="BR2740" s="0" t="s">
        <v>130</v>
      </c>
      <c r="BS2740" s="0" t="s">
        <v>130</v>
      </c>
      <c r="BT2740" s="0" t="s">
        <v>130</v>
      </c>
      <c r="BU2740" s="0" t="s">
        <v>130</v>
      </c>
      <c r="BV2740" s="0" t="s">
        <v>141</v>
      </c>
      <c r="BW2740" s="0" t="s">
        <v>141</v>
      </c>
      <c r="BX2740" s="0" t="s">
        <v>130</v>
      </c>
      <c r="BY2740" s="0" t="s">
        <v>130</v>
      </c>
      <c r="BZ2740" s="0" t="s">
        <v>130</v>
      </c>
      <c r="CA2740" s="0" t="s">
        <v>130</v>
      </c>
      <c r="CB2740" s="0" t="s">
        <v>130</v>
      </c>
      <c r="CC2740" s="0" t="s">
        <v>130</v>
      </c>
      <c r="CD2740" s="0" t="s">
        <v>130</v>
      </c>
      <c r="CE2740" s="0" t="s">
        <v>130</v>
      </c>
      <c r="CF2740" s="0" t="s">
        <v>130</v>
      </c>
      <c r="CG2740" s="0" t="s">
        <v>130</v>
      </c>
      <c r="CH2740" s="0" t="s">
        <v>130</v>
      </c>
      <c r="CI2740" s="0" t="s">
        <v>130</v>
      </c>
      <c r="CJ2740" s="0" t="s">
        <v>130</v>
      </c>
      <c r="CK2740" s="0" t="s">
        <v>130</v>
      </c>
      <c r="CL2740" s="0" t="s">
        <v>130</v>
      </c>
      <c r="CM2740" s="0" t="s">
        <v>130</v>
      </c>
      <c r="CN2740" s="0" t="s">
        <v>130</v>
      </c>
      <c r="CO2740" s="0" t="s">
        <v>130</v>
      </c>
      <c r="CP2740" s="0" t="s">
        <v>130</v>
      </c>
      <c r="CQ2740" s="0" t="s">
        <v>130</v>
      </c>
      <c r="CR2740" s="0" t="s">
        <v>130</v>
      </c>
      <c r="CS2740" s="0" t="s">
        <v>130</v>
      </c>
      <c r="CT2740" s="0" t="s">
        <v>7402</v>
      </c>
    </row>
    <row r="2741">
      <c r="A2741" s="14">
        <v>101652</v>
      </c>
      <c r="B2741" s="0" t="s">
        <v>1784</v>
      </c>
      <c r="C2741" s="16">
        <f>HYPERLINK("https://eosportal.federatedhermes.com/companies/Q29tcGFueQppNTg5NjE=", "Weyerhaeuser Co")</f>
      </c>
      <c r="D2741" s="0" t="s">
        <v>25</v>
      </c>
      <c r="E2741" s="0" t="s">
        <v>7403</v>
      </c>
      <c r="F2741" s="16">
        <f>HYPERLINK("https://eosportal.federatedhermes.com/engagements/RW5nYWdlbWVudAppMzc4NDA=", "Critical Minerals approach")</f>
      </c>
      <c r="G2741" s="14" t="s">
        <v>7404</v>
      </c>
      <c r="H2741" s="0" t="s">
        <v>130</v>
      </c>
      <c r="I2741" s="14" t="s">
        <v>131</v>
      </c>
      <c r="J2741" s="0" t="s">
        <v>197</v>
      </c>
      <c r="K2741" s="0" t="s">
        <v>348</v>
      </c>
      <c r="L2741" s="0" t="s">
        <v>650</v>
      </c>
      <c r="M2741" s="0" t="s">
        <v>135</v>
      </c>
      <c r="N2741" s="0" t="s">
        <v>136</v>
      </c>
      <c r="O2741" s="0" t="s">
        <v>238</v>
      </c>
      <c r="Q2741" s="0" t="s">
        <v>141</v>
      </c>
      <c r="R2741" s="0" t="s">
        <v>138</v>
      </c>
      <c r="S2741" s="14">
        <v>1</v>
      </c>
      <c r="T2741" s="0" t="s">
        <v>2428</v>
      </c>
      <c r="U2741" s="0" t="s">
        <v>138</v>
      </c>
      <c r="V2741" s="14" t="s">
        <v>138</v>
      </c>
      <c r="W2741" s="0" t="s">
        <v>138</v>
      </c>
      <c r="X2741" s="14" t="s">
        <v>138</v>
      </c>
      <c r="Y2741" s="0" t="s">
        <v>138</v>
      </c>
      <c r="Z2741" s="14" t="s">
        <v>138</v>
      </c>
      <c r="AA2741" s="0" t="s">
        <v>138</v>
      </c>
      <c r="AB2741" s="14" t="s">
        <v>138</v>
      </c>
      <c r="AD2741" s="0" t="s">
        <v>138</v>
      </c>
      <c r="AF2741" s="0">
        <v>0</v>
      </c>
      <c r="AG2741" s="0">
        <v>0</v>
      </c>
      <c r="AH2741" s="0" t="s">
        <v>140</v>
      </c>
      <c r="AI2741" s="0" t="s">
        <v>138</v>
      </c>
      <c r="AK2741" s="0" t="s">
        <v>2456</v>
      </c>
      <c r="AL2741" s="14"/>
      <c r="AN2741" s="14"/>
      <c r="AQ2741" s="0" t="s">
        <v>130</v>
      </c>
      <c r="AR2741" s="0" t="s">
        <v>130</v>
      </c>
      <c r="AS2741" s="0" t="s">
        <v>130</v>
      </c>
      <c r="AT2741" s="0" t="s">
        <v>130</v>
      </c>
      <c r="AU2741" s="0" t="s">
        <v>130</v>
      </c>
      <c r="AV2741" s="0" t="s">
        <v>141</v>
      </c>
      <c r="AW2741" s="0" t="s">
        <v>130</v>
      </c>
      <c r="AX2741" s="0" t="s">
        <v>130</v>
      </c>
      <c r="AY2741" s="0" t="s">
        <v>130</v>
      </c>
      <c r="AZ2741" s="0" t="s">
        <v>130</v>
      </c>
      <c r="BA2741" s="0" t="s">
        <v>141</v>
      </c>
      <c r="BB2741" s="0" t="s">
        <v>130</v>
      </c>
      <c r="BC2741" s="0" t="s">
        <v>130</v>
      </c>
      <c r="BD2741" s="0" t="s">
        <v>141</v>
      </c>
      <c r="BE2741" s="0" t="s">
        <v>130</v>
      </c>
      <c r="BF2741" s="0" t="s">
        <v>130</v>
      </c>
      <c r="BG2741" s="0" t="s">
        <v>130</v>
      </c>
      <c r="BH2741" s="0" t="s">
        <v>130</v>
      </c>
      <c r="BI2741" s="0" t="s">
        <v>130</v>
      </c>
      <c r="BJ2741" s="0" t="s">
        <v>130</v>
      </c>
      <c r="BK2741" s="0" t="s">
        <v>130</v>
      </c>
      <c r="BL2741" s="0" t="s">
        <v>130</v>
      </c>
      <c r="BM2741" s="0" t="s">
        <v>130</v>
      </c>
      <c r="BN2741" s="0" t="s">
        <v>130</v>
      </c>
      <c r="BO2741" s="0" t="s">
        <v>130</v>
      </c>
      <c r="BP2741" s="0" t="s">
        <v>130</v>
      </c>
      <c r="BQ2741" s="0" t="s">
        <v>130</v>
      </c>
      <c r="BR2741" s="0" t="s">
        <v>130</v>
      </c>
      <c r="BS2741" s="0" t="s">
        <v>130</v>
      </c>
      <c r="BT2741" s="0" t="s">
        <v>130</v>
      </c>
      <c r="BU2741" s="0" t="s">
        <v>130</v>
      </c>
      <c r="BV2741" s="0" t="s">
        <v>130</v>
      </c>
      <c r="BW2741" s="0" t="s">
        <v>130</v>
      </c>
      <c r="BX2741" s="0" t="s">
        <v>130</v>
      </c>
      <c r="BY2741" s="0" t="s">
        <v>130</v>
      </c>
      <c r="BZ2741" s="0" t="s">
        <v>130</v>
      </c>
      <c r="CA2741" s="0" t="s">
        <v>130</v>
      </c>
      <c r="CB2741" s="0" t="s">
        <v>130</v>
      </c>
      <c r="CC2741" s="0" t="s">
        <v>130</v>
      </c>
      <c r="CD2741" s="0" t="s">
        <v>141</v>
      </c>
      <c r="CE2741" s="0" t="s">
        <v>130</v>
      </c>
      <c r="CF2741" s="0" t="s">
        <v>130</v>
      </c>
      <c r="CG2741" s="0" t="s">
        <v>130</v>
      </c>
      <c r="CH2741" s="0" t="s">
        <v>130</v>
      </c>
      <c r="CI2741" s="0" t="s">
        <v>130</v>
      </c>
      <c r="CJ2741" s="0" t="s">
        <v>130</v>
      </c>
      <c r="CK2741" s="0" t="s">
        <v>130</v>
      </c>
      <c r="CL2741" s="0" t="s">
        <v>130</v>
      </c>
      <c r="CM2741" s="0" t="s">
        <v>130</v>
      </c>
      <c r="CN2741" s="0" t="s">
        <v>130</v>
      </c>
      <c r="CO2741" s="0" t="s">
        <v>130</v>
      </c>
      <c r="CP2741" s="0" t="s">
        <v>130</v>
      </c>
      <c r="CQ2741" s="0" t="s">
        <v>130</v>
      </c>
      <c r="CR2741" s="0" t="s">
        <v>130</v>
      </c>
      <c r="CS2741" s="0" t="s">
        <v>130</v>
      </c>
      <c r="CT2741" s="0" t="s">
        <v>7405</v>
      </c>
    </row>
    <row r="2742">
      <c r="A2742" s="14">
        <v>183932</v>
      </c>
      <c r="B2742" s="0" t="s">
        <v>3222</v>
      </c>
      <c r="C2742" s="16">
        <f>HYPERLINK("https://eosportal.federatedhermes.com/companies/Q29tcGFueQppNzU5MzI=", "Orsted AS")</f>
      </c>
      <c r="D2742" s="0" t="s">
        <v>25</v>
      </c>
      <c r="E2742" s="0" t="s">
        <v>7406</v>
      </c>
      <c r="F2742" s="16">
        <f>HYPERLINK("https://eosportal.federatedhermes.com/engagements/RW5nYWdlbWVudAppMzc4NDM=", "Policy Advocacy Strategy")</f>
      </c>
      <c r="G2742" s="14" t="s">
        <v>7407</v>
      </c>
      <c r="H2742" s="0" t="s">
        <v>130</v>
      </c>
      <c r="I2742" s="14" t="s">
        <v>131</v>
      </c>
      <c r="J2742" s="0" t="s">
        <v>197</v>
      </c>
      <c r="K2742" s="0" t="s">
        <v>198</v>
      </c>
      <c r="L2742" s="0" t="s">
        <v>220</v>
      </c>
      <c r="M2742" s="0" t="s">
        <v>378</v>
      </c>
      <c r="N2742" s="0" t="s">
        <v>1339</v>
      </c>
      <c r="O2742" s="0" t="s">
        <v>192</v>
      </c>
      <c r="Q2742" s="0" t="s">
        <v>141</v>
      </c>
      <c r="R2742" s="0" t="s">
        <v>138</v>
      </c>
      <c r="S2742" s="14">
        <v>1</v>
      </c>
      <c r="T2742" s="0" t="s">
        <v>2428</v>
      </c>
      <c r="U2742" s="0" t="s">
        <v>138</v>
      </c>
      <c r="V2742" s="14" t="s">
        <v>138</v>
      </c>
      <c r="W2742" s="0" t="s">
        <v>138</v>
      </c>
      <c r="X2742" s="14" t="s">
        <v>138</v>
      </c>
      <c r="Y2742" s="0" t="s">
        <v>138</v>
      </c>
      <c r="Z2742" s="14" t="s">
        <v>138</v>
      </c>
      <c r="AA2742" s="0" t="s">
        <v>138</v>
      </c>
      <c r="AB2742" s="14" t="s">
        <v>138</v>
      </c>
      <c r="AD2742" s="0" t="s">
        <v>138</v>
      </c>
      <c r="AF2742" s="0">
        <v>0</v>
      </c>
      <c r="AG2742" s="0">
        <v>0</v>
      </c>
      <c r="AH2742" s="0" t="s">
        <v>140</v>
      </c>
      <c r="AI2742" s="0" t="s">
        <v>138</v>
      </c>
      <c r="AK2742" s="0" t="s">
        <v>3207</v>
      </c>
      <c r="AL2742" s="14"/>
      <c r="AN2742" s="14"/>
      <c r="AQ2742" s="0" t="s">
        <v>130</v>
      </c>
      <c r="AR2742" s="0" t="s">
        <v>130</v>
      </c>
      <c r="AS2742" s="0" t="s">
        <v>130</v>
      </c>
      <c r="AT2742" s="0" t="s">
        <v>130</v>
      </c>
      <c r="AU2742" s="0" t="s">
        <v>130</v>
      </c>
      <c r="AV2742" s="0" t="s">
        <v>130</v>
      </c>
      <c r="AW2742" s="0" t="s">
        <v>141</v>
      </c>
      <c r="AX2742" s="0" t="s">
        <v>130</v>
      </c>
      <c r="AY2742" s="0" t="s">
        <v>141</v>
      </c>
      <c r="AZ2742" s="0" t="s">
        <v>130</v>
      </c>
      <c r="BA2742" s="0" t="s">
        <v>130</v>
      </c>
      <c r="BB2742" s="0" t="s">
        <v>130</v>
      </c>
      <c r="BC2742" s="0" t="s">
        <v>141</v>
      </c>
      <c r="BD2742" s="0" t="s">
        <v>130</v>
      </c>
      <c r="BE2742" s="0" t="s">
        <v>130</v>
      </c>
      <c r="BF2742" s="0" t="s">
        <v>130</v>
      </c>
      <c r="BG2742" s="0" t="s">
        <v>130</v>
      </c>
      <c r="BH2742" s="0" t="s">
        <v>130</v>
      </c>
      <c r="BI2742" s="0" t="s">
        <v>130</v>
      </c>
      <c r="BJ2742" s="0" t="s">
        <v>130</v>
      </c>
      <c r="BK2742" s="0" t="s">
        <v>130</v>
      </c>
      <c r="BL2742" s="0" t="s">
        <v>130</v>
      </c>
      <c r="BM2742" s="0" t="s">
        <v>130</v>
      </c>
      <c r="BN2742" s="0" t="s">
        <v>130</v>
      </c>
      <c r="BO2742" s="0" t="s">
        <v>130</v>
      </c>
      <c r="BP2742" s="0" t="s">
        <v>130</v>
      </c>
      <c r="BQ2742" s="0" t="s">
        <v>130</v>
      </c>
      <c r="BR2742" s="0" t="s">
        <v>130</v>
      </c>
      <c r="BS2742" s="0" t="s">
        <v>130</v>
      </c>
      <c r="BT2742" s="0" t="s">
        <v>130</v>
      </c>
      <c r="BU2742" s="0" t="s">
        <v>130</v>
      </c>
      <c r="BV2742" s="0" t="s">
        <v>130</v>
      </c>
      <c r="BW2742" s="0" t="s">
        <v>130</v>
      </c>
      <c r="BX2742" s="0" t="s">
        <v>130</v>
      </c>
      <c r="BY2742" s="0" t="s">
        <v>130</v>
      </c>
      <c r="BZ2742" s="0" t="s">
        <v>130</v>
      </c>
      <c r="CA2742" s="0" t="s">
        <v>130</v>
      </c>
      <c r="CB2742" s="0" t="s">
        <v>130</v>
      </c>
      <c r="CC2742" s="0" t="s">
        <v>130</v>
      </c>
      <c r="CD2742" s="0" t="s">
        <v>130</v>
      </c>
      <c r="CE2742" s="0" t="s">
        <v>130</v>
      </c>
      <c r="CF2742" s="0" t="s">
        <v>130</v>
      </c>
      <c r="CG2742" s="0" t="s">
        <v>130</v>
      </c>
      <c r="CH2742" s="0" t="s">
        <v>130</v>
      </c>
      <c r="CI2742" s="0" t="s">
        <v>130</v>
      </c>
      <c r="CJ2742" s="0" t="s">
        <v>130</v>
      </c>
      <c r="CK2742" s="0" t="s">
        <v>130</v>
      </c>
      <c r="CL2742" s="0" t="s">
        <v>130</v>
      </c>
      <c r="CM2742" s="0" t="s">
        <v>130</v>
      </c>
      <c r="CN2742" s="0" t="s">
        <v>130</v>
      </c>
      <c r="CO2742" s="0" t="s">
        <v>130</v>
      </c>
      <c r="CP2742" s="0" t="s">
        <v>130</v>
      </c>
      <c r="CQ2742" s="0" t="s">
        <v>130</v>
      </c>
      <c r="CR2742" s="0" t="s">
        <v>130</v>
      </c>
      <c r="CS2742" s="0" t="s">
        <v>130</v>
      </c>
      <c r="CT2742" s="0" t="s">
        <v>7408</v>
      </c>
    </row>
    <row r="2743">
      <c r="A2743" s="14">
        <v>100539</v>
      </c>
      <c r="B2743" s="0" t="s">
        <v>745</v>
      </c>
      <c r="C2743" s="16">
        <f>HYPERLINK("https://eosportal.federatedhermes.com/companies/Q29tcGFueQppNTQ1MDc=", "EQT Corp")</f>
      </c>
      <c r="D2743" s="0" t="s">
        <v>25</v>
      </c>
      <c r="E2743" s="0" t="s">
        <v>7409</v>
      </c>
      <c r="F2743" s="16">
        <f>HYPERLINK("https://eosportal.federatedhermes.com/engagements/RW5nYWdlbWVudAppMzc4NzA=", "AI Datacenter good emissions and water practices")</f>
      </c>
      <c r="G2743" s="14" t="s">
        <v>7410</v>
      </c>
      <c r="H2743" s="0" t="s">
        <v>130</v>
      </c>
      <c r="I2743" s="14" t="s">
        <v>131</v>
      </c>
      <c r="J2743" s="0" t="s">
        <v>197</v>
      </c>
      <c r="K2743" s="0" t="s">
        <v>198</v>
      </c>
      <c r="L2743" s="0" t="s">
        <v>216</v>
      </c>
      <c r="M2743" s="0" t="s">
        <v>135</v>
      </c>
      <c r="N2743" s="0" t="s">
        <v>136</v>
      </c>
      <c r="O2743" s="0" t="s">
        <v>542</v>
      </c>
      <c r="Q2743" s="0" t="s">
        <v>130</v>
      </c>
      <c r="R2743" s="0" t="s">
        <v>138</v>
      </c>
      <c r="S2743" s="14">
        <v>0</v>
      </c>
      <c r="T2743" s="0" t="s">
        <v>2428</v>
      </c>
      <c r="U2743" s="0" t="s">
        <v>138</v>
      </c>
      <c r="V2743" s="14" t="s">
        <v>138</v>
      </c>
      <c r="W2743" s="0" t="s">
        <v>138</v>
      </c>
      <c r="X2743" s="14" t="s">
        <v>138</v>
      </c>
      <c r="Y2743" s="0" t="s">
        <v>138</v>
      </c>
      <c r="Z2743" s="14" t="s">
        <v>138</v>
      </c>
      <c r="AA2743" s="0" t="s">
        <v>138</v>
      </c>
      <c r="AB2743" s="14" t="s">
        <v>138</v>
      </c>
      <c r="AD2743" s="0" t="s">
        <v>138</v>
      </c>
      <c r="AF2743" s="0">
        <v>0</v>
      </c>
      <c r="AG2743" s="0">
        <v>0</v>
      </c>
      <c r="AH2743" s="0" t="s">
        <v>140</v>
      </c>
      <c r="AI2743" s="0" t="s">
        <v>138</v>
      </c>
      <c r="AL2743" s="14"/>
      <c r="AN2743" s="14"/>
      <c r="AQ2743" s="0" t="s">
        <v>130</v>
      </c>
      <c r="AR2743" s="0" t="s">
        <v>130</v>
      </c>
      <c r="AS2743" s="0" t="s">
        <v>130</v>
      </c>
      <c r="AT2743" s="0" t="s">
        <v>130</v>
      </c>
      <c r="AU2743" s="0" t="s">
        <v>130</v>
      </c>
      <c r="AV2743" s="0" t="s">
        <v>130</v>
      </c>
      <c r="AW2743" s="0" t="s">
        <v>141</v>
      </c>
      <c r="AX2743" s="0" t="s">
        <v>130</v>
      </c>
      <c r="AY2743" s="0" t="s">
        <v>141</v>
      </c>
      <c r="AZ2743" s="0" t="s">
        <v>130</v>
      </c>
      <c r="BA2743" s="0" t="s">
        <v>130</v>
      </c>
      <c r="BB2743" s="0" t="s">
        <v>130</v>
      </c>
      <c r="BC2743" s="0" t="s">
        <v>141</v>
      </c>
      <c r="BD2743" s="0" t="s">
        <v>130</v>
      </c>
      <c r="BE2743" s="0" t="s">
        <v>130</v>
      </c>
      <c r="BF2743" s="0" t="s">
        <v>130</v>
      </c>
      <c r="BG2743" s="0" t="s">
        <v>130</v>
      </c>
      <c r="BH2743" s="0" t="s">
        <v>141</v>
      </c>
      <c r="BI2743" s="0" t="s">
        <v>141</v>
      </c>
      <c r="BJ2743" s="0" t="s">
        <v>141</v>
      </c>
      <c r="BK2743" s="0" t="s">
        <v>130</v>
      </c>
      <c r="BL2743" s="0" t="s">
        <v>130</v>
      </c>
      <c r="BM2743" s="0" t="s">
        <v>130</v>
      </c>
      <c r="BN2743" s="0" t="s">
        <v>130</v>
      </c>
      <c r="BO2743" s="0" t="s">
        <v>130</v>
      </c>
      <c r="BP2743" s="0" t="s">
        <v>130</v>
      </c>
      <c r="BQ2743" s="0" t="s">
        <v>130</v>
      </c>
      <c r="BR2743" s="0" t="s">
        <v>130</v>
      </c>
      <c r="BS2743" s="0" t="s">
        <v>130</v>
      </c>
      <c r="BT2743" s="0" t="s">
        <v>130</v>
      </c>
      <c r="BU2743" s="0" t="s">
        <v>130</v>
      </c>
      <c r="BV2743" s="0" t="s">
        <v>141</v>
      </c>
      <c r="BW2743" s="0" t="s">
        <v>141</v>
      </c>
      <c r="BX2743" s="0" t="s">
        <v>130</v>
      </c>
      <c r="BY2743" s="0" t="s">
        <v>130</v>
      </c>
      <c r="BZ2743" s="0" t="s">
        <v>130</v>
      </c>
      <c r="CA2743" s="0" t="s">
        <v>130</v>
      </c>
      <c r="CB2743" s="0" t="s">
        <v>130</v>
      </c>
      <c r="CC2743" s="0" t="s">
        <v>130</v>
      </c>
      <c r="CD2743" s="0" t="s">
        <v>130</v>
      </c>
      <c r="CE2743" s="0" t="s">
        <v>130</v>
      </c>
      <c r="CF2743" s="0" t="s">
        <v>130</v>
      </c>
      <c r="CG2743" s="0" t="s">
        <v>130</v>
      </c>
      <c r="CH2743" s="0" t="s">
        <v>130</v>
      </c>
      <c r="CI2743" s="0" t="s">
        <v>130</v>
      </c>
      <c r="CJ2743" s="0" t="s">
        <v>130</v>
      </c>
      <c r="CK2743" s="0" t="s">
        <v>130</v>
      </c>
      <c r="CL2743" s="0" t="s">
        <v>130</v>
      </c>
      <c r="CM2743" s="0" t="s">
        <v>130</v>
      </c>
      <c r="CN2743" s="0" t="s">
        <v>130</v>
      </c>
      <c r="CO2743" s="0" t="s">
        <v>130</v>
      </c>
      <c r="CP2743" s="0" t="s">
        <v>130</v>
      </c>
      <c r="CQ2743" s="0" t="s">
        <v>130</v>
      </c>
      <c r="CR2743" s="0" t="s">
        <v>130</v>
      </c>
      <c r="CS2743" s="0" t="s">
        <v>130</v>
      </c>
      <c r="CT2743" s="0" t="s">
        <v>7411</v>
      </c>
    </row>
    <row r="2744">
      <c r="A2744" s="14">
        <v>313657</v>
      </c>
      <c r="B2744" s="0" t="s">
        <v>3594</v>
      </c>
      <c r="C2744" s="16">
        <f>HYPERLINK("https://eosportal.federatedhermes.com/companies/Q29tcGFueQppODU4NzU=", "NVIDIA Corp")</f>
      </c>
      <c r="D2744" s="0" t="s">
        <v>25</v>
      </c>
      <c r="E2744" s="0" t="s">
        <v>7412</v>
      </c>
      <c r="F2744" s="16">
        <f>HYPERLINK("https://eosportal.federatedhermes.com/engagements/RW5nYWdlbWVudAppMzc4Nzg=", "AI chip / data center energy demand")</f>
      </c>
      <c r="G2744" s="14" t="s">
        <v>7413</v>
      </c>
      <c r="H2744" s="0" t="s">
        <v>141</v>
      </c>
      <c r="I2744" s="14" t="s">
        <v>191</v>
      </c>
      <c r="J2744" s="0" t="s">
        <v>197</v>
      </c>
      <c r="K2744" s="0" t="s">
        <v>198</v>
      </c>
      <c r="L2744" s="0" t="s">
        <v>216</v>
      </c>
      <c r="M2744" s="0" t="s">
        <v>135</v>
      </c>
      <c r="N2744" s="0" t="s">
        <v>136</v>
      </c>
      <c r="O2744" s="0" t="s">
        <v>1125</v>
      </c>
      <c r="Q2744" s="0" t="s">
        <v>141</v>
      </c>
      <c r="R2744" s="0" t="s">
        <v>138</v>
      </c>
      <c r="S2744" s="14">
        <v>1</v>
      </c>
      <c r="T2744" s="0" t="s">
        <v>2428</v>
      </c>
      <c r="U2744" s="0" t="s">
        <v>138</v>
      </c>
      <c r="V2744" s="14" t="s">
        <v>138</v>
      </c>
      <c r="W2744" s="0" t="s">
        <v>138</v>
      </c>
      <c r="X2744" s="14" t="s">
        <v>138</v>
      </c>
      <c r="Y2744" s="0" t="s">
        <v>138</v>
      </c>
      <c r="Z2744" s="14" t="s">
        <v>138</v>
      </c>
      <c r="AA2744" s="0" t="s">
        <v>138</v>
      </c>
      <c r="AB2744" s="14" t="s">
        <v>138</v>
      </c>
      <c r="AD2744" s="0" t="s">
        <v>138</v>
      </c>
      <c r="AF2744" s="0">
        <v>0</v>
      </c>
      <c r="AG2744" s="0">
        <v>0</v>
      </c>
      <c r="AH2744" s="0" t="s">
        <v>140</v>
      </c>
      <c r="AI2744" s="0" t="s">
        <v>138</v>
      </c>
      <c r="AK2744" s="0" t="s">
        <v>3596</v>
      </c>
      <c r="AL2744" s="14"/>
      <c r="AN2744" s="14"/>
      <c r="AQ2744" s="0" t="s">
        <v>130</v>
      </c>
      <c r="AR2744" s="0" t="s">
        <v>130</v>
      </c>
      <c r="AS2744" s="0" t="s">
        <v>130</v>
      </c>
      <c r="AT2744" s="0" t="s">
        <v>130</v>
      </c>
      <c r="AU2744" s="0" t="s">
        <v>130</v>
      </c>
      <c r="AV2744" s="0" t="s">
        <v>130</v>
      </c>
      <c r="AW2744" s="0" t="s">
        <v>141</v>
      </c>
      <c r="AX2744" s="0" t="s">
        <v>130</v>
      </c>
      <c r="AY2744" s="0" t="s">
        <v>141</v>
      </c>
      <c r="AZ2744" s="0" t="s">
        <v>130</v>
      </c>
      <c r="BA2744" s="0" t="s">
        <v>130</v>
      </c>
      <c r="BB2744" s="0" t="s">
        <v>130</v>
      </c>
      <c r="BC2744" s="0" t="s">
        <v>141</v>
      </c>
      <c r="BD2744" s="0" t="s">
        <v>130</v>
      </c>
      <c r="BE2744" s="0" t="s">
        <v>130</v>
      </c>
      <c r="BF2744" s="0" t="s">
        <v>130</v>
      </c>
      <c r="BG2744" s="0" t="s">
        <v>130</v>
      </c>
      <c r="BH2744" s="0" t="s">
        <v>141</v>
      </c>
      <c r="BI2744" s="0" t="s">
        <v>141</v>
      </c>
      <c r="BJ2744" s="0" t="s">
        <v>141</v>
      </c>
      <c r="BK2744" s="0" t="s">
        <v>130</v>
      </c>
      <c r="BL2744" s="0" t="s">
        <v>130</v>
      </c>
      <c r="BM2744" s="0" t="s">
        <v>130</v>
      </c>
      <c r="BN2744" s="0" t="s">
        <v>130</v>
      </c>
      <c r="BO2744" s="0" t="s">
        <v>130</v>
      </c>
      <c r="BP2744" s="0" t="s">
        <v>130</v>
      </c>
      <c r="BQ2744" s="0" t="s">
        <v>130</v>
      </c>
      <c r="BR2744" s="0" t="s">
        <v>130</v>
      </c>
      <c r="BS2744" s="0" t="s">
        <v>130</v>
      </c>
      <c r="BT2744" s="0" t="s">
        <v>130</v>
      </c>
      <c r="BU2744" s="0" t="s">
        <v>130</v>
      </c>
      <c r="BV2744" s="0" t="s">
        <v>141</v>
      </c>
      <c r="BW2744" s="0" t="s">
        <v>141</v>
      </c>
      <c r="BX2744" s="0" t="s">
        <v>130</v>
      </c>
      <c r="BY2744" s="0" t="s">
        <v>130</v>
      </c>
      <c r="BZ2744" s="0" t="s">
        <v>130</v>
      </c>
      <c r="CA2744" s="0" t="s">
        <v>130</v>
      </c>
      <c r="CB2744" s="0" t="s">
        <v>130</v>
      </c>
      <c r="CC2744" s="0" t="s">
        <v>130</v>
      </c>
      <c r="CD2744" s="0" t="s">
        <v>130</v>
      </c>
      <c r="CE2744" s="0" t="s">
        <v>130</v>
      </c>
      <c r="CF2744" s="0" t="s">
        <v>130</v>
      </c>
      <c r="CG2744" s="0" t="s">
        <v>130</v>
      </c>
      <c r="CH2744" s="0" t="s">
        <v>130</v>
      </c>
      <c r="CI2744" s="0" t="s">
        <v>130</v>
      </c>
      <c r="CJ2744" s="0" t="s">
        <v>130</v>
      </c>
      <c r="CK2744" s="0" t="s">
        <v>130</v>
      </c>
      <c r="CL2744" s="0" t="s">
        <v>130</v>
      </c>
      <c r="CM2744" s="0" t="s">
        <v>130</v>
      </c>
      <c r="CN2744" s="0" t="s">
        <v>130</v>
      </c>
      <c r="CO2744" s="0" t="s">
        <v>130</v>
      </c>
      <c r="CP2744" s="0" t="s">
        <v>130</v>
      </c>
      <c r="CQ2744" s="0" t="s">
        <v>130</v>
      </c>
      <c r="CR2744" s="0" t="s">
        <v>130</v>
      </c>
      <c r="CS2744" s="0" t="s">
        <v>130</v>
      </c>
      <c r="CT2744" s="0" t="s">
        <v>7414</v>
      </c>
    </row>
    <row r="2745">
      <c r="A2745" s="14">
        <v>111759</v>
      </c>
      <c r="B2745" s="0" t="s">
        <v>4879</v>
      </c>
      <c r="C2745" s="16">
        <f>HYPERLINK("https://eosportal.federatedhermes.com/companies/Q29tcGFueQppNjI0NzE=", "HSBC Holdings PLC")</f>
      </c>
      <c r="D2745" s="0" t="s">
        <v>25</v>
      </c>
      <c r="E2745" s="0" t="s">
        <v>7415</v>
      </c>
      <c r="F2745" s="16">
        <f>HYPERLINK("https://eosportal.federatedhermes.com/engagements/RW5nYWdlbWVudAppMzc5NTM=", "Employee recruitment, motivation and retention")</f>
      </c>
      <c r="G2745" s="14" t="s">
        <v>7416</v>
      </c>
      <c r="H2745" s="0" t="s">
        <v>141</v>
      </c>
      <c r="I2745" s="14" t="s">
        <v>191</v>
      </c>
      <c r="J2745" s="0" t="s">
        <v>153</v>
      </c>
      <c r="K2745" s="0" t="s">
        <v>154</v>
      </c>
      <c r="L2745" s="0" t="s">
        <v>268</v>
      </c>
      <c r="M2745" s="0" t="s">
        <v>272</v>
      </c>
      <c r="N2745" s="0" t="s">
        <v>273</v>
      </c>
      <c r="O2745" s="0" t="s">
        <v>238</v>
      </c>
      <c r="Q2745" s="0" t="s">
        <v>130</v>
      </c>
      <c r="R2745" s="0" t="s">
        <v>138</v>
      </c>
      <c r="S2745" s="14">
        <v>0</v>
      </c>
      <c r="T2745" s="0" t="s">
        <v>2428</v>
      </c>
      <c r="U2745" s="0" t="s">
        <v>138</v>
      </c>
      <c r="V2745" s="14" t="s">
        <v>138</v>
      </c>
      <c r="W2745" s="0" t="s">
        <v>138</v>
      </c>
      <c r="X2745" s="14" t="s">
        <v>138</v>
      </c>
      <c r="Y2745" s="0" t="s">
        <v>138</v>
      </c>
      <c r="Z2745" s="14" t="s">
        <v>138</v>
      </c>
      <c r="AA2745" s="0" t="s">
        <v>138</v>
      </c>
      <c r="AB2745" s="14" t="s">
        <v>138</v>
      </c>
      <c r="AD2745" s="0" t="s">
        <v>138</v>
      </c>
      <c r="AF2745" s="0">
        <v>0</v>
      </c>
      <c r="AG2745" s="0">
        <v>0</v>
      </c>
      <c r="AH2745" s="0" t="s">
        <v>140</v>
      </c>
      <c r="AI2745" s="0" t="s">
        <v>138</v>
      </c>
      <c r="AL2745" s="14"/>
      <c r="AN2745" s="14"/>
      <c r="AQ2745" s="0" t="s">
        <v>130</v>
      </c>
      <c r="AR2745" s="0" t="s">
        <v>130</v>
      </c>
      <c r="AS2745" s="0" t="s">
        <v>141</v>
      </c>
      <c r="AT2745" s="0" t="s">
        <v>141</v>
      </c>
      <c r="AU2745" s="0" t="s">
        <v>141</v>
      </c>
      <c r="AV2745" s="0" t="s">
        <v>130</v>
      </c>
      <c r="AW2745" s="0" t="s">
        <v>130</v>
      </c>
      <c r="AX2745" s="0" t="s">
        <v>130</v>
      </c>
      <c r="AY2745" s="0" t="s">
        <v>130</v>
      </c>
      <c r="AZ2745" s="0" t="s">
        <v>130</v>
      </c>
      <c r="BA2745" s="0" t="s">
        <v>130</v>
      </c>
      <c r="BB2745" s="0" t="s">
        <v>130</v>
      </c>
      <c r="BC2745" s="0" t="s">
        <v>130</v>
      </c>
      <c r="BD2745" s="0" t="s">
        <v>130</v>
      </c>
      <c r="BE2745" s="0" t="s">
        <v>130</v>
      </c>
      <c r="BF2745" s="0" t="s">
        <v>130</v>
      </c>
      <c r="BG2745" s="0" t="s">
        <v>130</v>
      </c>
      <c r="BH2745" s="0" t="s">
        <v>130</v>
      </c>
      <c r="BI2745" s="0" t="s">
        <v>130</v>
      </c>
      <c r="BJ2745" s="0" t="s">
        <v>130</v>
      </c>
      <c r="BK2745" s="0" t="s">
        <v>130</v>
      </c>
      <c r="BL2745" s="0" t="s">
        <v>130</v>
      </c>
      <c r="BM2745" s="0" t="s">
        <v>130</v>
      </c>
      <c r="BN2745" s="0" t="s">
        <v>130</v>
      </c>
      <c r="BO2745" s="0" t="s">
        <v>130</v>
      </c>
      <c r="BP2745" s="0" t="s">
        <v>130</v>
      </c>
      <c r="BQ2745" s="0" t="s">
        <v>130</v>
      </c>
      <c r="BR2745" s="0" t="s">
        <v>130</v>
      </c>
      <c r="BS2745" s="0" t="s">
        <v>130</v>
      </c>
      <c r="BT2745" s="0" t="s">
        <v>130</v>
      </c>
      <c r="BU2745" s="0" t="s">
        <v>130</v>
      </c>
      <c r="BV2745" s="0" t="s">
        <v>130</v>
      </c>
      <c r="BW2745" s="0" t="s">
        <v>130</v>
      </c>
      <c r="BX2745" s="0" t="s">
        <v>130</v>
      </c>
      <c r="BY2745" s="0" t="s">
        <v>130</v>
      </c>
      <c r="BZ2745" s="0" t="s">
        <v>130</v>
      </c>
      <c r="CA2745" s="0" t="s">
        <v>130</v>
      </c>
      <c r="CB2745" s="0" t="s">
        <v>130</v>
      </c>
      <c r="CC2745" s="0" t="s">
        <v>130</v>
      </c>
      <c r="CD2745" s="0" t="s">
        <v>130</v>
      </c>
      <c r="CE2745" s="0" t="s">
        <v>130</v>
      </c>
      <c r="CF2745" s="0" t="s">
        <v>130</v>
      </c>
      <c r="CG2745" s="0" t="s">
        <v>130</v>
      </c>
      <c r="CH2745" s="0" t="s">
        <v>130</v>
      </c>
      <c r="CI2745" s="0" t="s">
        <v>130</v>
      </c>
      <c r="CJ2745" s="0" t="s">
        <v>130</v>
      </c>
      <c r="CK2745" s="0" t="s">
        <v>141</v>
      </c>
      <c r="CL2745" s="0" t="s">
        <v>130</v>
      </c>
      <c r="CM2745" s="0" t="s">
        <v>130</v>
      </c>
      <c r="CN2745" s="0" t="s">
        <v>130</v>
      </c>
      <c r="CO2745" s="0" t="s">
        <v>130</v>
      </c>
      <c r="CP2745" s="0" t="s">
        <v>130</v>
      </c>
      <c r="CQ2745" s="0" t="s">
        <v>130</v>
      </c>
      <c r="CR2745" s="0" t="s">
        <v>130</v>
      </c>
      <c r="CS2745" s="0" t="s">
        <v>130</v>
      </c>
      <c r="CT2745" s="0" t="s">
        <v>7417</v>
      </c>
    </row>
    <row r="2746">
      <c r="A2746" s="14">
        <v>100315</v>
      </c>
      <c r="B2746" s="0" t="s">
        <v>539</v>
      </c>
      <c r="C2746" s="16">
        <f>HYPERLINK("https://eosportal.federatedhermes.com/companies/Q29tcGFueQppNzcwNTA=", "Chevron Corp")</f>
      </c>
      <c r="D2746" s="0" t="s">
        <v>25</v>
      </c>
      <c r="E2746" s="0" t="s">
        <v>7418</v>
      </c>
      <c r="F2746" s="16">
        <f>HYPERLINK("https://eosportal.federatedhermes.com/engagements/RW5nYWdlbWVudAppMzc5NTU=", "AI/Data Centre Power")</f>
      </c>
      <c r="G2746" s="14" t="s">
        <v>7419</v>
      </c>
      <c r="H2746" s="0" t="s">
        <v>141</v>
      </c>
      <c r="I2746" s="14" t="s">
        <v>191</v>
      </c>
      <c r="J2746" s="0" t="s">
        <v>197</v>
      </c>
      <c r="K2746" s="0" t="s">
        <v>198</v>
      </c>
      <c r="L2746" s="0" t="s">
        <v>220</v>
      </c>
      <c r="M2746" s="0" t="s">
        <v>135</v>
      </c>
      <c r="N2746" s="0" t="s">
        <v>136</v>
      </c>
      <c r="O2746" s="0" t="s">
        <v>542</v>
      </c>
      <c r="Q2746" s="0" t="s">
        <v>141</v>
      </c>
      <c r="R2746" s="0" t="s">
        <v>138</v>
      </c>
      <c r="S2746" s="14">
        <v>1</v>
      </c>
      <c r="T2746" s="0" t="s">
        <v>2428</v>
      </c>
      <c r="U2746" s="0" t="s">
        <v>138</v>
      </c>
      <c r="V2746" s="14" t="s">
        <v>138</v>
      </c>
      <c r="W2746" s="0" t="s">
        <v>138</v>
      </c>
      <c r="X2746" s="14" t="s">
        <v>138</v>
      </c>
      <c r="Y2746" s="0" t="s">
        <v>138</v>
      </c>
      <c r="Z2746" s="14" t="s">
        <v>138</v>
      </c>
      <c r="AA2746" s="0" t="s">
        <v>138</v>
      </c>
      <c r="AB2746" s="14" t="s">
        <v>138</v>
      </c>
      <c r="AD2746" s="0" t="s">
        <v>138</v>
      </c>
      <c r="AF2746" s="0">
        <v>0</v>
      </c>
      <c r="AG2746" s="0">
        <v>0</v>
      </c>
      <c r="AH2746" s="0" t="s">
        <v>140</v>
      </c>
      <c r="AI2746" s="0" t="s">
        <v>138</v>
      </c>
      <c r="AK2746" s="0" t="s">
        <v>2044</v>
      </c>
      <c r="AL2746" s="14"/>
      <c r="AN2746" s="14"/>
      <c r="AQ2746" s="0" t="s">
        <v>130</v>
      </c>
      <c r="AR2746" s="0" t="s">
        <v>130</v>
      </c>
      <c r="AS2746" s="0" t="s">
        <v>130</v>
      </c>
      <c r="AT2746" s="0" t="s">
        <v>130</v>
      </c>
      <c r="AU2746" s="0" t="s">
        <v>130</v>
      </c>
      <c r="AV2746" s="0" t="s">
        <v>130</v>
      </c>
      <c r="AW2746" s="0" t="s">
        <v>141</v>
      </c>
      <c r="AX2746" s="0" t="s">
        <v>130</v>
      </c>
      <c r="AY2746" s="0" t="s">
        <v>141</v>
      </c>
      <c r="AZ2746" s="0" t="s">
        <v>130</v>
      </c>
      <c r="BA2746" s="0" t="s">
        <v>130</v>
      </c>
      <c r="BB2746" s="0" t="s">
        <v>130</v>
      </c>
      <c r="BC2746" s="0" t="s">
        <v>141</v>
      </c>
      <c r="BD2746" s="0" t="s">
        <v>130</v>
      </c>
      <c r="BE2746" s="0" t="s">
        <v>130</v>
      </c>
      <c r="BF2746" s="0" t="s">
        <v>130</v>
      </c>
      <c r="BG2746" s="0" t="s">
        <v>130</v>
      </c>
      <c r="BH2746" s="0" t="s">
        <v>130</v>
      </c>
      <c r="BI2746" s="0" t="s">
        <v>130</v>
      </c>
      <c r="BJ2746" s="0" t="s">
        <v>141</v>
      </c>
      <c r="BK2746" s="0" t="s">
        <v>130</v>
      </c>
      <c r="BL2746" s="0" t="s">
        <v>130</v>
      </c>
      <c r="BM2746" s="0" t="s">
        <v>130</v>
      </c>
      <c r="BN2746" s="0" t="s">
        <v>130</v>
      </c>
      <c r="BO2746" s="0" t="s">
        <v>130</v>
      </c>
      <c r="BP2746" s="0" t="s">
        <v>130</v>
      </c>
      <c r="BQ2746" s="0" t="s">
        <v>130</v>
      </c>
      <c r="BR2746" s="0" t="s">
        <v>130</v>
      </c>
      <c r="BS2746" s="0" t="s">
        <v>130</v>
      </c>
      <c r="BT2746" s="0" t="s">
        <v>130</v>
      </c>
      <c r="BU2746" s="0" t="s">
        <v>130</v>
      </c>
      <c r="BV2746" s="0" t="s">
        <v>130</v>
      </c>
      <c r="BW2746" s="0" t="s">
        <v>130</v>
      </c>
      <c r="BX2746" s="0" t="s">
        <v>130</v>
      </c>
      <c r="BY2746" s="0" t="s">
        <v>130</v>
      </c>
      <c r="BZ2746" s="0" t="s">
        <v>130</v>
      </c>
      <c r="CA2746" s="0" t="s">
        <v>130</v>
      </c>
      <c r="CB2746" s="0" t="s">
        <v>130</v>
      </c>
      <c r="CC2746" s="0" t="s">
        <v>130</v>
      </c>
      <c r="CD2746" s="0" t="s">
        <v>130</v>
      </c>
      <c r="CE2746" s="0" t="s">
        <v>130</v>
      </c>
      <c r="CF2746" s="0" t="s">
        <v>130</v>
      </c>
      <c r="CG2746" s="0" t="s">
        <v>130</v>
      </c>
      <c r="CH2746" s="0" t="s">
        <v>130</v>
      </c>
      <c r="CI2746" s="0" t="s">
        <v>130</v>
      </c>
      <c r="CJ2746" s="0" t="s">
        <v>130</v>
      </c>
      <c r="CK2746" s="0" t="s">
        <v>130</v>
      </c>
      <c r="CL2746" s="0" t="s">
        <v>130</v>
      </c>
      <c r="CM2746" s="0" t="s">
        <v>130</v>
      </c>
      <c r="CN2746" s="0" t="s">
        <v>130</v>
      </c>
      <c r="CO2746" s="0" t="s">
        <v>130</v>
      </c>
      <c r="CP2746" s="0" t="s">
        <v>130</v>
      </c>
      <c r="CQ2746" s="0" t="s">
        <v>130</v>
      </c>
      <c r="CR2746" s="0" t="s">
        <v>130</v>
      </c>
      <c r="CS2746" s="0" t="s">
        <v>130</v>
      </c>
      <c r="CT2746" s="0" t="s">
        <v>7420</v>
      </c>
    </row>
    <row r="2747">
      <c r="A2747" s="14">
        <v>948338</v>
      </c>
      <c r="B2747" s="0" t="s">
        <v>7421</v>
      </c>
      <c r="C2747" s="16">
        <f>HYPERLINK("https://eosportal.federatedhermes.com/companies/Q29tcGFueQppNzk1MTQ=", "Samsung Life Insurance Co Ltd")</f>
      </c>
      <c r="D2747" s="0" t="s">
        <v>25</v>
      </c>
      <c r="E2747" s="0" t="s">
        <v>7422</v>
      </c>
      <c r="F2747" s="16">
        <f>HYPERLINK("https://eosportal.federatedhermes.com/engagements/RW5nYWdlbWVudAppMzc5NTc=", "Board Composition - diversity of backgrounds")</f>
      </c>
      <c r="G2747" s="14" t="s">
        <v>7423</v>
      </c>
      <c r="H2747" s="0" t="s">
        <v>130</v>
      </c>
      <c r="I2747" s="14" t="s">
        <v>131</v>
      </c>
      <c r="J2747" s="0" t="s">
        <v>145</v>
      </c>
      <c r="K2747" s="0" t="s">
        <v>164</v>
      </c>
      <c r="L2747" s="0" t="s">
        <v>165</v>
      </c>
      <c r="M2747" s="0" t="s">
        <v>802</v>
      </c>
      <c r="N2747" s="0" t="s">
        <v>2800</v>
      </c>
      <c r="O2747" s="0" t="s">
        <v>238</v>
      </c>
      <c r="Q2747" s="0" t="s">
        <v>141</v>
      </c>
      <c r="R2747" s="0" t="s">
        <v>138</v>
      </c>
      <c r="S2747" s="14">
        <v>1</v>
      </c>
      <c r="T2747" s="0" t="s">
        <v>2428</v>
      </c>
      <c r="U2747" s="0" t="s">
        <v>138</v>
      </c>
      <c r="V2747" s="14" t="s">
        <v>138</v>
      </c>
      <c r="W2747" s="0" t="s">
        <v>138</v>
      </c>
      <c r="X2747" s="14" t="s">
        <v>138</v>
      </c>
      <c r="Y2747" s="0" t="s">
        <v>138</v>
      </c>
      <c r="Z2747" s="14" t="s">
        <v>138</v>
      </c>
      <c r="AA2747" s="0" t="s">
        <v>138</v>
      </c>
      <c r="AB2747" s="14" t="s">
        <v>138</v>
      </c>
      <c r="AD2747" s="0" t="s">
        <v>138</v>
      </c>
      <c r="AF2747" s="0">
        <v>0</v>
      </c>
      <c r="AG2747" s="0">
        <v>0</v>
      </c>
      <c r="AH2747" s="0" t="s">
        <v>140</v>
      </c>
      <c r="AI2747" s="0" t="s">
        <v>138</v>
      </c>
      <c r="AK2747" s="0" t="s">
        <v>413</v>
      </c>
      <c r="AL2747" s="14"/>
      <c r="AN2747" s="14"/>
      <c r="AQ2747" s="0" t="s">
        <v>130</v>
      </c>
      <c r="AR2747" s="0" t="s">
        <v>130</v>
      </c>
      <c r="AS2747" s="0" t="s">
        <v>130</v>
      </c>
      <c r="AT2747" s="0" t="s">
        <v>130</v>
      </c>
      <c r="AU2747" s="0" t="s">
        <v>130</v>
      </c>
      <c r="AV2747" s="0" t="s">
        <v>130</v>
      </c>
      <c r="AW2747" s="0" t="s">
        <v>130</v>
      </c>
      <c r="AX2747" s="0" t="s">
        <v>130</v>
      </c>
      <c r="AY2747" s="0" t="s">
        <v>130</v>
      </c>
      <c r="AZ2747" s="0" t="s">
        <v>130</v>
      </c>
      <c r="BA2747" s="0" t="s">
        <v>130</v>
      </c>
      <c r="BB2747" s="0" t="s">
        <v>130</v>
      </c>
      <c r="BC2747" s="0" t="s">
        <v>130</v>
      </c>
      <c r="BD2747" s="0" t="s">
        <v>130</v>
      </c>
      <c r="BE2747" s="0" t="s">
        <v>130</v>
      </c>
      <c r="BF2747" s="0" t="s">
        <v>130</v>
      </c>
      <c r="BG2747" s="0" t="s">
        <v>130</v>
      </c>
      <c r="BH2747" s="0" t="s">
        <v>130</v>
      </c>
      <c r="BI2747" s="0" t="s">
        <v>130</v>
      </c>
      <c r="BJ2747" s="0" t="s">
        <v>130</v>
      </c>
      <c r="BK2747" s="0" t="s">
        <v>130</v>
      </c>
      <c r="BL2747" s="0" t="s">
        <v>130</v>
      </c>
      <c r="BM2747" s="0" t="s">
        <v>130</v>
      </c>
      <c r="BN2747" s="0" t="s">
        <v>130</v>
      </c>
      <c r="BO2747" s="0" t="s">
        <v>130</v>
      </c>
      <c r="BP2747" s="0" t="s">
        <v>130</v>
      </c>
      <c r="BQ2747" s="0" t="s">
        <v>130</v>
      </c>
      <c r="BR2747" s="0" t="s">
        <v>130</v>
      </c>
      <c r="BS2747" s="0" t="s">
        <v>130</v>
      </c>
      <c r="BT2747" s="0" t="s">
        <v>130</v>
      </c>
      <c r="BU2747" s="0" t="s">
        <v>130</v>
      </c>
      <c r="BV2747" s="0" t="s">
        <v>130</v>
      </c>
      <c r="BW2747" s="0" t="s">
        <v>130</v>
      </c>
      <c r="BX2747" s="0" t="s">
        <v>130</v>
      </c>
      <c r="BY2747" s="0" t="s">
        <v>130</v>
      </c>
      <c r="BZ2747" s="0" t="s">
        <v>130</v>
      </c>
      <c r="CA2747" s="0" t="s">
        <v>130</v>
      </c>
      <c r="CB2747" s="0" t="s">
        <v>130</v>
      </c>
      <c r="CC2747" s="0" t="s">
        <v>130</v>
      </c>
      <c r="CD2747" s="0" t="s">
        <v>130</v>
      </c>
      <c r="CE2747" s="0" t="s">
        <v>130</v>
      </c>
      <c r="CF2747" s="0" t="s">
        <v>130</v>
      </c>
      <c r="CG2747" s="0" t="s">
        <v>130</v>
      </c>
      <c r="CH2747" s="0" t="s">
        <v>130</v>
      </c>
      <c r="CI2747" s="0" t="s">
        <v>130</v>
      </c>
      <c r="CJ2747" s="0" t="s">
        <v>130</v>
      </c>
      <c r="CK2747" s="0" t="s">
        <v>130</v>
      </c>
      <c r="CL2747" s="0" t="s">
        <v>130</v>
      </c>
      <c r="CM2747" s="0" t="s">
        <v>130</v>
      </c>
      <c r="CN2747" s="0" t="s">
        <v>130</v>
      </c>
      <c r="CO2747" s="0" t="s">
        <v>130</v>
      </c>
      <c r="CP2747" s="0" t="s">
        <v>130</v>
      </c>
      <c r="CQ2747" s="0" t="s">
        <v>130</v>
      </c>
      <c r="CR2747" s="0" t="s">
        <v>130</v>
      </c>
      <c r="CS2747" s="0" t="s">
        <v>130</v>
      </c>
      <c r="CT2747" s="0" t="s">
        <v>7424</v>
      </c>
    </row>
    <row r="2748">
      <c r="A2748" s="14">
        <v>328683</v>
      </c>
      <c r="B2748" s="0" t="s">
        <v>3664</v>
      </c>
      <c r="C2748" s="16">
        <f>HYPERLINK("https://eosportal.federatedhermes.com/companies/Q29tcGFueQppNTg5MjI=", "Mercedes-Benz Group AG")</f>
      </c>
      <c r="D2748" s="0" t="s">
        <v>23</v>
      </c>
      <c r="E2748" s="0" t="s">
        <v>7425</v>
      </c>
      <c r="F2748" s="16">
        <f>HYPERLINK("https://eosportal.federatedhermes.com/engagements/RW5nYWdlbWVudAppMzc5OTA=", "Lobbying disclosures related to biodiversity impacts in its supply chain")</f>
      </c>
      <c r="G2748" s="14" t="s">
        <v>7426</v>
      </c>
      <c r="H2748" s="0" t="s">
        <v>141</v>
      </c>
      <c r="I2748" s="14" t="s">
        <v>1645</v>
      </c>
      <c r="J2748" s="0" t="s">
        <v>197</v>
      </c>
      <c r="K2748" s="0" t="s">
        <v>337</v>
      </c>
      <c r="L2748" s="0" t="s">
        <v>576</v>
      </c>
      <c r="M2748" s="0" t="s">
        <v>378</v>
      </c>
      <c r="N2748" s="0" t="s">
        <v>2485</v>
      </c>
      <c r="O2748" s="0" t="s">
        <v>425</v>
      </c>
      <c r="Q2748" s="0" t="s">
        <v>141</v>
      </c>
      <c r="R2748" s="0" t="s">
        <v>130</v>
      </c>
      <c r="S2748" s="14">
        <v>1</v>
      </c>
      <c r="T2748" s="0" t="s">
        <v>2428</v>
      </c>
      <c r="U2748" s="0" t="s">
        <v>221</v>
      </c>
      <c r="V2748" s="14" t="s">
        <v>2428</v>
      </c>
      <c r="W2748" s="0" t="s">
        <v>221</v>
      </c>
      <c r="X2748" s="14" t="s">
        <v>2428</v>
      </c>
      <c r="Y2748" s="0" t="s">
        <v>223</v>
      </c>
      <c r="Z2748" s="14" t="s">
        <v>138</v>
      </c>
      <c r="AA2748" s="0" t="s">
        <v>224</v>
      </c>
      <c r="AB2748" s="14" t="s">
        <v>138</v>
      </c>
      <c r="AD2748" s="0" t="s">
        <v>17</v>
      </c>
      <c r="AF2748" s="0">
        <v>0</v>
      </c>
      <c r="AG2748" s="0">
        <v>0</v>
      </c>
      <c r="AH2748" s="0" t="s">
        <v>140</v>
      </c>
      <c r="AI2748" s="0" t="s">
        <v>598</v>
      </c>
      <c r="AK2748" s="0" t="s">
        <v>2044</v>
      </c>
      <c r="AL2748" s="14"/>
      <c r="AN2748" s="14"/>
      <c r="AQ2748" s="0" t="s">
        <v>130</v>
      </c>
      <c r="AR2748" s="0" t="s">
        <v>130</v>
      </c>
      <c r="AS2748" s="0" t="s">
        <v>130</v>
      </c>
      <c r="AT2748" s="0" t="s">
        <v>130</v>
      </c>
      <c r="AU2748" s="0" t="s">
        <v>130</v>
      </c>
      <c r="AV2748" s="0" t="s">
        <v>130</v>
      </c>
      <c r="AW2748" s="0" t="s">
        <v>130</v>
      </c>
      <c r="AX2748" s="0" t="s">
        <v>130</v>
      </c>
      <c r="AY2748" s="0" t="s">
        <v>130</v>
      </c>
      <c r="AZ2748" s="0" t="s">
        <v>130</v>
      </c>
      <c r="BA2748" s="0" t="s">
        <v>141</v>
      </c>
      <c r="BB2748" s="0" t="s">
        <v>141</v>
      </c>
      <c r="BC2748" s="0" t="s">
        <v>130</v>
      </c>
      <c r="BD2748" s="0" t="s">
        <v>130</v>
      </c>
      <c r="BE2748" s="0" t="s">
        <v>141</v>
      </c>
      <c r="BF2748" s="0" t="s">
        <v>130</v>
      </c>
      <c r="BG2748" s="0" t="s">
        <v>130</v>
      </c>
      <c r="BH2748" s="0" t="s">
        <v>130</v>
      </c>
      <c r="BI2748" s="0" t="s">
        <v>130</v>
      </c>
      <c r="BJ2748" s="0" t="s">
        <v>130</v>
      </c>
      <c r="BK2748" s="0" t="s">
        <v>130</v>
      </c>
      <c r="BL2748" s="0" t="s">
        <v>130</v>
      </c>
      <c r="BM2748" s="0" t="s">
        <v>130</v>
      </c>
      <c r="BN2748" s="0" t="s">
        <v>130</v>
      </c>
      <c r="BO2748" s="0" t="s">
        <v>130</v>
      </c>
      <c r="BP2748" s="0" t="s">
        <v>130</v>
      </c>
      <c r="BQ2748" s="0" t="s">
        <v>130</v>
      </c>
      <c r="BR2748" s="0" t="s">
        <v>130</v>
      </c>
      <c r="BS2748" s="0" t="s">
        <v>130</v>
      </c>
      <c r="BT2748" s="0" t="s">
        <v>130</v>
      </c>
      <c r="BU2748" s="0" t="s">
        <v>130</v>
      </c>
      <c r="BV2748" s="0" t="s">
        <v>130</v>
      </c>
      <c r="BW2748" s="0" t="s">
        <v>130</v>
      </c>
      <c r="BX2748" s="0" t="s">
        <v>130</v>
      </c>
      <c r="BY2748" s="0" t="s">
        <v>130</v>
      </c>
      <c r="BZ2748" s="0" t="s">
        <v>130</v>
      </c>
      <c r="CA2748" s="0" t="s">
        <v>130</v>
      </c>
      <c r="CB2748" s="0" t="s">
        <v>130</v>
      </c>
      <c r="CC2748" s="0" t="s">
        <v>130</v>
      </c>
      <c r="CD2748" s="0" t="s">
        <v>130</v>
      </c>
      <c r="CE2748" s="0" t="s">
        <v>130</v>
      </c>
      <c r="CF2748" s="0" t="s">
        <v>130</v>
      </c>
      <c r="CG2748" s="0" t="s">
        <v>130</v>
      </c>
      <c r="CH2748" s="0" t="s">
        <v>130</v>
      </c>
      <c r="CI2748" s="0" t="s">
        <v>130</v>
      </c>
      <c r="CJ2748" s="0" t="s">
        <v>130</v>
      </c>
      <c r="CK2748" s="0" t="s">
        <v>130</v>
      </c>
      <c r="CL2748" s="0" t="s">
        <v>130</v>
      </c>
      <c r="CM2748" s="0" t="s">
        <v>130</v>
      </c>
      <c r="CN2748" s="0" t="s">
        <v>130</v>
      </c>
      <c r="CO2748" s="0" t="s">
        <v>130</v>
      </c>
      <c r="CP2748" s="0" t="s">
        <v>130</v>
      </c>
      <c r="CQ2748" s="0" t="s">
        <v>130</v>
      </c>
      <c r="CR2748" s="0" t="s">
        <v>130</v>
      </c>
      <c r="CS2748" s="0" t="s">
        <v>130</v>
      </c>
      <c r="CT2748" s="0" t="s">
        <v>7427</v>
      </c>
    </row>
    <row r="2749">
      <c r="A2749" s="14">
        <v>100978</v>
      </c>
      <c r="B2749" s="0" t="s">
        <v>1111</v>
      </c>
      <c r="C2749" s="16">
        <f>HYPERLINK("https://eosportal.federatedhermes.com/companies/Q29tcGFueQppNDM5NDY=", "Merck &amp; Co Inc")</f>
      </c>
      <c r="D2749" s="0" t="s">
        <v>23</v>
      </c>
      <c r="E2749" s="0" t="s">
        <v>7428</v>
      </c>
      <c r="F2749" s="16">
        <f>HYPERLINK("https://eosportal.federatedhermes.com/engagements/RW5nYWdlbWVudAppMzgwMDA=", "Pricing Principles")</f>
      </c>
      <c r="G2749" s="14" t="s">
        <v>7429</v>
      </c>
      <c r="H2749" s="0" t="s">
        <v>141</v>
      </c>
      <c r="I2749" s="14" t="s">
        <v>131</v>
      </c>
      <c r="J2749" s="0" t="s">
        <v>153</v>
      </c>
      <c r="K2749" s="0" t="s">
        <v>243</v>
      </c>
      <c r="L2749" s="0" t="s">
        <v>292</v>
      </c>
      <c r="M2749" s="0" t="s">
        <v>135</v>
      </c>
      <c r="N2749" s="0" t="s">
        <v>136</v>
      </c>
      <c r="O2749" s="0" t="s">
        <v>274</v>
      </c>
      <c r="Q2749" s="0" t="s">
        <v>141</v>
      </c>
      <c r="R2749" s="0" t="s">
        <v>130</v>
      </c>
      <c r="S2749" s="14">
        <v>1</v>
      </c>
      <c r="T2749" s="0" t="s">
        <v>2428</v>
      </c>
      <c r="U2749" s="0" t="s">
        <v>221</v>
      </c>
      <c r="V2749" s="14" t="s">
        <v>2428</v>
      </c>
      <c r="W2749" s="0" t="s">
        <v>221</v>
      </c>
      <c r="X2749" s="14" t="s">
        <v>4412</v>
      </c>
      <c r="Y2749" s="0" t="s">
        <v>223</v>
      </c>
      <c r="Z2749" s="14" t="s">
        <v>138</v>
      </c>
      <c r="AA2749" s="0" t="s">
        <v>224</v>
      </c>
      <c r="AB2749" s="14" t="s">
        <v>138</v>
      </c>
      <c r="AD2749" s="0" t="s">
        <v>17</v>
      </c>
      <c r="AF2749" s="0">
        <v>0</v>
      </c>
      <c r="AG2749" s="0">
        <v>0</v>
      </c>
      <c r="AH2749" s="0" t="s">
        <v>140</v>
      </c>
      <c r="AI2749" s="0" t="s">
        <v>598</v>
      </c>
      <c r="AK2749" s="0" t="s">
        <v>149</v>
      </c>
      <c r="AL2749" s="14"/>
      <c r="AN2749" s="14"/>
      <c r="AQ2749" s="0" t="s">
        <v>130</v>
      </c>
      <c r="AR2749" s="0" t="s">
        <v>130</v>
      </c>
      <c r="AS2749" s="0" t="s">
        <v>141</v>
      </c>
      <c r="AT2749" s="0" t="s">
        <v>130</v>
      </c>
      <c r="AU2749" s="0" t="s">
        <v>130</v>
      </c>
      <c r="AV2749" s="0" t="s">
        <v>130</v>
      </c>
      <c r="AW2749" s="0" t="s">
        <v>130</v>
      </c>
      <c r="AX2749" s="0" t="s">
        <v>130</v>
      </c>
      <c r="AY2749" s="0" t="s">
        <v>130</v>
      </c>
      <c r="AZ2749" s="0" t="s">
        <v>130</v>
      </c>
      <c r="BA2749" s="0" t="s">
        <v>130</v>
      </c>
      <c r="BB2749" s="0" t="s">
        <v>130</v>
      </c>
      <c r="BC2749" s="0" t="s">
        <v>130</v>
      </c>
      <c r="BD2749" s="0" t="s">
        <v>130</v>
      </c>
      <c r="BE2749" s="0" t="s">
        <v>130</v>
      </c>
      <c r="BF2749" s="0" t="s">
        <v>130</v>
      </c>
      <c r="BG2749" s="0" t="s">
        <v>130</v>
      </c>
      <c r="BH2749" s="0" t="s">
        <v>130</v>
      </c>
      <c r="BI2749" s="0" t="s">
        <v>130</v>
      </c>
      <c r="BJ2749" s="0" t="s">
        <v>130</v>
      </c>
      <c r="BK2749" s="0" t="s">
        <v>130</v>
      </c>
      <c r="BL2749" s="0" t="s">
        <v>130</v>
      </c>
      <c r="BM2749" s="0" t="s">
        <v>130</v>
      </c>
      <c r="BN2749" s="0" t="s">
        <v>130</v>
      </c>
      <c r="BO2749" s="0" t="s">
        <v>130</v>
      </c>
      <c r="BP2749" s="0" t="s">
        <v>130</v>
      </c>
      <c r="BQ2749" s="0" t="s">
        <v>130</v>
      </c>
      <c r="BR2749" s="0" t="s">
        <v>130</v>
      </c>
      <c r="BS2749" s="0" t="s">
        <v>130</v>
      </c>
      <c r="BT2749" s="0" t="s">
        <v>130</v>
      </c>
      <c r="BU2749" s="0" t="s">
        <v>130</v>
      </c>
      <c r="BV2749" s="0" t="s">
        <v>130</v>
      </c>
      <c r="BW2749" s="0" t="s">
        <v>130</v>
      </c>
      <c r="BX2749" s="0" t="s">
        <v>130</v>
      </c>
      <c r="BY2749" s="0" t="s">
        <v>130</v>
      </c>
      <c r="BZ2749" s="0" t="s">
        <v>130</v>
      </c>
      <c r="CA2749" s="0" t="s">
        <v>130</v>
      </c>
      <c r="CB2749" s="0" t="s">
        <v>130</v>
      </c>
      <c r="CC2749" s="0" t="s">
        <v>130</v>
      </c>
      <c r="CD2749" s="0" t="s">
        <v>130</v>
      </c>
      <c r="CE2749" s="0" t="s">
        <v>130</v>
      </c>
      <c r="CF2749" s="0" t="s">
        <v>130</v>
      </c>
      <c r="CG2749" s="0" t="s">
        <v>130</v>
      </c>
      <c r="CH2749" s="0" t="s">
        <v>130</v>
      </c>
      <c r="CI2749" s="0" t="s">
        <v>130</v>
      </c>
      <c r="CJ2749" s="0" t="s">
        <v>130</v>
      </c>
      <c r="CK2749" s="0" t="s">
        <v>130</v>
      </c>
      <c r="CL2749" s="0" t="s">
        <v>130</v>
      </c>
      <c r="CM2749" s="0" t="s">
        <v>130</v>
      </c>
      <c r="CN2749" s="0" t="s">
        <v>130</v>
      </c>
      <c r="CO2749" s="0" t="s">
        <v>130</v>
      </c>
      <c r="CP2749" s="0" t="s">
        <v>130</v>
      </c>
      <c r="CQ2749" s="0" t="s">
        <v>130</v>
      </c>
      <c r="CR2749" s="0" t="s">
        <v>130</v>
      </c>
      <c r="CS2749" s="0" t="s">
        <v>130</v>
      </c>
      <c r="CT2749" s="0" t="s">
        <v>7430</v>
      </c>
    </row>
    <row r="2750">
      <c r="A2750" s="14">
        <v>112571</v>
      </c>
      <c r="B2750" s="0" t="s">
        <v>1056</v>
      </c>
      <c r="C2750" s="16">
        <f>HYPERLINK("https://eosportal.federatedhermes.com/companies/Q29tcGFueQppNTIxNzE=", "Nestle SA")</f>
      </c>
      <c r="D2750" s="0" t="s">
        <v>23</v>
      </c>
      <c r="E2750" s="0" t="s">
        <v>7431</v>
      </c>
      <c r="F2750" s="16">
        <f>HYPERLINK("https://eosportal.federatedhermes.com/engagements/RW5nYWdlbWVudAppMzgwMTI=", "Impact-focused KPIs on Human Rights")</f>
      </c>
      <c r="G2750" s="14" t="s">
        <v>7432</v>
      </c>
      <c r="H2750" s="0" t="s">
        <v>141</v>
      </c>
      <c r="I2750" s="14" t="s">
        <v>191</v>
      </c>
      <c r="J2750" s="0" t="s">
        <v>153</v>
      </c>
      <c r="K2750" s="0" t="s">
        <v>243</v>
      </c>
      <c r="L2750" s="0" t="s">
        <v>244</v>
      </c>
      <c r="M2750" s="0" t="s">
        <v>378</v>
      </c>
      <c r="N2750" s="0" t="s">
        <v>1059</v>
      </c>
      <c r="O2750" s="0" t="s">
        <v>332</v>
      </c>
      <c r="Q2750" s="0" t="s">
        <v>130</v>
      </c>
      <c r="R2750" s="0" t="s">
        <v>130</v>
      </c>
      <c r="S2750" s="14">
        <v>0</v>
      </c>
      <c r="T2750" s="0" t="s">
        <v>2428</v>
      </c>
      <c r="U2750" s="0" t="s">
        <v>221</v>
      </c>
      <c r="V2750" s="14" t="s">
        <v>2428</v>
      </c>
      <c r="W2750" s="0" t="s">
        <v>221</v>
      </c>
      <c r="X2750" s="14" t="s">
        <v>2428</v>
      </c>
      <c r="Y2750" s="0" t="s">
        <v>223</v>
      </c>
      <c r="Z2750" s="14" t="s">
        <v>138</v>
      </c>
      <c r="AA2750" s="0" t="s">
        <v>224</v>
      </c>
      <c r="AB2750" s="14" t="s">
        <v>138</v>
      </c>
      <c r="AD2750" s="0" t="s">
        <v>17</v>
      </c>
      <c r="AF2750" s="0">
        <v>0</v>
      </c>
      <c r="AG2750" s="0">
        <v>0</v>
      </c>
      <c r="AH2750" s="0" t="s">
        <v>140</v>
      </c>
      <c r="AI2750" s="0" t="s">
        <v>598</v>
      </c>
      <c r="AL2750" s="14"/>
      <c r="AN2750" s="14"/>
      <c r="AQ2750" s="0" t="s">
        <v>130</v>
      </c>
      <c r="AR2750" s="0" t="s">
        <v>130</v>
      </c>
      <c r="AS2750" s="0" t="s">
        <v>130</v>
      </c>
      <c r="AT2750" s="0" t="s">
        <v>130</v>
      </c>
      <c r="AU2750" s="0" t="s">
        <v>141</v>
      </c>
      <c r="AV2750" s="0" t="s">
        <v>130</v>
      </c>
      <c r="AW2750" s="0" t="s">
        <v>130</v>
      </c>
      <c r="AX2750" s="0" t="s">
        <v>141</v>
      </c>
      <c r="AY2750" s="0" t="s">
        <v>130</v>
      </c>
      <c r="AZ2750" s="0" t="s">
        <v>130</v>
      </c>
      <c r="BA2750" s="0" t="s">
        <v>130</v>
      </c>
      <c r="BB2750" s="0" t="s">
        <v>130</v>
      </c>
      <c r="BC2750" s="0" t="s">
        <v>130</v>
      </c>
      <c r="BD2750" s="0" t="s">
        <v>130</v>
      </c>
      <c r="BE2750" s="0" t="s">
        <v>130</v>
      </c>
      <c r="BF2750" s="0" t="s">
        <v>130</v>
      </c>
      <c r="BG2750" s="0" t="s">
        <v>130</v>
      </c>
      <c r="BH2750" s="0" t="s">
        <v>130</v>
      </c>
      <c r="BI2750" s="0" t="s">
        <v>130</v>
      </c>
      <c r="BJ2750" s="0" t="s">
        <v>130</v>
      </c>
      <c r="BK2750" s="0" t="s">
        <v>130</v>
      </c>
      <c r="BL2750" s="0" t="s">
        <v>130</v>
      </c>
      <c r="BM2750" s="0" t="s">
        <v>130</v>
      </c>
      <c r="BN2750" s="0" t="s">
        <v>130</v>
      </c>
      <c r="BO2750" s="0" t="s">
        <v>130</v>
      </c>
      <c r="BP2750" s="0" t="s">
        <v>130</v>
      </c>
      <c r="BQ2750" s="0" t="s">
        <v>130</v>
      </c>
      <c r="BR2750" s="0" t="s">
        <v>130</v>
      </c>
      <c r="BS2750" s="0" t="s">
        <v>130</v>
      </c>
      <c r="BT2750" s="0" t="s">
        <v>130</v>
      </c>
      <c r="BU2750" s="0" t="s">
        <v>130</v>
      </c>
      <c r="BV2750" s="0" t="s">
        <v>130</v>
      </c>
      <c r="BW2750" s="0" t="s">
        <v>130</v>
      </c>
      <c r="BX2750" s="0" t="s">
        <v>130</v>
      </c>
      <c r="BY2750" s="0" t="s">
        <v>130</v>
      </c>
      <c r="BZ2750" s="0" t="s">
        <v>130</v>
      </c>
      <c r="CA2750" s="0" t="s">
        <v>130</v>
      </c>
      <c r="CB2750" s="0" t="s">
        <v>130</v>
      </c>
      <c r="CC2750" s="0" t="s">
        <v>130</v>
      </c>
      <c r="CD2750" s="0" t="s">
        <v>130</v>
      </c>
      <c r="CE2750" s="0" t="s">
        <v>130</v>
      </c>
      <c r="CF2750" s="0" t="s">
        <v>130</v>
      </c>
      <c r="CG2750" s="0" t="s">
        <v>130</v>
      </c>
      <c r="CH2750" s="0" t="s">
        <v>130</v>
      </c>
      <c r="CI2750" s="0" t="s">
        <v>130</v>
      </c>
      <c r="CJ2750" s="0" t="s">
        <v>130</v>
      </c>
      <c r="CK2750" s="0" t="s">
        <v>130</v>
      </c>
      <c r="CL2750" s="0" t="s">
        <v>130</v>
      </c>
      <c r="CM2750" s="0" t="s">
        <v>130</v>
      </c>
      <c r="CN2750" s="0" t="s">
        <v>130</v>
      </c>
      <c r="CO2750" s="0" t="s">
        <v>130</v>
      </c>
      <c r="CP2750" s="0" t="s">
        <v>130</v>
      </c>
      <c r="CQ2750" s="0" t="s">
        <v>130</v>
      </c>
      <c r="CR2750" s="0" t="s">
        <v>130</v>
      </c>
      <c r="CS2750" s="0" t="s">
        <v>130</v>
      </c>
      <c r="CT2750" s="0" t="s">
        <v>7433</v>
      </c>
    </row>
    <row r="2751">
      <c r="A2751" s="14">
        <v>101605</v>
      </c>
      <c r="B2751" s="0" t="s">
        <v>1797</v>
      </c>
      <c r="C2751" s="16">
        <f>HYPERLINK("https://eosportal.federatedhermes.com/companies/Q29tcGFueQppNjI1MDc=", "Vodafone Group PLC")</f>
      </c>
      <c r="D2751" s="0" t="s">
        <v>23</v>
      </c>
      <c r="E2751" s="0" t="s">
        <v>7434</v>
      </c>
      <c r="F2751" s="16">
        <f>HYPERLINK("https://eosportal.federatedhermes.com/engagements/RW5nYWdlbWVudAppMzgwMTQ=", "Successful merger and integration of Three")</f>
      </c>
      <c r="G2751" s="14" t="s">
        <v>7435</v>
      </c>
      <c r="H2751" s="0" t="s">
        <v>130</v>
      </c>
      <c r="I2751" s="14" t="s">
        <v>319</v>
      </c>
      <c r="J2751" s="0" t="s">
        <v>132</v>
      </c>
      <c r="K2751" s="0" t="s">
        <v>133</v>
      </c>
      <c r="L2751" s="0" t="s">
        <v>160</v>
      </c>
      <c r="M2751" s="0" t="s">
        <v>272</v>
      </c>
      <c r="N2751" s="0" t="s">
        <v>273</v>
      </c>
      <c r="O2751" s="0" t="s">
        <v>137</v>
      </c>
      <c r="Q2751" s="0" t="s">
        <v>141</v>
      </c>
      <c r="R2751" s="0" t="s">
        <v>130</v>
      </c>
      <c r="S2751" s="14">
        <v>1</v>
      </c>
      <c r="T2751" s="0" t="s">
        <v>2428</v>
      </c>
      <c r="U2751" s="0" t="s">
        <v>221</v>
      </c>
      <c r="V2751" s="14" t="s">
        <v>2428</v>
      </c>
      <c r="W2751" s="0" t="s">
        <v>223</v>
      </c>
      <c r="X2751" s="14" t="s">
        <v>138</v>
      </c>
      <c r="Y2751" s="0" t="s">
        <v>224</v>
      </c>
      <c r="Z2751" s="14" t="s">
        <v>138</v>
      </c>
      <c r="AA2751" s="0" t="s">
        <v>224</v>
      </c>
      <c r="AB2751" s="14" t="s">
        <v>138</v>
      </c>
      <c r="AD2751" s="0" t="s">
        <v>14</v>
      </c>
      <c r="AF2751" s="0">
        <v>0</v>
      </c>
      <c r="AG2751" s="0">
        <v>0</v>
      </c>
      <c r="AH2751" s="0" t="s">
        <v>140</v>
      </c>
      <c r="AI2751" s="0" t="s">
        <v>479</v>
      </c>
      <c r="AK2751" s="0" t="s">
        <v>1799</v>
      </c>
      <c r="AL2751" s="14"/>
      <c r="AN2751" s="14"/>
      <c r="AQ2751" s="0" t="s">
        <v>130</v>
      </c>
      <c r="AR2751" s="0" t="s">
        <v>130</v>
      </c>
      <c r="AS2751" s="0" t="s">
        <v>130</v>
      </c>
      <c r="AT2751" s="0" t="s">
        <v>130</v>
      </c>
      <c r="AU2751" s="0" t="s">
        <v>130</v>
      </c>
      <c r="AV2751" s="0" t="s">
        <v>130</v>
      </c>
      <c r="AW2751" s="0" t="s">
        <v>130</v>
      </c>
      <c r="AX2751" s="0" t="s">
        <v>130</v>
      </c>
      <c r="AY2751" s="0" t="s">
        <v>130</v>
      </c>
      <c r="AZ2751" s="0" t="s">
        <v>130</v>
      </c>
      <c r="BA2751" s="0" t="s">
        <v>130</v>
      </c>
      <c r="BB2751" s="0" t="s">
        <v>130</v>
      </c>
      <c r="BC2751" s="0" t="s">
        <v>130</v>
      </c>
      <c r="BD2751" s="0" t="s">
        <v>130</v>
      </c>
      <c r="BE2751" s="0" t="s">
        <v>130</v>
      </c>
      <c r="BF2751" s="0" t="s">
        <v>130</v>
      </c>
      <c r="BG2751" s="0" t="s">
        <v>130</v>
      </c>
      <c r="BH2751" s="0" t="s">
        <v>130</v>
      </c>
      <c r="BI2751" s="0" t="s">
        <v>130</v>
      </c>
      <c r="BJ2751" s="0" t="s">
        <v>130</v>
      </c>
      <c r="BK2751" s="0" t="s">
        <v>130</v>
      </c>
      <c r="BL2751" s="0" t="s">
        <v>130</v>
      </c>
      <c r="BM2751" s="0" t="s">
        <v>130</v>
      </c>
      <c r="BN2751" s="0" t="s">
        <v>130</v>
      </c>
      <c r="BO2751" s="0" t="s">
        <v>130</v>
      </c>
      <c r="BP2751" s="0" t="s">
        <v>130</v>
      </c>
      <c r="BQ2751" s="0" t="s">
        <v>130</v>
      </c>
      <c r="BR2751" s="0" t="s">
        <v>130</v>
      </c>
      <c r="BS2751" s="0" t="s">
        <v>130</v>
      </c>
      <c r="BT2751" s="0" t="s">
        <v>130</v>
      </c>
      <c r="BU2751" s="0" t="s">
        <v>130</v>
      </c>
      <c r="BV2751" s="0" t="s">
        <v>130</v>
      </c>
      <c r="BW2751" s="0" t="s">
        <v>130</v>
      </c>
      <c r="BX2751" s="0" t="s">
        <v>130</v>
      </c>
      <c r="BY2751" s="0" t="s">
        <v>130</v>
      </c>
      <c r="BZ2751" s="0" t="s">
        <v>130</v>
      </c>
      <c r="CA2751" s="0" t="s">
        <v>130</v>
      </c>
      <c r="CB2751" s="0" t="s">
        <v>130</v>
      </c>
      <c r="CC2751" s="0" t="s">
        <v>130</v>
      </c>
      <c r="CD2751" s="0" t="s">
        <v>130</v>
      </c>
      <c r="CE2751" s="0" t="s">
        <v>130</v>
      </c>
      <c r="CF2751" s="0" t="s">
        <v>130</v>
      </c>
      <c r="CG2751" s="0" t="s">
        <v>130</v>
      </c>
      <c r="CH2751" s="0" t="s">
        <v>130</v>
      </c>
      <c r="CI2751" s="0" t="s">
        <v>130</v>
      </c>
      <c r="CJ2751" s="0" t="s">
        <v>130</v>
      </c>
      <c r="CK2751" s="0" t="s">
        <v>130</v>
      </c>
      <c r="CL2751" s="0" t="s">
        <v>130</v>
      </c>
      <c r="CM2751" s="0" t="s">
        <v>130</v>
      </c>
      <c r="CN2751" s="0" t="s">
        <v>130</v>
      </c>
      <c r="CO2751" s="0" t="s">
        <v>130</v>
      </c>
      <c r="CP2751" s="0" t="s">
        <v>130</v>
      </c>
      <c r="CQ2751" s="0" t="s">
        <v>130</v>
      </c>
      <c r="CR2751" s="0" t="s">
        <v>130</v>
      </c>
      <c r="CS2751" s="0" t="s">
        <v>130</v>
      </c>
      <c r="CT2751" s="0" t="s">
        <v>7436</v>
      </c>
    </row>
    <row r="2752">
      <c r="A2752" s="14">
        <v>101661</v>
      </c>
      <c r="B2752" s="0" t="s">
        <v>1793</v>
      </c>
      <c r="C2752" s="16">
        <f>HYPERLINK("https://eosportal.federatedhermes.com/companies/Q29tcGFueQppNTg5ODA=", "Williams Cos Inc/The")</f>
      </c>
      <c r="D2752" s="0" t="s">
        <v>23</v>
      </c>
      <c r="E2752" s="0" t="s">
        <v>5543</v>
      </c>
      <c r="F2752" s="16">
        <f>HYPERLINK("https://eosportal.federatedhermes.com/engagements/RW5nYWdlbWVudAppMzgwMjg=", "Methane management best practices")</f>
      </c>
      <c r="G2752" s="14" t="s">
        <v>5544</v>
      </c>
      <c r="H2752" s="0" t="s">
        <v>130</v>
      </c>
      <c r="I2752" s="14" t="s">
        <v>131</v>
      </c>
      <c r="J2752" s="0" t="s">
        <v>197</v>
      </c>
      <c r="K2752" s="0" t="s">
        <v>198</v>
      </c>
      <c r="L2752" s="0" t="s">
        <v>220</v>
      </c>
      <c r="M2752" s="0" t="s">
        <v>135</v>
      </c>
      <c r="N2752" s="0" t="s">
        <v>136</v>
      </c>
      <c r="O2752" s="0" t="s">
        <v>542</v>
      </c>
      <c r="Q2752" s="0" t="s">
        <v>141</v>
      </c>
      <c r="R2752" s="0" t="s">
        <v>130</v>
      </c>
      <c r="S2752" s="14">
        <v>1</v>
      </c>
      <c r="T2752" s="0" t="s">
        <v>2428</v>
      </c>
      <c r="U2752" s="0" t="s">
        <v>221</v>
      </c>
      <c r="V2752" s="14" t="s">
        <v>2428</v>
      </c>
      <c r="W2752" s="0" t="s">
        <v>221</v>
      </c>
      <c r="X2752" s="14" t="s">
        <v>2428</v>
      </c>
      <c r="Y2752" s="0" t="s">
        <v>223</v>
      </c>
      <c r="Z2752" s="14" t="s">
        <v>138</v>
      </c>
      <c r="AA2752" s="0" t="s">
        <v>224</v>
      </c>
      <c r="AB2752" s="14" t="s">
        <v>138</v>
      </c>
      <c r="AD2752" s="0" t="s">
        <v>17</v>
      </c>
      <c r="AF2752" s="0">
        <v>0</v>
      </c>
      <c r="AG2752" s="0">
        <v>0</v>
      </c>
      <c r="AH2752" s="0" t="s">
        <v>140</v>
      </c>
      <c r="AI2752" s="0" t="s">
        <v>598</v>
      </c>
      <c r="AK2752" s="0" t="s">
        <v>847</v>
      </c>
      <c r="AL2752" s="14"/>
      <c r="AN2752" s="14"/>
      <c r="AQ2752" s="0" t="s">
        <v>130</v>
      </c>
      <c r="AR2752" s="0" t="s">
        <v>130</v>
      </c>
      <c r="AS2752" s="0" t="s">
        <v>130</v>
      </c>
      <c r="AT2752" s="0" t="s">
        <v>130</v>
      </c>
      <c r="AU2752" s="0" t="s">
        <v>130</v>
      </c>
      <c r="AV2752" s="0" t="s">
        <v>130</v>
      </c>
      <c r="AW2752" s="0" t="s">
        <v>141</v>
      </c>
      <c r="AX2752" s="0" t="s">
        <v>130</v>
      </c>
      <c r="AY2752" s="0" t="s">
        <v>141</v>
      </c>
      <c r="AZ2752" s="0" t="s">
        <v>130</v>
      </c>
      <c r="BA2752" s="0" t="s">
        <v>130</v>
      </c>
      <c r="BB2752" s="0" t="s">
        <v>130</v>
      </c>
      <c r="BC2752" s="0" t="s">
        <v>141</v>
      </c>
      <c r="BD2752" s="0" t="s">
        <v>130</v>
      </c>
      <c r="BE2752" s="0" t="s">
        <v>130</v>
      </c>
      <c r="BF2752" s="0" t="s">
        <v>130</v>
      </c>
      <c r="BG2752" s="0" t="s">
        <v>130</v>
      </c>
      <c r="BH2752" s="0" t="s">
        <v>130</v>
      </c>
      <c r="BI2752" s="0" t="s">
        <v>130</v>
      </c>
      <c r="BJ2752" s="0" t="s">
        <v>130</v>
      </c>
      <c r="BK2752" s="0" t="s">
        <v>130</v>
      </c>
      <c r="BL2752" s="0" t="s">
        <v>130</v>
      </c>
      <c r="BM2752" s="0" t="s">
        <v>130</v>
      </c>
      <c r="BN2752" s="0" t="s">
        <v>130</v>
      </c>
      <c r="BO2752" s="0" t="s">
        <v>130</v>
      </c>
      <c r="BP2752" s="0" t="s">
        <v>130</v>
      </c>
      <c r="BQ2752" s="0" t="s">
        <v>130</v>
      </c>
      <c r="BR2752" s="0" t="s">
        <v>130</v>
      </c>
      <c r="BS2752" s="0" t="s">
        <v>130</v>
      </c>
      <c r="BT2752" s="0" t="s">
        <v>130</v>
      </c>
      <c r="BU2752" s="0" t="s">
        <v>130</v>
      </c>
      <c r="BV2752" s="0" t="s">
        <v>130</v>
      </c>
      <c r="BW2752" s="0" t="s">
        <v>130</v>
      </c>
      <c r="BX2752" s="0" t="s">
        <v>130</v>
      </c>
      <c r="BY2752" s="0" t="s">
        <v>130</v>
      </c>
      <c r="BZ2752" s="0" t="s">
        <v>130</v>
      </c>
      <c r="CA2752" s="0" t="s">
        <v>130</v>
      </c>
      <c r="CB2752" s="0" t="s">
        <v>130</v>
      </c>
      <c r="CC2752" s="0" t="s">
        <v>130</v>
      </c>
      <c r="CD2752" s="0" t="s">
        <v>130</v>
      </c>
      <c r="CE2752" s="0" t="s">
        <v>130</v>
      </c>
      <c r="CF2752" s="0" t="s">
        <v>130</v>
      </c>
      <c r="CG2752" s="0" t="s">
        <v>130</v>
      </c>
      <c r="CH2752" s="0" t="s">
        <v>130</v>
      </c>
      <c r="CI2752" s="0" t="s">
        <v>130</v>
      </c>
      <c r="CJ2752" s="0" t="s">
        <v>130</v>
      </c>
      <c r="CK2752" s="0" t="s">
        <v>130</v>
      </c>
      <c r="CL2752" s="0" t="s">
        <v>130</v>
      </c>
      <c r="CM2752" s="0" t="s">
        <v>130</v>
      </c>
      <c r="CN2752" s="0" t="s">
        <v>130</v>
      </c>
      <c r="CO2752" s="0" t="s">
        <v>130</v>
      </c>
      <c r="CP2752" s="0" t="s">
        <v>130</v>
      </c>
      <c r="CQ2752" s="0" t="s">
        <v>130</v>
      </c>
      <c r="CR2752" s="0" t="s">
        <v>130</v>
      </c>
      <c r="CS2752" s="0" t="s">
        <v>130</v>
      </c>
      <c r="CT2752" s="0" t="s">
        <v>7437</v>
      </c>
    </row>
    <row r="2753">
      <c r="A2753" s="14">
        <v>101661</v>
      </c>
      <c r="B2753" s="0" t="s">
        <v>1793</v>
      </c>
      <c r="C2753" s="16">
        <f>HYPERLINK("https://eosportal.federatedhermes.com/companies/Q29tcGFueQppNTg5ODA=", "Williams Cos Inc/The")</f>
      </c>
      <c r="D2753" s="0" t="s">
        <v>23</v>
      </c>
      <c r="E2753" s="0" t="s">
        <v>5274</v>
      </c>
      <c r="F2753" s="16">
        <f>HYPERLINK("https://eosportal.federatedhermes.com/engagements/RW5nYWdlbWVudAppMzgwMjk=", "Energy Efficiency Strategy")</f>
      </c>
      <c r="G2753" s="14" t="s">
        <v>5275</v>
      </c>
      <c r="H2753" s="0" t="s">
        <v>130</v>
      </c>
      <c r="I2753" s="14" t="s">
        <v>131</v>
      </c>
      <c r="J2753" s="0" t="s">
        <v>197</v>
      </c>
      <c r="K2753" s="0" t="s">
        <v>198</v>
      </c>
      <c r="L2753" s="0" t="s">
        <v>220</v>
      </c>
      <c r="M2753" s="0" t="s">
        <v>135</v>
      </c>
      <c r="N2753" s="0" t="s">
        <v>136</v>
      </c>
      <c r="O2753" s="0" t="s">
        <v>542</v>
      </c>
      <c r="Q2753" s="0" t="s">
        <v>141</v>
      </c>
      <c r="R2753" s="0" t="s">
        <v>130</v>
      </c>
      <c r="S2753" s="14">
        <v>1</v>
      </c>
      <c r="T2753" s="0" t="s">
        <v>2428</v>
      </c>
      <c r="U2753" s="0" t="s">
        <v>221</v>
      </c>
      <c r="V2753" s="14" t="s">
        <v>2428</v>
      </c>
      <c r="W2753" s="0" t="s">
        <v>221</v>
      </c>
      <c r="X2753" s="14" t="s">
        <v>2428</v>
      </c>
      <c r="Y2753" s="0" t="s">
        <v>223</v>
      </c>
      <c r="Z2753" s="14" t="s">
        <v>138</v>
      </c>
      <c r="AA2753" s="0" t="s">
        <v>224</v>
      </c>
      <c r="AB2753" s="14" t="s">
        <v>138</v>
      </c>
      <c r="AD2753" s="0" t="s">
        <v>17</v>
      </c>
      <c r="AF2753" s="0">
        <v>0</v>
      </c>
      <c r="AG2753" s="0">
        <v>0</v>
      </c>
      <c r="AH2753" s="0" t="s">
        <v>140</v>
      </c>
      <c r="AI2753" s="0" t="s">
        <v>598</v>
      </c>
      <c r="AK2753" s="0" t="s">
        <v>847</v>
      </c>
      <c r="AL2753" s="14"/>
      <c r="AN2753" s="14"/>
      <c r="AQ2753" s="0" t="s">
        <v>130</v>
      </c>
      <c r="AR2753" s="0" t="s">
        <v>130</v>
      </c>
      <c r="AS2753" s="0" t="s">
        <v>130</v>
      </c>
      <c r="AT2753" s="0" t="s">
        <v>130</v>
      </c>
      <c r="AU2753" s="0" t="s">
        <v>130</v>
      </c>
      <c r="AV2753" s="0" t="s">
        <v>130</v>
      </c>
      <c r="AW2753" s="0" t="s">
        <v>141</v>
      </c>
      <c r="AX2753" s="0" t="s">
        <v>130</v>
      </c>
      <c r="AY2753" s="0" t="s">
        <v>141</v>
      </c>
      <c r="AZ2753" s="0" t="s">
        <v>130</v>
      </c>
      <c r="BA2753" s="0" t="s">
        <v>130</v>
      </c>
      <c r="BB2753" s="0" t="s">
        <v>130</v>
      </c>
      <c r="BC2753" s="0" t="s">
        <v>141</v>
      </c>
      <c r="BD2753" s="0" t="s">
        <v>130</v>
      </c>
      <c r="BE2753" s="0" t="s">
        <v>130</v>
      </c>
      <c r="BF2753" s="0" t="s">
        <v>130</v>
      </c>
      <c r="BG2753" s="0" t="s">
        <v>130</v>
      </c>
      <c r="BH2753" s="0" t="s">
        <v>130</v>
      </c>
      <c r="BI2753" s="0" t="s">
        <v>130</v>
      </c>
      <c r="BJ2753" s="0" t="s">
        <v>130</v>
      </c>
      <c r="BK2753" s="0" t="s">
        <v>130</v>
      </c>
      <c r="BL2753" s="0" t="s">
        <v>130</v>
      </c>
      <c r="BM2753" s="0" t="s">
        <v>130</v>
      </c>
      <c r="BN2753" s="0" t="s">
        <v>130</v>
      </c>
      <c r="BO2753" s="0" t="s">
        <v>130</v>
      </c>
      <c r="BP2753" s="0" t="s">
        <v>130</v>
      </c>
      <c r="BQ2753" s="0" t="s">
        <v>130</v>
      </c>
      <c r="BR2753" s="0" t="s">
        <v>130</v>
      </c>
      <c r="BS2753" s="0" t="s">
        <v>130</v>
      </c>
      <c r="BT2753" s="0" t="s">
        <v>130</v>
      </c>
      <c r="BU2753" s="0" t="s">
        <v>130</v>
      </c>
      <c r="BV2753" s="0" t="s">
        <v>130</v>
      </c>
      <c r="BW2753" s="0" t="s">
        <v>130</v>
      </c>
      <c r="BX2753" s="0" t="s">
        <v>130</v>
      </c>
      <c r="BY2753" s="0" t="s">
        <v>130</v>
      </c>
      <c r="BZ2753" s="0" t="s">
        <v>130</v>
      </c>
      <c r="CA2753" s="0" t="s">
        <v>130</v>
      </c>
      <c r="CB2753" s="0" t="s">
        <v>130</v>
      </c>
      <c r="CC2753" s="0" t="s">
        <v>130</v>
      </c>
      <c r="CD2753" s="0" t="s">
        <v>130</v>
      </c>
      <c r="CE2753" s="0" t="s">
        <v>130</v>
      </c>
      <c r="CF2753" s="0" t="s">
        <v>130</v>
      </c>
      <c r="CG2753" s="0" t="s">
        <v>130</v>
      </c>
      <c r="CH2753" s="0" t="s">
        <v>130</v>
      </c>
      <c r="CI2753" s="0" t="s">
        <v>130</v>
      </c>
      <c r="CJ2753" s="0" t="s">
        <v>130</v>
      </c>
      <c r="CK2753" s="0" t="s">
        <v>130</v>
      </c>
      <c r="CL2753" s="0" t="s">
        <v>130</v>
      </c>
      <c r="CM2753" s="0" t="s">
        <v>130</v>
      </c>
      <c r="CN2753" s="0" t="s">
        <v>130</v>
      </c>
      <c r="CO2753" s="0" t="s">
        <v>130</v>
      </c>
      <c r="CP2753" s="0" t="s">
        <v>130</v>
      </c>
      <c r="CQ2753" s="0" t="s">
        <v>130</v>
      </c>
      <c r="CR2753" s="0" t="s">
        <v>130</v>
      </c>
      <c r="CS2753" s="0" t="s">
        <v>130</v>
      </c>
      <c r="CT2753" s="0" t="s">
        <v>7438</v>
      </c>
    </row>
    <row r="2754">
      <c r="A2754" s="14">
        <v>101376</v>
      </c>
      <c r="B2754" s="0" t="s">
        <v>1578</v>
      </c>
      <c r="C2754" s="16">
        <f>HYPERLINK("https://eosportal.federatedhermes.com/companies/Q29tcGFueQppNzU2NzU=", "AT&amp;T Inc")</f>
      </c>
      <c r="D2754" s="0" t="s">
        <v>25</v>
      </c>
      <c r="E2754" s="0" t="s">
        <v>2237</v>
      </c>
      <c r="F2754" s="16">
        <f>HYPERLINK("https://eosportal.federatedhermes.com/engagements/RW5nYWdlbWVudAppMzgwMzU=", "Artificial Intelligence")</f>
      </c>
      <c r="G2754" s="14" t="s">
        <v>7439</v>
      </c>
      <c r="H2754" s="0" t="s">
        <v>141</v>
      </c>
      <c r="I2754" s="14" t="s">
        <v>131</v>
      </c>
      <c r="J2754" s="0" t="s">
        <v>153</v>
      </c>
      <c r="K2754" s="0" t="s">
        <v>243</v>
      </c>
      <c r="L2754" s="0" t="s">
        <v>537</v>
      </c>
      <c r="M2754" s="0" t="s">
        <v>135</v>
      </c>
      <c r="N2754" s="0" t="s">
        <v>136</v>
      </c>
      <c r="O2754" s="0" t="s">
        <v>137</v>
      </c>
      <c r="Q2754" s="0" t="s">
        <v>141</v>
      </c>
      <c r="R2754" s="0" t="s">
        <v>138</v>
      </c>
      <c r="S2754" s="14">
        <v>1</v>
      </c>
      <c r="T2754" s="0" t="s">
        <v>2428</v>
      </c>
      <c r="U2754" s="0" t="s">
        <v>138</v>
      </c>
      <c r="V2754" s="14" t="s">
        <v>138</v>
      </c>
      <c r="W2754" s="0" t="s">
        <v>138</v>
      </c>
      <c r="X2754" s="14" t="s">
        <v>138</v>
      </c>
      <c r="Y2754" s="0" t="s">
        <v>138</v>
      </c>
      <c r="Z2754" s="14" t="s">
        <v>138</v>
      </c>
      <c r="AA2754" s="0" t="s">
        <v>138</v>
      </c>
      <c r="AB2754" s="14" t="s">
        <v>138</v>
      </c>
      <c r="AD2754" s="0" t="s">
        <v>138</v>
      </c>
      <c r="AF2754" s="0">
        <v>0</v>
      </c>
      <c r="AG2754" s="0">
        <v>0</v>
      </c>
      <c r="AH2754" s="0" t="s">
        <v>140</v>
      </c>
      <c r="AI2754" s="0" t="s">
        <v>138</v>
      </c>
      <c r="AK2754" s="0" t="s">
        <v>2795</v>
      </c>
      <c r="AL2754" s="14"/>
      <c r="AN2754" s="14"/>
      <c r="AQ2754" s="0" t="s">
        <v>130</v>
      </c>
      <c r="AR2754" s="0" t="s">
        <v>130</v>
      </c>
      <c r="AS2754" s="0" t="s">
        <v>130</v>
      </c>
      <c r="AT2754" s="0" t="s">
        <v>130</v>
      </c>
      <c r="AU2754" s="0" t="s">
        <v>130</v>
      </c>
      <c r="AV2754" s="0" t="s">
        <v>130</v>
      </c>
      <c r="AW2754" s="0" t="s">
        <v>130</v>
      </c>
      <c r="AX2754" s="0" t="s">
        <v>130</v>
      </c>
      <c r="AY2754" s="0" t="s">
        <v>130</v>
      </c>
      <c r="AZ2754" s="0" t="s">
        <v>141</v>
      </c>
      <c r="BA2754" s="0" t="s">
        <v>130</v>
      </c>
      <c r="BB2754" s="0" t="s">
        <v>130</v>
      </c>
      <c r="BC2754" s="0" t="s">
        <v>130</v>
      </c>
      <c r="BD2754" s="0" t="s">
        <v>130</v>
      </c>
      <c r="BE2754" s="0" t="s">
        <v>130</v>
      </c>
      <c r="BF2754" s="0" t="s">
        <v>141</v>
      </c>
      <c r="BG2754" s="0" t="s">
        <v>130</v>
      </c>
      <c r="BH2754" s="0" t="s">
        <v>130</v>
      </c>
      <c r="BI2754" s="0" t="s">
        <v>130</v>
      </c>
      <c r="BJ2754" s="0" t="s">
        <v>130</v>
      </c>
      <c r="BK2754" s="0" t="s">
        <v>130</v>
      </c>
      <c r="BL2754" s="0" t="s">
        <v>130</v>
      </c>
      <c r="BM2754" s="0" t="s">
        <v>130</v>
      </c>
      <c r="BN2754" s="0" t="s">
        <v>130</v>
      </c>
      <c r="BO2754" s="0" t="s">
        <v>130</v>
      </c>
      <c r="BP2754" s="0" t="s">
        <v>130</v>
      </c>
      <c r="BQ2754" s="0" t="s">
        <v>130</v>
      </c>
      <c r="BR2754" s="0" t="s">
        <v>130</v>
      </c>
      <c r="BS2754" s="0" t="s">
        <v>130</v>
      </c>
      <c r="BT2754" s="0" t="s">
        <v>130</v>
      </c>
      <c r="BU2754" s="0" t="s">
        <v>130</v>
      </c>
      <c r="BV2754" s="0" t="s">
        <v>130</v>
      </c>
      <c r="BW2754" s="0" t="s">
        <v>130</v>
      </c>
      <c r="BX2754" s="0" t="s">
        <v>130</v>
      </c>
      <c r="BY2754" s="0" t="s">
        <v>130</v>
      </c>
      <c r="BZ2754" s="0" t="s">
        <v>130</v>
      </c>
      <c r="CA2754" s="0" t="s">
        <v>130</v>
      </c>
      <c r="CB2754" s="0" t="s">
        <v>130</v>
      </c>
      <c r="CC2754" s="0" t="s">
        <v>130</v>
      </c>
      <c r="CD2754" s="0" t="s">
        <v>130</v>
      </c>
      <c r="CE2754" s="0" t="s">
        <v>130</v>
      </c>
      <c r="CF2754" s="0" t="s">
        <v>130</v>
      </c>
      <c r="CG2754" s="0" t="s">
        <v>130</v>
      </c>
      <c r="CH2754" s="0" t="s">
        <v>130</v>
      </c>
      <c r="CI2754" s="0" t="s">
        <v>130</v>
      </c>
      <c r="CJ2754" s="0" t="s">
        <v>130</v>
      </c>
      <c r="CK2754" s="0" t="s">
        <v>130</v>
      </c>
      <c r="CL2754" s="0" t="s">
        <v>130</v>
      </c>
      <c r="CM2754" s="0" t="s">
        <v>130</v>
      </c>
      <c r="CN2754" s="0" t="s">
        <v>130</v>
      </c>
      <c r="CO2754" s="0" t="s">
        <v>130</v>
      </c>
      <c r="CP2754" s="0" t="s">
        <v>130</v>
      </c>
      <c r="CQ2754" s="0" t="s">
        <v>130</v>
      </c>
      <c r="CR2754" s="0" t="s">
        <v>130</v>
      </c>
      <c r="CS2754" s="0" t="s">
        <v>130</v>
      </c>
      <c r="CT2754" s="0" t="s">
        <v>7440</v>
      </c>
    </row>
    <row r="2755">
      <c r="A2755" s="14">
        <v>101450</v>
      </c>
      <c r="B2755" s="0" t="s">
        <v>1601</v>
      </c>
      <c r="C2755" s="16">
        <f>HYPERLINK("https://eosportal.federatedhermes.com/companies/Q29tcGFueQppNjUwODQ=", "Telefonica SA")</f>
      </c>
      <c r="D2755" s="0" t="s">
        <v>23</v>
      </c>
      <c r="E2755" s="0" t="s">
        <v>821</v>
      </c>
      <c r="F2755" s="16">
        <f>HYPERLINK("https://eosportal.federatedhermes.com/engagements/RW5nYWdlbWVudAppMzgwNDI=", "Board Diversity")</f>
      </c>
      <c r="G2755" s="14" t="s">
        <v>7441</v>
      </c>
      <c r="H2755" s="0" t="s">
        <v>141</v>
      </c>
      <c r="I2755" s="14" t="s">
        <v>131</v>
      </c>
      <c r="J2755" s="0" t="s">
        <v>145</v>
      </c>
      <c r="K2755" s="0" t="s">
        <v>164</v>
      </c>
      <c r="L2755" s="0" t="s">
        <v>165</v>
      </c>
      <c r="M2755" s="0" t="s">
        <v>378</v>
      </c>
      <c r="N2755" s="0" t="s">
        <v>379</v>
      </c>
      <c r="O2755" s="0" t="s">
        <v>137</v>
      </c>
      <c r="Q2755" s="0" t="s">
        <v>141</v>
      </c>
      <c r="R2755" s="0" t="s">
        <v>141</v>
      </c>
      <c r="S2755" s="14">
        <v>1</v>
      </c>
      <c r="T2755" s="0" t="s">
        <v>2842</v>
      </c>
      <c r="U2755" s="0" t="s">
        <v>221</v>
      </c>
      <c r="V2755" s="14" t="s">
        <v>2842</v>
      </c>
      <c r="W2755" s="0" t="s">
        <v>221</v>
      </c>
      <c r="X2755" s="14" t="s">
        <v>2842</v>
      </c>
      <c r="Y2755" s="0" t="s">
        <v>221</v>
      </c>
      <c r="Z2755" s="14" t="s">
        <v>361</v>
      </c>
      <c r="AA2755" s="0" t="s">
        <v>221</v>
      </c>
      <c r="AB2755" s="14" t="s">
        <v>361</v>
      </c>
      <c r="AC2755" s="0" t="s">
        <v>1261</v>
      </c>
      <c r="AD2755" s="0" t="s">
        <v>362</v>
      </c>
      <c r="AE2755" s="0" t="s">
        <v>1262</v>
      </c>
      <c r="AF2755" s="0">
        <v>2</v>
      </c>
      <c r="AG2755" s="0">
        <v>0</v>
      </c>
      <c r="AH2755" s="0" t="s">
        <v>140</v>
      </c>
      <c r="AI2755" s="0" t="s">
        <v>221</v>
      </c>
      <c r="AJ2755" s="0" t="s">
        <v>577</v>
      </c>
      <c r="AK2755" s="0" t="s">
        <v>339</v>
      </c>
      <c r="AL2755" s="14" t="s">
        <v>7442</v>
      </c>
      <c r="AM2755" s="0" t="s">
        <v>580</v>
      </c>
      <c r="AN2755" s="14"/>
      <c r="AQ2755" s="0" t="s">
        <v>130</v>
      </c>
      <c r="AR2755" s="0" t="s">
        <v>130</v>
      </c>
      <c r="AS2755" s="0" t="s">
        <v>130</v>
      </c>
      <c r="AT2755" s="0" t="s">
        <v>130</v>
      </c>
      <c r="AU2755" s="0" t="s">
        <v>141</v>
      </c>
      <c r="AV2755" s="0" t="s">
        <v>130</v>
      </c>
      <c r="AW2755" s="0" t="s">
        <v>130</v>
      </c>
      <c r="AX2755" s="0" t="s">
        <v>130</v>
      </c>
      <c r="AY2755" s="0" t="s">
        <v>130</v>
      </c>
      <c r="AZ2755" s="0" t="s">
        <v>141</v>
      </c>
      <c r="BA2755" s="0" t="s">
        <v>130</v>
      </c>
      <c r="BB2755" s="0" t="s">
        <v>130</v>
      </c>
      <c r="BC2755" s="0" t="s">
        <v>130</v>
      </c>
      <c r="BD2755" s="0" t="s">
        <v>130</v>
      </c>
      <c r="BE2755" s="0" t="s">
        <v>130</v>
      </c>
      <c r="BF2755" s="0" t="s">
        <v>130</v>
      </c>
      <c r="BG2755" s="0" t="s">
        <v>130</v>
      </c>
      <c r="BH2755" s="0" t="s">
        <v>130</v>
      </c>
      <c r="BI2755" s="0" t="s">
        <v>130</v>
      </c>
      <c r="BJ2755" s="0" t="s">
        <v>130</v>
      </c>
      <c r="BK2755" s="0" t="s">
        <v>130</v>
      </c>
      <c r="BL2755" s="0" t="s">
        <v>130</v>
      </c>
      <c r="BM2755" s="0" t="s">
        <v>130</v>
      </c>
      <c r="BN2755" s="0" t="s">
        <v>130</v>
      </c>
      <c r="BO2755" s="0" t="s">
        <v>130</v>
      </c>
      <c r="BP2755" s="0" t="s">
        <v>130</v>
      </c>
      <c r="BQ2755" s="0" t="s">
        <v>130</v>
      </c>
      <c r="BR2755" s="0" t="s">
        <v>130</v>
      </c>
      <c r="BS2755" s="0" t="s">
        <v>130</v>
      </c>
      <c r="BT2755" s="0" t="s">
        <v>130</v>
      </c>
      <c r="BU2755" s="0" t="s">
        <v>130</v>
      </c>
      <c r="BV2755" s="0" t="s">
        <v>130</v>
      </c>
      <c r="BW2755" s="0" t="s">
        <v>130</v>
      </c>
      <c r="BX2755" s="0" t="s">
        <v>130</v>
      </c>
      <c r="BY2755" s="0" t="s">
        <v>130</v>
      </c>
      <c r="BZ2755" s="0" t="s">
        <v>130</v>
      </c>
      <c r="CA2755" s="0" t="s">
        <v>130</v>
      </c>
      <c r="CB2755" s="0" t="s">
        <v>130</v>
      </c>
      <c r="CC2755" s="0" t="s">
        <v>130</v>
      </c>
      <c r="CD2755" s="0" t="s">
        <v>130</v>
      </c>
      <c r="CE2755" s="0" t="s">
        <v>130</v>
      </c>
      <c r="CF2755" s="0" t="s">
        <v>130</v>
      </c>
      <c r="CG2755" s="0" t="s">
        <v>130</v>
      </c>
      <c r="CH2755" s="0" t="s">
        <v>130</v>
      </c>
      <c r="CI2755" s="0" t="s">
        <v>130</v>
      </c>
      <c r="CJ2755" s="0" t="s">
        <v>130</v>
      </c>
      <c r="CK2755" s="0" t="s">
        <v>130</v>
      </c>
      <c r="CL2755" s="0" t="s">
        <v>130</v>
      </c>
      <c r="CM2755" s="0" t="s">
        <v>130</v>
      </c>
      <c r="CN2755" s="0" t="s">
        <v>130</v>
      </c>
      <c r="CO2755" s="0" t="s">
        <v>130</v>
      </c>
      <c r="CP2755" s="0" t="s">
        <v>130</v>
      </c>
      <c r="CQ2755" s="0" t="s">
        <v>130</v>
      </c>
      <c r="CR2755" s="0" t="s">
        <v>130</v>
      </c>
      <c r="CS2755" s="0" t="s">
        <v>130</v>
      </c>
      <c r="CT2755" s="0" t="s">
        <v>7443</v>
      </c>
    </row>
    <row r="2756">
      <c r="A2756" s="14">
        <v>60854400</v>
      </c>
      <c r="B2756" s="0" t="s">
        <v>4761</v>
      </c>
      <c r="C2756" s="16">
        <f>HYPERLINK("https://eosportal.federatedhermes.com/companies/Q29tcGFueQppODU0NTA=", "Walt Disney Co/The")</f>
      </c>
      <c r="D2756" s="0" t="s">
        <v>23</v>
      </c>
      <c r="E2756" s="0" t="s">
        <v>7444</v>
      </c>
      <c r="F2756" s="16">
        <f>HYPERLINK("https://eosportal.federatedhermes.com/engagements/RW5nYWdlbWVudAppMzgwNTU=", "Independent Board Evaluation")</f>
      </c>
      <c r="G2756" s="14" t="s">
        <v>7445</v>
      </c>
      <c r="H2756" s="0" t="s">
        <v>141</v>
      </c>
      <c r="I2756" s="14" t="s">
        <v>636</v>
      </c>
      <c r="J2756" s="0" t="s">
        <v>145</v>
      </c>
      <c r="K2756" s="0" t="s">
        <v>164</v>
      </c>
      <c r="L2756" s="0" t="s">
        <v>970</v>
      </c>
      <c r="M2756" s="0" t="s">
        <v>135</v>
      </c>
      <c r="N2756" s="0" t="s">
        <v>136</v>
      </c>
      <c r="O2756" s="0" t="s">
        <v>137</v>
      </c>
      <c r="Q2756" s="0" t="s">
        <v>141</v>
      </c>
      <c r="R2756" s="0" t="s">
        <v>130</v>
      </c>
      <c r="S2756" s="14">
        <v>1</v>
      </c>
      <c r="T2756" s="0" t="s">
        <v>2428</v>
      </c>
      <c r="U2756" s="0" t="s">
        <v>221</v>
      </c>
      <c r="V2756" s="14" t="s">
        <v>2428</v>
      </c>
      <c r="W2756" s="0" t="s">
        <v>223</v>
      </c>
      <c r="X2756" s="14" t="s">
        <v>138</v>
      </c>
      <c r="Y2756" s="0" t="s">
        <v>224</v>
      </c>
      <c r="Z2756" s="14" t="s">
        <v>138</v>
      </c>
      <c r="AA2756" s="0" t="s">
        <v>224</v>
      </c>
      <c r="AB2756" s="14" t="s">
        <v>138</v>
      </c>
      <c r="AD2756" s="0" t="s">
        <v>14</v>
      </c>
      <c r="AF2756" s="0">
        <v>0</v>
      </c>
      <c r="AG2756" s="0">
        <v>0</v>
      </c>
      <c r="AH2756" s="0" t="s">
        <v>140</v>
      </c>
      <c r="AI2756" s="0" t="s">
        <v>479</v>
      </c>
      <c r="AK2756" s="0" t="s">
        <v>233</v>
      </c>
      <c r="AL2756" s="14"/>
      <c r="AN2756" s="14"/>
      <c r="AQ2756" s="0" t="s">
        <v>130</v>
      </c>
      <c r="AR2756" s="0" t="s">
        <v>130</v>
      </c>
      <c r="AS2756" s="0" t="s">
        <v>130</v>
      </c>
      <c r="AT2756" s="0" t="s">
        <v>130</v>
      </c>
      <c r="AU2756" s="0" t="s">
        <v>130</v>
      </c>
      <c r="AV2756" s="0" t="s">
        <v>130</v>
      </c>
      <c r="AW2756" s="0" t="s">
        <v>130</v>
      </c>
      <c r="AX2756" s="0" t="s">
        <v>130</v>
      </c>
      <c r="AY2756" s="0" t="s">
        <v>130</v>
      </c>
      <c r="AZ2756" s="0" t="s">
        <v>130</v>
      </c>
      <c r="BA2756" s="0" t="s">
        <v>130</v>
      </c>
      <c r="BB2756" s="0" t="s">
        <v>130</v>
      </c>
      <c r="BC2756" s="0" t="s">
        <v>130</v>
      </c>
      <c r="BD2756" s="0" t="s">
        <v>130</v>
      </c>
      <c r="BE2756" s="0" t="s">
        <v>130</v>
      </c>
      <c r="BF2756" s="0" t="s">
        <v>130</v>
      </c>
      <c r="BG2756" s="0" t="s">
        <v>130</v>
      </c>
      <c r="BH2756" s="0" t="s">
        <v>130</v>
      </c>
      <c r="BI2756" s="0" t="s">
        <v>130</v>
      </c>
      <c r="BJ2756" s="0" t="s">
        <v>130</v>
      </c>
      <c r="BK2756" s="0" t="s">
        <v>130</v>
      </c>
      <c r="BL2756" s="0" t="s">
        <v>130</v>
      </c>
      <c r="BM2756" s="0" t="s">
        <v>130</v>
      </c>
      <c r="BN2756" s="0" t="s">
        <v>130</v>
      </c>
      <c r="BO2756" s="0" t="s">
        <v>130</v>
      </c>
      <c r="BP2756" s="0" t="s">
        <v>130</v>
      </c>
      <c r="BQ2756" s="0" t="s">
        <v>130</v>
      </c>
      <c r="BR2756" s="0" t="s">
        <v>130</v>
      </c>
      <c r="BS2756" s="0" t="s">
        <v>130</v>
      </c>
      <c r="BT2756" s="0" t="s">
        <v>130</v>
      </c>
      <c r="BU2756" s="0" t="s">
        <v>130</v>
      </c>
      <c r="BV2756" s="0" t="s">
        <v>130</v>
      </c>
      <c r="BW2756" s="0" t="s">
        <v>130</v>
      </c>
      <c r="BX2756" s="0" t="s">
        <v>130</v>
      </c>
      <c r="BY2756" s="0" t="s">
        <v>130</v>
      </c>
      <c r="BZ2756" s="0" t="s">
        <v>130</v>
      </c>
      <c r="CA2756" s="0" t="s">
        <v>130</v>
      </c>
      <c r="CB2756" s="0" t="s">
        <v>130</v>
      </c>
      <c r="CC2756" s="0" t="s">
        <v>130</v>
      </c>
      <c r="CD2756" s="0" t="s">
        <v>130</v>
      </c>
      <c r="CE2756" s="0" t="s">
        <v>130</v>
      </c>
      <c r="CF2756" s="0" t="s">
        <v>130</v>
      </c>
      <c r="CG2756" s="0" t="s">
        <v>130</v>
      </c>
      <c r="CH2756" s="0" t="s">
        <v>130</v>
      </c>
      <c r="CI2756" s="0" t="s">
        <v>130</v>
      </c>
      <c r="CJ2756" s="0" t="s">
        <v>130</v>
      </c>
      <c r="CK2756" s="0" t="s">
        <v>130</v>
      </c>
      <c r="CL2756" s="0" t="s">
        <v>130</v>
      </c>
      <c r="CM2756" s="0" t="s">
        <v>130</v>
      </c>
      <c r="CN2756" s="0" t="s">
        <v>130</v>
      </c>
      <c r="CO2756" s="0" t="s">
        <v>130</v>
      </c>
      <c r="CP2756" s="0" t="s">
        <v>130</v>
      </c>
      <c r="CQ2756" s="0" t="s">
        <v>130</v>
      </c>
      <c r="CR2756" s="0" t="s">
        <v>130</v>
      </c>
      <c r="CS2756" s="0" t="s">
        <v>130</v>
      </c>
      <c r="CT2756" s="0" t="s">
        <v>7446</v>
      </c>
    </row>
    <row r="2757">
      <c r="A2757" s="14">
        <v>115694</v>
      </c>
      <c r="B2757" s="0" t="s">
        <v>2507</v>
      </c>
      <c r="C2757" s="16">
        <f>HYPERLINK("https://eosportal.federatedhermes.com/companies/Q29tcGFueQppNTQ5NDQ=", "BASF SE")</f>
      </c>
      <c r="D2757" s="0" t="s">
        <v>25</v>
      </c>
      <c r="E2757" s="0" t="s">
        <v>7447</v>
      </c>
      <c r="F2757" s="16">
        <f>HYPERLINK("https://eosportal.federatedhermes.com/engagements/RW5nYWdlbWVudAppMzgwNzE=", "Public policy advocacy")</f>
      </c>
      <c r="G2757" s="14" t="s">
        <v>7448</v>
      </c>
      <c r="H2757" s="0" t="s">
        <v>141</v>
      </c>
      <c r="I2757" s="14" t="s">
        <v>1645</v>
      </c>
      <c r="J2757" s="0" t="s">
        <v>197</v>
      </c>
      <c r="K2757" s="0" t="s">
        <v>198</v>
      </c>
      <c r="L2757" s="0" t="s">
        <v>220</v>
      </c>
      <c r="M2757" s="0" t="s">
        <v>378</v>
      </c>
      <c r="N2757" s="0" t="s">
        <v>2485</v>
      </c>
      <c r="O2757" s="0" t="s">
        <v>706</v>
      </c>
      <c r="Q2757" s="0" t="s">
        <v>130</v>
      </c>
      <c r="R2757" s="0" t="s">
        <v>138</v>
      </c>
      <c r="S2757" s="14">
        <v>0</v>
      </c>
      <c r="T2757" s="0" t="s">
        <v>2428</v>
      </c>
      <c r="U2757" s="0" t="s">
        <v>138</v>
      </c>
      <c r="V2757" s="14" t="s">
        <v>138</v>
      </c>
      <c r="W2757" s="0" t="s">
        <v>138</v>
      </c>
      <c r="X2757" s="14" t="s">
        <v>138</v>
      </c>
      <c r="Y2757" s="0" t="s">
        <v>138</v>
      </c>
      <c r="Z2757" s="14" t="s">
        <v>138</v>
      </c>
      <c r="AA2757" s="0" t="s">
        <v>138</v>
      </c>
      <c r="AB2757" s="14" t="s">
        <v>138</v>
      </c>
      <c r="AD2757" s="0" t="s">
        <v>138</v>
      </c>
      <c r="AF2757" s="0">
        <v>0</v>
      </c>
      <c r="AG2757" s="0">
        <v>0</v>
      </c>
      <c r="AH2757" s="0" t="s">
        <v>140</v>
      </c>
      <c r="AI2757" s="0" t="s">
        <v>138</v>
      </c>
      <c r="AL2757" s="14"/>
      <c r="AN2757" s="14"/>
      <c r="AQ2757" s="0" t="s">
        <v>130</v>
      </c>
      <c r="AR2757" s="0" t="s">
        <v>130</v>
      </c>
      <c r="AS2757" s="0" t="s">
        <v>130</v>
      </c>
      <c r="AT2757" s="0" t="s">
        <v>130</v>
      </c>
      <c r="AU2757" s="0" t="s">
        <v>130</v>
      </c>
      <c r="AV2757" s="0" t="s">
        <v>130</v>
      </c>
      <c r="AW2757" s="0" t="s">
        <v>141</v>
      </c>
      <c r="AX2757" s="0" t="s">
        <v>130</v>
      </c>
      <c r="AY2757" s="0" t="s">
        <v>141</v>
      </c>
      <c r="AZ2757" s="0" t="s">
        <v>130</v>
      </c>
      <c r="BA2757" s="0" t="s">
        <v>130</v>
      </c>
      <c r="BB2757" s="0" t="s">
        <v>130</v>
      </c>
      <c r="BC2757" s="0" t="s">
        <v>141</v>
      </c>
      <c r="BD2757" s="0" t="s">
        <v>130</v>
      </c>
      <c r="BE2757" s="0" t="s">
        <v>130</v>
      </c>
      <c r="BF2757" s="0" t="s">
        <v>130</v>
      </c>
      <c r="BG2757" s="0" t="s">
        <v>130</v>
      </c>
      <c r="BH2757" s="0" t="s">
        <v>130</v>
      </c>
      <c r="BI2757" s="0" t="s">
        <v>130</v>
      </c>
      <c r="BJ2757" s="0" t="s">
        <v>130</v>
      </c>
      <c r="BK2757" s="0" t="s">
        <v>130</v>
      </c>
      <c r="BL2757" s="0" t="s">
        <v>130</v>
      </c>
      <c r="BM2757" s="0" t="s">
        <v>130</v>
      </c>
      <c r="BN2757" s="0" t="s">
        <v>130</v>
      </c>
      <c r="BO2757" s="0" t="s">
        <v>130</v>
      </c>
      <c r="BP2757" s="0" t="s">
        <v>130</v>
      </c>
      <c r="BQ2757" s="0" t="s">
        <v>130</v>
      </c>
      <c r="BR2757" s="0" t="s">
        <v>130</v>
      </c>
      <c r="BS2757" s="0" t="s">
        <v>130</v>
      </c>
      <c r="BT2757" s="0" t="s">
        <v>130</v>
      </c>
      <c r="BU2757" s="0" t="s">
        <v>130</v>
      </c>
      <c r="BV2757" s="0" t="s">
        <v>130</v>
      </c>
      <c r="BW2757" s="0" t="s">
        <v>130</v>
      </c>
      <c r="BX2757" s="0" t="s">
        <v>130</v>
      </c>
      <c r="BY2757" s="0" t="s">
        <v>130</v>
      </c>
      <c r="BZ2757" s="0" t="s">
        <v>130</v>
      </c>
      <c r="CA2757" s="0" t="s">
        <v>130</v>
      </c>
      <c r="CB2757" s="0" t="s">
        <v>130</v>
      </c>
      <c r="CC2757" s="0" t="s">
        <v>130</v>
      </c>
      <c r="CD2757" s="0" t="s">
        <v>130</v>
      </c>
      <c r="CE2757" s="0" t="s">
        <v>130</v>
      </c>
      <c r="CF2757" s="0" t="s">
        <v>130</v>
      </c>
      <c r="CG2757" s="0" t="s">
        <v>130</v>
      </c>
      <c r="CH2757" s="0" t="s">
        <v>130</v>
      </c>
      <c r="CI2757" s="0" t="s">
        <v>130</v>
      </c>
      <c r="CJ2757" s="0" t="s">
        <v>130</v>
      </c>
      <c r="CK2757" s="0" t="s">
        <v>130</v>
      </c>
      <c r="CL2757" s="0" t="s">
        <v>130</v>
      </c>
      <c r="CM2757" s="0" t="s">
        <v>130</v>
      </c>
      <c r="CN2757" s="0" t="s">
        <v>130</v>
      </c>
      <c r="CO2757" s="0" t="s">
        <v>130</v>
      </c>
      <c r="CP2757" s="0" t="s">
        <v>130</v>
      </c>
      <c r="CQ2757" s="0" t="s">
        <v>130</v>
      </c>
      <c r="CR2757" s="0" t="s">
        <v>130</v>
      </c>
      <c r="CS2757" s="0" t="s">
        <v>130</v>
      </c>
      <c r="CT2757" s="0" t="s">
        <v>7449</v>
      </c>
    </row>
    <row r="2758">
      <c r="A2758" s="14">
        <v>117976</v>
      </c>
      <c r="B2758" s="0" t="s">
        <v>4944</v>
      </c>
      <c r="C2758" s="16">
        <f>HYPERLINK("https://eosportal.federatedhermes.com/companies/Q29tcGFueQppNTg5MTU=", "Sika AG")</f>
      </c>
      <c r="D2758" s="0" t="s">
        <v>25</v>
      </c>
      <c r="E2758" s="0" t="s">
        <v>7450</v>
      </c>
      <c r="F2758" s="16">
        <f>HYPERLINK("https://eosportal.federatedhermes.com/engagements/RW5nYWdlbWVudAppMzgwNzI=", "Mental Health and Wellbeing")</f>
      </c>
      <c r="G2758" s="14" t="s">
        <v>7451</v>
      </c>
      <c r="H2758" s="0" t="s">
        <v>141</v>
      </c>
      <c r="I2758" s="14" t="s">
        <v>191</v>
      </c>
      <c r="J2758" s="0" t="s">
        <v>153</v>
      </c>
      <c r="K2758" s="0" t="s">
        <v>154</v>
      </c>
      <c r="L2758" s="0" t="s">
        <v>155</v>
      </c>
      <c r="M2758" s="0" t="s">
        <v>378</v>
      </c>
      <c r="N2758" s="0" t="s">
        <v>1059</v>
      </c>
      <c r="O2758" s="0" t="s">
        <v>706</v>
      </c>
      <c r="Q2758" s="0" t="s">
        <v>130</v>
      </c>
      <c r="R2758" s="0" t="s">
        <v>138</v>
      </c>
      <c r="S2758" s="14">
        <v>0</v>
      </c>
      <c r="T2758" s="0" t="s">
        <v>2428</v>
      </c>
      <c r="U2758" s="0" t="s">
        <v>138</v>
      </c>
      <c r="V2758" s="14" t="s">
        <v>138</v>
      </c>
      <c r="W2758" s="0" t="s">
        <v>138</v>
      </c>
      <c r="X2758" s="14" t="s">
        <v>138</v>
      </c>
      <c r="Y2758" s="0" t="s">
        <v>138</v>
      </c>
      <c r="Z2758" s="14" t="s">
        <v>138</v>
      </c>
      <c r="AA2758" s="0" t="s">
        <v>138</v>
      </c>
      <c r="AB2758" s="14" t="s">
        <v>138</v>
      </c>
      <c r="AD2758" s="0" t="s">
        <v>138</v>
      </c>
      <c r="AF2758" s="0">
        <v>0</v>
      </c>
      <c r="AG2758" s="0">
        <v>0</v>
      </c>
      <c r="AH2758" s="0" t="s">
        <v>140</v>
      </c>
      <c r="AI2758" s="0" t="s">
        <v>138</v>
      </c>
      <c r="AL2758" s="14"/>
      <c r="AN2758" s="14"/>
      <c r="AQ2758" s="0" t="s">
        <v>130</v>
      </c>
      <c r="AR2758" s="0" t="s">
        <v>130</v>
      </c>
      <c r="AS2758" s="0" t="s">
        <v>141</v>
      </c>
      <c r="AT2758" s="0" t="s">
        <v>130</v>
      </c>
      <c r="AU2758" s="0" t="s">
        <v>130</v>
      </c>
      <c r="AV2758" s="0" t="s">
        <v>130</v>
      </c>
      <c r="AW2758" s="0" t="s">
        <v>130</v>
      </c>
      <c r="AX2758" s="0" t="s">
        <v>141</v>
      </c>
      <c r="AY2758" s="0" t="s">
        <v>130</v>
      </c>
      <c r="AZ2758" s="0" t="s">
        <v>130</v>
      </c>
      <c r="BA2758" s="0" t="s">
        <v>130</v>
      </c>
      <c r="BB2758" s="0" t="s">
        <v>130</v>
      </c>
      <c r="BC2758" s="0" t="s">
        <v>130</v>
      </c>
      <c r="BD2758" s="0" t="s">
        <v>130</v>
      </c>
      <c r="BE2758" s="0" t="s">
        <v>130</v>
      </c>
      <c r="BF2758" s="0" t="s">
        <v>130</v>
      </c>
      <c r="BG2758" s="0" t="s">
        <v>130</v>
      </c>
      <c r="BH2758" s="0" t="s">
        <v>130</v>
      </c>
      <c r="BI2758" s="0" t="s">
        <v>130</v>
      </c>
      <c r="BJ2758" s="0" t="s">
        <v>130</v>
      </c>
      <c r="BK2758" s="0" t="s">
        <v>130</v>
      </c>
      <c r="BL2758" s="0" t="s">
        <v>130</v>
      </c>
      <c r="BM2758" s="0" t="s">
        <v>130</v>
      </c>
      <c r="BN2758" s="0" t="s">
        <v>130</v>
      </c>
      <c r="BO2758" s="0" t="s">
        <v>130</v>
      </c>
      <c r="BP2758" s="0" t="s">
        <v>130</v>
      </c>
      <c r="BQ2758" s="0" t="s">
        <v>130</v>
      </c>
      <c r="BR2758" s="0" t="s">
        <v>130</v>
      </c>
      <c r="BS2758" s="0" t="s">
        <v>130</v>
      </c>
      <c r="BT2758" s="0" t="s">
        <v>130</v>
      </c>
      <c r="BU2758" s="0" t="s">
        <v>130</v>
      </c>
      <c r="BV2758" s="0" t="s">
        <v>130</v>
      </c>
      <c r="BW2758" s="0" t="s">
        <v>130</v>
      </c>
      <c r="BX2758" s="0" t="s">
        <v>130</v>
      </c>
      <c r="BY2758" s="0" t="s">
        <v>130</v>
      </c>
      <c r="BZ2758" s="0" t="s">
        <v>130</v>
      </c>
      <c r="CA2758" s="0" t="s">
        <v>130</v>
      </c>
      <c r="CB2758" s="0" t="s">
        <v>130</v>
      </c>
      <c r="CC2758" s="0" t="s">
        <v>130</v>
      </c>
      <c r="CD2758" s="0" t="s">
        <v>130</v>
      </c>
      <c r="CE2758" s="0" t="s">
        <v>130</v>
      </c>
      <c r="CF2758" s="0" t="s">
        <v>130</v>
      </c>
      <c r="CG2758" s="0" t="s">
        <v>130</v>
      </c>
      <c r="CH2758" s="0" t="s">
        <v>130</v>
      </c>
      <c r="CI2758" s="0" t="s">
        <v>141</v>
      </c>
      <c r="CJ2758" s="0" t="s">
        <v>130</v>
      </c>
      <c r="CK2758" s="0" t="s">
        <v>130</v>
      </c>
      <c r="CL2758" s="0" t="s">
        <v>130</v>
      </c>
      <c r="CM2758" s="0" t="s">
        <v>130</v>
      </c>
      <c r="CN2758" s="0" t="s">
        <v>130</v>
      </c>
      <c r="CO2758" s="0" t="s">
        <v>130</v>
      </c>
      <c r="CP2758" s="0" t="s">
        <v>130</v>
      </c>
      <c r="CQ2758" s="0" t="s">
        <v>130</v>
      </c>
      <c r="CR2758" s="0" t="s">
        <v>130</v>
      </c>
      <c r="CS2758" s="0" t="s">
        <v>130</v>
      </c>
      <c r="CT2758" s="0" t="s">
        <v>7452</v>
      </c>
    </row>
    <row r="2759">
      <c r="A2759" s="14">
        <v>115518</v>
      </c>
      <c r="B2759" s="0" t="s">
        <v>2451</v>
      </c>
      <c r="C2759" s="16">
        <f>HYPERLINK("https://eosportal.federatedhermes.com/companies/Q29tcGFueQppNjMxNjU=", "Schneider Electric SE")</f>
      </c>
      <c r="D2759" s="0" t="s">
        <v>25</v>
      </c>
      <c r="E2759" s="0" t="s">
        <v>7453</v>
      </c>
      <c r="F2759" s="16">
        <f>HYPERLINK("https://eosportal.federatedhermes.com/engagements/RW5nYWdlbWVudAppMzgwNzM=", "Nature and Biodiversity")</f>
      </c>
      <c r="G2759" s="14" t="s">
        <v>7454</v>
      </c>
      <c r="H2759" s="0" t="s">
        <v>141</v>
      </c>
      <c r="I2759" s="14" t="s">
        <v>131</v>
      </c>
      <c r="J2759" s="0" t="s">
        <v>197</v>
      </c>
      <c r="K2759" s="0" t="s">
        <v>337</v>
      </c>
      <c r="L2759" s="0" t="s">
        <v>576</v>
      </c>
      <c r="M2759" s="0" t="s">
        <v>378</v>
      </c>
      <c r="N2759" s="0" t="s">
        <v>1646</v>
      </c>
      <c r="O2759" s="0" t="s">
        <v>176</v>
      </c>
      <c r="Q2759" s="0" t="s">
        <v>130</v>
      </c>
      <c r="R2759" s="0" t="s">
        <v>138</v>
      </c>
      <c r="S2759" s="14">
        <v>0</v>
      </c>
      <c r="T2759" s="0" t="s">
        <v>2428</v>
      </c>
      <c r="U2759" s="0" t="s">
        <v>138</v>
      </c>
      <c r="V2759" s="14" t="s">
        <v>138</v>
      </c>
      <c r="W2759" s="0" t="s">
        <v>138</v>
      </c>
      <c r="X2759" s="14" t="s">
        <v>138</v>
      </c>
      <c r="Y2759" s="0" t="s">
        <v>138</v>
      </c>
      <c r="Z2759" s="14" t="s">
        <v>138</v>
      </c>
      <c r="AA2759" s="0" t="s">
        <v>138</v>
      </c>
      <c r="AB2759" s="14" t="s">
        <v>138</v>
      </c>
      <c r="AD2759" s="0" t="s">
        <v>138</v>
      </c>
      <c r="AF2759" s="0">
        <v>0</v>
      </c>
      <c r="AG2759" s="0">
        <v>0</v>
      </c>
      <c r="AH2759" s="0" t="s">
        <v>140</v>
      </c>
      <c r="AI2759" s="0" t="s">
        <v>138</v>
      </c>
      <c r="AL2759" s="14"/>
      <c r="AN2759" s="14"/>
      <c r="AQ2759" s="0" t="s">
        <v>130</v>
      </c>
      <c r="AR2759" s="0" t="s">
        <v>130</v>
      </c>
      <c r="AS2759" s="0" t="s">
        <v>130</v>
      </c>
      <c r="AT2759" s="0" t="s">
        <v>130</v>
      </c>
      <c r="AU2759" s="0" t="s">
        <v>130</v>
      </c>
      <c r="AV2759" s="0" t="s">
        <v>130</v>
      </c>
      <c r="AW2759" s="0" t="s">
        <v>130</v>
      </c>
      <c r="AX2759" s="0" t="s">
        <v>130</v>
      </c>
      <c r="AY2759" s="0" t="s">
        <v>130</v>
      </c>
      <c r="AZ2759" s="0" t="s">
        <v>130</v>
      </c>
      <c r="BA2759" s="0" t="s">
        <v>141</v>
      </c>
      <c r="BB2759" s="0" t="s">
        <v>141</v>
      </c>
      <c r="BC2759" s="0" t="s">
        <v>130</v>
      </c>
      <c r="BD2759" s="0" t="s">
        <v>130</v>
      </c>
      <c r="BE2759" s="0" t="s">
        <v>141</v>
      </c>
      <c r="BF2759" s="0" t="s">
        <v>130</v>
      </c>
      <c r="BG2759" s="0" t="s">
        <v>130</v>
      </c>
      <c r="BH2759" s="0" t="s">
        <v>130</v>
      </c>
      <c r="BI2759" s="0" t="s">
        <v>130</v>
      </c>
      <c r="BJ2759" s="0" t="s">
        <v>130</v>
      </c>
      <c r="BK2759" s="0" t="s">
        <v>130</v>
      </c>
      <c r="BL2759" s="0" t="s">
        <v>130</v>
      </c>
      <c r="BM2759" s="0" t="s">
        <v>130</v>
      </c>
      <c r="BN2759" s="0" t="s">
        <v>130</v>
      </c>
      <c r="BO2759" s="0" t="s">
        <v>130</v>
      </c>
      <c r="BP2759" s="0" t="s">
        <v>130</v>
      </c>
      <c r="BQ2759" s="0" t="s">
        <v>130</v>
      </c>
      <c r="BR2759" s="0" t="s">
        <v>130</v>
      </c>
      <c r="BS2759" s="0" t="s">
        <v>130</v>
      </c>
      <c r="BT2759" s="0" t="s">
        <v>130</v>
      </c>
      <c r="BU2759" s="0" t="s">
        <v>130</v>
      </c>
      <c r="BV2759" s="0" t="s">
        <v>130</v>
      </c>
      <c r="BW2759" s="0" t="s">
        <v>130</v>
      </c>
      <c r="BX2759" s="0" t="s">
        <v>130</v>
      </c>
      <c r="BY2759" s="0" t="s">
        <v>130</v>
      </c>
      <c r="BZ2759" s="0" t="s">
        <v>130</v>
      </c>
      <c r="CA2759" s="0" t="s">
        <v>130</v>
      </c>
      <c r="CB2759" s="0" t="s">
        <v>130</v>
      </c>
      <c r="CC2759" s="0" t="s">
        <v>130</v>
      </c>
      <c r="CD2759" s="0" t="s">
        <v>130</v>
      </c>
      <c r="CE2759" s="0" t="s">
        <v>130</v>
      </c>
      <c r="CF2759" s="0" t="s">
        <v>130</v>
      </c>
      <c r="CG2759" s="0" t="s">
        <v>130</v>
      </c>
      <c r="CH2759" s="0" t="s">
        <v>130</v>
      </c>
      <c r="CI2759" s="0" t="s">
        <v>130</v>
      </c>
      <c r="CJ2759" s="0" t="s">
        <v>130</v>
      </c>
      <c r="CK2759" s="0" t="s">
        <v>130</v>
      </c>
      <c r="CL2759" s="0" t="s">
        <v>130</v>
      </c>
      <c r="CM2759" s="0" t="s">
        <v>130</v>
      </c>
      <c r="CN2759" s="0" t="s">
        <v>130</v>
      </c>
      <c r="CO2759" s="0" t="s">
        <v>130</v>
      </c>
      <c r="CP2759" s="0" t="s">
        <v>130</v>
      </c>
      <c r="CQ2759" s="0" t="s">
        <v>130</v>
      </c>
      <c r="CR2759" s="0" t="s">
        <v>130</v>
      </c>
      <c r="CS2759" s="0" t="s">
        <v>130</v>
      </c>
      <c r="CT2759" s="0" t="s">
        <v>7455</v>
      </c>
    </row>
    <row r="2760">
      <c r="A2760" s="14">
        <v>100539</v>
      </c>
      <c r="B2760" s="0" t="s">
        <v>745</v>
      </c>
      <c r="C2760" s="16">
        <f>HYPERLINK("https://eosportal.federatedhermes.com/companies/Q29tcGFueQppNTQ1MDc=", "EQT Corp")</f>
      </c>
      <c r="D2760" s="0" t="s">
        <v>23</v>
      </c>
      <c r="E2760" s="0" t="s">
        <v>5543</v>
      </c>
      <c r="F2760" s="16">
        <f>HYPERLINK("https://eosportal.federatedhermes.com/engagements/RW5nYWdlbWVudAppMzgxMDY=", "Methane management best practices")</f>
      </c>
      <c r="G2760" s="14" t="s">
        <v>5544</v>
      </c>
      <c r="H2760" s="0" t="s">
        <v>130</v>
      </c>
      <c r="I2760" s="14" t="s">
        <v>131</v>
      </c>
      <c r="J2760" s="0" t="s">
        <v>197</v>
      </c>
      <c r="K2760" s="0" t="s">
        <v>198</v>
      </c>
      <c r="L2760" s="0" t="s">
        <v>220</v>
      </c>
      <c r="M2760" s="0" t="s">
        <v>135</v>
      </c>
      <c r="N2760" s="0" t="s">
        <v>136</v>
      </c>
      <c r="O2760" s="0" t="s">
        <v>542</v>
      </c>
      <c r="Q2760" s="0" t="s">
        <v>141</v>
      </c>
      <c r="R2760" s="0" t="s">
        <v>130</v>
      </c>
      <c r="S2760" s="14">
        <v>1</v>
      </c>
      <c r="T2760" s="0" t="s">
        <v>2428</v>
      </c>
      <c r="U2760" s="0" t="s">
        <v>221</v>
      </c>
      <c r="V2760" s="14" t="s">
        <v>2428</v>
      </c>
      <c r="W2760" s="0" t="s">
        <v>221</v>
      </c>
      <c r="X2760" s="14" t="s">
        <v>2428</v>
      </c>
      <c r="Y2760" s="0" t="s">
        <v>223</v>
      </c>
      <c r="Z2760" s="14" t="s">
        <v>138</v>
      </c>
      <c r="AA2760" s="0" t="s">
        <v>224</v>
      </c>
      <c r="AB2760" s="14" t="s">
        <v>138</v>
      </c>
      <c r="AD2760" s="0" t="s">
        <v>17</v>
      </c>
      <c r="AF2760" s="0">
        <v>0</v>
      </c>
      <c r="AG2760" s="0">
        <v>0</v>
      </c>
      <c r="AH2760" s="0" t="s">
        <v>140</v>
      </c>
      <c r="AI2760" s="0" t="s">
        <v>598</v>
      </c>
      <c r="AK2760" s="0" t="s">
        <v>2239</v>
      </c>
      <c r="AL2760" s="14"/>
      <c r="AN2760" s="14"/>
      <c r="AQ2760" s="0" t="s">
        <v>130</v>
      </c>
      <c r="AR2760" s="0" t="s">
        <v>130</v>
      </c>
      <c r="AS2760" s="0" t="s">
        <v>130</v>
      </c>
      <c r="AT2760" s="0" t="s">
        <v>130</v>
      </c>
      <c r="AU2760" s="0" t="s">
        <v>130</v>
      </c>
      <c r="AV2760" s="0" t="s">
        <v>130</v>
      </c>
      <c r="AW2760" s="0" t="s">
        <v>141</v>
      </c>
      <c r="AX2760" s="0" t="s">
        <v>130</v>
      </c>
      <c r="AY2760" s="0" t="s">
        <v>141</v>
      </c>
      <c r="AZ2760" s="0" t="s">
        <v>130</v>
      </c>
      <c r="BA2760" s="0" t="s">
        <v>130</v>
      </c>
      <c r="BB2760" s="0" t="s">
        <v>130</v>
      </c>
      <c r="BC2760" s="0" t="s">
        <v>141</v>
      </c>
      <c r="BD2760" s="0" t="s">
        <v>130</v>
      </c>
      <c r="BE2760" s="0" t="s">
        <v>130</v>
      </c>
      <c r="BF2760" s="0" t="s">
        <v>130</v>
      </c>
      <c r="BG2760" s="0" t="s">
        <v>130</v>
      </c>
      <c r="BH2760" s="0" t="s">
        <v>130</v>
      </c>
      <c r="BI2760" s="0" t="s">
        <v>130</v>
      </c>
      <c r="BJ2760" s="0" t="s">
        <v>130</v>
      </c>
      <c r="BK2760" s="0" t="s">
        <v>130</v>
      </c>
      <c r="BL2760" s="0" t="s">
        <v>130</v>
      </c>
      <c r="BM2760" s="0" t="s">
        <v>130</v>
      </c>
      <c r="BN2760" s="0" t="s">
        <v>130</v>
      </c>
      <c r="BO2760" s="0" t="s">
        <v>130</v>
      </c>
      <c r="BP2760" s="0" t="s">
        <v>130</v>
      </c>
      <c r="BQ2760" s="0" t="s">
        <v>130</v>
      </c>
      <c r="BR2760" s="0" t="s">
        <v>130</v>
      </c>
      <c r="BS2760" s="0" t="s">
        <v>130</v>
      </c>
      <c r="BT2760" s="0" t="s">
        <v>130</v>
      </c>
      <c r="BU2760" s="0" t="s">
        <v>130</v>
      </c>
      <c r="BV2760" s="0" t="s">
        <v>130</v>
      </c>
      <c r="BW2760" s="0" t="s">
        <v>130</v>
      </c>
      <c r="BX2760" s="0" t="s">
        <v>130</v>
      </c>
      <c r="BY2760" s="0" t="s">
        <v>130</v>
      </c>
      <c r="BZ2760" s="0" t="s">
        <v>130</v>
      </c>
      <c r="CA2760" s="0" t="s">
        <v>130</v>
      </c>
      <c r="CB2760" s="0" t="s">
        <v>130</v>
      </c>
      <c r="CC2760" s="0" t="s">
        <v>130</v>
      </c>
      <c r="CD2760" s="0" t="s">
        <v>130</v>
      </c>
      <c r="CE2760" s="0" t="s">
        <v>130</v>
      </c>
      <c r="CF2760" s="0" t="s">
        <v>130</v>
      </c>
      <c r="CG2760" s="0" t="s">
        <v>130</v>
      </c>
      <c r="CH2760" s="0" t="s">
        <v>130</v>
      </c>
      <c r="CI2760" s="0" t="s">
        <v>130</v>
      </c>
      <c r="CJ2760" s="0" t="s">
        <v>130</v>
      </c>
      <c r="CK2760" s="0" t="s">
        <v>130</v>
      </c>
      <c r="CL2760" s="0" t="s">
        <v>130</v>
      </c>
      <c r="CM2760" s="0" t="s">
        <v>130</v>
      </c>
      <c r="CN2760" s="0" t="s">
        <v>130</v>
      </c>
      <c r="CO2760" s="0" t="s">
        <v>130</v>
      </c>
      <c r="CP2760" s="0" t="s">
        <v>130</v>
      </c>
      <c r="CQ2760" s="0" t="s">
        <v>130</v>
      </c>
      <c r="CR2760" s="0" t="s">
        <v>130</v>
      </c>
      <c r="CS2760" s="0" t="s">
        <v>130</v>
      </c>
      <c r="CT2760" s="0" t="s">
        <v>7456</v>
      </c>
    </row>
    <row r="2761">
      <c r="A2761" s="14">
        <v>24815130</v>
      </c>
      <c r="B2761" s="0" t="s">
        <v>4314</v>
      </c>
      <c r="C2761" s="16">
        <f>HYPERLINK("https://eosportal.federatedhermes.com/companies/Q29tcGFueQppNjMzMjY=", "IQVIA Holdings Inc")</f>
      </c>
      <c r="D2761" s="0" t="s">
        <v>23</v>
      </c>
      <c r="E2761" s="0" t="s">
        <v>7457</v>
      </c>
      <c r="F2761" s="16">
        <f>HYPERLINK("https://eosportal.federatedhermes.com/engagements/RW5nYWdlbWVudAppMzgxMDg=", "Board oversight and governance of AI-related technologies")</f>
      </c>
      <c r="G2761" s="14" t="s">
        <v>7458</v>
      </c>
      <c r="H2761" s="0" t="s">
        <v>130</v>
      </c>
      <c r="I2761" s="14" t="s">
        <v>131</v>
      </c>
      <c r="J2761" s="0" t="s">
        <v>153</v>
      </c>
      <c r="K2761" s="0" t="s">
        <v>243</v>
      </c>
      <c r="L2761" s="0" t="s">
        <v>537</v>
      </c>
      <c r="M2761" s="0" t="s">
        <v>135</v>
      </c>
      <c r="N2761" s="0" t="s">
        <v>136</v>
      </c>
      <c r="O2761" s="0" t="s">
        <v>274</v>
      </c>
      <c r="Q2761" s="0" t="s">
        <v>130</v>
      </c>
      <c r="R2761" s="0" t="s">
        <v>130</v>
      </c>
      <c r="S2761" s="14">
        <v>0</v>
      </c>
      <c r="T2761" s="0" t="s">
        <v>2428</v>
      </c>
      <c r="U2761" s="0" t="s">
        <v>221</v>
      </c>
      <c r="V2761" s="14" t="s">
        <v>2428</v>
      </c>
      <c r="W2761" s="0" t="s">
        <v>221</v>
      </c>
      <c r="X2761" s="14" t="s">
        <v>2428</v>
      </c>
      <c r="Y2761" s="0" t="s">
        <v>223</v>
      </c>
      <c r="Z2761" s="14" t="s">
        <v>138</v>
      </c>
      <c r="AA2761" s="0" t="s">
        <v>224</v>
      </c>
      <c r="AB2761" s="14" t="s">
        <v>138</v>
      </c>
      <c r="AD2761" s="0" t="s">
        <v>17</v>
      </c>
      <c r="AF2761" s="0">
        <v>0</v>
      </c>
      <c r="AG2761" s="0">
        <v>0</v>
      </c>
      <c r="AH2761" s="0" t="s">
        <v>140</v>
      </c>
      <c r="AI2761" s="0" t="s">
        <v>598</v>
      </c>
      <c r="AL2761" s="14"/>
      <c r="AN2761" s="14"/>
      <c r="AQ2761" s="0" t="s">
        <v>130</v>
      </c>
      <c r="AR2761" s="0" t="s">
        <v>130</v>
      </c>
      <c r="AS2761" s="0" t="s">
        <v>130</v>
      </c>
      <c r="AT2761" s="0" t="s">
        <v>130</v>
      </c>
      <c r="AU2761" s="0" t="s">
        <v>130</v>
      </c>
      <c r="AV2761" s="0" t="s">
        <v>130</v>
      </c>
      <c r="AW2761" s="0" t="s">
        <v>130</v>
      </c>
      <c r="AX2761" s="0" t="s">
        <v>130</v>
      </c>
      <c r="AY2761" s="0" t="s">
        <v>130</v>
      </c>
      <c r="AZ2761" s="0" t="s">
        <v>130</v>
      </c>
      <c r="BA2761" s="0" t="s">
        <v>130</v>
      </c>
      <c r="BB2761" s="0" t="s">
        <v>130</v>
      </c>
      <c r="BC2761" s="0" t="s">
        <v>130</v>
      </c>
      <c r="BD2761" s="0" t="s">
        <v>130</v>
      </c>
      <c r="BE2761" s="0" t="s">
        <v>130</v>
      </c>
      <c r="BF2761" s="0" t="s">
        <v>141</v>
      </c>
      <c r="BG2761" s="0" t="s">
        <v>130</v>
      </c>
      <c r="BH2761" s="0" t="s">
        <v>130</v>
      </c>
      <c r="BI2761" s="0" t="s">
        <v>130</v>
      </c>
      <c r="BJ2761" s="0" t="s">
        <v>130</v>
      </c>
      <c r="BK2761" s="0" t="s">
        <v>130</v>
      </c>
      <c r="BL2761" s="0" t="s">
        <v>130</v>
      </c>
      <c r="BM2761" s="0" t="s">
        <v>130</v>
      </c>
      <c r="BN2761" s="0" t="s">
        <v>130</v>
      </c>
      <c r="BO2761" s="0" t="s">
        <v>130</v>
      </c>
      <c r="BP2761" s="0" t="s">
        <v>130</v>
      </c>
      <c r="BQ2761" s="0" t="s">
        <v>130</v>
      </c>
      <c r="BR2761" s="0" t="s">
        <v>130</v>
      </c>
      <c r="BS2761" s="0" t="s">
        <v>130</v>
      </c>
      <c r="BT2761" s="0" t="s">
        <v>130</v>
      </c>
      <c r="BU2761" s="0" t="s">
        <v>130</v>
      </c>
      <c r="BV2761" s="0" t="s">
        <v>130</v>
      </c>
      <c r="BW2761" s="0" t="s">
        <v>130</v>
      </c>
      <c r="BX2761" s="0" t="s">
        <v>130</v>
      </c>
      <c r="BY2761" s="0" t="s">
        <v>130</v>
      </c>
      <c r="BZ2761" s="0" t="s">
        <v>130</v>
      </c>
      <c r="CA2761" s="0" t="s">
        <v>130</v>
      </c>
      <c r="CB2761" s="0" t="s">
        <v>130</v>
      </c>
      <c r="CC2761" s="0" t="s">
        <v>130</v>
      </c>
      <c r="CD2761" s="0" t="s">
        <v>130</v>
      </c>
      <c r="CE2761" s="0" t="s">
        <v>130</v>
      </c>
      <c r="CF2761" s="0" t="s">
        <v>130</v>
      </c>
      <c r="CG2761" s="0" t="s">
        <v>130</v>
      </c>
      <c r="CH2761" s="0" t="s">
        <v>130</v>
      </c>
      <c r="CI2761" s="0" t="s">
        <v>130</v>
      </c>
      <c r="CJ2761" s="0" t="s">
        <v>130</v>
      </c>
      <c r="CK2761" s="0" t="s">
        <v>130</v>
      </c>
      <c r="CL2761" s="0" t="s">
        <v>130</v>
      </c>
      <c r="CM2761" s="0" t="s">
        <v>130</v>
      </c>
      <c r="CN2761" s="0" t="s">
        <v>130</v>
      </c>
      <c r="CO2761" s="0" t="s">
        <v>130</v>
      </c>
      <c r="CP2761" s="0" t="s">
        <v>130</v>
      </c>
      <c r="CQ2761" s="0" t="s">
        <v>130</v>
      </c>
      <c r="CR2761" s="0" t="s">
        <v>130</v>
      </c>
      <c r="CS2761" s="0" t="s">
        <v>130</v>
      </c>
      <c r="CT2761" s="0" t="s">
        <v>7459</v>
      </c>
    </row>
    <row r="2762">
      <c r="A2762" s="14">
        <v>15149833</v>
      </c>
      <c r="B2762" s="0" t="s">
        <v>4144</v>
      </c>
      <c r="C2762" s="16">
        <f>HYPERLINK("https://eosportal.federatedhermes.com/companies/Q29tcGFueQppNDM5Mzg=", "KB Financial Group Inc")</f>
      </c>
      <c r="D2762" s="0" t="s">
        <v>25</v>
      </c>
      <c r="E2762" s="0" t="s">
        <v>7460</v>
      </c>
      <c r="F2762" s="16">
        <f>HYPERLINK("https://eosportal.federatedhermes.com/engagements/RW5nYWdlbWVudAppMzgxMTA=", "Labour Relations")</f>
      </c>
      <c r="G2762" s="14" t="s">
        <v>7461</v>
      </c>
      <c r="H2762" s="0" t="s">
        <v>130</v>
      </c>
      <c r="I2762" s="14" t="s">
        <v>131</v>
      </c>
      <c r="J2762" s="0" t="s">
        <v>153</v>
      </c>
      <c r="K2762" s="0" t="s">
        <v>154</v>
      </c>
      <c r="L2762" s="0" t="s">
        <v>306</v>
      </c>
      <c r="M2762" s="0" t="s">
        <v>802</v>
      </c>
      <c r="N2762" s="0" t="s">
        <v>2800</v>
      </c>
      <c r="O2762" s="0" t="s">
        <v>238</v>
      </c>
      <c r="Q2762" s="0" t="s">
        <v>130</v>
      </c>
      <c r="R2762" s="0" t="s">
        <v>138</v>
      </c>
      <c r="S2762" s="14">
        <v>0</v>
      </c>
      <c r="T2762" s="0" t="s">
        <v>2428</v>
      </c>
      <c r="U2762" s="0" t="s">
        <v>138</v>
      </c>
      <c r="V2762" s="14" t="s">
        <v>138</v>
      </c>
      <c r="W2762" s="0" t="s">
        <v>138</v>
      </c>
      <c r="X2762" s="14" t="s">
        <v>138</v>
      </c>
      <c r="Y2762" s="0" t="s">
        <v>138</v>
      </c>
      <c r="Z2762" s="14" t="s">
        <v>138</v>
      </c>
      <c r="AA2762" s="0" t="s">
        <v>138</v>
      </c>
      <c r="AB2762" s="14" t="s">
        <v>138</v>
      </c>
      <c r="AD2762" s="0" t="s">
        <v>138</v>
      </c>
      <c r="AF2762" s="0">
        <v>0</v>
      </c>
      <c r="AG2762" s="0">
        <v>0</v>
      </c>
      <c r="AH2762" s="0" t="s">
        <v>140</v>
      </c>
      <c r="AI2762" s="0" t="s">
        <v>138</v>
      </c>
      <c r="AL2762" s="14"/>
      <c r="AN2762" s="14"/>
      <c r="AQ2762" s="0" t="s">
        <v>130</v>
      </c>
      <c r="AR2762" s="0" t="s">
        <v>130</v>
      </c>
      <c r="AS2762" s="0" t="s">
        <v>130</v>
      </c>
      <c r="AT2762" s="0" t="s">
        <v>130</v>
      </c>
      <c r="AU2762" s="0" t="s">
        <v>130</v>
      </c>
      <c r="AV2762" s="0" t="s">
        <v>130</v>
      </c>
      <c r="AW2762" s="0" t="s">
        <v>130</v>
      </c>
      <c r="AX2762" s="0" t="s">
        <v>141</v>
      </c>
      <c r="AY2762" s="0" t="s">
        <v>130</v>
      </c>
      <c r="AZ2762" s="0" t="s">
        <v>141</v>
      </c>
      <c r="BA2762" s="0" t="s">
        <v>130</v>
      </c>
      <c r="BB2762" s="0" t="s">
        <v>130</v>
      </c>
      <c r="BC2762" s="0" t="s">
        <v>130</v>
      </c>
      <c r="BD2762" s="0" t="s">
        <v>130</v>
      </c>
      <c r="BE2762" s="0" t="s">
        <v>130</v>
      </c>
      <c r="BF2762" s="0" t="s">
        <v>130</v>
      </c>
      <c r="BG2762" s="0" t="s">
        <v>130</v>
      </c>
      <c r="BH2762" s="0" t="s">
        <v>130</v>
      </c>
      <c r="BI2762" s="0" t="s">
        <v>130</v>
      </c>
      <c r="BJ2762" s="0" t="s">
        <v>130</v>
      </c>
      <c r="BK2762" s="0" t="s">
        <v>130</v>
      </c>
      <c r="BL2762" s="0" t="s">
        <v>130</v>
      </c>
      <c r="BM2762" s="0" t="s">
        <v>130</v>
      </c>
      <c r="BN2762" s="0" t="s">
        <v>130</v>
      </c>
      <c r="BO2762" s="0" t="s">
        <v>130</v>
      </c>
      <c r="BP2762" s="0" t="s">
        <v>130</v>
      </c>
      <c r="BQ2762" s="0" t="s">
        <v>130</v>
      </c>
      <c r="BR2762" s="0" t="s">
        <v>130</v>
      </c>
      <c r="BS2762" s="0" t="s">
        <v>130</v>
      </c>
      <c r="BT2762" s="0" t="s">
        <v>130</v>
      </c>
      <c r="BU2762" s="0" t="s">
        <v>130</v>
      </c>
      <c r="BV2762" s="0" t="s">
        <v>130</v>
      </c>
      <c r="BW2762" s="0" t="s">
        <v>130</v>
      </c>
      <c r="BX2762" s="0" t="s">
        <v>130</v>
      </c>
      <c r="BY2762" s="0" t="s">
        <v>130</v>
      </c>
      <c r="BZ2762" s="0" t="s">
        <v>130</v>
      </c>
      <c r="CA2762" s="0" t="s">
        <v>130</v>
      </c>
      <c r="CB2762" s="0" t="s">
        <v>130</v>
      </c>
      <c r="CC2762" s="0" t="s">
        <v>130</v>
      </c>
      <c r="CD2762" s="0" t="s">
        <v>130</v>
      </c>
      <c r="CE2762" s="0" t="s">
        <v>130</v>
      </c>
      <c r="CF2762" s="0" t="s">
        <v>130</v>
      </c>
      <c r="CG2762" s="0" t="s">
        <v>130</v>
      </c>
      <c r="CH2762" s="0" t="s">
        <v>130</v>
      </c>
      <c r="CI2762" s="0" t="s">
        <v>130</v>
      </c>
      <c r="CJ2762" s="0" t="s">
        <v>130</v>
      </c>
      <c r="CK2762" s="0" t="s">
        <v>130</v>
      </c>
      <c r="CL2762" s="0" t="s">
        <v>130</v>
      </c>
      <c r="CM2762" s="0" t="s">
        <v>130</v>
      </c>
      <c r="CN2762" s="0" t="s">
        <v>130</v>
      </c>
      <c r="CO2762" s="0" t="s">
        <v>130</v>
      </c>
      <c r="CP2762" s="0" t="s">
        <v>130</v>
      </c>
      <c r="CQ2762" s="0" t="s">
        <v>130</v>
      </c>
      <c r="CR2762" s="0" t="s">
        <v>130</v>
      </c>
      <c r="CS2762" s="0" t="s">
        <v>130</v>
      </c>
      <c r="CT2762" s="0" t="s">
        <v>7462</v>
      </c>
    </row>
    <row r="2763">
      <c r="A2763" s="14">
        <v>15149833</v>
      </c>
      <c r="B2763" s="0" t="s">
        <v>4144</v>
      </c>
      <c r="C2763" s="16">
        <f>HYPERLINK("https://eosportal.federatedhermes.com/companies/Q29tcGFueQppNDM5Mzg=", "KB Financial Group Inc")</f>
      </c>
      <c r="D2763" s="0" t="s">
        <v>25</v>
      </c>
      <c r="E2763" s="0" t="s">
        <v>4167</v>
      </c>
      <c r="F2763" s="16">
        <f>HYPERLINK("https://eosportal.federatedhermes.com/engagements/RW5nYWdlbWVudAppMzgxMTE=", "Misselling of Financial Products")</f>
      </c>
      <c r="G2763" s="14" t="s">
        <v>7463</v>
      </c>
      <c r="H2763" s="0" t="s">
        <v>130</v>
      </c>
      <c r="I2763" s="14" t="s">
        <v>131</v>
      </c>
      <c r="J2763" s="0" t="s">
        <v>153</v>
      </c>
      <c r="K2763" s="0" t="s">
        <v>185</v>
      </c>
      <c r="L2763" s="0" t="s">
        <v>871</v>
      </c>
      <c r="M2763" s="0" t="s">
        <v>802</v>
      </c>
      <c r="N2763" s="0" t="s">
        <v>2800</v>
      </c>
      <c r="O2763" s="0" t="s">
        <v>238</v>
      </c>
      <c r="Q2763" s="0" t="s">
        <v>130</v>
      </c>
      <c r="R2763" s="0" t="s">
        <v>138</v>
      </c>
      <c r="S2763" s="14">
        <v>0</v>
      </c>
      <c r="T2763" s="0" t="s">
        <v>2428</v>
      </c>
      <c r="U2763" s="0" t="s">
        <v>138</v>
      </c>
      <c r="V2763" s="14" t="s">
        <v>138</v>
      </c>
      <c r="W2763" s="0" t="s">
        <v>138</v>
      </c>
      <c r="X2763" s="14" t="s">
        <v>138</v>
      </c>
      <c r="Y2763" s="0" t="s">
        <v>138</v>
      </c>
      <c r="Z2763" s="14" t="s">
        <v>138</v>
      </c>
      <c r="AA2763" s="0" t="s">
        <v>138</v>
      </c>
      <c r="AB2763" s="14" t="s">
        <v>138</v>
      </c>
      <c r="AD2763" s="0" t="s">
        <v>138</v>
      </c>
      <c r="AF2763" s="0">
        <v>0</v>
      </c>
      <c r="AG2763" s="0">
        <v>0</v>
      </c>
      <c r="AH2763" s="0" t="s">
        <v>140</v>
      </c>
      <c r="AI2763" s="0" t="s">
        <v>138</v>
      </c>
      <c r="AL2763" s="14"/>
      <c r="AN2763" s="14"/>
      <c r="AQ2763" s="0" t="s">
        <v>130</v>
      </c>
      <c r="AR2763" s="0" t="s">
        <v>130</v>
      </c>
      <c r="AS2763" s="0" t="s">
        <v>130</v>
      </c>
      <c r="AT2763" s="0" t="s">
        <v>130</v>
      </c>
      <c r="AU2763" s="0" t="s">
        <v>130</v>
      </c>
      <c r="AV2763" s="0" t="s">
        <v>130</v>
      </c>
      <c r="AW2763" s="0" t="s">
        <v>130</v>
      </c>
      <c r="AX2763" s="0" t="s">
        <v>130</v>
      </c>
      <c r="AY2763" s="0" t="s">
        <v>130</v>
      </c>
      <c r="AZ2763" s="0" t="s">
        <v>130</v>
      </c>
      <c r="BA2763" s="0" t="s">
        <v>130</v>
      </c>
      <c r="BB2763" s="0" t="s">
        <v>130</v>
      </c>
      <c r="BC2763" s="0" t="s">
        <v>130</v>
      </c>
      <c r="BD2763" s="0" t="s">
        <v>130</v>
      </c>
      <c r="BE2763" s="0" t="s">
        <v>130</v>
      </c>
      <c r="BF2763" s="0" t="s">
        <v>141</v>
      </c>
      <c r="BG2763" s="0" t="s">
        <v>130</v>
      </c>
      <c r="BH2763" s="0" t="s">
        <v>130</v>
      </c>
      <c r="BI2763" s="0" t="s">
        <v>130</v>
      </c>
      <c r="BJ2763" s="0" t="s">
        <v>130</v>
      </c>
      <c r="BK2763" s="0" t="s">
        <v>130</v>
      </c>
      <c r="BL2763" s="0" t="s">
        <v>130</v>
      </c>
      <c r="BM2763" s="0" t="s">
        <v>130</v>
      </c>
      <c r="BN2763" s="0" t="s">
        <v>130</v>
      </c>
      <c r="BO2763" s="0" t="s">
        <v>130</v>
      </c>
      <c r="BP2763" s="0" t="s">
        <v>130</v>
      </c>
      <c r="BQ2763" s="0" t="s">
        <v>130</v>
      </c>
      <c r="BR2763" s="0" t="s">
        <v>130</v>
      </c>
      <c r="BS2763" s="0" t="s">
        <v>130</v>
      </c>
      <c r="BT2763" s="0" t="s">
        <v>130</v>
      </c>
      <c r="BU2763" s="0" t="s">
        <v>130</v>
      </c>
      <c r="BV2763" s="0" t="s">
        <v>130</v>
      </c>
      <c r="BW2763" s="0" t="s">
        <v>130</v>
      </c>
      <c r="BX2763" s="0" t="s">
        <v>130</v>
      </c>
      <c r="BY2763" s="0" t="s">
        <v>130</v>
      </c>
      <c r="BZ2763" s="0" t="s">
        <v>130</v>
      </c>
      <c r="CA2763" s="0" t="s">
        <v>130</v>
      </c>
      <c r="CB2763" s="0" t="s">
        <v>130</v>
      </c>
      <c r="CC2763" s="0" t="s">
        <v>130</v>
      </c>
      <c r="CD2763" s="0" t="s">
        <v>130</v>
      </c>
      <c r="CE2763" s="0" t="s">
        <v>130</v>
      </c>
      <c r="CF2763" s="0" t="s">
        <v>130</v>
      </c>
      <c r="CG2763" s="0" t="s">
        <v>130</v>
      </c>
      <c r="CH2763" s="0" t="s">
        <v>130</v>
      </c>
      <c r="CI2763" s="0" t="s">
        <v>130</v>
      </c>
      <c r="CJ2763" s="0" t="s">
        <v>130</v>
      </c>
      <c r="CK2763" s="0" t="s">
        <v>130</v>
      </c>
      <c r="CL2763" s="0" t="s">
        <v>130</v>
      </c>
      <c r="CM2763" s="0" t="s">
        <v>130</v>
      </c>
      <c r="CN2763" s="0" t="s">
        <v>130</v>
      </c>
      <c r="CO2763" s="0" t="s">
        <v>130</v>
      </c>
      <c r="CP2763" s="0" t="s">
        <v>130</v>
      </c>
      <c r="CQ2763" s="0" t="s">
        <v>141</v>
      </c>
      <c r="CR2763" s="0" t="s">
        <v>141</v>
      </c>
      <c r="CS2763" s="0" t="s">
        <v>141</v>
      </c>
      <c r="CT2763" s="0" t="s">
        <v>7464</v>
      </c>
    </row>
    <row r="2764">
      <c r="A2764" s="14">
        <v>225906</v>
      </c>
      <c r="B2764" s="0" t="s">
        <v>3499</v>
      </c>
      <c r="C2764" s="16">
        <f>HYPERLINK("https://eosportal.federatedhermes.com/companies/Q29tcGFueQppNTg5ODU=", "Valero Energy Corp")</f>
      </c>
      <c r="D2764" s="0" t="s">
        <v>23</v>
      </c>
      <c r="E2764" s="0" t="s">
        <v>746</v>
      </c>
      <c r="F2764" s="16">
        <f>HYPERLINK("https://eosportal.federatedhermes.com/engagements/RW5nYWdlbWVudAppMzgxNDA=", "Improved climate-related financial disclosures")</f>
      </c>
      <c r="G2764" s="14" t="s">
        <v>747</v>
      </c>
      <c r="H2764" s="0" t="s">
        <v>141</v>
      </c>
      <c r="I2764" s="14" t="s">
        <v>191</v>
      </c>
      <c r="J2764" s="0" t="s">
        <v>197</v>
      </c>
      <c r="K2764" s="0" t="s">
        <v>198</v>
      </c>
      <c r="L2764" s="0" t="s">
        <v>199</v>
      </c>
      <c r="M2764" s="0" t="s">
        <v>135</v>
      </c>
      <c r="N2764" s="0" t="s">
        <v>136</v>
      </c>
      <c r="O2764" s="0" t="s">
        <v>542</v>
      </c>
      <c r="Q2764" s="0" t="s">
        <v>130</v>
      </c>
      <c r="R2764" s="0" t="s">
        <v>130</v>
      </c>
      <c r="S2764" s="14">
        <v>0</v>
      </c>
      <c r="T2764" s="0" t="s">
        <v>2428</v>
      </c>
      <c r="U2764" s="0" t="s">
        <v>221</v>
      </c>
      <c r="V2764" s="14" t="s">
        <v>2428</v>
      </c>
      <c r="W2764" s="0" t="s">
        <v>223</v>
      </c>
      <c r="X2764" s="14" t="s">
        <v>138</v>
      </c>
      <c r="Y2764" s="0" t="s">
        <v>224</v>
      </c>
      <c r="Z2764" s="14" t="s">
        <v>138</v>
      </c>
      <c r="AA2764" s="0" t="s">
        <v>224</v>
      </c>
      <c r="AB2764" s="14" t="s">
        <v>138</v>
      </c>
      <c r="AD2764" s="0" t="s">
        <v>14</v>
      </c>
      <c r="AF2764" s="0">
        <v>0</v>
      </c>
      <c r="AG2764" s="0">
        <v>0</v>
      </c>
      <c r="AH2764" s="0" t="s">
        <v>140</v>
      </c>
      <c r="AI2764" s="0" t="s">
        <v>598</v>
      </c>
      <c r="AL2764" s="14"/>
      <c r="AN2764" s="14"/>
      <c r="AQ2764" s="0" t="s">
        <v>130</v>
      </c>
      <c r="AR2764" s="0" t="s">
        <v>130</v>
      </c>
      <c r="AS2764" s="0" t="s">
        <v>130</v>
      </c>
      <c r="AT2764" s="0" t="s">
        <v>130</v>
      </c>
      <c r="AU2764" s="0" t="s">
        <v>130</v>
      </c>
      <c r="AV2764" s="0" t="s">
        <v>130</v>
      </c>
      <c r="AW2764" s="0" t="s">
        <v>130</v>
      </c>
      <c r="AX2764" s="0" t="s">
        <v>130</v>
      </c>
      <c r="AY2764" s="0" t="s">
        <v>130</v>
      </c>
      <c r="AZ2764" s="0" t="s">
        <v>130</v>
      </c>
      <c r="BA2764" s="0" t="s">
        <v>130</v>
      </c>
      <c r="BB2764" s="0" t="s">
        <v>141</v>
      </c>
      <c r="BC2764" s="0" t="s">
        <v>130</v>
      </c>
      <c r="BD2764" s="0" t="s">
        <v>130</v>
      </c>
      <c r="BE2764" s="0" t="s">
        <v>130</v>
      </c>
      <c r="BF2764" s="0" t="s">
        <v>130</v>
      </c>
      <c r="BG2764" s="0" t="s">
        <v>130</v>
      </c>
      <c r="BH2764" s="0" t="s">
        <v>130</v>
      </c>
      <c r="BI2764" s="0" t="s">
        <v>130</v>
      </c>
      <c r="BJ2764" s="0" t="s">
        <v>130</v>
      </c>
      <c r="BK2764" s="0" t="s">
        <v>130</v>
      </c>
      <c r="BL2764" s="0" t="s">
        <v>130</v>
      </c>
      <c r="BM2764" s="0" t="s">
        <v>130</v>
      </c>
      <c r="BN2764" s="0" t="s">
        <v>130</v>
      </c>
      <c r="BO2764" s="0" t="s">
        <v>130</v>
      </c>
      <c r="BP2764" s="0" t="s">
        <v>130</v>
      </c>
      <c r="BQ2764" s="0" t="s">
        <v>130</v>
      </c>
      <c r="BR2764" s="0" t="s">
        <v>130</v>
      </c>
      <c r="BS2764" s="0" t="s">
        <v>130</v>
      </c>
      <c r="BT2764" s="0" t="s">
        <v>130</v>
      </c>
      <c r="BU2764" s="0" t="s">
        <v>130</v>
      </c>
      <c r="BV2764" s="0" t="s">
        <v>130</v>
      </c>
      <c r="BW2764" s="0" t="s">
        <v>130</v>
      </c>
      <c r="BX2764" s="0" t="s">
        <v>130</v>
      </c>
      <c r="BY2764" s="0" t="s">
        <v>130</v>
      </c>
      <c r="BZ2764" s="0" t="s">
        <v>130</v>
      </c>
      <c r="CA2764" s="0" t="s">
        <v>130</v>
      </c>
      <c r="CB2764" s="0" t="s">
        <v>130</v>
      </c>
      <c r="CC2764" s="0" t="s">
        <v>130</v>
      </c>
      <c r="CD2764" s="0" t="s">
        <v>130</v>
      </c>
      <c r="CE2764" s="0" t="s">
        <v>130</v>
      </c>
      <c r="CF2764" s="0" t="s">
        <v>130</v>
      </c>
      <c r="CG2764" s="0" t="s">
        <v>130</v>
      </c>
      <c r="CH2764" s="0" t="s">
        <v>130</v>
      </c>
      <c r="CI2764" s="0" t="s">
        <v>130</v>
      </c>
      <c r="CJ2764" s="0" t="s">
        <v>130</v>
      </c>
      <c r="CK2764" s="0" t="s">
        <v>130</v>
      </c>
      <c r="CL2764" s="0" t="s">
        <v>130</v>
      </c>
      <c r="CM2764" s="0" t="s">
        <v>130</v>
      </c>
      <c r="CN2764" s="0" t="s">
        <v>130</v>
      </c>
      <c r="CO2764" s="0" t="s">
        <v>130</v>
      </c>
      <c r="CP2764" s="0" t="s">
        <v>130</v>
      </c>
      <c r="CQ2764" s="0" t="s">
        <v>130</v>
      </c>
      <c r="CR2764" s="0" t="s">
        <v>130</v>
      </c>
      <c r="CS2764" s="0" t="s">
        <v>130</v>
      </c>
      <c r="CT2764" s="0" t="s">
        <v>7465</v>
      </c>
    </row>
    <row r="2765">
      <c r="A2765" s="14">
        <v>114151</v>
      </c>
      <c r="B2765" s="0" t="s">
        <v>1981</v>
      </c>
      <c r="C2765" s="16">
        <f>HYPERLINK("https://eosportal.federatedhermes.com/companies/Q29tcGFueQppNzU2OTQ=", "Mitsubishi Corp")</f>
      </c>
      <c r="D2765" s="0" t="s">
        <v>23</v>
      </c>
      <c r="E2765" s="0" t="s">
        <v>7466</v>
      </c>
      <c r="F2765" s="16">
        <f>HYPERLINK("https://eosportal.federatedhermes.com/engagements/RW5nYWdlbWVudAppMzgxNDM=", "Implementation of the TNFD recommendations - LEAP assessment")</f>
      </c>
      <c r="G2765" s="14" t="s">
        <v>7467</v>
      </c>
      <c r="H2765" s="0" t="s">
        <v>141</v>
      </c>
      <c r="I2765" s="14" t="s">
        <v>191</v>
      </c>
      <c r="J2765" s="0" t="s">
        <v>197</v>
      </c>
      <c r="K2765" s="0" t="s">
        <v>337</v>
      </c>
      <c r="L2765" s="0" t="s">
        <v>576</v>
      </c>
      <c r="M2765" s="0" t="s">
        <v>802</v>
      </c>
      <c r="N2765" s="0" t="s">
        <v>952</v>
      </c>
      <c r="O2765" s="0" t="s">
        <v>176</v>
      </c>
      <c r="Q2765" s="0" t="s">
        <v>141</v>
      </c>
      <c r="R2765" s="0" t="s">
        <v>130</v>
      </c>
      <c r="S2765" s="14">
        <v>1</v>
      </c>
      <c r="T2765" s="0" t="s">
        <v>2428</v>
      </c>
      <c r="U2765" s="0" t="s">
        <v>221</v>
      </c>
      <c r="V2765" s="14" t="s">
        <v>2428</v>
      </c>
      <c r="W2765" s="0" t="s">
        <v>221</v>
      </c>
      <c r="X2765" s="14" t="s">
        <v>2428</v>
      </c>
      <c r="Y2765" s="0" t="s">
        <v>223</v>
      </c>
      <c r="Z2765" s="14" t="s">
        <v>138</v>
      </c>
      <c r="AA2765" s="0" t="s">
        <v>224</v>
      </c>
      <c r="AB2765" s="14" t="s">
        <v>138</v>
      </c>
      <c r="AD2765" s="0" t="s">
        <v>17</v>
      </c>
      <c r="AF2765" s="0">
        <v>0</v>
      </c>
      <c r="AG2765" s="0">
        <v>0</v>
      </c>
      <c r="AH2765" s="0" t="s">
        <v>140</v>
      </c>
      <c r="AI2765" s="0" t="s">
        <v>598</v>
      </c>
      <c r="AK2765" s="0" t="s">
        <v>1984</v>
      </c>
      <c r="AL2765" s="14"/>
      <c r="AN2765" s="14"/>
      <c r="AQ2765" s="0" t="s">
        <v>130</v>
      </c>
      <c r="AR2765" s="0" t="s">
        <v>130</v>
      </c>
      <c r="AS2765" s="0" t="s">
        <v>130</v>
      </c>
      <c r="AT2765" s="0" t="s">
        <v>130</v>
      </c>
      <c r="AU2765" s="0" t="s">
        <v>130</v>
      </c>
      <c r="AV2765" s="0" t="s">
        <v>130</v>
      </c>
      <c r="AW2765" s="0" t="s">
        <v>130</v>
      </c>
      <c r="AX2765" s="0" t="s">
        <v>130</v>
      </c>
      <c r="AY2765" s="0" t="s">
        <v>130</v>
      </c>
      <c r="AZ2765" s="0" t="s">
        <v>130</v>
      </c>
      <c r="BA2765" s="0" t="s">
        <v>130</v>
      </c>
      <c r="BB2765" s="0" t="s">
        <v>141</v>
      </c>
      <c r="BC2765" s="0" t="s">
        <v>130</v>
      </c>
      <c r="BD2765" s="0" t="s">
        <v>130</v>
      </c>
      <c r="BE2765" s="0" t="s">
        <v>141</v>
      </c>
      <c r="BF2765" s="0" t="s">
        <v>130</v>
      </c>
      <c r="BG2765" s="0" t="s">
        <v>130</v>
      </c>
      <c r="BH2765" s="0" t="s">
        <v>130</v>
      </c>
      <c r="BI2765" s="0" t="s">
        <v>130</v>
      </c>
      <c r="BJ2765" s="0" t="s">
        <v>130</v>
      </c>
      <c r="BK2765" s="0" t="s">
        <v>130</v>
      </c>
      <c r="BL2765" s="0" t="s">
        <v>130</v>
      </c>
      <c r="BM2765" s="0" t="s">
        <v>130</v>
      </c>
      <c r="BN2765" s="0" t="s">
        <v>130</v>
      </c>
      <c r="BO2765" s="0" t="s">
        <v>130</v>
      </c>
      <c r="BP2765" s="0" t="s">
        <v>130</v>
      </c>
      <c r="BQ2765" s="0" t="s">
        <v>130</v>
      </c>
      <c r="BR2765" s="0" t="s">
        <v>130</v>
      </c>
      <c r="BS2765" s="0" t="s">
        <v>130</v>
      </c>
      <c r="BT2765" s="0" t="s">
        <v>130</v>
      </c>
      <c r="BU2765" s="0" t="s">
        <v>130</v>
      </c>
      <c r="BV2765" s="0" t="s">
        <v>130</v>
      </c>
      <c r="BW2765" s="0" t="s">
        <v>130</v>
      </c>
      <c r="BX2765" s="0" t="s">
        <v>130</v>
      </c>
      <c r="BY2765" s="0" t="s">
        <v>130</v>
      </c>
      <c r="BZ2765" s="0" t="s">
        <v>130</v>
      </c>
      <c r="CA2765" s="0" t="s">
        <v>130</v>
      </c>
      <c r="CB2765" s="0" t="s">
        <v>130</v>
      </c>
      <c r="CC2765" s="0" t="s">
        <v>130</v>
      </c>
      <c r="CD2765" s="0" t="s">
        <v>130</v>
      </c>
      <c r="CE2765" s="0" t="s">
        <v>130</v>
      </c>
      <c r="CF2765" s="0" t="s">
        <v>130</v>
      </c>
      <c r="CG2765" s="0" t="s">
        <v>130</v>
      </c>
      <c r="CH2765" s="0" t="s">
        <v>130</v>
      </c>
      <c r="CI2765" s="0" t="s">
        <v>130</v>
      </c>
      <c r="CJ2765" s="0" t="s">
        <v>130</v>
      </c>
      <c r="CK2765" s="0" t="s">
        <v>130</v>
      </c>
      <c r="CL2765" s="0" t="s">
        <v>130</v>
      </c>
      <c r="CM2765" s="0" t="s">
        <v>130</v>
      </c>
      <c r="CN2765" s="0" t="s">
        <v>130</v>
      </c>
      <c r="CO2765" s="0" t="s">
        <v>130</v>
      </c>
      <c r="CP2765" s="0" t="s">
        <v>130</v>
      </c>
      <c r="CQ2765" s="0" t="s">
        <v>130</v>
      </c>
      <c r="CR2765" s="0" t="s">
        <v>130</v>
      </c>
      <c r="CS2765" s="0" t="s">
        <v>130</v>
      </c>
      <c r="CT2765" s="0" t="s">
        <v>7468</v>
      </c>
    </row>
    <row r="2766">
      <c r="A2766" s="14">
        <v>101341</v>
      </c>
      <c r="B2766" s="0" t="s">
        <v>1478</v>
      </c>
      <c r="C2766" s="16">
        <f>HYPERLINK("https://eosportal.federatedhermes.com/companies/Q29tcGFueQppNzU2ODE=", "Sherwin-Williams Co/The")</f>
      </c>
      <c r="D2766" s="0" t="s">
        <v>23</v>
      </c>
      <c r="E2766" s="0" t="s">
        <v>7469</v>
      </c>
      <c r="F2766" s="16">
        <f>HYPERLINK("https://eosportal.federatedhermes.com/engagements/RW5nYWdlbWVudAppMzgxNTY=", "Auditor Rotation")</f>
      </c>
      <c r="G2766" s="14" t="s">
        <v>7201</v>
      </c>
      <c r="H2766" s="0" t="s">
        <v>130</v>
      </c>
      <c r="I2766" s="14" t="s">
        <v>319</v>
      </c>
      <c r="J2766" s="0" t="s">
        <v>132</v>
      </c>
      <c r="K2766" s="0" t="s">
        <v>170</v>
      </c>
      <c r="L2766" s="0" t="s">
        <v>310</v>
      </c>
      <c r="M2766" s="0" t="s">
        <v>135</v>
      </c>
      <c r="N2766" s="0" t="s">
        <v>136</v>
      </c>
      <c r="O2766" s="0" t="s">
        <v>706</v>
      </c>
      <c r="Q2766" s="0" t="s">
        <v>130</v>
      </c>
      <c r="R2766" s="0" t="s">
        <v>130</v>
      </c>
      <c r="S2766" s="14">
        <v>0</v>
      </c>
      <c r="T2766" s="0" t="s">
        <v>2428</v>
      </c>
      <c r="U2766" s="0" t="s">
        <v>221</v>
      </c>
      <c r="V2766" s="14" t="s">
        <v>2428</v>
      </c>
      <c r="W2766" s="0" t="s">
        <v>221</v>
      </c>
      <c r="X2766" s="14" t="s">
        <v>2428</v>
      </c>
      <c r="Y2766" s="0" t="s">
        <v>223</v>
      </c>
      <c r="Z2766" s="14" t="s">
        <v>138</v>
      </c>
      <c r="AA2766" s="0" t="s">
        <v>224</v>
      </c>
      <c r="AB2766" s="14" t="s">
        <v>138</v>
      </c>
      <c r="AD2766" s="0" t="s">
        <v>17</v>
      </c>
      <c r="AF2766" s="0">
        <v>0</v>
      </c>
      <c r="AG2766" s="0">
        <v>0</v>
      </c>
      <c r="AH2766" s="0" t="s">
        <v>140</v>
      </c>
      <c r="AI2766" s="0" t="s">
        <v>598</v>
      </c>
      <c r="AL2766" s="14"/>
      <c r="AN2766" s="14"/>
      <c r="AQ2766" s="0" t="s">
        <v>130</v>
      </c>
      <c r="AR2766" s="0" t="s">
        <v>130</v>
      </c>
      <c r="AS2766" s="0" t="s">
        <v>130</v>
      </c>
      <c r="AT2766" s="0" t="s">
        <v>130</v>
      </c>
      <c r="AU2766" s="0" t="s">
        <v>130</v>
      </c>
      <c r="AV2766" s="0" t="s">
        <v>130</v>
      </c>
      <c r="AW2766" s="0" t="s">
        <v>130</v>
      </c>
      <c r="AX2766" s="0" t="s">
        <v>130</v>
      </c>
      <c r="AY2766" s="0" t="s">
        <v>130</v>
      </c>
      <c r="AZ2766" s="0" t="s">
        <v>130</v>
      </c>
      <c r="BA2766" s="0" t="s">
        <v>130</v>
      </c>
      <c r="BB2766" s="0" t="s">
        <v>130</v>
      </c>
      <c r="BC2766" s="0" t="s">
        <v>130</v>
      </c>
      <c r="BD2766" s="0" t="s">
        <v>130</v>
      </c>
      <c r="BE2766" s="0" t="s">
        <v>130</v>
      </c>
      <c r="BF2766" s="0" t="s">
        <v>130</v>
      </c>
      <c r="BG2766" s="0" t="s">
        <v>130</v>
      </c>
      <c r="BH2766" s="0" t="s">
        <v>130</v>
      </c>
      <c r="BI2766" s="0" t="s">
        <v>130</v>
      </c>
      <c r="BJ2766" s="0" t="s">
        <v>130</v>
      </c>
      <c r="BK2766" s="0" t="s">
        <v>130</v>
      </c>
      <c r="BL2766" s="0" t="s">
        <v>130</v>
      </c>
      <c r="BM2766" s="0" t="s">
        <v>130</v>
      </c>
      <c r="BN2766" s="0" t="s">
        <v>130</v>
      </c>
      <c r="BO2766" s="0" t="s">
        <v>130</v>
      </c>
      <c r="BP2766" s="0" t="s">
        <v>130</v>
      </c>
      <c r="BQ2766" s="0" t="s">
        <v>130</v>
      </c>
      <c r="BR2766" s="0" t="s">
        <v>130</v>
      </c>
      <c r="BS2766" s="0" t="s">
        <v>130</v>
      </c>
      <c r="BT2766" s="0" t="s">
        <v>130</v>
      </c>
      <c r="BU2766" s="0" t="s">
        <v>130</v>
      </c>
      <c r="BV2766" s="0" t="s">
        <v>130</v>
      </c>
      <c r="BW2766" s="0" t="s">
        <v>130</v>
      </c>
      <c r="BX2766" s="0" t="s">
        <v>130</v>
      </c>
      <c r="BY2766" s="0" t="s">
        <v>130</v>
      </c>
      <c r="BZ2766" s="0" t="s">
        <v>130</v>
      </c>
      <c r="CA2766" s="0" t="s">
        <v>130</v>
      </c>
      <c r="CB2766" s="0" t="s">
        <v>130</v>
      </c>
      <c r="CC2766" s="0" t="s">
        <v>130</v>
      </c>
      <c r="CD2766" s="0" t="s">
        <v>130</v>
      </c>
      <c r="CE2766" s="0" t="s">
        <v>130</v>
      </c>
      <c r="CF2766" s="0" t="s">
        <v>130</v>
      </c>
      <c r="CG2766" s="0" t="s">
        <v>130</v>
      </c>
      <c r="CH2766" s="0" t="s">
        <v>130</v>
      </c>
      <c r="CI2766" s="0" t="s">
        <v>130</v>
      </c>
      <c r="CJ2766" s="0" t="s">
        <v>130</v>
      </c>
      <c r="CK2766" s="0" t="s">
        <v>130</v>
      </c>
      <c r="CL2766" s="0" t="s">
        <v>130</v>
      </c>
      <c r="CM2766" s="0" t="s">
        <v>130</v>
      </c>
      <c r="CN2766" s="0" t="s">
        <v>130</v>
      </c>
      <c r="CO2766" s="0" t="s">
        <v>130</v>
      </c>
      <c r="CP2766" s="0" t="s">
        <v>130</v>
      </c>
      <c r="CQ2766" s="0" t="s">
        <v>130</v>
      </c>
      <c r="CR2766" s="0" t="s">
        <v>130</v>
      </c>
      <c r="CS2766" s="0" t="s">
        <v>130</v>
      </c>
      <c r="CT2766" s="0" t="s">
        <v>7470</v>
      </c>
    </row>
    <row r="2767">
      <c r="A2767" s="14">
        <v>114322</v>
      </c>
      <c r="B2767" s="0" t="s">
        <v>2042</v>
      </c>
      <c r="C2767" s="16">
        <f>HYPERLINK("https://eosportal.federatedhermes.com/companies/Q29tcGFueQppNjc3MjY=", "Nintendo Co Ltd")</f>
      </c>
      <c r="D2767" s="0" t="s">
        <v>25</v>
      </c>
      <c r="E2767" s="0" t="s">
        <v>7471</v>
      </c>
      <c r="F2767" s="16">
        <f>HYPERLINK("https://eosportal.federatedhermes.com/engagements/RW5nYWdlbWVudAppMzgxNjI=", "Board access and effectiveness")</f>
      </c>
      <c r="G2767" s="14" t="s">
        <v>7472</v>
      </c>
      <c r="H2767" s="0" t="s">
        <v>141</v>
      </c>
      <c r="I2767" s="14" t="s">
        <v>131</v>
      </c>
      <c r="J2767" s="0" t="s">
        <v>145</v>
      </c>
      <c r="K2767" s="0" t="s">
        <v>400</v>
      </c>
      <c r="L2767" s="0" t="s">
        <v>401</v>
      </c>
      <c r="M2767" s="0" t="s">
        <v>802</v>
      </c>
      <c r="N2767" s="0" t="s">
        <v>952</v>
      </c>
      <c r="O2767" s="0" t="s">
        <v>137</v>
      </c>
      <c r="Q2767" s="0" t="s">
        <v>141</v>
      </c>
      <c r="R2767" s="0" t="s">
        <v>138</v>
      </c>
      <c r="S2767" s="14">
        <v>1</v>
      </c>
      <c r="T2767" s="0" t="s">
        <v>2428</v>
      </c>
      <c r="U2767" s="0" t="s">
        <v>138</v>
      </c>
      <c r="V2767" s="14" t="s">
        <v>138</v>
      </c>
      <c r="W2767" s="0" t="s">
        <v>138</v>
      </c>
      <c r="X2767" s="14" t="s">
        <v>138</v>
      </c>
      <c r="Y2767" s="0" t="s">
        <v>138</v>
      </c>
      <c r="Z2767" s="14" t="s">
        <v>138</v>
      </c>
      <c r="AA2767" s="0" t="s">
        <v>138</v>
      </c>
      <c r="AB2767" s="14" t="s">
        <v>138</v>
      </c>
      <c r="AD2767" s="0" t="s">
        <v>138</v>
      </c>
      <c r="AF2767" s="0">
        <v>0</v>
      </c>
      <c r="AG2767" s="0">
        <v>0</v>
      </c>
      <c r="AH2767" s="0" t="s">
        <v>140</v>
      </c>
      <c r="AI2767" s="0" t="s">
        <v>138</v>
      </c>
      <c r="AK2767" s="0" t="s">
        <v>2376</v>
      </c>
      <c r="AL2767" s="14"/>
      <c r="AN2767" s="14"/>
      <c r="AQ2767" s="0" t="s">
        <v>130</v>
      </c>
      <c r="AR2767" s="0" t="s">
        <v>130</v>
      </c>
      <c r="AS2767" s="0" t="s">
        <v>130</v>
      </c>
      <c r="AT2767" s="0" t="s">
        <v>130</v>
      </c>
      <c r="AU2767" s="0" t="s">
        <v>130</v>
      </c>
      <c r="AV2767" s="0" t="s">
        <v>130</v>
      </c>
      <c r="AW2767" s="0" t="s">
        <v>130</v>
      </c>
      <c r="AX2767" s="0" t="s">
        <v>130</v>
      </c>
      <c r="AY2767" s="0" t="s">
        <v>130</v>
      </c>
      <c r="AZ2767" s="0" t="s">
        <v>130</v>
      </c>
      <c r="BA2767" s="0" t="s">
        <v>130</v>
      </c>
      <c r="BB2767" s="0" t="s">
        <v>130</v>
      </c>
      <c r="BC2767" s="0" t="s">
        <v>130</v>
      </c>
      <c r="BD2767" s="0" t="s">
        <v>130</v>
      </c>
      <c r="BE2767" s="0" t="s">
        <v>130</v>
      </c>
      <c r="BF2767" s="0" t="s">
        <v>130</v>
      </c>
      <c r="BG2767" s="0" t="s">
        <v>130</v>
      </c>
      <c r="BH2767" s="0" t="s">
        <v>130</v>
      </c>
      <c r="BI2767" s="0" t="s">
        <v>130</v>
      </c>
      <c r="BJ2767" s="0" t="s">
        <v>130</v>
      </c>
      <c r="BK2767" s="0" t="s">
        <v>130</v>
      </c>
      <c r="BL2767" s="0" t="s">
        <v>130</v>
      </c>
      <c r="BM2767" s="0" t="s">
        <v>130</v>
      </c>
      <c r="BN2767" s="0" t="s">
        <v>130</v>
      </c>
      <c r="BO2767" s="0" t="s">
        <v>130</v>
      </c>
      <c r="BP2767" s="0" t="s">
        <v>130</v>
      </c>
      <c r="BQ2767" s="0" t="s">
        <v>130</v>
      </c>
      <c r="BR2767" s="0" t="s">
        <v>130</v>
      </c>
      <c r="BS2767" s="0" t="s">
        <v>130</v>
      </c>
      <c r="BT2767" s="0" t="s">
        <v>130</v>
      </c>
      <c r="BU2767" s="0" t="s">
        <v>130</v>
      </c>
      <c r="BV2767" s="0" t="s">
        <v>130</v>
      </c>
      <c r="BW2767" s="0" t="s">
        <v>130</v>
      </c>
      <c r="BX2767" s="0" t="s">
        <v>130</v>
      </c>
      <c r="BY2767" s="0" t="s">
        <v>130</v>
      </c>
      <c r="BZ2767" s="0" t="s">
        <v>130</v>
      </c>
      <c r="CA2767" s="0" t="s">
        <v>130</v>
      </c>
      <c r="CB2767" s="0" t="s">
        <v>130</v>
      </c>
      <c r="CC2767" s="0" t="s">
        <v>130</v>
      </c>
      <c r="CD2767" s="0" t="s">
        <v>130</v>
      </c>
      <c r="CE2767" s="0" t="s">
        <v>130</v>
      </c>
      <c r="CF2767" s="0" t="s">
        <v>130</v>
      </c>
      <c r="CG2767" s="0" t="s">
        <v>130</v>
      </c>
      <c r="CH2767" s="0" t="s">
        <v>130</v>
      </c>
      <c r="CI2767" s="0" t="s">
        <v>130</v>
      </c>
      <c r="CJ2767" s="0" t="s">
        <v>130</v>
      </c>
      <c r="CK2767" s="0" t="s">
        <v>130</v>
      </c>
      <c r="CL2767" s="0" t="s">
        <v>130</v>
      </c>
      <c r="CM2767" s="0" t="s">
        <v>130</v>
      </c>
      <c r="CN2767" s="0" t="s">
        <v>130</v>
      </c>
      <c r="CO2767" s="0" t="s">
        <v>130</v>
      </c>
      <c r="CP2767" s="0" t="s">
        <v>130</v>
      </c>
      <c r="CQ2767" s="0" t="s">
        <v>130</v>
      </c>
      <c r="CR2767" s="0" t="s">
        <v>130</v>
      </c>
      <c r="CS2767" s="0" t="s">
        <v>130</v>
      </c>
      <c r="CT2767" s="0" t="s">
        <v>7473</v>
      </c>
    </row>
    <row r="2768">
      <c r="A2768" s="14">
        <v>114322</v>
      </c>
      <c r="B2768" s="0" t="s">
        <v>2042</v>
      </c>
      <c r="C2768" s="16">
        <f>HYPERLINK("https://eosportal.federatedhermes.com/companies/Q29tcGFueQppNjc3MjY=", "Nintendo Co Ltd")</f>
      </c>
      <c r="D2768" s="0" t="s">
        <v>25</v>
      </c>
      <c r="E2768" s="0" t="s">
        <v>7474</v>
      </c>
      <c r="F2768" s="16">
        <f>HYPERLINK("https://eosportal.federatedhermes.com/engagements/RW5nYWdlbWVudAppMzgxNjM=", "Board and senior management talent progression")</f>
      </c>
      <c r="G2768" s="14" t="s">
        <v>7475</v>
      </c>
      <c r="H2768" s="0" t="s">
        <v>141</v>
      </c>
      <c r="I2768" s="14" t="s">
        <v>131</v>
      </c>
      <c r="J2768" s="0" t="s">
        <v>145</v>
      </c>
      <c r="K2768" s="0" t="s">
        <v>164</v>
      </c>
      <c r="L2768" s="0" t="s">
        <v>165</v>
      </c>
      <c r="M2768" s="0" t="s">
        <v>802</v>
      </c>
      <c r="N2768" s="0" t="s">
        <v>952</v>
      </c>
      <c r="O2768" s="0" t="s">
        <v>137</v>
      </c>
      <c r="Q2768" s="0" t="s">
        <v>141</v>
      </c>
      <c r="R2768" s="0" t="s">
        <v>138</v>
      </c>
      <c r="S2768" s="14">
        <v>2</v>
      </c>
      <c r="T2768" s="0" t="s">
        <v>2428</v>
      </c>
      <c r="U2768" s="0" t="s">
        <v>138</v>
      </c>
      <c r="V2768" s="14" t="s">
        <v>138</v>
      </c>
      <c r="W2768" s="0" t="s">
        <v>138</v>
      </c>
      <c r="X2768" s="14" t="s">
        <v>138</v>
      </c>
      <c r="Y2768" s="0" t="s">
        <v>138</v>
      </c>
      <c r="Z2768" s="14" t="s">
        <v>138</v>
      </c>
      <c r="AA2768" s="0" t="s">
        <v>138</v>
      </c>
      <c r="AB2768" s="14" t="s">
        <v>138</v>
      </c>
      <c r="AD2768" s="0" t="s">
        <v>138</v>
      </c>
      <c r="AF2768" s="0">
        <v>0</v>
      </c>
      <c r="AG2768" s="0">
        <v>0</v>
      </c>
      <c r="AH2768" s="0" t="s">
        <v>140</v>
      </c>
      <c r="AI2768" s="0" t="s">
        <v>138</v>
      </c>
      <c r="AK2768" s="0" t="s">
        <v>2044</v>
      </c>
      <c r="AL2768" s="14"/>
      <c r="AN2768" s="14"/>
      <c r="AQ2768" s="0" t="s">
        <v>130</v>
      </c>
      <c r="AR2768" s="0" t="s">
        <v>130</v>
      </c>
      <c r="AS2768" s="0" t="s">
        <v>130</v>
      </c>
      <c r="AT2768" s="0" t="s">
        <v>130</v>
      </c>
      <c r="AU2768" s="0" t="s">
        <v>141</v>
      </c>
      <c r="AV2768" s="0" t="s">
        <v>130</v>
      </c>
      <c r="AW2768" s="0" t="s">
        <v>130</v>
      </c>
      <c r="AX2768" s="0" t="s">
        <v>130</v>
      </c>
      <c r="AY2768" s="0" t="s">
        <v>130</v>
      </c>
      <c r="AZ2768" s="0" t="s">
        <v>141</v>
      </c>
      <c r="BA2768" s="0" t="s">
        <v>130</v>
      </c>
      <c r="BB2768" s="0" t="s">
        <v>130</v>
      </c>
      <c r="BC2768" s="0" t="s">
        <v>130</v>
      </c>
      <c r="BD2768" s="0" t="s">
        <v>130</v>
      </c>
      <c r="BE2768" s="0" t="s">
        <v>130</v>
      </c>
      <c r="BF2768" s="0" t="s">
        <v>130</v>
      </c>
      <c r="BG2768" s="0" t="s">
        <v>130</v>
      </c>
      <c r="BH2768" s="0" t="s">
        <v>130</v>
      </c>
      <c r="BI2768" s="0" t="s">
        <v>130</v>
      </c>
      <c r="BJ2768" s="0" t="s">
        <v>130</v>
      </c>
      <c r="BK2768" s="0" t="s">
        <v>130</v>
      </c>
      <c r="BL2768" s="0" t="s">
        <v>130</v>
      </c>
      <c r="BM2768" s="0" t="s">
        <v>130</v>
      </c>
      <c r="BN2768" s="0" t="s">
        <v>130</v>
      </c>
      <c r="BO2768" s="0" t="s">
        <v>130</v>
      </c>
      <c r="BP2768" s="0" t="s">
        <v>130</v>
      </c>
      <c r="BQ2768" s="0" t="s">
        <v>130</v>
      </c>
      <c r="BR2768" s="0" t="s">
        <v>130</v>
      </c>
      <c r="BS2768" s="0" t="s">
        <v>130</v>
      </c>
      <c r="BT2768" s="0" t="s">
        <v>130</v>
      </c>
      <c r="BU2768" s="0" t="s">
        <v>130</v>
      </c>
      <c r="BV2768" s="0" t="s">
        <v>130</v>
      </c>
      <c r="BW2768" s="0" t="s">
        <v>130</v>
      </c>
      <c r="BX2768" s="0" t="s">
        <v>130</v>
      </c>
      <c r="BY2768" s="0" t="s">
        <v>130</v>
      </c>
      <c r="BZ2768" s="0" t="s">
        <v>130</v>
      </c>
      <c r="CA2768" s="0" t="s">
        <v>130</v>
      </c>
      <c r="CB2768" s="0" t="s">
        <v>130</v>
      </c>
      <c r="CC2768" s="0" t="s">
        <v>130</v>
      </c>
      <c r="CD2768" s="0" t="s">
        <v>130</v>
      </c>
      <c r="CE2768" s="0" t="s">
        <v>130</v>
      </c>
      <c r="CF2768" s="0" t="s">
        <v>130</v>
      </c>
      <c r="CG2768" s="0" t="s">
        <v>130</v>
      </c>
      <c r="CH2768" s="0" t="s">
        <v>130</v>
      </c>
      <c r="CI2768" s="0" t="s">
        <v>130</v>
      </c>
      <c r="CJ2768" s="0" t="s">
        <v>130</v>
      </c>
      <c r="CK2768" s="0" t="s">
        <v>130</v>
      </c>
      <c r="CL2768" s="0" t="s">
        <v>130</v>
      </c>
      <c r="CM2768" s="0" t="s">
        <v>130</v>
      </c>
      <c r="CN2768" s="0" t="s">
        <v>130</v>
      </c>
      <c r="CO2768" s="0" t="s">
        <v>130</v>
      </c>
      <c r="CP2768" s="0" t="s">
        <v>130</v>
      </c>
      <c r="CQ2768" s="0" t="s">
        <v>130</v>
      </c>
      <c r="CR2768" s="0" t="s">
        <v>130</v>
      </c>
      <c r="CS2768" s="0" t="s">
        <v>130</v>
      </c>
      <c r="CT2768" s="0" t="s">
        <v>7476</v>
      </c>
    </row>
    <row r="2769">
      <c r="A2769" s="14">
        <v>41234897</v>
      </c>
      <c r="B2769" s="0" t="s">
        <v>4547</v>
      </c>
      <c r="C2769" s="16">
        <f>HYPERLINK("https://eosportal.federatedhermes.com/companies/Q29tcGFueQppNzkwOTY=", "UBS Group AG")</f>
      </c>
      <c r="D2769" s="0" t="s">
        <v>25</v>
      </c>
      <c r="E2769" s="0" t="s">
        <v>1034</v>
      </c>
      <c r="F2769" s="16">
        <f>HYPERLINK("https://eosportal.federatedhermes.com/engagements/RW5nYWdlbWVudAppMzgxNjc=", "Board composition")</f>
      </c>
      <c r="G2769" s="14" t="s">
        <v>7477</v>
      </c>
      <c r="H2769" s="0" t="s">
        <v>141</v>
      </c>
      <c r="I2769" s="14" t="s">
        <v>131</v>
      </c>
      <c r="J2769" s="0" t="s">
        <v>145</v>
      </c>
      <c r="K2769" s="0" t="s">
        <v>164</v>
      </c>
      <c r="L2769" s="0" t="s">
        <v>165</v>
      </c>
      <c r="M2769" s="0" t="s">
        <v>378</v>
      </c>
      <c r="N2769" s="0" t="s">
        <v>1059</v>
      </c>
      <c r="O2769" s="0" t="s">
        <v>238</v>
      </c>
      <c r="Q2769" s="0" t="s">
        <v>130</v>
      </c>
      <c r="R2769" s="0" t="s">
        <v>138</v>
      </c>
      <c r="S2769" s="14">
        <v>0</v>
      </c>
      <c r="T2769" s="0" t="s">
        <v>4412</v>
      </c>
      <c r="U2769" s="0" t="s">
        <v>138</v>
      </c>
      <c r="V2769" s="14" t="s">
        <v>138</v>
      </c>
      <c r="W2769" s="0" t="s">
        <v>138</v>
      </c>
      <c r="X2769" s="14" t="s">
        <v>138</v>
      </c>
      <c r="Y2769" s="0" t="s">
        <v>138</v>
      </c>
      <c r="Z2769" s="14" t="s">
        <v>138</v>
      </c>
      <c r="AA2769" s="0" t="s">
        <v>138</v>
      </c>
      <c r="AB2769" s="14" t="s">
        <v>138</v>
      </c>
      <c r="AD2769" s="0" t="s">
        <v>138</v>
      </c>
      <c r="AF2769" s="0">
        <v>0</v>
      </c>
      <c r="AG2769" s="0">
        <v>0</v>
      </c>
      <c r="AH2769" s="0" t="s">
        <v>140</v>
      </c>
      <c r="AI2769" s="0" t="s">
        <v>138</v>
      </c>
      <c r="AL2769" s="14"/>
      <c r="AN2769" s="14"/>
      <c r="AQ2769" s="0" t="s">
        <v>130</v>
      </c>
      <c r="AR2769" s="0" t="s">
        <v>130</v>
      </c>
      <c r="AS2769" s="0" t="s">
        <v>130</v>
      </c>
      <c r="AT2769" s="0" t="s">
        <v>130</v>
      </c>
      <c r="AU2769" s="0" t="s">
        <v>130</v>
      </c>
      <c r="AV2769" s="0" t="s">
        <v>130</v>
      </c>
      <c r="AW2769" s="0" t="s">
        <v>130</v>
      </c>
      <c r="AX2769" s="0" t="s">
        <v>130</v>
      </c>
      <c r="AY2769" s="0" t="s">
        <v>130</v>
      </c>
      <c r="AZ2769" s="0" t="s">
        <v>130</v>
      </c>
      <c r="BA2769" s="0" t="s">
        <v>130</v>
      </c>
      <c r="BB2769" s="0" t="s">
        <v>130</v>
      </c>
      <c r="BC2769" s="0" t="s">
        <v>130</v>
      </c>
      <c r="BD2769" s="0" t="s">
        <v>130</v>
      </c>
      <c r="BE2769" s="0" t="s">
        <v>130</v>
      </c>
      <c r="BF2769" s="0" t="s">
        <v>130</v>
      </c>
      <c r="BG2769" s="0" t="s">
        <v>130</v>
      </c>
      <c r="BH2769" s="0" t="s">
        <v>130</v>
      </c>
      <c r="BI2769" s="0" t="s">
        <v>130</v>
      </c>
      <c r="BJ2769" s="0" t="s">
        <v>130</v>
      </c>
      <c r="BK2769" s="0" t="s">
        <v>130</v>
      </c>
      <c r="BL2769" s="0" t="s">
        <v>130</v>
      </c>
      <c r="BM2769" s="0" t="s">
        <v>130</v>
      </c>
      <c r="BN2769" s="0" t="s">
        <v>130</v>
      </c>
      <c r="BO2769" s="0" t="s">
        <v>130</v>
      </c>
      <c r="BP2769" s="0" t="s">
        <v>130</v>
      </c>
      <c r="BQ2769" s="0" t="s">
        <v>130</v>
      </c>
      <c r="BR2769" s="0" t="s">
        <v>130</v>
      </c>
      <c r="BS2769" s="0" t="s">
        <v>130</v>
      </c>
      <c r="BT2769" s="0" t="s">
        <v>130</v>
      </c>
      <c r="BU2769" s="0" t="s">
        <v>130</v>
      </c>
      <c r="BV2769" s="0" t="s">
        <v>130</v>
      </c>
      <c r="BW2769" s="0" t="s">
        <v>130</v>
      </c>
      <c r="BX2769" s="0" t="s">
        <v>130</v>
      </c>
      <c r="BY2769" s="0" t="s">
        <v>130</v>
      </c>
      <c r="BZ2769" s="0" t="s">
        <v>130</v>
      </c>
      <c r="CA2769" s="0" t="s">
        <v>130</v>
      </c>
      <c r="CB2769" s="0" t="s">
        <v>130</v>
      </c>
      <c r="CC2769" s="0" t="s">
        <v>130</v>
      </c>
      <c r="CD2769" s="0" t="s">
        <v>130</v>
      </c>
      <c r="CE2769" s="0" t="s">
        <v>130</v>
      </c>
      <c r="CF2769" s="0" t="s">
        <v>130</v>
      </c>
      <c r="CG2769" s="0" t="s">
        <v>130</v>
      </c>
      <c r="CH2769" s="0" t="s">
        <v>130</v>
      </c>
      <c r="CI2769" s="0" t="s">
        <v>130</v>
      </c>
      <c r="CJ2769" s="0" t="s">
        <v>130</v>
      </c>
      <c r="CK2769" s="0" t="s">
        <v>130</v>
      </c>
      <c r="CL2769" s="0" t="s">
        <v>130</v>
      </c>
      <c r="CM2769" s="0" t="s">
        <v>130</v>
      </c>
      <c r="CN2769" s="0" t="s">
        <v>130</v>
      </c>
      <c r="CO2769" s="0" t="s">
        <v>130</v>
      </c>
      <c r="CP2769" s="0" t="s">
        <v>130</v>
      </c>
      <c r="CQ2769" s="0" t="s">
        <v>130</v>
      </c>
      <c r="CR2769" s="0" t="s">
        <v>130</v>
      </c>
      <c r="CS2769" s="0" t="s">
        <v>130</v>
      </c>
      <c r="CT2769" s="0" t="s">
        <v>7478</v>
      </c>
    </row>
    <row r="2770">
      <c r="A2770" s="14">
        <v>918049</v>
      </c>
      <c r="B2770" s="0" t="s">
        <v>3423</v>
      </c>
      <c r="C2770" s="16">
        <f>HYPERLINK("https://eosportal.federatedhermes.com/companies/Q29tcGFueQppNjQzOTQ=", "Enel SpA")</f>
      </c>
      <c r="D2770" s="0" t="s">
        <v>23</v>
      </c>
      <c r="E2770" s="0" t="s">
        <v>7479</v>
      </c>
      <c r="F2770" s="16">
        <f>HYPERLINK("https://eosportal.federatedhermes.com/engagements/RW5nYWdlbWVudAppMzgxNzQ=", "Coal Ash Management")</f>
      </c>
      <c r="G2770" s="14" t="s">
        <v>7480</v>
      </c>
      <c r="H2770" s="0" t="s">
        <v>141</v>
      </c>
      <c r="I2770" s="14" t="s">
        <v>636</v>
      </c>
      <c r="J2770" s="0" t="s">
        <v>197</v>
      </c>
      <c r="K2770" s="0" t="s">
        <v>348</v>
      </c>
      <c r="L2770" s="0" t="s">
        <v>650</v>
      </c>
      <c r="M2770" s="0" t="s">
        <v>378</v>
      </c>
      <c r="N2770" s="0" t="s">
        <v>2898</v>
      </c>
      <c r="O2770" s="0" t="s">
        <v>192</v>
      </c>
      <c r="Q2770" s="0" t="s">
        <v>130</v>
      </c>
      <c r="R2770" s="0" t="s">
        <v>130</v>
      </c>
      <c r="S2770" s="14">
        <v>0</v>
      </c>
      <c r="T2770" s="0" t="s">
        <v>2428</v>
      </c>
      <c r="U2770" s="0" t="s">
        <v>221</v>
      </c>
      <c r="V2770" s="14" t="s">
        <v>2428</v>
      </c>
      <c r="W2770" s="0" t="s">
        <v>221</v>
      </c>
      <c r="X2770" s="14" t="s">
        <v>2428</v>
      </c>
      <c r="Y2770" s="0" t="s">
        <v>223</v>
      </c>
      <c r="Z2770" s="14" t="s">
        <v>138</v>
      </c>
      <c r="AA2770" s="0" t="s">
        <v>224</v>
      </c>
      <c r="AB2770" s="14" t="s">
        <v>138</v>
      </c>
      <c r="AD2770" s="0" t="s">
        <v>17</v>
      </c>
      <c r="AF2770" s="0">
        <v>0</v>
      </c>
      <c r="AG2770" s="0">
        <v>0</v>
      </c>
      <c r="AH2770" s="0" t="s">
        <v>140</v>
      </c>
      <c r="AI2770" s="0" t="s">
        <v>598</v>
      </c>
      <c r="AL2770" s="14"/>
      <c r="AN2770" s="14"/>
      <c r="AQ2770" s="0" t="s">
        <v>130</v>
      </c>
      <c r="AR2770" s="0" t="s">
        <v>130</v>
      </c>
      <c r="AS2770" s="0" t="s">
        <v>141</v>
      </c>
      <c r="AT2770" s="0" t="s">
        <v>130</v>
      </c>
      <c r="AU2770" s="0" t="s">
        <v>130</v>
      </c>
      <c r="AV2770" s="0" t="s">
        <v>141</v>
      </c>
      <c r="AW2770" s="0" t="s">
        <v>130</v>
      </c>
      <c r="AX2770" s="0" t="s">
        <v>130</v>
      </c>
      <c r="AY2770" s="0" t="s">
        <v>130</v>
      </c>
      <c r="AZ2770" s="0" t="s">
        <v>130</v>
      </c>
      <c r="BA2770" s="0" t="s">
        <v>130</v>
      </c>
      <c r="BB2770" s="0" t="s">
        <v>130</v>
      </c>
      <c r="BC2770" s="0" t="s">
        <v>130</v>
      </c>
      <c r="BD2770" s="0" t="s">
        <v>130</v>
      </c>
      <c r="BE2770" s="0" t="s">
        <v>130</v>
      </c>
      <c r="BF2770" s="0" t="s">
        <v>130</v>
      </c>
      <c r="BG2770" s="0" t="s">
        <v>130</v>
      </c>
      <c r="BH2770" s="0" t="s">
        <v>130</v>
      </c>
      <c r="BI2770" s="0" t="s">
        <v>130</v>
      </c>
      <c r="BJ2770" s="0" t="s">
        <v>130</v>
      </c>
      <c r="BK2770" s="0" t="s">
        <v>130</v>
      </c>
      <c r="BL2770" s="0" t="s">
        <v>130</v>
      </c>
      <c r="BM2770" s="0" t="s">
        <v>130</v>
      </c>
      <c r="BN2770" s="0" t="s">
        <v>141</v>
      </c>
      <c r="BO2770" s="0" t="s">
        <v>141</v>
      </c>
      <c r="BP2770" s="0" t="s">
        <v>130</v>
      </c>
      <c r="BQ2770" s="0" t="s">
        <v>130</v>
      </c>
      <c r="BR2770" s="0" t="s">
        <v>130</v>
      </c>
      <c r="BS2770" s="0" t="s">
        <v>130</v>
      </c>
      <c r="BT2770" s="0" t="s">
        <v>130</v>
      </c>
      <c r="BU2770" s="0" t="s">
        <v>130</v>
      </c>
      <c r="BV2770" s="0" t="s">
        <v>130</v>
      </c>
      <c r="BW2770" s="0" t="s">
        <v>130</v>
      </c>
      <c r="BX2770" s="0" t="s">
        <v>130</v>
      </c>
      <c r="BY2770" s="0" t="s">
        <v>130</v>
      </c>
      <c r="BZ2770" s="0" t="s">
        <v>130</v>
      </c>
      <c r="CA2770" s="0" t="s">
        <v>130</v>
      </c>
      <c r="CB2770" s="0" t="s">
        <v>130</v>
      </c>
      <c r="CC2770" s="0" t="s">
        <v>130</v>
      </c>
      <c r="CD2770" s="0" t="s">
        <v>130</v>
      </c>
      <c r="CE2770" s="0" t="s">
        <v>130</v>
      </c>
      <c r="CF2770" s="0" t="s">
        <v>130</v>
      </c>
      <c r="CG2770" s="0" t="s">
        <v>130</v>
      </c>
      <c r="CH2770" s="0" t="s">
        <v>130</v>
      </c>
      <c r="CI2770" s="0" t="s">
        <v>130</v>
      </c>
      <c r="CJ2770" s="0" t="s">
        <v>130</v>
      </c>
      <c r="CK2770" s="0" t="s">
        <v>130</v>
      </c>
      <c r="CL2770" s="0" t="s">
        <v>130</v>
      </c>
      <c r="CM2770" s="0" t="s">
        <v>130</v>
      </c>
      <c r="CN2770" s="0" t="s">
        <v>130</v>
      </c>
      <c r="CO2770" s="0" t="s">
        <v>130</v>
      </c>
      <c r="CP2770" s="0" t="s">
        <v>130</v>
      </c>
      <c r="CQ2770" s="0" t="s">
        <v>130</v>
      </c>
      <c r="CR2770" s="0" t="s">
        <v>130</v>
      </c>
      <c r="CS2770" s="0" t="s">
        <v>130</v>
      </c>
      <c r="CT2770" s="0" t="s">
        <v>7481</v>
      </c>
    </row>
    <row r="2771">
      <c r="A2771" s="14">
        <v>918049</v>
      </c>
      <c r="B2771" s="0" t="s">
        <v>3423</v>
      </c>
      <c r="C2771" s="16">
        <f>HYPERLINK("https://eosportal.federatedhermes.com/companies/Q29tcGFueQppNjQzOTQ=", "Enel SpA")</f>
      </c>
      <c r="D2771" s="0" t="s">
        <v>23</v>
      </c>
      <c r="E2771" s="0" t="s">
        <v>7225</v>
      </c>
      <c r="F2771" s="16">
        <f>HYPERLINK("https://eosportal.federatedhermes.com/engagements/RW5nYWdlbWVudAppMzgxNzU=", "Supply chain methane emissions")</f>
      </c>
      <c r="G2771" s="14" t="s">
        <v>7482</v>
      </c>
      <c r="H2771" s="0" t="s">
        <v>141</v>
      </c>
      <c r="I2771" s="14" t="s">
        <v>636</v>
      </c>
      <c r="J2771" s="0" t="s">
        <v>197</v>
      </c>
      <c r="K2771" s="0" t="s">
        <v>198</v>
      </c>
      <c r="L2771" s="0" t="s">
        <v>216</v>
      </c>
      <c r="M2771" s="0" t="s">
        <v>378</v>
      </c>
      <c r="N2771" s="0" t="s">
        <v>2898</v>
      </c>
      <c r="O2771" s="0" t="s">
        <v>192</v>
      </c>
      <c r="Q2771" s="0" t="s">
        <v>130</v>
      </c>
      <c r="R2771" s="0" t="s">
        <v>130</v>
      </c>
      <c r="S2771" s="14">
        <v>0</v>
      </c>
      <c r="T2771" s="0" t="s">
        <v>2428</v>
      </c>
      <c r="U2771" s="0" t="s">
        <v>221</v>
      </c>
      <c r="V2771" s="14" t="s">
        <v>2428</v>
      </c>
      <c r="W2771" s="0" t="s">
        <v>221</v>
      </c>
      <c r="X2771" s="14" t="s">
        <v>2428</v>
      </c>
      <c r="Y2771" s="0" t="s">
        <v>223</v>
      </c>
      <c r="Z2771" s="14" t="s">
        <v>138</v>
      </c>
      <c r="AA2771" s="0" t="s">
        <v>224</v>
      </c>
      <c r="AB2771" s="14" t="s">
        <v>138</v>
      </c>
      <c r="AD2771" s="0" t="s">
        <v>17</v>
      </c>
      <c r="AF2771" s="0">
        <v>0</v>
      </c>
      <c r="AG2771" s="0">
        <v>0</v>
      </c>
      <c r="AH2771" s="0" t="s">
        <v>140</v>
      </c>
      <c r="AI2771" s="0" t="s">
        <v>598</v>
      </c>
      <c r="AL2771" s="14"/>
      <c r="AN2771" s="14"/>
      <c r="AQ2771" s="0" t="s">
        <v>130</v>
      </c>
      <c r="AR2771" s="0" t="s">
        <v>130</v>
      </c>
      <c r="AS2771" s="0" t="s">
        <v>130</v>
      </c>
      <c r="AT2771" s="0" t="s">
        <v>130</v>
      </c>
      <c r="AU2771" s="0" t="s">
        <v>130</v>
      </c>
      <c r="AV2771" s="0" t="s">
        <v>130</v>
      </c>
      <c r="AW2771" s="0" t="s">
        <v>141</v>
      </c>
      <c r="AX2771" s="0" t="s">
        <v>130</v>
      </c>
      <c r="AY2771" s="0" t="s">
        <v>130</v>
      </c>
      <c r="AZ2771" s="0" t="s">
        <v>130</v>
      </c>
      <c r="BA2771" s="0" t="s">
        <v>130</v>
      </c>
      <c r="BB2771" s="0" t="s">
        <v>130</v>
      </c>
      <c r="BC2771" s="0" t="s">
        <v>141</v>
      </c>
      <c r="BD2771" s="0" t="s">
        <v>130</v>
      </c>
      <c r="BE2771" s="0" t="s">
        <v>130</v>
      </c>
      <c r="BF2771" s="0" t="s">
        <v>130</v>
      </c>
      <c r="BG2771" s="0" t="s">
        <v>130</v>
      </c>
      <c r="BH2771" s="0" t="s">
        <v>141</v>
      </c>
      <c r="BI2771" s="0" t="s">
        <v>141</v>
      </c>
      <c r="BJ2771" s="0" t="s">
        <v>141</v>
      </c>
      <c r="BK2771" s="0" t="s">
        <v>130</v>
      </c>
      <c r="BL2771" s="0" t="s">
        <v>130</v>
      </c>
      <c r="BM2771" s="0" t="s">
        <v>130</v>
      </c>
      <c r="BN2771" s="0" t="s">
        <v>130</v>
      </c>
      <c r="BO2771" s="0" t="s">
        <v>130</v>
      </c>
      <c r="BP2771" s="0" t="s">
        <v>130</v>
      </c>
      <c r="BQ2771" s="0" t="s">
        <v>130</v>
      </c>
      <c r="BR2771" s="0" t="s">
        <v>130</v>
      </c>
      <c r="BS2771" s="0" t="s">
        <v>130</v>
      </c>
      <c r="BT2771" s="0" t="s">
        <v>130</v>
      </c>
      <c r="BU2771" s="0" t="s">
        <v>130</v>
      </c>
      <c r="BV2771" s="0" t="s">
        <v>141</v>
      </c>
      <c r="BW2771" s="0" t="s">
        <v>141</v>
      </c>
      <c r="BX2771" s="0" t="s">
        <v>130</v>
      </c>
      <c r="BY2771" s="0" t="s">
        <v>130</v>
      </c>
      <c r="BZ2771" s="0" t="s">
        <v>130</v>
      </c>
      <c r="CA2771" s="0" t="s">
        <v>130</v>
      </c>
      <c r="CB2771" s="0" t="s">
        <v>130</v>
      </c>
      <c r="CC2771" s="0" t="s">
        <v>130</v>
      </c>
      <c r="CD2771" s="0" t="s">
        <v>130</v>
      </c>
      <c r="CE2771" s="0" t="s">
        <v>130</v>
      </c>
      <c r="CF2771" s="0" t="s">
        <v>130</v>
      </c>
      <c r="CG2771" s="0" t="s">
        <v>130</v>
      </c>
      <c r="CH2771" s="0" t="s">
        <v>130</v>
      </c>
      <c r="CI2771" s="0" t="s">
        <v>130</v>
      </c>
      <c r="CJ2771" s="0" t="s">
        <v>130</v>
      </c>
      <c r="CK2771" s="0" t="s">
        <v>130</v>
      </c>
      <c r="CL2771" s="0" t="s">
        <v>130</v>
      </c>
      <c r="CM2771" s="0" t="s">
        <v>130</v>
      </c>
      <c r="CN2771" s="0" t="s">
        <v>130</v>
      </c>
      <c r="CO2771" s="0" t="s">
        <v>130</v>
      </c>
      <c r="CP2771" s="0" t="s">
        <v>130</v>
      </c>
      <c r="CQ2771" s="0" t="s">
        <v>130</v>
      </c>
      <c r="CR2771" s="0" t="s">
        <v>130</v>
      </c>
      <c r="CS2771" s="0" t="s">
        <v>130</v>
      </c>
      <c r="CT2771" s="0" t="s">
        <v>7483</v>
      </c>
    </row>
    <row r="2772">
      <c r="A2772" s="14">
        <v>918049</v>
      </c>
      <c r="B2772" s="0" t="s">
        <v>3423</v>
      </c>
      <c r="C2772" s="16">
        <f>HYPERLINK("https://eosportal.federatedhermes.com/companies/Q29tcGFueQppNjQzOTQ=", "Enel SpA")</f>
      </c>
      <c r="D2772" s="0" t="s">
        <v>23</v>
      </c>
      <c r="E2772" s="0" t="s">
        <v>7484</v>
      </c>
      <c r="F2772" s="16">
        <f>HYPERLINK("https://eosportal.federatedhermes.com/engagements/RW5nYWdlbWVudAppMzgxNzY=", "Data centre opportunity &amp; risk management")</f>
      </c>
      <c r="G2772" s="14" t="s">
        <v>7485</v>
      </c>
      <c r="H2772" s="0" t="s">
        <v>141</v>
      </c>
      <c r="I2772" s="14" t="s">
        <v>636</v>
      </c>
      <c r="J2772" s="0" t="s">
        <v>153</v>
      </c>
      <c r="K2772" s="0" t="s">
        <v>243</v>
      </c>
      <c r="L2772" s="0" t="s">
        <v>571</v>
      </c>
      <c r="M2772" s="0" t="s">
        <v>378</v>
      </c>
      <c r="N2772" s="0" t="s">
        <v>2898</v>
      </c>
      <c r="O2772" s="0" t="s">
        <v>192</v>
      </c>
      <c r="Q2772" s="0" t="s">
        <v>130</v>
      </c>
      <c r="R2772" s="0" t="s">
        <v>130</v>
      </c>
      <c r="S2772" s="14">
        <v>0</v>
      </c>
      <c r="T2772" s="0" t="s">
        <v>2428</v>
      </c>
      <c r="U2772" s="0" t="s">
        <v>221</v>
      </c>
      <c r="V2772" s="14" t="s">
        <v>2428</v>
      </c>
      <c r="W2772" s="0" t="s">
        <v>221</v>
      </c>
      <c r="X2772" s="14" t="s">
        <v>2428</v>
      </c>
      <c r="Y2772" s="0" t="s">
        <v>223</v>
      </c>
      <c r="Z2772" s="14" t="s">
        <v>138</v>
      </c>
      <c r="AA2772" s="0" t="s">
        <v>224</v>
      </c>
      <c r="AB2772" s="14" t="s">
        <v>138</v>
      </c>
      <c r="AD2772" s="0" t="s">
        <v>17</v>
      </c>
      <c r="AF2772" s="0">
        <v>0</v>
      </c>
      <c r="AG2772" s="0">
        <v>0</v>
      </c>
      <c r="AH2772" s="0" t="s">
        <v>140</v>
      </c>
      <c r="AI2772" s="0" t="s">
        <v>598</v>
      </c>
      <c r="AL2772" s="14"/>
      <c r="AN2772" s="14"/>
      <c r="AQ2772" s="0" t="s">
        <v>130</v>
      </c>
      <c r="AR2772" s="0" t="s">
        <v>130</v>
      </c>
      <c r="AS2772" s="0" t="s">
        <v>130</v>
      </c>
      <c r="AT2772" s="0" t="s">
        <v>130</v>
      </c>
      <c r="AU2772" s="0" t="s">
        <v>130</v>
      </c>
      <c r="AV2772" s="0" t="s">
        <v>141</v>
      </c>
      <c r="AW2772" s="0" t="s">
        <v>130</v>
      </c>
      <c r="AX2772" s="0" t="s">
        <v>130</v>
      </c>
      <c r="AY2772" s="0" t="s">
        <v>130</v>
      </c>
      <c r="AZ2772" s="0" t="s">
        <v>141</v>
      </c>
      <c r="BA2772" s="0" t="s">
        <v>141</v>
      </c>
      <c r="BB2772" s="0" t="s">
        <v>130</v>
      </c>
      <c r="BC2772" s="0" t="s">
        <v>130</v>
      </c>
      <c r="BD2772" s="0" t="s">
        <v>130</v>
      </c>
      <c r="BE2772" s="0" t="s">
        <v>130</v>
      </c>
      <c r="BF2772" s="0" t="s">
        <v>141</v>
      </c>
      <c r="BG2772" s="0" t="s">
        <v>130</v>
      </c>
      <c r="BH2772" s="0" t="s">
        <v>130</v>
      </c>
      <c r="BI2772" s="0" t="s">
        <v>130</v>
      </c>
      <c r="BJ2772" s="0" t="s">
        <v>130</v>
      </c>
      <c r="BK2772" s="0" t="s">
        <v>130</v>
      </c>
      <c r="BL2772" s="0" t="s">
        <v>130</v>
      </c>
      <c r="BM2772" s="0" t="s">
        <v>130</v>
      </c>
      <c r="BN2772" s="0" t="s">
        <v>130</v>
      </c>
      <c r="BO2772" s="0" t="s">
        <v>130</v>
      </c>
      <c r="BP2772" s="0" t="s">
        <v>130</v>
      </c>
      <c r="BQ2772" s="0" t="s">
        <v>130</v>
      </c>
      <c r="BR2772" s="0" t="s">
        <v>130</v>
      </c>
      <c r="BS2772" s="0" t="s">
        <v>130</v>
      </c>
      <c r="BT2772" s="0" t="s">
        <v>130</v>
      </c>
      <c r="BU2772" s="0" t="s">
        <v>130</v>
      </c>
      <c r="BV2772" s="0" t="s">
        <v>130</v>
      </c>
      <c r="BW2772" s="0" t="s">
        <v>130</v>
      </c>
      <c r="BX2772" s="0" t="s">
        <v>130</v>
      </c>
      <c r="BY2772" s="0" t="s">
        <v>130</v>
      </c>
      <c r="BZ2772" s="0" t="s">
        <v>130</v>
      </c>
      <c r="CA2772" s="0" t="s">
        <v>130</v>
      </c>
      <c r="CB2772" s="0" t="s">
        <v>130</v>
      </c>
      <c r="CC2772" s="0" t="s">
        <v>130</v>
      </c>
      <c r="CD2772" s="0" t="s">
        <v>130</v>
      </c>
      <c r="CE2772" s="0" t="s">
        <v>130</v>
      </c>
      <c r="CF2772" s="0" t="s">
        <v>130</v>
      </c>
      <c r="CG2772" s="0" t="s">
        <v>130</v>
      </c>
      <c r="CH2772" s="0" t="s">
        <v>130</v>
      </c>
      <c r="CI2772" s="0" t="s">
        <v>130</v>
      </c>
      <c r="CJ2772" s="0" t="s">
        <v>130</v>
      </c>
      <c r="CK2772" s="0" t="s">
        <v>130</v>
      </c>
      <c r="CL2772" s="0" t="s">
        <v>130</v>
      </c>
      <c r="CM2772" s="0" t="s">
        <v>130</v>
      </c>
      <c r="CN2772" s="0" t="s">
        <v>130</v>
      </c>
      <c r="CO2772" s="0" t="s">
        <v>130</v>
      </c>
      <c r="CP2772" s="0" t="s">
        <v>130</v>
      </c>
      <c r="CQ2772" s="0" t="s">
        <v>130</v>
      </c>
      <c r="CR2772" s="0" t="s">
        <v>130</v>
      </c>
      <c r="CS2772" s="0" t="s">
        <v>130</v>
      </c>
      <c r="CT2772" s="0" t="s">
        <v>7486</v>
      </c>
    </row>
    <row r="2773">
      <c r="A2773" s="14">
        <v>115694</v>
      </c>
      <c r="B2773" s="0" t="s">
        <v>2507</v>
      </c>
      <c r="C2773" s="16">
        <f>HYPERLINK("https://eosportal.federatedhermes.com/companies/Q29tcGFueQppNTQ5NDQ=", "BASF SE")</f>
      </c>
      <c r="D2773" s="0" t="s">
        <v>25</v>
      </c>
      <c r="E2773" s="0" t="s">
        <v>7487</v>
      </c>
      <c r="F2773" s="16">
        <f>HYPERLINK("https://eosportal.federatedhermes.com/engagements/RW5nYWdlbWVudAppMzgxODM=", "Shareholder rights at AGM")</f>
      </c>
      <c r="G2773" s="14" t="s">
        <v>7488</v>
      </c>
      <c r="H2773" s="0" t="s">
        <v>141</v>
      </c>
      <c r="I2773" s="14" t="s">
        <v>1645</v>
      </c>
      <c r="J2773" s="0" t="s">
        <v>145</v>
      </c>
      <c r="K2773" s="0" t="s">
        <v>400</v>
      </c>
      <c r="L2773" s="0" t="s">
        <v>401</v>
      </c>
      <c r="M2773" s="0" t="s">
        <v>378</v>
      </c>
      <c r="N2773" s="0" t="s">
        <v>2485</v>
      </c>
      <c r="O2773" s="0" t="s">
        <v>706</v>
      </c>
      <c r="Q2773" s="0" t="s">
        <v>130</v>
      </c>
      <c r="R2773" s="0" t="s">
        <v>138</v>
      </c>
      <c r="S2773" s="14">
        <v>0</v>
      </c>
      <c r="T2773" s="0" t="s">
        <v>4412</v>
      </c>
      <c r="U2773" s="0" t="s">
        <v>138</v>
      </c>
      <c r="V2773" s="14" t="s">
        <v>138</v>
      </c>
      <c r="W2773" s="0" t="s">
        <v>138</v>
      </c>
      <c r="X2773" s="14" t="s">
        <v>138</v>
      </c>
      <c r="Y2773" s="0" t="s">
        <v>138</v>
      </c>
      <c r="Z2773" s="14" t="s">
        <v>138</v>
      </c>
      <c r="AA2773" s="0" t="s">
        <v>138</v>
      </c>
      <c r="AB2773" s="14" t="s">
        <v>138</v>
      </c>
      <c r="AD2773" s="0" t="s">
        <v>138</v>
      </c>
      <c r="AF2773" s="0">
        <v>0</v>
      </c>
      <c r="AG2773" s="0">
        <v>0</v>
      </c>
      <c r="AH2773" s="0" t="s">
        <v>140</v>
      </c>
      <c r="AI2773" s="0" t="s">
        <v>138</v>
      </c>
      <c r="AL2773" s="14"/>
      <c r="AN2773" s="14"/>
      <c r="AQ2773" s="0" t="s">
        <v>130</v>
      </c>
      <c r="AR2773" s="0" t="s">
        <v>130</v>
      </c>
      <c r="AS2773" s="0" t="s">
        <v>130</v>
      </c>
      <c r="AT2773" s="0" t="s">
        <v>130</v>
      </c>
      <c r="AU2773" s="0" t="s">
        <v>130</v>
      </c>
      <c r="AV2773" s="0" t="s">
        <v>130</v>
      </c>
      <c r="AW2773" s="0" t="s">
        <v>130</v>
      </c>
      <c r="AX2773" s="0" t="s">
        <v>130</v>
      </c>
      <c r="AY2773" s="0" t="s">
        <v>130</v>
      </c>
      <c r="AZ2773" s="0" t="s">
        <v>130</v>
      </c>
      <c r="BA2773" s="0" t="s">
        <v>130</v>
      </c>
      <c r="BB2773" s="0" t="s">
        <v>130</v>
      </c>
      <c r="BC2773" s="0" t="s">
        <v>130</v>
      </c>
      <c r="BD2773" s="0" t="s">
        <v>130</v>
      </c>
      <c r="BE2773" s="0" t="s">
        <v>130</v>
      </c>
      <c r="BF2773" s="0" t="s">
        <v>130</v>
      </c>
      <c r="BG2773" s="0" t="s">
        <v>130</v>
      </c>
      <c r="BH2773" s="0" t="s">
        <v>130</v>
      </c>
      <c r="BI2773" s="0" t="s">
        <v>130</v>
      </c>
      <c r="BJ2773" s="0" t="s">
        <v>130</v>
      </c>
      <c r="BK2773" s="0" t="s">
        <v>130</v>
      </c>
      <c r="BL2773" s="0" t="s">
        <v>130</v>
      </c>
      <c r="BM2773" s="0" t="s">
        <v>130</v>
      </c>
      <c r="BN2773" s="0" t="s">
        <v>130</v>
      </c>
      <c r="BO2773" s="0" t="s">
        <v>130</v>
      </c>
      <c r="BP2773" s="0" t="s">
        <v>130</v>
      </c>
      <c r="BQ2773" s="0" t="s">
        <v>130</v>
      </c>
      <c r="BR2773" s="0" t="s">
        <v>130</v>
      </c>
      <c r="BS2773" s="0" t="s">
        <v>130</v>
      </c>
      <c r="BT2773" s="0" t="s">
        <v>130</v>
      </c>
      <c r="BU2773" s="0" t="s">
        <v>130</v>
      </c>
      <c r="BV2773" s="0" t="s">
        <v>130</v>
      </c>
      <c r="BW2773" s="0" t="s">
        <v>130</v>
      </c>
      <c r="BX2773" s="0" t="s">
        <v>130</v>
      </c>
      <c r="BY2773" s="0" t="s">
        <v>130</v>
      </c>
      <c r="BZ2773" s="0" t="s">
        <v>130</v>
      </c>
      <c r="CA2773" s="0" t="s">
        <v>130</v>
      </c>
      <c r="CB2773" s="0" t="s">
        <v>130</v>
      </c>
      <c r="CC2773" s="0" t="s">
        <v>130</v>
      </c>
      <c r="CD2773" s="0" t="s">
        <v>130</v>
      </c>
      <c r="CE2773" s="0" t="s">
        <v>130</v>
      </c>
      <c r="CF2773" s="0" t="s">
        <v>130</v>
      </c>
      <c r="CG2773" s="0" t="s">
        <v>130</v>
      </c>
      <c r="CH2773" s="0" t="s">
        <v>130</v>
      </c>
      <c r="CI2773" s="0" t="s">
        <v>130</v>
      </c>
      <c r="CJ2773" s="0" t="s">
        <v>130</v>
      </c>
      <c r="CK2773" s="0" t="s">
        <v>130</v>
      </c>
      <c r="CL2773" s="0" t="s">
        <v>130</v>
      </c>
      <c r="CM2773" s="0" t="s">
        <v>130</v>
      </c>
      <c r="CN2773" s="0" t="s">
        <v>130</v>
      </c>
      <c r="CO2773" s="0" t="s">
        <v>130</v>
      </c>
      <c r="CP2773" s="0" t="s">
        <v>130</v>
      </c>
      <c r="CQ2773" s="0" t="s">
        <v>130</v>
      </c>
      <c r="CR2773" s="0" t="s">
        <v>130</v>
      </c>
      <c r="CS2773" s="0" t="s">
        <v>130</v>
      </c>
      <c r="CT2773" s="0" t="s">
        <v>7489</v>
      </c>
    </row>
    <row r="2774">
      <c r="A2774" s="14">
        <v>115694</v>
      </c>
      <c r="B2774" s="0" t="s">
        <v>2507</v>
      </c>
      <c r="C2774" s="16">
        <f>HYPERLINK("https://eosportal.federatedhermes.com/companies/Q29tcGFueQppNTQ5NDQ=", "BASF SE")</f>
      </c>
      <c r="D2774" s="0" t="s">
        <v>25</v>
      </c>
      <c r="E2774" s="0" t="s">
        <v>7490</v>
      </c>
      <c r="F2774" s="16">
        <f>HYPERLINK("https://eosportal.federatedhermes.com/engagements/RW5nYWdlbWVudAppMzgxODQ=", "Board composition and effectiveness")</f>
      </c>
      <c r="G2774" s="14" t="s">
        <v>7491</v>
      </c>
      <c r="H2774" s="0" t="s">
        <v>141</v>
      </c>
      <c r="I2774" s="14" t="s">
        <v>1645</v>
      </c>
      <c r="J2774" s="0" t="s">
        <v>145</v>
      </c>
      <c r="K2774" s="0" t="s">
        <v>164</v>
      </c>
      <c r="L2774" s="0" t="s">
        <v>165</v>
      </c>
      <c r="M2774" s="0" t="s">
        <v>378</v>
      </c>
      <c r="N2774" s="0" t="s">
        <v>2485</v>
      </c>
      <c r="O2774" s="0" t="s">
        <v>706</v>
      </c>
      <c r="Q2774" s="0" t="s">
        <v>130</v>
      </c>
      <c r="R2774" s="0" t="s">
        <v>138</v>
      </c>
      <c r="S2774" s="14">
        <v>0</v>
      </c>
      <c r="T2774" s="0" t="s">
        <v>4412</v>
      </c>
      <c r="U2774" s="0" t="s">
        <v>138</v>
      </c>
      <c r="V2774" s="14" t="s">
        <v>138</v>
      </c>
      <c r="W2774" s="0" t="s">
        <v>138</v>
      </c>
      <c r="X2774" s="14" t="s">
        <v>138</v>
      </c>
      <c r="Y2774" s="0" t="s">
        <v>138</v>
      </c>
      <c r="Z2774" s="14" t="s">
        <v>138</v>
      </c>
      <c r="AA2774" s="0" t="s">
        <v>138</v>
      </c>
      <c r="AB2774" s="14" t="s">
        <v>138</v>
      </c>
      <c r="AD2774" s="0" t="s">
        <v>138</v>
      </c>
      <c r="AF2774" s="0">
        <v>0</v>
      </c>
      <c r="AG2774" s="0">
        <v>0</v>
      </c>
      <c r="AH2774" s="0" t="s">
        <v>140</v>
      </c>
      <c r="AI2774" s="0" t="s">
        <v>138</v>
      </c>
      <c r="AL2774" s="14"/>
      <c r="AN2774" s="14"/>
      <c r="AQ2774" s="0" t="s">
        <v>130</v>
      </c>
      <c r="AR2774" s="0" t="s">
        <v>130</v>
      </c>
      <c r="AS2774" s="0" t="s">
        <v>130</v>
      </c>
      <c r="AT2774" s="0" t="s">
        <v>130</v>
      </c>
      <c r="AU2774" s="0" t="s">
        <v>130</v>
      </c>
      <c r="AV2774" s="0" t="s">
        <v>130</v>
      </c>
      <c r="AW2774" s="0" t="s">
        <v>130</v>
      </c>
      <c r="AX2774" s="0" t="s">
        <v>130</v>
      </c>
      <c r="AY2774" s="0" t="s">
        <v>130</v>
      </c>
      <c r="AZ2774" s="0" t="s">
        <v>130</v>
      </c>
      <c r="BA2774" s="0" t="s">
        <v>130</v>
      </c>
      <c r="BB2774" s="0" t="s">
        <v>130</v>
      </c>
      <c r="BC2774" s="0" t="s">
        <v>130</v>
      </c>
      <c r="BD2774" s="0" t="s">
        <v>130</v>
      </c>
      <c r="BE2774" s="0" t="s">
        <v>130</v>
      </c>
      <c r="BF2774" s="0" t="s">
        <v>130</v>
      </c>
      <c r="BG2774" s="0" t="s">
        <v>130</v>
      </c>
      <c r="BH2774" s="0" t="s">
        <v>130</v>
      </c>
      <c r="BI2774" s="0" t="s">
        <v>130</v>
      </c>
      <c r="BJ2774" s="0" t="s">
        <v>130</v>
      </c>
      <c r="BK2774" s="0" t="s">
        <v>130</v>
      </c>
      <c r="BL2774" s="0" t="s">
        <v>130</v>
      </c>
      <c r="BM2774" s="0" t="s">
        <v>130</v>
      </c>
      <c r="BN2774" s="0" t="s">
        <v>130</v>
      </c>
      <c r="BO2774" s="0" t="s">
        <v>130</v>
      </c>
      <c r="BP2774" s="0" t="s">
        <v>130</v>
      </c>
      <c r="BQ2774" s="0" t="s">
        <v>130</v>
      </c>
      <c r="BR2774" s="0" t="s">
        <v>130</v>
      </c>
      <c r="BS2774" s="0" t="s">
        <v>130</v>
      </c>
      <c r="BT2774" s="0" t="s">
        <v>130</v>
      </c>
      <c r="BU2774" s="0" t="s">
        <v>130</v>
      </c>
      <c r="BV2774" s="0" t="s">
        <v>130</v>
      </c>
      <c r="BW2774" s="0" t="s">
        <v>130</v>
      </c>
      <c r="BX2774" s="0" t="s">
        <v>130</v>
      </c>
      <c r="BY2774" s="0" t="s">
        <v>130</v>
      </c>
      <c r="BZ2774" s="0" t="s">
        <v>130</v>
      </c>
      <c r="CA2774" s="0" t="s">
        <v>130</v>
      </c>
      <c r="CB2774" s="0" t="s">
        <v>130</v>
      </c>
      <c r="CC2774" s="0" t="s">
        <v>130</v>
      </c>
      <c r="CD2774" s="0" t="s">
        <v>130</v>
      </c>
      <c r="CE2774" s="0" t="s">
        <v>130</v>
      </c>
      <c r="CF2774" s="0" t="s">
        <v>130</v>
      </c>
      <c r="CG2774" s="0" t="s">
        <v>130</v>
      </c>
      <c r="CH2774" s="0" t="s">
        <v>130</v>
      </c>
      <c r="CI2774" s="0" t="s">
        <v>130</v>
      </c>
      <c r="CJ2774" s="0" t="s">
        <v>130</v>
      </c>
      <c r="CK2774" s="0" t="s">
        <v>130</v>
      </c>
      <c r="CL2774" s="0" t="s">
        <v>130</v>
      </c>
      <c r="CM2774" s="0" t="s">
        <v>130</v>
      </c>
      <c r="CN2774" s="0" t="s">
        <v>130</v>
      </c>
      <c r="CO2774" s="0" t="s">
        <v>130</v>
      </c>
      <c r="CP2774" s="0" t="s">
        <v>130</v>
      </c>
      <c r="CQ2774" s="0" t="s">
        <v>130</v>
      </c>
      <c r="CR2774" s="0" t="s">
        <v>130</v>
      </c>
      <c r="CS2774" s="0" t="s">
        <v>130</v>
      </c>
      <c r="CT2774" s="0" t="s">
        <v>7492</v>
      </c>
    </row>
    <row r="2775">
      <c r="A2775" s="14">
        <v>115518</v>
      </c>
      <c r="B2775" s="0" t="s">
        <v>2451</v>
      </c>
      <c r="C2775" s="16">
        <f>HYPERLINK("https://eosportal.federatedhermes.com/companies/Q29tcGFueQppNjMxNjU=", "Schneider Electric SE")</f>
      </c>
      <c r="D2775" s="0" t="s">
        <v>23</v>
      </c>
      <c r="E2775" s="0" t="s">
        <v>7493</v>
      </c>
      <c r="F2775" s="16">
        <f>HYPERLINK("https://eosportal.federatedhermes.com/engagements/RW5nYWdlbWVudAppMzgyMTk=", "Circularity strategy")</f>
      </c>
      <c r="G2775" s="14" t="s">
        <v>7494</v>
      </c>
      <c r="H2775" s="0" t="s">
        <v>141</v>
      </c>
      <c r="I2775" s="14" t="s">
        <v>131</v>
      </c>
      <c r="J2775" s="0" t="s">
        <v>197</v>
      </c>
      <c r="K2775" s="0" t="s">
        <v>348</v>
      </c>
      <c r="L2775" s="0" t="s">
        <v>349</v>
      </c>
      <c r="M2775" s="0" t="s">
        <v>378</v>
      </c>
      <c r="N2775" s="0" t="s">
        <v>1646</v>
      </c>
      <c r="O2775" s="0" t="s">
        <v>176</v>
      </c>
      <c r="Q2775" s="0" t="s">
        <v>130</v>
      </c>
      <c r="R2775" s="0" t="s">
        <v>130</v>
      </c>
      <c r="S2775" s="14">
        <v>0</v>
      </c>
      <c r="T2775" s="0" t="s">
        <v>2428</v>
      </c>
      <c r="U2775" s="0" t="s">
        <v>221</v>
      </c>
      <c r="V2775" s="14" t="s">
        <v>2428</v>
      </c>
      <c r="W2775" s="0" t="s">
        <v>221</v>
      </c>
      <c r="X2775" s="14" t="s">
        <v>2428</v>
      </c>
      <c r="Y2775" s="0" t="s">
        <v>223</v>
      </c>
      <c r="Z2775" s="14" t="s">
        <v>138</v>
      </c>
      <c r="AA2775" s="0" t="s">
        <v>224</v>
      </c>
      <c r="AB2775" s="14" t="s">
        <v>138</v>
      </c>
      <c r="AD2775" s="0" t="s">
        <v>17</v>
      </c>
      <c r="AF2775" s="0">
        <v>0</v>
      </c>
      <c r="AG2775" s="0">
        <v>0</v>
      </c>
      <c r="AH2775" s="0" t="s">
        <v>140</v>
      </c>
      <c r="AI2775" s="0" t="s">
        <v>598</v>
      </c>
      <c r="AL2775" s="14"/>
      <c r="AN2775" s="14"/>
      <c r="AQ2775" s="0" t="s">
        <v>130</v>
      </c>
      <c r="AR2775" s="0" t="s">
        <v>130</v>
      </c>
      <c r="AS2775" s="0" t="s">
        <v>130</v>
      </c>
      <c r="AT2775" s="0" t="s">
        <v>130</v>
      </c>
      <c r="AU2775" s="0" t="s">
        <v>130</v>
      </c>
      <c r="AV2775" s="0" t="s">
        <v>130</v>
      </c>
      <c r="AW2775" s="0" t="s">
        <v>130</v>
      </c>
      <c r="AX2775" s="0" t="s">
        <v>130</v>
      </c>
      <c r="AY2775" s="0" t="s">
        <v>130</v>
      </c>
      <c r="AZ2775" s="0" t="s">
        <v>130</v>
      </c>
      <c r="BA2775" s="0" t="s">
        <v>141</v>
      </c>
      <c r="BB2775" s="0" t="s">
        <v>141</v>
      </c>
      <c r="BC2775" s="0" t="s">
        <v>130</v>
      </c>
      <c r="BD2775" s="0" t="s">
        <v>130</v>
      </c>
      <c r="BE2775" s="0" t="s">
        <v>130</v>
      </c>
      <c r="BF2775" s="0" t="s">
        <v>130</v>
      </c>
      <c r="BG2775" s="0" t="s">
        <v>130</v>
      </c>
      <c r="BH2775" s="0" t="s">
        <v>130</v>
      </c>
      <c r="BI2775" s="0" t="s">
        <v>130</v>
      </c>
      <c r="BJ2775" s="0" t="s">
        <v>130</v>
      </c>
      <c r="BK2775" s="0" t="s">
        <v>130</v>
      </c>
      <c r="BL2775" s="0" t="s">
        <v>130</v>
      </c>
      <c r="BM2775" s="0" t="s">
        <v>130</v>
      </c>
      <c r="BN2775" s="0" t="s">
        <v>130</v>
      </c>
      <c r="BO2775" s="0" t="s">
        <v>130</v>
      </c>
      <c r="BP2775" s="0" t="s">
        <v>130</v>
      </c>
      <c r="BQ2775" s="0" t="s">
        <v>130</v>
      </c>
      <c r="BR2775" s="0" t="s">
        <v>130</v>
      </c>
      <c r="BS2775" s="0" t="s">
        <v>130</v>
      </c>
      <c r="BT2775" s="0" t="s">
        <v>130</v>
      </c>
      <c r="BU2775" s="0" t="s">
        <v>130</v>
      </c>
      <c r="BV2775" s="0" t="s">
        <v>130</v>
      </c>
      <c r="BW2775" s="0" t="s">
        <v>130</v>
      </c>
      <c r="BX2775" s="0" t="s">
        <v>130</v>
      </c>
      <c r="BY2775" s="0" t="s">
        <v>130</v>
      </c>
      <c r="BZ2775" s="0" t="s">
        <v>130</v>
      </c>
      <c r="CA2775" s="0" t="s">
        <v>130</v>
      </c>
      <c r="CB2775" s="0" t="s">
        <v>130</v>
      </c>
      <c r="CC2775" s="0" t="s">
        <v>130</v>
      </c>
      <c r="CD2775" s="0" t="s">
        <v>141</v>
      </c>
      <c r="CE2775" s="0" t="s">
        <v>130</v>
      </c>
      <c r="CF2775" s="0" t="s">
        <v>130</v>
      </c>
      <c r="CG2775" s="0" t="s">
        <v>130</v>
      </c>
      <c r="CH2775" s="0" t="s">
        <v>130</v>
      </c>
      <c r="CI2775" s="0" t="s">
        <v>130</v>
      </c>
      <c r="CJ2775" s="0" t="s">
        <v>130</v>
      </c>
      <c r="CK2775" s="0" t="s">
        <v>130</v>
      </c>
      <c r="CL2775" s="0" t="s">
        <v>130</v>
      </c>
      <c r="CM2775" s="0" t="s">
        <v>130</v>
      </c>
      <c r="CN2775" s="0" t="s">
        <v>130</v>
      </c>
      <c r="CO2775" s="0" t="s">
        <v>130</v>
      </c>
      <c r="CP2775" s="0" t="s">
        <v>130</v>
      </c>
      <c r="CQ2775" s="0" t="s">
        <v>130</v>
      </c>
      <c r="CR2775" s="0" t="s">
        <v>130</v>
      </c>
      <c r="CS2775" s="0" t="s">
        <v>130</v>
      </c>
      <c r="CT2775" s="0" t="s">
        <v>7495</v>
      </c>
    </row>
    <row r="2776">
      <c r="A2776" s="14">
        <v>304214</v>
      </c>
      <c r="B2776" s="0" t="s">
        <v>3545</v>
      </c>
      <c r="C2776" s="16">
        <f>HYPERLINK("https://eosportal.federatedhermes.com/companies/Q29tcGFueQppODU4Nzc=", "Anhui Conch Cement Co Ltd")</f>
      </c>
      <c r="D2776" s="0" t="s">
        <v>23</v>
      </c>
      <c r="E2776" s="0" t="s">
        <v>7496</v>
      </c>
      <c r="F2776" s="16">
        <f>HYPERLINK("https://eosportal.federatedhermes.com/engagements/RW5nYWdlbWVudAppMzgyMjE=", "Independent director access")</f>
      </c>
      <c r="G2776" s="14" t="s">
        <v>7497</v>
      </c>
      <c r="H2776" s="0" t="s">
        <v>141</v>
      </c>
      <c r="I2776" s="14" t="s">
        <v>131</v>
      </c>
      <c r="J2776" s="0" t="s">
        <v>145</v>
      </c>
      <c r="K2776" s="0" t="s">
        <v>400</v>
      </c>
      <c r="L2776" s="0" t="s">
        <v>401</v>
      </c>
      <c r="M2776" s="0" t="s">
        <v>2807</v>
      </c>
      <c r="N2776" s="0" t="s">
        <v>3272</v>
      </c>
      <c r="O2776" s="0" t="s">
        <v>373</v>
      </c>
      <c r="Q2776" s="0" t="s">
        <v>141</v>
      </c>
      <c r="R2776" s="0" t="s">
        <v>130</v>
      </c>
      <c r="S2776" s="14">
        <v>3</v>
      </c>
      <c r="T2776" s="0" t="s">
        <v>2842</v>
      </c>
      <c r="U2776" s="0" t="s">
        <v>221</v>
      </c>
      <c r="V2776" s="14" t="s">
        <v>2842</v>
      </c>
      <c r="W2776" s="0" t="s">
        <v>221</v>
      </c>
      <c r="X2776" s="14" t="s">
        <v>2842</v>
      </c>
      <c r="Y2776" s="0" t="s">
        <v>223</v>
      </c>
      <c r="Z2776" s="14" t="s">
        <v>138</v>
      </c>
      <c r="AA2776" s="0" t="s">
        <v>224</v>
      </c>
      <c r="AB2776" s="14" t="s">
        <v>138</v>
      </c>
      <c r="AD2776" s="0" t="s">
        <v>17</v>
      </c>
      <c r="AF2776" s="0">
        <v>0</v>
      </c>
      <c r="AG2776" s="0">
        <v>0</v>
      </c>
      <c r="AH2776" s="0" t="s">
        <v>140</v>
      </c>
      <c r="AI2776" s="0" t="s">
        <v>479</v>
      </c>
      <c r="AK2776" s="0" t="s">
        <v>2795</v>
      </c>
      <c r="AL2776" s="14"/>
      <c r="AN2776" s="14"/>
      <c r="AQ2776" s="0" t="s">
        <v>130</v>
      </c>
      <c r="AR2776" s="0" t="s">
        <v>130</v>
      </c>
      <c r="AS2776" s="0" t="s">
        <v>130</v>
      </c>
      <c r="AT2776" s="0" t="s">
        <v>130</v>
      </c>
      <c r="AU2776" s="0" t="s">
        <v>130</v>
      </c>
      <c r="AV2776" s="0" t="s">
        <v>130</v>
      </c>
      <c r="AW2776" s="0" t="s">
        <v>130</v>
      </c>
      <c r="AX2776" s="0" t="s">
        <v>130</v>
      </c>
      <c r="AY2776" s="0" t="s">
        <v>130</v>
      </c>
      <c r="AZ2776" s="0" t="s">
        <v>130</v>
      </c>
      <c r="BA2776" s="0" t="s">
        <v>130</v>
      </c>
      <c r="BB2776" s="0" t="s">
        <v>130</v>
      </c>
      <c r="BC2776" s="0" t="s">
        <v>130</v>
      </c>
      <c r="BD2776" s="0" t="s">
        <v>130</v>
      </c>
      <c r="BE2776" s="0" t="s">
        <v>130</v>
      </c>
      <c r="BF2776" s="0" t="s">
        <v>130</v>
      </c>
      <c r="BG2776" s="0" t="s">
        <v>130</v>
      </c>
      <c r="BH2776" s="0" t="s">
        <v>130</v>
      </c>
      <c r="BI2776" s="0" t="s">
        <v>130</v>
      </c>
      <c r="BJ2776" s="0" t="s">
        <v>130</v>
      </c>
      <c r="BK2776" s="0" t="s">
        <v>130</v>
      </c>
      <c r="BL2776" s="0" t="s">
        <v>130</v>
      </c>
      <c r="BM2776" s="0" t="s">
        <v>130</v>
      </c>
      <c r="BN2776" s="0" t="s">
        <v>130</v>
      </c>
      <c r="BO2776" s="0" t="s">
        <v>130</v>
      </c>
      <c r="BP2776" s="0" t="s">
        <v>130</v>
      </c>
      <c r="BQ2776" s="0" t="s">
        <v>130</v>
      </c>
      <c r="BR2776" s="0" t="s">
        <v>130</v>
      </c>
      <c r="BS2776" s="0" t="s">
        <v>130</v>
      </c>
      <c r="BT2776" s="0" t="s">
        <v>130</v>
      </c>
      <c r="BU2776" s="0" t="s">
        <v>130</v>
      </c>
      <c r="BV2776" s="0" t="s">
        <v>130</v>
      </c>
      <c r="BW2776" s="0" t="s">
        <v>130</v>
      </c>
      <c r="BX2776" s="0" t="s">
        <v>130</v>
      </c>
      <c r="BY2776" s="0" t="s">
        <v>130</v>
      </c>
      <c r="BZ2776" s="0" t="s">
        <v>130</v>
      </c>
      <c r="CA2776" s="0" t="s">
        <v>130</v>
      </c>
      <c r="CB2776" s="0" t="s">
        <v>130</v>
      </c>
      <c r="CC2776" s="0" t="s">
        <v>130</v>
      </c>
      <c r="CD2776" s="0" t="s">
        <v>130</v>
      </c>
      <c r="CE2776" s="0" t="s">
        <v>130</v>
      </c>
      <c r="CF2776" s="0" t="s">
        <v>130</v>
      </c>
      <c r="CG2776" s="0" t="s">
        <v>130</v>
      </c>
      <c r="CH2776" s="0" t="s">
        <v>130</v>
      </c>
      <c r="CI2776" s="0" t="s">
        <v>130</v>
      </c>
      <c r="CJ2776" s="0" t="s">
        <v>130</v>
      </c>
      <c r="CK2776" s="0" t="s">
        <v>130</v>
      </c>
      <c r="CL2776" s="0" t="s">
        <v>130</v>
      </c>
      <c r="CM2776" s="0" t="s">
        <v>130</v>
      </c>
      <c r="CN2776" s="0" t="s">
        <v>130</v>
      </c>
      <c r="CO2776" s="0" t="s">
        <v>130</v>
      </c>
      <c r="CP2776" s="0" t="s">
        <v>130</v>
      </c>
      <c r="CQ2776" s="0" t="s">
        <v>130</v>
      </c>
      <c r="CR2776" s="0" t="s">
        <v>130</v>
      </c>
      <c r="CS2776" s="0" t="s">
        <v>130</v>
      </c>
      <c r="CT2776" s="0" t="s">
        <v>7498</v>
      </c>
    </row>
    <row r="2777">
      <c r="A2777" s="14">
        <v>173055</v>
      </c>
      <c r="B2777" s="0" t="s">
        <v>3098</v>
      </c>
      <c r="C2777" s="16">
        <f>HYPERLINK("https://eosportal.federatedhermes.com/companies/Q29tcGFueQppNzI2OTc=", "WEG SA")</f>
      </c>
      <c r="D2777" s="0" t="s">
        <v>25</v>
      </c>
      <c r="E2777" s="0" t="s">
        <v>5769</v>
      </c>
      <c r="F2777" s="16">
        <f>HYPERLINK("https://eosportal.federatedhermes.com/engagements/RW5nYWdlbWVudAppMzgyNDQ=", "Board Independence")</f>
      </c>
      <c r="G2777" s="14" t="s">
        <v>7499</v>
      </c>
      <c r="H2777" s="0" t="s">
        <v>130</v>
      </c>
      <c r="I2777" s="14" t="s">
        <v>131</v>
      </c>
      <c r="J2777" s="0" t="s">
        <v>145</v>
      </c>
      <c r="K2777" s="0" t="s">
        <v>164</v>
      </c>
      <c r="L2777" s="0" t="s">
        <v>165</v>
      </c>
      <c r="M2777" s="0" t="s">
        <v>2807</v>
      </c>
      <c r="N2777" s="0" t="s">
        <v>3041</v>
      </c>
      <c r="O2777" s="0" t="s">
        <v>176</v>
      </c>
      <c r="Q2777" s="0" t="s">
        <v>141</v>
      </c>
      <c r="R2777" s="0" t="s">
        <v>138</v>
      </c>
      <c r="S2777" s="14">
        <v>1</v>
      </c>
      <c r="T2777" s="0" t="s">
        <v>4412</v>
      </c>
      <c r="U2777" s="0" t="s">
        <v>138</v>
      </c>
      <c r="V2777" s="14" t="s">
        <v>138</v>
      </c>
      <c r="W2777" s="0" t="s">
        <v>138</v>
      </c>
      <c r="X2777" s="14" t="s">
        <v>138</v>
      </c>
      <c r="Y2777" s="0" t="s">
        <v>138</v>
      </c>
      <c r="Z2777" s="14" t="s">
        <v>138</v>
      </c>
      <c r="AA2777" s="0" t="s">
        <v>138</v>
      </c>
      <c r="AB2777" s="14" t="s">
        <v>138</v>
      </c>
      <c r="AD2777" s="0" t="s">
        <v>138</v>
      </c>
      <c r="AF2777" s="0">
        <v>0</v>
      </c>
      <c r="AG2777" s="0">
        <v>0</v>
      </c>
      <c r="AH2777" s="0" t="s">
        <v>140</v>
      </c>
      <c r="AI2777" s="0" t="s">
        <v>138</v>
      </c>
      <c r="AK2777" s="0" t="s">
        <v>1347</v>
      </c>
      <c r="AL2777" s="14"/>
      <c r="AN2777" s="14"/>
      <c r="AQ2777" s="0" t="s">
        <v>130</v>
      </c>
      <c r="AR2777" s="0" t="s">
        <v>130</v>
      </c>
      <c r="AS2777" s="0" t="s">
        <v>130</v>
      </c>
      <c r="AT2777" s="0" t="s">
        <v>130</v>
      </c>
      <c r="AU2777" s="0" t="s">
        <v>130</v>
      </c>
      <c r="AV2777" s="0" t="s">
        <v>130</v>
      </c>
      <c r="AW2777" s="0" t="s">
        <v>130</v>
      </c>
      <c r="AX2777" s="0" t="s">
        <v>130</v>
      </c>
      <c r="AY2777" s="0" t="s">
        <v>130</v>
      </c>
      <c r="AZ2777" s="0" t="s">
        <v>130</v>
      </c>
      <c r="BA2777" s="0" t="s">
        <v>130</v>
      </c>
      <c r="BB2777" s="0" t="s">
        <v>130</v>
      </c>
      <c r="BC2777" s="0" t="s">
        <v>130</v>
      </c>
      <c r="BD2777" s="0" t="s">
        <v>130</v>
      </c>
      <c r="BE2777" s="0" t="s">
        <v>130</v>
      </c>
      <c r="BF2777" s="0" t="s">
        <v>130</v>
      </c>
      <c r="BG2777" s="0" t="s">
        <v>130</v>
      </c>
      <c r="BH2777" s="0" t="s">
        <v>130</v>
      </c>
      <c r="BI2777" s="0" t="s">
        <v>130</v>
      </c>
      <c r="BJ2777" s="0" t="s">
        <v>130</v>
      </c>
      <c r="BK2777" s="0" t="s">
        <v>130</v>
      </c>
      <c r="BL2777" s="0" t="s">
        <v>130</v>
      </c>
      <c r="BM2777" s="0" t="s">
        <v>130</v>
      </c>
      <c r="BN2777" s="0" t="s">
        <v>130</v>
      </c>
      <c r="BO2777" s="0" t="s">
        <v>130</v>
      </c>
      <c r="BP2777" s="0" t="s">
        <v>130</v>
      </c>
      <c r="BQ2777" s="0" t="s">
        <v>130</v>
      </c>
      <c r="BR2777" s="0" t="s">
        <v>130</v>
      </c>
      <c r="BS2777" s="0" t="s">
        <v>130</v>
      </c>
      <c r="BT2777" s="0" t="s">
        <v>130</v>
      </c>
      <c r="BU2777" s="0" t="s">
        <v>130</v>
      </c>
      <c r="BV2777" s="0" t="s">
        <v>130</v>
      </c>
      <c r="BW2777" s="0" t="s">
        <v>130</v>
      </c>
      <c r="BX2777" s="0" t="s">
        <v>130</v>
      </c>
      <c r="BY2777" s="0" t="s">
        <v>130</v>
      </c>
      <c r="BZ2777" s="0" t="s">
        <v>130</v>
      </c>
      <c r="CA2777" s="0" t="s">
        <v>130</v>
      </c>
      <c r="CB2777" s="0" t="s">
        <v>130</v>
      </c>
      <c r="CC2777" s="0" t="s">
        <v>130</v>
      </c>
      <c r="CD2777" s="0" t="s">
        <v>130</v>
      </c>
      <c r="CE2777" s="0" t="s">
        <v>130</v>
      </c>
      <c r="CF2777" s="0" t="s">
        <v>130</v>
      </c>
      <c r="CG2777" s="0" t="s">
        <v>130</v>
      </c>
      <c r="CH2777" s="0" t="s">
        <v>130</v>
      </c>
      <c r="CI2777" s="0" t="s">
        <v>130</v>
      </c>
      <c r="CJ2777" s="0" t="s">
        <v>130</v>
      </c>
      <c r="CK2777" s="0" t="s">
        <v>130</v>
      </c>
      <c r="CL2777" s="0" t="s">
        <v>130</v>
      </c>
      <c r="CM2777" s="0" t="s">
        <v>130</v>
      </c>
      <c r="CN2777" s="0" t="s">
        <v>130</v>
      </c>
      <c r="CO2777" s="0" t="s">
        <v>130</v>
      </c>
      <c r="CP2777" s="0" t="s">
        <v>130</v>
      </c>
      <c r="CQ2777" s="0" t="s">
        <v>130</v>
      </c>
      <c r="CR2777" s="0" t="s">
        <v>130</v>
      </c>
      <c r="CS2777" s="0" t="s">
        <v>130</v>
      </c>
      <c r="CT2777" s="0" t="s">
        <v>7500</v>
      </c>
    </row>
    <row r="2778">
      <c r="A2778" s="14">
        <v>9268711</v>
      </c>
      <c r="B2778" s="0" t="s">
        <v>4005</v>
      </c>
      <c r="C2778" s="16">
        <f>HYPERLINK("https://eosportal.federatedhermes.com/companies/Q29tcGFueQppODU0MTQ=", "Shell PLC")</f>
      </c>
      <c r="D2778" s="0" t="s">
        <v>23</v>
      </c>
      <c r="E2778" s="0" t="s">
        <v>7501</v>
      </c>
      <c r="F2778" s="16">
        <f>HYPERLINK("https://eosportal.federatedhermes.com/engagements/RW5nYWdlbWVudAppMzgyNjc=", "Demonstrate financial resilience of LNG strategy")</f>
      </c>
      <c r="G2778" s="14" t="s">
        <v>7502</v>
      </c>
      <c r="H2778" s="0" t="s">
        <v>141</v>
      </c>
      <c r="I2778" s="14" t="s">
        <v>191</v>
      </c>
      <c r="J2778" s="0" t="s">
        <v>197</v>
      </c>
      <c r="K2778" s="0" t="s">
        <v>198</v>
      </c>
      <c r="L2778" s="0" t="s">
        <v>220</v>
      </c>
      <c r="M2778" s="0" t="s">
        <v>272</v>
      </c>
      <c r="N2778" s="0" t="s">
        <v>273</v>
      </c>
      <c r="O2778" s="0" t="s">
        <v>542</v>
      </c>
      <c r="Q2778" s="0" t="s">
        <v>130</v>
      </c>
      <c r="R2778" s="0" t="s">
        <v>130</v>
      </c>
      <c r="S2778" s="14">
        <v>0</v>
      </c>
      <c r="T2778" s="0" t="s">
        <v>2428</v>
      </c>
      <c r="U2778" s="0" t="s">
        <v>221</v>
      </c>
      <c r="V2778" s="14" t="s">
        <v>2428</v>
      </c>
      <c r="W2778" s="0" t="s">
        <v>223</v>
      </c>
      <c r="X2778" s="14" t="s">
        <v>138</v>
      </c>
      <c r="Y2778" s="0" t="s">
        <v>224</v>
      </c>
      <c r="Z2778" s="14" t="s">
        <v>138</v>
      </c>
      <c r="AA2778" s="0" t="s">
        <v>224</v>
      </c>
      <c r="AB2778" s="14" t="s">
        <v>138</v>
      </c>
      <c r="AD2778" s="0" t="s">
        <v>14</v>
      </c>
      <c r="AF2778" s="0">
        <v>0</v>
      </c>
      <c r="AG2778" s="0">
        <v>0</v>
      </c>
      <c r="AH2778" s="0" t="s">
        <v>140</v>
      </c>
      <c r="AI2778" s="0" t="s">
        <v>479</v>
      </c>
      <c r="AL2778" s="14"/>
      <c r="AN2778" s="14"/>
      <c r="AQ2778" s="0" t="s">
        <v>130</v>
      </c>
      <c r="AR2778" s="0" t="s">
        <v>130</v>
      </c>
      <c r="AS2778" s="0" t="s">
        <v>130</v>
      </c>
      <c r="AT2778" s="0" t="s">
        <v>130</v>
      </c>
      <c r="AU2778" s="0" t="s">
        <v>130</v>
      </c>
      <c r="AV2778" s="0" t="s">
        <v>130</v>
      </c>
      <c r="AW2778" s="0" t="s">
        <v>141</v>
      </c>
      <c r="AX2778" s="0" t="s">
        <v>130</v>
      </c>
      <c r="AY2778" s="0" t="s">
        <v>141</v>
      </c>
      <c r="AZ2778" s="0" t="s">
        <v>130</v>
      </c>
      <c r="BA2778" s="0" t="s">
        <v>130</v>
      </c>
      <c r="BB2778" s="0" t="s">
        <v>130</v>
      </c>
      <c r="BC2778" s="0" t="s">
        <v>141</v>
      </c>
      <c r="BD2778" s="0" t="s">
        <v>130</v>
      </c>
      <c r="BE2778" s="0" t="s">
        <v>130</v>
      </c>
      <c r="BF2778" s="0" t="s">
        <v>130</v>
      </c>
      <c r="BG2778" s="0" t="s">
        <v>130</v>
      </c>
      <c r="BH2778" s="0" t="s">
        <v>130</v>
      </c>
      <c r="BI2778" s="0" t="s">
        <v>130</v>
      </c>
      <c r="BJ2778" s="0" t="s">
        <v>130</v>
      </c>
      <c r="BK2778" s="0" t="s">
        <v>130</v>
      </c>
      <c r="BL2778" s="0" t="s">
        <v>130</v>
      </c>
      <c r="BM2778" s="0" t="s">
        <v>130</v>
      </c>
      <c r="BN2778" s="0" t="s">
        <v>130</v>
      </c>
      <c r="BO2778" s="0" t="s">
        <v>130</v>
      </c>
      <c r="BP2778" s="0" t="s">
        <v>130</v>
      </c>
      <c r="BQ2778" s="0" t="s">
        <v>130</v>
      </c>
      <c r="BR2778" s="0" t="s">
        <v>130</v>
      </c>
      <c r="BS2778" s="0" t="s">
        <v>130</v>
      </c>
      <c r="BT2778" s="0" t="s">
        <v>130</v>
      </c>
      <c r="BU2778" s="0" t="s">
        <v>130</v>
      </c>
      <c r="BV2778" s="0" t="s">
        <v>130</v>
      </c>
      <c r="BW2778" s="0" t="s">
        <v>130</v>
      </c>
      <c r="BX2778" s="0" t="s">
        <v>130</v>
      </c>
      <c r="BY2778" s="0" t="s">
        <v>130</v>
      </c>
      <c r="BZ2778" s="0" t="s">
        <v>130</v>
      </c>
      <c r="CA2778" s="0" t="s">
        <v>130</v>
      </c>
      <c r="CB2778" s="0" t="s">
        <v>130</v>
      </c>
      <c r="CC2778" s="0" t="s">
        <v>130</v>
      </c>
      <c r="CD2778" s="0" t="s">
        <v>130</v>
      </c>
      <c r="CE2778" s="0" t="s">
        <v>130</v>
      </c>
      <c r="CF2778" s="0" t="s">
        <v>130</v>
      </c>
      <c r="CG2778" s="0" t="s">
        <v>130</v>
      </c>
      <c r="CH2778" s="0" t="s">
        <v>130</v>
      </c>
      <c r="CI2778" s="0" t="s">
        <v>130</v>
      </c>
      <c r="CJ2778" s="0" t="s">
        <v>130</v>
      </c>
      <c r="CK2778" s="0" t="s">
        <v>130</v>
      </c>
      <c r="CL2778" s="0" t="s">
        <v>130</v>
      </c>
      <c r="CM2778" s="0" t="s">
        <v>130</v>
      </c>
      <c r="CN2778" s="0" t="s">
        <v>130</v>
      </c>
      <c r="CO2778" s="0" t="s">
        <v>130</v>
      </c>
      <c r="CP2778" s="0" t="s">
        <v>130</v>
      </c>
      <c r="CQ2778" s="0" t="s">
        <v>130</v>
      </c>
      <c r="CR2778" s="0" t="s">
        <v>130</v>
      </c>
      <c r="CS2778" s="0" t="s">
        <v>130</v>
      </c>
      <c r="CT2778" s="0" t="s">
        <v>7503</v>
      </c>
    </row>
    <row r="2779">
      <c r="A2779" s="14">
        <v>110755</v>
      </c>
      <c r="B2779" s="0" t="s">
        <v>2303</v>
      </c>
      <c r="C2779" s="16">
        <f>HYPERLINK("https://eosportal.federatedhermes.com/companies/Q29tcGFueQppODYxNDM=", "Toronto-Dominion Bank/The")</f>
      </c>
      <c r="D2779" s="0" t="s">
        <v>23</v>
      </c>
      <c r="E2779" s="0" t="s">
        <v>1449</v>
      </c>
      <c r="F2779" s="16">
        <f>HYPERLINK("https://eosportal.federatedhermes.com/engagements/RW5nYWdlbWVudAppMzgyODI=", "Controversy linked to UNGC Principle 10: Corruption and bribery")</f>
      </c>
      <c r="G2779" s="14" t="s">
        <v>7504</v>
      </c>
      <c r="H2779" s="0" t="s">
        <v>141</v>
      </c>
      <c r="I2779" s="14" t="s">
        <v>191</v>
      </c>
      <c r="J2779" s="0" t="s">
        <v>132</v>
      </c>
      <c r="K2779" s="0" t="s">
        <v>260</v>
      </c>
      <c r="L2779" s="0" t="s">
        <v>261</v>
      </c>
      <c r="M2779" s="0" t="s">
        <v>135</v>
      </c>
      <c r="N2779" s="0" t="s">
        <v>1678</v>
      </c>
      <c r="O2779" s="0" t="s">
        <v>238</v>
      </c>
      <c r="Q2779" s="0" t="s">
        <v>130</v>
      </c>
      <c r="R2779" s="0" t="s">
        <v>141</v>
      </c>
      <c r="S2779" s="14">
        <v>0</v>
      </c>
      <c r="T2779" s="0" t="s">
        <v>2428</v>
      </c>
      <c r="U2779" s="0" t="s">
        <v>221</v>
      </c>
      <c r="V2779" s="14" t="s">
        <v>2428</v>
      </c>
      <c r="W2779" s="0" t="s">
        <v>221</v>
      </c>
      <c r="X2779" s="14" t="s">
        <v>361</v>
      </c>
      <c r="Y2779" s="0" t="s">
        <v>221</v>
      </c>
      <c r="Z2779" s="14" t="s">
        <v>361</v>
      </c>
      <c r="AA2779" s="0" t="s">
        <v>221</v>
      </c>
      <c r="AB2779" s="14" t="s">
        <v>361</v>
      </c>
      <c r="AC2779" s="0" t="s">
        <v>7505</v>
      </c>
      <c r="AD2779" s="0" t="s">
        <v>362</v>
      </c>
      <c r="AE2779" s="0" t="s">
        <v>7506</v>
      </c>
      <c r="AF2779" s="0">
        <v>3</v>
      </c>
      <c r="AG2779" s="0">
        <v>0</v>
      </c>
      <c r="AH2779" s="0" t="s">
        <v>140</v>
      </c>
      <c r="AI2779" s="0" t="s">
        <v>221</v>
      </c>
      <c r="AJ2779" s="0" t="s">
        <v>577</v>
      </c>
      <c r="AL2779" s="14"/>
      <c r="AN2779" s="14"/>
      <c r="AQ2779" s="0" t="s">
        <v>130</v>
      </c>
      <c r="AR2779" s="0" t="s">
        <v>130</v>
      </c>
      <c r="AS2779" s="0" t="s">
        <v>130</v>
      </c>
      <c r="AT2779" s="0" t="s">
        <v>130</v>
      </c>
      <c r="AU2779" s="0" t="s">
        <v>130</v>
      </c>
      <c r="AV2779" s="0" t="s">
        <v>130</v>
      </c>
      <c r="AW2779" s="0" t="s">
        <v>130</v>
      </c>
      <c r="AX2779" s="0" t="s">
        <v>130</v>
      </c>
      <c r="AY2779" s="0" t="s">
        <v>130</v>
      </c>
      <c r="AZ2779" s="0" t="s">
        <v>130</v>
      </c>
      <c r="BA2779" s="0" t="s">
        <v>130</v>
      </c>
      <c r="BB2779" s="0" t="s">
        <v>130</v>
      </c>
      <c r="BC2779" s="0" t="s">
        <v>130</v>
      </c>
      <c r="BD2779" s="0" t="s">
        <v>130</v>
      </c>
      <c r="BE2779" s="0" t="s">
        <v>130</v>
      </c>
      <c r="BF2779" s="0" t="s">
        <v>130</v>
      </c>
      <c r="BG2779" s="0" t="s">
        <v>130</v>
      </c>
      <c r="BH2779" s="0" t="s">
        <v>130</v>
      </c>
      <c r="BI2779" s="0" t="s">
        <v>130</v>
      </c>
      <c r="BJ2779" s="0" t="s">
        <v>130</v>
      </c>
      <c r="BK2779" s="0" t="s">
        <v>130</v>
      </c>
      <c r="BL2779" s="0" t="s">
        <v>130</v>
      </c>
      <c r="BM2779" s="0" t="s">
        <v>130</v>
      </c>
      <c r="BN2779" s="0" t="s">
        <v>130</v>
      </c>
      <c r="BO2779" s="0" t="s">
        <v>130</v>
      </c>
      <c r="BP2779" s="0" t="s">
        <v>141</v>
      </c>
      <c r="BQ2779" s="0" t="s">
        <v>130</v>
      </c>
      <c r="BR2779" s="0" t="s">
        <v>130</v>
      </c>
      <c r="BS2779" s="0" t="s">
        <v>130</v>
      </c>
      <c r="BT2779" s="0" t="s">
        <v>130</v>
      </c>
      <c r="BU2779" s="0" t="s">
        <v>130</v>
      </c>
      <c r="BV2779" s="0" t="s">
        <v>130</v>
      </c>
      <c r="BW2779" s="0" t="s">
        <v>130</v>
      </c>
      <c r="BX2779" s="0" t="s">
        <v>130</v>
      </c>
      <c r="BY2779" s="0" t="s">
        <v>130</v>
      </c>
      <c r="BZ2779" s="0" t="s">
        <v>130</v>
      </c>
      <c r="CA2779" s="0" t="s">
        <v>130</v>
      </c>
      <c r="CB2779" s="0" t="s">
        <v>130</v>
      </c>
      <c r="CC2779" s="0" t="s">
        <v>130</v>
      </c>
      <c r="CD2779" s="0" t="s">
        <v>130</v>
      </c>
      <c r="CE2779" s="0" t="s">
        <v>130</v>
      </c>
      <c r="CF2779" s="0" t="s">
        <v>130</v>
      </c>
      <c r="CG2779" s="0" t="s">
        <v>130</v>
      </c>
      <c r="CH2779" s="0" t="s">
        <v>130</v>
      </c>
      <c r="CI2779" s="0" t="s">
        <v>130</v>
      </c>
      <c r="CJ2779" s="0" t="s">
        <v>130</v>
      </c>
      <c r="CK2779" s="0" t="s">
        <v>130</v>
      </c>
      <c r="CL2779" s="0" t="s">
        <v>130</v>
      </c>
      <c r="CM2779" s="0" t="s">
        <v>130</v>
      </c>
      <c r="CN2779" s="0" t="s">
        <v>130</v>
      </c>
      <c r="CO2779" s="0" t="s">
        <v>130</v>
      </c>
      <c r="CP2779" s="0" t="s">
        <v>130</v>
      </c>
      <c r="CQ2779" s="0" t="s">
        <v>130</v>
      </c>
      <c r="CR2779" s="0" t="s">
        <v>130</v>
      </c>
      <c r="CS2779" s="0" t="s">
        <v>130</v>
      </c>
      <c r="CT2779" s="0" t="s">
        <v>7507</v>
      </c>
    </row>
    <row r="2780">
      <c r="A2780" s="14">
        <v>48364393</v>
      </c>
      <c r="B2780" s="0" t="s">
        <v>4718</v>
      </c>
      <c r="C2780" s="16">
        <f>HYPERLINK("https://eosportal.federatedhermes.com/companies/Q29tcGFueQppNTg5OTY=", "DuPont de Nemours Inc")</f>
      </c>
      <c r="D2780" s="0" t="s">
        <v>23</v>
      </c>
      <c r="E2780" s="0" t="s">
        <v>218</v>
      </c>
      <c r="F2780" s="16">
        <f>HYPERLINK("https://eosportal.federatedhermes.com/engagements/RW5nYWdlbWVudAppMzgzMDE=", "Validation of sufficiency of climate strategy")</f>
      </c>
      <c r="G2780" s="14" t="s">
        <v>219</v>
      </c>
      <c r="H2780" s="0" t="s">
        <v>141</v>
      </c>
      <c r="I2780" s="14" t="s">
        <v>191</v>
      </c>
      <c r="J2780" s="0" t="s">
        <v>197</v>
      </c>
      <c r="K2780" s="0" t="s">
        <v>198</v>
      </c>
      <c r="L2780" s="0" t="s">
        <v>220</v>
      </c>
      <c r="M2780" s="0" t="s">
        <v>135</v>
      </c>
      <c r="N2780" s="0" t="s">
        <v>136</v>
      </c>
      <c r="O2780" s="0" t="s">
        <v>706</v>
      </c>
      <c r="Q2780" s="0" t="s">
        <v>130</v>
      </c>
      <c r="R2780" s="0" t="s">
        <v>130</v>
      </c>
      <c r="S2780" s="14">
        <v>0</v>
      </c>
      <c r="T2780" s="0" t="s">
        <v>4412</v>
      </c>
      <c r="U2780" s="0" t="s">
        <v>221</v>
      </c>
      <c r="V2780" s="14" t="s">
        <v>4412</v>
      </c>
      <c r="W2780" s="0" t="s">
        <v>221</v>
      </c>
      <c r="X2780" s="14" t="s">
        <v>4412</v>
      </c>
      <c r="Y2780" s="0" t="s">
        <v>223</v>
      </c>
      <c r="Z2780" s="14" t="s">
        <v>138</v>
      </c>
      <c r="AA2780" s="0" t="s">
        <v>224</v>
      </c>
      <c r="AB2780" s="14" t="s">
        <v>138</v>
      </c>
      <c r="AD2780" s="0" t="s">
        <v>17</v>
      </c>
      <c r="AF2780" s="0">
        <v>0</v>
      </c>
      <c r="AG2780" s="0">
        <v>0</v>
      </c>
      <c r="AH2780" s="0" t="s">
        <v>140</v>
      </c>
      <c r="AI2780" s="0" t="s">
        <v>598</v>
      </c>
      <c r="AL2780" s="14"/>
      <c r="AN2780" s="14"/>
      <c r="AQ2780" s="0" t="s">
        <v>130</v>
      </c>
      <c r="AR2780" s="0" t="s">
        <v>130</v>
      </c>
      <c r="AS2780" s="0" t="s">
        <v>130</v>
      </c>
      <c r="AT2780" s="0" t="s">
        <v>130</v>
      </c>
      <c r="AU2780" s="0" t="s">
        <v>130</v>
      </c>
      <c r="AV2780" s="0" t="s">
        <v>130</v>
      </c>
      <c r="AW2780" s="0" t="s">
        <v>141</v>
      </c>
      <c r="AX2780" s="0" t="s">
        <v>130</v>
      </c>
      <c r="AY2780" s="0" t="s">
        <v>141</v>
      </c>
      <c r="AZ2780" s="0" t="s">
        <v>130</v>
      </c>
      <c r="BA2780" s="0" t="s">
        <v>130</v>
      </c>
      <c r="BB2780" s="0" t="s">
        <v>130</v>
      </c>
      <c r="BC2780" s="0" t="s">
        <v>141</v>
      </c>
      <c r="BD2780" s="0" t="s">
        <v>130</v>
      </c>
      <c r="BE2780" s="0" t="s">
        <v>130</v>
      </c>
      <c r="BF2780" s="0" t="s">
        <v>130</v>
      </c>
      <c r="BG2780" s="0" t="s">
        <v>130</v>
      </c>
      <c r="BH2780" s="0" t="s">
        <v>141</v>
      </c>
      <c r="BI2780" s="0" t="s">
        <v>141</v>
      </c>
      <c r="BJ2780" s="0" t="s">
        <v>141</v>
      </c>
      <c r="BK2780" s="0" t="s">
        <v>130</v>
      </c>
      <c r="BL2780" s="0" t="s">
        <v>130</v>
      </c>
      <c r="BM2780" s="0" t="s">
        <v>130</v>
      </c>
      <c r="BN2780" s="0" t="s">
        <v>130</v>
      </c>
      <c r="BO2780" s="0" t="s">
        <v>130</v>
      </c>
      <c r="BP2780" s="0" t="s">
        <v>130</v>
      </c>
      <c r="BQ2780" s="0" t="s">
        <v>130</v>
      </c>
      <c r="BR2780" s="0" t="s">
        <v>130</v>
      </c>
      <c r="BS2780" s="0" t="s">
        <v>130</v>
      </c>
      <c r="BT2780" s="0" t="s">
        <v>130</v>
      </c>
      <c r="BU2780" s="0" t="s">
        <v>130</v>
      </c>
      <c r="BV2780" s="0" t="s">
        <v>141</v>
      </c>
      <c r="BW2780" s="0" t="s">
        <v>141</v>
      </c>
      <c r="BX2780" s="0" t="s">
        <v>130</v>
      </c>
      <c r="BY2780" s="0" t="s">
        <v>130</v>
      </c>
      <c r="BZ2780" s="0" t="s">
        <v>130</v>
      </c>
      <c r="CA2780" s="0" t="s">
        <v>130</v>
      </c>
      <c r="CB2780" s="0" t="s">
        <v>130</v>
      </c>
      <c r="CC2780" s="0" t="s">
        <v>130</v>
      </c>
      <c r="CD2780" s="0" t="s">
        <v>130</v>
      </c>
      <c r="CE2780" s="0" t="s">
        <v>130</v>
      </c>
      <c r="CF2780" s="0" t="s">
        <v>130</v>
      </c>
      <c r="CG2780" s="0" t="s">
        <v>130</v>
      </c>
      <c r="CH2780" s="0" t="s">
        <v>130</v>
      </c>
      <c r="CI2780" s="0" t="s">
        <v>130</v>
      </c>
      <c r="CJ2780" s="0" t="s">
        <v>130</v>
      </c>
      <c r="CK2780" s="0" t="s">
        <v>130</v>
      </c>
      <c r="CL2780" s="0" t="s">
        <v>130</v>
      </c>
      <c r="CM2780" s="0" t="s">
        <v>130</v>
      </c>
      <c r="CN2780" s="0" t="s">
        <v>130</v>
      </c>
      <c r="CO2780" s="0" t="s">
        <v>130</v>
      </c>
      <c r="CP2780" s="0" t="s">
        <v>130</v>
      </c>
      <c r="CQ2780" s="0" t="s">
        <v>130</v>
      </c>
      <c r="CR2780" s="0" t="s">
        <v>130</v>
      </c>
      <c r="CS2780" s="0" t="s">
        <v>130</v>
      </c>
      <c r="CT2780" s="0" t="s">
        <v>7508</v>
      </c>
    </row>
    <row r="2781">
      <c r="A2781" s="14">
        <v>48364393</v>
      </c>
      <c r="B2781" s="0" t="s">
        <v>4718</v>
      </c>
      <c r="C2781" s="16">
        <f>HYPERLINK("https://eosportal.federatedhermes.com/companies/Q29tcGFueQppNTg5OTY=", "DuPont de Nemours Inc")</f>
      </c>
      <c r="D2781" s="0" t="s">
        <v>25</v>
      </c>
      <c r="E2781" s="0" t="s">
        <v>7509</v>
      </c>
      <c r="F2781" s="16">
        <f>HYPERLINK("https://eosportal.federatedhermes.com/engagements/RW5nYWdlbWVudAppMzgzMDY=", "Maintain Sustainability Strategy post spin-off")</f>
      </c>
      <c r="G2781" s="14" t="s">
        <v>7510</v>
      </c>
      <c r="H2781" s="0" t="s">
        <v>141</v>
      </c>
      <c r="I2781" s="14" t="s">
        <v>191</v>
      </c>
      <c r="J2781" s="0" t="s">
        <v>132</v>
      </c>
      <c r="K2781" s="0" t="s">
        <v>133</v>
      </c>
      <c r="L2781" s="0" t="s">
        <v>160</v>
      </c>
      <c r="M2781" s="0" t="s">
        <v>135</v>
      </c>
      <c r="N2781" s="0" t="s">
        <v>136</v>
      </c>
      <c r="O2781" s="0" t="s">
        <v>706</v>
      </c>
      <c r="Q2781" s="0" t="s">
        <v>130</v>
      </c>
      <c r="R2781" s="0" t="s">
        <v>138</v>
      </c>
      <c r="S2781" s="14">
        <v>0</v>
      </c>
      <c r="T2781" s="0" t="s">
        <v>4412</v>
      </c>
      <c r="U2781" s="0" t="s">
        <v>138</v>
      </c>
      <c r="V2781" s="14" t="s">
        <v>138</v>
      </c>
      <c r="W2781" s="0" t="s">
        <v>138</v>
      </c>
      <c r="X2781" s="14" t="s">
        <v>138</v>
      </c>
      <c r="Y2781" s="0" t="s">
        <v>138</v>
      </c>
      <c r="Z2781" s="14" t="s">
        <v>138</v>
      </c>
      <c r="AA2781" s="0" t="s">
        <v>138</v>
      </c>
      <c r="AB2781" s="14" t="s">
        <v>138</v>
      </c>
      <c r="AD2781" s="0" t="s">
        <v>138</v>
      </c>
      <c r="AF2781" s="0">
        <v>0</v>
      </c>
      <c r="AG2781" s="0">
        <v>0</v>
      </c>
      <c r="AH2781" s="0" t="s">
        <v>140</v>
      </c>
      <c r="AI2781" s="0" t="s">
        <v>138</v>
      </c>
      <c r="AL2781" s="14"/>
      <c r="AN2781" s="14"/>
      <c r="AQ2781" s="0" t="s">
        <v>130</v>
      </c>
      <c r="AR2781" s="0" t="s">
        <v>130</v>
      </c>
      <c r="AS2781" s="0" t="s">
        <v>130</v>
      </c>
      <c r="AT2781" s="0" t="s">
        <v>130</v>
      </c>
      <c r="AU2781" s="0" t="s">
        <v>130</v>
      </c>
      <c r="AV2781" s="0" t="s">
        <v>130</v>
      </c>
      <c r="AW2781" s="0" t="s">
        <v>130</v>
      </c>
      <c r="AX2781" s="0" t="s">
        <v>130</v>
      </c>
      <c r="AY2781" s="0" t="s">
        <v>141</v>
      </c>
      <c r="AZ2781" s="0" t="s">
        <v>130</v>
      </c>
      <c r="BA2781" s="0" t="s">
        <v>130</v>
      </c>
      <c r="BB2781" s="0" t="s">
        <v>130</v>
      </c>
      <c r="BC2781" s="0" t="s">
        <v>130</v>
      </c>
      <c r="BD2781" s="0" t="s">
        <v>130</v>
      </c>
      <c r="BE2781" s="0" t="s">
        <v>130</v>
      </c>
      <c r="BF2781" s="0" t="s">
        <v>130</v>
      </c>
      <c r="BG2781" s="0" t="s">
        <v>130</v>
      </c>
      <c r="BH2781" s="0" t="s">
        <v>130</v>
      </c>
      <c r="BI2781" s="0" t="s">
        <v>130</v>
      </c>
      <c r="BJ2781" s="0" t="s">
        <v>130</v>
      </c>
      <c r="BK2781" s="0" t="s">
        <v>130</v>
      </c>
      <c r="BL2781" s="0" t="s">
        <v>130</v>
      </c>
      <c r="BM2781" s="0" t="s">
        <v>130</v>
      </c>
      <c r="BN2781" s="0" t="s">
        <v>130</v>
      </c>
      <c r="BO2781" s="0" t="s">
        <v>130</v>
      </c>
      <c r="BP2781" s="0" t="s">
        <v>130</v>
      </c>
      <c r="BQ2781" s="0" t="s">
        <v>130</v>
      </c>
      <c r="BR2781" s="0" t="s">
        <v>130</v>
      </c>
      <c r="BS2781" s="0" t="s">
        <v>130</v>
      </c>
      <c r="BT2781" s="0" t="s">
        <v>130</v>
      </c>
      <c r="BU2781" s="0" t="s">
        <v>130</v>
      </c>
      <c r="BV2781" s="0" t="s">
        <v>130</v>
      </c>
      <c r="BW2781" s="0" t="s">
        <v>130</v>
      </c>
      <c r="BX2781" s="0" t="s">
        <v>130</v>
      </c>
      <c r="BY2781" s="0" t="s">
        <v>130</v>
      </c>
      <c r="BZ2781" s="0" t="s">
        <v>130</v>
      </c>
      <c r="CA2781" s="0" t="s">
        <v>130</v>
      </c>
      <c r="CB2781" s="0" t="s">
        <v>130</v>
      </c>
      <c r="CC2781" s="0" t="s">
        <v>130</v>
      </c>
      <c r="CD2781" s="0" t="s">
        <v>130</v>
      </c>
      <c r="CE2781" s="0" t="s">
        <v>130</v>
      </c>
      <c r="CF2781" s="0" t="s">
        <v>130</v>
      </c>
      <c r="CG2781" s="0" t="s">
        <v>130</v>
      </c>
      <c r="CH2781" s="0" t="s">
        <v>130</v>
      </c>
      <c r="CI2781" s="0" t="s">
        <v>130</v>
      </c>
      <c r="CJ2781" s="0" t="s">
        <v>130</v>
      </c>
      <c r="CK2781" s="0" t="s">
        <v>130</v>
      </c>
      <c r="CL2781" s="0" t="s">
        <v>130</v>
      </c>
      <c r="CM2781" s="0" t="s">
        <v>130</v>
      </c>
      <c r="CN2781" s="0" t="s">
        <v>130</v>
      </c>
      <c r="CO2781" s="0" t="s">
        <v>130</v>
      </c>
      <c r="CP2781" s="0" t="s">
        <v>130</v>
      </c>
      <c r="CQ2781" s="0" t="s">
        <v>130</v>
      </c>
      <c r="CR2781" s="0" t="s">
        <v>130</v>
      </c>
      <c r="CS2781" s="0" t="s">
        <v>130</v>
      </c>
      <c r="CT2781" s="0" t="s">
        <v>7511</v>
      </c>
    </row>
    <row r="2782">
      <c r="A2782" s="14">
        <v>216952</v>
      </c>
      <c r="B2782" s="0" t="s">
        <v>3384</v>
      </c>
      <c r="C2782" s="16">
        <f>HYPERLINK("https://eosportal.federatedhermes.com/companies/Q29tcGFueQppNjc3MjM=", "Amazon.com Inc")</f>
      </c>
      <c r="D2782" s="0" t="s">
        <v>25</v>
      </c>
      <c r="E2782" s="0" t="s">
        <v>7512</v>
      </c>
      <c r="F2782" s="16">
        <f>HYPERLINK("https://eosportal.federatedhermes.com/engagements/RW5nYWdlbWVudAppMzgzMDk=", "Climate impacts of data center growth")</f>
      </c>
      <c r="G2782" s="14" t="s">
        <v>7401</v>
      </c>
      <c r="H2782" s="0" t="s">
        <v>141</v>
      </c>
      <c r="I2782" s="14" t="s">
        <v>191</v>
      </c>
      <c r="J2782" s="0" t="s">
        <v>197</v>
      </c>
      <c r="K2782" s="0" t="s">
        <v>198</v>
      </c>
      <c r="L2782" s="0" t="s">
        <v>216</v>
      </c>
      <c r="M2782" s="0" t="s">
        <v>135</v>
      </c>
      <c r="N2782" s="0" t="s">
        <v>136</v>
      </c>
      <c r="O2782" s="0" t="s">
        <v>643</v>
      </c>
      <c r="Q2782" s="0" t="s">
        <v>141</v>
      </c>
      <c r="R2782" s="0" t="s">
        <v>138</v>
      </c>
      <c r="S2782" s="14">
        <v>1</v>
      </c>
      <c r="T2782" s="0" t="s">
        <v>4412</v>
      </c>
      <c r="U2782" s="0" t="s">
        <v>138</v>
      </c>
      <c r="V2782" s="14" t="s">
        <v>138</v>
      </c>
      <c r="W2782" s="0" t="s">
        <v>138</v>
      </c>
      <c r="X2782" s="14" t="s">
        <v>138</v>
      </c>
      <c r="Y2782" s="0" t="s">
        <v>138</v>
      </c>
      <c r="Z2782" s="14" t="s">
        <v>138</v>
      </c>
      <c r="AA2782" s="0" t="s">
        <v>138</v>
      </c>
      <c r="AB2782" s="14" t="s">
        <v>138</v>
      </c>
      <c r="AD2782" s="0" t="s">
        <v>138</v>
      </c>
      <c r="AF2782" s="0">
        <v>0</v>
      </c>
      <c r="AG2782" s="0">
        <v>0</v>
      </c>
      <c r="AH2782" s="0" t="s">
        <v>140</v>
      </c>
      <c r="AI2782" s="0" t="s">
        <v>138</v>
      </c>
      <c r="AK2782" s="0" t="s">
        <v>7513</v>
      </c>
      <c r="AL2782" s="14"/>
      <c r="AN2782" s="14"/>
      <c r="AQ2782" s="0" t="s">
        <v>130</v>
      </c>
      <c r="AR2782" s="0" t="s">
        <v>130</v>
      </c>
      <c r="AS2782" s="0" t="s">
        <v>130</v>
      </c>
      <c r="AT2782" s="0" t="s">
        <v>130</v>
      </c>
      <c r="AU2782" s="0" t="s">
        <v>130</v>
      </c>
      <c r="AV2782" s="0" t="s">
        <v>130</v>
      </c>
      <c r="AW2782" s="0" t="s">
        <v>141</v>
      </c>
      <c r="AX2782" s="0" t="s">
        <v>130</v>
      </c>
      <c r="AY2782" s="0" t="s">
        <v>130</v>
      </c>
      <c r="AZ2782" s="0" t="s">
        <v>130</v>
      </c>
      <c r="BA2782" s="0" t="s">
        <v>130</v>
      </c>
      <c r="BB2782" s="0" t="s">
        <v>130</v>
      </c>
      <c r="BC2782" s="0" t="s">
        <v>141</v>
      </c>
      <c r="BD2782" s="0" t="s">
        <v>130</v>
      </c>
      <c r="BE2782" s="0" t="s">
        <v>130</v>
      </c>
      <c r="BF2782" s="0" t="s">
        <v>130</v>
      </c>
      <c r="BG2782" s="0" t="s">
        <v>130</v>
      </c>
      <c r="BH2782" s="0" t="s">
        <v>141</v>
      </c>
      <c r="BI2782" s="0" t="s">
        <v>141</v>
      </c>
      <c r="BJ2782" s="0" t="s">
        <v>141</v>
      </c>
      <c r="BK2782" s="0" t="s">
        <v>130</v>
      </c>
      <c r="BL2782" s="0" t="s">
        <v>130</v>
      </c>
      <c r="BM2782" s="0" t="s">
        <v>130</v>
      </c>
      <c r="BN2782" s="0" t="s">
        <v>130</v>
      </c>
      <c r="BO2782" s="0" t="s">
        <v>130</v>
      </c>
      <c r="BP2782" s="0" t="s">
        <v>130</v>
      </c>
      <c r="BQ2782" s="0" t="s">
        <v>130</v>
      </c>
      <c r="BR2782" s="0" t="s">
        <v>130</v>
      </c>
      <c r="BS2782" s="0" t="s">
        <v>130</v>
      </c>
      <c r="BT2782" s="0" t="s">
        <v>130</v>
      </c>
      <c r="BU2782" s="0" t="s">
        <v>130</v>
      </c>
      <c r="BV2782" s="0" t="s">
        <v>141</v>
      </c>
      <c r="BW2782" s="0" t="s">
        <v>141</v>
      </c>
      <c r="BX2782" s="0" t="s">
        <v>130</v>
      </c>
      <c r="BY2782" s="0" t="s">
        <v>130</v>
      </c>
      <c r="BZ2782" s="0" t="s">
        <v>130</v>
      </c>
      <c r="CA2782" s="0" t="s">
        <v>130</v>
      </c>
      <c r="CB2782" s="0" t="s">
        <v>130</v>
      </c>
      <c r="CC2782" s="0" t="s">
        <v>130</v>
      </c>
      <c r="CD2782" s="0" t="s">
        <v>130</v>
      </c>
      <c r="CE2782" s="0" t="s">
        <v>130</v>
      </c>
      <c r="CF2782" s="0" t="s">
        <v>130</v>
      </c>
      <c r="CG2782" s="0" t="s">
        <v>130</v>
      </c>
      <c r="CH2782" s="0" t="s">
        <v>130</v>
      </c>
      <c r="CI2782" s="0" t="s">
        <v>130</v>
      </c>
      <c r="CJ2782" s="0" t="s">
        <v>130</v>
      </c>
      <c r="CK2782" s="0" t="s">
        <v>130</v>
      </c>
      <c r="CL2782" s="0" t="s">
        <v>130</v>
      </c>
      <c r="CM2782" s="0" t="s">
        <v>130</v>
      </c>
      <c r="CN2782" s="0" t="s">
        <v>130</v>
      </c>
      <c r="CO2782" s="0" t="s">
        <v>130</v>
      </c>
      <c r="CP2782" s="0" t="s">
        <v>130</v>
      </c>
      <c r="CQ2782" s="0" t="s">
        <v>130</v>
      </c>
      <c r="CR2782" s="0" t="s">
        <v>130</v>
      </c>
      <c r="CS2782" s="0" t="s">
        <v>130</v>
      </c>
      <c r="CT2782" s="0" t="s">
        <v>7514</v>
      </c>
    </row>
    <row r="2783">
      <c r="A2783" s="14">
        <v>111680</v>
      </c>
      <c r="B2783" s="0" t="s">
        <v>633</v>
      </c>
      <c r="C2783" s="16">
        <f>HYPERLINK("https://eosportal.federatedhermes.com/companies/Q29tcGFueQppNTg5Njc=", "Diageo PLC")</f>
      </c>
      <c r="D2783" s="0" t="s">
        <v>25</v>
      </c>
      <c r="E2783" s="0" t="s">
        <v>7515</v>
      </c>
      <c r="F2783" s="16">
        <f>HYPERLINK("https://eosportal.federatedhermes.com/engagements/RW5nYWdlbWVudAppMzgzMjQ=", "Board governance of CEO performance")</f>
      </c>
      <c r="G2783" s="14" t="s">
        <v>7516</v>
      </c>
      <c r="H2783" s="0" t="s">
        <v>141</v>
      </c>
      <c r="I2783" s="14" t="s">
        <v>636</v>
      </c>
      <c r="J2783" s="0" t="s">
        <v>145</v>
      </c>
      <c r="K2783" s="0" t="s">
        <v>164</v>
      </c>
      <c r="L2783" s="0" t="s">
        <v>970</v>
      </c>
      <c r="M2783" s="0" t="s">
        <v>272</v>
      </c>
      <c r="N2783" s="0" t="s">
        <v>273</v>
      </c>
      <c r="O2783" s="0" t="s">
        <v>332</v>
      </c>
      <c r="Q2783" s="0" t="s">
        <v>141</v>
      </c>
      <c r="R2783" s="0" t="s">
        <v>138</v>
      </c>
      <c r="S2783" s="14">
        <v>1</v>
      </c>
      <c r="T2783" s="0" t="s">
        <v>4412</v>
      </c>
      <c r="U2783" s="0" t="s">
        <v>138</v>
      </c>
      <c r="V2783" s="14" t="s">
        <v>138</v>
      </c>
      <c r="W2783" s="0" t="s">
        <v>138</v>
      </c>
      <c r="X2783" s="14" t="s">
        <v>138</v>
      </c>
      <c r="Y2783" s="0" t="s">
        <v>138</v>
      </c>
      <c r="Z2783" s="14" t="s">
        <v>138</v>
      </c>
      <c r="AA2783" s="0" t="s">
        <v>138</v>
      </c>
      <c r="AB2783" s="14" t="s">
        <v>138</v>
      </c>
      <c r="AD2783" s="0" t="s">
        <v>138</v>
      </c>
      <c r="AF2783" s="0">
        <v>0</v>
      </c>
      <c r="AG2783" s="0">
        <v>0</v>
      </c>
      <c r="AH2783" s="0" t="s">
        <v>140</v>
      </c>
      <c r="AI2783" s="0" t="s">
        <v>138</v>
      </c>
      <c r="AK2783" s="0" t="s">
        <v>2241</v>
      </c>
      <c r="AL2783" s="14"/>
      <c r="AN2783" s="14"/>
      <c r="AQ2783" s="0" t="s">
        <v>130</v>
      </c>
      <c r="AR2783" s="0" t="s">
        <v>130</v>
      </c>
      <c r="AS2783" s="0" t="s">
        <v>130</v>
      </c>
      <c r="AT2783" s="0" t="s">
        <v>130</v>
      </c>
      <c r="AU2783" s="0" t="s">
        <v>130</v>
      </c>
      <c r="AV2783" s="0" t="s">
        <v>130</v>
      </c>
      <c r="AW2783" s="0" t="s">
        <v>130</v>
      </c>
      <c r="AX2783" s="0" t="s">
        <v>130</v>
      </c>
      <c r="AY2783" s="0" t="s">
        <v>130</v>
      </c>
      <c r="AZ2783" s="0" t="s">
        <v>130</v>
      </c>
      <c r="BA2783" s="0" t="s">
        <v>130</v>
      </c>
      <c r="BB2783" s="0" t="s">
        <v>130</v>
      </c>
      <c r="BC2783" s="0" t="s">
        <v>130</v>
      </c>
      <c r="BD2783" s="0" t="s">
        <v>130</v>
      </c>
      <c r="BE2783" s="0" t="s">
        <v>130</v>
      </c>
      <c r="BF2783" s="0" t="s">
        <v>130</v>
      </c>
      <c r="BG2783" s="0" t="s">
        <v>130</v>
      </c>
      <c r="BH2783" s="0" t="s">
        <v>130</v>
      </c>
      <c r="BI2783" s="0" t="s">
        <v>130</v>
      </c>
      <c r="BJ2783" s="0" t="s">
        <v>130</v>
      </c>
      <c r="BK2783" s="0" t="s">
        <v>130</v>
      </c>
      <c r="BL2783" s="0" t="s">
        <v>130</v>
      </c>
      <c r="BM2783" s="0" t="s">
        <v>130</v>
      </c>
      <c r="BN2783" s="0" t="s">
        <v>130</v>
      </c>
      <c r="BO2783" s="0" t="s">
        <v>130</v>
      </c>
      <c r="BP2783" s="0" t="s">
        <v>130</v>
      </c>
      <c r="BQ2783" s="0" t="s">
        <v>130</v>
      </c>
      <c r="BR2783" s="0" t="s">
        <v>130</v>
      </c>
      <c r="BS2783" s="0" t="s">
        <v>130</v>
      </c>
      <c r="BT2783" s="0" t="s">
        <v>130</v>
      </c>
      <c r="BU2783" s="0" t="s">
        <v>130</v>
      </c>
      <c r="BV2783" s="0" t="s">
        <v>130</v>
      </c>
      <c r="BW2783" s="0" t="s">
        <v>130</v>
      </c>
      <c r="BX2783" s="0" t="s">
        <v>130</v>
      </c>
      <c r="BY2783" s="0" t="s">
        <v>130</v>
      </c>
      <c r="BZ2783" s="0" t="s">
        <v>130</v>
      </c>
      <c r="CA2783" s="0" t="s">
        <v>130</v>
      </c>
      <c r="CB2783" s="0" t="s">
        <v>130</v>
      </c>
      <c r="CC2783" s="0" t="s">
        <v>130</v>
      </c>
      <c r="CD2783" s="0" t="s">
        <v>130</v>
      </c>
      <c r="CE2783" s="0" t="s">
        <v>130</v>
      </c>
      <c r="CF2783" s="0" t="s">
        <v>130</v>
      </c>
      <c r="CG2783" s="0" t="s">
        <v>130</v>
      </c>
      <c r="CH2783" s="0" t="s">
        <v>130</v>
      </c>
      <c r="CI2783" s="0" t="s">
        <v>130</v>
      </c>
      <c r="CJ2783" s="0" t="s">
        <v>130</v>
      </c>
      <c r="CK2783" s="0" t="s">
        <v>130</v>
      </c>
      <c r="CL2783" s="0" t="s">
        <v>130</v>
      </c>
      <c r="CM2783" s="0" t="s">
        <v>130</v>
      </c>
      <c r="CN2783" s="0" t="s">
        <v>130</v>
      </c>
      <c r="CO2783" s="0" t="s">
        <v>130</v>
      </c>
      <c r="CP2783" s="0" t="s">
        <v>130</v>
      </c>
      <c r="CQ2783" s="0" t="s">
        <v>130</v>
      </c>
      <c r="CR2783" s="0" t="s">
        <v>130</v>
      </c>
      <c r="CS2783" s="0" t="s">
        <v>130</v>
      </c>
      <c r="CT2783" s="0" t="s">
        <v>7517</v>
      </c>
    </row>
    <row r="2784">
      <c r="A2784" s="14">
        <v>23600574</v>
      </c>
      <c r="B2784" s="0" t="s">
        <v>4170</v>
      </c>
      <c r="C2784" s="16">
        <f>HYPERLINK("https://eosportal.federatedhermes.com/companies/Q29tcGFueQppNjY5NDg=", "Veeva Systems Inc")</f>
      </c>
      <c r="D2784" s="0" t="s">
        <v>23</v>
      </c>
      <c r="E2784" s="0" t="s">
        <v>7518</v>
      </c>
      <c r="F2784" s="16">
        <f>HYPERLINK("https://eosportal.federatedhermes.com/engagements/RW5nYWdlbWVudAppMzgzMzY=", "Employee Engagement")</f>
      </c>
      <c r="G2784" s="14" t="s">
        <v>7519</v>
      </c>
      <c r="H2784" s="0" t="s">
        <v>130</v>
      </c>
      <c r="I2784" s="14" t="s">
        <v>131</v>
      </c>
      <c r="J2784" s="0" t="s">
        <v>153</v>
      </c>
      <c r="K2784" s="0" t="s">
        <v>154</v>
      </c>
      <c r="L2784" s="0" t="s">
        <v>268</v>
      </c>
      <c r="M2784" s="0" t="s">
        <v>135</v>
      </c>
      <c r="N2784" s="0" t="s">
        <v>136</v>
      </c>
      <c r="O2784" s="0" t="s">
        <v>274</v>
      </c>
      <c r="Q2784" s="0" t="s">
        <v>141</v>
      </c>
      <c r="R2784" s="0" t="s">
        <v>130</v>
      </c>
      <c r="S2784" s="14">
        <v>1</v>
      </c>
      <c r="T2784" s="0" t="s">
        <v>2428</v>
      </c>
      <c r="U2784" s="0" t="s">
        <v>221</v>
      </c>
      <c r="V2784" s="14" t="s">
        <v>2428</v>
      </c>
      <c r="W2784" s="0" t="s">
        <v>223</v>
      </c>
      <c r="X2784" s="14" t="s">
        <v>138</v>
      </c>
      <c r="Y2784" s="0" t="s">
        <v>224</v>
      </c>
      <c r="Z2784" s="14" t="s">
        <v>138</v>
      </c>
      <c r="AA2784" s="0" t="s">
        <v>224</v>
      </c>
      <c r="AB2784" s="14" t="s">
        <v>138</v>
      </c>
      <c r="AD2784" s="0" t="s">
        <v>14</v>
      </c>
      <c r="AF2784" s="0">
        <v>0</v>
      </c>
      <c r="AG2784" s="0">
        <v>0</v>
      </c>
      <c r="AH2784" s="0" t="s">
        <v>140</v>
      </c>
      <c r="AI2784" s="0" t="s">
        <v>598</v>
      </c>
      <c r="AK2784" s="0" t="s">
        <v>749</v>
      </c>
      <c r="AL2784" s="14"/>
      <c r="AN2784" s="14"/>
      <c r="AQ2784" s="0" t="s">
        <v>130</v>
      </c>
      <c r="AR2784" s="0" t="s">
        <v>130</v>
      </c>
      <c r="AS2784" s="0" t="s">
        <v>130</v>
      </c>
      <c r="AT2784" s="0" t="s">
        <v>130</v>
      </c>
      <c r="AU2784" s="0" t="s">
        <v>130</v>
      </c>
      <c r="AV2784" s="0" t="s">
        <v>130</v>
      </c>
      <c r="AW2784" s="0" t="s">
        <v>130</v>
      </c>
      <c r="AX2784" s="0" t="s">
        <v>141</v>
      </c>
      <c r="AY2784" s="0" t="s">
        <v>130</v>
      </c>
      <c r="AZ2784" s="0" t="s">
        <v>141</v>
      </c>
      <c r="BA2784" s="0" t="s">
        <v>130</v>
      </c>
      <c r="BB2784" s="0" t="s">
        <v>130</v>
      </c>
      <c r="BC2784" s="0" t="s">
        <v>130</v>
      </c>
      <c r="BD2784" s="0" t="s">
        <v>130</v>
      </c>
      <c r="BE2784" s="0" t="s">
        <v>130</v>
      </c>
      <c r="BF2784" s="0" t="s">
        <v>130</v>
      </c>
      <c r="BG2784" s="0" t="s">
        <v>130</v>
      </c>
      <c r="BH2784" s="0" t="s">
        <v>130</v>
      </c>
      <c r="BI2784" s="0" t="s">
        <v>130</v>
      </c>
      <c r="BJ2784" s="0" t="s">
        <v>130</v>
      </c>
      <c r="BK2784" s="0" t="s">
        <v>130</v>
      </c>
      <c r="BL2784" s="0" t="s">
        <v>130</v>
      </c>
      <c r="BM2784" s="0" t="s">
        <v>130</v>
      </c>
      <c r="BN2784" s="0" t="s">
        <v>130</v>
      </c>
      <c r="BO2784" s="0" t="s">
        <v>130</v>
      </c>
      <c r="BP2784" s="0" t="s">
        <v>130</v>
      </c>
      <c r="BQ2784" s="0" t="s">
        <v>130</v>
      </c>
      <c r="BR2784" s="0" t="s">
        <v>130</v>
      </c>
      <c r="BS2784" s="0" t="s">
        <v>130</v>
      </c>
      <c r="BT2784" s="0" t="s">
        <v>130</v>
      </c>
      <c r="BU2784" s="0" t="s">
        <v>130</v>
      </c>
      <c r="BV2784" s="0" t="s">
        <v>130</v>
      </c>
      <c r="BW2784" s="0" t="s">
        <v>130</v>
      </c>
      <c r="BX2784" s="0" t="s">
        <v>130</v>
      </c>
      <c r="BY2784" s="0" t="s">
        <v>130</v>
      </c>
      <c r="BZ2784" s="0" t="s">
        <v>130</v>
      </c>
      <c r="CA2784" s="0" t="s">
        <v>130</v>
      </c>
      <c r="CB2784" s="0" t="s">
        <v>130</v>
      </c>
      <c r="CC2784" s="0" t="s">
        <v>130</v>
      </c>
      <c r="CD2784" s="0" t="s">
        <v>130</v>
      </c>
      <c r="CE2784" s="0" t="s">
        <v>130</v>
      </c>
      <c r="CF2784" s="0" t="s">
        <v>130</v>
      </c>
      <c r="CG2784" s="0" t="s">
        <v>130</v>
      </c>
      <c r="CH2784" s="0" t="s">
        <v>130</v>
      </c>
      <c r="CI2784" s="0" t="s">
        <v>130</v>
      </c>
      <c r="CJ2784" s="0" t="s">
        <v>130</v>
      </c>
      <c r="CK2784" s="0" t="s">
        <v>141</v>
      </c>
      <c r="CL2784" s="0" t="s">
        <v>130</v>
      </c>
      <c r="CM2784" s="0" t="s">
        <v>130</v>
      </c>
      <c r="CN2784" s="0" t="s">
        <v>130</v>
      </c>
      <c r="CO2784" s="0" t="s">
        <v>130</v>
      </c>
      <c r="CP2784" s="0" t="s">
        <v>130</v>
      </c>
      <c r="CQ2784" s="0" t="s">
        <v>130</v>
      </c>
      <c r="CR2784" s="0" t="s">
        <v>130</v>
      </c>
      <c r="CS2784" s="0" t="s">
        <v>130</v>
      </c>
      <c r="CT2784" s="0" t="s">
        <v>7520</v>
      </c>
    </row>
    <row r="2785">
      <c r="A2785" s="14">
        <v>60401289</v>
      </c>
      <c r="B2785" s="0" t="s">
        <v>4753</v>
      </c>
      <c r="C2785" s="16">
        <f>HYPERLINK("https://eosportal.federatedhermes.com/companies/Q29tcGFueQppNjc4MzU=", "Cigna Group/The")</f>
      </c>
      <c r="D2785" s="0" t="s">
        <v>25</v>
      </c>
      <c r="E2785" s="0" t="s">
        <v>7521</v>
      </c>
      <c r="F2785" s="16">
        <f>HYPERLINK("https://eosportal.federatedhermes.com/engagements/RW5nYWdlbWVudAppMzgzNTU=", "Responsiveness to Shareholder Votes")</f>
      </c>
      <c r="G2785" s="14" t="s">
        <v>7522</v>
      </c>
      <c r="H2785" s="0" t="s">
        <v>130</v>
      </c>
      <c r="I2785" s="14" t="s">
        <v>319</v>
      </c>
      <c r="J2785" s="0" t="s">
        <v>145</v>
      </c>
      <c r="K2785" s="0" t="s">
        <v>400</v>
      </c>
      <c r="L2785" s="0" t="s">
        <v>401</v>
      </c>
      <c r="M2785" s="0" t="s">
        <v>135</v>
      </c>
      <c r="N2785" s="0" t="s">
        <v>136</v>
      </c>
      <c r="O2785" s="0" t="s">
        <v>274</v>
      </c>
      <c r="Q2785" s="0" t="s">
        <v>130</v>
      </c>
      <c r="R2785" s="0" t="s">
        <v>138</v>
      </c>
      <c r="S2785" s="14">
        <v>0</v>
      </c>
      <c r="T2785" s="0" t="s">
        <v>4412</v>
      </c>
      <c r="U2785" s="0" t="s">
        <v>138</v>
      </c>
      <c r="V2785" s="14" t="s">
        <v>138</v>
      </c>
      <c r="W2785" s="0" t="s">
        <v>138</v>
      </c>
      <c r="X2785" s="14" t="s">
        <v>138</v>
      </c>
      <c r="Y2785" s="0" t="s">
        <v>138</v>
      </c>
      <c r="Z2785" s="14" t="s">
        <v>138</v>
      </c>
      <c r="AA2785" s="0" t="s">
        <v>138</v>
      </c>
      <c r="AB2785" s="14" t="s">
        <v>138</v>
      </c>
      <c r="AD2785" s="0" t="s">
        <v>138</v>
      </c>
      <c r="AF2785" s="0">
        <v>0</v>
      </c>
      <c r="AG2785" s="0">
        <v>0</v>
      </c>
      <c r="AH2785" s="0" t="s">
        <v>140</v>
      </c>
      <c r="AI2785" s="0" t="s">
        <v>138</v>
      </c>
      <c r="AL2785" s="14"/>
      <c r="AN2785" s="14"/>
      <c r="AQ2785" s="0" t="s">
        <v>130</v>
      </c>
      <c r="AR2785" s="0" t="s">
        <v>130</v>
      </c>
      <c r="AS2785" s="0" t="s">
        <v>130</v>
      </c>
      <c r="AT2785" s="0" t="s">
        <v>130</v>
      </c>
      <c r="AU2785" s="0" t="s">
        <v>130</v>
      </c>
      <c r="AV2785" s="0" t="s">
        <v>130</v>
      </c>
      <c r="AW2785" s="0" t="s">
        <v>130</v>
      </c>
      <c r="AX2785" s="0" t="s">
        <v>130</v>
      </c>
      <c r="AY2785" s="0" t="s">
        <v>130</v>
      </c>
      <c r="AZ2785" s="0" t="s">
        <v>130</v>
      </c>
      <c r="BA2785" s="0" t="s">
        <v>130</v>
      </c>
      <c r="BB2785" s="0" t="s">
        <v>130</v>
      </c>
      <c r="BC2785" s="0" t="s">
        <v>130</v>
      </c>
      <c r="BD2785" s="0" t="s">
        <v>130</v>
      </c>
      <c r="BE2785" s="0" t="s">
        <v>130</v>
      </c>
      <c r="BF2785" s="0" t="s">
        <v>130</v>
      </c>
      <c r="BG2785" s="0" t="s">
        <v>130</v>
      </c>
      <c r="BH2785" s="0" t="s">
        <v>130</v>
      </c>
      <c r="BI2785" s="0" t="s">
        <v>130</v>
      </c>
      <c r="BJ2785" s="0" t="s">
        <v>130</v>
      </c>
      <c r="BK2785" s="0" t="s">
        <v>130</v>
      </c>
      <c r="BL2785" s="0" t="s">
        <v>130</v>
      </c>
      <c r="BM2785" s="0" t="s">
        <v>130</v>
      </c>
      <c r="BN2785" s="0" t="s">
        <v>130</v>
      </c>
      <c r="BO2785" s="0" t="s">
        <v>130</v>
      </c>
      <c r="BP2785" s="0" t="s">
        <v>130</v>
      </c>
      <c r="BQ2785" s="0" t="s">
        <v>130</v>
      </c>
      <c r="BR2785" s="0" t="s">
        <v>130</v>
      </c>
      <c r="BS2785" s="0" t="s">
        <v>130</v>
      </c>
      <c r="BT2785" s="0" t="s">
        <v>130</v>
      </c>
      <c r="BU2785" s="0" t="s">
        <v>130</v>
      </c>
      <c r="BV2785" s="0" t="s">
        <v>130</v>
      </c>
      <c r="BW2785" s="0" t="s">
        <v>130</v>
      </c>
      <c r="BX2785" s="0" t="s">
        <v>130</v>
      </c>
      <c r="BY2785" s="0" t="s">
        <v>130</v>
      </c>
      <c r="BZ2785" s="0" t="s">
        <v>130</v>
      </c>
      <c r="CA2785" s="0" t="s">
        <v>130</v>
      </c>
      <c r="CB2785" s="0" t="s">
        <v>130</v>
      </c>
      <c r="CC2785" s="0" t="s">
        <v>130</v>
      </c>
      <c r="CD2785" s="0" t="s">
        <v>130</v>
      </c>
      <c r="CE2785" s="0" t="s">
        <v>130</v>
      </c>
      <c r="CF2785" s="0" t="s">
        <v>130</v>
      </c>
      <c r="CG2785" s="0" t="s">
        <v>130</v>
      </c>
      <c r="CH2785" s="0" t="s">
        <v>130</v>
      </c>
      <c r="CI2785" s="0" t="s">
        <v>130</v>
      </c>
      <c r="CJ2785" s="0" t="s">
        <v>130</v>
      </c>
      <c r="CK2785" s="0" t="s">
        <v>130</v>
      </c>
      <c r="CL2785" s="0" t="s">
        <v>130</v>
      </c>
      <c r="CM2785" s="0" t="s">
        <v>130</v>
      </c>
      <c r="CN2785" s="0" t="s">
        <v>130</v>
      </c>
      <c r="CO2785" s="0" t="s">
        <v>130</v>
      </c>
      <c r="CP2785" s="0" t="s">
        <v>130</v>
      </c>
      <c r="CQ2785" s="0" t="s">
        <v>130</v>
      </c>
      <c r="CR2785" s="0" t="s">
        <v>130</v>
      </c>
      <c r="CS2785" s="0" t="s">
        <v>130</v>
      </c>
      <c r="CT2785" s="0" t="s">
        <v>7523</v>
      </c>
    </row>
    <row r="2786">
      <c r="A2786" s="14">
        <v>364913</v>
      </c>
      <c r="B2786" s="0" t="s">
        <v>3725</v>
      </c>
      <c r="C2786" s="16">
        <f>HYPERLINK("https://eosportal.federatedhermes.com/companies/Q29tcGFueQppNzQwNjQ=", "Centene Corp")</f>
      </c>
      <c r="D2786" s="0" t="s">
        <v>23</v>
      </c>
      <c r="E2786" s="0" t="s">
        <v>7524</v>
      </c>
      <c r="F2786" s="16">
        <f>HYPERLINK("https://eosportal.federatedhermes.com/engagements/RW5nYWdlbWVudAppMzgzNjQ=", "Clawback Policy")</f>
      </c>
      <c r="G2786" s="14" t="s">
        <v>7525</v>
      </c>
      <c r="H2786" s="0" t="s">
        <v>130</v>
      </c>
      <c r="I2786" s="14" t="s">
        <v>319</v>
      </c>
      <c r="J2786" s="0" t="s">
        <v>145</v>
      </c>
      <c r="K2786" s="0" t="s">
        <v>146</v>
      </c>
      <c r="L2786" s="0" t="s">
        <v>147</v>
      </c>
      <c r="M2786" s="0" t="s">
        <v>135</v>
      </c>
      <c r="N2786" s="0" t="s">
        <v>136</v>
      </c>
      <c r="O2786" s="0" t="s">
        <v>274</v>
      </c>
      <c r="Q2786" s="0" t="s">
        <v>130</v>
      </c>
      <c r="R2786" s="0" t="s">
        <v>130</v>
      </c>
      <c r="S2786" s="14">
        <v>0</v>
      </c>
      <c r="T2786" s="0" t="s">
        <v>4412</v>
      </c>
      <c r="U2786" s="0" t="s">
        <v>221</v>
      </c>
      <c r="V2786" s="14" t="s">
        <v>4412</v>
      </c>
      <c r="W2786" s="0" t="s">
        <v>223</v>
      </c>
      <c r="X2786" s="14" t="s">
        <v>138</v>
      </c>
      <c r="Y2786" s="0" t="s">
        <v>224</v>
      </c>
      <c r="Z2786" s="14" t="s">
        <v>138</v>
      </c>
      <c r="AA2786" s="0" t="s">
        <v>224</v>
      </c>
      <c r="AB2786" s="14" t="s">
        <v>138</v>
      </c>
      <c r="AD2786" s="0" t="s">
        <v>14</v>
      </c>
      <c r="AF2786" s="0">
        <v>0</v>
      </c>
      <c r="AG2786" s="0">
        <v>0</v>
      </c>
      <c r="AH2786" s="0" t="s">
        <v>140</v>
      </c>
      <c r="AI2786" s="0" t="s">
        <v>598</v>
      </c>
      <c r="AL2786" s="14"/>
      <c r="AN2786" s="14"/>
      <c r="AQ2786" s="0" t="s">
        <v>130</v>
      </c>
      <c r="AR2786" s="0" t="s">
        <v>130</v>
      </c>
      <c r="AS2786" s="0" t="s">
        <v>130</v>
      </c>
      <c r="AT2786" s="0" t="s">
        <v>130</v>
      </c>
      <c r="AU2786" s="0" t="s">
        <v>130</v>
      </c>
      <c r="AV2786" s="0" t="s">
        <v>130</v>
      </c>
      <c r="AW2786" s="0" t="s">
        <v>130</v>
      </c>
      <c r="AX2786" s="0" t="s">
        <v>130</v>
      </c>
      <c r="AY2786" s="0" t="s">
        <v>130</v>
      </c>
      <c r="AZ2786" s="0" t="s">
        <v>130</v>
      </c>
      <c r="BA2786" s="0" t="s">
        <v>130</v>
      </c>
      <c r="BB2786" s="0" t="s">
        <v>130</v>
      </c>
      <c r="BC2786" s="0" t="s">
        <v>130</v>
      </c>
      <c r="BD2786" s="0" t="s">
        <v>130</v>
      </c>
      <c r="BE2786" s="0" t="s">
        <v>130</v>
      </c>
      <c r="BF2786" s="0" t="s">
        <v>130</v>
      </c>
      <c r="BG2786" s="0" t="s">
        <v>130</v>
      </c>
      <c r="BH2786" s="0" t="s">
        <v>130</v>
      </c>
      <c r="BI2786" s="0" t="s">
        <v>130</v>
      </c>
      <c r="BJ2786" s="0" t="s">
        <v>130</v>
      </c>
      <c r="BK2786" s="0" t="s">
        <v>130</v>
      </c>
      <c r="BL2786" s="0" t="s">
        <v>130</v>
      </c>
      <c r="BM2786" s="0" t="s">
        <v>130</v>
      </c>
      <c r="BN2786" s="0" t="s">
        <v>130</v>
      </c>
      <c r="BO2786" s="0" t="s">
        <v>130</v>
      </c>
      <c r="BP2786" s="0" t="s">
        <v>130</v>
      </c>
      <c r="BQ2786" s="0" t="s">
        <v>130</v>
      </c>
      <c r="BR2786" s="0" t="s">
        <v>130</v>
      </c>
      <c r="BS2786" s="0" t="s">
        <v>130</v>
      </c>
      <c r="BT2786" s="0" t="s">
        <v>130</v>
      </c>
      <c r="BU2786" s="0" t="s">
        <v>130</v>
      </c>
      <c r="BV2786" s="0" t="s">
        <v>130</v>
      </c>
      <c r="BW2786" s="0" t="s">
        <v>130</v>
      </c>
      <c r="BX2786" s="0" t="s">
        <v>130</v>
      </c>
      <c r="BY2786" s="0" t="s">
        <v>130</v>
      </c>
      <c r="BZ2786" s="0" t="s">
        <v>130</v>
      </c>
      <c r="CA2786" s="0" t="s">
        <v>130</v>
      </c>
      <c r="CB2786" s="0" t="s">
        <v>130</v>
      </c>
      <c r="CC2786" s="0" t="s">
        <v>130</v>
      </c>
      <c r="CD2786" s="0" t="s">
        <v>130</v>
      </c>
      <c r="CE2786" s="0" t="s">
        <v>130</v>
      </c>
      <c r="CF2786" s="0" t="s">
        <v>130</v>
      </c>
      <c r="CG2786" s="0" t="s">
        <v>130</v>
      </c>
      <c r="CH2786" s="0" t="s">
        <v>130</v>
      </c>
      <c r="CI2786" s="0" t="s">
        <v>130</v>
      </c>
      <c r="CJ2786" s="0" t="s">
        <v>130</v>
      </c>
      <c r="CK2786" s="0" t="s">
        <v>130</v>
      </c>
      <c r="CL2786" s="0" t="s">
        <v>130</v>
      </c>
      <c r="CM2786" s="0" t="s">
        <v>130</v>
      </c>
      <c r="CN2786" s="0" t="s">
        <v>130</v>
      </c>
      <c r="CO2786" s="0" t="s">
        <v>130</v>
      </c>
      <c r="CP2786" s="0" t="s">
        <v>130</v>
      </c>
      <c r="CQ2786" s="0" t="s">
        <v>130</v>
      </c>
      <c r="CR2786" s="0" t="s">
        <v>130</v>
      </c>
      <c r="CS2786" s="0" t="s">
        <v>130</v>
      </c>
      <c r="CT2786" s="0" t="s">
        <v>7526</v>
      </c>
    </row>
    <row r="2787">
      <c r="A2787" s="14">
        <v>9010165</v>
      </c>
      <c r="B2787" s="0" t="s">
        <v>3957</v>
      </c>
      <c r="C2787" s="16">
        <f>HYPERLINK("https://eosportal.federatedhermes.com/companies/Q29tcGFueQppNTg5NDg=", "Baidu Inc")</f>
      </c>
      <c r="D2787" s="0" t="s">
        <v>25</v>
      </c>
      <c r="E2787" s="0" t="s">
        <v>7527</v>
      </c>
      <c r="F2787" s="16">
        <f>HYPERLINK("https://eosportal.federatedhermes.com/engagements/RW5nYWdlbWVudAppMzgzNjk=", "Child-safe AI")</f>
      </c>
      <c r="G2787" s="14" t="s">
        <v>7528</v>
      </c>
      <c r="H2787" s="0" t="s">
        <v>141</v>
      </c>
      <c r="I2787" s="14" t="s">
        <v>131</v>
      </c>
      <c r="J2787" s="0" t="s">
        <v>153</v>
      </c>
      <c r="K2787" s="0" t="s">
        <v>243</v>
      </c>
      <c r="L2787" s="0" t="s">
        <v>537</v>
      </c>
      <c r="M2787" s="0" t="s">
        <v>2807</v>
      </c>
      <c r="N2787" s="0" t="s">
        <v>3272</v>
      </c>
      <c r="O2787" s="0" t="s">
        <v>137</v>
      </c>
      <c r="Q2787" s="0" t="s">
        <v>130</v>
      </c>
      <c r="R2787" s="0" t="s">
        <v>138</v>
      </c>
      <c r="S2787" s="14">
        <v>0</v>
      </c>
      <c r="T2787" s="0" t="s">
        <v>4412</v>
      </c>
      <c r="U2787" s="0" t="s">
        <v>138</v>
      </c>
      <c r="V2787" s="14" t="s">
        <v>138</v>
      </c>
      <c r="W2787" s="0" t="s">
        <v>138</v>
      </c>
      <c r="X2787" s="14" t="s">
        <v>138</v>
      </c>
      <c r="Y2787" s="0" t="s">
        <v>138</v>
      </c>
      <c r="Z2787" s="14" t="s">
        <v>138</v>
      </c>
      <c r="AA2787" s="0" t="s">
        <v>138</v>
      </c>
      <c r="AB2787" s="14" t="s">
        <v>138</v>
      </c>
      <c r="AD2787" s="0" t="s">
        <v>138</v>
      </c>
      <c r="AF2787" s="0">
        <v>0</v>
      </c>
      <c r="AG2787" s="0">
        <v>0</v>
      </c>
      <c r="AH2787" s="0" t="s">
        <v>140</v>
      </c>
      <c r="AI2787" s="0" t="s">
        <v>138</v>
      </c>
      <c r="AL2787" s="14"/>
      <c r="AN2787" s="14"/>
      <c r="AQ2787" s="0" t="s">
        <v>130</v>
      </c>
      <c r="AR2787" s="0" t="s">
        <v>130</v>
      </c>
      <c r="AS2787" s="0" t="s">
        <v>130</v>
      </c>
      <c r="AT2787" s="0" t="s">
        <v>130</v>
      </c>
      <c r="AU2787" s="0" t="s">
        <v>130</v>
      </c>
      <c r="AV2787" s="0" t="s">
        <v>130</v>
      </c>
      <c r="AW2787" s="0" t="s">
        <v>130</v>
      </c>
      <c r="AX2787" s="0" t="s">
        <v>130</v>
      </c>
      <c r="AY2787" s="0" t="s">
        <v>130</v>
      </c>
      <c r="AZ2787" s="0" t="s">
        <v>141</v>
      </c>
      <c r="BA2787" s="0" t="s">
        <v>130</v>
      </c>
      <c r="BB2787" s="0" t="s">
        <v>130</v>
      </c>
      <c r="BC2787" s="0" t="s">
        <v>130</v>
      </c>
      <c r="BD2787" s="0" t="s">
        <v>130</v>
      </c>
      <c r="BE2787" s="0" t="s">
        <v>130</v>
      </c>
      <c r="BF2787" s="0" t="s">
        <v>141</v>
      </c>
      <c r="BG2787" s="0" t="s">
        <v>130</v>
      </c>
      <c r="BH2787" s="0" t="s">
        <v>130</v>
      </c>
      <c r="BI2787" s="0" t="s">
        <v>130</v>
      </c>
      <c r="BJ2787" s="0" t="s">
        <v>130</v>
      </c>
      <c r="BK2787" s="0" t="s">
        <v>130</v>
      </c>
      <c r="BL2787" s="0" t="s">
        <v>130</v>
      </c>
      <c r="BM2787" s="0" t="s">
        <v>130</v>
      </c>
      <c r="BN2787" s="0" t="s">
        <v>130</v>
      </c>
      <c r="BO2787" s="0" t="s">
        <v>130</v>
      </c>
      <c r="BP2787" s="0" t="s">
        <v>130</v>
      </c>
      <c r="BQ2787" s="0" t="s">
        <v>130</v>
      </c>
      <c r="BR2787" s="0" t="s">
        <v>130</v>
      </c>
      <c r="BS2787" s="0" t="s">
        <v>130</v>
      </c>
      <c r="BT2787" s="0" t="s">
        <v>130</v>
      </c>
      <c r="BU2787" s="0" t="s">
        <v>130</v>
      </c>
      <c r="BV2787" s="0" t="s">
        <v>130</v>
      </c>
      <c r="BW2787" s="0" t="s">
        <v>130</v>
      </c>
      <c r="BX2787" s="0" t="s">
        <v>130</v>
      </c>
      <c r="BY2787" s="0" t="s">
        <v>130</v>
      </c>
      <c r="BZ2787" s="0" t="s">
        <v>130</v>
      </c>
      <c r="CA2787" s="0" t="s">
        <v>130</v>
      </c>
      <c r="CB2787" s="0" t="s">
        <v>130</v>
      </c>
      <c r="CC2787" s="0" t="s">
        <v>130</v>
      </c>
      <c r="CD2787" s="0" t="s">
        <v>130</v>
      </c>
      <c r="CE2787" s="0" t="s">
        <v>130</v>
      </c>
      <c r="CF2787" s="0" t="s">
        <v>130</v>
      </c>
      <c r="CG2787" s="0" t="s">
        <v>130</v>
      </c>
      <c r="CH2787" s="0" t="s">
        <v>130</v>
      </c>
      <c r="CI2787" s="0" t="s">
        <v>130</v>
      </c>
      <c r="CJ2787" s="0" t="s">
        <v>130</v>
      </c>
      <c r="CK2787" s="0" t="s">
        <v>130</v>
      </c>
      <c r="CL2787" s="0" t="s">
        <v>130</v>
      </c>
      <c r="CM2787" s="0" t="s">
        <v>130</v>
      </c>
      <c r="CN2787" s="0" t="s">
        <v>130</v>
      </c>
      <c r="CO2787" s="0" t="s">
        <v>130</v>
      </c>
      <c r="CP2787" s="0" t="s">
        <v>130</v>
      </c>
      <c r="CQ2787" s="0" t="s">
        <v>130</v>
      </c>
      <c r="CR2787" s="0" t="s">
        <v>130</v>
      </c>
      <c r="CS2787" s="0" t="s">
        <v>130</v>
      </c>
      <c r="CT2787" s="0" t="s">
        <v>7529</v>
      </c>
    </row>
    <row r="2788">
      <c r="A2788" s="14">
        <v>16857643</v>
      </c>
      <c r="B2788" s="0" t="s">
        <v>4271</v>
      </c>
      <c r="C2788" s="16">
        <f>HYPERLINK("https://eosportal.federatedhermes.com/companies/Q29tcGFueQppNzgyNzY=", "Alibaba Group Holding Ltd")</f>
      </c>
      <c r="D2788" s="0" t="s">
        <v>25</v>
      </c>
      <c r="E2788" s="0" t="s">
        <v>7527</v>
      </c>
      <c r="F2788" s="16">
        <f>HYPERLINK("https://eosportal.federatedhermes.com/engagements/RW5nYWdlbWVudAppMzgzNzQ=", "Child-safe AI")</f>
      </c>
      <c r="G2788" s="14" t="s">
        <v>7530</v>
      </c>
      <c r="H2788" s="0" t="s">
        <v>141</v>
      </c>
      <c r="I2788" s="14" t="s">
        <v>1645</v>
      </c>
      <c r="J2788" s="0" t="s">
        <v>153</v>
      </c>
      <c r="K2788" s="0" t="s">
        <v>243</v>
      </c>
      <c r="L2788" s="0" t="s">
        <v>537</v>
      </c>
      <c r="M2788" s="0" t="s">
        <v>802</v>
      </c>
      <c r="N2788" s="0" t="s">
        <v>803</v>
      </c>
      <c r="O2788" s="0" t="s">
        <v>643</v>
      </c>
      <c r="Q2788" s="0" t="s">
        <v>141</v>
      </c>
      <c r="R2788" s="0" t="s">
        <v>138</v>
      </c>
      <c r="S2788" s="14">
        <v>1</v>
      </c>
      <c r="T2788" s="0" t="s">
        <v>4412</v>
      </c>
      <c r="U2788" s="0" t="s">
        <v>138</v>
      </c>
      <c r="V2788" s="14" t="s">
        <v>138</v>
      </c>
      <c r="W2788" s="0" t="s">
        <v>138</v>
      </c>
      <c r="X2788" s="14" t="s">
        <v>138</v>
      </c>
      <c r="Y2788" s="0" t="s">
        <v>138</v>
      </c>
      <c r="Z2788" s="14" t="s">
        <v>138</v>
      </c>
      <c r="AA2788" s="0" t="s">
        <v>138</v>
      </c>
      <c r="AB2788" s="14" t="s">
        <v>138</v>
      </c>
      <c r="AD2788" s="0" t="s">
        <v>138</v>
      </c>
      <c r="AF2788" s="0">
        <v>0</v>
      </c>
      <c r="AG2788" s="0">
        <v>0</v>
      </c>
      <c r="AH2788" s="0" t="s">
        <v>140</v>
      </c>
      <c r="AI2788" s="0" t="s">
        <v>138</v>
      </c>
      <c r="AK2788" s="0" t="s">
        <v>300</v>
      </c>
      <c r="AL2788" s="14"/>
      <c r="AN2788" s="14"/>
      <c r="AQ2788" s="0" t="s">
        <v>130</v>
      </c>
      <c r="AR2788" s="0" t="s">
        <v>130</v>
      </c>
      <c r="AS2788" s="0" t="s">
        <v>130</v>
      </c>
      <c r="AT2788" s="0" t="s">
        <v>130</v>
      </c>
      <c r="AU2788" s="0" t="s">
        <v>130</v>
      </c>
      <c r="AV2788" s="0" t="s">
        <v>130</v>
      </c>
      <c r="AW2788" s="0" t="s">
        <v>130</v>
      </c>
      <c r="AX2788" s="0" t="s">
        <v>130</v>
      </c>
      <c r="AY2788" s="0" t="s">
        <v>130</v>
      </c>
      <c r="AZ2788" s="0" t="s">
        <v>141</v>
      </c>
      <c r="BA2788" s="0" t="s">
        <v>130</v>
      </c>
      <c r="BB2788" s="0" t="s">
        <v>130</v>
      </c>
      <c r="BC2788" s="0" t="s">
        <v>130</v>
      </c>
      <c r="BD2788" s="0" t="s">
        <v>130</v>
      </c>
      <c r="BE2788" s="0" t="s">
        <v>130</v>
      </c>
      <c r="BF2788" s="0" t="s">
        <v>141</v>
      </c>
      <c r="BG2788" s="0" t="s">
        <v>130</v>
      </c>
      <c r="BH2788" s="0" t="s">
        <v>130</v>
      </c>
      <c r="BI2788" s="0" t="s">
        <v>130</v>
      </c>
      <c r="BJ2788" s="0" t="s">
        <v>130</v>
      </c>
      <c r="BK2788" s="0" t="s">
        <v>130</v>
      </c>
      <c r="BL2788" s="0" t="s">
        <v>130</v>
      </c>
      <c r="BM2788" s="0" t="s">
        <v>130</v>
      </c>
      <c r="BN2788" s="0" t="s">
        <v>130</v>
      </c>
      <c r="BO2788" s="0" t="s">
        <v>130</v>
      </c>
      <c r="BP2788" s="0" t="s">
        <v>130</v>
      </c>
      <c r="BQ2788" s="0" t="s">
        <v>130</v>
      </c>
      <c r="BR2788" s="0" t="s">
        <v>130</v>
      </c>
      <c r="BS2788" s="0" t="s">
        <v>130</v>
      </c>
      <c r="BT2788" s="0" t="s">
        <v>130</v>
      </c>
      <c r="BU2788" s="0" t="s">
        <v>130</v>
      </c>
      <c r="BV2788" s="0" t="s">
        <v>130</v>
      </c>
      <c r="BW2788" s="0" t="s">
        <v>130</v>
      </c>
      <c r="BX2788" s="0" t="s">
        <v>130</v>
      </c>
      <c r="BY2788" s="0" t="s">
        <v>130</v>
      </c>
      <c r="BZ2788" s="0" t="s">
        <v>130</v>
      </c>
      <c r="CA2788" s="0" t="s">
        <v>130</v>
      </c>
      <c r="CB2788" s="0" t="s">
        <v>130</v>
      </c>
      <c r="CC2788" s="0" t="s">
        <v>130</v>
      </c>
      <c r="CD2788" s="0" t="s">
        <v>130</v>
      </c>
      <c r="CE2788" s="0" t="s">
        <v>130</v>
      </c>
      <c r="CF2788" s="0" t="s">
        <v>130</v>
      </c>
      <c r="CG2788" s="0" t="s">
        <v>130</v>
      </c>
      <c r="CH2788" s="0" t="s">
        <v>130</v>
      </c>
      <c r="CI2788" s="0" t="s">
        <v>130</v>
      </c>
      <c r="CJ2788" s="0" t="s">
        <v>130</v>
      </c>
      <c r="CK2788" s="0" t="s">
        <v>130</v>
      </c>
      <c r="CL2788" s="0" t="s">
        <v>130</v>
      </c>
      <c r="CM2788" s="0" t="s">
        <v>130</v>
      </c>
      <c r="CN2788" s="0" t="s">
        <v>130</v>
      </c>
      <c r="CO2788" s="0" t="s">
        <v>130</v>
      </c>
      <c r="CP2788" s="0" t="s">
        <v>130</v>
      </c>
      <c r="CQ2788" s="0" t="s">
        <v>130</v>
      </c>
      <c r="CR2788" s="0" t="s">
        <v>130</v>
      </c>
      <c r="CS2788" s="0" t="s">
        <v>130</v>
      </c>
      <c r="CT2788" s="0" t="s">
        <v>7531</v>
      </c>
    </row>
    <row r="2789">
      <c r="A2789" s="14">
        <v>114151</v>
      </c>
      <c r="B2789" s="0" t="s">
        <v>1981</v>
      </c>
      <c r="C2789" s="16">
        <f>HYPERLINK("https://eosportal.federatedhermes.com/companies/Q29tcGFueQppNzU2OTQ=", "Mitsubishi Corp")</f>
      </c>
      <c r="D2789" s="0" t="s">
        <v>25</v>
      </c>
      <c r="E2789" s="0" t="s">
        <v>7532</v>
      </c>
      <c r="F2789" s="16">
        <f>HYPERLINK("https://eosportal.federatedhermes.com/engagements/RW5nYWdlbWVudAppMzg0NTM=", "Board size")</f>
      </c>
      <c r="G2789" s="14" t="s">
        <v>7533</v>
      </c>
      <c r="H2789" s="0" t="s">
        <v>141</v>
      </c>
      <c r="I2789" s="14" t="s">
        <v>191</v>
      </c>
      <c r="J2789" s="0" t="s">
        <v>145</v>
      </c>
      <c r="K2789" s="0" t="s">
        <v>164</v>
      </c>
      <c r="L2789" s="0" t="s">
        <v>165</v>
      </c>
      <c r="M2789" s="0" t="s">
        <v>802</v>
      </c>
      <c r="N2789" s="0" t="s">
        <v>952</v>
      </c>
      <c r="O2789" s="0" t="s">
        <v>176</v>
      </c>
      <c r="Q2789" s="0" t="s">
        <v>141</v>
      </c>
      <c r="R2789" s="0" t="s">
        <v>138</v>
      </c>
      <c r="S2789" s="14">
        <v>1</v>
      </c>
      <c r="T2789" s="0" t="s">
        <v>4412</v>
      </c>
      <c r="U2789" s="0" t="s">
        <v>138</v>
      </c>
      <c r="V2789" s="14" t="s">
        <v>138</v>
      </c>
      <c r="W2789" s="0" t="s">
        <v>138</v>
      </c>
      <c r="X2789" s="14" t="s">
        <v>138</v>
      </c>
      <c r="Y2789" s="0" t="s">
        <v>138</v>
      </c>
      <c r="Z2789" s="14" t="s">
        <v>138</v>
      </c>
      <c r="AA2789" s="0" t="s">
        <v>138</v>
      </c>
      <c r="AB2789" s="14" t="s">
        <v>138</v>
      </c>
      <c r="AD2789" s="0" t="s">
        <v>138</v>
      </c>
      <c r="AF2789" s="0">
        <v>0</v>
      </c>
      <c r="AG2789" s="0">
        <v>0</v>
      </c>
      <c r="AH2789" s="0" t="s">
        <v>140</v>
      </c>
      <c r="AI2789" s="0" t="s">
        <v>138</v>
      </c>
      <c r="AK2789" s="0" t="s">
        <v>1984</v>
      </c>
      <c r="AL2789" s="14"/>
      <c r="AN2789" s="14"/>
      <c r="AQ2789" s="0" t="s">
        <v>130</v>
      </c>
      <c r="AR2789" s="0" t="s">
        <v>130</v>
      </c>
      <c r="AS2789" s="0" t="s">
        <v>130</v>
      </c>
      <c r="AT2789" s="0" t="s">
        <v>130</v>
      </c>
      <c r="AU2789" s="0" t="s">
        <v>130</v>
      </c>
      <c r="AV2789" s="0" t="s">
        <v>130</v>
      </c>
      <c r="AW2789" s="0" t="s">
        <v>130</v>
      </c>
      <c r="AX2789" s="0" t="s">
        <v>130</v>
      </c>
      <c r="AY2789" s="0" t="s">
        <v>130</v>
      </c>
      <c r="AZ2789" s="0" t="s">
        <v>130</v>
      </c>
      <c r="BA2789" s="0" t="s">
        <v>130</v>
      </c>
      <c r="BB2789" s="0" t="s">
        <v>130</v>
      </c>
      <c r="BC2789" s="0" t="s">
        <v>130</v>
      </c>
      <c r="BD2789" s="0" t="s">
        <v>130</v>
      </c>
      <c r="BE2789" s="0" t="s">
        <v>130</v>
      </c>
      <c r="BF2789" s="0" t="s">
        <v>130</v>
      </c>
      <c r="BG2789" s="0" t="s">
        <v>130</v>
      </c>
      <c r="BH2789" s="0" t="s">
        <v>130</v>
      </c>
      <c r="BI2789" s="0" t="s">
        <v>130</v>
      </c>
      <c r="BJ2789" s="0" t="s">
        <v>130</v>
      </c>
      <c r="BK2789" s="0" t="s">
        <v>130</v>
      </c>
      <c r="BL2789" s="0" t="s">
        <v>130</v>
      </c>
      <c r="BM2789" s="0" t="s">
        <v>130</v>
      </c>
      <c r="BN2789" s="0" t="s">
        <v>130</v>
      </c>
      <c r="BO2789" s="0" t="s">
        <v>130</v>
      </c>
      <c r="BP2789" s="0" t="s">
        <v>130</v>
      </c>
      <c r="BQ2789" s="0" t="s">
        <v>130</v>
      </c>
      <c r="BR2789" s="0" t="s">
        <v>130</v>
      </c>
      <c r="BS2789" s="0" t="s">
        <v>130</v>
      </c>
      <c r="BT2789" s="0" t="s">
        <v>130</v>
      </c>
      <c r="BU2789" s="0" t="s">
        <v>130</v>
      </c>
      <c r="BV2789" s="0" t="s">
        <v>130</v>
      </c>
      <c r="BW2789" s="0" t="s">
        <v>130</v>
      </c>
      <c r="BX2789" s="0" t="s">
        <v>130</v>
      </c>
      <c r="BY2789" s="0" t="s">
        <v>130</v>
      </c>
      <c r="BZ2789" s="0" t="s">
        <v>130</v>
      </c>
      <c r="CA2789" s="0" t="s">
        <v>130</v>
      </c>
      <c r="CB2789" s="0" t="s">
        <v>130</v>
      </c>
      <c r="CC2789" s="0" t="s">
        <v>130</v>
      </c>
      <c r="CD2789" s="0" t="s">
        <v>130</v>
      </c>
      <c r="CE2789" s="0" t="s">
        <v>130</v>
      </c>
      <c r="CF2789" s="0" t="s">
        <v>130</v>
      </c>
      <c r="CG2789" s="0" t="s">
        <v>130</v>
      </c>
      <c r="CH2789" s="0" t="s">
        <v>130</v>
      </c>
      <c r="CI2789" s="0" t="s">
        <v>130</v>
      </c>
      <c r="CJ2789" s="0" t="s">
        <v>130</v>
      </c>
      <c r="CK2789" s="0" t="s">
        <v>130</v>
      </c>
      <c r="CL2789" s="0" t="s">
        <v>130</v>
      </c>
      <c r="CM2789" s="0" t="s">
        <v>130</v>
      </c>
      <c r="CN2789" s="0" t="s">
        <v>130</v>
      </c>
      <c r="CO2789" s="0" t="s">
        <v>130</v>
      </c>
      <c r="CP2789" s="0" t="s">
        <v>130</v>
      </c>
      <c r="CQ2789" s="0" t="s">
        <v>130</v>
      </c>
      <c r="CR2789" s="0" t="s">
        <v>130</v>
      </c>
      <c r="CS2789" s="0" t="s">
        <v>130</v>
      </c>
      <c r="CT2789" s="0" t="s">
        <v>7534</v>
      </c>
    </row>
    <row r="2790">
      <c r="A2790" s="14">
        <v>114151</v>
      </c>
      <c r="B2790" s="0" t="s">
        <v>1981</v>
      </c>
      <c r="C2790" s="16">
        <f>HYPERLINK("https://eosportal.federatedhermes.com/companies/Q29tcGFueQppNzU2OTQ=", "Mitsubishi Corp")</f>
      </c>
      <c r="D2790" s="0" t="s">
        <v>25</v>
      </c>
      <c r="E2790" s="0" t="s">
        <v>7535</v>
      </c>
      <c r="F2790" s="16">
        <f>HYPERLINK("https://eosportal.federatedhermes.com/engagements/RW5nYWdlbWVudAppMzg0NzI=", "Inappropriate committee membership")</f>
      </c>
      <c r="G2790" s="14" t="s">
        <v>7536</v>
      </c>
      <c r="H2790" s="0" t="s">
        <v>141</v>
      </c>
      <c r="I2790" s="14" t="s">
        <v>191</v>
      </c>
      <c r="J2790" s="0" t="s">
        <v>145</v>
      </c>
      <c r="K2790" s="0" t="s">
        <v>164</v>
      </c>
      <c r="L2790" s="0" t="s">
        <v>165</v>
      </c>
      <c r="M2790" s="0" t="s">
        <v>802</v>
      </c>
      <c r="N2790" s="0" t="s">
        <v>952</v>
      </c>
      <c r="O2790" s="0" t="s">
        <v>176</v>
      </c>
      <c r="Q2790" s="0" t="s">
        <v>141</v>
      </c>
      <c r="R2790" s="0" t="s">
        <v>138</v>
      </c>
      <c r="S2790" s="14">
        <v>1</v>
      </c>
      <c r="T2790" s="0" t="s">
        <v>4412</v>
      </c>
      <c r="U2790" s="0" t="s">
        <v>138</v>
      </c>
      <c r="V2790" s="14" t="s">
        <v>138</v>
      </c>
      <c r="W2790" s="0" t="s">
        <v>138</v>
      </c>
      <c r="X2790" s="14" t="s">
        <v>138</v>
      </c>
      <c r="Y2790" s="0" t="s">
        <v>138</v>
      </c>
      <c r="Z2790" s="14" t="s">
        <v>138</v>
      </c>
      <c r="AA2790" s="0" t="s">
        <v>138</v>
      </c>
      <c r="AB2790" s="14" t="s">
        <v>138</v>
      </c>
      <c r="AD2790" s="0" t="s">
        <v>138</v>
      </c>
      <c r="AF2790" s="0">
        <v>0</v>
      </c>
      <c r="AG2790" s="0">
        <v>0</v>
      </c>
      <c r="AH2790" s="0" t="s">
        <v>140</v>
      </c>
      <c r="AI2790" s="0" t="s">
        <v>138</v>
      </c>
      <c r="AK2790" s="0" t="s">
        <v>1984</v>
      </c>
      <c r="AL2790" s="14"/>
      <c r="AN2790" s="14"/>
      <c r="AQ2790" s="0" t="s">
        <v>130</v>
      </c>
      <c r="AR2790" s="0" t="s">
        <v>130</v>
      </c>
      <c r="AS2790" s="0" t="s">
        <v>130</v>
      </c>
      <c r="AT2790" s="0" t="s">
        <v>130</v>
      </c>
      <c r="AU2790" s="0" t="s">
        <v>130</v>
      </c>
      <c r="AV2790" s="0" t="s">
        <v>130</v>
      </c>
      <c r="AW2790" s="0" t="s">
        <v>130</v>
      </c>
      <c r="AX2790" s="0" t="s">
        <v>130</v>
      </c>
      <c r="AY2790" s="0" t="s">
        <v>130</v>
      </c>
      <c r="AZ2790" s="0" t="s">
        <v>130</v>
      </c>
      <c r="BA2790" s="0" t="s">
        <v>130</v>
      </c>
      <c r="BB2790" s="0" t="s">
        <v>130</v>
      </c>
      <c r="BC2790" s="0" t="s">
        <v>130</v>
      </c>
      <c r="BD2790" s="0" t="s">
        <v>130</v>
      </c>
      <c r="BE2790" s="0" t="s">
        <v>130</v>
      </c>
      <c r="BF2790" s="0" t="s">
        <v>130</v>
      </c>
      <c r="BG2790" s="0" t="s">
        <v>130</v>
      </c>
      <c r="BH2790" s="0" t="s">
        <v>130</v>
      </c>
      <c r="BI2790" s="0" t="s">
        <v>130</v>
      </c>
      <c r="BJ2790" s="0" t="s">
        <v>130</v>
      </c>
      <c r="BK2790" s="0" t="s">
        <v>130</v>
      </c>
      <c r="BL2790" s="0" t="s">
        <v>130</v>
      </c>
      <c r="BM2790" s="0" t="s">
        <v>130</v>
      </c>
      <c r="BN2790" s="0" t="s">
        <v>130</v>
      </c>
      <c r="BO2790" s="0" t="s">
        <v>130</v>
      </c>
      <c r="BP2790" s="0" t="s">
        <v>130</v>
      </c>
      <c r="BQ2790" s="0" t="s">
        <v>130</v>
      </c>
      <c r="BR2790" s="0" t="s">
        <v>130</v>
      </c>
      <c r="BS2790" s="0" t="s">
        <v>130</v>
      </c>
      <c r="BT2790" s="0" t="s">
        <v>130</v>
      </c>
      <c r="BU2790" s="0" t="s">
        <v>130</v>
      </c>
      <c r="BV2790" s="0" t="s">
        <v>130</v>
      </c>
      <c r="BW2790" s="0" t="s">
        <v>130</v>
      </c>
      <c r="BX2790" s="0" t="s">
        <v>130</v>
      </c>
      <c r="BY2790" s="0" t="s">
        <v>130</v>
      </c>
      <c r="BZ2790" s="0" t="s">
        <v>130</v>
      </c>
      <c r="CA2790" s="0" t="s">
        <v>130</v>
      </c>
      <c r="CB2790" s="0" t="s">
        <v>130</v>
      </c>
      <c r="CC2790" s="0" t="s">
        <v>130</v>
      </c>
      <c r="CD2790" s="0" t="s">
        <v>130</v>
      </c>
      <c r="CE2790" s="0" t="s">
        <v>130</v>
      </c>
      <c r="CF2790" s="0" t="s">
        <v>130</v>
      </c>
      <c r="CG2790" s="0" t="s">
        <v>130</v>
      </c>
      <c r="CH2790" s="0" t="s">
        <v>130</v>
      </c>
      <c r="CI2790" s="0" t="s">
        <v>130</v>
      </c>
      <c r="CJ2790" s="0" t="s">
        <v>130</v>
      </c>
      <c r="CK2790" s="0" t="s">
        <v>130</v>
      </c>
      <c r="CL2790" s="0" t="s">
        <v>130</v>
      </c>
      <c r="CM2790" s="0" t="s">
        <v>130</v>
      </c>
      <c r="CN2790" s="0" t="s">
        <v>130</v>
      </c>
      <c r="CO2790" s="0" t="s">
        <v>130</v>
      </c>
      <c r="CP2790" s="0" t="s">
        <v>130</v>
      </c>
      <c r="CQ2790" s="0" t="s">
        <v>130</v>
      </c>
      <c r="CR2790" s="0" t="s">
        <v>130</v>
      </c>
      <c r="CS2790" s="0" t="s">
        <v>130</v>
      </c>
      <c r="CT2790" s="0" t="s">
        <v>7537</v>
      </c>
    </row>
    <row r="2791">
      <c r="A2791" s="14">
        <v>100315</v>
      </c>
      <c r="B2791" s="0" t="s">
        <v>539</v>
      </c>
      <c r="C2791" s="16">
        <f>HYPERLINK("https://eosportal.federatedhermes.com/companies/Q29tcGFueQppNzcwNTA=", "Chevron Corp")</f>
      </c>
      <c r="D2791" s="0" t="s">
        <v>25</v>
      </c>
      <c r="E2791" s="0" t="s">
        <v>7538</v>
      </c>
      <c r="F2791" s="16">
        <f>HYPERLINK("https://eosportal.federatedhermes.com/engagements/RW5nYWdlbWVudAppMzg0ODc=", "Third-party board effectiveness assessment")</f>
      </c>
      <c r="G2791" s="14" t="s">
        <v>7539</v>
      </c>
      <c r="H2791" s="0" t="s">
        <v>141</v>
      </c>
      <c r="I2791" s="14" t="s">
        <v>191</v>
      </c>
      <c r="J2791" s="0" t="s">
        <v>145</v>
      </c>
      <c r="K2791" s="0" t="s">
        <v>164</v>
      </c>
      <c r="L2791" s="0" t="s">
        <v>970</v>
      </c>
      <c r="M2791" s="0" t="s">
        <v>135</v>
      </c>
      <c r="N2791" s="0" t="s">
        <v>136</v>
      </c>
      <c r="O2791" s="0" t="s">
        <v>542</v>
      </c>
      <c r="Q2791" s="0" t="s">
        <v>130</v>
      </c>
      <c r="R2791" s="0" t="s">
        <v>138</v>
      </c>
      <c r="S2791" s="14">
        <v>0</v>
      </c>
      <c r="T2791" s="0" t="s">
        <v>4412</v>
      </c>
      <c r="U2791" s="0" t="s">
        <v>138</v>
      </c>
      <c r="V2791" s="14" t="s">
        <v>138</v>
      </c>
      <c r="W2791" s="0" t="s">
        <v>138</v>
      </c>
      <c r="X2791" s="14" t="s">
        <v>138</v>
      </c>
      <c r="Y2791" s="0" t="s">
        <v>138</v>
      </c>
      <c r="Z2791" s="14" t="s">
        <v>138</v>
      </c>
      <c r="AA2791" s="0" t="s">
        <v>138</v>
      </c>
      <c r="AB2791" s="14" t="s">
        <v>138</v>
      </c>
      <c r="AD2791" s="0" t="s">
        <v>138</v>
      </c>
      <c r="AF2791" s="0">
        <v>0</v>
      </c>
      <c r="AG2791" s="0">
        <v>0</v>
      </c>
      <c r="AH2791" s="0" t="s">
        <v>140</v>
      </c>
      <c r="AI2791" s="0" t="s">
        <v>138</v>
      </c>
      <c r="AL2791" s="14"/>
      <c r="AN2791" s="14"/>
      <c r="AQ2791" s="0" t="s">
        <v>130</v>
      </c>
      <c r="AR2791" s="0" t="s">
        <v>130</v>
      </c>
      <c r="AS2791" s="0" t="s">
        <v>130</v>
      </c>
      <c r="AT2791" s="0" t="s">
        <v>130</v>
      </c>
      <c r="AU2791" s="0" t="s">
        <v>130</v>
      </c>
      <c r="AV2791" s="0" t="s">
        <v>130</v>
      </c>
      <c r="AW2791" s="0" t="s">
        <v>130</v>
      </c>
      <c r="AX2791" s="0" t="s">
        <v>130</v>
      </c>
      <c r="AY2791" s="0" t="s">
        <v>130</v>
      </c>
      <c r="AZ2791" s="0" t="s">
        <v>130</v>
      </c>
      <c r="BA2791" s="0" t="s">
        <v>130</v>
      </c>
      <c r="BB2791" s="0" t="s">
        <v>130</v>
      </c>
      <c r="BC2791" s="0" t="s">
        <v>130</v>
      </c>
      <c r="BD2791" s="0" t="s">
        <v>130</v>
      </c>
      <c r="BE2791" s="0" t="s">
        <v>130</v>
      </c>
      <c r="BF2791" s="0" t="s">
        <v>130</v>
      </c>
      <c r="BG2791" s="0" t="s">
        <v>130</v>
      </c>
      <c r="BH2791" s="0" t="s">
        <v>130</v>
      </c>
      <c r="BI2791" s="0" t="s">
        <v>130</v>
      </c>
      <c r="BJ2791" s="0" t="s">
        <v>130</v>
      </c>
      <c r="BK2791" s="0" t="s">
        <v>130</v>
      </c>
      <c r="BL2791" s="0" t="s">
        <v>130</v>
      </c>
      <c r="BM2791" s="0" t="s">
        <v>130</v>
      </c>
      <c r="BN2791" s="0" t="s">
        <v>130</v>
      </c>
      <c r="BO2791" s="0" t="s">
        <v>130</v>
      </c>
      <c r="BP2791" s="0" t="s">
        <v>130</v>
      </c>
      <c r="BQ2791" s="0" t="s">
        <v>130</v>
      </c>
      <c r="BR2791" s="0" t="s">
        <v>130</v>
      </c>
      <c r="BS2791" s="0" t="s">
        <v>130</v>
      </c>
      <c r="BT2791" s="0" t="s">
        <v>130</v>
      </c>
      <c r="BU2791" s="0" t="s">
        <v>130</v>
      </c>
      <c r="BV2791" s="0" t="s">
        <v>130</v>
      </c>
      <c r="BW2791" s="0" t="s">
        <v>130</v>
      </c>
      <c r="BX2791" s="0" t="s">
        <v>130</v>
      </c>
      <c r="BY2791" s="0" t="s">
        <v>130</v>
      </c>
      <c r="BZ2791" s="0" t="s">
        <v>130</v>
      </c>
      <c r="CA2791" s="0" t="s">
        <v>130</v>
      </c>
      <c r="CB2791" s="0" t="s">
        <v>130</v>
      </c>
      <c r="CC2791" s="0" t="s">
        <v>130</v>
      </c>
      <c r="CD2791" s="0" t="s">
        <v>130</v>
      </c>
      <c r="CE2791" s="0" t="s">
        <v>130</v>
      </c>
      <c r="CF2791" s="0" t="s">
        <v>130</v>
      </c>
      <c r="CG2791" s="0" t="s">
        <v>130</v>
      </c>
      <c r="CH2791" s="0" t="s">
        <v>130</v>
      </c>
      <c r="CI2791" s="0" t="s">
        <v>130</v>
      </c>
      <c r="CJ2791" s="0" t="s">
        <v>130</v>
      </c>
      <c r="CK2791" s="0" t="s">
        <v>130</v>
      </c>
      <c r="CL2791" s="0" t="s">
        <v>130</v>
      </c>
      <c r="CM2791" s="0" t="s">
        <v>130</v>
      </c>
      <c r="CN2791" s="0" t="s">
        <v>130</v>
      </c>
      <c r="CO2791" s="0" t="s">
        <v>130</v>
      </c>
      <c r="CP2791" s="0" t="s">
        <v>130</v>
      </c>
      <c r="CQ2791" s="0" t="s">
        <v>130</v>
      </c>
      <c r="CR2791" s="0" t="s">
        <v>130</v>
      </c>
      <c r="CS2791" s="0" t="s">
        <v>130</v>
      </c>
      <c r="CT2791" s="0" t="s">
        <v>7540</v>
      </c>
    </row>
    <row r="2792">
      <c r="A2792" s="14">
        <v>100894</v>
      </c>
      <c r="B2792" s="0" t="s">
        <v>1027</v>
      </c>
      <c r="C2792" s="16">
        <f>HYPERLINK("https://eosportal.federatedhermes.com/companies/Q29tcGFueQppODU0OTg=", "Eli Lilly &amp; Co")</f>
      </c>
      <c r="D2792" s="0" t="s">
        <v>25</v>
      </c>
      <c r="E2792" s="0" t="s">
        <v>5038</v>
      </c>
      <c r="F2792" s="16">
        <f>HYPERLINK("https://eosportal.federatedhermes.com/engagements/RW5nYWdlbWVudAppMzg0OTI=", "Auditor Tenure")</f>
      </c>
      <c r="G2792" s="14" t="s">
        <v>7541</v>
      </c>
      <c r="H2792" s="0" t="s">
        <v>141</v>
      </c>
      <c r="I2792" s="14" t="s">
        <v>636</v>
      </c>
      <c r="J2792" s="0" t="s">
        <v>132</v>
      </c>
      <c r="K2792" s="0" t="s">
        <v>170</v>
      </c>
      <c r="L2792" s="0" t="s">
        <v>310</v>
      </c>
      <c r="M2792" s="0" t="s">
        <v>135</v>
      </c>
      <c r="N2792" s="0" t="s">
        <v>136</v>
      </c>
      <c r="O2792" s="0" t="s">
        <v>274</v>
      </c>
      <c r="Q2792" s="0" t="s">
        <v>130</v>
      </c>
      <c r="R2792" s="0" t="s">
        <v>138</v>
      </c>
      <c r="S2792" s="14">
        <v>0</v>
      </c>
      <c r="T2792" s="0" t="s">
        <v>4412</v>
      </c>
      <c r="U2792" s="0" t="s">
        <v>138</v>
      </c>
      <c r="V2792" s="14" t="s">
        <v>138</v>
      </c>
      <c r="W2792" s="0" t="s">
        <v>138</v>
      </c>
      <c r="X2792" s="14" t="s">
        <v>138</v>
      </c>
      <c r="Y2792" s="0" t="s">
        <v>138</v>
      </c>
      <c r="Z2792" s="14" t="s">
        <v>138</v>
      </c>
      <c r="AA2792" s="0" t="s">
        <v>138</v>
      </c>
      <c r="AB2792" s="14" t="s">
        <v>138</v>
      </c>
      <c r="AD2792" s="0" t="s">
        <v>138</v>
      </c>
      <c r="AF2792" s="0">
        <v>0</v>
      </c>
      <c r="AG2792" s="0">
        <v>0</v>
      </c>
      <c r="AH2792" s="0" t="s">
        <v>140</v>
      </c>
      <c r="AI2792" s="0" t="s">
        <v>138</v>
      </c>
      <c r="AL2792" s="14"/>
      <c r="AN2792" s="14"/>
      <c r="AQ2792" s="0" t="s">
        <v>130</v>
      </c>
      <c r="AR2792" s="0" t="s">
        <v>130</v>
      </c>
      <c r="AS2792" s="0" t="s">
        <v>130</v>
      </c>
      <c r="AT2792" s="0" t="s">
        <v>130</v>
      </c>
      <c r="AU2792" s="0" t="s">
        <v>130</v>
      </c>
      <c r="AV2792" s="0" t="s">
        <v>130</v>
      </c>
      <c r="AW2792" s="0" t="s">
        <v>130</v>
      </c>
      <c r="AX2792" s="0" t="s">
        <v>130</v>
      </c>
      <c r="AY2792" s="0" t="s">
        <v>130</v>
      </c>
      <c r="AZ2792" s="0" t="s">
        <v>130</v>
      </c>
      <c r="BA2792" s="0" t="s">
        <v>130</v>
      </c>
      <c r="BB2792" s="0" t="s">
        <v>130</v>
      </c>
      <c r="BC2792" s="0" t="s">
        <v>130</v>
      </c>
      <c r="BD2792" s="0" t="s">
        <v>130</v>
      </c>
      <c r="BE2792" s="0" t="s">
        <v>130</v>
      </c>
      <c r="BF2792" s="0" t="s">
        <v>130</v>
      </c>
      <c r="BG2792" s="0" t="s">
        <v>130</v>
      </c>
      <c r="BH2792" s="0" t="s">
        <v>130</v>
      </c>
      <c r="BI2792" s="0" t="s">
        <v>130</v>
      </c>
      <c r="BJ2792" s="0" t="s">
        <v>130</v>
      </c>
      <c r="BK2792" s="0" t="s">
        <v>130</v>
      </c>
      <c r="BL2792" s="0" t="s">
        <v>130</v>
      </c>
      <c r="BM2792" s="0" t="s">
        <v>130</v>
      </c>
      <c r="BN2792" s="0" t="s">
        <v>130</v>
      </c>
      <c r="BO2792" s="0" t="s">
        <v>130</v>
      </c>
      <c r="BP2792" s="0" t="s">
        <v>130</v>
      </c>
      <c r="BQ2792" s="0" t="s">
        <v>130</v>
      </c>
      <c r="BR2792" s="0" t="s">
        <v>130</v>
      </c>
      <c r="BS2792" s="0" t="s">
        <v>130</v>
      </c>
      <c r="BT2792" s="0" t="s">
        <v>130</v>
      </c>
      <c r="BU2792" s="0" t="s">
        <v>130</v>
      </c>
      <c r="BV2792" s="0" t="s">
        <v>130</v>
      </c>
      <c r="BW2792" s="0" t="s">
        <v>130</v>
      </c>
      <c r="BX2792" s="0" t="s">
        <v>130</v>
      </c>
      <c r="BY2792" s="0" t="s">
        <v>130</v>
      </c>
      <c r="BZ2792" s="0" t="s">
        <v>130</v>
      </c>
      <c r="CA2792" s="0" t="s">
        <v>130</v>
      </c>
      <c r="CB2792" s="0" t="s">
        <v>130</v>
      </c>
      <c r="CC2792" s="0" t="s">
        <v>130</v>
      </c>
      <c r="CD2792" s="0" t="s">
        <v>130</v>
      </c>
      <c r="CE2792" s="0" t="s">
        <v>130</v>
      </c>
      <c r="CF2792" s="0" t="s">
        <v>130</v>
      </c>
      <c r="CG2792" s="0" t="s">
        <v>130</v>
      </c>
      <c r="CH2792" s="0" t="s">
        <v>130</v>
      </c>
      <c r="CI2792" s="0" t="s">
        <v>130</v>
      </c>
      <c r="CJ2792" s="0" t="s">
        <v>130</v>
      </c>
      <c r="CK2792" s="0" t="s">
        <v>130</v>
      </c>
      <c r="CL2792" s="0" t="s">
        <v>130</v>
      </c>
      <c r="CM2792" s="0" t="s">
        <v>130</v>
      </c>
      <c r="CN2792" s="0" t="s">
        <v>130</v>
      </c>
      <c r="CO2792" s="0" t="s">
        <v>130</v>
      </c>
      <c r="CP2792" s="0" t="s">
        <v>130</v>
      </c>
      <c r="CQ2792" s="0" t="s">
        <v>130</v>
      </c>
      <c r="CR2792" s="0" t="s">
        <v>130</v>
      </c>
      <c r="CS2792" s="0" t="s">
        <v>130</v>
      </c>
      <c r="CT2792" s="0" t="s">
        <v>7542</v>
      </c>
    </row>
    <row r="2793">
      <c r="A2793" s="14">
        <v>328683</v>
      </c>
      <c r="B2793" s="0" t="s">
        <v>3664</v>
      </c>
      <c r="C2793" s="16">
        <f>HYPERLINK("https://eosportal.federatedhermes.com/companies/Q29tcGFueQppNTg5MjI=", "Mercedes-Benz Group AG")</f>
      </c>
      <c r="D2793" s="0" t="s">
        <v>25</v>
      </c>
      <c r="E2793" s="0" t="s">
        <v>7543</v>
      </c>
      <c r="F2793" s="16">
        <f>HYPERLINK("https://eosportal.federatedhermes.com/engagements/RW5nYWdlbWVudAppMzg0OTk=", "Potential over-commitment of board members")</f>
      </c>
      <c r="G2793" s="14" t="s">
        <v>7544</v>
      </c>
      <c r="H2793" s="0" t="s">
        <v>141</v>
      </c>
      <c r="I2793" s="14" t="s">
        <v>1645</v>
      </c>
      <c r="J2793" s="0" t="s">
        <v>145</v>
      </c>
      <c r="K2793" s="0" t="s">
        <v>164</v>
      </c>
      <c r="L2793" s="0" t="s">
        <v>970</v>
      </c>
      <c r="M2793" s="0" t="s">
        <v>378</v>
      </c>
      <c r="N2793" s="0" t="s">
        <v>2485</v>
      </c>
      <c r="O2793" s="0" t="s">
        <v>425</v>
      </c>
      <c r="Q2793" s="0" t="s">
        <v>130</v>
      </c>
      <c r="R2793" s="0" t="s">
        <v>138</v>
      </c>
      <c r="S2793" s="14">
        <v>0</v>
      </c>
      <c r="T2793" s="0" t="s">
        <v>4412</v>
      </c>
      <c r="U2793" s="0" t="s">
        <v>138</v>
      </c>
      <c r="V2793" s="14" t="s">
        <v>138</v>
      </c>
      <c r="W2793" s="0" t="s">
        <v>138</v>
      </c>
      <c r="X2793" s="14" t="s">
        <v>138</v>
      </c>
      <c r="Y2793" s="0" t="s">
        <v>138</v>
      </c>
      <c r="Z2793" s="14" t="s">
        <v>138</v>
      </c>
      <c r="AA2793" s="0" t="s">
        <v>138</v>
      </c>
      <c r="AB2793" s="14" t="s">
        <v>138</v>
      </c>
      <c r="AD2793" s="0" t="s">
        <v>138</v>
      </c>
      <c r="AF2793" s="0">
        <v>0</v>
      </c>
      <c r="AG2793" s="0">
        <v>0</v>
      </c>
      <c r="AH2793" s="0" t="s">
        <v>140</v>
      </c>
      <c r="AI2793" s="0" t="s">
        <v>138</v>
      </c>
      <c r="AL2793" s="14"/>
      <c r="AN2793" s="14"/>
      <c r="AQ2793" s="0" t="s">
        <v>130</v>
      </c>
      <c r="AR2793" s="0" t="s">
        <v>130</v>
      </c>
      <c r="AS2793" s="0" t="s">
        <v>130</v>
      </c>
      <c r="AT2793" s="0" t="s">
        <v>130</v>
      </c>
      <c r="AU2793" s="0" t="s">
        <v>130</v>
      </c>
      <c r="AV2793" s="0" t="s">
        <v>130</v>
      </c>
      <c r="AW2793" s="0" t="s">
        <v>130</v>
      </c>
      <c r="AX2793" s="0" t="s">
        <v>130</v>
      </c>
      <c r="AY2793" s="0" t="s">
        <v>130</v>
      </c>
      <c r="AZ2793" s="0" t="s">
        <v>130</v>
      </c>
      <c r="BA2793" s="0" t="s">
        <v>130</v>
      </c>
      <c r="BB2793" s="0" t="s">
        <v>130</v>
      </c>
      <c r="BC2793" s="0" t="s">
        <v>130</v>
      </c>
      <c r="BD2793" s="0" t="s">
        <v>130</v>
      </c>
      <c r="BE2793" s="0" t="s">
        <v>130</v>
      </c>
      <c r="BF2793" s="0" t="s">
        <v>130</v>
      </c>
      <c r="BG2793" s="0" t="s">
        <v>130</v>
      </c>
      <c r="BH2793" s="0" t="s">
        <v>130</v>
      </c>
      <c r="BI2793" s="0" t="s">
        <v>130</v>
      </c>
      <c r="BJ2793" s="0" t="s">
        <v>130</v>
      </c>
      <c r="BK2793" s="0" t="s">
        <v>130</v>
      </c>
      <c r="BL2793" s="0" t="s">
        <v>130</v>
      </c>
      <c r="BM2793" s="0" t="s">
        <v>130</v>
      </c>
      <c r="BN2793" s="0" t="s">
        <v>130</v>
      </c>
      <c r="BO2793" s="0" t="s">
        <v>130</v>
      </c>
      <c r="BP2793" s="0" t="s">
        <v>130</v>
      </c>
      <c r="BQ2793" s="0" t="s">
        <v>130</v>
      </c>
      <c r="BR2793" s="0" t="s">
        <v>130</v>
      </c>
      <c r="BS2793" s="0" t="s">
        <v>130</v>
      </c>
      <c r="BT2793" s="0" t="s">
        <v>130</v>
      </c>
      <c r="BU2793" s="0" t="s">
        <v>130</v>
      </c>
      <c r="BV2793" s="0" t="s">
        <v>130</v>
      </c>
      <c r="BW2793" s="0" t="s">
        <v>130</v>
      </c>
      <c r="BX2793" s="0" t="s">
        <v>130</v>
      </c>
      <c r="BY2793" s="0" t="s">
        <v>130</v>
      </c>
      <c r="BZ2793" s="0" t="s">
        <v>130</v>
      </c>
      <c r="CA2793" s="0" t="s">
        <v>130</v>
      </c>
      <c r="CB2793" s="0" t="s">
        <v>130</v>
      </c>
      <c r="CC2793" s="0" t="s">
        <v>130</v>
      </c>
      <c r="CD2793" s="0" t="s">
        <v>130</v>
      </c>
      <c r="CE2793" s="0" t="s">
        <v>130</v>
      </c>
      <c r="CF2793" s="0" t="s">
        <v>130</v>
      </c>
      <c r="CG2793" s="0" t="s">
        <v>130</v>
      </c>
      <c r="CH2793" s="0" t="s">
        <v>130</v>
      </c>
      <c r="CI2793" s="0" t="s">
        <v>130</v>
      </c>
      <c r="CJ2793" s="0" t="s">
        <v>130</v>
      </c>
      <c r="CK2793" s="0" t="s">
        <v>130</v>
      </c>
      <c r="CL2793" s="0" t="s">
        <v>130</v>
      </c>
      <c r="CM2793" s="0" t="s">
        <v>130</v>
      </c>
      <c r="CN2793" s="0" t="s">
        <v>130</v>
      </c>
      <c r="CO2793" s="0" t="s">
        <v>130</v>
      </c>
      <c r="CP2793" s="0" t="s">
        <v>130</v>
      </c>
      <c r="CQ2793" s="0" t="s">
        <v>130</v>
      </c>
      <c r="CR2793" s="0" t="s">
        <v>130</v>
      </c>
      <c r="CS2793" s="0" t="s">
        <v>130</v>
      </c>
      <c r="CT2793" s="0" t="s">
        <v>7545</v>
      </c>
    </row>
    <row r="2794">
      <c r="A2794" s="14">
        <v>55267607</v>
      </c>
      <c r="B2794" s="0" t="s">
        <v>6452</v>
      </c>
      <c r="C2794" s="16">
        <f>HYPERLINK("https://eosportal.federatedhermes.com/companies/Q29tcGFueQppNjIwNTY=", "VICI Properties Inc")</f>
      </c>
      <c r="D2794" s="0" t="s">
        <v>25</v>
      </c>
      <c r="E2794" s="0" t="s">
        <v>7546</v>
      </c>
      <c r="F2794" s="16">
        <f>HYPERLINK("https://eosportal.federatedhermes.com/engagements/RW5nYWdlbWVudAppMzg1MDI=", "Board Evaluations")</f>
      </c>
      <c r="G2794" s="14" t="s">
        <v>7547</v>
      </c>
      <c r="H2794" s="0" t="s">
        <v>130</v>
      </c>
      <c r="I2794" s="14" t="s">
        <v>319</v>
      </c>
      <c r="J2794" s="0" t="s">
        <v>145</v>
      </c>
      <c r="K2794" s="0" t="s">
        <v>164</v>
      </c>
      <c r="L2794" s="0" t="s">
        <v>970</v>
      </c>
      <c r="M2794" s="0" t="s">
        <v>135</v>
      </c>
      <c r="N2794" s="0" t="s">
        <v>136</v>
      </c>
      <c r="O2794" s="0" t="s">
        <v>238</v>
      </c>
      <c r="Q2794" s="0" t="s">
        <v>141</v>
      </c>
      <c r="R2794" s="0" t="s">
        <v>138</v>
      </c>
      <c r="S2794" s="14">
        <v>1</v>
      </c>
      <c r="T2794" s="0" t="s">
        <v>4412</v>
      </c>
      <c r="U2794" s="0" t="s">
        <v>138</v>
      </c>
      <c r="V2794" s="14" t="s">
        <v>138</v>
      </c>
      <c r="W2794" s="0" t="s">
        <v>138</v>
      </c>
      <c r="X2794" s="14" t="s">
        <v>138</v>
      </c>
      <c r="Y2794" s="0" t="s">
        <v>138</v>
      </c>
      <c r="Z2794" s="14" t="s">
        <v>138</v>
      </c>
      <c r="AA2794" s="0" t="s">
        <v>138</v>
      </c>
      <c r="AB2794" s="14" t="s">
        <v>138</v>
      </c>
      <c r="AD2794" s="0" t="s">
        <v>138</v>
      </c>
      <c r="AF2794" s="0">
        <v>0</v>
      </c>
      <c r="AG2794" s="0">
        <v>0</v>
      </c>
      <c r="AH2794" s="0" t="s">
        <v>140</v>
      </c>
      <c r="AI2794" s="0" t="s">
        <v>138</v>
      </c>
      <c r="AK2794" s="0" t="s">
        <v>3626</v>
      </c>
      <c r="AL2794" s="14"/>
      <c r="AN2794" s="14"/>
      <c r="AQ2794" s="0" t="s">
        <v>130</v>
      </c>
      <c r="AR2794" s="0" t="s">
        <v>130</v>
      </c>
      <c r="AS2794" s="0" t="s">
        <v>130</v>
      </c>
      <c r="AT2794" s="0" t="s">
        <v>130</v>
      </c>
      <c r="AU2794" s="0" t="s">
        <v>130</v>
      </c>
      <c r="AV2794" s="0" t="s">
        <v>130</v>
      </c>
      <c r="AW2794" s="0" t="s">
        <v>130</v>
      </c>
      <c r="AX2794" s="0" t="s">
        <v>130</v>
      </c>
      <c r="AY2794" s="0" t="s">
        <v>130</v>
      </c>
      <c r="AZ2794" s="0" t="s">
        <v>130</v>
      </c>
      <c r="BA2794" s="0" t="s">
        <v>130</v>
      </c>
      <c r="BB2794" s="0" t="s">
        <v>130</v>
      </c>
      <c r="BC2794" s="0" t="s">
        <v>130</v>
      </c>
      <c r="BD2794" s="0" t="s">
        <v>130</v>
      </c>
      <c r="BE2794" s="0" t="s">
        <v>130</v>
      </c>
      <c r="BF2794" s="0" t="s">
        <v>130</v>
      </c>
      <c r="BG2794" s="0" t="s">
        <v>130</v>
      </c>
      <c r="BH2794" s="0" t="s">
        <v>130</v>
      </c>
      <c r="BI2794" s="0" t="s">
        <v>130</v>
      </c>
      <c r="BJ2794" s="0" t="s">
        <v>130</v>
      </c>
      <c r="BK2794" s="0" t="s">
        <v>130</v>
      </c>
      <c r="BL2794" s="0" t="s">
        <v>130</v>
      </c>
      <c r="BM2794" s="0" t="s">
        <v>130</v>
      </c>
      <c r="BN2794" s="0" t="s">
        <v>130</v>
      </c>
      <c r="BO2794" s="0" t="s">
        <v>130</v>
      </c>
      <c r="BP2794" s="0" t="s">
        <v>130</v>
      </c>
      <c r="BQ2794" s="0" t="s">
        <v>130</v>
      </c>
      <c r="BR2794" s="0" t="s">
        <v>130</v>
      </c>
      <c r="BS2794" s="0" t="s">
        <v>130</v>
      </c>
      <c r="BT2794" s="0" t="s">
        <v>130</v>
      </c>
      <c r="BU2794" s="0" t="s">
        <v>130</v>
      </c>
      <c r="BV2794" s="0" t="s">
        <v>130</v>
      </c>
      <c r="BW2794" s="0" t="s">
        <v>130</v>
      </c>
      <c r="BX2794" s="0" t="s">
        <v>130</v>
      </c>
      <c r="BY2794" s="0" t="s">
        <v>130</v>
      </c>
      <c r="BZ2794" s="0" t="s">
        <v>130</v>
      </c>
      <c r="CA2794" s="0" t="s">
        <v>130</v>
      </c>
      <c r="CB2794" s="0" t="s">
        <v>130</v>
      </c>
      <c r="CC2794" s="0" t="s">
        <v>130</v>
      </c>
      <c r="CD2794" s="0" t="s">
        <v>130</v>
      </c>
      <c r="CE2794" s="0" t="s">
        <v>130</v>
      </c>
      <c r="CF2794" s="0" t="s">
        <v>130</v>
      </c>
      <c r="CG2794" s="0" t="s">
        <v>130</v>
      </c>
      <c r="CH2794" s="0" t="s">
        <v>130</v>
      </c>
      <c r="CI2794" s="0" t="s">
        <v>130</v>
      </c>
      <c r="CJ2794" s="0" t="s">
        <v>130</v>
      </c>
      <c r="CK2794" s="0" t="s">
        <v>130</v>
      </c>
      <c r="CL2794" s="0" t="s">
        <v>130</v>
      </c>
      <c r="CM2794" s="0" t="s">
        <v>130</v>
      </c>
      <c r="CN2794" s="0" t="s">
        <v>130</v>
      </c>
      <c r="CO2794" s="0" t="s">
        <v>130</v>
      </c>
      <c r="CP2794" s="0" t="s">
        <v>130</v>
      </c>
      <c r="CQ2794" s="0" t="s">
        <v>130</v>
      </c>
      <c r="CR2794" s="0" t="s">
        <v>130</v>
      </c>
      <c r="CS2794" s="0" t="s">
        <v>130</v>
      </c>
      <c r="CT2794" s="0" t="s">
        <v>7548</v>
      </c>
    </row>
    <row r="2795">
      <c r="A2795" s="14">
        <v>28046509</v>
      </c>
      <c r="B2795" s="0" t="s">
        <v>4333</v>
      </c>
      <c r="C2795" s="16">
        <f>HYPERLINK("https://eosportal.federatedhermes.com/companies/Q29tcGFueQppNzM3NjA=", "AbbVie Inc")</f>
      </c>
      <c r="D2795" s="0" t="s">
        <v>25</v>
      </c>
      <c r="E2795" s="0" t="s">
        <v>3702</v>
      </c>
      <c r="F2795" s="16">
        <f>HYPERLINK("https://eosportal.federatedhermes.com/engagements/RW5nYWdlbWVudAppMzg1MDU=", "Classified Board")</f>
      </c>
      <c r="G2795" s="14" t="s">
        <v>7549</v>
      </c>
      <c r="H2795" s="0" t="s">
        <v>141</v>
      </c>
      <c r="I2795" s="14" t="s">
        <v>131</v>
      </c>
      <c r="J2795" s="0" t="s">
        <v>145</v>
      </c>
      <c r="K2795" s="0" t="s">
        <v>164</v>
      </c>
      <c r="L2795" s="0" t="s">
        <v>165</v>
      </c>
      <c r="M2795" s="0" t="s">
        <v>135</v>
      </c>
      <c r="N2795" s="0" t="s">
        <v>136</v>
      </c>
      <c r="O2795" s="0" t="s">
        <v>274</v>
      </c>
      <c r="Q2795" s="0" t="s">
        <v>130</v>
      </c>
      <c r="R2795" s="0" t="s">
        <v>138</v>
      </c>
      <c r="S2795" s="14">
        <v>0</v>
      </c>
      <c r="T2795" s="0" t="s">
        <v>4412</v>
      </c>
      <c r="U2795" s="0" t="s">
        <v>138</v>
      </c>
      <c r="V2795" s="14" t="s">
        <v>138</v>
      </c>
      <c r="W2795" s="0" t="s">
        <v>138</v>
      </c>
      <c r="X2795" s="14" t="s">
        <v>138</v>
      </c>
      <c r="Y2795" s="0" t="s">
        <v>138</v>
      </c>
      <c r="Z2795" s="14" t="s">
        <v>138</v>
      </c>
      <c r="AA2795" s="0" t="s">
        <v>138</v>
      </c>
      <c r="AB2795" s="14" t="s">
        <v>138</v>
      </c>
      <c r="AD2795" s="0" t="s">
        <v>138</v>
      </c>
      <c r="AF2795" s="0">
        <v>0</v>
      </c>
      <c r="AG2795" s="0">
        <v>0</v>
      </c>
      <c r="AH2795" s="0" t="s">
        <v>140</v>
      </c>
      <c r="AI2795" s="0" t="s">
        <v>138</v>
      </c>
      <c r="AL2795" s="14"/>
      <c r="AN2795" s="14"/>
      <c r="AQ2795" s="0" t="s">
        <v>130</v>
      </c>
      <c r="AR2795" s="0" t="s">
        <v>130</v>
      </c>
      <c r="AS2795" s="0" t="s">
        <v>130</v>
      </c>
      <c r="AT2795" s="0" t="s">
        <v>130</v>
      </c>
      <c r="AU2795" s="0" t="s">
        <v>130</v>
      </c>
      <c r="AV2795" s="0" t="s">
        <v>130</v>
      </c>
      <c r="AW2795" s="0" t="s">
        <v>130</v>
      </c>
      <c r="AX2795" s="0" t="s">
        <v>130</v>
      </c>
      <c r="AY2795" s="0" t="s">
        <v>130</v>
      </c>
      <c r="AZ2795" s="0" t="s">
        <v>130</v>
      </c>
      <c r="BA2795" s="0" t="s">
        <v>130</v>
      </c>
      <c r="BB2795" s="0" t="s">
        <v>130</v>
      </c>
      <c r="BC2795" s="0" t="s">
        <v>130</v>
      </c>
      <c r="BD2795" s="0" t="s">
        <v>130</v>
      </c>
      <c r="BE2795" s="0" t="s">
        <v>130</v>
      </c>
      <c r="BF2795" s="0" t="s">
        <v>130</v>
      </c>
      <c r="BG2795" s="0" t="s">
        <v>130</v>
      </c>
      <c r="BH2795" s="0" t="s">
        <v>130</v>
      </c>
      <c r="BI2795" s="0" t="s">
        <v>130</v>
      </c>
      <c r="BJ2795" s="0" t="s">
        <v>130</v>
      </c>
      <c r="BK2795" s="0" t="s">
        <v>130</v>
      </c>
      <c r="BL2795" s="0" t="s">
        <v>130</v>
      </c>
      <c r="BM2795" s="0" t="s">
        <v>130</v>
      </c>
      <c r="BN2795" s="0" t="s">
        <v>130</v>
      </c>
      <c r="BO2795" s="0" t="s">
        <v>130</v>
      </c>
      <c r="BP2795" s="0" t="s">
        <v>130</v>
      </c>
      <c r="BQ2795" s="0" t="s">
        <v>130</v>
      </c>
      <c r="BR2795" s="0" t="s">
        <v>130</v>
      </c>
      <c r="BS2795" s="0" t="s">
        <v>130</v>
      </c>
      <c r="BT2795" s="0" t="s">
        <v>130</v>
      </c>
      <c r="BU2795" s="0" t="s">
        <v>130</v>
      </c>
      <c r="BV2795" s="0" t="s">
        <v>130</v>
      </c>
      <c r="BW2795" s="0" t="s">
        <v>130</v>
      </c>
      <c r="BX2795" s="0" t="s">
        <v>130</v>
      </c>
      <c r="BY2795" s="0" t="s">
        <v>130</v>
      </c>
      <c r="BZ2795" s="0" t="s">
        <v>130</v>
      </c>
      <c r="CA2795" s="0" t="s">
        <v>130</v>
      </c>
      <c r="CB2795" s="0" t="s">
        <v>130</v>
      </c>
      <c r="CC2795" s="0" t="s">
        <v>130</v>
      </c>
      <c r="CD2795" s="0" t="s">
        <v>130</v>
      </c>
      <c r="CE2795" s="0" t="s">
        <v>130</v>
      </c>
      <c r="CF2795" s="0" t="s">
        <v>130</v>
      </c>
      <c r="CG2795" s="0" t="s">
        <v>130</v>
      </c>
      <c r="CH2795" s="0" t="s">
        <v>130</v>
      </c>
      <c r="CI2795" s="0" t="s">
        <v>130</v>
      </c>
      <c r="CJ2795" s="0" t="s">
        <v>130</v>
      </c>
      <c r="CK2795" s="0" t="s">
        <v>130</v>
      </c>
      <c r="CL2795" s="0" t="s">
        <v>130</v>
      </c>
      <c r="CM2795" s="0" t="s">
        <v>130</v>
      </c>
      <c r="CN2795" s="0" t="s">
        <v>130</v>
      </c>
      <c r="CO2795" s="0" t="s">
        <v>130</v>
      </c>
      <c r="CP2795" s="0" t="s">
        <v>130</v>
      </c>
      <c r="CQ2795" s="0" t="s">
        <v>130</v>
      </c>
      <c r="CR2795" s="0" t="s">
        <v>130</v>
      </c>
      <c r="CS2795" s="0" t="s">
        <v>130</v>
      </c>
      <c r="CT2795" s="0" t="s">
        <v>7550</v>
      </c>
    </row>
    <row r="2796">
      <c r="A2796" s="14">
        <v>115259</v>
      </c>
      <c r="B2796" s="0" t="s">
        <v>2384</v>
      </c>
      <c r="C2796" s="16">
        <f>HYPERLINK("https://eosportal.federatedhermes.com/companies/Q29tcGFueQppNjc3NTU=", "Danone SA")</f>
      </c>
      <c r="D2796" s="0" t="s">
        <v>23</v>
      </c>
      <c r="E2796" s="0" t="s">
        <v>6167</v>
      </c>
      <c r="F2796" s="16">
        <f>HYPERLINK("https://eosportal.federatedhermes.com/engagements/RW5nYWdlbWVudAppMzg1MzU=", "Supply chain mapping")</f>
      </c>
      <c r="G2796" s="14" t="s">
        <v>7551</v>
      </c>
      <c r="H2796" s="0" t="s">
        <v>141</v>
      </c>
      <c r="I2796" s="14" t="s">
        <v>191</v>
      </c>
      <c r="J2796" s="0" t="s">
        <v>153</v>
      </c>
      <c r="K2796" s="0" t="s">
        <v>243</v>
      </c>
      <c r="L2796" s="0" t="s">
        <v>244</v>
      </c>
      <c r="M2796" s="0" t="s">
        <v>378</v>
      </c>
      <c r="N2796" s="0" t="s">
        <v>1646</v>
      </c>
      <c r="O2796" s="0" t="s">
        <v>332</v>
      </c>
      <c r="Q2796" s="0" t="s">
        <v>141</v>
      </c>
      <c r="R2796" s="0" t="s">
        <v>130</v>
      </c>
      <c r="S2796" s="14">
        <v>1</v>
      </c>
      <c r="T2796" s="0" t="s">
        <v>4412</v>
      </c>
      <c r="U2796" s="0" t="s">
        <v>221</v>
      </c>
      <c r="V2796" s="14" t="s">
        <v>4412</v>
      </c>
      <c r="W2796" s="0" t="s">
        <v>221</v>
      </c>
      <c r="X2796" s="14" t="s">
        <v>4412</v>
      </c>
      <c r="Y2796" s="0" t="s">
        <v>223</v>
      </c>
      <c r="Z2796" s="14" t="s">
        <v>138</v>
      </c>
      <c r="AA2796" s="0" t="s">
        <v>224</v>
      </c>
      <c r="AB2796" s="14" t="s">
        <v>138</v>
      </c>
      <c r="AD2796" s="0" t="s">
        <v>17</v>
      </c>
      <c r="AF2796" s="0">
        <v>0</v>
      </c>
      <c r="AG2796" s="0">
        <v>0</v>
      </c>
      <c r="AH2796" s="0" t="s">
        <v>140</v>
      </c>
      <c r="AI2796" s="0" t="s">
        <v>598</v>
      </c>
      <c r="AK2796" s="0" t="s">
        <v>436</v>
      </c>
      <c r="AL2796" s="14"/>
      <c r="AN2796" s="14"/>
      <c r="AQ2796" s="0" t="s">
        <v>130</v>
      </c>
      <c r="AR2796" s="0" t="s">
        <v>130</v>
      </c>
      <c r="AS2796" s="0" t="s">
        <v>130</v>
      </c>
      <c r="AT2796" s="0" t="s">
        <v>130</v>
      </c>
      <c r="AU2796" s="0" t="s">
        <v>130</v>
      </c>
      <c r="AV2796" s="0" t="s">
        <v>130</v>
      </c>
      <c r="AW2796" s="0" t="s">
        <v>130</v>
      </c>
      <c r="AX2796" s="0" t="s">
        <v>141</v>
      </c>
      <c r="AY2796" s="0" t="s">
        <v>130</v>
      </c>
      <c r="AZ2796" s="0" t="s">
        <v>130</v>
      </c>
      <c r="BA2796" s="0" t="s">
        <v>130</v>
      </c>
      <c r="BB2796" s="0" t="s">
        <v>130</v>
      </c>
      <c r="BC2796" s="0" t="s">
        <v>130</v>
      </c>
      <c r="BD2796" s="0" t="s">
        <v>130</v>
      </c>
      <c r="BE2796" s="0" t="s">
        <v>130</v>
      </c>
      <c r="BF2796" s="0" t="s">
        <v>130</v>
      </c>
      <c r="BG2796" s="0" t="s">
        <v>130</v>
      </c>
      <c r="BH2796" s="0" t="s">
        <v>130</v>
      </c>
      <c r="BI2796" s="0" t="s">
        <v>130</v>
      </c>
      <c r="BJ2796" s="0" t="s">
        <v>130</v>
      </c>
      <c r="BK2796" s="0" t="s">
        <v>130</v>
      </c>
      <c r="BL2796" s="0" t="s">
        <v>130</v>
      </c>
      <c r="BM2796" s="0" t="s">
        <v>130</v>
      </c>
      <c r="BN2796" s="0" t="s">
        <v>130</v>
      </c>
      <c r="BO2796" s="0" t="s">
        <v>130</v>
      </c>
      <c r="BP2796" s="0" t="s">
        <v>130</v>
      </c>
      <c r="BQ2796" s="0" t="s">
        <v>130</v>
      </c>
      <c r="BR2796" s="0" t="s">
        <v>130</v>
      </c>
      <c r="BS2796" s="0" t="s">
        <v>130</v>
      </c>
      <c r="BT2796" s="0" t="s">
        <v>130</v>
      </c>
      <c r="BU2796" s="0" t="s">
        <v>130</v>
      </c>
      <c r="BV2796" s="0" t="s">
        <v>130</v>
      </c>
      <c r="BW2796" s="0" t="s">
        <v>130</v>
      </c>
      <c r="BX2796" s="0" t="s">
        <v>130</v>
      </c>
      <c r="BY2796" s="0" t="s">
        <v>130</v>
      </c>
      <c r="BZ2796" s="0" t="s">
        <v>130</v>
      </c>
      <c r="CA2796" s="0" t="s">
        <v>130</v>
      </c>
      <c r="CB2796" s="0" t="s">
        <v>130</v>
      </c>
      <c r="CC2796" s="0" t="s">
        <v>130</v>
      </c>
      <c r="CD2796" s="0" t="s">
        <v>130</v>
      </c>
      <c r="CE2796" s="0" t="s">
        <v>130</v>
      </c>
      <c r="CF2796" s="0" t="s">
        <v>130</v>
      </c>
      <c r="CG2796" s="0" t="s">
        <v>130</v>
      </c>
      <c r="CH2796" s="0" t="s">
        <v>130</v>
      </c>
      <c r="CI2796" s="0" t="s">
        <v>130</v>
      </c>
      <c r="CJ2796" s="0" t="s">
        <v>130</v>
      </c>
      <c r="CK2796" s="0" t="s">
        <v>130</v>
      </c>
      <c r="CL2796" s="0" t="s">
        <v>130</v>
      </c>
      <c r="CM2796" s="0" t="s">
        <v>130</v>
      </c>
      <c r="CN2796" s="0" t="s">
        <v>130</v>
      </c>
      <c r="CO2796" s="0" t="s">
        <v>130</v>
      </c>
      <c r="CP2796" s="0" t="s">
        <v>130</v>
      </c>
      <c r="CQ2796" s="0" t="s">
        <v>130</v>
      </c>
      <c r="CR2796" s="0" t="s">
        <v>130</v>
      </c>
      <c r="CS2796" s="0" t="s">
        <v>130</v>
      </c>
      <c r="CT2796" s="0" t="s">
        <v>7552</v>
      </c>
    </row>
    <row r="2797">
      <c r="A2797" s="14">
        <v>100466</v>
      </c>
      <c r="B2797" s="0" t="s">
        <v>655</v>
      </c>
      <c r="C2797" s="16">
        <f>HYPERLINK("https://eosportal.federatedhermes.com/companies/Q29tcGFueQppNzc5Mjg=", "Dominion Energy Inc")</f>
      </c>
      <c r="D2797" s="0" t="s">
        <v>23</v>
      </c>
      <c r="E2797" s="0" t="s">
        <v>7553</v>
      </c>
      <c r="F2797" s="16">
        <f>HYPERLINK("https://eosportal.federatedhermes.com/engagements/RW5nYWdlbWVudAppMzg1MzY=", "Community Consultation Disclosures - datacenters")</f>
      </c>
      <c r="G2797" s="14" t="s">
        <v>7554</v>
      </c>
      <c r="H2797" s="0" t="s">
        <v>141</v>
      </c>
      <c r="I2797" s="14" t="s">
        <v>131</v>
      </c>
      <c r="J2797" s="0" t="s">
        <v>153</v>
      </c>
      <c r="K2797" s="0" t="s">
        <v>243</v>
      </c>
      <c r="L2797" s="0" t="s">
        <v>571</v>
      </c>
      <c r="M2797" s="0" t="s">
        <v>135</v>
      </c>
      <c r="N2797" s="0" t="s">
        <v>136</v>
      </c>
      <c r="O2797" s="0" t="s">
        <v>192</v>
      </c>
      <c r="Q2797" s="0" t="s">
        <v>141</v>
      </c>
      <c r="R2797" s="0" t="s">
        <v>130</v>
      </c>
      <c r="S2797" s="14">
        <v>1</v>
      </c>
      <c r="T2797" s="0" t="s">
        <v>4412</v>
      </c>
      <c r="U2797" s="0" t="s">
        <v>221</v>
      </c>
      <c r="V2797" s="14" t="s">
        <v>4412</v>
      </c>
      <c r="W2797" s="0" t="s">
        <v>221</v>
      </c>
      <c r="X2797" s="14" t="s">
        <v>4412</v>
      </c>
      <c r="Y2797" s="0" t="s">
        <v>223</v>
      </c>
      <c r="Z2797" s="14" t="s">
        <v>138</v>
      </c>
      <c r="AA2797" s="0" t="s">
        <v>224</v>
      </c>
      <c r="AB2797" s="14" t="s">
        <v>138</v>
      </c>
      <c r="AD2797" s="0" t="s">
        <v>17</v>
      </c>
      <c r="AF2797" s="0">
        <v>0</v>
      </c>
      <c r="AG2797" s="0">
        <v>0</v>
      </c>
      <c r="AH2797" s="0" t="s">
        <v>140</v>
      </c>
      <c r="AI2797" s="0" t="s">
        <v>598</v>
      </c>
      <c r="AK2797" s="0" t="s">
        <v>2976</v>
      </c>
      <c r="AL2797" s="14"/>
      <c r="AN2797" s="14"/>
      <c r="AQ2797" s="0" t="s">
        <v>130</v>
      </c>
      <c r="AR2797" s="0" t="s">
        <v>130</v>
      </c>
      <c r="AS2797" s="0" t="s">
        <v>130</v>
      </c>
      <c r="AT2797" s="0" t="s">
        <v>130</v>
      </c>
      <c r="AU2797" s="0" t="s">
        <v>130</v>
      </c>
      <c r="AV2797" s="0" t="s">
        <v>141</v>
      </c>
      <c r="AW2797" s="0" t="s">
        <v>130</v>
      </c>
      <c r="AX2797" s="0" t="s">
        <v>130</v>
      </c>
      <c r="AY2797" s="0" t="s">
        <v>130</v>
      </c>
      <c r="AZ2797" s="0" t="s">
        <v>141</v>
      </c>
      <c r="BA2797" s="0" t="s">
        <v>130</v>
      </c>
      <c r="BB2797" s="0" t="s">
        <v>130</v>
      </c>
      <c r="BC2797" s="0" t="s">
        <v>130</v>
      </c>
      <c r="BD2797" s="0" t="s">
        <v>130</v>
      </c>
      <c r="BE2797" s="0" t="s">
        <v>130</v>
      </c>
      <c r="BF2797" s="0" t="s">
        <v>141</v>
      </c>
      <c r="BG2797" s="0" t="s">
        <v>130</v>
      </c>
      <c r="BH2797" s="0" t="s">
        <v>130</v>
      </c>
      <c r="BI2797" s="0" t="s">
        <v>130</v>
      </c>
      <c r="BJ2797" s="0" t="s">
        <v>130</v>
      </c>
      <c r="BK2797" s="0" t="s">
        <v>130</v>
      </c>
      <c r="BL2797" s="0" t="s">
        <v>130</v>
      </c>
      <c r="BM2797" s="0" t="s">
        <v>130</v>
      </c>
      <c r="BN2797" s="0" t="s">
        <v>130</v>
      </c>
      <c r="BO2797" s="0" t="s">
        <v>130</v>
      </c>
      <c r="BP2797" s="0" t="s">
        <v>130</v>
      </c>
      <c r="BQ2797" s="0" t="s">
        <v>130</v>
      </c>
      <c r="BR2797" s="0" t="s">
        <v>130</v>
      </c>
      <c r="BS2797" s="0" t="s">
        <v>130</v>
      </c>
      <c r="BT2797" s="0" t="s">
        <v>130</v>
      </c>
      <c r="BU2797" s="0" t="s">
        <v>130</v>
      </c>
      <c r="BV2797" s="0" t="s">
        <v>130</v>
      </c>
      <c r="BW2797" s="0" t="s">
        <v>130</v>
      </c>
      <c r="BX2797" s="0" t="s">
        <v>130</v>
      </c>
      <c r="BY2797" s="0" t="s">
        <v>130</v>
      </c>
      <c r="BZ2797" s="0" t="s">
        <v>130</v>
      </c>
      <c r="CA2797" s="0" t="s">
        <v>130</v>
      </c>
      <c r="CB2797" s="0" t="s">
        <v>130</v>
      </c>
      <c r="CC2797" s="0" t="s">
        <v>130</v>
      </c>
      <c r="CD2797" s="0" t="s">
        <v>130</v>
      </c>
      <c r="CE2797" s="0" t="s">
        <v>130</v>
      </c>
      <c r="CF2797" s="0" t="s">
        <v>130</v>
      </c>
      <c r="CG2797" s="0" t="s">
        <v>130</v>
      </c>
      <c r="CH2797" s="0" t="s">
        <v>130</v>
      </c>
      <c r="CI2797" s="0" t="s">
        <v>130</v>
      </c>
      <c r="CJ2797" s="0" t="s">
        <v>130</v>
      </c>
      <c r="CK2797" s="0" t="s">
        <v>130</v>
      </c>
      <c r="CL2797" s="0" t="s">
        <v>130</v>
      </c>
      <c r="CM2797" s="0" t="s">
        <v>130</v>
      </c>
      <c r="CN2797" s="0" t="s">
        <v>130</v>
      </c>
      <c r="CO2797" s="0" t="s">
        <v>130</v>
      </c>
      <c r="CP2797" s="0" t="s">
        <v>130</v>
      </c>
      <c r="CQ2797" s="0" t="s">
        <v>130</v>
      </c>
      <c r="CR2797" s="0" t="s">
        <v>130</v>
      </c>
      <c r="CS2797" s="0" t="s">
        <v>130</v>
      </c>
      <c r="CT2797" s="0" t="s">
        <v>7555</v>
      </c>
    </row>
    <row r="2798">
      <c r="A2798" s="14">
        <v>9917432</v>
      </c>
      <c r="B2798" s="0" t="s">
        <v>4101</v>
      </c>
      <c r="C2798" s="16">
        <f>HYPERLINK("https://eosportal.federatedhermes.com/companies/Q29tcGFueQppNTIxODY=", "Seven &amp; i Holdings Co Ltd")</f>
      </c>
      <c r="D2798" s="0" t="s">
        <v>25</v>
      </c>
      <c r="E2798" s="0" t="s">
        <v>7556</v>
      </c>
      <c r="F2798" s="16">
        <f>HYPERLINK("https://eosportal.federatedhermes.com/engagements/RW5nYWdlbWVudAppMzg1NDI=", "Independent directors' views on takeover bid")</f>
      </c>
      <c r="G2798" s="14" t="s">
        <v>7557</v>
      </c>
      <c r="H2798" s="0" t="s">
        <v>141</v>
      </c>
      <c r="I2798" s="14" t="s">
        <v>131</v>
      </c>
      <c r="J2798" s="0" t="s">
        <v>145</v>
      </c>
      <c r="K2798" s="0" t="s">
        <v>400</v>
      </c>
      <c r="L2798" s="0" t="s">
        <v>507</v>
      </c>
      <c r="M2798" s="0" t="s">
        <v>802</v>
      </c>
      <c r="N2798" s="0" t="s">
        <v>952</v>
      </c>
      <c r="O2798" s="0" t="s">
        <v>643</v>
      </c>
      <c r="Q2798" s="0" t="s">
        <v>141</v>
      </c>
      <c r="R2798" s="0" t="s">
        <v>138</v>
      </c>
      <c r="S2798" s="14">
        <v>1</v>
      </c>
      <c r="T2798" s="0" t="s">
        <v>2842</v>
      </c>
      <c r="U2798" s="0" t="s">
        <v>138</v>
      </c>
      <c r="V2798" s="14" t="s">
        <v>138</v>
      </c>
      <c r="W2798" s="0" t="s">
        <v>138</v>
      </c>
      <c r="X2798" s="14" t="s">
        <v>138</v>
      </c>
      <c r="Y2798" s="0" t="s">
        <v>138</v>
      </c>
      <c r="Z2798" s="14" t="s">
        <v>138</v>
      </c>
      <c r="AA2798" s="0" t="s">
        <v>138</v>
      </c>
      <c r="AB2798" s="14" t="s">
        <v>138</v>
      </c>
      <c r="AD2798" s="0" t="s">
        <v>138</v>
      </c>
      <c r="AF2798" s="0">
        <v>0</v>
      </c>
      <c r="AG2798" s="0">
        <v>0</v>
      </c>
      <c r="AH2798" s="0" t="s">
        <v>140</v>
      </c>
      <c r="AI2798" s="0" t="s">
        <v>138</v>
      </c>
      <c r="AK2798" s="0" t="s">
        <v>3789</v>
      </c>
      <c r="AL2798" s="14"/>
      <c r="AN2798" s="14"/>
      <c r="AQ2798" s="0" t="s">
        <v>130</v>
      </c>
      <c r="AR2798" s="0" t="s">
        <v>130</v>
      </c>
      <c r="AS2798" s="0" t="s">
        <v>130</v>
      </c>
      <c r="AT2798" s="0" t="s">
        <v>130</v>
      </c>
      <c r="AU2798" s="0" t="s">
        <v>130</v>
      </c>
      <c r="AV2798" s="0" t="s">
        <v>130</v>
      </c>
      <c r="AW2798" s="0" t="s">
        <v>130</v>
      </c>
      <c r="AX2798" s="0" t="s">
        <v>130</v>
      </c>
      <c r="AY2798" s="0" t="s">
        <v>130</v>
      </c>
      <c r="AZ2798" s="0" t="s">
        <v>130</v>
      </c>
      <c r="BA2798" s="0" t="s">
        <v>130</v>
      </c>
      <c r="BB2798" s="0" t="s">
        <v>130</v>
      </c>
      <c r="BC2798" s="0" t="s">
        <v>130</v>
      </c>
      <c r="BD2798" s="0" t="s">
        <v>130</v>
      </c>
      <c r="BE2798" s="0" t="s">
        <v>130</v>
      </c>
      <c r="BF2798" s="0" t="s">
        <v>130</v>
      </c>
      <c r="BG2798" s="0" t="s">
        <v>130</v>
      </c>
      <c r="BH2798" s="0" t="s">
        <v>130</v>
      </c>
      <c r="BI2798" s="0" t="s">
        <v>130</v>
      </c>
      <c r="BJ2798" s="0" t="s">
        <v>130</v>
      </c>
      <c r="BK2798" s="0" t="s">
        <v>130</v>
      </c>
      <c r="BL2798" s="0" t="s">
        <v>130</v>
      </c>
      <c r="BM2798" s="0" t="s">
        <v>130</v>
      </c>
      <c r="BN2798" s="0" t="s">
        <v>130</v>
      </c>
      <c r="BO2798" s="0" t="s">
        <v>130</v>
      </c>
      <c r="BP2798" s="0" t="s">
        <v>130</v>
      </c>
      <c r="BQ2798" s="0" t="s">
        <v>130</v>
      </c>
      <c r="BR2798" s="0" t="s">
        <v>130</v>
      </c>
      <c r="BS2798" s="0" t="s">
        <v>130</v>
      </c>
      <c r="BT2798" s="0" t="s">
        <v>130</v>
      </c>
      <c r="BU2798" s="0" t="s">
        <v>130</v>
      </c>
      <c r="BV2798" s="0" t="s">
        <v>130</v>
      </c>
      <c r="BW2798" s="0" t="s">
        <v>130</v>
      </c>
      <c r="BX2798" s="0" t="s">
        <v>130</v>
      </c>
      <c r="BY2798" s="0" t="s">
        <v>130</v>
      </c>
      <c r="BZ2798" s="0" t="s">
        <v>130</v>
      </c>
      <c r="CA2798" s="0" t="s">
        <v>130</v>
      </c>
      <c r="CB2798" s="0" t="s">
        <v>130</v>
      </c>
      <c r="CC2798" s="0" t="s">
        <v>130</v>
      </c>
      <c r="CD2798" s="0" t="s">
        <v>130</v>
      </c>
      <c r="CE2798" s="0" t="s">
        <v>130</v>
      </c>
      <c r="CF2798" s="0" t="s">
        <v>130</v>
      </c>
      <c r="CG2798" s="0" t="s">
        <v>130</v>
      </c>
      <c r="CH2798" s="0" t="s">
        <v>130</v>
      </c>
      <c r="CI2798" s="0" t="s">
        <v>130</v>
      </c>
      <c r="CJ2798" s="0" t="s">
        <v>130</v>
      </c>
      <c r="CK2798" s="0" t="s">
        <v>130</v>
      </c>
      <c r="CL2798" s="0" t="s">
        <v>130</v>
      </c>
      <c r="CM2798" s="0" t="s">
        <v>130</v>
      </c>
      <c r="CN2798" s="0" t="s">
        <v>130</v>
      </c>
      <c r="CO2798" s="0" t="s">
        <v>130</v>
      </c>
      <c r="CP2798" s="0" t="s">
        <v>130</v>
      </c>
      <c r="CQ2798" s="0" t="s">
        <v>130</v>
      </c>
      <c r="CR2798" s="0" t="s">
        <v>130</v>
      </c>
      <c r="CS2798" s="0" t="s">
        <v>130</v>
      </c>
      <c r="CT2798" s="0" t="s">
        <v>7558</v>
      </c>
    </row>
    <row r="2799">
      <c r="A2799" s="14">
        <v>115114</v>
      </c>
      <c r="B2799" s="0" t="s">
        <v>2319</v>
      </c>
      <c r="C2799" s="16">
        <f>HYPERLINK("https://eosportal.federatedhermes.com/companies/Q29tcGFueQppNTU3NDE=", "Toyota Motor Corp")</f>
      </c>
      <c r="D2799" s="0" t="s">
        <v>23</v>
      </c>
      <c r="E2799" s="0" t="s">
        <v>7559</v>
      </c>
      <c r="F2799" s="16">
        <f>HYPERLINK("https://eosportal.federatedhermes.com/engagements/RW5nYWdlbWVudAppMzg1ODc=", "Appointment of Lead Independent Director")</f>
      </c>
      <c r="G2799" s="14" t="s">
        <v>7560</v>
      </c>
      <c r="H2799" s="0" t="s">
        <v>141</v>
      </c>
      <c r="I2799" s="14" t="s">
        <v>1645</v>
      </c>
      <c r="J2799" s="0" t="s">
        <v>145</v>
      </c>
      <c r="K2799" s="0" t="s">
        <v>164</v>
      </c>
      <c r="L2799" s="0" t="s">
        <v>970</v>
      </c>
      <c r="M2799" s="0" t="s">
        <v>802</v>
      </c>
      <c r="N2799" s="0" t="s">
        <v>952</v>
      </c>
      <c r="O2799" s="0" t="s">
        <v>425</v>
      </c>
      <c r="Q2799" s="0" t="s">
        <v>130</v>
      </c>
      <c r="R2799" s="0" t="s">
        <v>130</v>
      </c>
      <c r="S2799" s="14">
        <v>0</v>
      </c>
      <c r="T2799" s="0" t="s">
        <v>4412</v>
      </c>
      <c r="U2799" s="0" t="s">
        <v>221</v>
      </c>
      <c r="V2799" s="14" t="s">
        <v>4412</v>
      </c>
      <c r="W2799" s="0" t="s">
        <v>221</v>
      </c>
      <c r="X2799" s="14" t="s">
        <v>4412</v>
      </c>
      <c r="Y2799" s="0" t="s">
        <v>223</v>
      </c>
      <c r="Z2799" s="14" t="s">
        <v>138</v>
      </c>
      <c r="AA2799" s="0" t="s">
        <v>224</v>
      </c>
      <c r="AB2799" s="14" t="s">
        <v>138</v>
      </c>
      <c r="AD2799" s="0" t="s">
        <v>17</v>
      </c>
      <c r="AF2799" s="0">
        <v>0</v>
      </c>
      <c r="AG2799" s="0">
        <v>0</v>
      </c>
      <c r="AH2799" s="0" t="s">
        <v>140</v>
      </c>
      <c r="AI2799" s="0" t="s">
        <v>598</v>
      </c>
      <c r="AL2799" s="14"/>
      <c r="AN2799" s="14"/>
      <c r="AQ2799" s="0" t="s">
        <v>130</v>
      </c>
      <c r="AR2799" s="0" t="s">
        <v>130</v>
      </c>
      <c r="AS2799" s="0" t="s">
        <v>130</v>
      </c>
      <c r="AT2799" s="0" t="s">
        <v>130</v>
      </c>
      <c r="AU2799" s="0" t="s">
        <v>130</v>
      </c>
      <c r="AV2799" s="0" t="s">
        <v>130</v>
      </c>
      <c r="AW2799" s="0" t="s">
        <v>130</v>
      </c>
      <c r="AX2799" s="0" t="s">
        <v>130</v>
      </c>
      <c r="AY2799" s="0" t="s">
        <v>130</v>
      </c>
      <c r="AZ2799" s="0" t="s">
        <v>130</v>
      </c>
      <c r="BA2799" s="0" t="s">
        <v>130</v>
      </c>
      <c r="BB2799" s="0" t="s">
        <v>130</v>
      </c>
      <c r="BC2799" s="0" t="s">
        <v>130</v>
      </c>
      <c r="BD2799" s="0" t="s">
        <v>130</v>
      </c>
      <c r="BE2799" s="0" t="s">
        <v>130</v>
      </c>
      <c r="BF2799" s="0" t="s">
        <v>130</v>
      </c>
      <c r="BG2799" s="0" t="s">
        <v>130</v>
      </c>
      <c r="BH2799" s="0" t="s">
        <v>130</v>
      </c>
      <c r="BI2799" s="0" t="s">
        <v>130</v>
      </c>
      <c r="BJ2799" s="0" t="s">
        <v>130</v>
      </c>
      <c r="BK2799" s="0" t="s">
        <v>130</v>
      </c>
      <c r="BL2799" s="0" t="s">
        <v>130</v>
      </c>
      <c r="BM2799" s="0" t="s">
        <v>130</v>
      </c>
      <c r="BN2799" s="0" t="s">
        <v>130</v>
      </c>
      <c r="BO2799" s="0" t="s">
        <v>130</v>
      </c>
      <c r="BP2799" s="0" t="s">
        <v>130</v>
      </c>
      <c r="BQ2799" s="0" t="s">
        <v>130</v>
      </c>
      <c r="BR2799" s="0" t="s">
        <v>130</v>
      </c>
      <c r="BS2799" s="0" t="s">
        <v>130</v>
      </c>
      <c r="BT2799" s="0" t="s">
        <v>130</v>
      </c>
      <c r="BU2799" s="0" t="s">
        <v>130</v>
      </c>
      <c r="BV2799" s="0" t="s">
        <v>130</v>
      </c>
      <c r="BW2799" s="0" t="s">
        <v>130</v>
      </c>
      <c r="BX2799" s="0" t="s">
        <v>130</v>
      </c>
      <c r="BY2799" s="0" t="s">
        <v>130</v>
      </c>
      <c r="BZ2799" s="0" t="s">
        <v>130</v>
      </c>
      <c r="CA2799" s="0" t="s">
        <v>130</v>
      </c>
      <c r="CB2799" s="0" t="s">
        <v>130</v>
      </c>
      <c r="CC2799" s="0" t="s">
        <v>130</v>
      </c>
      <c r="CD2799" s="0" t="s">
        <v>130</v>
      </c>
      <c r="CE2799" s="0" t="s">
        <v>130</v>
      </c>
      <c r="CF2799" s="0" t="s">
        <v>130</v>
      </c>
      <c r="CG2799" s="0" t="s">
        <v>130</v>
      </c>
      <c r="CH2799" s="0" t="s">
        <v>130</v>
      </c>
      <c r="CI2799" s="0" t="s">
        <v>130</v>
      </c>
      <c r="CJ2799" s="0" t="s">
        <v>130</v>
      </c>
      <c r="CK2799" s="0" t="s">
        <v>130</v>
      </c>
      <c r="CL2799" s="0" t="s">
        <v>130</v>
      </c>
      <c r="CM2799" s="0" t="s">
        <v>130</v>
      </c>
      <c r="CN2799" s="0" t="s">
        <v>130</v>
      </c>
      <c r="CO2799" s="0" t="s">
        <v>130</v>
      </c>
      <c r="CP2799" s="0" t="s">
        <v>130</v>
      </c>
      <c r="CQ2799" s="0" t="s">
        <v>130</v>
      </c>
      <c r="CR2799" s="0" t="s">
        <v>130</v>
      </c>
      <c r="CS2799" s="0" t="s">
        <v>130</v>
      </c>
      <c r="CT2799" s="0" t="s">
        <v>7561</v>
      </c>
    </row>
    <row r="2800">
      <c r="A2800" s="14">
        <v>115682</v>
      </c>
      <c r="B2800" s="0" t="s">
        <v>2620</v>
      </c>
      <c r="C2800" s="16">
        <f>HYPERLINK("https://eosportal.federatedhermes.com/companies/Q29tcGFueQppNTMxNDc=", "Bayerische Motoren Werke AG (BMW)")</f>
      </c>
      <c r="D2800" s="0" t="s">
        <v>25</v>
      </c>
      <c r="E2800" s="0" t="s">
        <v>7562</v>
      </c>
      <c r="F2800" s="16">
        <f>HYPERLINK("https://eosportal.federatedhermes.com/engagements/RW5nYWdlbWVudAppMzg1OTE=", "Whistleblowing Report")</f>
      </c>
      <c r="G2800" s="14" t="s">
        <v>7563</v>
      </c>
      <c r="H2800" s="0" t="s">
        <v>141</v>
      </c>
      <c r="I2800" s="14" t="s">
        <v>1645</v>
      </c>
      <c r="J2800" s="0" t="s">
        <v>153</v>
      </c>
      <c r="K2800" s="0" t="s">
        <v>185</v>
      </c>
      <c r="L2800" s="0" t="s">
        <v>186</v>
      </c>
      <c r="M2800" s="0" t="s">
        <v>378</v>
      </c>
      <c r="N2800" s="0" t="s">
        <v>2485</v>
      </c>
      <c r="O2800" s="0" t="s">
        <v>425</v>
      </c>
      <c r="Q2800" s="0" t="s">
        <v>130</v>
      </c>
      <c r="R2800" s="0" t="s">
        <v>138</v>
      </c>
      <c r="S2800" s="14">
        <v>0</v>
      </c>
      <c r="T2800" s="0" t="s">
        <v>4412</v>
      </c>
      <c r="U2800" s="0" t="s">
        <v>138</v>
      </c>
      <c r="V2800" s="14" t="s">
        <v>138</v>
      </c>
      <c r="W2800" s="0" t="s">
        <v>138</v>
      </c>
      <c r="X2800" s="14" t="s">
        <v>138</v>
      </c>
      <c r="Y2800" s="0" t="s">
        <v>138</v>
      </c>
      <c r="Z2800" s="14" t="s">
        <v>138</v>
      </c>
      <c r="AA2800" s="0" t="s">
        <v>138</v>
      </c>
      <c r="AB2800" s="14" t="s">
        <v>138</v>
      </c>
      <c r="AD2800" s="0" t="s">
        <v>138</v>
      </c>
      <c r="AF2800" s="0">
        <v>0</v>
      </c>
      <c r="AG2800" s="0">
        <v>0</v>
      </c>
      <c r="AH2800" s="0" t="s">
        <v>140</v>
      </c>
      <c r="AI2800" s="0" t="s">
        <v>138</v>
      </c>
      <c r="AL2800" s="14"/>
      <c r="AN2800" s="14"/>
      <c r="AQ2800" s="0" t="s">
        <v>130</v>
      </c>
      <c r="AR2800" s="0" t="s">
        <v>130</v>
      </c>
      <c r="AS2800" s="0" t="s">
        <v>130</v>
      </c>
      <c r="AT2800" s="0" t="s">
        <v>130</v>
      </c>
      <c r="AU2800" s="0" t="s">
        <v>130</v>
      </c>
      <c r="AV2800" s="0" t="s">
        <v>130</v>
      </c>
      <c r="AW2800" s="0" t="s">
        <v>130</v>
      </c>
      <c r="AX2800" s="0" t="s">
        <v>130</v>
      </c>
      <c r="AY2800" s="0" t="s">
        <v>130</v>
      </c>
      <c r="AZ2800" s="0" t="s">
        <v>130</v>
      </c>
      <c r="BA2800" s="0" t="s">
        <v>130</v>
      </c>
      <c r="BB2800" s="0" t="s">
        <v>130</v>
      </c>
      <c r="BC2800" s="0" t="s">
        <v>130</v>
      </c>
      <c r="BD2800" s="0" t="s">
        <v>130</v>
      </c>
      <c r="BE2800" s="0" t="s">
        <v>130</v>
      </c>
      <c r="BF2800" s="0" t="s">
        <v>130</v>
      </c>
      <c r="BG2800" s="0" t="s">
        <v>130</v>
      </c>
      <c r="BH2800" s="0" t="s">
        <v>130</v>
      </c>
      <c r="BI2800" s="0" t="s">
        <v>130</v>
      </c>
      <c r="BJ2800" s="0" t="s">
        <v>130</v>
      </c>
      <c r="BK2800" s="0" t="s">
        <v>130</v>
      </c>
      <c r="BL2800" s="0" t="s">
        <v>130</v>
      </c>
      <c r="BM2800" s="0" t="s">
        <v>130</v>
      </c>
      <c r="BN2800" s="0" t="s">
        <v>130</v>
      </c>
      <c r="BO2800" s="0" t="s">
        <v>130</v>
      </c>
      <c r="BP2800" s="0" t="s">
        <v>130</v>
      </c>
      <c r="BQ2800" s="0" t="s">
        <v>130</v>
      </c>
      <c r="BR2800" s="0" t="s">
        <v>130</v>
      </c>
      <c r="BS2800" s="0" t="s">
        <v>130</v>
      </c>
      <c r="BT2800" s="0" t="s">
        <v>130</v>
      </c>
      <c r="BU2800" s="0" t="s">
        <v>130</v>
      </c>
      <c r="BV2800" s="0" t="s">
        <v>130</v>
      </c>
      <c r="BW2800" s="0" t="s">
        <v>130</v>
      </c>
      <c r="BX2800" s="0" t="s">
        <v>130</v>
      </c>
      <c r="BY2800" s="0" t="s">
        <v>130</v>
      </c>
      <c r="BZ2800" s="0" t="s">
        <v>130</v>
      </c>
      <c r="CA2800" s="0" t="s">
        <v>130</v>
      </c>
      <c r="CB2800" s="0" t="s">
        <v>130</v>
      </c>
      <c r="CC2800" s="0" t="s">
        <v>130</v>
      </c>
      <c r="CD2800" s="0" t="s">
        <v>130</v>
      </c>
      <c r="CE2800" s="0" t="s">
        <v>130</v>
      </c>
      <c r="CF2800" s="0" t="s">
        <v>130</v>
      </c>
      <c r="CG2800" s="0" t="s">
        <v>130</v>
      </c>
      <c r="CH2800" s="0" t="s">
        <v>130</v>
      </c>
      <c r="CI2800" s="0" t="s">
        <v>130</v>
      </c>
      <c r="CJ2800" s="0" t="s">
        <v>130</v>
      </c>
      <c r="CK2800" s="0" t="s">
        <v>130</v>
      </c>
      <c r="CL2800" s="0" t="s">
        <v>130</v>
      </c>
      <c r="CM2800" s="0" t="s">
        <v>130</v>
      </c>
      <c r="CN2800" s="0" t="s">
        <v>130</v>
      </c>
      <c r="CO2800" s="0" t="s">
        <v>130</v>
      </c>
      <c r="CP2800" s="0" t="s">
        <v>130</v>
      </c>
      <c r="CQ2800" s="0" t="s">
        <v>130</v>
      </c>
      <c r="CR2800" s="0" t="s">
        <v>130</v>
      </c>
      <c r="CS2800" s="0" t="s">
        <v>130</v>
      </c>
      <c r="CT2800" s="0" t="s">
        <v>7564</v>
      </c>
    </row>
    <row r="2801">
      <c r="A2801" s="14">
        <v>115757</v>
      </c>
      <c r="B2801" s="0" t="s">
        <v>2655</v>
      </c>
      <c r="C2801" s="16">
        <f>HYPERLINK("https://eosportal.federatedhermes.com/companies/Q29tcGFueQppNTg5Mjc=", "Volkswagen AG")</f>
      </c>
      <c r="D2801" s="0" t="s">
        <v>25</v>
      </c>
      <c r="E2801" s="0" t="s">
        <v>7565</v>
      </c>
      <c r="F2801" s="16">
        <f>HYPERLINK("https://eosportal.federatedhermes.com/engagements/RW5nYWdlbWVudAppMzg2MDg=", "Cybersecurity issue with plug in chargers")</f>
      </c>
      <c r="G2801" s="14" t="s">
        <v>7566</v>
      </c>
      <c r="H2801" s="0" t="s">
        <v>141</v>
      </c>
      <c r="I2801" s="14" t="s">
        <v>1645</v>
      </c>
      <c r="J2801" s="0" t="s">
        <v>132</v>
      </c>
      <c r="K2801" s="0" t="s">
        <v>260</v>
      </c>
      <c r="L2801" s="0" t="s">
        <v>743</v>
      </c>
      <c r="M2801" s="0" t="s">
        <v>378</v>
      </c>
      <c r="N2801" s="0" t="s">
        <v>2485</v>
      </c>
      <c r="O2801" s="0" t="s">
        <v>425</v>
      </c>
      <c r="Q2801" s="0" t="s">
        <v>130</v>
      </c>
      <c r="R2801" s="0" t="s">
        <v>138</v>
      </c>
      <c r="S2801" s="14">
        <v>0</v>
      </c>
      <c r="T2801" s="0" t="s">
        <v>4412</v>
      </c>
      <c r="U2801" s="0" t="s">
        <v>138</v>
      </c>
      <c r="V2801" s="14" t="s">
        <v>138</v>
      </c>
      <c r="W2801" s="0" t="s">
        <v>138</v>
      </c>
      <c r="X2801" s="14" t="s">
        <v>138</v>
      </c>
      <c r="Y2801" s="0" t="s">
        <v>138</v>
      </c>
      <c r="Z2801" s="14" t="s">
        <v>138</v>
      </c>
      <c r="AA2801" s="0" t="s">
        <v>138</v>
      </c>
      <c r="AB2801" s="14" t="s">
        <v>138</v>
      </c>
      <c r="AD2801" s="0" t="s">
        <v>138</v>
      </c>
      <c r="AF2801" s="0">
        <v>0</v>
      </c>
      <c r="AG2801" s="0">
        <v>0</v>
      </c>
      <c r="AH2801" s="0" t="s">
        <v>140</v>
      </c>
      <c r="AI2801" s="0" t="s">
        <v>138</v>
      </c>
      <c r="AL2801" s="14"/>
      <c r="AN2801" s="14"/>
      <c r="AQ2801" s="0" t="s">
        <v>130</v>
      </c>
      <c r="AR2801" s="0" t="s">
        <v>130</v>
      </c>
      <c r="AS2801" s="0" t="s">
        <v>130</v>
      </c>
      <c r="AT2801" s="0" t="s">
        <v>130</v>
      </c>
      <c r="AU2801" s="0" t="s">
        <v>130</v>
      </c>
      <c r="AV2801" s="0" t="s">
        <v>130</v>
      </c>
      <c r="AW2801" s="0" t="s">
        <v>130</v>
      </c>
      <c r="AX2801" s="0" t="s">
        <v>130</v>
      </c>
      <c r="AY2801" s="0" t="s">
        <v>130</v>
      </c>
      <c r="AZ2801" s="0" t="s">
        <v>130</v>
      </c>
      <c r="BA2801" s="0" t="s">
        <v>130</v>
      </c>
      <c r="BB2801" s="0" t="s">
        <v>130</v>
      </c>
      <c r="BC2801" s="0" t="s">
        <v>130</v>
      </c>
      <c r="BD2801" s="0" t="s">
        <v>130</v>
      </c>
      <c r="BE2801" s="0" t="s">
        <v>130</v>
      </c>
      <c r="BF2801" s="0" t="s">
        <v>130</v>
      </c>
      <c r="BG2801" s="0" t="s">
        <v>130</v>
      </c>
      <c r="BH2801" s="0" t="s">
        <v>130</v>
      </c>
      <c r="BI2801" s="0" t="s">
        <v>130</v>
      </c>
      <c r="BJ2801" s="0" t="s">
        <v>130</v>
      </c>
      <c r="BK2801" s="0" t="s">
        <v>130</v>
      </c>
      <c r="BL2801" s="0" t="s">
        <v>130</v>
      </c>
      <c r="BM2801" s="0" t="s">
        <v>130</v>
      </c>
      <c r="BN2801" s="0" t="s">
        <v>130</v>
      </c>
      <c r="BO2801" s="0" t="s">
        <v>130</v>
      </c>
      <c r="BP2801" s="0" t="s">
        <v>130</v>
      </c>
      <c r="BQ2801" s="0" t="s">
        <v>130</v>
      </c>
      <c r="BR2801" s="0" t="s">
        <v>130</v>
      </c>
      <c r="BS2801" s="0" t="s">
        <v>130</v>
      </c>
      <c r="BT2801" s="0" t="s">
        <v>130</v>
      </c>
      <c r="BU2801" s="0" t="s">
        <v>130</v>
      </c>
      <c r="BV2801" s="0" t="s">
        <v>130</v>
      </c>
      <c r="BW2801" s="0" t="s">
        <v>130</v>
      </c>
      <c r="BX2801" s="0" t="s">
        <v>130</v>
      </c>
      <c r="BY2801" s="0" t="s">
        <v>130</v>
      </c>
      <c r="BZ2801" s="0" t="s">
        <v>130</v>
      </c>
      <c r="CA2801" s="0" t="s">
        <v>130</v>
      </c>
      <c r="CB2801" s="0" t="s">
        <v>130</v>
      </c>
      <c r="CC2801" s="0" t="s">
        <v>130</v>
      </c>
      <c r="CD2801" s="0" t="s">
        <v>130</v>
      </c>
      <c r="CE2801" s="0" t="s">
        <v>130</v>
      </c>
      <c r="CF2801" s="0" t="s">
        <v>130</v>
      </c>
      <c r="CG2801" s="0" t="s">
        <v>130</v>
      </c>
      <c r="CH2801" s="0" t="s">
        <v>130</v>
      </c>
      <c r="CI2801" s="0" t="s">
        <v>130</v>
      </c>
      <c r="CJ2801" s="0" t="s">
        <v>130</v>
      </c>
      <c r="CK2801" s="0" t="s">
        <v>130</v>
      </c>
      <c r="CL2801" s="0" t="s">
        <v>130</v>
      </c>
      <c r="CM2801" s="0" t="s">
        <v>130</v>
      </c>
      <c r="CN2801" s="0" t="s">
        <v>130</v>
      </c>
      <c r="CO2801" s="0" t="s">
        <v>130</v>
      </c>
      <c r="CP2801" s="0" t="s">
        <v>130</v>
      </c>
      <c r="CQ2801" s="0" t="s">
        <v>130</v>
      </c>
      <c r="CR2801" s="0" t="s">
        <v>130</v>
      </c>
      <c r="CS2801" s="0" t="s">
        <v>130</v>
      </c>
      <c r="CT2801" s="0" t="s">
        <v>7567</v>
      </c>
    </row>
    <row r="2802">
      <c r="A2802" s="14">
        <v>115757</v>
      </c>
      <c r="B2802" s="0" t="s">
        <v>2655</v>
      </c>
      <c r="C2802" s="16">
        <f>HYPERLINK("https://eosportal.federatedhermes.com/companies/Q29tcGFueQppNTg5Mjc=", "Volkswagen AG")</f>
      </c>
      <c r="D2802" s="0" t="s">
        <v>25</v>
      </c>
      <c r="E2802" s="0" t="s">
        <v>1542</v>
      </c>
      <c r="F2802" s="16">
        <f>HYPERLINK("https://eosportal.federatedhermes.com/engagements/RW5nYWdlbWVudAppMzg2MDk=", "Just transition")</f>
      </c>
      <c r="G2802" s="14" t="s">
        <v>7568</v>
      </c>
      <c r="H2802" s="0" t="s">
        <v>141</v>
      </c>
      <c r="I2802" s="14" t="s">
        <v>1645</v>
      </c>
      <c r="J2802" s="0" t="s">
        <v>197</v>
      </c>
      <c r="K2802" s="0" t="s">
        <v>198</v>
      </c>
      <c r="L2802" s="0" t="s">
        <v>199</v>
      </c>
      <c r="M2802" s="0" t="s">
        <v>378</v>
      </c>
      <c r="N2802" s="0" t="s">
        <v>2485</v>
      </c>
      <c r="O2802" s="0" t="s">
        <v>425</v>
      </c>
      <c r="Q2802" s="0" t="s">
        <v>141</v>
      </c>
      <c r="R2802" s="0" t="s">
        <v>138</v>
      </c>
      <c r="S2802" s="14">
        <v>1</v>
      </c>
      <c r="T2802" s="0" t="s">
        <v>4412</v>
      </c>
      <c r="U2802" s="0" t="s">
        <v>138</v>
      </c>
      <c r="V2802" s="14" t="s">
        <v>138</v>
      </c>
      <c r="W2802" s="0" t="s">
        <v>138</v>
      </c>
      <c r="X2802" s="14" t="s">
        <v>138</v>
      </c>
      <c r="Y2802" s="0" t="s">
        <v>138</v>
      </c>
      <c r="Z2802" s="14" t="s">
        <v>138</v>
      </c>
      <c r="AA2802" s="0" t="s">
        <v>138</v>
      </c>
      <c r="AB2802" s="14" t="s">
        <v>138</v>
      </c>
      <c r="AD2802" s="0" t="s">
        <v>138</v>
      </c>
      <c r="AF2802" s="0">
        <v>0</v>
      </c>
      <c r="AG2802" s="0">
        <v>0</v>
      </c>
      <c r="AH2802" s="0" t="s">
        <v>140</v>
      </c>
      <c r="AI2802" s="0" t="s">
        <v>138</v>
      </c>
      <c r="AK2802" s="0" t="s">
        <v>413</v>
      </c>
      <c r="AL2802" s="14"/>
      <c r="AN2802" s="14"/>
      <c r="AQ2802" s="0" t="s">
        <v>130</v>
      </c>
      <c r="AR2802" s="0" t="s">
        <v>130</v>
      </c>
      <c r="AS2802" s="0" t="s">
        <v>130</v>
      </c>
      <c r="AT2802" s="0" t="s">
        <v>130</v>
      </c>
      <c r="AU2802" s="0" t="s">
        <v>130</v>
      </c>
      <c r="AV2802" s="0" t="s">
        <v>130</v>
      </c>
      <c r="AW2802" s="0" t="s">
        <v>130</v>
      </c>
      <c r="AX2802" s="0" t="s">
        <v>130</v>
      </c>
      <c r="AY2802" s="0" t="s">
        <v>130</v>
      </c>
      <c r="AZ2802" s="0" t="s">
        <v>130</v>
      </c>
      <c r="BA2802" s="0" t="s">
        <v>130</v>
      </c>
      <c r="BB2802" s="0" t="s">
        <v>141</v>
      </c>
      <c r="BC2802" s="0" t="s">
        <v>130</v>
      </c>
      <c r="BD2802" s="0" t="s">
        <v>130</v>
      </c>
      <c r="BE2802" s="0" t="s">
        <v>130</v>
      </c>
      <c r="BF2802" s="0" t="s">
        <v>130</v>
      </c>
      <c r="BG2802" s="0" t="s">
        <v>130</v>
      </c>
      <c r="BH2802" s="0" t="s">
        <v>130</v>
      </c>
      <c r="BI2802" s="0" t="s">
        <v>130</v>
      </c>
      <c r="BJ2802" s="0" t="s">
        <v>130</v>
      </c>
      <c r="BK2802" s="0" t="s">
        <v>130</v>
      </c>
      <c r="BL2802" s="0" t="s">
        <v>130</v>
      </c>
      <c r="BM2802" s="0" t="s">
        <v>130</v>
      </c>
      <c r="BN2802" s="0" t="s">
        <v>130</v>
      </c>
      <c r="BO2802" s="0" t="s">
        <v>130</v>
      </c>
      <c r="BP2802" s="0" t="s">
        <v>130</v>
      </c>
      <c r="BQ2802" s="0" t="s">
        <v>130</v>
      </c>
      <c r="BR2802" s="0" t="s">
        <v>130</v>
      </c>
      <c r="BS2802" s="0" t="s">
        <v>130</v>
      </c>
      <c r="BT2802" s="0" t="s">
        <v>130</v>
      </c>
      <c r="BU2802" s="0" t="s">
        <v>130</v>
      </c>
      <c r="BV2802" s="0" t="s">
        <v>130</v>
      </c>
      <c r="BW2802" s="0" t="s">
        <v>130</v>
      </c>
      <c r="BX2802" s="0" t="s">
        <v>130</v>
      </c>
      <c r="BY2802" s="0" t="s">
        <v>130</v>
      </c>
      <c r="BZ2802" s="0" t="s">
        <v>130</v>
      </c>
      <c r="CA2802" s="0" t="s">
        <v>130</v>
      </c>
      <c r="CB2802" s="0" t="s">
        <v>130</v>
      </c>
      <c r="CC2802" s="0" t="s">
        <v>130</v>
      </c>
      <c r="CD2802" s="0" t="s">
        <v>130</v>
      </c>
      <c r="CE2802" s="0" t="s">
        <v>130</v>
      </c>
      <c r="CF2802" s="0" t="s">
        <v>130</v>
      </c>
      <c r="CG2802" s="0" t="s">
        <v>130</v>
      </c>
      <c r="CH2802" s="0" t="s">
        <v>130</v>
      </c>
      <c r="CI2802" s="0" t="s">
        <v>130</v>
      </c>
      <c r="CJ2802" s="0" t="s">
        <v>130</v>
      </c>
      <c r="CK2802" s="0" t="s">
        <v>130</v>
      </c>
      <c r="CL2802" s="0" t="s">
        <v>130</v>
      </c>
      <c r="CM2802" s="0" t="s">
        <v>130</v>
      </c>
      <c r="CN2802" s="0" t="s">
        <v>130</v>
      </c>
      <c r="CO2802" s="0" t="s">
        <v>130</v>
      </c>
      <c r="CP2802" s="0" t="s">
        <v>130</v>
      </c>
      <c r="CQ2802" s="0" t="s">
        <v>130</v>
      </c>
      <c r="CR2802" s="0" t="s">
        <v>130</v>
      </c>
      <c r="CS2802" s="0" t="s">
        <v>130</v>
      </c>
      <c r="CT2802" s="0" t="s">
        <v>7569</v>
      </c>
    </row>
    <row r="2803">
      <c r="A2803" s="14">
        <v>115682</v>
      </c>
      <c r="B2803" s="0" t="s">
        <v>2620</v>
      </c>
      <c r="C2803" s="16">
        <f>HYPERLINK("https://eosportal.federatedhermes.com/companies/Q29tcGFueQppNTMxNDc=", "Bayerische Motoren Werke AG (BMW)")</f>
      </c>
      <c r="D2803" s="0" t="s">
        <v>23</v>
      </c>
      <c r="E2803" s="0" t="s">
        <v>7570</v>
      </c>
      <c r="F2803" s="16">
        <f>HYPERLINK("https://eosportal.federatedhermes.com/engagements/RW5nYWdlbWVudAppMzg2MTk=", "Independence of the Supervisory Board")</f>
      </c>
      <c r="G2803" s="14" t="s">
        <v>7571</v>
      </c>
      <c r="H2803" s="0" t="s">
        <v>141</v>
      </c>
      <c r="I2803" s="14" t="s">
        <v>1645</v>
      </c>
      <c r="J2803" s="0" t="s">
        <v>145</v>
      </c>
      <c r="K2803" s="0" t="s">
        <v>164</v>
      </c>
      <c r="L2803" s="0" t="s">
        <v>165</v>
      </c>
      <c r="M2803" s="0" t="s">
        <v>378</v>
      </c>
      <c r="N2803" s="0" t="s">
        <v>2485</v>
      </c>
      <c r="O2803" s="0" t="s">
        <v>425</v>
      </c>
      <c r="Q2803" s="0" t="s">
        <v>130</v>
      </c>
      <c r="R2803" s="0" t="s">
        <v>130</v>
      </c>
      <c r="S2803" s="14">
        <v>0</v>
      </c>
      <c r="T2803" s="0" t="s">
        <v>4412</v>
      </c>
      <c r="U2803" s="0" t="s">
        <v>221</v>
      </c>
      <c r="V2803" s="14" t="s">
        <v>4412</v>
      </c>
      <c r="W2803" s="0" t="s">
        <v>221</v>
      </c>
      <c r="X2803" s="14" t="s">
        <v>4412</v>
      </c>
      <c r="Y2803" s="0" t="s">
        <v>223</v>
      </c>
      <c r="Z2803" s="14" t="s">
        <v>138</v>
      </c>
      <c r="AA2803" s="0" t="s">
        <v>224</v>
      </c>
      <c r="AB2803" s="14" t="s">
        <v>138</v>
      </c>
      <c r="AD2803" s="0" t="s">
        <v>17</v>
      </c>
      <c r="AF2803" s="0">
        <v>0</v>
      </c>
      <c r="AG2803" s="0">
        <v>0</v>
      </c>
      <c r="AH2803" s="0" t="s">
        <v>140</v>
      </c>
      <c r="AI2803" s="0" t="s">
        <v>598</v>
      </c>
      <c r="AL2803" s="14"/>
      <c r="AN2803" s="14"/>
      <c r="AQ2803" s="0" t="s">
        <v>130</v>
      </c>
      <c r="AR2803" s="0" t="s">
        <v>130</v>
      </c>
      <c r="AS2803" s="0" t="s">
        <v>130</v>
      </c>
      <c r="AT2803" s="0" t="s">
        <v>130</v>
      </c>
      <c r="AU2803" s="0" t="s">
        <v>130</v>
      </c>
      <c r="AV2803" s="0" t="s">
        <v>130</v>
      </c>
      <c r="AW2803" s="0" t="s">
        <v>130</v>
      </c>
      <c r="AX2803" s="0" t="s">
        <v>130</v>
      </c>
      <c r="AY2803" s="0" t="s">
        <v>130</v>
      </c>
      <c r="AZ2803" s="0" t="s">
        <v>130</v>
      </c>
      <c r="BA2803" s="0" t="s">
        <v>130</v>
      </c>
      <c r="BB2803" s="0" t="s">
        <v>130</v>
      </c>
      <c r="BC2803" s="0" t="s">
        <v>130</v>
      </c>
      <c r="BD2803" s="0" t="s">
        <v>130</v>
      </c>
      <c r="BE2803" s="0" t="s">
        <v>130</v>
      </c>
      <c r="BF2803" s="0" t="s">
        <v>130</v>
      </c>
      <c r="BG2803" s="0" t="s">
        <v>130</v>
      </c>
      <c r="BH2803" s="0" t="s">
        <v>130</v>
      </c>
      <c r="BI2803" s="0" t="s">
        <v>130</v>
      </c>
      <c r="BJ2803" s="0" t="s">
        <v>130</v>
      </c>
      <c r="BK2803" s="0" t="s">
        <v>130</v>
      </c>
      <c r="BL2803" s="0" t="s">
        <v>130</v>
      </c>
      <c r="BM2803" s="0" t="s">
        <v>130</v>
      </c>
      <c r="BN2803" s="0" t="s">
        <v>130</v>
      </c>
      <c r="BO2803" s="0" t="s">
        <v>130</v>
      </c>
      <c r="BP2803" s="0" t="s">
        <v>130</v>
      </c>
      <c r="BQ2803" s="0" t="s">
        <v>130</v>
      </c>
      <c r="BR2803" s="0" t="s">
        <v>130</v>
      </c>
      <c r="BS2803" s="0" t="s">
        <v>130</v>
      </c>
      <c r="BT2803" s="0" t="s">
        <v>130</v>
      </c>
      <c r="BU2803" s="0" t="s">
        <v>130</v>
      </c>
      <c r="BV2803" s="0" t="s">
        <v>130</v>
      </c>
      <c r="BW2803" s="0" t="s">
        <v>130</v>
      </c>
      <c r="BX2803" s="0" t="s">
        <v>130</v>
      </c>
      <c r="BY2803" s="0" t="s">
        <v>130</v>
      </c>
      <c r="BZ2803" s="0" t="s">
        <v>130</v>
      </c>
      <c r="CA2803" s="0" t="s">
        <v>130</v>
      </c>
      <c r="CB2803" s="0" t="s">
        <v>130</v>
      </c>
      <c r="CC2803" s="0" t="s">
        <v>130</v>
      </c>
      <c r="CD2803" s="0" t="s">
        <v>130</v>
      </c>
      <c r="CE2803" s="0" t="s">
        <v>130</v>
      </c>
      <c r="CF2803" s="0" t="s">
        <v>130</v>
      </c>
      <c r="CG2803" s="0" t="s">
        <v>130</v>
      </c>
      <c r="CH2803" s="0" t="s">
        <v>130</v>
      </c>
      <c r="CI2803" s="0" t="s">
        <v>130</v>
      </c>
      <c r="CJ2803" s="0" t="s">
        <v>130</v>
      </c>
      <c r="CK2803" s="0" t="s">
        <v>130</v>
      </c>
      <c r="CL2803" s="0" t="s">
        <v>130</v>
      </c>
      <c r="CM2803" s="0" t="s">
        <v>130</v>
      </c>
      <c r="CN2803" s="0" t="s">
        <v>130</v>
      </c>
      <c r="CO2803" s="0" t="s">
        <v>130</v>
      </c>
      <c r="CP2803" s="0" t="s">
        <v>130</v>
      </c>
      <c r="CQ2803" s="0" t="s">
        <v>130</v>
      </c>
      <c r="CR2803" s="0" t="s">
        <v>130</v>
      </c>
      <c r="CS2803" s="0" t="s">
        <v>130</v>
      </c>
      <c r="CT2803" s="0" t="s">
        <v>7572</v>
      </c>
    </row>
    <row r="2804">
      <c r="A2804" s="14">
        <v>112647</v>
      </c>
      <c r="B2804" s="0" t="s">
        <v>996</v>
      </c>
      <c r="C2804" s="16">
        <f>HYPERLINK("https://eosportal.federatedhermes.com/companies/Q29tcGFueQppNTIwMTk=", "Origin Energy Ltd")</f>
      </c>
      <c r="D2804" s="0" t="s">
        <v>23</v>
      </c>
      <c r="E2804" s="0" t="s">
        <v>7573</v>
      </c>
      <c r="F2804" s="16">
        <f>HYPERLINK("https://eosportal.federatedhermes.com/engagements/RW5nYWdlbWVudAppMzg2Mzg=", "Establish physical risk adaptation plan")</f>
      </c>
      <c r="G2804" s="14" t="s">
        <v>7574</v>
      </c>
      <c r="H2804" s="0" t="s">
        <v>141</v>
      </c>
      <c r="I2804" s="14" t="s">
        <v>636</v>
      </c>
      <c r="J2804" s="0" t="s">
        <v>197</v>
      </c>
      <c r="K2804" s="0" t="s">
        <v>198</v>
      </c>
      <c r="L2804" s="0" t="s">
        <v>682</v>
      </c>
      <c r="M2804" s="0" t="s">
        <v>371</v>
      </c>
      <c r="N2804" s="0" t="s">
        <v>372</v>
      </c>
      <c r="O2804" s="0" t="s">
        <v>192</v>
      </c>
      <c r="Q2804" s="0" t="s">
        <v>130</v>
      </c>
      <c r="R2804" s="0" t="s">
        <v>130</v>
      </c>
      <c r="S2804" s="14">
        <v>0</v>
      </c>
      <c r="T2804" s="0" t="s">
        <v>4412</v>
      </c>
      <c r="U2804" s="0" t="s">
        <v>221</v>
      </c>
      <c r="V2804" s="14" t="s">
        <v>4412</v>
      </c>
      <c r="W2804" s="0" t="s">
        <v>223</v>
      </c>
      <c r="X2804" s="14" t="s">
        <v>138</v>
      </c>
      <c r="Y2804" s="0" t="s">
        <v>224</v>
      </c>
      <c r="Z2804" s="14" t="s">
        <v>138</v>
      </c>
      <c r="AA2804" s="0" t="s">
        <v>224</v>
      </c>
      <c r="AB2804" s="14" t="s">
        <v>138</v>
      </c>
      <c r="AD2804" s="0" t="s">
        <v>14</v>
      </c>
      <c r="AF2804" s="0">
        <v>0</v>
      </c>
      <c r="AG2804" s="0">
        <v>0</v>
      </c>
      <c r="AH2804" s="0" t="s">
        <v>140</v>
      </c>
      <c r="AI2804" s="0" t="s">
        <v>598</v>
      </c>
      <c r="AL2804" s="14"/>
      <c r="AN2804" s="14"/>
      <c r="AQ2804" s="0" t="s">
        <v>130</v>
      </c>
      <c r="AR2804" s="0" t="s">
        <v>130</v>
      </c>
      <c r="AS2804" s="0" t="s">
        <v>130</v>
      </c>
      <c r="AT2804" s="0" t="s">
        <v>130</v>
      </c>
      <c r="AU2804" s="0" t="s">
        <v>130</v>
      </c>
      <c r="AV2804" s="0" t="s">
        <v>130</v>
      </c>
      <c r="AW2804" s="0" t="s">
        <v>130</v>
      </c>
      <c r="AX2804" s="0" t="s">
        <v>130</v>
      </c>
      <c r="AY2804" s="0" t="s">
        <v>130</v>
      </c>
      <c r="AZ2804" s="0" t="s">
        <v>130</v>
      </c>
      <c r="BA2804" s="0" t="s">
        <v>130</v>
      </c>
      <c r="BB2804" s="0" t="s">
        <v>130</v>
      </c>
      <c r="BC2804" s="0" t="s">
        <v>141</v>
      </c>
      <c r="BD2804" s="0" t="s">
        <v>130</v>
      </c>
      <c r="BE2804" s="0" t="s">
        <v>130</v>
      </c>
      <c r="BF2804" s="0" t="s">
        <v>130</v>
      </c>
      <c r="BG2804" s="0" t="s">
        <v>130</v>
      </c>
      <c r="BH2804" s="0" t="s">
        <v>130</v>
      </c>
      <c r="BI2804" s="0" t="s">
        <v>130</v>
      </c>
      <c r="BJ2804" s="0" t="s">
        <v>130</v>
      </c>
      <c r="BK2804" s="0" t="s">
        <v>130</v>
      </c>
      <c r="BL2804" s="0" t="s">
        <v>130</v>
      </c>
      <c r="BM2804" s="0" t="s">
        <v>130</v>
      </c>
      <c r="BN2804" s="0" t="s">
        <v>130</v>
      </c>
      <c r="BO2804" s="0" t="s">
        <v>130</v>
      </c>
      <c r="BP2804" s="0" t="s">
        <v>130</v>
      </c>
      <c r="BQ2804" s="0" t="s">
        <v>130</v>
      </c>
      <c r="BR2804" s="0" t="s">
        <v>130</v>
      </c>
      <c r="BS2804" s="0" t="s">
        <v>130</v>
      </c>
      <c r="BT2804" s="0" t="s">
        <v>130</v>
      </c>
      <c r="BU2804" s="0" t="s">
        <v>130</v>
      </c>
      <c r="BV2804" s="0" t="s">
        <v>130</v>
      </c>
      <c r="BW2804" s="0" t="s">
        <v>130</v>
      </c>
      <c r="BX2804" s="0" t="s">
        <v>130</v>
      </c>
      <c r="BY2804" s="0" t="s">
        <v>130</v>
      </c>
      <c r="BZ2804" s="0" t="s">
        <v>130</v>
      </c>
      <c r="CA2804" s="0" t="s">
        <v>130</v>
      </c>
      <c r="CB2804" s="0" t="s">
        <v>130</v>
      </c>
      <c r="CC2804" s="0" t="s">
        <v>130</v>
      </c>
      <c r="CD2804" s="0" t="s">
        <v>130</v>
      </c>
      <c r="CE2804" s="0" t="s">
        <v>130</v>
      </c>
      <c r="CF2804" s="0" t="s">
        <v>130</v>
      </c>
      <c r="CG2804" s="0" t="s">
        <v>130</v>
      </c>
      <c r="CH2804" s="0" t="s">
        <v>130</v>
      </c>
      <c r="CI2804" s="0" t="s">
        <v>130</v>
      </c>
      <c r="CJ2804" s="0" t="s">
        <v>130</v>
      </c>
      <c r="CK2804" s="0" t="s">
        <v>130</v>
      </c>
      <c r="CL2804" s="0" t="s">
        <v>130</v>
      </c>
      <c r="CM2804" s="0" t="s">
        <v>130</v>
      </c>
      <c r="CN2804" s="0" t="s">
        <v>130</v>
      </c>
      <c r="CO2804" s="0" t="s">
        <v>130</v>
      </c>
      <c r="CP2804" s="0" t="s">
        <v>130</v>
      </c>
      <c r="CQ2804" s="0" t="s">
        <v>130</v>
      </c>
      <c r="CR2804" s="0" t="s">
        <v>130</v>
      </c>
      <c r="CS2804" s="0" t="s">
        <v>130</v>
      </c>
      <c r="CT2804" s="0" t="s">
        <v>7575</v>
      </c>
    </row>
    <row r="2805">
      <c r="A2805" s="14">
        <v>112647</v>
      </c>
      <c r="B2805" s="0" t="s">
        <v>996</v>
      </c>
      <c r="C2805" s="16">
        <f>HYPERLINK("https://eosportal.federatedhermes.com/companies/Q29tcGFueQppNTIwMTk=", "Origin Energy Ltd")</f>
      </c>
      <c r="D2805" s="0" t="s">
        <v>23</v>
      </c>
      <c r="E2805" s="0" t="s">
        <v>7576</v>
      </c>
      <c r="F2805" s="16">
        <f>HYPERLINK("https://eosportal.federatedhermes.com/engagements/RW5nYWdlbWVudAppMzg2Mzk=", "Adopt best practices in management of cyber security risks")</f>
      </c>
      <c r="G2805" s="14" t="s">
        <v>7577</v>
      </c>
      <c r="H2805" s="0" t="s">
        <v>141</v>
      </c>
      <c r="I2805" s="14" t="s">
        <v>636</v>
      </c>
      <c r="J2805" s="0" t="s">
        <v>132</v>
      </c>
      <c r="K2805" s="0" t="s">
        <v>260</v>
      </c>
      <c r="L2805" s="0" t="s">
        <v>743</v>
      </c>
      <c r="M2805" s="0" t="s">
        <v>371</v>
      </c>
      <c r="N2805" s="0" t="s">
        <v>372</v>
      </c>
      <c r="O2805" s="0" t="s">
        <v>192</v>
      </c>
      <c r="Q2805" s="0" t="s">
        <v>130</v>
      </c>
      <c r="R2805" s="0" t="s">
        <v>130</v>
      </c>
      <c r="S2805" s="14">
        <v>0</v>
      </c>
      <c r="T2805" s="0" t="s">
        <v>4412</v>
      </c>
      <c r="U2805" s="0" t="s">
        <v>221</v>
      </c>
      <c r="V2805" s="14" t="s">
        <v>4412</v>
      </c>
      <c r="W2805" s="0" t="s">
        <v>223</v>
      </c>
      <c r="X2805" s="14" t="s">
        <v>138</v>
      </c>
      <c r="Y2805" s="0" t="s">
        <v>224</v>
      </c>
      <c r="Z2805" s="14" t="s">
        <v>138</v>
      </c>
      <c r="AA2805" s="0" t="s">
        <v>224</v>
      </c>
      <c r="AB2805" s="14" t="s">
        <v>138</v>
      </c>
      <c r="AD2805" s="0" t="s">
        <v>14</v>
      </c>
      <c r="AF2805" s="0">
        <v>0</v>
      </c>
      <c r="AG2805" s="0">
        <v>0</v>
      </c>
      <c r="AH2805" s="0" t="s">
        <v>140</v>
      </c>
      <c r="AI2805" s="0" t="s">
        <v>598</v>
      </c>
      <c r="AL2805" s="14"/>
      <c r="AN2805" s="14"/>
      <c r="AQ2805" s="0" t="s">
        <v>130</v>
      </c>
      <c r="AR2805" s="0" t="s">
        <v>130</v>
      </c>
      <c r="AS2805" s="0" t="s">
        <v>130</v>
      </c>
      <c r="AT2805" s="0" t="s">
        <v>130</v>
      </c>
      <c r="AU2805" s="0" t="s">
        <v>130</v>
      </c>
      <c r="AV2805" s="0" t="s">
        <v>130</v>
      </c>
      <c r="AW2805" s="0" t="s">
        <v>130</v>
      </c>
      <c r="AX2805" s="0" t="s">
        <v>130</v>
      </c>
      <c r="AY2805" s="0" t="s">
        <v>130</v>
      </c>
      <c r="AZ2805" s="0" t="s">
        <v>130</v>
      </c>
      <c r="BA2805" s="0" t="s">
        <v>130</v>
      </c>
      <c r="BB2805" s="0" t="s">
        <v>130</v>
      </c>
      <c r="BC2805" s="0" t="s">
        <v>130</v>
      </c>
      <c r="BD2805" s="0" t="s">
        <v>130</v>
      </c>
      <c r="BE2805" s="0" t="s">
        <v>130</v>
      </c>
      <c r="BF2805" s="0" t="s">
        <v>130</v>
      </c>
      <c r="BG2805" s="0" t="s">
        <v>130</v>
      </c>
      <c r="BH2805" s="0" t="s">
        <v>130</v>
      </c>
      <c r="BI2805" s="0" t="s">
        <v>130</v>
      </c>
      <c r="BJ2805" s="0" t="s">
        <v>130</v>
      </c>
      <c r="BK2805" s="0" t="s">
        <v>130</v>
      </c>
      <c r="BL2805" s="0" t="s">
        <v>130</v>
      </c>
      <c r="BM2805" s="0" t="s">
        <v>130</v>
      </c>
      <c r="BN2805" s="0" t="s">
        <v>130</v>
      </c>
      <c r="BO2805" s="0" t="s">
        <v>130</v>
      </c>
      <c r="BP2805" s="0" t="s">
        <v>130</v>
      </c>
      <c r="BQ2805" s="0" t="s">
        <v>130</v>
      </c>
      <c r="BR2805" s="0" t="s">
        <v>130</v>
      </c>
      <c r="BS2805" s="0" t="s">
        <v>130</v>
      </c>
      <c r="BT2805" s="0" t="s">
        <v>130</v>
      </c>
      <c r="BU2805" s="0" t="s">
        <v>130</v>
      </c>
      <c r="BV2805" s="0" t="s">
        <v>130</v>
      </c>
      <c r="BW2805" s="0" t="s">
        <v>130</v>
      </c>
      <c r="BX2805" s="0" t="s">
        <v>130</v>
      </c>
      <c r="BY2805" s="0" t="s">
        <v>130</v>
      </c>
      <c r="BZ2805" s="0" t="s">
        <v>130</v>
      </c>
      <c r="CA2805" s="0" t="s">
        <v>130</v>
      </c>
      <c r="CB2805" s="0" t="s">
        <v>130</v>
      </c>
      <c r="CC2805" s="0" t="s">
        <v>130</v>
      </c>
      <c r="CD2805" s="0" t="s">
        <v>130</v>
      </c>
      <c r="CE2805" s="0" t="s">
        <v>130</v>
      </c>
      <c r="CF2805" s="0" t="s">
        <v>130</v>
      </c>
      <c r="CG2805" s="0" t="s">
        <v>130</v>
      </c>
      <c r="CH2805" s="0" t="s">
        <v>130</v>
      </c>
      <c r="CI2805" s="0" t="s">
        <v>130</v>
      </c>
      <c r="CJ2805" s="0" t="s">
        <v>130</v>
      </c>
      <c r="CK2805" s="0" t="s">
        <v>130</v>
      </c>
      <c r="CL2805" s="0" t="s">
        <v>130</v>
      </c>
      <c r="CM2805" s="0" t="s">
        <v>130</v>
      </c>
      <c r="CN2805" s="0" t="s">
        <v>130</v>
      </c>
      <c r="CO2805" s="0" t="s">
        <v>130</v>
      </c>
      <c r="CP2805" s="0" t="s">
        <v>130</v>
      </c>
      <c r="CQ2805" s="0" t="s">
        <v>130</v>
      </c>
      <c r="CR2805" s="0" t="s">
        <v>130</v>
      </c>
      <c r="CS2805" s="0" t="s">
        <v>130</v>
      </c>
      <c r="CT2805" s="0" t="s">
        <v>7578</v>
      </c>
    </row>
    <row r="2806">
      <c r="A2806" s="14">
        <v>963610</v>
      </c>
      <c r="B2806" s="0" t="s">
        <v>7579</v>
      </c>
      <c r="C2806" s="16">
        <f>HYPERLINK("https://eosportal.federatedhermes.com/companies/Q29tcGFueQppNzk2OTc=", "Charles River Laboratories International Inc")</f>
      </c>
      <c r="D2806" s="0" t="s">
        <v>25</v>
      </c>
      <c r="E2806" s="0" t="s">
        <v>7580</v>
      </c>
      <c r="F2806" s="16">
        <f>HYPERLINK("https://eosportal.federatedhermes.com/engagements/RW5nYWdlbWVudAppMzg2NjY=", "Animal Testing Alternatives Transition")</f>
      </c>
      <c r="G2806" s="14" t="s">
        <v>7581</v>
      </c>
      <c r="H2806" s="0" t="s">
        <v>130</v>
      </c>
      <c r="I2806" s="14" t="s">
        <v>319</v>
      </c>
      <c r="J2806" s="0" t="s">
        <v>197</v>
      </c>
      <c r="K2806" s="0" t="s">
        <v>337</v>
      </c>
      <c r="L2806" s="0" t="s">
        <v>576</v>
      </c>
      <c r="M2806" s="0" t="s">
        <v>135</v>
      </c>
      <c r="N2806" s="0" t="s">
        <v>136</v>
      </c>
      <c r="O2806" s="0" t="s">
        <v>274</v>
      </c>
      <c r="Q2806" s="0" t="s">
        <v>141</v>
      </c>
      <c r="R2806" s="0" t="s">
        <v>138</v>
      </c>
      <c r="S2806" s="14">
        <v>1</v>
      </c>
      <c r="T2806" s="0" t="s">
        <v>4412</v>
      </c>
      <c r="U2806" s="0" t="s">
        <v>138</v>
      </c>
      <c r="V2806" s="14" t="s">
        <v>138</v>
      </c>
      <c r="W2806" s="0" t="s">
        <v>138</v>
      </c>
      <c r="X2806" s="14" t="s">
        <v>138</v>
      </c>
      <c r="Y2806" s="0" t="s">
        <v>138</v>
      </c>
      <c r="Z2806" s="14" t="s">
        <v>138</v>
      </c>
      <c r="AA2806" s="0" t="s">
        <v>138</v>
      </c>
      <c r="AB2806" s="14" t="s">
        <v>138</v>
      </c>
      <c r="AD2806" s="0" t="s">
        <v>138</v>
      </c>
      <c r="AF2806" s="0">
        <v>0</v>
      </c>
      <c r="AG2806" s="0">
        <v>0</v>
      </c>
      <c r="AH2806" s="0" t="s">
        <v>140</v>
      </c>
      <c r="AI2806" s="0" t="s">
        <v>138</v>
      </c>
      <c r="AK2806" s="0" t="s">
        <v>2263</v>
      </c>
      <c r="AL2806" s="14"/>
      <c r="AN2806" s="14"/>
      <c r="AQ2806" s="0" t="s">
        <v>130</v>
      </c>
      <c r="AR2806" s="0" t="s">
        <v>130</v>
      </c>
      <c r="AS2806" s="0" t="s">
        <v>130</v>
      </c>
      <c r="AT2806" s="0" t="s">
        <v>130</v>
      </c>
      <c r="AU2806" s="0" t="s">
        <v>130</v>
      </c>
      <c r="AV2806" s="0" t="s">
        <v>130</v>
      </c>
      <c r="AW2806" s="0" t="s">
        <v>130</v>
      </c>
      <c r="AX2806" s="0" t="s">
        <v>130</v>
      </c>
      <c r="AY2806" s="0" t="s">
        <v>130</v>
      </c>
      <c r="AZ2806" s="0" t="s">
        <v>130</v>
      </c>
      <c r="BA2806" s="0" t="s">
        <v>130</v>
      </c>
      <c r="BB2806" s="0" t="s">
        <v>141</v>
      </c>
      <c r="BC2806" s="0" t="s">
        <v>130</v>
      </c>
      <c r="BD2806" s="0" t="s">
        <v>130</v>
      </c>
      <c r="BE2806" s="0" t="s">
        <v>141</v>
      </c>
      <c r="BF2806" s="0" t="s">
        <v>130</v>
      </c>
      <c r="BG2806" s="0" t="s">
        <v>130</v>
      </c>
      <c r="BH2806" s="0" t="s">
        <v>130</v>
      </c>
      <c r="BI2806" s="0" t="s">
        <v>130</v>
      </c>
      <c r="BJ2806" s="0" t="s">
        <v>130</v>
      </c>
      <c r="BK2806" s="0" t="s">
        <v>130</v>
      </c>
      <c r="BL2806" s="0" t="s">
        <v>130</v>
      </c>
      <c r="BM2806" s="0" t="s">
        <v>130</v>
      </c>
      <c r="BN2806" s="0" t="s">
        <v>130</v>
      </c>
      <c r="BO2806" s="0" t="s">
        <v>130</v>
      </c>
      <c r="BP2806" s="0" t="s">
        <v>130</v>
      </c>
      <c r="BQ2806" s="0" t="s">
        <v>130</v>
      </c>
      <c r="BR2806" s="0" t="s">
        <v>130</v>
      </c>
      <c r="BS2806" s="0" t="s">
        <v>130</v>
      </c>
      <c r="BT2806" s="0" t="s">
        <v>130</v>
      </c>
      <c r="BU2806" s="0" t="s">
        <v>130</v>
      </c>
      <c r="BV2806" s="0" t="s">
        <v>130</v>
      </c>
      <c r="BW2806" s="0" t="s">
        <v>130</v>
      </c>
      <c r="BX2806" s="0" t="s">
        <v>130</v>
      </c>
      <c r="BY2806" s="0" t="s">
        <v>130</v>
      </c>
      <c r="BZ2806" s="0" t="s">
        <v>130</v>
      </c>
      <c r="CA2806" s="0" t="s">
        <v>130</v>
      </c>
      <c r="CB2806" s="0" t="s">
        <v>130</v>
      </c>
      <c r="CC2806" s="0" t="s">
        <v>130</v>
      </c>
      <c r="CD2806" s="0" t="s">
        <v>130</v>
      </c>
      <c r="CE2806" s="0" t="s">
        <v>130</v>
      </c>
      <c r="CF2806" s="0" t="s">
        <v>130</v>
      </c>
      <c r="CG2806" s="0" t="s">
        <v>130</v>
      </c>
      <c r="CH2806" s="0" t="s">
        <v>130</v>
      </c>
      <c r="CI2806" s="0" t="s">
        <v>130</v>
      </c>
      <c r="CJ2806" s="0" t="s">
        <v>130</v>
      </c>
      <c r="CK2806" s="0" t="s">
        <v>130</v>
      </c>
      <c r="CL2806" s="0" t="s">
        <v>130</v>
      </c>
      <c r="CM2806" s="0" t="s">
        <v>130</v>
      </c>
      <c r="CN2806" s="0" t="s">
        <v>130</v>
      </c>
      <c r="CO2806" s="0" t="s">
        <v>130</v>
      </c>
      <c r="CP2806" s="0" t="s">
        <v>130</v>
      </c>
      <c r="CQ2806" s="0" t="s">
        <v>130</v>
      </c>
      <c r="CR2806" s="0" t="s">
        <v>130</v>
      </c>
      <c r="CS2806" s="0" t="s">
        <v>130</v>
      </c>
      <c r="CT2806" s="0" t="s">
        <v>7582</v>
      </c>
    </row>
    <row r="2807">
      <c r="A2807" s="14">
        <v>18302043</v>
      </c>
      <c r="B2807" s="0" t="s">
        <v>4424</v>
      </c>
      <c r="C2807" s="16">
        <f>HYPERLINK("https://eosportal.federatedhermes.com/companies/Q29tcGFueQppNTg5ODI=", "Kinder Morgan Inc")</f>
      </c>
      <c r="D2807" s="0" t="s">
        <v>23</v>
      </c>
      <c r="E2807" s="0" t="s">
        <v>7583</v>
      </c>
      <c r="F2807" s="16">
        <f>HYPERLINK("https://eosportal.federatedhermes.com/engagements/RW5nYWdlbWVudAppMzg2ODc=", "third-party board effectiveness disclosure")</f>
      </c>
      <c r="G2807" s="14" t="s">
        <v>7584</v>
      </c>
      <c r="H2807" s="0" t="s">
        <v>141</v>
      </c>
      <c r="I2807" s="14" t="s">
        <v>191</v>
      </c>
      <c r="J2807" s="0" t="s">
        <v>145</v>
      </c>
      <c r="K2807" s="0" t="s">
        <v>164</v>
      </c>
      <c r="L2807" s="0" t="s">
        <v>970</v>
      </c>
      <c r="M2807" s="0" t="s">
        <v>135</v>
      </c>
      <c r="N2807" s="0" t="s">
        <v>136</v>
      </c>
      <c r="O2807" s="0" t="s">
        <v>542</v>
      </c>
      <c r="Q2807" s="0" t="s">
        <v>130</v>
      </c>
      <c r="R2807" s="0" t="s">
        <v>130</v>
      </c>
      <c r="S2807" s="14">
        <v>0</v>
      </c>
      <c r="T2807" s="0" t="s">
        <v>4412</v>
      </c>
      <c r="U2807" s="0" t="s">
        <v>221</v>
      </c>
      <c r="V2807" s="14" t="s">
        <v>4412</v>
      </c>
      <c r="W2807" s="0" t="s">
        <v>221</v>
      </c>
      <c r="X2807" s="14" t="s">
        <v>4412</v>
      </c>
      <c r="Y2807" s="0" t="s">
        <v>223</v>
      </c>
      <c r="Z2807" s="14" t="s">
        <v>138</v>
      </c>
      <c r="AA2807" s="0" t="s">
        <v>224</v>
      </c>
      <c r="AB2807" s="14" t="s">
        <v>138</v>
      </c>
      <c r="AD2807" s="0" t="s">
        <v>17</v>
      </c>
      <c r="AF2807" s="0">
        <v>0</v>
      </c>
      <c r="AG2807" s="0">
        <v>0</v>
      </c>
      <c r="AH2807" s="0" t="s">
        <v>140</v>
      </c>
      <c r="AI2807" s="0" t="s">
        <v>598</v>
      </c>
      <c r="AL2807" s="14"/>
      <c r="AN2807" s="14"/>
      <c r="AQ2807" s="0" t="s">
        <v>130</v>
      </c>
      <c r="AR2807" s="0" t="s">
        <v>130</v>
      </c>
      <c r="AS2807" s="0" t="s">
        <v>130</v>
      </c>
      <c r="AT2807" s="0" t="s">
        <v>130</v>
      </c>
      <c r="AU2807" s="0" t="s">
        <v>130</v>
      </c>
      <c r="AV2807" s="0" t="s">
        <v>130</v>
      </c>
      <c r="AW2807" s="0" t="s">
        <v>130</v>
      </c>
      <c r="AX2807" s="0" t="s">
        <v>130</v>
      </c>
      <c r="AY2807" s="0" t="s">
        <v>130</v>
      </c>
      <c r="AZ2807" s="0" t="s">
        <v>130</v>
      </c>
      <c r="BA2807" s="0" t="s">
        <v>130</v>
      </c>
      <c r="BB2807" s="0" t="s">
        <v>130</v>
      </c>
      <c r="BC2807" s="0" t="s">
        <v>130</v>
      </c>
      <c r="BD2807" s="0" t="s">
        <v>130</v>
      </c>
      <c r="BE2807" s="0" t="s">
        <v>130</v>
      </c>
      <c r="BF2807" s="0" t="s">
        <v>130</v>
      </c>
      <c r="BG2807" s="0" t="s">
        <v>130</v>
      </c>
      <c r="BH2807" s="0" t="s">
        <v>130</v>
      </c>
      <c r="BI2807" s="0" t="s">
        <v>130</v>
      </c>
      <c r="BJ2807" s="0" t="s">
        <v>130</v>
      </c>
      <c r="BK2807" s="0" t="s">
        <v>130</v>
      </c>
      <c r="BL2807" s="0" t="s">
        <v>130</v>
      </c>
      <c r="BM2807" s="0" t="s">
        <v>130</v>
      </c>
      <c r="BN2807" s="0" t="s">
        <v>130</v>
      </c>
      <c r="BO2807" s="0" t="s">
        <v>130</v>
      </c>
      <c r="BP2807" s="0" t="s">
        <v>130</v>
      </c>
      <c r="BQ2807" s="0" t="s">
        <v>130</v>
      </c>
      <c r="BR2807" s="0" t="s">
        <v>130</v>
      </c>
      <c r="BS2807" s="0" t="s">
        <v>130</v>
      </c>
      <c r="BT2807" s="0" t="s">
        <v>130</v>
      </c>
      <c r="BU2807" s="0" t="s">
        <v>130</v>
      </c>
      <c r="BV2807" s="0" t="s">
        <v>130</v>
      </c>
      <c r="BW2807" s="0" t="s">
        <v>130</v>
      </c>
      <c r="BX2807" s="0" t="s">
        <v>130</v>
      </c>
      <c r="BY2807" s="0" t="s">
        <v>130</v>
      </c>
      <c r="BZ2807" s="0" t="s">
        <v>130</v>
      </c>
      <c r="CA2807" s="0" t="s">
        <v>130</v>
      </c>
      <c r="CB2807" s="0" t="s">
        <v>130</v>
      </c>
      <c r="CC2807" s="0" t="s">
        <v>130</v>
      </c>
      <c r="CD2807" s="0" t="s">
        <v>130</v>
      </c>
      <c r="CE2807" s="0" t="s">
        <v>130</v>
      </c>
      <c r="CF2807" s="0" t="s">
        <v>130</v>
      </c>
      <c r="CG2807" s="0" t="s">
        <v>130</v>
      </c>
      <c r="CH2807" s="0" t="s">
        <v>130</v>
      </c>
      <c r="CI2807" s="0" t="s">
        <v>130</v>
      </c>
      <c r="CJ2807" s="0" t="s">
        <v>130</v>
      </c>
      <c r="CK2807" s="0" t="s">
        <v>130</v>
      </c>
      <c r="CL2807" s="0" t="s">
        <v>130</v>
      </c>
      <c r="CM2807" s="0" t="s">
        <v>130</v>
      </c>
      <c r="CN2807" s="0" t="s">
        <v>130</v>
      </c>
      <c r="CO2807" s="0" t="s">
        <v>130</v>
      </c>
      <c r="CP2807" s="0" t="s">
        <v>130</v>
      </c>
      <c r="CQ2807" s="0" t="s">
        <v>130</v>
      </c>
      <c r="CR2807" s="0" t="s">
        <v>130</v>
      </c>
      <c r="CS2807" s="0" t="s">
        <v>130</v>
      </c>
      <c r="CT2807" s="0" t="s">
        <v>7585</v>
      </c>
    </row>
    <row r="2808">
      <c r="A2808" s="14">
        <v>815394</v>
      </c>
      <c r="B2808" s="0" t="s">
        <v>3281</v>
      </c>
      <c r="C2808" s="16">
        <f>HYPERLINK("https://eosportal.federatedhermes.com/companies/Q29tcGFueQppODA0ODY=", "Veolia Environnement SA")</f>
      </c>
      <c r="D2808" s="0" t="s">
        <v>25</v>
      </c>
      <c r="E2808" s="0" t="s">
        <v>7586</v>
      </c>
      <c r="F2808" s="16">
        <f>HYPERLINK("https://eosportal.federatedhermes.com/engagements/RW5nYWdlbWVudAppMzg2OTg=", "Pollution at Colombian wetlands")</f>
      </c>
      <c r="G2808" s="14" t="s">
        <v>7587</v>
      </c>
      <c r="H2808" s="0" t="s">
        <v>130</v>
      </c>
      <c r="I2808" s="14" t="s">
        <v>131</v>
      </c>
      <c r="J2808" s="0" t="s">
        <v>197</v>
      </c>
      <c r="K2808" s="0" t="s">
        <v>348</v>
      </c>
      <c r="L2808" s="0" t="s">
        <v>650</v>
      </c>
      <c r="M2808" s="0" t="s">
        <v>378</v>
      </c>
      <c r="N2808" s="0" t="s">
        <v>1646</v>
      </c>
      <c r="O2808" s="0" t="s">
        <v>192</v>
      </c>
      <c r="Q2808" s="0" t="s">
        <v>130</v>
      </c>
      <c r="R2808" s="0" t="s">
        <v>138</v>
      </c>
      <c r="S2808" s="14">
        <v>0</v>
      </c>
      <c r="T2808" s="0" t="s">
        <v>4412</v>
      </c>
      <c r="U2808" s="0" t="s">
        <v>138</v>
      </c>
      <c r="V2808" s="14" t="s">
        <v>138</v>
      </c>
      <c r="W2808" s="0" t="s">
        <v>138</v>
      </c>
      <c r="X2808" s="14" t="s">
        <v>138</v>
      </c>
      <c r="Y2808" s="0" t="s">
        <v>138</v>
      </c>
      <c r="Z2808" s="14" t="s">
        <v>138</v>
      </c>
      <c r="AA2808" s="0" t="s">
        <v>138</v>
      </c>
      <c r="AB2808" s="14" t="s">
        <v>138</v>
      </c>
      <c r="AD2808" s="0" t="s">
        <v>138</v>
      </c>
      <c r="AF2808" s="0">
        <v>0</v>
      </c>
      <c r="AG2808" s="0">
        <v>0</v>
      </c>
      <c r="AH2808" s="0" t="s">
        <v>140</v>
      </c>
      <c r="AI2808" s="0" t="s">
        <v>138</v>
      </c>
      <c r="AL2808" s="14"/>
      <c r="AN2808" s="14"/>
      <c r="AQ2808" s="0" t="s">
        <v>130</v>
      </c>
      <c r="AR2808" s="0" t="s">
        <v>130</v>
      </c>
      <c r="AS2808" s="0" t="s">
        <v>141</v>
      </c>
      <c r="AT2808" s="0" t="s">
        <v>130</v>
      </c>
      <c r="AU2808" s="0" t="s">
        <v>130</v>
      </c>
      <c r="AV2808" s="0" t="s">
        <v>141</v>
      </c>
      <c r="AW2808" s="0" t="s">
        <v>130</v>
      </c>
      <c r="AX2808" s="0" t="s">
        <v>130</v>
      </c>
      <c r="AY2808" s="0" t="s">
        <v>130</v>
      </c>
      <c r="AZ2808" s="0" t="s">
        <v>130</v>
      </c>
      <c r="BA2808" s="0" t="s">
        <v>141</v>
      </c>
      <c r="BB2808" s="0" t="s">
        <v>130</v>
      </c>
      <c r="BC2808" s="0" t="s">
        <v>130</v>
      </c>
      <c r="BD2808" s="0" t="s">
        <v>130</v>
      </c>
      <c r="BE2808" s="0" t="s">
        <v>130</v>
      </c>
      <c r="BF2808" s="0" t="s">
        <v>130</v>
      </c>
      <c r="BG2808" s="0" t="s">
        <v>130</v>
      </c>
      <c r="BH2808" s="0" t="s">
        <v>130</v>
      </c>
      <c r="BI2808" s="0" t="s">
        <v>130</v>
      </c>
      <c r="BJ2808" s="0" t="s">
        <v>130</v>
      </c>
      <c r="BK2808" s="0" t="s">
        <v>130</v>
      </c>
      <c r="BL2808" s="0" t="s">
        <v>130</v>
      </c>
      <c r="BM2808" s="0" t="s">
        <v>130</v>
      </c>
      <c r="BN2808" s="0" t="s">
        <v>141</v>
      </c>
      <c r="BO2808" s="0" t="s">
        <v>141</v>
      </c>
      <c r="BP2808" s="0" t="s">
        <v>141</v>
      </c>
      <c r="BQ2808" s="0" t="s">
        <v>130</v>
      </c>
      <c r="BR2808" s="0" t="s">
        <v>130</v>
      </c>
      <c r="BS2808" s="0" t="s">
        <v>141</v>
      </c>
      <c r="BT2808" s="0" t="s">
        <v>130</v>
      </c>
      <c r="BU2808" s="0" t="s">
        <v>130</v>
      </c>
      <c r="BV2808" s="0" t="s">
        <v>130</v>
      </c>
      <c r="BW2808" s="0" t="s">
        <v>130</v>
      </c>
      <c r="BX2808" s="0" t="s">
        <v>130</v>
      </c>
      <c r="BY2808" s="0" t="s">
        <v>130</v>
      </c>
      <c r="BZ2808" s="0" t="s">
        <v>130</v>
      </c>
      <c r="CA2808" s="0" t="s">
        <v>130</v>
      </c>
      <c r="CB2808" s="0" t="s">
        <v>130</v>
      </c>
      <c r="CC2808" s="0" t="s">
        <v>130</v>
      </c>
      <c r="CD2808" s="0" t="s">
        <v>130</v>
      </c>
      <c r="CE2808" s="0" t="s">
        <v>130</v>
      </c>
      <c r="CF2808" s="0" t="s">
        <v>130</v>
      </c>
      <c r="CG2808" s="0" t="s">
        <v>130</v>
      </c>
      <c r="CH2808" s="0" t="s">
        <v>130</v>
      </c>
      <c r="CI2808" s="0" t="s">
        <v>130</v>
      </c>
      <c r="CJ2808" s="0" t="s">
        <v>130</v>
      </c>
      <c r="CK2808" s="0" t="s">
        <v>130</v>
      </c>
      <c r="CL2808" s="0" t="s">
        <v>130</v>
      </c>
      <c r="CM2808" s="0" t="s">
        <v>130</v>
      </c>
      <c r="CN2808" s="0" t="s">
        <v>130</v>
      </c>
      <c r="CO2808" s="0" t="s">
        <v>130</v>
      </c>
      <c r="CP2808" s="0" t="s">
        <v>130</v>
      </c>
      <c r="CQ2808" s="0" t="s">
        <v>130</v>
      </c>
      <c r="CR2808" s="0" t="s">
        <v>130</v>
      </c>
      <c r="CS2808" s="0" t="s">
        <v>130</v>
      </c>
      <c r="CT2808" s="0" t="s">
        <v>7588</v>
      </c>
    </row>
    <row r="2809">
      <c r="A2809" s="14">
        <v>18154628</v>
      </c>
      <c r="B2809" s="0" t="s">
        <v>4393</v>
      </c>
      <c r="C2809" s="16">
        <f>HYPERLINK("https://eosportal.federatedhermes.com/companies/Q29tcGFueQppODUyMTU=", "AIA Group Ltd")</f>
      </c>
      <c r="D2809" s="0" t="s">
        <v>25</v>
      </c>
      <c r="E2809" s="0" t="s">
        <v>3027</v>
      </c>
      <c r="F2809" s="16">
        <f>HYPERLINK("https://eosportal.federatedhermes.com/engagements/RW5nYWdlbWVudAppMzg3Mzc=", "Board gender diversity")</f>
      </c>
      <c r="G2809" s="14" t="s">
        <v>7589</v>
      </c>
      <c r="H2809" s="0" t="s">
        <v>141</v>
      </c>
      <c r="I2809" s="14" t="s">
        <v>131</v>
      </c>
      <c r="J2809" s="0" t="s">
        <v>145</v>
      </c>
      <c r="K2809" s="0" t="s">
        <v>164</v>
      </c>
      <c r="L2809" s="0" t="s">
        <v>165</v>
      </c>
      <c r="M2809" s="0" t="s">
        <v>802</v>
      </c>
      <c r="N2809" s="0" t="s">
        <v>803</v>
      </c>
      <c r="O2809" s="0" t="s">
        <v>238</v>
      </c>
      <c r="Q2809" s="0" t="s">
        <v>130</v>
      </c>
      <c r="R2809" s="0" t="s">
        <v>138</v>
      </c>
      <c r="S2809" s="14">
        <v>0</v>
      </c>
      <c r="T2809" s="0" t="s">
        <v>4412</v>
      </c>
      <c r="U2809" s="0" t="s">
        <v>138</v>
      </c>
      <c r="V2809" s="14" t="s">
        <v>138</v>
      </c>
      <c r="W2809" s="0" t="s">
        <v>138</v>
      </c>
      <c r="X2809" s="14" t="s">
        <v>138</v>
      </c>
      <c r="Y2809" s="0" t="s">
        <v>138</v>
      </c>
      <c r="Z2809" s="14" t="s">
        <v>138</v>
      </c>
      <c r="AA2809" s="0" t="s">
        <v>138</v>
      </c>
      <c r="AB2809" s="14" t="s">
        <v>138</v>
      </c>
      <c r="AD2809" s="0" t="s">
        <v>138</v>
      </c>
      <c r="AF2809" s="0">
        <v>0</v>
      </c>
      <c r="AG2809" s="0">
        <v>0</v>
      </c>
      <c r="AH2809" s="0" t="s">
        <v>140</v>
      </c>
      <c r="AI2809" s="0" t="s">
        <v>138</v>
      </c>
      <c r="AL2809" s="14"/>
      <c r="AN2809" s="14"/>
      <c r="AQ2809" s="0" t="s">
        <v>130</v>
      </c>
      <c r="AR2809" s="0" t="s">
        <v>130</v>
      </c>
      <c r="AS2809" s="0" t="s">
        <v>130</v>
      </c>
      <c r="AT2809" s="0" t="s">
        <v>130</v>
      </c>
      <c r="AU2809" s="0" t="s">
        <v>141</v>
      </c>
      <c r="AV2809" s="0" t="s">
        <v>130</v>
      </c>
      <c r="AW2809" s="0" t="s">
        <v>130</v>
      </c>
      <c r="AX2809" s="0" t="s">
        <v>130</v>
      </c>
      <c r="AY2809" s="0" t="s">
        <v>130</v>
      </c>
      <c r="AZ2809" s="0" t="s">
        <v>130</v>
      </c>
      <c r="BA2809" s="0" t="s">
        <v>130</v>
      </c>
      <c r="BB2809" s="0" t="s">
        <v>130</v>
      </c>
      <c r="BC2809" s="0" t="s">
        <v>130</v>
      </c>
      <c r="BD2809" s="0" t="s">
        <v>130</v>
      </c>
      <c r="BE2809" s="0" t="s">
        <v>130</v>
      </c>
      <c r="BF2809" s="0" t="s">
        <v>130</v>
      </c>
      <c r="BG2809" s="0" t="s">
        <v>130</v>
      </c>
      <c r="BH2809" s="0" t="s">
        <v>130</v>
      </c>
      <c r="BI2809" s="0" t="s">
        <v>130</v>
      </c>
      <c r="BJ2809" s="0" t="s">
        <v>130</v>
      </c>
      <c r="BK2809" s="0" t="s">
        <v>130</v>
      </c>
      <c r="BL2809" s="0" t="s">
        <v>130</v>
      </c>
      <c r="BM2809" s="0" t="s">
        <v>130</v>
      </c>
      <c r="BN2809" s="0" t="s">
        <v>130</v>
      </c>
      <c r="BO2809" s="0" t="s">
        <v>130</v>
      </c>
      <c r="BP2809" s="0" t="s">
        <v>130</v>
      </c>
      <c r="BQ2809" s="0" t="s">
        <v>141</v>
      </c>
      <c r="BR2809" s="0" t="s">
        <v>130</v>
      </c>
      <c r="BS2809" s="0" t="s">
        <v>130</v>
      </c>
      <c r="BT2809" s="0" t="s">
        <v>130</v>
      </c>
      <c r="BU2809" s="0" t="s">
        <v>130</v>
      </c>
      <c r="BV2809" s="0" t="s">
        <v>130</v>
      </c>
      <c r="BW2809" s="0" t="s">
        <v>130</v>
      </c>
      <c r="BX2809" s="0" t="s">
        <v>130</v>
      </c>
      <c r="BY2809" s="0" t="s">
        <v>130</v>
      </c>
      <c r="BZ2809" s="0" t="s">
        <v>130</v>
      </c>
      <c r="CA2809" s="0" t="s">
        <v>130</v>
      </c>
      <c r="CB2809" s="0" t="s">
        <v>130</v>
      </c>
      <c r="CC2809" s="0" t="s">
        <v>130</v>
      </c>
      <c r="CD2809" s="0" t="s">
        <v>130</v>
      </c>
      <c r="CE2809" s="0" t="s">
        <v>130</v>
      </c>
      <c r="CF2809" s="0" t="s">
        <v>130</v>
      </c>
      <c r="CG2809" s="0" t="s">
        <v>130</v>
      </c>
      <c r="CH2809" s="0" t="s">
        <v>130</v>
      </c>
      <c r="CI2809" s="0" t="s">
        <v>130</v>
      </c>
      <c r="CJ2809" s="0" t="s">
        <v>130</v>
      </c>
      <c r="CK2809" s="0" t="s">
        <v>130</v>
      </c>
      <c r="CL2809" s="0" t="s">
        <v>130</v>
      </c>
      <c r="CM2809" s="0" t="s">
        <v>130</v>
      </c>
      <c r="CN2809" s="0" t="s">
        <v>130</v>
      </c>
      <c r="CO2809" s="0" t="s">
        <v>130</v>
      </c>
      <c r="CP2809" s="0" t="s">
        <v>130</v>
      </c>
      <c r="CQ2809" s="0" t="s">
        <v>130</v>
      </c>
      <c r="CR2809" s="0" t="s">
        <v>130</v>
      </c>
      <c r="CS2809" s="0" t="s">
        <v>130</v>
      </c>
      <c r="CT2809" s="0" t="s">
        <v>7590</v>
      </c>
    </row>
    <row r="2810">
      <c r="A2810" s="14">
        <v>101095</v>
      </c>
      <c r="B2810" s="0" t="s">
        <v>1337</v>
      </c>
      <c r="C2810" s="16">
        <f>HYPERLINK("https://eosportal.federatedhermes.com/companies/Q29tcGFueQppNDk4MzA=", "Novo Nordisk A/S")</f>
      </c>
      <c r="D2810" s="0" t="s">
        <v>25</v>
      </c>
      <c r="E2810" s="0" t="s">
        <v>7591</v>
      </c>
      <c r="F2810" s="16">
        <f>HYPERLINK("https://eosportal.federatedhermes.com/engagements/RW5nYWdlbWVudAppMzg3NTk=", "Artificial Intelligence (AI)")</f>
      </c>
      <c r="G2810" s="14" t="s">
        <v>7592</v>
      </c>
      <c r="H2810" s="0" t="s">
        <v>141</v>
      </c>
      <c r="I2810" s="14" t="s">
        <v>131</v>
      </c>
      <c r="J2810" s="0" t="s">
        <v>153</v>
      </c>
      <c r="K2810" s="0" t="s">
        <v>243</v>
      </c>
      <c r="L2810" s="0" t="s">
        <v>537</v>
      </c>
      <c r="M2810" s="0" t="s">
        <v>378</v>
      </c>
      <c r="N2810" s="0" t="s">
        <v>1339</v>
      </c>
      <c r="O2810" s="0" t="s">
        <v>274</v>
      </c>
      <c r="Q2810" s="0" t="s">
        <v>130</v>
      </c>
      <c r="R2810" s="0" t="s">
        <v>138</v>
      </c>
      <c r="S2810" s="14">
        <v>0</v>
      </c>
      <c r="T2810" s="0" t="s">
        <v>4412</v>
      </c>
      <c r="U2810" s="0" t="s">
        <v>138</v>
      </c>
      <c r="V2810" s="14" t="s">
        <v>138</v>
      </c>
      <c r="W2810" s="0" t="s">
        <v>138</v>
      </c>
      <c r="X2810" s="14" t="s">
        <v>138</v>
      </c>
      <c r="Y2810" s="0" t="s">
        <v>138</v>
      </c>
      <c r="Z2810" s="14" t="s">
        <v>138</v>
      </c>
      <c r="AA2810" s="0" t="s">
        <v>138</v>
      </c>
      <c r="AB2810" s="14" t="s">
        <v>138</v>
      </c>
      <c r="AD2810" s="0" t="s">
        <v>138</v>
      </c>
      <c r="AF2810" s="0">
        <v>0</v>
      </c>
      <c r="AG2810" s="0">
        <v>0</v>
      </c>
      <c r="AH2810" s="0" t="s">
        <v>140</v>
      </c>
      <c r="AI2810" s="0" t="s">
        <v>138</v>
      </c>
      <c r="AL2810" s="14"/>
      <c r="AN2810" s="14"/>
      <c r="AQ2810" s="0" t="s">
        <v>130</v>
      </c>
      <c r="AR2810" s="0" t="s">
        <v>130</v>
      </c>
      <c r="AS2810" s="0" t="s">
        <v>130</v>
      </c>
      <c r="AT2810" s="0" t="s">
        <v>130</v>
      </c>
      <c r="AU2810" s="0" t="s">
        <v>130</v>
      </c>
      <c r="AV2810" s="0" t="s">
        <v>130</v>
      </c>
      <c r="AW2810" s="0" t="s">
        <v>130</v>
      </c>
      <c r="AX2810" s="0" t="s">
        <v>130</v>
      </c>
      <c r="AY2810" s="0" t="s">
        <v>130</v>
      </c>
      <c r="AZ2810" s="0" t="s">
        <v>130</v>
      </c>
      <c r="BA2810" s="0" t="s">
        <v>130</v>
      </c>
      <c r="BB2810" s="0" t="s">
        <v>130</v>
      </c>
      <c r="BC2810" s="0" t="s">
        <v>130</v>
      </c>
      <c r="BD2810" s="0" t="s">
        <v>130</v>
      </c>
      <c r="BE2810" s="0" t="s">
        <v>130</v>
      </c>
      <c r="BF2810" s="0" t="s">
        <v>141</v>
      </c>
      <c r="BG2810" s="0" t="s">
        <v>130</v>
      </c>
      <c r="BH2810" s="0" t="s">
        <v>130</v>
      </c>
      <c r="BI2810" s="0" t="s">
        <v>130</v>
      </c>
      <c r="BJ2810" s="0" t="s">
        <v>130</v>
      </c>
      <c r="BK2810" s="0" t="s">
        <v>130</v>
      </c>
      <c r="BL2810" s="0" t="s">
        <v>130</v>
      </c>
      <c r="BM2810" s="0" t="s">
        <v>130</v>
      </c>
      <c r="BN2810" s="0" t="s">
        <v>130</v>
      </c>
      <c r="BO2810" s="0" t="s">
        <v>130</v>
      </c>
      <c r="BP2810" s="0" t="s">
        <v>130</v>
      </c>
      <c r="BQ2810" s="0" t="s">
        <v>130</v>
      </c>
      <c r="BR2810" s="0" t="s">
        <v>130</v>
      </c>
      <c r="BS2810" s="0" t="s">
        <v>130</v>
      </c>
      <c r="BT2810" s="0" t="s">
        <v>130</v>
      </c>
      <c r="BU2810" s="0" t="s">
        <v>130</v>
      </c>
      <c r="BV2810" s="0" t="s">
        <v>130</v>
      </c>
      <c r="BW2810" s="0" t="s">
        <v>130</v>
      </c>
      <c r="BX2810" s="0" t="s">
        <v>130</v>
      </c>
      <c r="BY2810" s="0" t="s">
        <v>130</v>
      </c>
      <c r="BZ2810" s="0" t="s">
        <v>130</v>
      </c>
      <c r="CA2810" s="0" t="s">
        <v>130</v>
      </c>
      <c r="CB2810" s="0" t="s">
        <v>130</v>
      </c>
      <c r="CC2810" s="0" t="s">
        <v>130</v>
      </c>
      <c r="CD2810" s="0" t="s">
        <v>130</v>
      </c>
      <c r="CE2810" s="0" t="s">
        <v>130</v>
      </c>
      <c r="CF2810" s="0" t="s">
        <v>130</v>
      </c>
      <c r="CG2810" s="0" t="s">
        <v>130</v>
      </c>
      <c r="CH2810" s="0" t="s">
        <v>130</v>
      </c>
      <c r="CI2810" s="0" t="s">
        <v>130</v>
      </c>
      <c r="CJ2810" s="0" t="s">
        <v>130</v>
      </c>
      <c r="CK2810" s="0" t="s">
        <v>130</v>
      </c>
      <c r="CL2810" s="0" t="s">
        <v>130</v>
      </c>
      <c r="CM2810" s="0" t="s">
        <v>130</v>
      </c>
      <c r="CN2810" s="0" t="s">
        <v>130</v>
      </c>
      <c r="CO2810" s="0" t="s">
        <v>130</v>
      </c>
      <c r="CP2810" s="0" t="s">
        <v>130</v>
      </c>
      <c r="CQ2810" s="0" t="s">
        <v>130</v>
      </c>
      <c r="CR2810" s="0" t="s">
        <v>130</v>
      </c>
      <c r="CS2810" s="0" t="s">
        <v>130</v>
      </c>
      <c r="CT2810" s="0" t="s">
        <v>7593</v>
      </c>
    </row>
    <row r="2811">
      <c r="A2811" s="14">
        <v>101034</v>
      </c>
      <c r="B2811" s="0" t="s">
        <v>1164</v>
      </c>
      <c r="C2811" s="16">
        <f>HYPERLINK("https://eosportal.federatedhermes.com/companies/Q29tcGFueQppNTg5NTM=", "National Australia Bank Ltd")</f>
      </c>
      <c r="D2811" s="0" t="s">
        <v>23</v>
      </c>
      <c r="E2811" s="0" t="s">
        <v>7594</v>
      </c>
      <c r="F2811" s="16">
        <f>HYPERLINK("https://eosportal.federatedhermes.com/engagements/RW5nYWdlbWVudAppMzg5OTM=", "Forward-looking assumptions in financial statements")</f>
      </c>
      <c r="G2811" s="14" t="s">
        <v>7595</v>
      </c>
      <c r="H2811" s="0" t="s">
        <v>141</v>
      </c>
      <c r="I2811" s="14" t="s">
        <v>131</v>
      </c>
      <c r="J2811" s="0" t="s">
        <v>197</v>
      </c>
      <c r="K2811" s="0" t="s">
        <v>198</v>
      </c>
      <c r="L2811" s="0" t="s">
        <v>199</v>
      </c>
      <c r="M2811" s="0" t="s">
        <v>371</v>
      </c>
      <c r="N2811" s="0" t="s">
        <v>372</v>
      </c>
      <c r="O2811" s="0" t="s">
        <v>238</v>
      </c>
      <c r="Q2811" s="0" t="s">
        <v>141</v>
      </c>
      <c r="R2811" s="0" t="s">
        <v>130</v>
      </c>
      <c r="S2811" s="14">
        <v>1</v>
      </c>
      <c r="T2811" s="0" t="s">
        <v>4412</v>
      </c>
      <c r="U2811" s="0" t="s">
        <v>221</v>
      </c>
      <c r="V2811" s="14" t="s">
        <v>4412</v>
      </c>
      <c r="W2811" s="0" t="s">
        <v>223</v>
      </c>
      <c r="X2811" s="14" t="s">
        <v>138</v>
      </c>
      <c r="Y2811" s="0" t="s">
        <v>224</v>
      </c>
      <c r="Z2811" s="14" t="s">
        <v>138</v>
      </c>
      <c r="AA2811" s="0" t="s">
        <v>224</v>
      </c>
      <c r="AB2811" s="14" t="s">
        <v>138</v>
      </c>
      <c r="AD2811" s="0" t="s">
        <v>14</v>
      </c>
      <c r="AF2811" s="0">
        <v>0</v>
      </c>
      <c r="AG2811" s="0">
        <v>0</v>
      </c>
      <c r="AH2811" s="0" t="s">
        <v>140</v>
      </c>
      <c r="AI2811" s="0" t="s">
        <v>598</v>
      </c>
      <c r="AK2811" s="0" t="s">
        <v>578</v>
      </c>
      <c r="AL2811" s="14"/>
      <c r="AN2811" s="14"/>
      <c r="AQ2811" s="0" t="s">
        <v>130</v>
      </c>
      <c r="AR2811" s="0" t="s">
        <v>130</v>
      </c>
      <c r="AS2811" s="0" t="s">
        <v>130</v>
      </c>
      <c r="AT2811" s="0" t="s">
        <v>130</v>
      </c>
      <c r="AU2811" s="0" t="s">
        <v>130</v>
      </c>
      <c r="AV2811" s="0" t="s">
        <v>130</v>
      </c>
      <c r="AW2811" s="0" t="s">
        <v>130</v>
      </c>
      <c r="AX2811" s="0" t="s">
        <v>130</v>
      </c>
      <c r="AY2811" s="0" t="s">
        <v>130</v>
      </c>
      <c r="AZ2811" s="0" t="s">
        <v>130</v>
      </c>
      <c r="BA2811" s="0" t="s">
        <v>130</v>
      </c>
      <c r="BB2811" s="0" t="s">
        <v>141</v>
      </c>
      <c r="BC2811" s="0" t="s">
        <v>141</v>
      </c>
      <c r="BD2811" s="0" t="s">
        <v>130</v>
      </c>
      <c r="BE2811" s="0" t="s">
        <v>130</v>
      </c>
      <c r="BF2811" s="0" t="s">
        <v>130</v>
      </c>
      <c r="BG2811" s="0" t="s">
        <v>130</v>
      </c>
      <c r="BH2811" s="0" t="s">
        <v>130</v>
      </c>
      <c r="BI2811" s="0" t="s">
        <v>130</v>
      </c>
      <c r="BJ2811" s="0" t="s">
        <v>130</v>
      </c>
      <c r="BK2811" s="0" t="s">
        <v>130</v>
      </c>
      <c r="BL2811" s="0" t="s">
        <v>130</v>
      </c>
      <c r="BM2811" s="0" t="s">
        <v>130</v>
      </c>
      <c r="BN2811" s="0" t="s">
        <v>130</v>
      </c>
      <c r="BO2811" s="0" t="s">
        <v>130</v>
      </c>
      <c r="BP2811" s="0" t="s">
        <v>130</v>
      </c>
      <c r="BQ2811" s="0" t="s">
        <v>130</v>
      </c>
      <c r="BR2811" s="0" t="s">
        <v>130</v>
      </c>
      <c r="BS2811" s="0" t="s">
        <v>130</v>
      </c>
      <c r="BT2811" s="0" t="s">
        <v>130</v>
      </c>
      <c r="BU2811" s="0" t="s">
        <v>130</v>
      </c>
      <c r="BV2811" s="0" t="s">
        <v>130</v>
      </c>
      <c r="BW2811" s="0" t="s">
        <v>130</v>
      </c>
      <c r="BX2811" s="0" t="s">
        <v>130</v>
      </c>
      <c r="BY2811" s="0" t="s">
        <v>130</v>
      </c>
      <c r="BZ2811" s="0" t="s">
        <v>130</v>
      </c>
      <c r="CA2811" s="0" t="s">
        <v>130</v>
      </c>
      <c r="CB2811" s="0" t="s">
        <v>130</v>
      </c>
      <c r="CC2811" s="0" t="s">
        <v>130</v>
      </c>
      <c r="CD2811" s="0" t="s">
        <v>130</v>
      </c>
      <c r="CE2811" s="0" t="s">
        <v>130</v>
      </c>
      <c r="CF2811" s="0" t="s">
        <v>130</v>
      </c>
      <c r="CG2811" s="0" t="s">
        <v>130</v>
      </c>
      <c r="CH2811" s="0" t="s">
        <v>130</v>
      </c>
      <c r="CI2811" s="0" t="s">
        <v>130</v>
      </c>
      <c r="CJ2811" s="0" t="s">
        <v>130</v>
      </c>
      <c r="CK2811" s="0" t="s">
        <v>130</v>
      </c>
      <c r="CL2811" s="0" t="s">
        <v>130</v>
      </c>
      <c r="CM2811" s="0" t="s">
        <v>130</v>
      </c>
      <c r="CN2811" s="0" t="s">
        <v>130</v>
      </c>
      <c r="CO2811" s="0" t="s">
        <v>130</v>
      </c>
      <c r="CP2811" s="0" t="s">
        <v>130</v>
      </c>
      <c r="CQ2811" s="0" t="s">
        <v>130</v>
      </c>
      <c r="CR2811" s="0" t="s">
        <v>130</v>
      </c>
      <c r="CS2811" s="0" t="s">
        <v>130</v>
      </c>
      <c r="CT2811" s="0" t="s">
        <v>7596</v>
      </c>
    </row>
    <row r="2812">
      <c r="A2812" s="14">
        <v>100537</v>
      </c>
      <c r="B2812" s="0" t="s">
        <v>728</v>
      </c>
      <c r="C2812" s="16">
        <f>HYPERLINK("https://eosportal.federatedhermes.com/companies/Q29tcGFueQppNTQ1MDY=", "Equifax Inc")</f>
      </c>
      <c r="D2812" s="0" t="s">
        <v>25</v>
      </c>
      <c r="E2812" s="0" t="s">
        <v>7597</v>
      </c>
      <c r="F2812" s="16">
        <f>HYPERLINK("https://eosportal.federatedhermes.com/engagements/RW5nYWdlbWVudAppMzg5OTk=", "Tech platform age verification")</f>
      </c>
      <c r="G2812" s="14" t="s">
        <v>7598</v>
      </c>
      <c r="H2812" s="0" t="s">
        <v>130</v>
      </c>
      <c r="I2812" s="14" t="s">
        <v>131</v>
      </c>
      <c r="J2812" s="0" t="s">
        <v>153</v>
      </c>
      <c r="K2812" s="0" t="s">
        <v>243</v>
      </c>
      <c r="L2812" s="0" t="s">
        <v>537</v>
      </c>
      <c r="M2812" s="0" t="s">
        <v>135</v>
      </c>
      <c r="N2812" s="0" t="s">
        <v>136</v>
      </c>
      <c r="O2812" s="0" t="s">
        <v>176</v>
      </c>
      <c r="Q2812" s="0" t="s">
        <v>130</v>
      </c>
      <c r="R2812" s="0" t="s">
        <v>138</v>
      </c>
      <c r="S2812" s="14">
        <v>0</v>
      </c>
      <c r="T2812" s="0" t="s">
        <v>4412</v>
      </c>
      <c r="U2812" s="0" t="s">
        <v>138</v>
      </c>
      <c r="V2812" s="14" t="s">
        <v>138</v>
      </c>
      <c r="W2812" s="0" t="s">
        <v>138</v>
      </c>
      <c r="X2812" s="14" t="s">
        <v>138</v>
      </c>
      <c r="Y2812" s="0" t="s">
        <v>138</v>
      </c>
      <c r="Z2812" s="14" t="s">
        <v>138</v>
      </c>
      <c r="AA2812" s="0" t="s">
        <v>138</v>
      </c>
      <c r="AB2812" s="14" t="s">
        <v>138</v>
      </c>
      <c r="AD2812" s="0" t="s">
        <v>138</v>
      </c>
      <c r="AF2812" s="0">
        <v>0</v>
      </c>
      <c r="AG2812" s="0">
        <v>0</v>
      </c>
      <c r="AH2812" s="0" t="s">
        <v>140</v>
      </c>
      <c r="AI2812" s="0" t="s">
        <v>138</v>
      </c>
      <c r="AL2812" s="14"/>
      <c r="AN2812" s="14"/>
      <c r="AQ2812" s="0" t="s">
        <v>130</v>
      </c>
      <c r="AR2812" s="0" t="s">
        <v>130</v>
      </c>
      <c r="AS2812" s="0" t="s">
        <v>130</v>
      </c>
      <c r="AT2812" s="0" t="s">
        <v>130</v>
      </c>
      <c r="AU2812" s="0" t="s">
        <v>130</v>
      </c>
      <c r="AV2812" s="0" t="s">
        <v>130</v>
      </c>
      <c r="AW2812" s="0" t="s">
        <v>130</v>
      </c>
      <c r="AX2812" s="0" t="s">
        <v>130</v>
      </c>
      <c r="AY2812" s="0" t="s">
        <v>130</v>
      </c>
      <c r="AZ2812" s="0" t="s">
        <v>130</v>
      </c>
      <c r="BA2812" s="0" t="s">
        <v>130</v>
      </c>
      <c r="BB2812" s="0" t="s">
        <v>141</v>
      </c>
      <c r="BC2812" s="0" t="s">
        <v>130</v>
      </c>
      <c r="BD2812" s="0" t="s">
        <v>130</v>
      </c>
      <c r="BE2812" s="0" t="s">
        <v>130</v>
      </c>
      <c r="BF2812" s="0" t="s">
        <v>141</v>
      </c>
      <c r="BG2812" s="0" t="s">
        <v>130</v>
      </c>
      <c r="BH2812" s="0" t="s">
        <v>130</v>
      </c>
      <c r="BI2812" s="0" t="s">
        <v>130</v>
      </c>
      <c r="BJ2812" s="0" t="s">
        <v>130</v>
      </c>
      <c r="BK2812" s="0" t="s">
        <v>130</v>
      </c>
      <c r="BL2812" s="0" t="s">
        <v>130</v>
      </c>
      <c r="BM2812" s="0" t="s">
        <v>130</v>
      </c>
      <c r="BN2812" s="0" t="s">
        <v>130</v>
      </c>
      <c r="BO2812" s="0" t="s">
        <v>130</v>
      </c>
      <c r="BP2812" s="0" t="s">
        <v>130</v>
      </c>
      <c r="BQ2812" s="0" t="s">
        <v>130</v>
      </c>
      <c r="BR2812" s="0" t="s">
        <v>130</v>
      </c>
      <c r="BS2812" s="0" t="s">
        <v>130</v>
      </c>
      <c r="BT2812" s="0" t="s">
        <v>130</v>
      </c>
      <c r="BU2812" s="0" t="s">
        <v>130</v>
      </c>
      <c r="BV2812" s="0" t="s">
        <v>130</v>
      </c>
      <c r="BW2812" s="0" t="s">
        <v>130</v>
      </c>
      <c r="BX2812" s="0" t="s">
        <v>130</v>
      </c>
      <c r="BY2812" s="0" t="s">
        <v>130</v>
      </c>
      <c r="BZ2812" s="0" t="s">
        <v>130</v>
      </c>
      <c r="CA2812" s="0" t="s">
        <v>130</v>
      </c>
      <c r="CB2812" s="0" t="s">
        <v>130</v>
      </c>
      <c r="CC2812" s="0" t="s">
        <v>130</v>
      </c>
      <c r="CD2812" s="0" t="s">
        <v>130</v>
      </c>
      <c r="CE2812" s="0" t="s">
        <v>130</v>
      </c>
      <c r="CF2812" s="0" t="s">
        <v>130</v>
      </c>
      <c r="CG2812" s="0" t="s">
        <v>130</v>
      </c>
      <c r="CH2812" s="0" t="s">
        <v>130</v>
      </c>
      <c r="CI2812" s="0" t="s">
        <v>130</v>
      </c>
      <c r="CJ2812" s="0" t="s">
        <v>130</v>
      </c>
      <c r="CK2812" s="0" t="s">
        <v>130</v>
      </c>
      <c r="CL2812" s="0" t="s">
        <v>130</v>
      </c>
      <c r="CM2812" s="0" t="s">
        <v>130</v>
      </c>
      <c r="CN2812" s="0" t="s">
        <v>130</v>
      </c>
      <c r="CO2812" s="0" t="s">
        <v>130</v>
      </c>
      <c r="CP2812" s="0" t="s">
        <v>130</v>
      </c>
      <c r="CQ2812" s="0" t="s">
        <v>130</v>
      </c>
      <c r="CR2812" s="0" t="s">
        <v>130</v>
      </c>
      <c r="CS2812" s="0" t="s">
        <v>130</v>
      </c>
      <c r="CT2812" s="0" t="s">
        <v>7599</v>
      </c>
    </row>
    <row r="2813">
      <c r="A2813" s="14">
        <v>23600574</v>
      </c>
      <c r="B2813" s="0" t="s">
        <v>4170</v>
      </c>
      <c r="C2813" s="16">
        <f>HYPERLINK("https://eosportal.federatedhermes.com/companies/Q29tcGFueQppNjY5NDg=", "Veeva Systems Inc")</f>
      </c>
      <c r="D2813" s="0" t="s">
        <v>25</v>
      </c>
      <c r="E2813" s="0" t="s">
        <v>146</v>
      </c>
      <c r="F2813" s="16">
        <f>HYPERLINK("https://eosportal.federatedhermes.com/engagements/RW5nYWdlbWVudAppMzkwMjE=", "Executive Remuneration")</f>
      </c>
      <c r="G2813" s="14" t="s">
        <v>7600</v>
      </c>
      <c r="H2813" s="0" t="s">
        <v>130</v>
      </c>
      <c r="I2813" s="14" t="s">
        <v>131</v>
      </c>
      <c r="J2813" s="0" t="s">
        <v>145</v>
      </c>
      <c r="K2813" s="0" t="s">
        <v>146</v>
      </c>
      <c r="L2813" s="0" t="s">
        <v>147</v>
      </c>
      <c r="M2813" s="0" t="s">
        <v>135</v>
      </c>
      <c r="N2813" s="0" t="s">
        <v>136</v>
      </c>
      <c r="O2813" s="0" t="s">
        <v>274</v>
      </c>
      <c r="Q2813" s="0" t="s">
        <v>130</v>
      </c>
      <c r="R2813" s="0" t="s">
        <v>138</v>
      </c>
      <c r="S2813" s="14">
        <v>0</v>
      </c>
      <c r="T2813" s="0" t="s">
        <v>4412</v>
      </c>
      <c r="U2813" s="0" t="s">
        <v>138</v>
      </c>
      <c r="V2813" s="14" t="s">
        <v>138</v>
      </c>
      <c r="W2813" s="0" t="s">
        <v>138</v>
      </c>
      <c r="X2813" s="14" t="s">
        <v>138</v>
      </c>
      <c r="Y2813" s="0" t="s">
        <v>138</v>
      </c>
      <c r="Z2813" s="14" t="s">
        <v>138</v>
      </c>
      <c r="AA2813" s="0" t="s">
        <v>138</v>
      </c>
      <c r="AB2813" s="14" t="s">
        <v>138</v>
      </c>
      <c r="AD2813" s="0" t="s">
        <v>138</v>
      </c>
      <c r="AF2813" s="0">
        <v>0</v>
      </c>
      <c r="AG2813" s="0">
        <v>0</v>
      </c>
      <c r="AH2813" s="0" t="s">
        <v>140</v>
      </c>
      <c r="AI2813" s="0" t="s">
        <v>138</v>
      </c>
      <c r="AL2813" s="14"/>
      <c r="AN2813" s="14"/>
      <c r="AQ2813" s="0" t="s">
        <v>130</v>
      </c>
      <c r="AR2813" s="0" t="s">
        <v>130</v>
      </c>
      <c r="AS2813" s="0" t="s">
        <v>130</v>
      </c>
      <c r="AT2813" s="0" t="s">
        <v>130</v>
      </c>
      <c r="AU2813" s="0" t="s">
        <v>130</v>
      </c>
      <c r="AV2813" s="0" t="s">
        <v>130</v>
      </c>
      <c r="AW2813" s="0" t="s">
        <v>130</v>
      </c>
      <c r="AX2813" s="0" t="s">
        <v>130</v>
      </c>
      <c r="AY2813" s="0" t="s">
        <v>130</v>
      </c>
      <c r="AZ2813" s="0" t="s">
        <v>130</v>
      </c>
      <c r="BA2813" s="0" t="s">
        <v>130</v>
      </c>
      <c r="BB2813" s="0" t="s">
        <v>130</v>
      </c>
      <c r="BC2813" s="0" t="s">
        <v>130</v>
      </c>
      <c r="BD2813" s="0" t="s">
        <v>130</v>
      </c>
      <c r="BE2813" s="0" t="s">
        <v>130</v>
      </c>
      <c r="BF2813" s="0" t="s">
        <v>130</v>
      </c>
      <c r="BG2813" s="0" t="s">
        <v>130</v>
      </c>
      <c r="BH2813" s="0" t="s">
        <v>130</v>
      </c>
      <c r="BI2813" s="0" t="s">
        <v>130</v>
      </c>
      <c r="BJ2813" s="0" t="s">
        <v>130</v>
      </c>
      <c r="BK2813" s="0" t="s">
        <v>130</v>
      </c>
      <c r="BL2813" s="0" t="s">
        <v>130</v>
      </c>
      <c r="BM2813" s="0" t="s">
        <v>130</v>
      </c>
      <c r="BN2813" s="0" t="s">
        <v>130</v>
      </c>
      <c r="BO2813" s="0" t="s">
        <v>130</v>
      </c>
      <c r="BP2813" s="0" t="s">
        <v>130</v>
      </c>
      <c r="BQ2813" s="0" t="s">
        <v>130</v>
      </c>
      <c r="BR2813" s="0" t="s">
        <v>130</v>
      </c>
      <c r="BS2813" s="0" t="s">
        <v>130</v>
      </c>
      <c r="BT2813" s="0" t="s">
        <v>130</v>
      </c>
      <c r="BU2813" s="0" t="s">
        <v>130</v>
      </c>
      <c r="BV2813" s="0" t="s">
        <v>130</v>
      </c>
      <c r="BW2813" s="0" t="s">
        <v>130</v>
      </c>
      <c r="BX2813" s="0" t="s">
        <v>130</v>
      </c>
      <c r="BY2813" s="0" t="s">
        <v>130</v>
      </c>
      <c r="BZ2813" s="0" t="s">
        <v>130</v>
      </c>
      <c r="CA2813" s="0" t="s">
        <v>130</v>
      </c>
      <c r="CB2813" s="0" t="s">
        <v>130</v>
      </c>
      <c r="CC2813" s="0" t="s">
        <v>130</v>
      </c>
      <c r="CD2813" s="0" t="s">
        <v>130</v>
      </c>
      <c r="CE2813" s="0" t="s">
        <v>130</v>
      </c>
      <c r="CF2813" s="0" t="s">
        <v>130</v>
      </c>
      <c r="CG2813" s="0" t="s">
        <v>130</v>
      </c>
      <c r="CH2813" s="0" t="s">
        <v>130</v>
      </c>
      <c r="CI2813" s="0" t="s">
        <v>130</v>
      </c>
      <c r="CJ2813" s="0" t="s">
        <v>130</v>
      </c>
      <c r="CK2813" s="0" t="s">
        <v>130</v>
      </c>
      <c r="CL2813" s="0" t="s">
        <v>130</v>
      </c>
      <c r="CM2813" s="0" t="s">
        <v>130</v>
      </c>
      <c r="CN2813" s="0" t="s">
        <v>130</v>
      </c>
      <c r="CO2813" s="0" t="s">
        <v>130</v>
      </c>
      <c r="CP2813" s="0" t="s">
        <v>130</v>
      </c>
      <c r="CQ2813" s="0" t="s">
        <v>130</v>
      </c>
      <c r="CR2813" s="0" t="s">
        <v>130</v>
      </c>
      <c r="CS2813" s="0" t="s">
        <v>130</v>
      </c>
      <c r="CT2813" s="0" t="s">
        <v>7601</v>
      </c>
    </row>
    <row r="2814">
      <c r="A2814" s="14">
        <v>101548</v>
      </c>
      <c r="B2814" s="0" t="s">
        <v>1738</v>
      </c>
      <c r="C2814" s="16">
        <f>HYPERLINK("https://eosportal.federatedhermes.com/companies/Q29tcGFueQppNjI0NTk=", "UnitedHealth Group Inc")</f>
      </c>
      <c r="D2814" s="0" t="s">
        <v>25</v>
      </c>
      <c r="E2814" s="0" t="s">
        <v>7602</v>
      </c>
      <c r="F2814" s="16">
        <f>HYPERLINK("https://eosportal.federatedhermes.com/engagements/RW5nYWdlbWVudAppMzkwODY=", "Business Resilience and Succession Planning")</f>
      </c>
      <c r="G2814" s="14" t="s">
        <v>7603</v>
      </c>
      <c r="H2814" s="0" t="s">
        <v>141</v>
      </c>
      <c r="I2814" s="14" t="s">
        <v>636</v>
      </c>
      <c r="J2814" s="0" t="s">
        <v>132</v>
      </c>
      <c r="K2814" s="0" t="s">
        <v>133</v>
      </c>
      <c r="L2814" s="0" t="s">
        <v>160</v>
      </c>
      <c r="M2814" s="0" t="s">
        <v>135</v>
      </c>
      <c r="N2814" s="0" t="s">
        <v>136</v>
      </c>
      <c r="O2814" s="0" t="s">
        <v>274</v>
      </c>
      <c r="Q2814" s="0" t="s">
        <v>141</v>
      </c>
      <c r="R2814" s="0" t="s">
        <v>138</v>
      </c>
      <c r="S2814" s="14">
        <v>1</v>
      </c>
      <c r="T2814" s="0" t="s">
        <v>4412</v>
      </c>
      <c r="U2814" s="0" t="s">
        <v>138</v>
      </c>
      <c r="V2814" s="14" t="s">
        <v>138</v>
      </c>
      <c r="W2814" s="0" t="s">
        <v>138</v>
      </c>
      <c r="X2814" s="14" t="s">
        <v>138</v>
      </c>
      <c r="Y2814" s="0" t="s">
        <v>138</v>
      </c>
      <c r="Z2814" s="14" t="s">
        <v>138</v>
      </c>
      <c r="AA2814" s="0" t="s">
        <v>138</v>
      </c>
      <c r="AB2814" s="14" t="s">
        <v>138</v>
      </c>
      <c r="AD2814" s="0" t="s">
        <v>138</v>
      </c>
      <c r="AF2814" s="0">
        <v>0</v>
      </c>
      <c r="AG2814" s="0">
        <v>0</v>
      </c>
      <c r="AH2814" s="0" t="s">
        <v>140</v>
      </c>
      <c r="AI2814" s="0" t="s">
        <v>138</v>
      </c>
      <c r="AK2814" s="0" t="s">
        <v>2529</v>
      </c>
      <c r="AL2814" s="14"/>
      <c r="AN2814" s="14"/>
      <c r="AQ2814" s="0" t="s">
        <v>130</v>
      </c>
      <c r="AR2814" s="0" t="s">
        <v>130</v>
      </c>
      <c r="AS2814" s="0" t="s">
        <v>130</v>
      </c>
      <c r="AT2814" s="0" t="s">
        <v>130</v>
      </c>
      <c r="AU2814" s="0" t="s">
        <v>130</v>
      </c>
      <c r="AV2814" s="0" t="s">
        <v>130</v>
      </c>
      <c r="AW2814" s="0" t="s">
        <v>130</v>
      </c>
      <c r="AX2814" s="0" t="s">
        <v>130</v>
      </c>
      <c r="AY2814" s="0" t="s">
        <v>130</v>
      </c>
      <c r="AZ2814" s="0" t="s">
        <v>130</v>
      </c>
      <c r="BA2814" s="0" t="s">
        <v>130</v>
      </c>
      <c r="BB2814" s="0" t="s">
        <v>130</v>
      </c>
      <c r="BC2814" s="0" t="s">
        <v>130</v>
      </c>
      <c r="BD2814" s="0" t="s">
        <v>130</v>
      </c>
      <c r="BE2814" s="0" t="s">
        <v>130</v>
      </c>
      <c r="BF2814" s="0" t="s">
        <v>130</v>
      </c>
      <c r="BG2814" s="0" t="s">
        <v>130</v>
      </c>
      <c r="BH2814" s="0" t="s">
        <v>130</v>
      </c>
      <c r="BI2814" s="0" t="s">
        <v>130</v>
      </c>
      <c r="BJ2814" s="0" t="s">
        <v>130</v>
      </c>
      <c r="BK2814" s="0" t="s">
        <v>130</v>
      </c>
      <c r="BL2814" s="0" t="s">
        <v>130</v>
      </c>
      <c r="BM2814" s="0" t="s">
        <v>130</v>
      </c>
      <c r="BN2814" s="0" t="s">
        <v>130</v>
      </c>
      <c r="BO2814" s="0" t="s">
        <v>130</v>
      </c>
      <c r="BP2814" s="0" t="s">
        <v>130</v>
      </c>
      <c r="BQ2814" s="0" t="s">
        <v>130</v>
      </c>
      <c r="BR2814" s="0" t="s">
        <v>130</v>
      </c>
      <c r="BS2814" s="0" t="s">
        <v>130</v>
      </c>
      <c r="BT2814" s="0" t="s">
        <v>130</v>
      </c>
      <c r="BU2814" s="0" t="s">
        <v>130</v>
      </c>
      <c r="BV2814" s="0" t="s">
        <v>130</v>
      </c>
      <c r="BW2814" s="0" t="s">
        <v>130</v>
      </c>
      <c r="BX2814" s="0" t="s">
        <v>130</v>
      </c>
      <c r="BY2814" s="0" t="s">
        <v>130</v>
      </c>
      <c r="BZ2814" s="0" t="s">
        <v>130</v>
      </c>
      <c r="CA2814" s="0" t="s">
        <v>130</v>
      </c>
      <c r="CB2814" s="0" t="s">
        <v>130</v>
      </c>
      <c r="CC2814" s="0" t="s">
        <v>130</v>
      </c>
      <c r="CD2814" s="0" t="s">
        <v>130</v>
      </c>
      <c r="CE2814" s="0" t="s">
        <v>130</v>
      </c>
      <c r="CF2814" s="0" t="s">
        <v>130</v>
      </c>
      <c r="CG2814" s="0" t="s">
        <v>130</v>
      </c>
      <c r="CH2814" s="0" t="s">
        <v>130</v>
      </c>
      <c r="CI2814" s="0" t="s">
        <v>130</v>
      </c>
      <c r="CJ2814" s="0" t="s">
        <v>130</v>
      </c>
      <c r="CK2814" s="0" t="s">
        <v>130</v>
      </c>
      <c r="CL2814" s="0" t="s">
        <v>130</v>
      </c>
      <c r="CM2814" s="0" t="s">
        <v>130</v>
      </c>
      <c r="CN2814" s="0" t="s">
        <v>130</v>
      </c>
      <c r="CO2814" s="0" t="s">
        <v>130</v>
      </c>
      <c r="CP2814" s="0" t="s">
        <v>130</v>
      </c>
      <c r="CQ2814" s="0" t="s">
        <v>130</v>
      </c>
      <c r="CR2814" s="0" t="s">
        <v>130</v>
      </c>
      <c r="CS2814" s="0" t="s">
        <v>130</v>
      </c>
      <c r="CT2814" s="0" t="s">
        <v>7604</v>
      </c>
    </row>
    <row r="2815">
      <c r="A2815" s="14">
        <v>304149</v>
      </c>
      <c r="B2815" s="0" t="s">
        <v>3541</v>
      </c>
      <c r="C2815" s="16">
        <f>HYPERLINK("https://eosportal.federatedhermes.com/companies/Q29tcGFueQppNzc5MjM=", "ICICI Bank Ltd")</f>
      </c>
      <c r="D2815" s="0" t="s">
        <v>25</v>
      </c>
      <c r="E2815" s="0" t="s">
        <v>7605</v>
      </c>
      <c r="F2815" s="16">
        <f>HYPERLINK("https://eosportal.federatedhermes.com/engagements/RW5nYWdlbWVudAppMzkwODg=", "Strengthening cyber security and data privacy")</f>
      </c>
      <c r="G2815" s="14" t="s">
        <v>7606</v>
      </c>
      <c r="H2815" s="0" t="s">
        <v>141</v>
      </c>
      <c r="I2815" s="14" t="s">
        <v>131</v>
      </c>
      <c r="J2815" s="0" t="s">
        <v>132</v>
      </c>
      <c r="K2815" s="0" t="s">
        <v>260</v>
      </c>
      <c r="L2815" s="0" t="s">
        <v>743</v>
      </c>
      <c r="M2815" s="0" t="s">
        <v>2807</v>
      </c>
      <c r="N2815" s="0" t="s">
        <v>2969</v>
      </c>
      <c r="O2815" s="0" t="s">
        <v>238</v>
      </c>
      <c r="Q2815" s="0" t="s">
        <v>130</v>
      </c>
      <c r="R2815" s="0" t="s">
        <v>138</v>
      </c>
      <c r="S2815" s="14">
        <v>0</v>
      </c>
      <c r="T2815" s="0" t="s">
        <v>4412</v>
      </c>
      <c r="U2815" s="0" t="s">
        <v>138</v>
      </c>
      <c r="V2815" s="14" t="s">
        <v>138</v>
      </c>
      <c r="W2815" s="0" t="s">
        <v>138</v>
      </c>
      <c r="X2815" s="14" t="s">
        <v>138</v>
      </c>
      <c r="Y2815" s="0" t="s">
        <v>138</v>
      </c>
      <c r="Z2815" s="14" t="s">
        <v>138</v>
      </c>
      <c r="AA2815" s="0" t="s">
        <v>138</v>
      </c>
      <c r="AB2815" s="14" t="s">
        <v>138</v>
      </c>
      <c r="AD2815" s="0" t="s">
        <v>138</v>
      </c>
      <c r="AF2815" s="0">
        <v>0</v>
      </c>
      <c r="AG2815" s="0">
        <v>0</v>
      </c>
      <c r="AH2815" s="0" t="s">
        <v>140</v>
      </c>
      <c r="AI2815" s="0" t="s">
        <v>138</v>
      </c>
      <c r="AL2815" s="14"/>
      <c r="AN2815" s="14"/>
      <c r="AQ2815" s="0" t="s">
        <v>130</v>
      </c>
      <c r="AR2815" s="0" t="s">
        <v>130</v>
      </c>
      <c r="AS2815" s="0" t="s">
        <v>130</v>
      </c>
      <c r="AT2815" s="0" t="s">
        <v>130</v>
      </c>
      <c r="AU2815" s="0" t="s">
        <v>130</v>
      </c>
      <c r="AV2815" s="0" t="s">
        <v>130</v>
      </c>
      <c r="AW2815" s="0" t="s">
        <v>130</v>
      </c>
      <c r="AX2815" s="0" t="s">
        <v>130</v>
      </c>
      <c r="AY2815" s="0" t="s">
        <v>130</v>
      </c>
      <c r="AZ2815" s="0" t="s">
        <v>130</v>
      </c>
      <c r="BA2815" s="0" t="s">
        <v>130</v>
      </c>
      <c r="BB2815" s="0" t="s">
        <v>130</v>
      </c>
      <c r="BC2815" s="0" t="s">
        <v>130</v>
      </c>
      <c r="BD2815" s="0" t="s">
        <v>130</v>
      </c>
      <c r="BE2815" s="0" t="s">
        <v>130</v>
      </c>
      <c r="BF2815" s="0" t="s">
        <v>130</v>
      </c>
      <c r="BG2815" s="0" t="s">
        <v>130</v>
      </c>
      <c r="BH2815" s="0" t="s">
        <v>130</v>
      </c>
      <c r="BI2815" s="0" t="s">
        <v>130</v>
      </c>
      <c r="BJ2815" s="0" t="s">
        <v>130</v>
      </c>
      <c r="BK2815" s="0" t="s">
        <v>130</v>
      </c>
      <c r="BL2815" s="0" t="s">
        <v>130</v>
      </c>
      <c r="BM2815" s="0" t="s">
        <v>130</v>
      </c>
      <c r="BN2815" s="0" t="s">
        <v>130</v>
      </c>
      <c r="BO2815" s="0" t="s">
        <v>130</v>
      </c>
      <c r="BP2815" s="0" t="s">
        <v>130</v>
      </c>
      <c r="BQ2815" s="0" t="s">
        <v>130</v>
      </c>
      <c r="BR2815" s="0" t="s">
        <v>130</v>
      </c>
      <c r="BS2815" s="0" t="s">
        <v>130</v>
      </c>
      <c r="BT2815" s="0" t="s">
        <v>130</v>
      </c>
      <c r="BU2815" s="0" t="s">
        <v>130</v>
      </c>
      <c r="BV2815" s="0" t="s">
        <v>130</v>
      </c>
      <c r="BW2815" s="0" t="s">
        <v>130</v>
      </c>
      <c r="BX2815" s="0" t="s">
        <v>130</v>
      </c>
      <c r="BY2815" s="0" t="s">
        <v>130</v>
      </c>
      <c r="BZ2815" s="0" t="s">
        <v>130</v>
      </c>
      <c r="CA2815" s="0" t="s">
        <v>130</v>
      </c>
      <c r="CB2815" s="0" t="s">
        <v>130</v>
      </c>
      <c r="CC2815" s="0" t="s">
        <v>130</v>
      </c>
      <c r="CD2815" s="0" t="s">
        <v>130</v>
      </c>
      <c r="CE2815" s="0" t="s">
        <v>130</v>
      </c>
      <c r="CF2815" s="0" t="s">
        <v>130</v>
      </c>
      <c r="CG2815" s="0" t="s">
        <v>130</v>
      </c>
      <c r="CH2815" s="0" t="s">
        <v>130</v>
      </c>
      <c r="CI2815" s="0" t="s">
        <v>130</v>
      </c>
      <c r="CJ2815" s="0" t="s">
        <v>130</v>
      </c>
      <c r="CK2815" s="0" t="s">
        <v>130</v>
      </c>
      <c r="CL2815" s="0" t="s">
        <v>130</v>
      </c>
      <c r="CM2815" s="0" t="s">
        <v>130</v>
      </c>
      <c r="CN2815" s="0" t="s">
        <v>130</v>
      </c>
      <c r="CO2815" s="0" t="s">
        <v>130</v>
      </c>
      <c r="CP2815" s="0" t="s">
        <v>130</v>
      </c>
      <c r="CQ2815" s="0" t="s">
        <v>130</v>
      </c>
      <c r="CR2815" s="0" t="s">
        <v>130</v>
      </c>
      <c r="CS2815" s="0" t="s">
        <v>130</v>
      </c>
      <c r="CT2815" s="0" t="s">
        <v>7607</v>
      </c>
    </row>
    <row r="2816">
      <c r="A2816" s="14">
        <v>136124</v>
      </c>
      <c r="B2816" s="0" t="s">
        <v>3066</v>
      </c>
      <c r="C2816" s="16">
        <f>HYPERLINK("https://eosportal.federatedhermes.com/companies/Q29tcGFueQppODQ3NTU=", "AP Moller - Maersk A/S")</f>
      </c>
      <c r="D2816" s="0" t="s">
        <v>25</v>
      </c>
      <c r="E2816" s="0" t="s">
        <v>7608</v>
      </c>
      <c r="F2816" s="16">
        <f>HYPERLINK("https://eosportal.federatedhermes.com/engagements/RW5nYWdlbWVudAppMzkwOTQ=", "Remuneration committee independence")</f>
      </c>
      <c r="G2816" s="14" t="s">
        <v>7609</v>
      </c>
      <c r="H2816" s="0" t="s">
        <v>141</v>
      </c>
      <c r="I2816" s="14" t="s">
        <v>191</v>
      </c>
      <c r="J2816" s="0" t="s">
        <v>145</v>
      </c>
      <c r="K2816" s="0" t="s">
        <v>164</v>
      </c>
      <c r="L2816" s="0" t="s">
        <v>165</v>
      </c>
      <c r="M2816" s="0" t="s">
        <v>378</v>
      </c>
      <c r="N2816" s="0" t="s">
        <v>1339</v>
      </c>
      <c r="O2816" s="0" t="s">
        <v>425</v>
      </c>
      <c r="Q2816" s="0" t="s">
        <v>130</v>
      </c>
      <c r="R2816" s="0" t="s">
        <v>138</v>
      </c>
      <c r="S2816" s="14">
        <v>0</v>
      </c>
      <c r="T2816" s="0" t="s">
        <v>4412</v>
      </c>
      <c r="U2816" s="0" t="s">
        <v>138</v>
      </c>
      <c r="V2816" s="14" t="s">
        <v>138</v>
      </c>
      <c r="W2816" s="0" t="s">
        <v>138</v>
      </c>
      <c r="X2816" s="14" t="s">
        <v>138</v>
      </c>
      <c r="Y2816" s="0" t="s">
        <v>138</v>
      </c>
      <c r="Z2816" s="14" t="s">
        <v>138</v>
      </c>
      <c r="AA2816" s="0" t="s">
        <v>138</v>
      </c>
      <c r="AB2816" s="14" t="s">
        <v>138</v>
      </c>
      <c r="AD2816" s="0" t="s">
        <v>138</v>
      </c>
      <c r="AF2816" s="0">
        <v>0</v>
      </c>
      <c r="AG2816" s="0">
        <v>0</v>
      </c>
      <c r="AH2816" s="0" t="s">
        <v>140</v>
      </c>
      <c r="AI2816" s="0" t="s">
        <v>138</v>
      </c>
      <c r="AL2816" s="14"/>
      <c r="AN2816" s="14"/>
      <c r="AQ2816" s="0" t="s">
        <v>130</v>
      </c>
      <c r="AR2816" s="0" t="s">
        <v>130</v>
      </c>
      <c r="AS2816" s="0" t="s">
        <v>130</v>
      </c>
      <c r="AT2816" s="0" t="s">
        <v>130</v>
      </c>
      <c r="AU2816" s="0" t="s">
        <v>130</v>
      </c>
      <c r="AV2816" s="0" t="s">
        <v>130</v>
      </c>
      <c r="AW2816" s="0" t="s">
        <v>130</v>
      </c>
      <c r="AX2816" s="0" t="s">
        <v>130</v>
      </c>
      <c r="AY2816" s="0" t="s">
        <v>130</v>
      </c>
      <c r="AZ2816" s="0" t="s">
        <v>130</v>
      </c>
      <c r="BA2816" s="0" t="s">
        <v>130</v>
      </c>
      <c r="BB2816" s="0" t="s">
        <v>130</v>
      </c>
      <c r="BC2816" s="0" t="s">
        <v>130</v>
      </c>
      <c r="BD2816" s="0" t="s">
        <v>130</v>
      </c>
      <c r="BE2816" s="0" t="s">
        <v>130</v>
      </c>
      <c r="BF2816" s="0" t="s">
        <v>130</v>
      </c>
      <c r="BG2816" s="0" t="s">
        <v>130</v>
      </c>
      <c r="BH2816" s="0" t="s">
        <v>130</v>
      </c>
      <c r="BI2816" s="0" t="s">
        <v>130</v>
      </c>
      <c r="BJ2816" s="0" t="s">
        <v>130</v>
      </c>
      <c r="BK2816" s="0" t="s">
        <v>130</v>
      </c>
      <c r="BL2816" s="0" t="s">
        <v>130</v>
      </c>
      <c r="BM2816" s="0" t="s">
        <v>130</v>
      </c>
      <c r="BN2816" s="0" t="s">
        <v>130</v>
      </c>
      <c r="BO2816" s="0" t="s">
        <v>130</v>
      </c>
      <c r="BP2816" s="0" t="s">
        <v>130</v>
      </c>
      <c r="BQ2816" s="0" t="s">
        <v>130</v>
      </c>
      <c r="BR2816" s="0" t="s">
        <v>130</v>
      </c>
      <c r="BS2816" s="0" t="s">
        <v>130</v>
      </c>
      <c r="BT2816" s="0" t="s">
        <v>130</v>
      </c>
      <c r="BU2816" s="0" t="s">
        <v>130</v>
      </c>
      <c r="BV2816" s="0" t="s">
        <v>130</v>
      </c>
      <c r="BW2816" s="0" t="s">
        <v>130</v>
      </c>
      <c r="BX2816" s="0" t="s">
        <v>130</v>
      </c>
      <c r="BY2816" s="0" t="s">
        <v>130</v>
      </c>
      <c r="BZ2816" s="0" t="s">
        <v>130</v>
      </c>
      <c r="CA2816" s="0" t="s">
        <v>130</v>
      </c>
      <c r="CB2816" s="0" t="s">
        <v>130</v>
      </c>
      <c r="CC2816" s="0" t="s">
        <v>130</v>
      </c>
      <c r="CD2816" s="0" t="s">
        <v>130</v>
      </c>
      <c r="CE2816" s="0" t="s">
        <v>130</v>
      </c>
      <c r="CF2816" s="0" t="s">
        <v>130</v>
      </c>
      <c r="CG2816" s="0" t="s">
        <v>130</v>
      </c>
      <c r="CH2816" s="0" t="s">
        <v>130</v>
      </c>
      <c r="CI2816" s="0" t="s">
        <v>130</v>
      </c>
      <c r="CJ2816" s="0" t="s">
        <v>130</v>
      </c>
      <c r="CK2816" s="0" t="s">
        <v>130</v>
      </c>
      <c r="CL2816" s="0" t="s">
        <v>130</v>
      </c>
      <c r="CM2816" s="0" t="s">
        <v>130</v>
      </c>
      <c r="CN2816" s="0" t="s">
        <v>130</v>
      </c>
      <c r="CO2816" s="0" t="s">
        <v>130</v>
      </c>
      <c r="CP2816" s="0" t="s">
        <v>130</v>
      </c>
      <c r="CQ2816" s="0" t="s">
        <v>130</v>
      </c>
      <c r="CR2816" s="0" t="s">
        <v>130</v>
      </c>
      <c r="CS2816" s="0" t="s">
        <v>130</v>
      </c>
      <c r="CT2816" s="0" t="s">
        <v>7610</v>
      </c>
    </row>
    <row r="2817">
      <c r="A2817" s="14">
        <v>136124</v>
      </c>
      <c r="B2817" s="0" t="s">
        <v>3066</v>
      </c>
      <c r="C2817" s="16">
        <f>HYPERLINK("https://eosportal.federatedhermes.com/companies/Q29tcGFueQppODQ3NTU=", "AP Moller - Maersk A/S")</f>
      </c>
      <c r="D2817" s="0" t="s">
        <v>25</v>
      </c>
      <c r="E2817" s="0" t="s">
        <v>5500</v>
      </c>
      <c r="F2817" s="16">
        <f>HYPERLINK("https://eosportal.federatedhermes.com/engagements/RW5nYWdlbWVudAppMzkwOTU=", "Human rights due diligence")</f>
      </c>
      <c r="G2817" s="14" t="s">
        <v>7611</v>
      </c>
      <c r="H2817" s="0" t="s">
        <v>141</v>
      </c>
      <c r="I2817" s="14" t="s">
        <v>191</v>
      </c>
      <c r="J2817" s="0" t="s">
        <v>153</v>
      </c>
      <c r="K2817" s="0" t="s">
        <v>243</v>
      </c>
      <c r="L2817" s="0" t="s">
        <v>456</v>
      </c>
      <c r="M2817" s="0" t="s">
        <v>378</v>
      </c>
      <c r="N2817" s="0" t="s">
        <v>1339</v>
      </c>
      <c r="O2817" s="0" t="s">
        <v>425</v>
      </c>
      <c r="Q2817" s="0" t="s">
        <v>141</v>
      </c>
      <c r="R2817" s="0" t="s">
        <v>138</v>
      </c>
      <c r="S2817" s="14">
        <v>2</v>
      </c>
      <c r="T2817" s="0" t="s">
        <v>4412</v>
      </c>
      <c r="U2817" s="0" t="s">
        <v>138</v>
      </c>
      <c r="V2817" s="14" t="s">
        <v>138</v>
      </c>
      <c r="W2817" s="0" t="s">
        <v>138</v>
      </c>
      <c r="X2817" s="14" t="s">
        <v>138</v>
      </c>
      <c r="Y2817" s="0" t="s">
        <v>138</v>
      </c>
      <c r="Z2817" s="14" t="s">
        <v>138</v>
      </c>
      <c r="AA2817" s="0" t="s">
        <v>138</v>
      </c>
      <c r="AB2817" s="14" t="s">
        <v>138</v>
      </c>
      <c r="AD2817" s="0" t="s">
        <v>138</v>
      </c>
      <c r="AF2817" s="0">
        <v>0</v>
      </c>
      <c r="AG2817" s="0">
        <v>0</v>
      </c>
      <c r="AH2817" s="0" t="s">
        <v>140</v>
      </c>
      <c r="AI2817" s="0" t="s">
        <v>138</v>
      </c>
      <c r="AK2817" s="0" t="s">
        <v>226</v>
      </c>
      <c r="AL2817" s="14"/>
      <c r="AN2817" s="14"/>
      <c r="AQ2817" s="0" t="s">
        <v>130</v>
      </c>
      <c r="AR2817" s="0" t="s">
        <v>130</v>
      </c>
      <c r="AS2817" s="0" t="s">
        <v>130</v>
      </c>
      <c r="AT2817" s="0" t="s">
        <v>130</v>
      </c>
      <c r="AU2817" s="0" t="s">
        <v>130</v>
      </c>
      <c r="AV2817" s="0" t="s">
        <v>130</v>
      </c>
      <c r="AW2817" s="0" t="s">
        <v>130</v>
      </c>
      <c r="AX2817" s="0" t="s">
        <v>141</v>
      </c>
      <c r="AY2817" s="0" t="s">
        <v>130</v>
      </c>
      <c r="AZ2817" s="0" t="s">
        <v>130</v>
      </c>
      <c r="BA2817" s="0" t="s">
        <v>130</v>
      </c>
      <c r="BB2817" s="0" t="s">
        <v>130</v>
      </c>
      <c r="BC2817" s="0" t="s">
        <v>130</v>
      </c>
      <c r="BD2817" s="0" t="s">
        <v>130</v>
      </c>
      <c r="BE2817" s="0" t="s">
        <v>130</v>
      </c>
      <c r="BF2817" s="0" t="s">
        <v>141</v>
      </c>
      <c r="BG2817" s="0" t="s">
        <v>130</v>
      </c>
      <c r="BH2817" s="0" t="s">
        <v>130</v>
      </c>
      <c r="BI2817" s="0" t="s">
        <v>130</v>
      </c>
      <c r="BJ2817" s="0" t="s">
        <v>130</v>
      </c>
      <c r="BK2817" s="0" t="s">
        <v>130</v>
      </c>
      <c r="BL2817" s="0" t="s">
        <v>130</v>
      </c>
      <c r="BM2817" s="0" t="s">
        <v>130</v>
      </c>
      <c r="BN2817" s="0" t="s">
        <v>130</v>
      </c>
      <c r="BO2817" s="0" t="s">
        <v>130</v>
      </c>
      <c r="BP2817" s="0" t="s">
        <v>130</v>
      </c>
      <c r="BQ2817" s="0" t="s">
        <v>130</v>
      </c>
      <c r="BR2817" s="0" t="s">
        <v>130</v>
      </c>
      <c r="BS2817" s="0" t="s">
        <v>130</v>
      </c>
      <c r="BT2817" s="0" t="s">
        <v>130</v>
      </c>
      <c r="BU2817" s="0" t="s">
        <v>130</v>
      </c>
      <c r="BV2817" s="0" t="s">
        <v>130</v>
      </c>
      <c r="BW2817" s="0" t="s">
        <v>130</v>
      </c>
      <c r="BX2817" s="0" t="s">
        <v>130</v>
      </c>
      <c r="BY2817" s="0" t="s">
        <v>130</v>
      </c>
      <c r="BZ2817" s="0" t="s">
        <v>130</v>
      </c>
      <c r="CA2817" s="0" t="s">
        <v>130</v>
      </c>
      <c r="CB2817" s="0" t="s">
        <v>130</v>
      </c>
      <c r="CC2817" s="0" t="s">
        <v>130</v>
      </c>
      <c r="CD2817" s="0" t="s">
        <v>130</v>
      </c>
      <c r="CE2817" s="0" t="s">
        <v>130</v>
      </c>
      <c r="CF2817" s="0" t="s">
        <v>130</v>
      </c>
      <c r="CG2817" s="0" t="s">
        <v>130</v>
      </c>
      <c r="CH2817" s="0" t="s">
        <v>130</v>
      </c>
      <c r="CI2817" s="0" t="s">
        <v>130</v>
      </c>
      <c r="CJ2817" s="0" t="s">
        <v>130</v>
      </c>
      <c r="CK2817" s="0" t="s">
        <v>130</v>
      </c>
      <c r="CL2817" s="0" t="s">
        <v>130</v>
      </c>
      <c r="CM2817" s="0" t="s">
        <v>141</v>
      </c>
      <c r="CN2817" s="0" t="s">
        <v>130</v>
      </c>
      <c r="CO2817" s="0" t="s">
        <v>130</v>
      </c>
      <c r="CP2817" s="0" t="s">
        <v>130</v>
      </c>
      <c r="CQ2817" s="0" t="s">
        <v>130</v>
      </c>
      <c r="CR2817" s="0" t="s">
        <v>130</v>
      </c>
      <c r="CS2817" s="0" t="s">
        <v>130</v>
      </c>
      <c r="CT2817" s="0" t="s">
        <v>7612</v>
      </c>
    </row>
    <row r="2818">
      <c r="A2818" s="14">
        <v>7791092</v>
      </c>
      <c r="B2818" s="0" t="s">
        <v>3851</v>
      </c>
      <c r="C2818" s="16">
        <f>HYPERLINK("https://eosportal.federatedhermes.com/companies/Q29tcGFueQppODMyNjU=", "BYD Co Ltd")</f>
      </c>
      <c r="D2818" s="0" t="s">
        <v>23</v>
      </c>
      <c r="E2818" s="0" t="s">
        <v>7613</v>
      </c>
      <c r="F2818" s="16">
        <f>HYPERLINK("https://eosportal.federatedhermes.com/engagements/RW5nYWdlbWVudAppMzkxMDA=", "Health and safety concerns")</f>
      </c>
      <c r="G2818" s="14" t="s">
        <v>7614</v>
      </c>
      <c r="H2818" s="0" t="s">
        <v>141</v>
      </c>
      <c r="I2818" s="14" t="s">
        <v>191</v>
      </c>
      <c r="J2818" s="0" t="s">
        <v>153</v>
      </c>
      <c r="K2818" s="0" t="s">
        <v>154</v>
      </c>
      <c r="L2818" s="0" t="s">
        <v>155</v>
      </c>
      <c r="M2818" s="0" t="s">
        <v>2807</v>
      </c>
      <c r="N2818" s="0" t="s">
        <v>3272</v>
      </c>
      <c r="O2818" s="0" t="s">
        <v>425</v>
      </c>
      <c r="Q2818" s="0" t="s">
        <v>141</v>
      </c>
      <c r="R2818" s="0" t="s">
        <v>130</v>
      </c>
      <c r="S2818" s="14">
        <v>3</v>
      </c>
      <c r="T2818" s="0" t="s">
        <v>4412</v>
      </c>
      <c r="U2818" s="0" t="s">
        <v>221</v>
      </c>
      <c r="V2818" s="14" t="s">
        <v>4412</v>
      </c>
      <c r="W2818" s="0" t="s">
        <v>223</v>
      </c>
      <c r="X2818" s="14" t="s">
        <v>138</v>
      </c>
      <c r="Y2818" s="0" t="s">
        <v>224</v>
      </c>
      <c r="Z2818" s="14" t="s">
        <v>138</v>
      </c>
      <c r="AA2818" s="0" t="s">
        <v>224</v>
      </c>
      <c r="AB2818" s="14" t="s">
        <v>138</v>
      </c>
      <c r="AD2818" s="0" t="s">
        <v>14</v>
      </c>
      <c r="AF2818" s="0">
        <v>0</v>
      </c>
      <c r="AG2818" s="0">
        <v>0</v>
      </c>
      <c r="AH2818" s="0" t="s">
        <v>140</v>
      </c>
      <c r="AI2818" s="0" t="s">
        <v>598</v>
      </c>
      <c r="AK2818" s="0" t="s">
        <v>344</v>
      </c>
      <c r="AL2818" s="14"/>
      <c r="AN2818" s="14"/>
      <c r="AQ2818" s="0" t="s">
        <v>130</v>
      </c>
      <c r="AR2818" s="0" t="s">
        <v>130</v>
      </c>
      <c r="AS2818" s="0" t="s">
        <v>141</v>
      </c>
      <c r="AT2818" s="0" t="s">
        <v>130</v>
      </c>
      <c r="AU2818" s="0" t="s">
        <v>130</v>
      </c>
      <c r="AV2818" s="0" t="s">
        <v>130</v>
      </c>
      <c r="AW2818" s="0" t="s">
        <v>130</v>
      </c>
      <c r="AX2818" s="0" t="s">
        <v>141</v>
      </c>
      <c r="AY2818" s="0" t="s">
        <v>130</v>
      </c>
      <c r="AZ2818" s="0" t="s">
        <v>130</v>
      </c>
      <c r="BA2818" s="0" t="s">
        <v>130</v>
      </c>
      <c r="BB2818" s="0" t="s">
        <v>130</v>
      </c>
      <c r="BC2818" s="0" t="s">
        <v>130</v>
      </c>
      <c r="BD2818" s="0" t="s">
        <v>130</v>
      </c>
      <c r="BE2818" s="0" t="s">
        <v>130</v>
      </c>
      <c r="BF2818" s="0" t="s">
        <v>130</v>
      </c>
      <c r="BG2818" s="0" t="s">
        <v>130</v>
      </c>
      <c r="BH2818" s="0" t="s">
        <v>130</v>
      </c>
      <c r="BI2818" s="0" t="s">
        <v>130</v>
      </c>
      <c r="BJ2818" s="0" t="s">
        <v>130</v>
      </c>
      <c r="BK2818" s="0" t="s">
        <v>130</v>
      </c>
      <c r="BL2818" s="0" t="s">
        <v>130</v>
      </c>
      <c r="BM2818" s="0" t="s">
        <v>130</v>
      </c>
      <c r="BN2818" s="0" t="s">
        <v>130</v>
      </c>
      <c r="BO2818" s="0" t="s">
        <v>130</v>
      </c>
      <c r="BP2818" s="0" t="s">
        <v>130</v>
      </c>
      <c r="BQ2818" s="0" t="s">
        <v>130</v>
      </c>
      <c r="BR2818" s="0" t="s">
        <v>130</v>
      </c>
      <c r="BS2818" s="0" t="s">
        <v>130</v>
      </c>
      <c r="BT2818" s="0" t="s">
        <v>130</v>
      </c>
      <c r="BU2818" s="0" t="s">
        <v>130</v>
      </c>
      <c r="BV2818" s="0" t="s">
        <v>130</v>
      </c>
      <c r="BW2818" s="0" t="s">
        <v>130</v>
      </c>
      <c r="BX2818" s="0" t="s">
        <v>130</v>
      </c>
      <c r="BY2818" s="0" t="s">
        <v>130</v>
      </c>
      <c r="BZ2818" s="0" t="s">
        <v>130</v>
      </c>
      <c r="CA2818" s="0" t="s">
        <v>130</v>
      </c>
      <c r="CB2818" s="0" t="s">
        <v>130</v>
      </c>
      <c r="CC2818" s="0" t="s">
        <v>130</v>
      </c>
      <c r="CD2818" s="0" t="s">
        <v>130</v>
      </c>
      <c r="CE2818" s="0" t="s">
        <v>130</v>
      </c>
      <c r="CF2818" s="0" t="s">
        <v>130</v>
      </c>
      <c r="CG2818" s="0" t="s">
        <v>130</v>
      </c>
      <c r="CH2818" s="0" t="s">
        <v>130</v>
      </c>
      <c r="CI2818" s="0" t="s">
        <v>141</v>
      </c>
      <c r="CJ2818" s="0" t="s">
        <v>130</v>
      </c>
      <c r="CK2818" s="0" t="s">
        <v>130</v>
      </c>
      <c r="CL2818" s="0" t="s">
        <v>130</v>
      </c>
      <c r="CM2818" s="0" t="s">
        <v>130</v>
      </c>
      <c r="CN2818" s="0" t="s">
        <v>130</v>
      </c>
      <c r="CO2818" s="0" t="s">
        <v>130</v>
      </c>
      <c r="CP2818" s="0" t="s">
        <v>130</v>
      </c>
      <c r="CQ2818" s="0" t="s">
        <v>130</v>
      </c>
      <c r="CR2818" s="0" t="s">
        <v>130</v>
      </c>
      <c r="CS2818" s="0" t="s">
        <v>130</v>
      </c>
      <c r="CT2818" s="0" t="s">
        <v>7615</v>
      </c>
    </row>
    <row r="2819">
      <c r="A2819" s="14">
        <v>154561</v>
      </c>
      <c r="B2819" s="0" t="s">
        <v>2966</v>
      </c>
      <c r="C2819" s="16">
        <f>HYPERLINK("https://eosportal.federatedhermes.com/companies/Q29tcGFueQppNzU2ODg=", "Tata Steel Ltd")</f>
      </c>
      <c r="D2819" s="0" t="s">
        <v>23</v>
      </c>
      <c r="E2819" s="0" t="s">
        <v>7616</v>
      </c>
      <c r="F2819" s="16">
        <f>HYPERLINK("https://eosportal.federatedhermes.com/engagements/RW5nYWdlbWVudAppMzkxNDU=", "Interim Scope 1 and 2 emissions reduction target")</f>
      </c>
      <c r="G2819" s="14" t="s">
        <v>7617</v>
      </c>
      <c r="H2819" s="0" t="s">
        <v>141</v>
      </c>
      <c r="I2819" s="14" t="s">
        <v>636</v>
      </c>
      <c r="J2819" s="0" t="s">
        <v>197</v>
      </c>
      <c r="K2819" s="0" t="s">
        <v>198</v>
      </c>
      <c r="L2819" s="0" t="s">
        <v>216</v>
      </c>
      <c r="M2819" s="0" t="s">
        <v>2807</v>
      </c>
      <c r="N2819" s="0" t="s">
        <v>2969</v>
      </c>
      <c r="O2819" s="0" t="s">
        <v>373</v>
      </c>
      <c r="Q2819" s="0" t="s">
        <v>141</v>
      </c>
      <c r="R2819" s="0" t="s">
        <v>130</v>
      </c>
      <c r="S2819" s="14">
        <v>1</v>
      </c>
      <c r="T2819" s="0" t="s">
        <v>583</v>
      </c>
      <c r="U2819" s="0" t="s">
        <v>221</v>
      </c>
      <c r="V2819" s="14" t="s">
        <v>583</v>
      </c>
      <c r="W2819" s="0" t="s">
        <v>221</v>
      </c>
      <c r="X2819" s="14" t="s">
        <v>3562</v>
      </c>
      <c r="Y2819" s="0" t="s">
        <v>223</v>
      </c>
      <c r="Z2819" s="14" t="s">
        <v>138</v>
      </c>
      <c r="AA2819" s="0" t="s">
        <v>224</v>
      </c>
      <c r="AB2819" s="14" t="s">
        <v>138</v>
      </c>
      <c r="AD2819" s="0" t="s">
        <v>17</v>
      </c>
      <c r="AF2819" s="0">
        <v>0</v>
      </c>
      <c r="AG2819" s="0">
        <v>0</v>
      </c>
      <c r="AH2819" s="0" t="s">
        <v>140</v>
      </c>
      <c r="AI2819" s="0" t="s">
        <v>598</v>
      </c>
      <c r="AK2819" s="0" t="s">
        <v>233</v>
      </c>
      <c r="AL2819" s="14"/>
      <c r="AN2819" s="14"/>
      <c r="AQ2819" s="0" t="s">
        <v>130</v>
      </c>
      <c r="AR2819" s="0" t="s">
        <v>130</v>
      </c>
      <c r="AS2819" s="0" t="s">
        <v>130</v>
      </c>
      <c r="AT2819" s="0" t="s">
        <v>130</v>
      </c>
      <c r="AU2819" s="0" t="s">
        <v>130</v>
      </c>
      <c r="AV2819" s="0" t="s">
        <v>130</v>
      </c>
      <c r="AW2819" s="0" t="s">
        <v>141</v>
      </c>
      <c r="AX2819" s="0" t="s">
        <v>130</v>
      </c>
      <c r="AY2819" s="0" t="s">
        <v>130</v>
      </c>
      <c r="AZ2819" s="0" t="s">
        <v>130</v>
      </c>
      <c r="BA2819" s="0" t="s">
        <v>130</v>
      </c>
      <c r="BB2819" s="0" t="s">
        <v>130</v>
      </c>
      <c r="BC2819" s="0" t="s">
        <v>141</v>
      </c>
      <c r="BD2819" s="0" t="s">
        <v>130</v>
      </c>
      <c r="BE2819" s="0" t="s">
        <v>130</v>
      </c>
      <c r="BF2819" s="0" t="s">
        <v>130</v>
      </c>
      <c r="BG2819" s="0" t="s">
        <v>130</v>
      </c>
      <c r="BH2819" s="0" t="s">
        <v>141</v>
      </c>
      <c r="BI2819" s="0" t="s">
        <v>141</v>
      </c>
      <c r="BJ2819" s="0" t="s">
        <v>141</v>
      </c>
      <c r="BK2819" s="0" t="s">
        <v>130</v>
      </c>
      <c r="BL2819" s="0" t="s">
        <v>141</v>
      </c>
      <c r="BM2819" s="0" t="s">
        <v>130</v>
      </c>
      <c r="BN2819" s="0" t="s">
        <v>130</v>
      </c>
      <c r="BO2819" s="0" t="s">
        <v>130</v>
      </c>
      <c r="BP2819" s="0" t="s">
        <v>130</v>
      </c>
      <c r="BQ2819" s="0" t="s">
        <v>130</v>
      </c>
      <c r="BR2819" s="0" t="s">
        <v>130</v>
      </c>
      <c r="BS2819" s="0" t="s">
        <v>130</v>
      </c>
      <c r="BT2819" s="0" t="s">
        <v>130</v>
      </c>
      <c r="BU2819" s="0" t="s">
        <v>130</v>
      </c>
      <c r="BV2819" s="0" t="s">
        <v>141</v>
      </c>
      <c r="BW2819" s="0" t="s">
        <v>141</v>
      </c>
      <c r="BX2819" s="0" t="s">
        <v>130</v>
      </c>
      <c r="BY2819" s="0" t="s">
        <v>130</v>
      </c>
      <c r="BZ2819" s="0" t="s">
        <v>130</v>
      </c>
      <c r="CA2819" s="0" t="s">
        <v>130</v>
      </c>
      <c r="CB2819" s="0" t="s">
        <v>130</v>
      </c>
      <c r="CC2819" s="0" t="s">
        <v>130</v>
      </c>
      <c r="CD2819" s="0" t="s">
        <v>130</v>
      </c>
      <c r="CE2819" s="0" t="s">
        <v>130</v>
      </c>
      <c r="CF2819" s="0" t="s">
        <v>130</v>
      </c>
      <c r="CG2819" s="0" t="s">
        <v>130</v>
      </c>
      <c r="CH2819" s="0" t="s">
        <v>130</v>
      </c>
      <c r="CI2819" s="0" t="s">
        <v>130</v>
      </c>
      <c r="CJ2819" s="0" t="s">
        <v>130</v>
      </c>
      <c r="CK2819" s="0" t="s">
        <v>130</v>
      </c>
      <c r="CL2819" s="0" t="s">
        <v>130</v>
      </c>
      <c r="CM2819" s="0" t="s">
        <v>130</v>
      </c>
      <c r="CN2819" s="0" t="s">
        <v>130</v>
      </c>
      <c r="CO2819" s="0" t="s">
        <v>130</v>
      </c>
      <c r="CP2819" s="0" t="s">
        <v>130</v>
      </c>
      <c r="CQ2819" s="0" t="s">
        <v>130</v>
      </c>
      <c r="CR2819" s="0" t="s">
        <v>130</v>
      </c>
      <c r="CS2819" s="0" t="s">
        <v>130</v>
      </c>
      <c r="CT2819" s="0" t="s">
        <v>7618</v>
      </c>
    </row>
    <row r="2820">
      <c r="A2820" s="14">
        <v>7909359</v>
      </c>
      <c r="B2820" s="0" t="s">
        <v>3859</v>
      </c>
      <c r="C2820" s="16">
        <f>HYPERLINK("https://eosportal.federatedhermes.com/companies/Q29tcGFueQppNzgyNzQ=", "Sumitomo Mitsui Financial Group Inc")</f>
      </c>
      <c r="D2820" s="0" t="s">
        <v>23</v>
      </c>
      <c r="E2820" s="0" t="s">
        <v>7619</v>
      </c>
      <c r="F2820" s="16">
        <f>HYPERLINK("https://eosportal.federatedhermes.com/engagements/RW5nYWdlbWVudAppMzkxNDY=", "Appoint independent chair or lead independent director on the board")</f>
      </c>
      <c r="G2820" s="14" t="s">
        <v>7620</v>
      </c>
      <c r="H2820" s="0" t="s">
        <v>141</v>
      </c>
      <c r="I2820" s="14" t="s">
        <v>191</v>
      </c>
      <c r="J2820" s="0" t="s">
        <v>145</v>
      </c>
      <c r="K2820" s="0" t="s">
        <v>164</v>
      </c>
      <c r="L2820" s="0" t="s">
        <v>970</v>
      </c>
      <c r="M2820" s="0" t="s">
        <v>802</v>
      </c>
      <c r="N2820" s="0" t="s">
        <v>952</v>
      </c>
      <c r="O2820" s="0" t="s">
        <v>238</v>
      </c>
      <c r="Q2820" s="0" t="s">
        <v>130</v>
      </c>
      <c r="R2820" s="0" t="s">
        <v>130</v>
      </c>
      <c r="S2820" s="14">
        <v>0</v>
      </c>
      <c r="T2820" s="0" t="s">
        <v>4412</v>
      </c>
      <c r="U2820" s="0" t="s">
        <v>221</v>
      </c>
      <c r="V2820" s="14" t="s">
        <v>4412</v>
      </c>
      <c r="W2820" s="0" t="s">
        <v>221</v>
      </c>
      <c r="X2820" s="14" t="s">
        <v>4412</v>
      </c>
      <c r="Y2820" s="0" t="s">
        <v>223</v>
      </c>
      <c r="Z2820" s="14" t="s">
        <v>138</v>
      </c>
      <c r="AA2820" s="0" t="s">
        <v>224</v>
      </c>
      <c r="AB2820" s="14" t="s">
        <v>138</v>
      </c>
      <c r="AD2820" s="0" t="s">
        <v>17</v>
      </c>
      <c r="AF2820" s="0">
        <v>0</v>
      </c>
      <c r="AG2820" s="0">
        <v>0</v>
      </c>
      <c r="AH2820" s="0" t="s">
        <v>140</v>
      </c>
      <c r="AI2820" s="0" t="s">
        <v>598</v>
      </c>
      <c r="AL2820" s="14"/>
      <c r="AN2820" s="14"/>
      <c r="AQ2820" s="0" t="s">
        <v>130</v>
      </c>
      <c r="AR2820" s="0" t="s">
        <v>130</v>
      </c>
      <c r="AS2820" s="0" t="s">
        <v>130</v>
      </c>
      <c r="AT2820" s="0" t="s">
        <v>130</v>
      </c>
      <c r="AU2820" s="0" t="s">
        <v>130</v>
      </c>
      <c r="AV2820" s="0" t="s">
        <v>130</v>
      </c>
      <c r="AW2820" s="0" t="s">
        <v>130</v>
      </c>
      <c r="AX2820" s="0" t="s">
        <v>130</v>
      </c>
      <c r="AY2820" s="0" t="s">
        <v>130</v>
      </c>
      <c r="AZ2820" s="0" t="s">
        <v>130</v>
      </c>
      <c r="BA2820" s="0" t="s">
        <v>130</v>
      </c>
      <c r="BB2820" s="0" t="s">
        <v>130</v>
      </c>
      <c r="BC2820" s="0" t="s">
        <v>130</v>
      </c>
      <c r="BD2820" s="0" t="s">
        <v>130</v>
      </c>
      <c r="BE2820" s="0" t="s">
        <v>130</v>
      </c>
      <c r="BF2820" s="0" t="s">
        <v>130</v>
      </c>
      <c r="BG2820" s="0" t="s">
        <v>130</v>
      </c>
      <c r="BH2820" s="0" t="s">
        <v>130</v>
      </c>
      <c r="BI2820" s="0" t="s">
        <v>130</v>
      </c>
      <c r="BJ2820" s="0" t="s">
        <v>130</v>
      </c>
      <c r="BK2820" s="0" t="s">
        <v>130</v>
      </c>
      <c r="BL2820" s="0" t="s">
        <v>130</v>
      </c>
      <c r="BM2820" s="0" t="s">
        <v>130</v>
      </c>
      <c r="BN2820" s="0" t="s">
        <v>130</v>
      </c>
      <c r="BO2820" s="0" t="s">
        <v>130</v>
      </c>
      <c r="BP2820" s="0" t="s">
        <v>130</v>
      </c>
      <c r="BQ2820" s="0" t="s">
        <v>130</v>
      </c>
      <c r="BR2820" s="0" t="s">
        <v>130</v>
      </c>
      <c r="BS2820" s="0" t="s">
        <v>130</v>
      </c>
      <c r="BT2820" s="0" t="s">
        <v>130</v>
      </c>
      <c r="BU2820" s="0" t="s">
        <v>130</v>
      </c>
      <c r="BV2820" s="0" t="s">
        <v>130</v>
      </c>
      <c r="BW2820" s="0" t="s">
        <v>130</v>
      </c>
      <c r="BX2820" s="0" t="s">
        <v>130</v>
      </c>
      <c r="BY2820" s="0" t="s">
        <v>130</v>
      </c>
      <c r="BZ2820" s="0" t="s">
        <v>130</v>
      </c>
      <c r="CA2820" s="0" t="s">
        <v>130</v>
      </c>
      <c r="CB2820" s="0" t="s">
        <v>130</v>
      </c>
      <c r="CC2820" s="0" t="s">
        <v>130</v>
      </c>
      <c r="CD2820" s="0" t="s">
        <v>130</v>
      </c>
      <c r="CE2820" s="0" t="s">
        <v>130</v>
      </c>
      <c r="CF2820" s="0" t="s">
        <v>130</v>
      </c>
      <c r="CG2820" s="0" t="s">
        <v>130</v>
      </c>
      <c r="CH2820" s="0" t="s">
        <v>130</v>
      </c>
      <c r="CI2820" s="0" t="s">
        <v>130</v>
      </c>
      <c r="CJ2820" s="0" t="s">
        <v>130</v>
      </c>
      <c r="CK2820" s="0" t="s">
        <v>130</v>
      </c>
      <c r="CL2820" s="0" t="s">
        <v>130</v>
      </c>
      <c r="CM2820" s="0" t="s">
        <v>130</v>
      </c>
      <c r="CN2820" s="0" t="s">
        <v>130</v>
      </c>
      <c r="CO2820" s="0" t="s">
        <v>130</v>
      </c>
      <c r="CP2820" s="0" t="s">
        <v>130</v>
      </c>
      <c r="CQ2820" s="0" t="s">
        <v>130</v>
      </c>
      <c r="CR2820" s="0" t="s">
        <v>130</v>
      </c>
      <c r="CS2820" s="0" t="s">
        <v>130</v>
      </c>
      <c r="CT2820" s="0" t="s">
        <v>7621</v>
      </c>
    </row>
    <row r="2821">
      <c r="A2821" s="14">
        <v>114151</v>
      </c>
      <c r="B2821" s="0" t="s">
        <v>1981</v>
      </c>
      <c r="C2821" s="16">
        <f>HYPERLINK("https://eosportal.federatedhermes.com/companies/Q29tcGFueQppNzU2OTQ=", "Mitsubishi Corp")</f>
      </c>
      <c r="D2821" s="0" t="s">
        <v>23</v>
      </c>
      <c r="E2821" s="0" t="s">
        <v>1399</v>
      </c>
      <c r="F2821" s="16">
        <f>HYPERLINK("https://eosportal.federatedhermes.com/engagements/RW5nYWdlbWVudAppMzkxNTA=", "Allegiant shareholdings")</f>
      </c>
      <c r="G2821" s="14" t="s">
        <v>7622</v>
      </c>
      <c r="H2821" s="0" t="s">
        <v>141</v>
      </c>
      <c r="I2821" s="14" t="s">
        <v>191</v>
      </c>
      <c r="J2821" s="0" t="s">
        <v>132</v>
      </c>
      <c r="K2821" s="0" t="s">
        <v>133</v>
      </c>
      <c r="L2821" s="0" t="s">
        <v>753</v>
      </c>
      <c r="M2821" s="0" t="s">
        <v>802</v>
      </c>
      <c r="N2821" s="0" t="s">
        <v>952</v>
      </c>
      <c r="O2821" s="0" t="s">
        <v>176</v>
      </c>
      <c r="Q2821" s="0" t="s">
        <v>141</v>
      </c>
      <c r="R2821" s="0" t="s">
        <v>130</v>
      </c>
      <c r="S2821" s="14">
        <v>1</v>
      </c>
      <c r="T2821" s="0" t="s">
        <v>2428</v>
      </c>
      <c r="U2821" s="0" t="s">
        <v>221</v>
      </c>
      <c r="V2821" s="14" t="s">
        <v>2428</v>
      </c>
      <c r="W2821" s="0" t="s">
        <v>221</v>
      </c>
      <c r="X2821" s="14" t="s">
        <v>4412</v>
      </c>
      <c r="Y2821" s="0" t="s">
        <v>223</v>
      </c>
      <c r="Z2821" s="14" t="s">
        <v>138</v>
      </c>
      <c r="AA2821" s="0" t="s">
        <v>224</v>
      </c>
      <c r="AB2821" s="14" t="s">
        <v>138</v>
      </c>
      <c r="AD2821" s="0" t="s">
        <v>17</v>
      </c>
      <c r="AF2821" s="0">
        <v>0</v>
      </c>
      <c r="AG2821" s="0">
        <v>0</v>
      </c>
      <c r="AH2821" s="0" t="s">
        <v>140</v>
      </c>
      <c r="AI2821" s="0" t="s">
        <v>598</v>
      </c>
      <c r="AK2821" s="0" t="s">
        <v>1984</v>
      </c>
      <c r="AL2821" s="14"/>
      <c r="AN2821" s="14"/>
      <c r="AQ2821" s="0" t="s">
        <v>130</v>
      </c>
      <c r="AR2821" s="0" t="s">
        <v>130</v>
      </c>
      <c r="AS2821" s="0" t="s">
        <v>130</v>
      </c>
      <c r="AT2821" s="0" t="s">
        <v>130</v>
      </c>
      <c r="AU2821" s="0" t="s">
        <v>130</v>
      </c>
      <c r="AV2821" s="0" t="s">
        <v>130</v>
      </c>
      <c r="AW2821" s="0" t="s">
        <v>130</v>
      </c>
      <c r="AX2821" s="0" t="s">
        <v>130</v>
      </c>
      <c r="AY2821" s="0" t="s">
        <v>130</v>
      </c>
      <c r="AZ2821" s="0" t="s">
        <v>130</v>
      </c>
      <c r="BA2821" s="0" t="s">
        <v>130</v>
      </c>
      <c r="BB2821" s="0" t="s">
        <v>130</v>
      </c>
      <c r="BC2821" s="0" t="s">
        <v>130</v>
      </c>
      <c r="BD2821" s="0" t="s">
        <v>130</v>
      </c>
      <c r="BE2821" s="0" t="s">
        <v>130</v>
      </c>
      <c r="BF2821" s="0" t="s">
        <v>130</v>
      </c>
      <c r="BG2821" s="0" t="s">
        <v>130</v>
      </c>
      <c r="BH2821" s="0" t="s">
        <v>130</v>
      </c>
      <c r="BI2821" s="0" t="s">
        <v>130</v>
      </c>
      <c r="BJ2821" s="0" t="s">
        <v>130</v>
      </c>
      <c r="BK2821" s="0" t="s">
        <v>130</v>
      </c>
      <c r="BL2821" s="0" t="s">
        <v>130</v>
      </c>
      <c r="BM2821" s="0" t="s">
        <v>130</v>
      </c>
      <c r="BN2821" s="0" t="s">
        <v>130</v>
      </c>
      <c r="BO2821" s="0" t="s">
        <v>130</v>
      </c>
      <c r="BP2821" s="0" t="s">
        <v>130</v>
      </c>
      <c r="BQ2821" s="0" t="s">
        <v>130</v>
      </c>
      <c r="BR2821" s="0" t="s">
        <v>130</v>
      </c>
      <c r="BS2821" s="0" t="s">
        <v>130</v>
      </c>
      <c r="BT2821" s="0" t="s">
        <v>130</v>
      </c>
      <c r="BU2821" s="0" t="s">
        <v>130</v>
      </c>
      <c r="BV2821" s="0" t="s">
        <v>130</v>
      </c>
      <c r="BW2821" s="0" t="s">
        <v>130</v>
      </c>
      <c r="BX2821" s="0" t="s">
        <v>130</v>
      </c>
      <c r="BY2821" s="0" t="s">
        <v>130</v>
      </c>
      <c r="BZ2821" s="0" t="s">
        <v>130</v>
      </c>
      <c r="CA2821" s="0" t="s">
        <v>130</v>
      </c>
      <c r="CB2821" s="0" t="s">
        <v>130</v>
      </c>
      <c r="CC2821" s="0" t="s">
        <v>130</v>
      </c>
      <c r="CD2821" s="0" t="s">
        <v>130</v>
      </c>
      <c r="CE2821" s="0" t="s">
        <v>130</v>
      </c>
      <c r="CF2821" s="0" t="s">
        <v>130</v>
      </c>
      <c r="CG2821" s="0" t="s">
        <v>130</v>
      </c>
      <c r="CH2821" s="0" t="s">
        <v>130</v>
      </c>
      <c r="CI2821" s="0" t="s">
        <v>130</v>
      </c>
      <c r="CJ2821" s="0" t="s">
        <v>130</v>
      </c>
      <c r="CK2821" s="0" t="s">
        <v>130</v>
      </c>
      <c r="CL2821" s="0" t="s">
        <v>130</v>
      </c>
      <c r="CM2821" s="0" t="s">
        <v>130</v>
      </c>
      <c r="CN2821" s="0" t="s">
        <v>130</v>
      </c>
      <c r="CO2821" s="0" t="s">
        <v>130</v>
      </c>
      <c r="CP2821" s="0" t="s">
        <v>130</v>
      </c>
      <c r="CQ2821" s="0" t="s">
        <v>130</v>
      </c>
      <c r="CR2821" s="0" t="s">
        <v>130</v>
      </c>
      <c r="CS2821" s="0" t="s">
        <v>130</v>
      </c>
      <c r="CT2821" s="0" t="s">
        <v>7623</v>
      </c>
    </row>
    <row r="2822">
      <c r="A2822" s="14">
        <v>129309</v>
      </c>
      <c r="B2822" s="0" t="s">
        <v>2992</v>
      </c>
      <c r="C2822" s="16">
        <f>HYPERLINK("https://eosportal.federatedhermes.com/companies/Q29tcGFueQppNzc5MzY=", "POSCO Holdings Inc")</f>
      </c>
      <c r="D2822" s="0" t="s">
        <v>23</v>
      </c>
      <c r="E2822" s="0" t="s">
        <v>7624</v>
      </c>
      <c r="F2822" s="16">
        <f>HYPERLINK("https://eosportal.federatedhermes.com/engagements/RW5nYWdlbWVudAppMzkxNTE=", "Methane mitigation strategy")</f>
      </c>
      <c r="G2822" s="14" t="s">
        <v>7625</v>
      </c>
      <c r="H2822" s="0" t="s">
        <v>141</v>
      </c>
      <c r="I2822" s="14" t="s">
        <v>191</v>
      </c>
      <c r="J2822" s="0" t="s">
        <v>197</v>
      </c>
      <c r="K2822" s="0" t="s">
        <v>198</v>
      </c>
      <c r="L2822" s="0" t="s">
        <v>220</v>
      </c>
      <c r="M2822" s="0" t="s">
        <v>802</v>
      </c>
      <c r="N2822" s="0" t="s">
        <v>2800</v>
      </c>
      <c r="O2822" s="0" t="s">
        <v>373</v>
      </c>
      <c r="Q2822" s="0" t="s">
        <v>130</v>
      </c>
      <c r="R2822" s="0" t="s">
        <v>130</v>
      </c>
      <c r="S2822" s="14">
        <v>0</v>
      </c>
      <c r="T2822" s="0" t="s">
        <v>4412</v>
      </c>
      <c r="U2822" s="0" t="s">
        <v>221</v>
      </c>
      <c r="V2822" s="14" t="s">
        <v>4412</v>
      </c>
      <c r="W2822" s="0" t="s">
        <v>223</v>
      </c>
      <c r="X2822" s="14" t="s">
        <v>138</v>
      </c>
      <c r="Y2822" s="0" t="s">
        <v>224</v>
      </c>
      <c r="Z2822" s="14" t="s">
        <v>138</v>
      </c>
      <c r="AA2822" s="0" t="s">
        <v>224</v>
      </c>
      <c r="AB2822" s="14" t="s">
        <v>138</v>
      </c>
      <c r="AD2822" s="0" t="s">
        <v>14</v>
      </c>
      <c r="AF2822" s="0">
        <v>0</v>
      </c>
      <c r="AG2822" s="0">
        <v>0</v>
      </c>
      <c r="AH2822" s="0" t="s">
        <v>140</v>
      </c>
      <c r="AI2822" s="0" t="s">
        <v>598</v>
      </c>
      <c r="AL2822" s="14"/>
      <c r="AN2822" s="14"/>
      <c r="AQ2822" s="0" t="s">
        <v>130</v>
      </c>
      <c r="AR2822" s="0" t="s">
        <v>130</v>
      </c>
      <c r="AS2822" s="0" t="s">
        <v>130</v>
      </c>
      <c r="AT2822" s="0" t="s">
        <v>130</v>
      </c>
      <c r="AU2822" s="0" t="s">
        <v>130</v>
      </c>
      <c r="AV2822" s="0" t="s">
        <v>130</v>
      </c>
      <c r="AW2822" s="0" t="s">
        <v>141</v>
      </c>
      <c r="AX2822" s="0" t="s">
        <v>130</v>
      </c>
      <c r="AY2822" s="0" t="s">
        <v>141</v>
      </c>
      <c r="AZ2822" s="0" t="s">
        <v>130</v>
      </c>
      <c r="BA2822" s="0" t="s">
        <v>130</v>
      </c>
      <c r="BB2822" s="0" t="s">
        <v>130</v>
      </c>
      <c r="BC2822" s="0" t="s">
        <v>141</v>
      </c>
      <c r="BD2822" s="0" t="s">
        <v>130</v>
      </c>
      <c r="BE2822" s="0" t="s">
        <v>130</v>
      </c>
      <c r="BF2822" s="0" t="s">
        <v>130</v>
      </c>
      <c r="BG2822" s="0" t="s">
        <v>130</v>
      </c>
      <c r="BH2822" s="0" t="s">
        <v>130</v>
      </c>
      <c r="BI2822" s="0" t="s">
        <v>130</v>
      </c>
      <c r="BJ2822" s="0" t="s">
        <v>130</v>
      </c>
      <c r="BK2822" s="0" t="s">
        <v>130</v>
      </c>
      <c r="BL2822" s="0" t="s">
        <v>130</v>
      </c>
      <c r="BM2822" s="0" t="s">
        <v>130</v>
      </c>
      <c r="BN2822" s="0" t="s">
        <v>130</v>
      </c>
      <c r="BO2822" s="0" t="s">
        <v>130</v>
      </c>
      <c r="BP2822" s="0" t="s">
        <v>130</v>
      </c>
      <c r="BQ2822" s="0" t="s">
        <v>130</v>
      </c>
      <c r="BR2822" s="0" t="s">
        <v>130</v>
      </c>
      <c r="BS2822" s="0" t="s">
        <v>130</v>
      </c>
      <c r="BT2822" s="0" t="s">
        <v>130</v>
      </c>
      <c r="BU2822" s="0" t="s">
        <v>130</v>
      </c>
      <c r="BV2822" s="0" t="s">
        <v>130</v>
      </c>
      <c r="BW2822" s="0" t="s">
        <v>130</v>
      </c>
      <c r="BX2822" s="0" t="s">
        <v>130</v>
      </c>
      <c r="BY2822" s="0" t="s">
        <v>130</v>
      </c>
      <c r="BZ2822" s="0" t="s">
        <v>130</v>
      </c>
      <c r="CA2822" s="0" t="s">
        <v>130</v>
      </c>
      <c r="CB2822" s="0" t="s">
        <v>130</v>
      </c>
      <c r="CC2822" s="0" t="s">
        <v>130</v>
      </c>
      <c r="CD2822" s="0" t="s">
        <v>130</v>
      </c>
      <c r="CE2822" s="0" t="s">
        <v>130</v>
      </c>
      <c r="CF2822" s="0" t="s">
        <v>130</v>
      </c>
      <c r="CG2822" s="0" t="s">
        <v>130</v>
      </c>
      <c r="CH2822" s="0" t="s">
        <v>130</v>
      </c>
      <c r="CI2822" s="0" t="s">
        <v>130</v>
      </c>
      <c r="CJ2822" s="0" t="s">
        <v>130</v>
      </c>
      <c r="CK2822" s="0" t="s">
        <v>130</v>
      </c>
      <c r="CL2822" s="0" t="s">
        <v>130</v>
      </c>
      <c r="CM2822" s="0" t="s">
        <v>130</v>
      </c>
      <c r="CN2822" s="0" t="s">
        <v>130</v>
      </c>
      <c r="CO2822" s="0" t="s">
        <v>130</v>
      </c>
      <c r="CP2822" s="0" t="s">
        <v>130</v>
      </c>
      <c r="CQ2822" s="0" t="s">
        <v>130</v>
      </c>
      <c r="CR2822" s="0" t="s">
        <v>130</v>
      </c>
      <c r="CS2822" s="0" t="s">
        <v>130</v>
      </c>
      <c r="CT2822" s="0" t="s">
        <v>7626</v>
      </c>
    </row>
    <row r="2823">
      <c r="A2823" s="14">
        <v>101365</v>
      </c>
      <c r="B2823" s="0" t="s">
        <v>1493</v>
      </c>
      <c r="C2823" s="16">
        <f>HYPERLINK("https://eosportal.federatedhermes.com/companies/Q29tcGFueQppNTQ1MjA=", "Sony Group Corp")</f>
      </c>
      <c r="D2823" s="0" t="s">
        <v>25</v>
      </c>
      <c r="E2823" s="0" t="s">
        <v>7627</v>
      </c>
      <c r="F2823" s="16">
        <f>HYPERLINK("https://eosportal.federatedhermes.com/engagements/RW5nYWdlbWVudAppMzkxNjA=", "Labour rights controversy")</f>
      </c>
      <c r="G2823" s="14" t="s">
        <v>7628</v>
      </c>
      <c r="H2823" s="0" t="s">
        <v>141</v>
      </c>
      <c r="I2823" s="14" t="s">
        <v>191</v>
      </c>
      <c r="J2823" s="0" t="s">
        <v>153</v>
      </c>
      <c r="K2823" s="0" t="s">
        <v>243</v>
      </c>
      <c r="L2823" s="0" t="s">
        <v>244</v>
      </c>
      <c r="M2823" s="0" t="s">
        <v>802</v>
      </c>
      <c r="N2823" s="0" t="s">
        <v>952</v>
      </c>
      <c r="O2823" s="0" t="s">
        <v>1125</v>
      </c>
      <c r="Q2823" s="0" t="s">
        <v>141</v>
      </c>
      <c r="R2823" s="0" t="s">
        <v>138</v>
      </c>
      <c r="S2823" s="14">
        <v>2</v>
      </c>
      <c r="T2823" s="0" t="s">
        <v>2842</v>
      </c>
      <c r="U2823" s="0" t="s">
        <v>138</v>
      </c>
      <c r="V2823" s="14" t="s">
        <v>138</v>
      </c>
      <c r="W2823" s="0" t="s">
        <v>138</v>
      </c>
      <c r="X2823" s="14" t="s">
        <v>138</v>
      </c>
      <c r="Y2823" s="0" t="s">
        <v>138</v>
      </c>
      <c r="Z2823" s="14" t="s">
        <v>138</v>
      </c>
      <c r="AA2823" s="0" t="s">
        <v>138</v>
      </c>
      <c r="AB2823" s="14" t="s">
        <v>138</v>
      </c>
      <c r="AD2823" s="0" t="s">
        <v>138</v>
      </c>
      <c r="AF2823" s="0">
        <v>0</v>
      </c>
      <c r="AG2823" s="0">
        <v>0</v>
      </c>
      <c r="AH2823" s="0" t="s">
        <v>140</v>
      </c>
      <c r="AI2823" s="0" t="s">
        <v>138</v>
      </c>
      <c r="AK2823" s="0" t="s">
        <v>1196</v>
      </c>
      <c r="AL2823" s="14"/>
      <c r="AN2823" s="14"/>
      <c r="AQ2823" s="0" t="s">
        <v>130</v>
      </c>
      <c r="AR2823" s="0" t="s">
        <v>130</v>
      </c>
      <c r="AS2823" s="0" t="s">
        <v>130</v>
      </c>
      <c r="AT2823" s="0" t="s">
        <v>130</v>
      </c>
      <c r="AU2823" s="0" t="s">
        <v>130</v>
      </c>
      <c r="AV2823" s="0" t="s">
        <v>130</v>
      </c>
      <c r="AW2823" s="0" t="s">
        <v>130</v>
      </c>
      <c r="AX2823" s="0" t="s">
        <v>141</v>
      </c>
      <c r="AY2823" s="0" t="s">
        <v>130</v>
      </c>
      <c r="AZ2823" s="0" t="s">
        <v>130</v>
      </c>
      <c r="BA2823" s="0" t="s">
        <v>130</v>
      </c>
      <c r="BB2823" s="0" t="s">
        <v>130</v>
      </c>
      <c r="BC2823" s="0" t="s">
        <v>130</v>
      </c>
      <c r="BD2823" s="0" t="s">
        <v>130</v>
      </c>
      <c r="BE2823" s="0" t="s">
        <v>130</v>
      </c>
      <c r="BF2823" s="0" t="s">
        <v>130</v>
      </c>
      <c r="BG2823" s="0" t="s">
        <v>130</v>
      </c>
      <c r="BH2823" s="0" t="s">
        <v>130</v>
      </c>
      <c r="BI2823" s="0" t="s">
        <v>130</v>
      </c>
      <c r="BJ2823" s="0" t="s">
        <v>130</v>
      </c>
      <c r="BK2823" s="0" t="s">
        <v>130</v>
      </c>
      <c r="BL2823" s="0" t="s">
        <v>130</v>
      </c>
      <c r="BM2823" s="0" t="s">
        <v>130</v>
      </c>
      <c r="BN2823" s="0" t="s">
        <v>130</v>
      </c>
      <c r="BO2823" s="0" t="s">
        <v>130</v>
      </c>
      <c r="BP2823" s="0" t="s">
        <v>141</v>
      </c>
      <c r="BQ2823" s="0" t="s">
        <v>130</v>
      </c>
      <c r="BR2823" s="0" t="s">
        <v>130</v>
      </c>
      <c r="BS2823" s="0" t="s">
        <v>130</v>
      </c>
      <c r="BT2823" s="0" t="s">
        <v>130</v>
      </c>
      <c r="BU2823" s="0" t="s">
        <v>130</v>
      </c>
      <c r="BV2823" s="0" t="s">
        <v>130</v>
      </c>
      <c r="BW2823" s="0" t="s">
        <v>130</v>
      </c>
      <c r="BX2823" s="0" t="s">
        <v>130</v>
      </c>
      <c r="BY2823" s="0" t="s">
        <v>130</v>
      </c>
      <c r="BZ2823" s="0" t="s">
        <v>130</v>
      </c>
      <c r="CA2823" s="0" t="s">
        <v>130</v>
      </c>
      <c r="CB2823" s="0" t="s">
        <v>130</v>
      </c>
      <c r="CC2823" s="0" t="s">
        <v>130</v>
      </c>
      <c r="CD2823" s="0" t="s">
        <v>130</v>
      </c>
      <c r="CE2823" s="0" t="s">
        <v>130</v>
      </c>
      <c r="CF2823" s="0" t="s">
        <v>130</v>
      </c>
      <c r="CG2823" s="0" t="s">
        <v>130</v>
      </c>
      <c r="CH2823" s="0" t="s">
        <v>130</v>
      </c>
      <c r="CI2823" s="0" t="s">
        <v>130</v>
      </c>
      <c r="CJ2823" s="0" t="s">
        <v>130</v>
      </c>
      <c r="CK2823" s="0" t="s">
        <v>130</v>
      </c>
      <c r="CL2823" s="0" t="s">
        <v>130</v>
      </c>
      <c r="CM2823" s="0" t="s">
        <v>130</v>
      </c>
      <c r="CN2823" s="0" t="s">
        <v>141</v>
      </c>
      <c r="CO2823" s="0" t="s">
        <v>130</v>
      </c>
      <c r="CP2823" s="0" t="s">
        <v>130</v>
      </c>
      <c r="CQ2823" s="0" t="s">
        <v>130</v>
      </c>
      <c r="CR2823" s="0" t="s">
        <v>130</v>
      </c>
      <c r="CS2823" s="0" t="s">
        <v>130</v>
      </c>
      <c r="CT2823" s="0" t="s">
        <v>7629</v>
      </c>
    </row>
    <row r="2824">
      <c r="A2824" s="14">
        <v>112319</v>
      </c>
      <c r="B2824" s="0" t="s">
        <v>4913</v>
      </c>
      <c r="C2824" s="16">
        <f>HYPERLINK("https://eosportal.federatedhermes.com/companies/Q29tcGFueQppNjI0NzU=", "Standard Chartered PLC")</f>
      </c>
      <c r="D2824" s="0" t="s">
        <v>25</v>
      </c>
      <c r="E2824" s="0" t="s">
        <v>7630</v>
      </c>
      <c r="F2824" s="16">
        <f>HYPERLINK("https://eosportal.federatedhermes.com/engagements/RW5nYWdlbWVudAppMzkxNzE=", "Executive remuneration - excessive pay ratio")</f>
      </c>
      <c r="G2824" s="14" t="s">
        <v>7631</v>
      </c>
      <c r="H2824" s="0" t="s">
        <v>141</v>
      </c>
      <c r="I2824" s="14" t="s">
        <v>191</v>
      </c>
      <c r="J2824" s="0" t="s">
        <v>145</v>
      </c>
      <c r="K2824" s="0" t="s">
        <v>146</v>
      </c>
      <c r="L2824" s="0" t="s">
        <v>147</v>
      </c>
      <c r="M2824" s="0" t="s">
        <v>272</v>
      </c>
      <c r="N2824" s="0" t="s">
        <v>273</v>
      </c>
      <c r="O2824" s="0" t="s">
        <v>238</v>
      </c>
      <c r="Q2824" s="0" t="s">
        <v>141</v>
      </c>
      <c r="R2824" s="0" t="s">
        <v>138</v>
      </c>
      <c r="S2824" s="14">
        <v>1</v>
      </c>
      <c r="T2824" s="0" t="s">
        <v>4412</v>
      </c>
      <c r="U2824" s="0" t="s">
        <v>138</v>
      </c>
      <c r="V2824" s="14" t="s">
        <v>138</v>
      </c>
      <c r="W2824" s="0" t="s">
        <v>138</v>
      </c>
      <c r="X2824" s="14" t="s">
        <v>138</v>
      </c>
      <c r="Y2824" s="0" t="s">
        <v>138</v>
      </c>
      <c r="Z2824" s="14" t="s">
        <v>138</v>
      </c>
      <c r="AA2824" s="0" t="s">
        <v>138</v>
      </c>
      <c r="AB2824" s="14" t="s">
        <v>138</v>
      </c>
      <c r="AD2824" s="0" t="s">
        <v>138</v>
      </c>
      <c r="AF2824" s="0">
        <v>0</v>
      </c>
      <c r="AG2824" s="0">
        <v>0</v>
      </c>
      <c r="AH2824" s="0" t="s">
        <v>140</v>
      </c>
      <c r="AI2824" s="0" t="s">
        <v>138</v>
      </c>
      <c r="AK2824" s="0" t="s">
        <v>1151</v>
      </c>
      <c r="AL2824" s="14"/>
      <c r="AN2824" s="14"/>
      <c r="AQ2824" s="0" t="s">
        <v>130</v>
      </c>
      <c r="AR2824" s="0" t="s">
        <v>130</v>
      </c>
      <c r="AS2824" s="0" t="s">
        <v>130</v>
      </c>
      <c r="AT2824" s="0" t="s">
        <v>130</v>
      </c>
      <c r="AU2824" s="0" t="s">
        <v>130</v>
      </c>
      <c r="AV2824" s="0" t="s">
        <v>130</v>
      </c>
      <c r="AW2824" s="0" t="s">
        <v>130</v>
      </c>
      <c r="AX2824" s="0" t="s">
        <v>130</v>
      </c>
      <c r="AY2824" s="0" t="s">
        <v>130</v>
      </c>
      <c r="AZ2824" s="0" t="s">
        <v>130</v>
      </c>
      <c r="BA2824" s="0" t="s">
        <v>130</v>
      </c>
      <c r="BB2824" s="0" t="s">
        <v>130</v>
      </c>
      <c r="BC2824" s="0" t="s">
        <v>130</v>
      </c>
      <c r="BD2824" s="0" t="s">
        <v>130</v>
      </c>
      <c r="BE2824" s="0" t="s">
        <v>130</v>
      </c>
      <c r="BF2824" s="0" t="s">
        <v>130</v>
      </c>
      <c r="BG2824" s="0" t="s">
        <v>130</v>
      </c>
      <c r="BH2824" s="0" t="s">
        <v>130</v>
      </c>
      <c r="BI2824" s="0" t="s">
        <v>130</v>
      </c>
      <c r="BJ2824" s="0" t="s">
        <v>130</v>
      </c>
      <c r="BK2824" s="0" t="s">
        <v>130</v>
      </c>
      <c r="BL2824" s="0" t="s">
        <v>130</v>
      </c>
      <c r="BM2824" s="0" t="s">
        <v>130</v>
      </c>
      <c r="BN2824" s="0" t="s">
        <v>130</v>
      </c>
      <c r="BO2824" s="0" t="s">
        <v>130</v>
      </c>
      <c r="BP2824" s="0" t="s">
        <v>130</v>
      </c>
      <c r="BQ2824" s="0" t="s">
        <v>130</v>
      </c>
      <c r="BR2824" s="0" t="s">
        <v>130</v>
      </c>
      <c r="BS2824" s="0" t="s">
        <v>130</v>
      </c>
      <c r="BT2824" s="0" t="s">
        <v>130</v>
      </c>
      <c r="BU2824" s="0" t="s">
        <v>130</v>
      </c>
      <c r="BV2824" s="0" t="s">
        <v>130</v>
      </c>
      <c r="BW2824" s="0" t="s">
        <v>130</v>
      </c>
      <c r="BX2824" s="0" t="s">
        <v>130</v>
      </c>
      <c r="BY2824" s="0" t="s">
        <v>130</v>
      </c>
      <c r="BZ2824" s="0" t="s">
        <v>130</v>
      </c>
      <c r="CA2824" s="0" t="s">
        <v>130</v>
      </c>
      <c r="CB2824" s="0" t="s">
        <v>130</v>
      </c>
      <c r="CC2824" s="0" t="s">
        <v>130</v>
      </c>
      <c r="CD2824" s="0" t="s">
        <v>130</v>
      </c>
      <c r="CE2824" s="0" t="s">
        <v>130</v>
      </c>
      <c r="CF2824" s="0" t="s">
        <v>130</v>
      </c>
      <c r="CG2824" s="0" t="s">
        <v>130</v>
      </c>
      <c r="CH2824" s="0" t="s">
        <v>130</v>
      </c>
      <c r="CI2824" s="0" t="s">
        <v>130</v>
      </c>
      <c r="CJ2824" s="0" t="s">
        <v>130</v>
      </c>
      <c r="CK2824" s="0" t="s">
        <v>130</v>
      </c>
      <c r="CL2824" s="0" t="s">
        <v>141</v>
      </c>
      <c r="CM2824" s="0" t="s">
        <v>130</v>
      </c>
      <c r="CN2824" s="0" t="s">
        <v>130</v>
      </c>
      <c r="CO2824" s="0" t="s">
        <v>130</v>
      </c>
      <c r="CP2824" s="0" t="s">
        <v>130</v>
      </c>
      <c r="CQ2824" s="0" t="s">
        <v>130</v>
      </c>
      <c r="CR2824" s="0" t="s">
        <v>130</v>
      </c>
      <c r="CS2824" s="0" t="s">
        <v>130</v>
      </c>
      <c r="CT2824" s="0" t="s">
        <v>7632</v>
      </c>
    </row>
    <row r="2825">
      <c r="A2825" s="14">
        <v>112319</v>
      </c>
      <c r="B2825" s="0" t="s">
        <v>4913</v>
      </c>
      <c r="C2825" s="16">
        <f>HYPERLINK("https://eosportal.federatedhermes.com/companies/Q29tcGFueQppNjI0NzU=", "Standard Chartered PLC")</f>
      </c>
      <c r="D2825" s="0" t="s">
        <v>25</v>
      </c>
      <c r="E2825" s="0" t="s">
        <v>7633</v>
      </c>
      <c r="F2825" s="16">
        <f>HYPERLINK("https://eosportal.federatedhermes.com/engagements/RW5nYWdlbWVudAppMzkxNzI=", "Executive remuneration - performance-linked variable remuneration")</f>
      </c>
      <c r="G2825" s="14" t="s">
        <v>7634</v>
      </c>
      <c r="H2825" s="0" t="s">
        <v>141</v>
      </c>
      <c r="I2825" s="14" t="s">
        <v>191</v>
      </c>
      <c r="J2825" s="0" t="s">
        <v>145</v>
      </c>
      <c r="K2825" s="0" t="s">
        <v>146</v>
      </c>
      <c r="L2825" s="0" t="s">
        <v>147</v>
      </c>
      <c r="M2825" s="0" t="s">
        <v>272</v>
      </c>
      <c r="N2825" s="0" t="s">
        <v>273</v>
      </c>
      <c r="O2825" s="0" t="s">
        <v>238</v>
      </c>
      <c r="Q2825" s="0" t="s">
        <v>130</v>
      </c>
      <c r="R2825" s="0" t="s">
        <v>138</v>
      </c>
      <c r="S2825" s="14">
        <v>0</v>
      </c>
      <c r="T2825" s="0" t="s">
        <v>4412</v>
      </c>
      <c r="U2825" s="0" t="s">
        <v>138</v>
      </c>
      <c r="V2825" s="14" t="s">
        <v>138</v>
      </c>
      <c r="W2825" s="0" t="s">
        <v>138</v>
      </c>
      <c r="X2825" s="14" t="s">
        <v>138</v>
      </c>
      <c r="Y2825" s="0" t="s">
        <v>138</v>
      </c>
      <c r="Z2825" s="14" t="s">
        <v>138</v>
      </c>
      <c r="AA2825" s="0" t="s">
        <v>138</v>
      </c>
      <c r="AB2825" s="14" t="s">
        <v>138</v>
      </c>
      <c r="AD2825" s="0" t="s">
        <v>138</v>
      </c>
      <c r="AF2825" s="0">
        <v>0</v>
      </c>
      <c r="AG2825" s="0">
        <v>0</v>
      </c>
      <c r="AH2825" s="0" t="s">
        <v>140</v>
      </c>
      <c r="AI2825" s="0" t="s">
        <v>138</v>
      </c>
      <c r="AL2825" s="14"/>
      <c r="AN2825" s="14"/>
      <c r="AQ2825" s="0" t="s">
        <v>130</v>
      </c>
      <c r="AR2825" s="0" t="s">
        <v>130</v>
      </c>
      <c r="AS2825" s="0" t="s">
        <v>130</v>
      </c>
      <c r="AT2825" s="0" t="s">
        <v>130</v>
      </c>
      <c r="AU2825" s="0" t="s">
        <v>130</v>
      </c>
      <c r="AV2825" s="0" t="s">
        <v>130</v>
      </c>
      <c r="AW2825" s="0" t="s">
        <v>130</v>
      </c>
      <c r="AX2825" s="0" t="s">
        <v>130</v>
      </c>
      <c r="AY2825" s="0" t="s">
        <v>130</v>
      </c>
      <c r="AZ2825" s="0" t="s">
        <v>130</v>
      </c>
      <c r="BA2825" s="0" t="s">
        <v>130</v>
      </c>
      <c r="BB2825" s="0" t="s">
        <v>130</v>
      </c>
      <c r="BC2825" s="0" t="s">
        <v>130</v>
      </c>
      <c r="BD2825" s="0" t="s">
        <v>130</v>
      </c>
      <c r="BE2825" s="0" t="s">
        <v>130</v>
      </c>
      <c r="BF2825" s="0" t="s">
        <v>130</v>
      </c>
      <c r="BG2825" s="0" t="s">
        <v>130</v>
      </c>
      <c r="BH2825" s="0" t="s">
        <v>130</v>
      </c>
      <c r="BI2825" s="0" t="s">
        <v>130</v>
      </c>
      <c r="BJ2825" s="0" t="s">
        <v>130</v>
      </c>
      <c r="BK2825" s="0" t="s">
        <v>130</v>
      </c>
      <c r="BL2825" s="0" t="s">
        <v>130</v>
      </c>
      <c r="BM2825" s="0" t="s">
        <v>130</v>
      </c>
      <c r="BN2825" s="0" t="s">
        <v>130</v>
      </c>
      <c r="BO2825" s="0" t="s">
        <v>130</v>
      </c>
      <c r="BP2825" s="0" t="s">
        <v>130</v>
      </c>
      <c r="BQ2825" s="0" t="s">
        <v>130</v>
      </c>
      <c r="BR2825" s="0" t="s">
        <v>130</v>
      </c>
      <c r="BS2825" s="0" t="s">
        <v>130</v>
      </c>
      <c r="BT2825" s="0" t="s">
        <v>130</v>
      </c>
      <c r="BU2825" s="0" t="s">
        <v>130</v>
      </c>
      <c r="BV2825" s="0" t="s">
        <v>130</v>
      </c>
      <c r="BW2825" s="0" t="s">
        <v>130</v>
      </c>
      <c r="BX2825" s="0" t="s">
        <v>130</v>
      </c>
      <c r="BY2825" s="0" t="s">
        <v>130</v>
      </c>
      <c r="BZ2825" s="0" t="s">
        <v>130</v>
      </c>
      <c r="CA2825" s="0" t="s">
        <v>130</v>
      </c>
      <c r="CB2825" s="0" t="s">
        <v>130</v>
      </c>
      <c r="CC2825" s="0" t="s">
        <v>130</v>
      </c>
      <c r="CD2825" s="0" t="s">
        <v>130</v>
      </c>
      <c r="CE2825" s="0" t="s">
        <v>130</v>
      </c>
      <c r="CF2825" s="0" t="s">
        <v>130</v>
      </c>
      <c r="CG2825" s="0" t="s">
        <v>130</v>
      </c>
      <c r="CH2825" s="0" t="s">
        <v>130</v>
      </c>
      <c r="CI2825" s="0" t="s">
        <v>130</v>
      </c>
      <c r="CJ2825" s="0" t="s">
        <v>130</v>
      </c>
      <c r="CK2825" s="0" t="s">
        <v>130</v>
      </c>
      <c r="CL2825" s="0" t="s">
        <v>141</v>
      </c>
      <c r="CM2825" s="0" t="s">
        <v>130</v>
      </c>
      <c r="CN2825" s="0" t="s">
        <v>130</v>
      </c>
      <c r="CO2825" s="0" t="s">
        <v>130</v>
      </c>
      <c r="CP2825" s="0" t="s">
        <v>130</v>
      </c>
      <c r="CQ2825" s="0" t="s">
        <v>130</v>
      </c>
      <c r="CR2825" s="0" t="s">
        <v>130</v>
      </c>
      <c r="CS2825" s="0" t="s">
        <v>130</v>
      </c>
      <c r="CT2825" s="0" t="s">
        <v>7635</v>
      </c>
    </row>
    <row r="2826">
      <c r="A2826" s="14">
        <v>112319</v>
      </c>
      <c r="B2826" s="0" t="s">
        <v>4913</v>
      </c>
      <c r="C2826" s="16">
        <f>HYPERLINK("https://eosportal.federatedhermes.com/companies/Q29tcGFueQppNjI0NzU=", "Standard Chartered PLC")</f>
      </c>
      <c r="D2826" s="0" t="s">
        <v>25</v>
      </c>
      <c r="E2826" s="0" t="s">
        <v>7636</v>
      </c>
      <c r="F2826" s="16">
        <f>HYPERLINK("https://eosportal.federatedhermes.com/engagements/RW5nYWdlbWVudAppMzkxNzM=", "Living wage and culture")</f>
      </c>
      <c r="G2826" s="14" t="s">
        <v>7637</v>
      </c>
      <c r="H2826" s="0" t="s">
        <v>141</v>
      </c>
      <c r="I2826" s="14" t="s">
        <v>191</v>
      </c>
      <c r="J2826" s="0" t="s">
        <v>153</v>
      </c>
      <c r="K2826" s="0" t="s">
        <v>154</v>
      </c>
      <c r="L2826" s="0" t="s">
        <v>306</v>
      </c>
      <c r="M2826" s="0" t="s">
        <v>272</v>
      </c>
      <c r="N2826" s="0" t="s">
        <v>273</v>
      </c>
      <c r="O2826" s="0" t="s">
        <v>238</v>
      </c>
      <c r="Q2826" s="0" t="s">
        <v>130</v>
      </c>
      <c r="R2826" s="0" t="s">
        <v>138</v>
      </c>
      <c r="S2826" s="14">
        <v>0</v>
      </c>
      <c r="T2826" s="0" t="s">
        <v>4412</v>
      </c>
      <c r="U2826" s="0" t="s">
        <v>138</v>
      </c>
      <c r="V2826" s="14" t="s">
        <v>138</v>
      </c>
      <c r="W2826" s="0" t="s">
        <v>138</v>
      </c>
      <c r="X2826" s="14" t="s">
        <v>138</v>
      </c>
      <c r="Y2826" s="0" t="s">
        <v>138</v>
      </c>
      <c r="Z2826" s="14" t="s">
        <v>138</v>
      </c>
      <c r="AA2826" s="0" t="s">
        <v>138</v>
      </c>
      <c r="AB2826" s="14" t="s">
        <v>138</v>
      </c>
      <c r="AD2826" s="0" t="s">
        <v>138</v>
      </c>
      <c r="AF2826" s="0">
        <v>0</v>
      </c>
      <c r="AG2826" s="0">
        <v>0</v>
      </c>
      <c r="AH2826" s="0" t="s">
        <v>140</v>
      </c>
      <c r="AI2826" s="0" t="s">
        <v>138</v>
      </c>
      <c r="AL2826" s="14"/>
      <c r="AN2826" s="14"/>
      <c r="AQ2826" s="0" t="s">
        <v>130</v>
      </c>
      <c r="AR2826" s="0" t="s">
        <v>130</v>
      </c>
      <c r="AS2826" s="0" t="s">
        <v>130</v>
      </c>
      <c r="AT2826" s="0" t="s">
        <v>130</v>
      </c>
      <c r="AU2826" s="0" t="s">
        <v>130</v>
      </c>
      <c r="AV2826" s="0" t="s">
        <v>130</v>
      </c>
      <c r="AW2826" s="0" t="s">
        <v>130</v>
      </c>
      <c r="AX2826" s="0" t="s">
        <v>141</v>
      </c>
      <c r="AY2826" s="0" t="s">
        <v>130</v>
      </c>
      <c r="AZ2826" s="0" t="s">
        <v>141</v>
      </c>
      <c r="BA2826" s="0" t="s">
        <v>130</v>
      </c>
      <c r="BB2826" s="0" t="s">
        <v>130</v>
      </c>
      <c r="BC2826" s="0" t="s">
        <v>130</v>
      </c>
      <c r="BD2826" s="0" t="s">
        <v>130</v>
      </c>
      <c r="BE2826" s="0" t="s">
        <v>130</v>
      </c>
      <c r="BF2826" s="0" t="s">
        <v>130</v>
      </c>
      <c r="BG2826" s="0" t="s">
        <v>130</v>
      </c>
      <c r="BH2826" s="0" t="s">
        <v>130</v>
      </c>
      <c r="BI2826" s="0" t="s">
        <v>130</v>
      </c>
      <c r="BJ2826" s="0" t="s">
        <v>130</v>
      </c>
      <c r="BK2826" s="0" t="s">
        <v>130</v>
      </c>
      <c r="BL2826" s="0" t="s">
        <v>130</v>
      </c>
      <c r="BM2826" s="0" t="s">
        <v>130</v>
      </c>
      <c r="BN2826" s="0" t="s">
        <v>130</v>
      </c>
      <c r="BO2826" s="0" t="s">
        <v>130</v>
      </c>
      <c r="BP2826" s="0" t="s">
        <v>130</v>
      </c>
      <c r="BQ2826" s="0" t="s">
        <v>130</v>
      </c>
      <c r="BR2826" s="0" t="s">
        <v>130</v>
      </c>
      <c r="BS2826" s="0" t="s">
        <v>130</v>
      </c>
      <c r="BT2826" s="0" t="s">
        <v>130</v>
      </c>
      <c r="BU2826" s="0" t="s">
        <v>130</v>
      </c>
      <c r="BV2826" s="0" t="s">
        <v>130</v>
      </c>
      <c r="BW2826" s="0" t="s">
        <v>130</v>
      </c>
      <c r="BX2826" s="0" t="s">
        <v>130</v>
      </c>
      <c r="BY2826" s="0" t="s">
        <v>130</v>
      </c>
      <c r="BZ2826" s="0" t="s">
        <v>130</v>
      </c>
      <c r="CA2826" s="0" t="s">
        <v>130</v>
      </c>
      <c r="CB2826" s="0" t="s">
        <v>130</v>
      </c>
      <c r="CC2826" s="0" t="s">
        <v>130</v>
      </c>
      <c r="CD2826" s="0" t="s">
        <v>130</v>
      </c>
      <c r="CE2826" s="0" t="s">
        <v>130</v>
      </c>
      <c r="CF2826" s="0" t="s">
        <v>130</v>
      </c>
      <c r="CG2826" s="0" t="s">
        <v>130</v>
      </c>
      <c r="CH2826" s="0" t="s">
        <v>130</v>
      </c>
      <c r="CI2826" s="0" t="s">
        <v>130</v>
      </c>
      <c r="CJ2826" s="0" t="s">
        <v>130</v>
      </c>
      <c r="CK2826" s="0" t="s">
        <v>130</v>
      </c>
      <c r="CL2826" s="0" t="s">
        <v>130</v>
      </c>
      <c r="CM2826" s="0" t="s">
        <v>130</v>
      </c>
      <c r="CN2826" s="0" t="s">
        <v>130</v>
      </c>
      <c r="CO2826" s="0" t="s">
        <v>130</v>
      </c>
      <c r="CP2826" s="0" t="s">
        <v>130</v>
      </c>
      <c r="CQ2826" s="0" t="s">
        <v>130</v>
      </c>
      <c r="CR2826" s="0" t="s">
        <v>130</v>
      </c>
      <c r="CS2826" s="0" t="s">
        <v>130</v>
      </c>
      <c r="CT2826" s="0" t="s">
        <v>7638</v>
      </c>
    </row>
    <row r="2827">
      <c r="A2827" s="14">
        <v>386346</v>
      </c>
      <c r="B2827" s="0" t="s">
        <v>3794</v>
      </c>
      <c r="C2827" s="16">
        <f>HYPERLINK("https://eosportal.federatedhermes.com/companies/Q29tcGFueQppNjcwMDI=", "Booking Holdings Inc")</f>
      </c>
      <c r="D2827" s="0" t="s">
        <v>25</v>
      </c>
      <c r="E2827" s="0" t="s">
        <v>7521</v>
      </c>
      <c r="F2827" s="16">
        <f>HYPERLINK("https://eosportal.federatedhermes.com/engagements/RW5nYWdlbWVudAppMzkxNzY=", "Responsiveness to Shareholder Votes")</f>
      </c>
      <c r="G2827" s="14" t="s">
        <v>7522</v>
      </c>
      <c r="H2827" s="0" t="s">
        <v>141</v>
      </c>
      <c r="I2827" s="14" t="s">
        <v>636</v>
      </c>
      <c r="J2827" s="0" t="s">
        <v>145</v>
      </c>
      <c r="K2827" s="0" t="s">
        <v>400</v>
      </c>
      <c r="L2827" s="0" t="s">
        <v>401</v>
      </c>
      <c r="M2827" s="0" t="s">
        <v>135</v>
      </c>
      <c r="N2827" s="0" t="s">
        <v>136</v>
      </c>
      <c r="O2827" s="0" t="s">
        <v>643</v>
      </c>
      <c r="Q2827" s="0" t="s">
        <v>130</v>
      </c>
      <c r="R2827" s="0" t="s">
        <v>138</v>
      </c>
      <c r="S2827" s="14">
        <v>0</v>
      </c>
      <c r="T2827" s="0" t="s">
        <v>4412</v>
      </c>
      <c r="U2827" s="0" t="s">
        <v>138</v>
      </c>
      <c r="V2827" s="14" t="s">
        <v>138</v>
      </c>
      <c r="W2827" s="0" t="s">
        <v>138</v>
      </c>
      <c r="X2827" s="14" t="s">
        <v>138</v>
      </c>
      <c r="Y2827" s="0" t="s">
        <v>138</v>
      </c>
      <c r="Z2827" s="14" t="s">
        <v>138</v>
      </c>
      <c r="AA2827" s="0" t="s">
        <v>138</v>
      </c>
      <c r="AB2827" s="14" t="s">
        <v>138</v>
      </c>
      <c r="AD2827" s="0" t="s">
        <v>138</v>
      </c>
      <c r="AF2827" s="0">
        <v>0</v>
      </c>
      <c r="AG2827" s="0">
        <v>0</v>
      </c>
      <c r="AH2827" s="0" t="s">
        <v>140</v>
      </c>
      <c r="AI2827" s="0" t="s">
        <v>138</v>
      </c>
      <c r="AL2827" s="14"/>
      <c r="AN2827" s="14"/>
      <c r="AQ2827" s="0" t="s">
        <v>130</v>
      </c>
      <c r="AR2827" s="0" t="s">
        <v>130</v>
      </c>
      <c r="AS2827" s="0" t="s">
        <v>130</v>
      </c>
      <c r="AT2827" s="0" t="s">
        <v>130</v>
      </c>
      <c r="AU2827" s="0" t="s">
        <v>130</v>
      </c>
      <c r="AV2827" s="0" t="s">
        <v>130</v>
      </c>
      <c r="AW2827" s="0" t="s">
        <v>130</v>
      </c>
      <c r="AX2827" s="0" t="s">
        <v>130</v>
      </c>
      <c r="AY2827" s="0" t="s">
        <v>130</v>
      </c>
      <c r="AZ2827" s="0" t="s">
        <v>130</v>
      </c>
      <c r="BA2827" s="0" t="s">
        <v>130</v>
      </c>
      <c r="BB2827" s="0" t="s">
        <v>130</v>
      </c>
      <c r="BC2827" s="0" t="s">
        <v>130</v>
      </c>
      <c r="BD2827" s="0" t="s">
        <v>130</v>
      </c>
      <c r="BE2827" s="0" t="s">
        <v>130</v>
      </c>
      <c r="BF2827" s="0" t="s">
        <v>130</v>
      </c>
      <c r="BG2827" s="0" t="s">
        <v>130</v>
      </c>
      <c r="BH2827" s="0" t="s">
        <v>130</v>
      </c>
      <c r="BI2827" s="0" t="s">
        <v>130</v>
      </c>
      <c r="BJ2827" s="0" t="s">
        <v>130</v>
      </c>
      <c r="BK2827" s="0" t="s">
        <v>130</v>
      </c>
      <c r="BL2827" s="0" t="s">
        <v>130</v>
      </c>
      <c r="BM2827" s="0" t="s">
        <v>130</v>
      </c>
      <c r="BN2827" s="0" t="s">
        <v>130</v>
      </c>
      <c r="BO2827" s="0" t="s">
        <v>130</v>
      </c>
      <c r="BP2827" s="0" t="s">
        <v>130</v>
      </c>
      <c r="BQ2827" s="0" t="s">
        <v>130</v>
      </c>
      <c r="BR2827" s="0" t="s">
        <v>130</v>
      </c>
      <c r="BS2827" s="0" t="s">
        <v>130</v>
      </c>
      <c r="BT2827" s="0" t="s">
        <v>130</v>
      </c>
      <c r="BU2827" s="0" t="s">
        <v>130</v>
      </c>
      <c r="BV2827" s="0" t="s">
        <v>130</v>
      </c>
      <c r="BW2827" s="0" t="s">
        <v>130</v>
      </c>
      <c r="BX2827" s="0" t="s">
        <v>130</v>
      </c>
      <c r="BY2827" s="0" t="s">
        <v>130</v>
      </c>
      <c r="BZ2827" s="0" t="s">
        <v>130</v>
      </c>
      <c r="CA2827" s="0" t="s">
        <v>130</v>
      </c>
      <c r="CB2827" s="0" t="s">
        <v>130</v>
      </c>
      <c r="CC2827" s="0" t="s">
        <v>130</v>
      </c>
      <c r="CD2827" s="0" t="s">
        <v>130</v>
      </c>
      <c r="CE2827" s="0" t="s">
        <v>130</v>
      </c>
      <c r="CF2827" s="0" t="s">
        <v>130</v>
      </c>
      <c r="CG2827" s="0" t="s">
        <v>130</v>
      </c>
      <c r="CH2827" s="0" t="s">
        <v>130</v>
      </c>
      <c r="CI2827" s="0" t="s">
        <v>130</v>
      </c>
      <c r="CJ2827" s="0" t="s">
        <v>130</v>
      </c>
      <c r="CK2827" s="0" t="s">
        <v>130</v>
      </c>
      <c r="CL2827" s="0" t="s">
        <v>130</v>
      </c>
      <c r="CM2827" s="0" t="s">
        <v>130</v>
      </c>
      <c r="CN2827" s="0" t="s">
        <v>130</v>
      </c>
      <c r="CO2827" s="0" t="s">
        <v>130</v>
      </c>
      <c r="CP2827" s="0" t="s">
        <v>130</v>
      </c>
      <c r="CQ2827" s="0" t="s">
        <v>130</v>
      </c>
      <c r="CR2827" s="0" t="s">
        <v>130</v>
      </c>
      <c r="CS2827" s="0" t="s">
        <v>130</v>
      </c>
      <c r="CT2827" s="0" t="s">
        <v>7639</v>
      </c>
    </row>
    <row r="2828">
      <c r="A2828" s="14">
        <v>105995</v>
      </c>
      <c r="B2828" s="0" t="s">
        <v>6985</v>
      </c>
      <c r="C2828" s="16">
        <f>HYPERLINK("https://eosportal.federatedhermes.com/companies/Q29tcGFueQppODUwNTg=", "Paychex Inc")</f>
      </c>
      <c r="D2828" s="0" t="s">
        <v>25</v>
      </c>
      <c r="E2828" s="0" t="s">
        <v>6682</v>
      </c>
      <c r="F2828" s="16">
        <f>HYPERLINK("https://eosportal.federatedhermes.com/engagements/RW5nYWdlbWVudAppMzkxOTc=", "AI Governance")</f>
      </c>
      <c r="G2828" s="14" t="s">
        <v>7640</v>
      </c>
      <c r="H2828" s="0" t="s">
        <v>130</v>
      </c>
      <c r="I2828" s="14" t="s">
        <v>319</v>
      </c>
      <c r="J2828" s="0" t="s">
        <v>153</v>
      </c>
      <c r="K2828" s="0" t="s">
        <v>243</v>
      </c>
      <c r="L2828" s="0" t="s">
        <v>537</v>
      </c>
      <c r="M2828" s="0" t="s">
        <v>135</v>
      </c>
      <c r="N2828" s="0" t="s">
        <v>136</v>
      </c>
      <c r="O2828" s="0" t="s">
        <v>137</v>
      </c>
      <c r="Q2828" s="0" t="s">
        <v>130</v>
      </c>
      <c r="R2828" s="0" t="s">
        <v>138</v>
      </c>
      <c r="S2828" s="14">
        <v>0</v>
      </c>
      <c r="T2828" s="0" t="s">
        <v>4412</v>
      </c>
      <c r="U2828" s="0" t="s">
        <v>138</v>
      </c>
      <c r="V2828" s="14" t="s">
        <v>138</v>
      </c>
      <c r="W2828" s="0" t="s">
        <v>138</v>
      </c>
      <c r="X2828" s="14" t="s">
        <v>138</v>
      </c>
      <c r="Y2828" s="0" t="s">
        <v>138</v>
      </c>
      <c r="Z2828" s="14" t="s">
        <v>138</v>
      </c>
      <c r="AA2828" s="0" t="s">
        <v>138</v>
      </c>
      <c r="AB2828" s="14" t="s">
        <v>138</v>
      </c>
      <c r="AD2828" s="0" t="s">
        <v>138</v>
      </c>
      <c r="AF2828" s="0">
        <v>0</v>
      </c>
      <c r="AG2828" s="0">
        <v>0</v>
      </c>
      <c r="AH2828" s="0" t="s">
        <v>140</v>
      </c>
      <c r="AI2828" s="0" t="s">
        <v>138</v>
      </c>
      <c r="AL2828" s="14"/>
      <c r="AN2828" s="14"/>
      <c r="AQ2828" s="0" t="s">
        <v>130</v>
      </c>
      <c r="AR2828" s="0" t="s">
        <v>130</v>
      </c>
      <c r="AS2828" s="0" t="s">
        <v>130</v>
      </c>
      <c r="AT2828" s="0" t="s">
        <v>130</v>
      </c>
      <c r="AU2828" s="0" t="s">
        <v>130</v>
      </c>
      <c r="AV2828" s="0" t="s">
        <v>130</v>
      </c>
      <c r="AW2828" s="0" t="s">
        <v>130</v>
      </c>
      <c r="AX2828" s="0" t="s">
        <v>130</v>
      </c>
      <c r="AY2828" s="0" t="s">
        <v>130</v>
      </c>
      <c r="AZ2828" s="0" t="s">
        <v>130</v>
      </c>
      <c r="BA2828" s="0" t="s">
        <v>130</v>
      </c>
      <c r="BB2828" s="0" t="s">
        <v>130</v>
      </c>
      <c r="BC2828" s="0" t="s">
        <v>130</v>
      </c>
      <c r="BD2828" s="0" t="s">
        <v>130</v>
      </c>
      <c r="BE2828" s="0" t="s">
        <v>130</v>
      </c>
      <c r="BF2828" s="0" t="s">
        <v>141</v>
      </c>
      <c r="BG2828" s="0" t="s">
        <v>130</v>
      </c>
      <c r="BH2828" s="0" t="s">
        <v>130</v>
      </c>
      <c r="BI2828" s="0" t="s">
        <v>130</v>
      </c>
      <c r="BJ2828" s="0" t="s">
        <v>130</v>
      </c>
      <c r="BK2828" s="0" t="s">
        <v>130</v>
      </c>
      <c r="BL2828" s="0" t="s">
        <v>130</v>
      </c>
      <c r="BM2828" s="0" t="s">
        <v>130</v>
      </c>
      <c r="BN2828" s="0" t="s">
        <v>130</v>
      </c>
      <c r="BO2828" s="0" t="s">
        <v>130</v>
      </c>
      <c r="BP2828" s="0" t="s">
        <v>130</v>
      </c>
      <c r="BQ2828" s="0" t="s">
        <v>130</v>
      </c>
      <c r="BR2828" s="0" t="s">
        <v>130</v>
      </c>
      <c r="BS2828" s="0" t="s">
        <v>130</v>
      </c>
      <c r="BT2828" s="0" t="s">
        <v>130</v>
      </c>
      <c r="BU2828" s="0" t="s">
        <v>130</v>
      </c>
      <c r="BV2828" s="0" t="s">
        <v>130</v>
      </c>
      <c r="BW2828" s="0" t="s">
        <v>130</v>
      </c>
      <c r="BX2828" s="0" t="s">
        <v>130</v>
      </c>
      <c r="BY2828" s="0" t="s">
        <v>130</v>
      </c>
      <c r="BZ2828" s="0" t="s">
        <v>130</v>
      </c>
      <c r="CA2828" s="0" t="s">
        <v>130</v>
      </c>
      <c r="CB2828" s="0" t="s">
        <v>130</v>
      </c>
      <c r="CC2828" s="0" t="s">
        <v>130</v>
      </c>
      <c r="CD2828" s="0" t="s">
        <v>130</v>
      </c>
      <c r="CE2828" s="0" t="s">
        <v>130</v>
      </c>
      <c r="CF2828" s="0" t="s">
        <v>130</v>
      </c>
      <c r="CG2828" s="0" t="s">
        <v>130</v>
      </c>
      <c r="CH2828" s="0" t="s">
        <v>130</v>
      </c>
      <c r="CI2828" s="0" t="s">
        <v>130</v>
      </c>
      <c r="CJ2828" s="0" t="s">
        <v>130</v>
      </c>
      <c r="CK2828" s="0" t="s">
        <v>130</v>
      </c>
      <c r="CL2828" s="0" t="s">
        <v>130</v>
      </c>
      <c r="CM2828" s="0" t="s">
        <v>130</v>
      </c>
      <c r="CN2828" s="0" t="s">
        <v>130</v>
      </c>
      <c r="CO2828" s="0" t="s">
        <v>130</v>
      </c>
      <c r="CP2828" s="0" t="s">
        <v>130</v>
      </c>
      <c r="CQ2828" s="0" t="s">
        <v>130</v>
      </c>
      <c r="CR2828" s="0" t="s">
        <v>130</v>
      </c>
      <c r="CS2828" s="0" t="s">
        <v>130</v>
      </c>
      <c r="CT2828" s="0" t="s">
        <v>7641</v>
      </c>
    </row>
    <row r="2829">
      <c r="A2829" s="14">
        <v>151843</v>
      </c>
      <c r="B2829" s="0" t="s">
        <v>3167</v>
      </c>
      <c r="C2829" s="16">
        <f>HYPERLINK("https://eosportal.federatedhermes.com/companies/Q29tcGFueQppODU0MTU=", "Fast Retailing Co Ltd")</f>
      </c>
      <c r="D2829" s="0" t="s">
        <v>25</v>
      </c>
      <c r="E2829" s="0" t="s">
        <v>6444</v>
      </c>
      <c r="F2829" s="16">
        <f>HYPERLINK("https://eosportal.federatedhermes.com/engagements/RW5nYWdlbWVudAppMzkxOTg=", "Biodiversity and nature")</f>
      </c>
      <c r="G2829" s="14" t="s">
        <v>7642</v>
      </c>
      <c r="H2829" s="0" t="s">
        <v>141</v>
      </c>
      <c r="I2829" s="14" t="s">
        <v>191</v>
      </c>
      <c r="J2829" s="0" t="s">
        <v>197</v>
      </c>
      <c r="K2829" s="0" t="s">
        <v>337</v>
      </c>
      <c r="L2829" s="0" t="s">
        <v>576</v>
      </c>
      <c r="M2829" s="0" t="s">
        <v>802</v>
      </c>
      <c r="N2829" s="0" t="s">
        <v>952</v>
      </c>
      <c r="O2829" s="0" t="s">
        <v>643</v>
      </c>
      <c r="Q2829" s="0" t="s">
        <v>130</v>
      </c>
      <c r="R2829" s="0" t="s">
        <v>138</v>
      </c>
      <c r="S2829" s="14">
        <v>0</v>
      </c>
      <c r="T2829" s="0" t="s">
        <v>4412</v>
      </c>
      <c r="U2829" s="0" t="s">
        <v>138</v>
      </c>
      <c r="V2829" s="14" t="s">
        <v>138</v>
      </c>
      <c r="W2829" s="0" t="s">
        <v>138</v>
      </c>
      <c r="X2829" s="14" t="s">
        <v>138</v>
      </c>
      <c r="Y2829" s="0" t="s">
        <v>138</v>
      </c>
      <c r="Z2829" s="14" t="s">
        <v>138</v>
      </c>
      <c r="AA2829" s="0" t="s">
        <v>138</v>
      </c>
      <c r="AB2829" s="14" t="s">
        <v>138</v>
      </c>
      <c r="AD2829" s="0" t="s">
        <v>138</v>
      </c>
      <c r="AF2829" s="0">
        <v>0</v>
      </c>
      <c r="AG2829" s="0">
        <v>0</v>
      </c>
      <c r="AH2829" s="0" t="s">
        <v>140</v>
      </c>
      <c r="AI2829" s="0" t="s">
        <v>138</v>
      </c>
      <c r="AL2829" s="14"/>
      <c r="AN2829" s="14"/>
      <c r="AQ2829" s="0" t="s">
        <v>130</v>
      </c>
      <c r="AR2829" s="0" t="s">
        <v>130</v>
      </c>
      <c r="AS2829" s="0" t="s">
        <v>130</v>
      </c>
      <c r="AT2829" s="0" t="s">
        <v>130</v>
      </c>
      <c r="AU2829" s="0" t="s">
        <v>130</v>
      </c>
      <c r="AV2829" s="0" t="s">
        <v>130</v>
      </c>
      <c r="AW2829" s="0" t="s">
        <v>130</v>
      </c>
      <c r="AX2829" s="0" t="s">
        <v>130</v>
      </c>
      <c r="AY2829" s="0" t="s">
        <v>130</v>
      </c>
      <c r="AZ2829" s="0" t="s">
        <v>130</v>
      </c>
      <c r="BA2829" s="0" t="s">
        <v>130</v>
      </c>
      <c r="BB2829" s="0" t="s">
        <v>141</v>
      </c>
      <c r="BC2829" s="0" t="s">
        <v>130</v>
      </c>
      <c r="BD2829" s="0" t="s">
        <v>130</v>
      </c>
      <c r="BE2829" s="0" t="s">
        <v>141</v>
      </c>
      <c r="BF2829" s="0" t="s">
        <v>130</v>
      </c>
      <c r="BG2829" s="0" t="s">
        <v>130</v>
      </c>
      <c r="BH2829" s="0" t="s">
        <v>130</v>
      </c>
      <c r="BI2829" s="0" t="s">
        <v>130</v>
      </c>
      <c r="BJ2829" s="0" t="s">
        <v>130</v>
      </c>
      <c r="BK2829" s="0" t="s">
        <v>130</v>
      </c>
      <c r="BL2829" s="0" t="s">
        <v>130</v>
      </c>
      <c r="BM2829" s="0" t="s">
        <v>130</v>
      </c>
      <c r="BN2829" s="0" t="s">
        <v>130</v>
      </c>
      <c r="BO2829" s="0" t="s">
        <v>130</v>
      </c>
      <c r="BP2829" s="0" t="s">
        <v>130</v>
      </c>
      <c r="BQ2829" s="0" t="s">
        <v>130</v>
      </c>
      <c r="BR2829" s="0" t="s">
        <v>130</v>
      </c>
      <c r="BS2829" s="0" t="s">
        <v>130</v>
      </c>
      <c r="BT2829" s="0" t="s">
        <v>130</v>
      </c>
      <c r="BU2829" s="0" t="s">
        <v>130</v>
      </c>
      <c r="BV2829" s="0" t="s">
        <v>130</v>
      </c>
      <c r="BW2829" s="0" t="s">
        <v>130</v>
      </c>
      <c r="BX2829" s="0" t="s">
        <v>130</v>
      </c>
      <c r="BY2829" s="0" t="s">
        <v>130</v>
      </c>
      <c r="BZ2829" s="0" t="s">
        <v>130</v>
      </c>
      <c r="CA2829" s="0" t="s">
        <v>130</v>
      </c>
      <c r="CB2829" s="0" t="s">
        <v>130</v>
      </c>
      <c r="CC2829" s="0" t="s">
        <v>130</v>
      </c>
      <c r="CD2829" s="0" t="s">
        <v>130</v>
      </c>
      <c r="CE2829" s="0" t="s">
        <v>130</v>
      </c>
      <c r="CF2829" s="0" t="s">
        <v>130</v>
      </c>
      <c r="CG2829" s="0" t="s">
        <v>130</v>
      </c>
      <c r="CH2829" s="0" t="s">
        <v>130</v>
      </c>
      <c r="CI2829" s="0" t="s">
        <v>130</v>
      </c>
      <c r="CJ2829" s="0" t="s">
        <v>130</v>
      </c>
      <c r="CK2829" s="0" t="s">
        <v>130</v>
      </c>
      <c r="CL2829" s="0" t="s">
        <v>130</v>
      </c>
      <c r="CM2829" s="0" t="s">
        <v>130</v>
      </c>
      <c r="CN2829" s="0" t="s">
        <v>130</v>
      </c>
      <c r="CO2829" s="0" t="s">
        <v>130</v>
      </c>
      <c r="CP2829" s="0" t="s">
        <v>130</v>
      </c>
      <c r="CQ2829" s="0" t="s">
        <v>130</v>
      </c>
      <c r="CR2829" s="0" t="s">
        <v>130</v>
      </c>
      <c r="CS2829" s="0" t="s">
        <v>130</v>
      </c>
      <c r="CT2829" s="0" t="s">
        <v>7643</v>
      </c>
    </row>
    <row r="2830">
      <c r="A2830" s="14">
        <v>151843</v>
      </c>
      <c r="B2830" s="0" t="s">
        <v>3167</v>
      </c>
      <c r="C2830" s="16">
        <f>HYPERLINK("https://eosportal.federatedhermes.com/companies/Q29tcGFueQppODU0MTU=", "Fast Retailing Co Ltd")</f>
      </c>
      <c r="D2830" s="0" t="s">
        <v>25</v>
      </c>
      <c r="E2830" s="0" t="s">
        <v>7644</v>
      </c>
      <c r="F2830" s="16">
        <f>HYPERLINK("https://eosportal.federatedhermes.com/engagements/RW5nYWdlbWVudAppMzkxOTk=", "PFAS and hazardous chemical management")</f>
      </c>
      <c r="G2830" s="14" t="s">
        <v>7645</v>
      </c>
      <c r="H2830" s="0" t="s">
        <v>141</v>
      </c>
      <c r="I2830" s="14" t="s">
        <v>191</v>
      </c>
      <c r="J2830" s="0" t="s">
        <v>197</v>
      </c>
      <c r="K2830" s="0" t="s">
        <v>348</v>
      </c>
      <c r="L2830" s="0" t="s">
        <v>650</v>
      </c>
      <c r="M2830" s="0" t="s">
        <v>802</v>
      </c>
      <c r="N2830" s="0" t="s">
        <v>952</v>
      </c>
      <c r="O2830" s="0" t="s">
        <v>643</v>
      </c>
      <c r="Q2830" s="0" t="s">
        <v>130</v>
      </c>
      <c r="R2830" s="0" t="s">
        <v>138</v>
      </c>
      <c r="S2830" s="14">
        <v>0</v>
      </c>
      <c r="T2830" s="0" t="s">
        <v>4412</v>
      </c>
      <c r="U2830" s="0" t="s">
        <v>138</v>
      </c>
      <c r="V2830" s="14" t="s">
        <v>138</v>
      </c>
      <c r="W2830" s="0" t="s">
        <v>138</v>
      </c>
      <c r="X2830" s="14" t="s">
        <v>138</v>
      </c>
      <c r="Y2830" s="0" t="s">
        <v>138</v>
      </c>
      <c r="Z2830" s="14" t="s">
        <v>138</v>
      </c>
      <c r="AA2830" s="0" t="s">
        <v>138</v>
      </c>
      <c r="AB2830" s="14" t="s">
        <v>138</v>
      </c>
      <c r="AD2830" s="0" t="s">
        <v>138</v>
      </c>
      <c r="AF2830" s="0">
        <v>0</v>
      </c>
      <c r="AG2830" s="0">
        <v>0</v>
      </c>
      <c r="AH2830" s="0" t="s">
        <v>140</v>
      </c>
      <c r="AI2830" s="0" t="s">
        <v>138</v>
      </c>
      <c r="AL2830" s="14"/>
      <c r="AN2830" s="14"/>
      <c r="AQ2830" s="0" t="s">
        <v>130</v>
      </c>
      <c r="AR2830" s="0" t="s">
        <v>130</v>
      </c>
      <c r="AS2830" s="0" t="s">
        <v>141</v>
      </c>
      <c r="AT2830" s="0" t="s">
        <v>130</v>
      </c>
      <c r="AU2830" s="0" t="s">
        <v>130</v>
      </c>
      <c r="AV2830" s="0" t="s">
        <v>130</v>
      </c>
      <c r="AW2830" s="0" t="s">
        <v>130</v>
      </c>
      <c r="AX2830" s="0" t="s">
        <v>130</v>
      </c>
      <c r="AY2830" s="0" t="s">
        <v>130</v>
      </c>
      <c r="AZ2830" s="0" t="s">
        <v>130</v>
      </c>
      <c r="BA2830" s="0" t="s">
        <v>130</v>
      </c>
      <c r="BB2830" s="0" t="s">
        <v>130</v>
      </c>
      <c r="BC2830" s="0" t="s">
        <v>130</v>
      </c>
      <c r="BD2830" s="0" t="s">
        <v>130</v>
      </c>
      <c r="BE2830" s="0" t="s">
        <v>130</v>
      </c>
      <c r="BF2830" s="0" t="s">
        <v>130</v>
      </c>
      <c r="BG2830" s="0" t="s">
        <v>130</v>
      </c>
      <c r="BH2830" s="0" t="s">
        <v>130</v>
      </c>
      <c r="BI2830" s="0" t="s">
        <v>130</v>
      </c>
      <c r="BJ2830" s="0" t="s">
        <v>130</v>
      </c>
      <c r="BK2830" s="0" t="s">
        <v>130</v>
      </c>
      <c r="BL2830" s="0" t="s">
        <v>130</v>
      </c>
      <c r="BM2830" s="0" t="s">
        <v>130</v>
      </c>
      <c r="BN2830" s="0" t="s">
        <v>130</v>
      </c>
      <c r="BO2830" s="0" t="s">
        <v>130</v>
      </c>
      <c r="BP2830" s="0" t="s">
        <v>130</v>
      </c>
      <c r="BQ2830" s="0" t="s">
        <v>130</v>
      </c>
      <c r="BR2830" s="0" t="s">
        <v>130</v>
      </c>
      <c r="BS2830" s="0" t="s">
        <v>130</v>
      </c>
      <c r="BT2830" s="0" t="s">
        <v>130</v>
      </c>
      <c r="BU2830" s="0" t="s">
        <v>130</v>
      </c>
      <c r="BV2830" s="0" t="s">
        <v>130</v>
      </c>
      <c r="BW2830" s="0" t="s">
        <v>130</v>
      </c>
      <c r="BX2830" s="0" t="s">
        <v>130</v>
      </c>
      <c r="BY2830" s="0" t="s">
        <v>130</v>
      </c>
      <c r="BZ2830" s="0" t="s">
        <v>130</v>
      </c>
      <c r="CA2830" s="0" t="s">
        <v>130</v>
      </c>
      <c r="CB2830" s="0" t="s">
        <v>130</v>
      </c>
      <c r="CC2830" s="0" t="s">
        <v>130</v>
      </c>
      <c r="CD2830" s="0" t="s">
        <v>141</v>
      </c>
      <c r="CE2830" s="0" t="s">
        <v>130</v>
      </c>
      <c r="CF2830" s="0" t="s">
        <v>130</v>
      </c>
      <c r="CG2830" s="0" t="s">
        <v>130</v>
      </c>
      <c r="CH2830" s="0" t="s">
        <v>130</v>
      </c>
      <c r="CI2830" s="0" t="s">
        <v>130</v>
      </c>
      <c r="CJ2830" s="0" t="s">
        <v>130</v>
      </c>
      <c r="CK2830" s="0" t="s">
        <v>130</v>
      </c>
      <c r="CL2830" s="0" t="s">
        <v>130</v>
      </c>
      <c r="CM2830" s="0" t="s">
        <v>130</v>
      </c>
      <c r="CN2830" s="0" t="s">
        <v>130</v>
      </c>
      <c r="CO2830" s="0" t="s">
        <v>130</v>
      </c>
      <c r="CP2830" s="0" t="s">
        <v>130</v>
      </c>
      <c r="CQ2830" s="0" t="s">
        <v>130</v>
      </c>
      <c r="CR2830" s="0" t="s">
        <v>130</v>
      </c>
      <c r="CS2830" s="0" t="s">
        <v>130</v>
      </c>
      <c r="CT2830" s="0" t="s">
        <v>7646</v>
      </c>
    </row>
    <row r="2831">
      <c r="A2831" s="14">
        <v>100787</v>
      </c>
      <c r="B2831" s="0" t="s">
        <v>1050</v>
      </c>
      <c r="C2831" s="16">
        <f>HYPERLINK("https://eosportal.federatedhermes.com/companies/Q29tcGFueQppODU5MzI=", "Trane Technologies plc")</f>
      </c>
      <c r="D2831" s="0" t="s">
        <v>25</v>
      </c>
      <c r="E2831" s="0" t="s">
        <v>6900</v>
      </c>
      <c r="F2831" s="16">
        <f>HYPERLINK("https://eosportal.federatedhermes.com/engagements/RW5nYWdlbWVudAppMzkyMDE=", "Circularity")</f>
      </c>
      <c r="G2831" s="14" t="s">
        <v>7647</v>
      </c>
      <c r="H2831" s="0" t="s">
        <v>141</v>
      </c>
      <c r="I2831" s="14" t="s">
        <v>131</v>
      </c>
      <c r="J2831" s="0" t="s">
        <v>197</v>
      </c>
      <c r="K2831" s="0" t="s">
        <v>348</v>
      </c>
      <c r="L2831" s="0" t="s">
        <v>349</v>
      </c>
      <c r="M2831" s="0" t="s">
        <v>378</v>
      </c>
      <c r="N2831" s="0" t="s">
        <v>409</v>
      </c>
      <c r="O2831" s="0" t="s">
        <v>176</v>
      </c>
      <c r="Q2831" s="0" t="s">
        <v>130</v>
      </c>
      <c r="R2831" s="0" t="s">
        <v>138</v>
      </c>
      <c r="S2831" s="14">
        <v>0</v>
      </c>
      <c r="T2831" s="0" t="s">
        <v>2428</v>
      </c>
      <c r="U2831" s="0" t="s">
        <v>138</v>
      </c>
      <c r="V2831" s="14" t="s">
        <v>138</v>
      </c>
      <c r="W2831" s="0" t="s">
        <v>138</v>
      </c>
      <c r="X2831" s="14" t="s">
        <v>138</v>
      </c>
      <c r="Y2831" s="0" t="s">
        <v>138</v>
      </c>
      <c r="Z2831" s="14" t="s">
        <v>138</v>
      </c>
      <c r="AA2831" s="0" t="s">
        <v>138</v>
      </c>
      <c r="AB2831" s="14" t="s">
        <v>138</v>
      </c>
      <c r="AD2831" s="0" t="s">
        <v>138</v>
      </c>
      <c r="AF2831" s="0">
        <v>0</v>
      </c>
      <c r="AG2831" s="0">
        <v>0</v>
      </c>
      <c r="AH2831" s="0" t="s">
        <v>140</v>
      </c>
      <c r="AI2831" s="0" t="s">
        <v>138</v>
      </c>
      <c r="AL2831" s="14"/>
      <c r="AN2831" s="14"/>
      <c r="AQ2831" s="0" t="s">
        <v>130</v>
      </c>
      <c r="AR2831" s="0" t="s">
        <v>130</v>
      </c>
      <c r="AS2831" s="0" t="s">
        <v>130</v>
      </c>
      <c r="AT2831" s="0" t="s">
        <v>130</v>
      </c>
      <c r="AU2831" s="0" t="s">
        <v>130</v>
      </c>
      <c r="AV2831" s="0" t="s">
        <v>130</v>
      </c>
      <c r="AW2831" s="0" t="s">
        <v>130</v>
      </c>
      <c r="AX2831" s="0" t="s">
        <v>130</v>
      </c>
      <c r="AY2831" s="0" t="s">
        <v>130</v>
      </c>
      <c r="AZ2831" s="0" t="s">
        <v>130</v>
      </c>
      <c r="BA2831" s="0" t="s">
        <v>130</v>
      </c>
      <c r="BB2831" s="0" t="s">
        <v>141</v>
      </c>
      <c r="BC2831" s="0" t="s">
        <v>130</v>
      </c>
      <c r="BD2831" s="0" t="s">
        <v>130</v>
      </c>
      <c r="BE2831" s="0" t="s">
        <v>130</v>
      </c>
      <c r="BF2831" s="0" t="s">
        <v>130</v>
      </c>
      <c r="BG2831" s="0" t="s">
        <v>130</v>
      </c>
      <c r="BH2831" s="0" t="s">
        <v>130</v>
      </c>
      <c r="BI2831" s="0" t="s">
        <v>130</v>
      </c>
      <c r="BJ2831" s="0" t="s">
        <v>130</v>
      </c>
      <c r="BK2831" s="0" t="s">
        <v>130</v>
      </c>
      <c r="BL2831" s="0" t="s">
        <v>130</v>
      </c>
      <c r="BM2831" s="0" t="s">
        <v>130</v>
      </c>
      <c r="BN2831" s="0" t="s">
        <v>130</v>
      </c>
      <c r="BO2831" s="0" t="s">
        <v>130</v>
      </c>
      <c r="BP2831" s="0" t="s">
        <v>130</v>
      </c>
      <c r="BQ2831" s="0" t="s">
        <v>130</v>
      </c>
      <c r="BR2831" s="0" t="s">
        <v>130</v>
      </c>
      <c r="BS2831" s="0" t="s">
        <v>130</v>
      </c>
      <c r="BT2831" s="0" t="s">
        <v>130</v>
      </c>
      <c r="BU2831" s="0" t="s">
        <v>130</v>
      </c>
      <c r="BV2831" s="0" t="s">
        <v>130</v>
      </c>
      <c r="BW2831" s="0" t="s">
        <v>130</v>
      </c>
      <c r="BX2831" s="0" t="s">
        <v>130</v>
      </c>
      <c r="BY2831" s="0" t="s">
        <v>130</v>
      </c>
      <c r="BZ2831" s="0" t="s">
        <v>130</v>
      </c>
      <c r="CA2831" s="0" t="s">
        <v>130</v>
      </c>
      <c r="CB2831" s="0" t="s">
        <v>130</v>
      </c>
      <c r="CC2831" s="0" t="s">
        <v>130</v>
      </c>
      <c r="CD2831" s="0" t="s">
        <v>141</v>
      </c>
      <c r="CE2831" s="0" t="s">
        <v>130</v>
      </c>
      <c r="CF2831" s="0" t="s">
        <v>130</v>
      </c>
      <c r="CG2831" s="0" t="s">
        <v>130</v>
      </c>
      <c r="CH2831" s="0" t="s">
        <v>130</v>
      </c>
      <c r="CI2831" s="0" t="s">
        <v>130</v>
      </c>
      <c r="CJ2831" s="0" t="s">
        <v>130</v>
      </c>
      <c r="CK2831" s="0" t="s">
        <v>130</v>
      </c>
      <c r="CL2831" s="0" t="s">
        <v>130</v>
      </c>
      <c r="CM2831" s="0" t="s">
        <v>130</v>
      </c>
      <c r="CN2831" s="0" t="s">
        <v>130</v>
      </c>
      <c r="CO2831" s="0" t="s">
        <v>130</v>
      </c>
      <c r="CP2831" s="0" t="s">
        <v>130</v>
      </c>
      <c r="CQ2831" s="0" t="s">
        <v>130</v>
      </c>
      <c r="CR2831" s="0" t="s">
        <v>130</v>
      </c>
      <c r="CS2831" s="0" t="s">
        <v>130</v>
      </c>
      <c r="CT2831" s="0" t="s">
        <v>7648</v>
      </c>
    </row>
    <row r="2832">
      <c r="A2832" s="14">
        <v>116420</v>
      </c>
      <c r="B2832" s="0" t="s">
        <v>2745</v>
      </c>
      <c r="C2832" s="16">
        <f>HYPERLINK("https://eosportal.federatedhermes.com/companies/Q29tcGFueQppNzcwNDg=", "Geely Automobile Holdings Ltd")</f>
      </c>
      <c r="D2832" s="0" t="s">
        <v>23</v>
      </c>
      <c r="E2832" s="0" t="s">
        <v>7649</v>
      </c>
      <c r="F2832" s="16">
        <f>HYPERLINK("https://eosportal.federatedhermes.com/engagements/RW5nYWdlbWVudAppMzkyMjQ=", "Gap analysis on AI Governance principles")</f>
      </c>
      <c r="G2832" s="14" t="s">
        <v>7650</v>
      </c>
      <c r="H2832" s="0" t="s">
        <v>141</v>
      </c>
      <c r="I2832" s="14" t="s">
        <v>191</v>
      </c>
      <c r="J2832" s="0" t="s">
        <v>153</v>
      </c>
      <c r="K2832" s="0" t="s">
        <v>243</v>
      </c>
      <c r="L2832" s="0" t="s">
        <v>537</v>
      </c>
      <c r="M2832" s="0" t="s">
        <v>802</v>
      </c>
      <c r="N2832" s="0" t="s">
        <v>803</v>
      </c>
      <c r="O2832" s="0" t="s">
        <v>425</v>
      </c>
      <c r="Q2832" s="0" t="s">
        <v>130</v>
      </c>
      <c r="R2832" s="0" t="s">
        <v>130</v>
      </c>
      <c r="S2832" s="14">
        <v>0</v>
      </c>
      <c r="T2832" s="0" t="s">
        <v>4412</v>
      </c>
      <c r="U2832" s="0" t="s">
        <v>221</v>
      </c>
      <c r="V2832" s="14" t="s">
        <v>4412</v>
      </c>
      <c r="W2832" s="0" t="s">
        <v>221</v>
      </c>
      <c r="X2832" s="14" t="s">
        <v>4412</v>
      </c>
      <c r="Y2832" s="0" t="s">
        <v>223</v>
      </c>
      <c r="Z2832" s="14" t="s">
        <v>138</v>
      </c>
      <c r="AA2832" s="0" t="s">
        <v>224</v>
      </c>
      <c r="AB2832" s="14" t="s">
        <v>138</v>
      </c>
      <c r="AD2832" s="0" t="s">
        <v>17</v>
      </c>
      <c r="AF2832" s="0">
        <v>0</v>
      </c>
      <c r="AG2832" s="0">
        <v>0</v>
      </c>
      <c r="AH2832" s="0" t="s">
        <v>140</v>
      </c>
      <c r="AI2832" s="0" t="s">
        <v>598</v>
      </c>
      <c r="AL2832" s="14"/>
      <c r="AN2832" s="14"/>
      <c r="AQ2832" s="0" t="s">
        <v>130</v>
      </c>
      <c r="AR2832" s="0" t="s">
        <v>130</v>
      </c>
      <c r="AS2832" s="0" t="s">
        <v>130</v>
      </c>
      <c r="AT2832" s="0" t="s">
        <v>130</v>
      </c>
      <c r="AU2832" s="0" t="s">
        <v>130</v>
      </c>
      <c r="AV2832" s="0" t="s">
        <v>130</v>
      </c>
      <c r="AW2832" s="0" t="s">
        <v>130</v>
      </c>
      <c r="AX2832" s="0" t="s">
        <v>130</v>
      </c>
      <c r="AY2832" s="0" t="s">
        <v>130</v>
      </c>
      <c r="AZ2832" s="0" t="s">
        <v>130</v>
      </c>
      <c r="BA2832" s="0" t="s">
        <v>130</v>
      </c>
      <c r="BB2832" s="0" t="s">
        <v>130</v>
      </c>
      <c r="BC2832" s="0" t="s">
        <v>130</v>
      </c>
      <c r="BD2832" s="0" t="s">
        <v>130</v>
      </c>
      <c r="BE2832" s="0" t="s">
        <v>130</v>
      </c>
      <c r="BF2832" s="0" t="s">
        <v>141</v>
      </c>
      <c r="BG2832" s="0" t="s">
        <v>130</v>
      </c>
      <c r="BH2832" s="0" t="s">
        <v>130</v>
      </c>
      <c r="BI2832" s="0" t="s">
        <v>130</v>
      </c>
      <c r="BJ2832" s="0" t="s">
        <v>130</v>
      </c>
      <c r="BK2832" s="0" t="s">
        <v>130</v>
      </c>
      <c r="BL2832" s="0" t="s">
        <v>130</v>
      </c>
      <c r="BM2832" s="0" t="s">
        <v>130</v>
      </c>
      <c r="BN2832" s="0" t="s">
        <v>130</v>
      </c>
      <c r="BO2832" s="0" t="s">
        <v>130</v>
      </c>
      <c r="BP2832" s="0" t="s">
        <v>130</v>
      </c>
      <c r="BQ2832" s="0" t="s">
        <v>130</v>
      </c>
      <c r="BR2832" s="0" t="s">
        <v>130</v>
      </c>
      <c r="BS2832" s="0" t="s">
        <v>130</v>
      </c>
      <c r="BT2832" s="0" t="s">
        <v>130</v>
      </c>
      <c r="BU2832" s="0" t="s">
        <v>130</v>
      </c>
      <c r="BV2832" s="0" t="s">
        <v>130</v>
      </c>
      <c r="BW2832" s="0" t="s">
        <v>130</v>
      </c>
      <c r="BX2832" s="0" t="s">
        <v>130</v>
      </c>
      <c r="BY2832" s="0" t="s">
        <v>130</v>
      </c>
      <c r="BZ2832" s="0" t="s">
        <v>130</v>
      </c>
      <c r="CA2832" s="0" t="s">
        <v>130</v>
      </c>
      <c r="CB2832" s="0" t="s">
        <v>130</v>
      </c>
      <c r="CC2832" s="0" t="s">
        <v>130</v>
      </c>
      <c r="CD2832" s="0" t="s">
        <v>130</v>
      </c>
      <c r="CE2832" s="0" t="s">
        <v>130</v>
      </c>
      <c r="CF2832" s="0" t="s">
        <v>130</v>
      </c>
      <c r="CG2832" s="0" t="s">
        <v>130</v>
      </c>
      <c r="CH2832" s="0" t="s">
        <v>130</v>
      </c>
      <c r="CI2832" s="0" t="s">
        <v>130</v>
      </c>
      <c r="CJ2832" s="0" t="s">
        <v>130</v>
      </c>
      <c r="CK2832" s="0" t="s">
        <v>130</v>
      </c>
      <c r="CL2832" s="0" t="s">
        <v>130</v>
      </c>
      <c r="CM2832" s="0" t="s">
        <v>130</v>
      </c>
      <c r="CN2832" s="0" t="s">
        <v>130</v>
      </c>
      <c r="CO2832" s="0" t="s">
        <v>130</v>
      </c>
      <c r="CP2832" s="0" t="s">
        <v>130</v>
      </c>
      <c r="CQ2832" s="0" t="s">
        <v>130</v>
      </c>
      <c r="CR2832" s="0" t="s">
        <v>130</v>
      </c>
      <c r="CS2832" s="0" t="s">
        <v>130</v>
      </c>
      <c r="CT2832" s="0" t="s">
        <v>7651</v>
      </c>
    </row>
    <row r="2833">
      <c r="A2833" s="14">
        <v>302488</v>
      </c>
      <c r="B2833" s="0" t="s">
        <v>3537</v>
      </c>
      <c r="C2833" s="16">
        <f>HYPERLINK("https://eosportal.federatedhermes.com/companies/Q29tcGFueQppNzg3NDE=", "Prologis Inc")</f>
      </c>
      <c r="D2833" s="0" t="s">
        <v>25</v>
      </c>
      <c r="E2833" s="0" t="s">
        <v>7652</v>
      </c>
      <c r="F2833" s="16">
        <f>HYPERLINK("https://eosportal.federatedhermes.com/engagements/RW5nYWdlbWVudAppMzkyNzM=", "Building and portfolio resilience against physical climate risks")</f>
      </c>
      <c r="G2833" s="14" t="s">
        <v>7653</v>
      </c>
      <c r="H2833" s="0" t="s">
        <v>141</v>
      </c>
      <c r="I2833" s="14" t="s">
        <v>131</v>
      </c>
      <c r="J2833" s="0" t="s">
        <v>197</v>
      </c>
      <c r="K2833" s="0" t="s">
        <v>198</v>
      </c>
      <c r="L2833" s="0" t="s">
        <v>682</v>
      </c>
      <c r="M2833" s="0" t="s">
        <v>135</v>
      </c>
      <c r="N2833" s="0" t="s">
        <v>136</v>
      </c>
      <c r="O2833" s="0" t="s">
        <v>238</v>
      </c>
      <c r="Q2833" s="0" t="s">
        <v>141</v>
      </c>
      <c r="R2833" s="0" t="s">
        <v>138</v>
      </c>
      <c r="S2833" s="14">
        <v>2</v>
      </c>
      <c r="T2833" s="0" t="s">
        <v>4412</v>
      </c>
      <c r="U2833" s="0" t="s">
        <v>138</v>
      </c>
      <c r="V2833" s="14" t="s">
        <v>138</v>
      </c>
      <c r="W2833" s="0" t="s">
        <v>138</v>
      </c>
      <c r="X2833" s="14" t="s">
        <v>138</v>
      </c>
      <c r="Y2833" s="0" t="s">
        <v>138</v>
      </c>
      <c r="Z2833" s="14" t="s">
        <v>138</v>
      </c>
      <c r="AA2833" s="0" t="s">
        <v>138</v>
      </c>
      <c r="AB2833" s="14" t="s">
        <v>138</v>
      </c>
      <c r="AD2833" s="0" t="s">
        <v>138</v>
      </c>
      <c r="AF2833" s="0">
        <v>0</v>
      </c>
      <c r="AG2833" s="0">
        <v>0</v>
      </c>
      <c r="AH2833" s="0" t="s">
        <v>140</v>
      </c>
      <c r="AI2833" s="0" t="s">
        <v>138</v>
      </c>
      <c r="AK2833" s="0" t="s">
        <v>1386</v>
      </c>
      <c r="AL2833" s="14"/>
      <c r="AN2833" s="14"/>
      <c r="AQ2833" s="0" t="s">
        <v>130</v>
      </c>
      <c r="AR2833" s="0" t="s">
        <v>130</v>
      </c>
      <c r="AS2833" s="0" t="s">
        <v>130</v>
      </c>
      <c r="AT2833" s="0" t="s">
        <v>130</v>
      </c>
      <c r="AU2833" s="0" t="s">
        <v>130</v>
      </c>
      <c r="AV2833" s="0" t="s">
        <v>130</v>
      </c>
      <c r="AW2833" s="0" t="s">
        <v>130</v>
      </c>
      <c r="AX2833" s="0" t="s">
        <v>130</v>
      </c>
      <c r="AY2833" s="0" t="s">
        <v>130</v>
      </c>
      <c r="AZ2833" s="0" t="s">
        <v>130</v>
      </c>
      <c r="BA2833" s="0" t="s">
        <v>130</v>
      </c>
      <c r="BB2833" s="0" t="s">
        <v>130</v>
      </c>
      <c r="BC2833" s="0" t="s">
        <v>141</v>
      </c>
      <c r="BD2833" s="0" t="s">
        <v>130</v>
      </c>
      <c r="BE2833" s="0" t="s">
        <v>130</v>
      </c>
      <c r="BF2833" s="0" t="s">
        <v>130</v>
      </c>
      <c r="BG2833" s="0" t="s">
        <v>130</v>
      </c>
      <c r="BH2833" s="0" t="s">
        <v>130</v>
      </c>
      <c r="BI2833" s="0" t="s">
        <v>130</v>
      </c>
      <c r="BJ2833" s="0" t="s">
        <v>130</v>
      </c>
      <c r="BK2833" s="0" t="s">
        <v>130</v>
      </c>
      <c r="BL2833" s="0" t="s">
        <v>130</v>
      </c>
      <c r="BM2833" s="0" t="s">
        <v>130</v>
      </c>
      <c r="BN2833" s="0" t="s">
        <v>130</v>
      </c>
      <c r="BO2833" s="0" t="s">
        <v>130</v>
      </c>
      <c r="BP2833" s="0" t="s">
        <v>130</v>
      </c>
      <c r="BQ2833" s="0" t="s">
        <v>130</v>
      </c>
      <c r="BR2833" s="0" t="s">
        <v>130</v>
      </c>
      <c r="BS2833" s="0" t="s">
        <v>130</v>
      </c>
      <c r="BT2833" s="0" t="s">
        <v>130</v>
      </c>
      <c r="BU2833" s="0" t="s">
        <v>130</v>
      </c>
      <c r="BV2833" s="0" t="s">
        <v>130</v>
      </c>
      <c r="BW2833" s="0" t="s">
        <v>130</v>
      </c>
      <c r="BX2833" s="0" t="s">
        <v>130</v>
      </c>
      <c r="BY2833" s="0" t="s">
        <v>130</v>
      </c>
      <c r="BZ2833" s="0" t="s">
        <v>130</v>
      </c>
      <c r="CA2833" s="0" t="s">
        <v>130</v>
      </c>
      <c r="CB2833" s="0" t="s">
        <v>130</v>
      </c>
      <c r="CC2833" s="0" t="s">
        <v>130</v>
      </c>
      <c r="CD2833" s="0" t="s">
        <v>130</v>
      </c>
      <c r="CE2833" s="0" t="s">
        <v>130</v>
      </c>
      <c r="CF2833" s="0" t="s">
        <v>130</v>
      </c>
      <c r="CG2833" s="0" t="s">
        <v>130</v>
      </c>
      <c r="CH2833" s="0" t="s">
        <v>130</v>
      </c>
      <c r="CI2833" s="0" t="s">
        <v>130</v>
      </c>
      <c r="CJ2833" s="0" t="s">
        <v>130</v>
      </c>
      <c r="CK2833" s="0" t="s">
        <v>130</v>
      </c>
      <c r="CL2833" s="0" t="s">
        <v>130</v>
      </c>
      <c r="CM2833" s="0" t="s">
        <v>130</v>
      </c>
      <c r="CN2833" s="0" t="s">
        <v>130</v>
      </c>
      <c r="CO2833" s="0" t="s">
        <v>130</v>
      </c>
      <c r="CP2833" s="0" t="s">
        <v>130</v>
      </c>
      <c r="CQ2833" s="0" t="s">
        <v>130</v>
      </c>
      <c r="CR2833" s="0" t="s">
        <v>130</v>
      </c>
      <c r="CS2833" s="0" t="s">
        <v>130</v>
      </c>
      <c r="CT2833" s="0" t="s">
        <v>7654</v>
      </c>
    </row>
    <row r="2834">
      <c r="A2834" s="14">
        <v>115467</v>
      </c>
      <c r="B2834" s="0" t="s">
        <v>2421</v>
      </c>
      <c r="C2834" s="16">
        <f>HYPERLINK("https://eosportal.federatedhermes.com/companies/Q29tcGFueQppNTg0Nzc=", "Kering SA")</f>
      </c>
      <c r="D2834" s="0" t="s">
        <v>25</v>
      </c>
      <c r="E2834" s="0" t="s">
        <v>721</v>
      </c>
      <c r="F2834" s="16">
        <f>HYPERLINK("https://eosportal.federatedhermes.com/engagements/RW5nYWdlbWVudAppMzkyODc=", "Water stewardship")</f>
      </c>
      <c r="G2834" s="14" t="s">
        <v>7655</v>
      </c>
      <c r="H2834" s="0" t="s">
        <v>141</v>
      </c>
      <c r="I2834" s="14" t="s">
        <v>131</v>
      </c>
      <c r="J2834" s="0" t="s">
        <v>197</v>
      </c>
      <c r="K2834" s="0" t="s">
        <v>337</v>
      </c>
      <c r="L2834" s="0" t="s">
        <v>338</v>
      </c>
      <c r="M2834" s="0" t="s">
        <v>378</v>
      </c>
      <c r="N2834" s="0" t="s">
        <v>1646</v>
      </c>
      <c r="O2834" s="0" t="s">
        <v>332</v>
      </c>
      <c r="Q2834" s="0" t="s">
        <v>141</v>
      </c>
      <c r="R2834" s="0" t="s">
        <v>138</v>
      </c>
      <c r="S2834" s="14">
        <v>1</v>
      </c>
      <c r="T2834" s="0" t="s">
        <v>4412</v>
      </c>
      <c r="U2834" s="0" t="s">
        <v>138</v>
      </c>
      <c r="V2834" s="14" t="s">
        <v>138</v>
      </c>
      <c r="W2834" s="0" t="s">
        <v>138</v>
      </c>
      <c r="X2834" s="14" t="s">
        <v>138</v>
      </c>
      <c r="Y2834" s="0" t="s">
        <v>138</v>
      </c>
      <c r="Z2834" s="14" t="s">
        <v>138</v>
      </c>
      <c r="AA2834" s="0" t="s">
        <v>138</v>
      </c>
      <c r="AB2834" s="14" t="s">
        <v>138</v>
      </c>
      <c r="AD2834" s="0" t="s">
        <v>138</v>
      </c>
      <c r="AF2834" s="0">
        <v>0</v>
      </c>
      <c r="AG2834" s="0">
        <v>0</v>
      </c>
      <c r="AH2834" s="0" t="s">
        <v>140</v>
      </c>
      <c r="AI2834" s="0" t="s">
        <v>138</v>
      </c>
      <c r="AK2834" s="0" t="s">
        <v>1439</v>
      </c>
      <c r="AL2834" s="14"/>
      <c r="AN2834" s="14"/>
      <c r="AQ2834" s="0" t="s">
        <v>130</v>
      </c>
      <c r="AR2834" s="0" t="s">
        <v>130</v>
      </c>
      <c r="AS2834" s="0" t="s">
        <v>130</v>
      </c>
      <c r="AT2834" s="0" t="s">
        <v>130</v>
      </c>
      <c r="AU2834" s="0" t="s">
        <v>130</v>
      </c>
      <c r="AV2834" s="0" t="s">
        <v>141</v>
      </c>
      <c r="AW2834" s="0" t="s">
        <v>130</v>
      </c>
      <c r="AX2834" s="0" t="s">
        <v>130</v>
      </c>
      <c r="AY2834" s="0" t="s">
        <v>130</v>
      </c>
      <c r="AZ2834" s="0" t="s">
        <v>130</v>
      </c>
      <c r="BA2834" s="0" t="s">
        <v>130</v>
      </c>
      <c r="BB2834" s="0" t="s">
        <v>130</v>
      </c>
      <c r="BC2834" s="0" t="s">
        <v>130</v>
      </c>
      <c r="BD2834" s="0" t="s">
        <v>130</v>
      </c>
      <c r="BE2834" s="0" t="s">
        <v>130</v>
      </c>
      <c r="BF2834" s="0" t="s">
        <v>130</v>
      </c>
      <c r="BG2834" s="0" t="s">
        <v>130</v>
      </c>
      <c r="BH2834" s="0" t="s">
        <v>130</v>
      </c>
      <c r="BI2834" s="0" t="s">
        <v>130</v>
      </c>
      <c r="BJ2834" s="0" t="s">
        <v>130</v>
      </c>
      <c r="BK2834" s="0" t="s">
        <v>130</v>
      </c>
      <c r="BL2834" s="0" t="s">
        <v>130</v>
      </c>
      <c r="BM2834" s="0" t="s">
        <v>130</v>
      </c>
      <c r="BN2834" s="0" t="s">
        <v>130</v>
      </c>
      <c r="BO2834" s="0" t="s">
        <v>130</v>
      </c>
      <c r="BP2834" s="0" t="s">
        <v>130</v>
      </c>
      <c r="BQ2834" s="0" t="s">
        <v>130</v>
      </c>
      <c r="BR2834" s="0" t="s">
        <v>130</v>
      </c>
      <c r="BS2834" s="0" t="s">
        <v>130</v>
      </c>
      <c r="BT2834" s="0" t="s">
        <v>130</v>
      </c>
      <c r="BU2834" s="0" t="s">
        <v>130</v>
      </c>
      <c r="BV2834" s="0" t="s">
        <v>130</v>
      </c>
      <c r="BW2834" s="0" t="s">
        <v>130</v>
      </c>
      <c r="BX2834" s="0" t="s">
        <v>141</v>
      </c>
      <c r="BY2834" s="0" t="s">
        <v>130</v>
      </c>
      <c r="BZ2834" s="0" t="s">
        <v>130</v>
      </c>
      <c r="CA2834" s="0" t="s">
        <v>130</v>
      </c>
      <c r="CB2834" s="0" t="s">
        <v>130</v>
      </c>
      <c r="CC2834" s="0" t="s">
        <v>130</v>
      </c>
      <c r="CD2834" s="0" t="s">
        <v>130</v>
      </c>
      <c r="CE2834" s="0" t="s">
        <v>130</v>
      </c>
      <c r="CF2834" s="0" t="s">
        <v>130</v>
      </c>
      <c r="CG2834" s="0" t="s">
        <v>130</v>
      </c>
      <c r="CH2834" s="0" t="s">
        <v>130</v>
      </c>
      <c r="CI2834" s="0" t="s">
        <v>130</v>
      </c>
      <c r="CJ2834" s="0" t="s">
        <v>130</v>
      </c>
      <c r="CK2834" s="0" t="s">
        <v>130</v>
      </c>
      <c r="CL2834" s="0" t="s">
        <v>130</v>
      </c>
      <c r="CM2834" s="0" t="s">
        <v>130</v>
      </c>
      <c r="CN2834" s="0" t="s">
        <v>130</v>
      </c>
      <c r="CO2834" s="0" t="s">
        <v>130</v>
      </c>
      <c r="CP2834" s="0" t="s">
        <v>130</v>
      </c>
      <c r="CQ2834" s="0" t="s">
        <v>130</v>
      </c>
      <c r="CR2834" s="0" t="s">
        <v>130</v>
      </c>
      <c r="CS2834" s="0" t="s">
        <v>130</v>
      </c>
      <c r="CT2834" s="0" t="s">
        <v>7656</v>
      </c>
    </row>
    <row r="2835">
      <c r="A2835" s="14">
        <v>101752</v>
      </c>
      <c r="B2835" s="0" t="s">
        <v>1938</v>
      </c>
      <c r="C2835" s="16">
        <f>HYPERLINK("https://eosportal.federatedhermes.com/companies/Q29tcGFueQppNzM3NzA=", "Oracle Corp")</f>
      </c>
      <c r="D2835" s="0" t="s">
        <v>25</v>
      </c>
      <c r="E2835" s="0" t="s">
        <v>7657</v>
      </c>
      <c r="F2835" s="16">
        <f>HYPERLINK("https://eosportal.federatedhermes.com/engagements/RW5nYWdlbWVudAppMzkyOTc=", "AI datacentre methane reduction")</f>
      </c>
      <c r="G2835" s="14" t="s">
        <v>7658</v>
      </c>
      <c r="H2835" s="0" t="s">
        <v>141</v>
      </c>
      <c r="I2835" s="14" t="s">
        <v>131</v>
      </c>
      <c r="J2835" s="0" t="s">
        <v>197</v>
      </c>
      <c r="K2835" s="0" t="s">
        <v>198</v>
      </c>
      <c r="L2835" s="0" t="s">
        <v>216</v>
      </c>
      <c r="M2835" s="0" t="s">
        <v>135</v>
      </c>
      <c r="N2835" s="0" t="s">
        <v>136</v>
      </c>
      <c r="O2835" s="0" t="s">
        <v>137</v>
      </c>
      <c r="Q2835" s="0" t="s">
        <v>141</v>
      </c>
      <c r="R2835" s="0" t="s">
        <v>138</v>
      </c>
      <c r="S2835" s="14">
        <v>2</v>
      </c>
      <c r="T2835" s="0" t="s">
        <v>4412</v>
      </c>
      <c r="U2835" s="0" t="s">
        <v>138</v>
      </c>
      <c r="V2835" s="14" t="s">
        <v>138</v>
      </c>
      <c r="W2835" s="0" t="s">
        <v>138</v>
      </c>
      <c r="X2835" s="14" t="s">
        <v>138</v>
      </c>
      <c r="Y2835" s="0" t="s">
        <v>138</v>
      </c>
      <c r="Z2835" s="14" t="s">
        <v>138</v>
      </c>
      <c r="AA2835" s="0" t="s">
        <v>138</v>
      </c>
      <c r="AB2835" s="14" t="s">
        <v>138</v>
      </c>
      <c r="AD2835" s="0" t="s">
        <v>138</v>
      </c>
      <c r="AF2835" s="0">
        <v>0</v>
      </c>
      <c r="AG2835" s="0">
        <v>0</v>
      </c>
      <c r="AH2835" s="0" t="s">
        <v>140</v>
      </c>
      <c r="AI2835" s="0" t="s">
        <v>138</v>
      </c>
      <c r="AK2835" s="0" t="s">
        <v>1950</v>
      </c>
      <c r="AL2835" s="14"/>
      <c r="AN2835" s="14"/>
      <c r="AQ2835" s="0" t="s">
        <v>130</v>
      </c>
      <c r="AR2835" s="0" t="s">
        <v>130</v>
      </c>
      <c r="AS2835" s="0" t="s">
        <v>130</v>
      </c>
      <c r="AT2835" s="0" t="s">
        <v>130</v>
      </c>
      <c r="AU2835" s="0" t="s">
        <v>130</v>
      </c>
      <c r="AV2835" s="0" t="s">
        <v>130</v>
      </c>
      <c r="AW2835" s="0" t="s">
        <v>141</v>
      </c>
      <c r="AX2835" s="0" t="s">
        <v>130</v>
      </c>
      <c r="AY2835" s="0" t="s">
        <v>141</v>
      </c>
      <c r="AZ2835" s="0" t="s">
        <v>130</v>
      </c>
      <c r="BA2835" s="0" t="s">
        <v>130</v>
      </c>
      <c r="BB2835" s="0" t="s">
        <v>130</v>
      </c>
      <c r="BC2835" s="0" t="s">
        <v>141</v>
      </c>
      <c r="BD2835" s="0" t="s">
        <v>130</v>
      </c>
      <c r="BE2835" s="0" t="s">
        <v>130</v>
      </c>
      <c r="BF2835" s="0" t="s">
        <v>130</v>
      </c>
      <c r="BG2835" s="0" t="s">
        <v>130</v>
      </c>
      <c r="BH2835" s="0" t="s">
        <v>141</v>
      </c>
      <c r="BI2835" s="0" t="s">
        <v>141</v>
      </c>
      <c r="BJ2835" s="0" t="s">
        <v>141</v>
      </c>
      <c r="BK2835" s="0" t="s">
        <v>130</v>
      </c>
      <c r="BL2835" s="0" t="s">
        <v>141</v>
      </c>
      <c r="BM2835" s="0" t="s">
        <v>130</v>
      </c>
      <c r="BN2835" s="0" t="s">
        <v>130</v>
      </c>
      <c r="BO2835" s="0" t="s">
        <v>130</v>
      </c>
      <c r="BP2835" s="0" t="s">
        <v>130</v>
      </c>
      <c r="BQ2835" s="0" t="s">
        <v>130</v>
      </c>
      <c r="BR2835" s="0" t="s">
        <v>130</v>
      </c>
      <c r="BS2835" s="0" t="s">
        <v>130</v>
      </c>
      <c r="BT2835" s="0" t="s">
        <v>130</v>
      </c>
      <c r="BU2835" s="0" t="s">
        <v>130</v>
      </c>
      <c r="BV2835" s="0" t="s">
        <v>141</v>
      </c>
      <c r="BW2835" s="0" t="s">
        <v>141</v>
      </c>
      <c r="BX2835" s="0" t="s">
        <v>130</v>
      </c>
      <c r="BY2835" s="0" t="s">
        <v>130</v>
      </c>
      <c r="BZ2835" s="0" t="s">
        <v>130</v>
      </c>
      <c r="CA2835" s="0" t="s">
        <v>130</v>
      </c>
      <c r="CB2835" s="0" t="s">
        <v>130</v>
      </c>
      <c r="CC2835" s="0" t="s">
        <v>130</v>
      </c>
      <c r="CD2835" s="0" t="s">
        <v>130</v>
      </c>
      <c r="CE2835" s="0" t="s">
        <v>130</v>
      </c>
      <c r="CF2835" s="0" t="s">
        <v>130</v>
      </c>
      <c r="CG2835" s="0" t="s">
        <v>130</v>
      </c>
      <c r="CH2835" s="0" t="s">
        <v>130</v>
      </c>
      <c r="CI2835" s="0" t="s">
        <v>130</v>
      </c>
      <c r="CJ2835" s="0" t="s">
        <v>130</v>
      </c>
      <c r="CK2835" s="0" t="s">
        <v>130</v>
      </c>
      <c r="CL2835" s="0" t="s">
        <v>130</v>
      </c>
      <c r="CM2835" s="0" t="s">
        <v>130</v>
      </c>
      <c r="CN2835" s="0" t="s">
        <v>130</v>
      </c>
      <c r="CO2835" s="0" t="s">
        <v>130</v>
      </c>
      <c r="CP2835" s="0" t="s">
        <v>130</v>
      </c>
      <c r="CQ2835" s="0" t="s">
        <v>130</v>
      </c>
      <c r="CR2835" s="0" t="s">
        <v>130</v>
      </c>
      <c r="CS2835" s="0" t="s">
        <v>130</v>
      </c>
      <c r="CT2835" s="0" t="s">
        <v>7659</v>
      </c>
    </row>
    <row r="2836">
      <c r="A2836" s="14">
        <v>101752</v>
      </c>
      <c r="B2836" s="0" t="s">
        <v>1938</v>
      </c>
      <c r="C2836" s="16">
        <f>HYPERLINK("https://eosportal.federatedhermes.com/companies/Q29tcGFueQppNzM3NzA=", "Oracle Corp")</f>
      </c>
      <c r="D2836" s="0" t="s">
        <v>25</v>
      </c>
      <c r="E2836" s="0" t="s">
        <v>7660</v>
      </c>
      <c r="F2836" s="16">
        <f>HYPERLINK("https://eosportal.federatedhermes.com/engagements/RW5nYWdlbWVudAppMzkyOTg=", "Workforce engagement")</f>
      </c>
      <c r="G2836" s="14" t="s">
        <v>7661</v>
      </c>
      <c r="H2836" s="0" t="s">
        <v>141</v>
      </c>
      <c r="I2836" s="14" t="s">
        <v>131</v>
      </c>
      <c r="J2836" s="0" t="s">
        <v>153</v>
      </c>
      <c r="K2836" s="0" t="s">
        <v>154</v>
      </c>
      <c r="L2836" s="0" t="s">
        <v>268</v>
      </c>
      <c r="M2836" s="0" t="s">
        <v>135</v>
      </c>
      <c r="N2836" s="0" t="s">
        <v>136</v>
      </c>
      <c r="O2836" s="0" t="s">
        <v>137</v>
      </c>
      <c r="Q2836" s="0" t="s">
        <v>130</v>
      </c>
      <c r="R2836" s="0" t="s">
        <v>138</v>
      </c>
      <c r="S2836" s="14">
        <v>0</v>
      </c>
      <c r="T2836" s="0" t="s">
        <v>4412</v>
      </c>
      <c r="U2836" s="0" t="s">
        <v>138</v>
      </c>
      <c r="V2836" s="14" t="s">
        <v>138</v>
      </c>
      <c r="W2836" s="0" t="s">
        <v>138</v>
      </c>
      <c r="X2836" s="14" t="s">
        <v>138</v>
      </c>
      <c r="Y2836" s="0" t="s">
        <v>138</v>
      </c>
      <c r="Z2836" s="14" t="s">
        <v>138</v>
      </c>
      <c r="AA2836" s="0" t="s">
        <v>138</v>
      </c>
      <c r="AB2836" s="14" t="s">
        <v>138</v>
      </c>
      <c r="AD2836" s="0" t="s">
        <v>138</v>
      </c>
      <c r="AF2836" s="0">
        <v>0</v>
      </c>
      <c r="AG2836" s="0">
        <v>0</v>
      </c>
      <c r="AH2836" s="0" t="s">
        <v>140</v>
      </c>
      <c r="AI2836" s="0" t="s">
        <v>138</v>
      </c>
      <c r="AL2836" s="14"/>
      <c r="AN2836" s="14"/>
      <c r="AQ2836" s="0" t="s">
        <v>130</v>
      </c>
      <c r="AR2836" s="0" t="s">
        <v>130</v>
      </c>
      <c r="AS2836" s="0" t="s">
        <v>130</v>
      </c>
      <c r="AT2836" s="0" t="s">
        <v>130</v>
      </c>
      <c r="AU2836" s="0" t="s">
        <v>130</v>
      </c>
      <c r="AV2836" s="0" t="s">
        <v>130</v>
      </c>
      <c r="AW2836" s="0" t="s">
        <v>130</v>
      </c>
      <c r="AX2836" s="0" t="s">
        <v>141</v>
      </c>
      <c r="AY2836" s="0" t="s">
        <v>130</v>
      </c>
      <c r="AZ2836" s="0" t="s">
        <v>130</v>
      </c>
      <c r="BA2836" s="0" t="s">
        <v>130</v>
      </c>
      <c r="BB2836" s="0" t="s">
        <v>130</v>
      </c>
      <c r="BC2836" s="0" t="s">
        <v>130</v>
      </c>
      <c r="BD2836" s="0" t="s">
        <v>130</v>
      </c>
      <c r="BE2836" s="0" t="s">
        <v>130</v>
      </c>
      <c r="BF2836" s="0" t="s">
        <v>130</v>
      </c>
      <c r="BG2836" s="0" t="s">
        <v>130</v>
      </c>
      <c r="BH2836" s="0" t="s">
        <v>130</v>
      </c>
      <c r="BI2836" s="0" t="s">
        <v>130</v>
      </c>
      <c r="BJ2836" s="0" t="s">
        <v>130</v>
      </c>
      <c r="BK2836" s="0" t="s">
        <v>130</v>
      </c>
      <c r="BL2836" s="0" t="s">
        <v>130</v>
      </c>
      <c r="BM2836" s="0" t="s">
        <v>130</v>
      </c>
      <c r="BN2836" s="0" t="s">
        <v>130</v>
      </c>
      <c r="BO2836" s="0" t="s">
        <v>130</v>
      </c>
      <c r="BP2836" s="0" t="s">
        <v>130</v>
      </c>
      <c r="BQ2836" s="0" t="s">
        <v>130</v>
      </c>
      <c r="BR2836" s="0" t="s">
        <v>130</v>
      </c>
      <c r="BS2836" s="0" t="s">
        <v>130</v>
      </c>
      <c r="BT2836" s="0" t="s">
        <v>130</v>
      </c>
      <c r="BU2836" s="0" t="s">
        <v>130</v>
      </c>
      <c r="BV2836" s="0" t="s">
        <v>130</v>
      </c>
      <c r="BW2836" s="0" t="s">
        <v>130</v>
      </c>
      <c r="BX2836" s="0" t="s">
        <v>130</v>
      </c>
      <c r="BY2836" s="0" t="s">
        <v>130</v>
      </c>
      <c r="BZ2836" s="0" t="s">
        <v>130</v>
      </c>
      <c r="CA2836" s="0" t="s">
        <v>130</v>
      </c>
      <c r="CB2836" s="0" t="s">
        <v>130</v>
      </c>
      <c r="CC2836" s="0" t="s">
        <v>130</v>
      </c>
      <c r="CD2836" s="0" t="s">
        <v>130</v>
      </c>
      <c r="CE2836" s="0" t="s">
        <v>130</v>
      </c>
      <c r="CF2836" s="0" t="s">
        <v>130</v>
      </c>
      <c r="CG2836" s="0" t="s">
        <v>130</v>
      </c>
      <c r="CH2836" s="0" t="s">
        <v>130</v>
      </c>
      <c r="CI2836" s="0" t="s">
        <v>130</v>
      </c>
      <c r="CJ2836" s="0" t="s">
        <v>130</v>
      </c>
      <c r="CK2836" s="0" t="s">
        <v>141</v>
      </c>
      <c r="CL2836" s="0" t="s">
        <v>130</v>
      </c>
      <c r="CM2836" s="0" t="s">
        <v>130</v>
      </c>
      <c r="CN2836" s="0" t="s">
        <v>130</v>
      </c>
      <c r="CO2836" s="0" t="s">
        <v>130</v>
      </c>
      <c r="CP2836" s="0" t="s">
        <v>130</v>
      </c>
      <c r="CQ2836" s="0" t="s">
        <v>130</v>
      </c>
      <c r="CR2836" s="0" t="s">
        <v>130</v>
      </c>
      <c r="CS2836" s="0" t="s">
        <v>130</v>
      </c>
      <c r="CT2836" s="0" t="s">
        <v>7662</v>
      </c>
    </row>
    <row r="2837">
      <c r="A2837" s="14">
        <v>100546</v>
      </c>
      <c r="B2837" s="0" t="s">
        <v>776</v>
      </c>
      <c r="C2837" s="16">
        <f>HYPERLINK("https://eosportal.federatedhermes.com/companies/Q29tcGFueQppNzU3MjY=", "Exxon Mobil Corp")</f>
      </c>
      <c r="D2837" s="0" t="s">
        <v>25</v>
      </c>
      <c r="E2837" s="0" t="s">
        <v>7663</v>
      </c>
      <c r="F2837" s="16">
        <f>HYPERLINK("https://eosportal.federatedhermes.com/engagements/RW5nYWdlbWVudAppMzkyOTk=", "Safety")</f>
      </c>
      <c r="G2837" s="14" t="s">
        <v>7664</v>
      </c>
      <c r="H2837" s="0" t="s">
        <v>141</v>
      </c>
      <c r="I2837" s="14" t="s">
        <v>191</v>
      </c>
      <c r="J2837" s="0" t="s">
        <v>153</v>
      </c>
      <c r="K2837" s="0" t="s">
        <v>154</v>
      </c>
      <c r="L2837" s="0" t="s">
        <v>155</v>
      </c>
      <c r="M2837" s="0" t="s">
        <v>135</v>
      </c>
      <c r="N2837" s="0" t="s">
        <v>136</v>
      </c>
      <c r="O2837" s="0" t="s">
        <v>542</v>
      </c>
      <c r="Q2837" s="0" t="s">
        <v>130</v>
      </c>
      <c r="R2837" s="0" t="s">
        <v>138</v>
      </c>
      <c r="S2837" s="14">
        <v>0</v>
      </c>
      <c r="T2837" s="0" t="s">
        <v>4412</v>
      </c>
      <c r="U2837" s="0" t="s">
        <v>138</v>
      </c>
      <c r="V2837" s="14" t="s">
        <v>138</v>
      </c>
      <c r="W2837" s="0" t="s">
        <v>138</v>
      </c>
      <c r="X2837" s="14" t="s">
        <v>138</v>
      </c>
      <c r="Y2837" s="0" t="s">
        <v>138</v>
      </c>
      <c r="Z2837" s="14" t="s">
        <v>138</v>
      </c>
      <c r="AA2837" s="0" t="s">
        <v>138</v>
      </c>
      <c r="AB2837" s="14" t="s">
        <v>138</v>
      </c>
      <c r="AD2837" s="0" t="s">
        <v>138</v>
      </c>
      <c r="AF2837" s="0">
        <v>0</v>
      </c>
      <c r="AG2837" s="0">
        <v>0</v>
      </c>
      <c r="AH2837" s="0" t="s">
        <v>140</v>
      </c>
      <c r="AI2837" s="0" t="s">
        <v>138</v>
      </c>
      <c r="AL2837" s="14"/>
      <c r="AN2837" s="14"/>
      <c r="AQ2837" s="0" t="s">
        <v>130</v>
      </c>
      <c r="AR2837" s="0" t="s">
        <v>130</v>
      </c>
      <c r="AS2837" s="0" t="s">
        <v>141</v>
      </c>
      <c r="AT2837" s="0" t="s">
        <v>130</v>
      </c>
      <c r="AU2837" s="0" t="s">
        <v>130</v>
      </c>
      <c r="AV2837" s="0" t="s">
        <v>130</v>
      </c>
      <c r="AW2837" s="0" t="s">
        <v>130</v>
      </c>
      <c r="AX2837" s="0" t="s">
        <v>141</v>
      </c>
      <c r="AY2837" s="0" t="s">
        <v>130</v>
      </c>
      <c r="AZ2837" s="0" t="s">
        <v>130</v>
      </c>
      <c r="BA2837" s="0" t="s">
        <v>130</v>
      </c>
      <c r="BB2837" s="0" t="s">
        <v>130</v>
      </c>
      <c r="BC2837" s="0" t="s">
        <v>130</v>
      </c>
      <c r="BD2837" s="0" t="s">
        <v>130</v>
      </c>
      <c r="BE2837" s="0" t="s">
        <v>130</v>
      </c>
      <c r="BF2837" s="0" t="s">
        <v>130</v>
      </c>
      <c r="BG2837" s="0" t="s">
        <v>130</v>
      </c>
      <c r="BH2837" s="0" t="s">
        <v>130</v>
      </c>
      <c r="BI2837" s="0" t="s">
        <v>130</v>
      </c>
      <c r="BJ2837" s="0" t="s">
        <v>130</v>
      </c>
      <c r="BK2837" s="0" t="s">
        <v>130</v>
      </c>
      <c r="BL2837" s="0" t="s">
        <v>130</v>
      </c>
      <c r="BM2837" s="0" t="s">
        <v>130</v>
      </c>
      <c r="BN2837" s="0" t="s">
        <v>130</v>
      </c>
      <c r="BO2837" s="0" t="s">
        <v>130</v>
      </c>
      <c r="BP2837" s="0" t="s">
        <v>130</v>
      </c>
      <c r="BQ2837" s="0" t="s">
        <v>130</v>
      </c>
      <c r="BR2837" s="0" t="s">
        <v>130</v>
      </c>
      <c r="BS2837" s="0" t="s">
        <v>130</v>
      </c>
      <c r="BT2837" s="0" t="s">
        <v>130</v>
      </c>
      <c r="BU2837" s="0" t="s">
        <v>130</v>
      </c>
      <c r="BV2837" s="0" t="s">
        <v>130</v>
      </c>
      <c r="BW2837" s="0" t="s">
        <v>130</v>
      </c>
      <c r="BX2837" s="0" t="s">
        <v>130</v>
      </c>
      <c r="BY2837" s="0" t="s">
        <v>130</v>
      </c>
      <c r="BZ2837" s="0" t="s">
        <v>130</v>
      </c>
      <c r="CA2837" s="0" t="s">
        <v>130</v>
      </c>
      <c r="CB2837" s="0" t="s">
        <v>130</v>
      </c>
      <c r="CC2837" s="0" t="s">
        <v>130</v>
      </c>
      <c r="CD2837" s="0" t="s">
        <v>130</v>
      </c>
      <c r="CE2837" s="0" t="s">
        <v>130</v>
      </c>
      <c r="CF2837" s="0" t="s">
        <v>130</v>
      </c>
      <c r="CG2837" s="0" t="s">
        <v>130</v>
      </c>
      <c r="CH2837" s="0" t="s">
        <v>130</v>
      </c>
      <c r="CI2837" s="0" t="s">
        <v>141</v>
      </c>
      <c r="CJ2837" s="0" t="s">
        <v>130</v>
      </c>
      <c r="CK2837" s="0" t="s">
        <v>130</v>
      </c>
      <c r="CL2837" s="0" t="s">
        <v>130</v>
      </c>
      <c r="CM2837" s="0" t="s">
        <v>130</v>
      </c>
      <c r="CN2837" s="0" t="s">
        <v>130</v>
      </c>
      <c r="CO2837" s="0" t="s">
        <v>130</v>
      </c>
      <c r="CP2837" s="0" t="s">
        <v>130</v>
      </c>
      <c r="CQ2837" s="0" t="s">
        <v>130</v>
      </c>
      <c r="CR2837" s="0" t="s">
        <v>130</v>
      </c>
      <c r="CS2837" s="0" t="s">
        <v>130</v>
      </c>
      <c r="CT2837" s="0" t="s">
        <v>7665</v>
      </c>
    </row>
    <row r="2838">
      <c r="A2838" s="14">
        <v>350245</v>
      </c>
      <c r="B2838" s="0" t="s">
        <v>3720</v>
      </c>
      <c r="C2838" s="16">
        <f>HYPERLINK("https://eosportal.federatedhermes.com/companies/Q29tcGFueQppNzkxMTQ=", "Sempra")</f>
      </c>
      <c r="D2838" s="0" t="s">
        <v>25</v>
      </c>
      <c r="E2838" s="0" t="s">
        <v>7666</v>
      </c>
      <c r="F2838" s="16">
        <f>HYPERLINK("https://eosportal.federatedhermes.com/engagements/RW5nYWdlbWVudAppMzkzMDI=", "director tenure cap")</f>
      </c>
      <c r="G2838" s="14" t="s">
        <v>7667</v>
      </c>
      <c r="H2838" s="0" t="s">
        <v>130</v>
      </c>
      <c r="I2838" s="14" t="s">
        <v>319</v>
      </c>
      <c r="J2838" s="0" t="s">
        <v>145</v>
      </c>
      <c r="K2838" s="0" t="s">
        <v>164</v>
      </c>
      <c r="L2838" s="0" t="s">
        <v>165</v>
      </c>
      <c r="M2838" s="0" t="s">
        <v>135</v>
      </c>
      <c r="N2838" s="0" t="s">
        <v>136</v>
      </c>
      <c r="O2838" s="0" t="s">
        <v>192</v>
      </c>
      <c r="Q2838" s="0" t="s">
        <v>130</v>
      </c>
      <c r="R2838" s="0" t="s">
        <v>138</v>
      </c>
      <c r="S2838" s="14">
        <v>0</v>
      </c>
      <c r="T2838" s="0" t="s">
        <v>4412</v>
      </c>
      <c r="U2838" s="0" t="s">
        <v>138</v>
      </c>
      <c r="V2838" s="14" t="s">
        <v>138</v>
      </c>
      <c r="W2838" s="0" t="s">
        <v>138</v>
      </c>
      <c r="X2838" s="14" t="s">
        <v>138</v>
      </c>
      <c r="Y2838" s="0" t="s">
        <v>138</v>
      </c>
      <c r="Z2838" s="14" t="s">
        <v>138</v>
      </c>
      <c r="AA2838" s="0" t="s">
        <v>138</v>
      </c>
      <c r="AB2838" s="14" t="s">
        <v>138</v>
      </c>
      <c r="AD2838" s="0" t="s">
        <v>138</v>
      </c>
      <c r="AF2838" s="0">
        <v>0</v>
      </c>
      <c r="AG2838" s="0">
        <v>0</v>
      </c>
      <c r="AH2838" s="0" t="s">
        <v>140</v>
      </c>
      <c r="AI2838" s="0" t="s">
        <v>138</v>
      </c>
      <c r="AL2838" s="14"/>
      <c r="AN2838" s="14"/>
      <c r="AQ2838" s="0" t="s">
        <v>130</v>
      </c>
      <c r="AR2838" s="0" t="s">
        <v>130</v>
      </c>
      <c r="AS2838" s="0" t="s">
        <v>130</v>
      </c>
      <c r="AT2838" s="0" t="s">
        <v>130</v>
      </c>
      <c r="AU2838" s="0" t="s">
        <v>141</v>
      </c>
      <c r="AV2838" s="0" t="s">
        <v>130</v>
      </c>
      <c r="AW2838" s="0" t="s">
        <v>130</v>
      </c>
      <c r="AX2838" s="0" t="s">
        <v>130</v>
      </c>
      <c r="AY2838" s="0" t="s">
        <v>130</v>
      </c>
      <c r="AZ2838" s="0" t="s">
        <v>141</v>
      </c>
      <c r="BA2838" s="0" t="s">
        <v>130</v>
      </c>
      <c r="BB2838" s="0" t="s">
        <v>130</v>
      </c>
      <c r="BC2838" s="0" t="s">
        <v>130</v>
      </c>
      <c r="BD2838" s="0" t="s">
        <v>130</v>
      </c>
      <c r="BE2838" s="0" t="s">
        <v>130</v>
      </c>
      <c r="BF2838" s="0" t="s">
        <v>130</v>
      </c>
      <c r="BG2838" s="0" t="s">
        <v>130</v>
      </c>
      <c r="BH2838" s="0" t="s">
        <v>130</v>
      </c>
      <c r="BI2838" s="0" t="s">
        <v>130</v>
      </c>
      <c r="BJ2838" s="0" t="s">
        <v>130</v>
      </c>
      <c r="BK2838" s="0" t="s">
        <v>130</v>
      </c>
      <c r="BL2838" s="0" t="s">
        <v>130</v>
      </c>
      <c r="BM2838" s="0" t="s">
        <v>130</v>
      </c>
      <c r="BN2838" s="0" t="s">
        <v>130</v>
      </c>
      <c r="BO2838" s="0" t="s">
        <v>130</v>
      </c>
      <c r="BP2838" s="0" t="s">
        <v>130</v>
      </c>
      <c r="BQ2838" s="0" t="s">
        <v>130</v>
      </c>
      <c r="BR2838" s="0" t="s">
        <v>130</v>
      </c>
      <c r="BS2838" s="0" t="s">
        <v>130</v>
      </c>
      <c r="BT2838" s="0" t="s">
        <v>130</v>
      </c>
      <c r="BU2838" s="0" t="s">
        <v>130</v>
      </c>
      <c r="BV2838" s="0" t="s">
        <v>130</v>
      </c>
      <c r="BW2838" s="0" t="s">
        <v>130</v>
      </c>
      <c r="BX2838" s="0" t="s">
        <v>130</v>
      </c>
      <c r="BY2838" s="0" t="s">
        <v>130</v>
      </c>
      <c r="BZ2838" s="0" t="s">
        <v>130</v>
      </c>
      <c r="CA2838" s="0" t="s">
        <v>130</v>
      </c>
      <c r="CB2838" s="0" t="s">
        <v>130</v>
      </c>
      <c r="CC2838" s="0" t="s">
        <v>130</v>
      </c>
      <c r="CD2838" s="0" t="s">
        <v>130</v>
      </c>
      <c r="CE2838" s="0" t="s">
        <v>130</v>
      </c>
      <c r="CF2838" s="0" t="s">
        <v>130</v>
      </c>
      <c r="CG2838" s="0" t="s">
        <v>130</v>
      </c>
      <c r="CH2838" s="0" t="s">
        <v>130</v>
      </c>
      <c r="CI2838" s="0" t="s">
        <v>130</v>
      </c>
      <c r="CJ2838" s="0" t="s">
        <v>130</v>
      </c>
      <c r="CK2838" s="0" t="s">
        <v>130</v>
      </c>
      <c r="CL2838" s="0" t="s">
        <v>130</v>
      </c>
      <c r="CM2838" s="0" t="s">
        <v>130</v>
      </c>
      <c r="CN2838" s="0" t="s">
        <v>130</v>
      </c>
      <c r="CO2838" s="0" t="s">
        <v>130</v>
      </c>
      <c r="CP2838" s="0" t="s">
        <v>130</v>
      </c>
      <c r="CQ2838" s="0" t="s">
        <v>130</v>
      </c>
      <c r="CR2838" s="0" t="s">
        <v>130</v>
      </c>
      <c r="CS2838" s="0" t="s">
        <v>130</v>
      </c>
      <c r="CT2838" s="0" t="s">
        <v>7668</v>
      </c>
    </row>
    <row r="2839">
      <c r="A2839" s="14">
        <v>350245</v>
      </c>
      <c r="B2839" s="0" t="s">
        <v>3720</v>
      </c>
      <c r="C2839" s="16">
        <f>HYPERLINK("https://eosportal.federatedhermes.com/companies/Q29tcGFueQppNzkxMTQ=", "Sempra")</f>
      </c>
      <c r="D2839" s="0" t="s">
        <v>25</v>
      </c>
      <c r="E2839" s="0" t="s">
        <v>7669</v>
      </c>
      <c r="F2839" s="16">
        <f>HYPERLINK("https://eosportal.federatedhermes.com/engagements/RW5nYWdlbWVudAppMzkzMDM=", "AI and wildfire")</f>
      </c>
      <c r="G2839" s="14" t="s">
        <v>7670</v>
      </c>
      <c r="H2839" s="0" t="s">
        <v>130</v>
      </c>
      <c r="I2839" s="14" t="s">
        <v>319</v>
      </c>
      <c r="J2839" s="0" t="s">
        <v>197</v>
      </c>
      <c r="K2839" s="0" t="s">
        <v>198</v>
      </c>
      <c r="L2839" s="0" t="s">
        <v>682</v>
      </c>
      <c r="M2839" s="0" t="s">
        <v>135</v>
      </c>
      <c r="N2839" s="0" t="s">
        <v>136</v>
      </c>
      <c r="O2839" s="0" t="s">
        <v>192</v>
      </c>
      <c r="Q2839" s="0" t="s">
        <v>130</v>
      </c>
      <c r="R2839" s="0" t="s">
        <v>138</v>
      </c>
      <c r="S2839" s="14">
        <v>0</v>
      </c>
      <c r="T2839" s="0" t="s">
        <v>4412</v>
      </c>
      <c r="U2839" s="0" t="s">
        <v>138</v>
      </c>
      <c r="V2839" s="14" t="s">
        <v>138</v>
      </c>
      <c r="W2839" s="0" t="s">
        <v>138</v>
      </c>
      <c r="X2839" s="14" t="s">
        <v>138</v>
      </c>
      <c r="Y2839" s="0" t="s">
        <v>138</v>
      </c>
      <c r="Z2839" s="14" t="s">
        <v>138</v>
      </c>
      <c r="AA2839" s="0" t="s">
        <v>138</v>
      </c>
      <c r="AB2839" s="14" t="s">
        <v>138</v>
      </c>
      <c r="AD2839" s="0" t="s">
        <v>138</v>
      </c>
      <c r="AF2839" s="0">
        <v>0</v>
      </c>
      <c r="AG2839" s="0">
        <v>0</v>
      </c>
      <c r="AH2839" s="0" t="s">
        <v>140</v>
      </c>
      <c r="AI2839" s="0" t="s">
        <v>138</v>
      </c>
      <c r="AL2839" s="14"/>
      <c r="AN2839" s="14"/>
      <c r="AQ2839" s="0" t="s">
        <v>130</v>
      </c>
      <c r="AR2839" s="0" t="s">
        <v>130</v>
      </c>
      <c r="AS2839" s="0" t="s">
        <v>130</v>
      </c>
      <c r="AT2839" s="0" t="s">
        <v>130</v>
      </c>
      <c r="AU2839" s="0" t="s">
        <v>130</v>
      </c>
      <c r="AV2839" s="0" t="s">
        <v>130</v>
      </c>
      <c r="AW2839" s="0" t="s">
        <v>130</v>
      </c>
      <c r="AX2839" s="0" t="s">
        <v>130</v>
      </c>
      <c r="AY2839" s="0" t="s">
        <v>130</v>
      </c>
      <c r="AZ2839" s="0" t="s">
        <v>130</v>
      </c>
      <c r="BA2839" s="0" t="s">
        <v>130</v>
      </c>
      <c r="BB2839" s="0" t="s">
        <v>130</v>
      </c>
      <c r="BC2839" s="0" t="s">
        <v>141</v>
      </c>
      <c r="BD2839" s="0" t="s">
        <v>130</v>
      </c>
      <c r="BE2839" s="0" t="s">
        <v>130</v>
      </c>
      <c r="BF2839" s="0" t="s">
        <v>130</v>
      </c>
      <c r="BG2839" s="0" t="s">
        <v>130</v>
      </c>
      <c r="BH2839" s="0" t="s">
        <v>130</v>
      </c>
      <c r="BI2839" s="0" t="s">
        <v>130</v>
      </c>
      <c r="BJ2839" s="0" t="s">
        <v>130</v>
      </c>
      <c r="BK2839" s="0" t="s">
        <v>130</v>
      </c>
      <c r="BL2839" s="0" t="s">
        <v>130</v>
      </c>
      <c r="BM2839" s="0" t="s">
        <v>130</v>
      </c>
      <c r="BN2839" s="0" t="s">
        <v>130</v>
      </c>
      <c r="BO2839" s="0" t="s">
        <v>130</v>
      </c>
      <c r="BP2839" s="0" t="s">
        <v>130</v>
      </c>
      <c r="BQ2839" s="0" t="s">
        <v>130</v>
      </c>
      <c r="BR2839" s="0" t="s">
        <v>130</v>
      </c>
      <c r="BS2839" s="0" t="s">
        <v>130</v>
      </c>
      <c r="BT2839" s="0" t="s">
        <v>130</v>
      </c>
      <c r="BU2839" s="0" t="s">
        <v>130</v>
      </c>
      <c r="BV2839" s="0" t="s">
        <v>130</v>
      </c>
      <c r="BW2839" s="0" t="s">
        <v>130</v>
      </c>
      <c r="BX2839" s="0" t="s">
        <v>130</v>
      </c>
      <c r="BY2839" s="0" t="s">
        <v>130</v>
      </c>
      <c r="BZ2839" s="0" t="s">
        <v>130</v>
      </c>
      <c r="CA2839" s="0" t="s">
        <v>130</v>
      </c>
      <c r="CB2839" s="0" t="s">
        <v>130</v>
      </c>
      <c r="CC2839" s="0" t="s">
        <v>130</v>
      </c>
      <c r="CD2839" s="0" t="s">
        <v>130</v>
      </c>
      <c r="CE2839" s="0" t="s">
        <v>130</v>
      </c>
      <c r="CF2839" s="0" t="s">
        <v>130</v>
      </c>
      <c r="CG2839" s="0" t="s">
        <v>130</v>
      </c>
      <c r="CH2839" s="0" t="s">
        <v>130</v>
      </c>
      <c r="CI2839" s="0" t="s">
        <v>130</v>
      </c>
      <c r="CJ2839" s="0" t="s">
        <v>130</v>
      </c>
      <c r="CK2839" s="0" t="s">
        <v>130</v>
      </c>
      <c r="CL2839" s="0" t="s">
        <v>130</v>
      </c>
      <c r="CM2839" s="0" t="s">
        <v>130</v>
      </c>
      <c r="CN2839" s="0" t="s">
        <v>130</v>
      </c>
      <c r="CO2839" s="0" t="s">
        <v>130</v>
      </c>
      <c r="CP2839" s="0" t="s">
        <v>130</v>
      </c>
      <c r="CQ2839" s="0" t="s">
        <v>130</v>
      </c>
      <c r="CR2839" s="0" t="s">
        <v>130</v>
      </c>
      <c r="CS2839" s="0" t="s">
        <v>130</v>
      </c>
      <c r="CT2839" s="0" t="s">
        <v>7671</v>
      </c>
    </row>
    <row r="2840">
      <c r="A2840" s="14">
        <v>101522</v>
      </c>
      <c r="B2840" s="0" t="s">
        <v>7672</v>
      </c>
      <c r="C2840" s="16">
        <f>HYPERLINK("https://eosportal.federatedhermes.com/companies/Q29tcGFueQppNjI0MjQ=", "Tyler Technologies Inc")</f>
      </c>
      <c r="D2840" s="0" t="s">
        <v>23</v>
      </c>
      <c r="E2840" s="0" t="s">
        <v>7673</v>
      </c>
      <c r="F2840" s="16">
        <f>HYPERLINK("https://eosportal.federatedhermes.com/engagements/RW5nYWdlbWVudAppMzkzMTE=", "Eco software design")</f>
      </c>
      <c r="G2840" s="14" t="s">
        <v>7674</v>
      </c>
      <c r="H2840" s="0" t="s">
        <v>130</v>
      </c>
      <c r="I2840" s="14" t="s">
        <v>131</v>
      </c>
      <c r="J2840" s="0" t="s">
        <v>197</v>
      </c>
      <c r="K2840" s="0" t="s">
        <v>198</v>
      </c>
      <c r="L2840" s="0" t="s">
        <v>220</v>
      </c>
      <c r="M2840" s="0" t="s">
        <v>135</v>
      </c>
      <c r="N2840" s="0" t="s">
        <v>136</v>
      </c>
      <c r="O2840" s="0" t="s">
        <v>137</v>
      </c>
      <c r="Q2840" s="0" t="s">
        <v>141</v>
      </c>
      <c r="R2840" s="0" t="s">
        <v>130</v>
      </c>
      <c r="S2840" s="14">
        <v>1</v>
      </c>
      <c r="T2840" s="0" t="s">
        <v>4412</v>
      </c>
      <c r="U2840" s="0" t="s">
        <v>221</v>
      </c>
      <c r="V2840" s="14" t="s">
        <v>4412</v>
      </c>
      <c r="W2840" s="0" t="s">
        <v>223</v>
      </c>
      <c r="X2840" s="14" t="s">
        <v>138</v>
      </c>
      <c r="Y2840" s="0" t="s">
        <v>224</v>
      </c>
      <c r="Z2840" s="14" t="s">
        <v>138</v>
      </c>
      <c r="AA2840" s="0" t="s">
        <v>224</v>
      </c>
      <c r="AB2840" s="14" t="s">
        <v>138</v>
      </c>
      <c r="AD2840" s="0" t="s">
        <v>14</v>
      </c>
      <c r="AF2840" s="0">
        <v>0</v>
      </c>
      <c r="AG2840" s="0">
        <v>0</v>
      </c>
      <c r="AH2840" s="0" t="s">
        <v>140</v>
      </c>
      <c r="AI2840" s="0" t="s">
        <v>598</v>
      </c>
      <c r="AK2840" s="0" t="s">
        <v>1668</v>
      </c>
      <c r="AL2840" s="14"/>
      <c r="AN2840" s="14"/>
      <c r="AQ2840" s="0" t="s">
        <v>130</v>
      </c>
      <c r="AR2840" s="0" t="s">
        <v>130</v>
      </c>
      <c r="AS2840" s="0" t="s">
        <v>130</v>
      </c>
      <c r="AT2840" s="0" t="s">
        <v>130</v>
      </c>
      <c r="AU2840" s="0" t="s">
        <v>130</v>
      </c>
      <c r="AV2840" s="0" t="s">
        <v>130</v>
      </c>
      <c r="AW2840" s="0" t="s">
        <v>141</v>
      </c>
      <c r="AX2840" s="0" t="s">
        <v>130</v>
      </c>
      <c r="AY2840" s="0" t="s">
        <v>141</v>
      </c>
      <c r="AZ2840" s="0" t="s">
        <v>130</v>
      </c>
      <c r="BA2840" s="0" t="s">
        <v>130</v>
      </c>
      <c r="BB2840" s="0" t="s">
        <v>130</v>
      </c>
      <c r="BC2840" s="0" t="s">
        <v>141</v>
      </c>
      <c r="BD2840" s="0" t="s">
        <v>130</v>
      </c>
      <c r="BE2840" s="0" t="s">
        <v>130</v>
      </c>
      <c r="BF2840" s="0" t="s">
        <v>130</v>
      </c>
      <c r="BG2840" s="0" t="s">
        <v>130</v>
      </c>
      <c r="BH2840" s="0" t="s">
        <v>130</v>
      </c>
      <c r="BI2840" s="0" t="s">
        <v>130</v>
      </c>
      <c r="BJ2840" s="0" t="s">
        <v>130</v>
      </c>
      <c r="BK2840" s="0" t="s">
        <v>130</v>
      </c>
      <c r="BL2840" s="0" t="s">
        <v>130</v>
      </c>
      <c r="BM2840" s="0" t="s">
        <v>130</v>
      </c>
      <c r="BN2840" s="0" t="s">
        <v>130</v>
      </c>
      <c r="BO2840" s="0" t="s">
        <v>130</v>
      </c>
      <c r="BP2840" s="0" t="s">
        <v>130</v>
      </c>
      <c r="BQ2840" s="0" t="s">
        <v>130</v>
      </c>
      <c r="BR2840" s="0" t="s">
        <v>130</v>
      </c>
      <c r="BS2840" s="0" t="s">
        <v>130</v>
      </c>
      <c r="BT2840" s="0" t="s">
        <v>130</v>
      </c>
      <c r="BU2840" s="0" t="s">
        <v>130</v>
      </c>
      <c r="BV2840" s="0" t="s">
        <v>130</v>
      </c>
      <c r="BW2840" s="0" t="s">
        <v>130</v>
      </c>
      <c r="BX2840" s="0" t="s">
        <v>130</v>
      </c>
      <c r="BY2840" s="0" t="s">
        <v>130</v>
      </c>
      <c r="BZ2840" s="0" t="s">
        <v>130</v>
      </c>
      <c r="CA2840" s="0" t="s">
        <v>130</v>
      </c>
      <c r="CB2840" s="0" t="s">
        <v>130</v>
      </c>
      <c r="CC2840" s="0" t="s">
        <v>130</v>
      </c>
      <c r="CD2840" s="0" t="s">
        <v>130</v>
      </c>
      <c r="CE2840" s="0" t="s">
        <v>130</v>
      </c>
      <c r="CF2840" s="0" t="s">
        <v>130</v>
      </c>
      <c r="CG2840" s="0" t="s">
        <v>130</v>
      </c>
      <c r="CH2840" s="0" t="s">
        <v>130</v>
      </c>
      <c r="CI2840" s="0" t="s">
        <v>130</v>
      </c>
      <c r="CJ2840" s="0" t="s">
        <v>130</v>
      </c>
      <c r="CK2840" s="0" t="s">
        <v>130</v>
      </c>
      <c r="CL2840" s="0" t="s">
        <v>130</v>
      </c>
      <c r="CM2840" s="0" t="s">
        <v>130</v>
      </c>
      <c r="CN2840" s="0" t="s">
        <v>130</v>
      </c>
      <c r="CO2840" s="0" t="s">
        <v>130</v>
      </c>
      <c r="CP2840" s="0" t="s">
        <v>130</v>
      </c>
      <c r="CQ2840" s="0" t="s">
        <v>130</v>
      </c>
      <c r="CR2840" s="0" t="s">
        <v>130</v>
      </c>
      <c r="CS2840" s="0" t="s">
        <v>130</v>
      </c>
      <c r="CT2840" s="0" t="s">
        <v>7675</v>
      </c>
    </row>
    <row r="2841">
      <c r="A2841" s="14">
        <v>101522</v>
      </c>
      <c r="B2841" s="0" t="s">
        <v>7672</v>
      </c>
      <c r="C2841" s="16">
        <f>HYPERLINK("https://eosportal.federatedhermes.com/companies/Q29tcGFueQppNjI0MjQ=", "Tyler Technologies Inc")</f>
      </c>
      <c r="D2841" s="0" t="s">
        <v>23</v>
      </c>
      <c r="E2841" s="0" t="s">
        <v>7676</v>
      </c>
      <c r="F2841" s="16">
        <f>HYPERLINK("https://eosportal.federatedhermes.com/engagements/RW5nYWdlbWVudAppMzkzMTI=", "Data governance and ethical AI")</f>
      </c>
      <c r="G2841" s="14" t="s">
        <v>7677</v>
      </c>
      <c r="H2841" s="0" t="s">
        <v>130</v>
      </c>
      <c r="I2841" s="14" t="s">
        <v>131</v>
      </c>
      <c r="J2841" s="0" t="s">
        <v>153</v>
      </c>
      <c r="K2841" s="0" t="s">
        <v>243</v>
      </c>
      <c r="L2841" s="0" t="s">
        <v>537</v>
      </c>
      <c r="M2841" s="0" t="s">
        <v>135</v>
      </c>
      <c r="N2841" s="0" t="s">
        <v>136</v>
      </c>
      <c r="O2841" s="0" t="s">
        <v>137</v>
      </c>
      <c r="Q2841" s="0" t="s">
        <v>141</v>
      </c>
      <c r="R2841" s="0" t="s">
        <v>141</v>
      </c>
      <c r="S2841" s="14">
        <v>2</v>
      </c>
      <c r="T2841" s="0" t="s">
        <v>4412</v>
      </c>
      <c r="U2841" s="0" t="s">
        <v>221</v>
      </c>
      <c r="V2841" s="14" t="s">
        <v>4412</v>
      </c>
      <c r="W2841" s="0" t="s">
        <v>221</v>
      </c>
      <c r="X2841" s="14" t="s">
        <v>361</v>
      </c>
      <c r="Y2841" s="0" t="s">
        <v>223</v>
      </c>
      <c r="Z2841" s="14" t="s">
        <v>138</v>
      </c>
      <c r="AA2841" s="0" t="s">
        <v>224</v>
      </c>
      <c r="AB2841" s="14" t="s">
        <v>138</v>
      </c>
      <c r="AC2841" s="0" t="s">
        <v>14</v>
      </c>
      <c r="AD2841" s="0" t="s">
        <v>17</v>
      </c>
      <c r="AE2841" s="0" t="s">
        <v>5508</v>
      </c>
      <c r="AF2841" s="0">
        <v>1</v>
      </c>
      <c r="AG2841" s="0">
        <v>0</v>
      </c>
      <c r="AH2841" s="0" t="s">
        <v>140</v>
      </c>
      <c r="AI2841" s="0" t="s">
        <v>598</v>
      </c>
      <c r="AK2841" s="0" t="s">
        <v>1668</v>
      </c>
      <c r="AL2841" s="14"/>
      <c r="AN2841" s="14"/>
      <c r="AQ2841" s="0" t="s">
        <v>130</v>
      </c>
      <c r="AR2841" s="0" t="s">
        <v>130</v>
      </c>
      <c r="AS2841" s="0" t="s">
        <v>130</v>
      </c>
      <c r="AT2841" s="0" t="s">
        <v>130</v>
      </c>
      <c r="AU2841" s="0" t="s">
        <v>130</v>
      </c>
      <c r="AV2841" s="0" t="s">
        <v>130</v>
      </c>
      <c r="AW2841" s="0" t="s">
        <v>130</v>
      </c>
      <c r="AX2841" s="0" t="s">
        <v>130</v>
      </c>
      <c r="AY2841" s="0" t="s">
        <v>130</v>
      </c>
      <c r="AZ2841" s="0" t="s">
        <v>141</v>
      </c>
      <c r="BA2841" s="0" t="s">
        <v>130</v>
      </c>
      <c r="BB2841" s="0" t="s">
        <v>130</v>
      </c>
      <c r="BC2841" s="0" t="s">
        <v>130</v>
      </c>
      <c r="BD2841" s="0" t="s">
        <v>130</v>
      </c>
      <c r="BE2841" s="0" t="s">
        <v>130</v>
      </c>
      <c r="BF2841" s="0" t="s">
        <v>141</v>
      </c>
      <c r="BG2841" s="0" t="s">
        <v>130</v>
      </c>
      <c r="BH2841" s="0" t="s">
        <v>130</v>
      </c>
      <c r="BI2841" s="0" t="s">
        <v>130</v>
      </c>
      <c r="BJ2841" s="0" t="s">
        <v>130</v>
      </c>
      <c r="BK2841" s="0" t="s">
        <v>130</v>
      </c>
      <c r="BL2841" s="0" t="s">
        <v>130</v>
      </c>
      <c r="BM2841" s="0" t="s">
        <v>130</v>
      </c>
      <c r="BN2841" s="0" t="s">
        <v>130</v>
      </c>
      <c r="BO2841" s="0" t="s">
        <v>130</v>
      </c>
      <c r="BP2841" s="0" t="s">
        <v>130</v>
      </c>
      <c r="BQ2841" s="0" t="s">
        <v>130</v>
      </c>
      <c r="BR2841" s="0" t="s">
        <v>130</v>
      </c>
      <c r="BS2841" s="0" t="s">
        <v>130</v>
      </c>
      <c r="BT2841" s="0" t="s">
        <v>130</v>
      </c>
      <c r="BU2841" s="0" t="s">
        <v>130</v>
      </c>
      <c r="BV2841" s="0" t="s">
        <v>130</v>
      </c>
      <c r="BW2841" s="0" t="s">
        <v>130</v>
      </c>
      <c r="BX2841" s="0" t="s">
        <v>130</v>
      </c>
      <c r="BY2841" s="0" t="s">
        <v>130</v>
      </c>
      <c r="BZ2841" s="0" t="s">
        <v>130</v>
      </c>
      <c r="CA2841" s="0" t="s">
        <v>130</v>
      </c>
      <c r="CB2841" s="0" t="s">
        <v>130</v>
      </c>
      <c r="CC2841" s="0" t="s">
        <v>130</v>
      </c>
      <c r="CD2841" s="0" t="s">
        <v>130</v>
      </c>
      <c r="CE2841" s="0" t="s">
        <v>130</v>
      </c>
      <c r="CF2841" s="0" t="s">
        <v>130</v>
      </c>
      <c r="CG2841" s="0" t="s">
        <v>130</v>
      </c>
      <c r="CH2841" s="0" t="s">
        <v>130</v>
      </c>
      <c r="CI2841" s="0" t="s">
        <v>130</v>
      </c>
      <c r="CJ2841" s="0" t="s">
        <v>130</v>
      </c>
      <c r="CK2841" s="0" t="s">
        <v>130</v>
      </c>
      <c r="CL2841" s="0" t="s">
        <v>130</v>
      </c>
      <c r="CM2841" s="0" t="s">
        <v>130</v>
      </c>
      <c r="CN2841" s="0" t="s">
        <v>130</v>
      </c>
      <c r="CO2841" s="0" t="s">
        <v>130</v>
      </c>
      <c r="CP2841" s="0" t="s">
        <v>130</v>
      </c>
      <c r="CQ2841" s="0" t="s">
        <v>130</v>
      </c>
      <c r="CR2841" s="0" t="s">
        <v>130</v>
      </c>
      <c r="CS2841" s="0" t="s">
        <v>130</v>
      </c>
      <c r="CT2841" s="0" t="s">
        <v>7678</v>
      </c>
    </row>
    <row r="2842">
      <c r="A2842" s="14">
        <v>101522</v>
      </c>
      <c r="B2842" s="0" t="s">
        <v>7672</v>
      </c>
      <c r="C2842" s="16">
        <f>HYPERLINK("https://eosportal.federatedhermes.com/companies/Q29tcGFueQppNjI0MjQ=", "Tyler Technologies Inc")</f>
      </c>
      <c r="D2842" s="0" t="s">
        <v>25</v>
      </c>
      <c r="E2842" s="0" t="s">
        <v>7679</v>
      </c>
      <c r="F2842" s="16">
        <f>HYPERLINK("https://eosportal.federatedhermes.com/engagements/RW5nYWdlbWVudAppMzkzMjE=", "Mental wellbeing support")</f>
      </c>
      <c r="G2842" s="14" t="s">
        <v>7680</v>
      </c>
      <c r="H2842" s="0" t="s">
        <v>130</v>
      </c>
      <c r="I2842" s="14" t="s">
        <v>131</v>
      </c>
      <c r="J2842" s="0" t="s">
        <v>153</v>
      </c>
      <c r="K2842" s="0" t="s">
        <v>154</v>
      </c>
      <c r="L2842" s="0" t="s">
        <v>155</v>
      </c>
      <c r="M2842" s="0" t="s">
        <v>135</v>
      </c>
      <c r="N2842" s="0" t="s">
        <v>136</v>
      </c>
      <c r="O2842" s="0" t="s">
        <v>137</v>
      </c>
      <c r="Q2842" s="0" t="s">
        <v>130</v>
      </c>
      <c r="R2842" s="0" t="s">
        <v>138</v>
      </c>
      <c r="S2842" s="14">
        <v>0</v>
      </c>
      <c r="T2842" s="0" t="s">
        <v>4412</v>
      </c>
      <c r="U2842" s="0" t="s">
        <v>138</v>
      </c>
      <c r="V2842" s="14" t="s">
        <v>138</v>
      </c>
      <c r="W2842" s="0" t="s">
        <v>138</v>
      </c>
      <c r="X2842" s="14" t="s">
        <v>138</v>
      </c>
      <c r="Y2842" s="0" t="s">
        <v>138</v>
      </c>
      <c r="Z2842" s="14" t="s">
        <v>138</v>
      </c>
      <c r="AA2842" s="0" t="s">
        <v>138</v>
      </c>
      <c r="AB2842" s="14" t="s">
        <v>138</v>
      </c>
      <c r="AD2842" s="0" t="s">
        <v>138</v>
      </c>
      <c r="AF2842" s="0">
        <v>0</v>
      </c>
      <c r="AG2842" s="0">
        <v>0</v>
      </c>
      <c r="AH2842" s="0" t="s">
        <v>140</v>
      </c>
      <c r="AI2842" s="0" t="s">
        <v>138</v>
      </c>
      <c r="AL2842" s="14"/>
      <c r="AN2842" s="14"/>
      <c r="AQ2842" s="0" t="s">
        <v>130</v>
      </c>
      <c r="AR2842" s="0" t="s">
        <v>130</v>
      </c>
      <c r="AS2842" s="0" t="s">
        <v>141</v>
      </c>
      <c r="AT2842" s="0" t="s">
        <v>130</v>
      </c>
      <c r="AU2842" s="0" t="s">
        <v>130</v>
      </c>
      <c r="AV2842" s="0" t="s">
        <v>130</v>
      </c>
      <c r="AW2842" s="0" t="s">
        <v>130</v>
      </c>
      <c r="AX2842" s="0" t="s">
        <v>141</v>
      </c>
      <c r="AY2842" s="0" t="s">
        <v>130</v>
      </c>
      <c r="AZ2842" s="0" t="s">
        <v>130</v>
      </c>
      <c r="BA2842" s="0" t="s">
        <v>130</v>
      </c>
      <c r="BB2842" s="0" t="s">
        <v>130</v>
      </c>
      <c r="BC2842" s="0" t="s">
        <v>130</v>
      </c>
      <c r="BD2842" s="0" t="s">
        <v>130</v>
      </c>
      <c r="BE2842" s="0" t="s">
        <v>130</v>
      </c>
      <c r="BF2842" s="0" t="s">
        <v>130</v>
      </c>
      <c r="BG2842" s="0" t="s">
        <v>130</v>
      </c>
      <c r="BH2842" s="0" t="s">
        <v>130</v>
      </c>
      <c r="BI2842" s="0" t="s">
        <v>130</v>
      </c>
      <c r="BJ2842" s="0" t="s">
        <v>130</v>
      </c>
      <c r="BK2842" s="0" t="s">
        <v>130</v>
      </c>
      <c r="BL2842" s="0" t="s">
        <v>130</v>
      </c>
      <c r="BM2842" s="0" t="s">
        <v>130</v>
      </c>
      <c r="BN2842" s="0" t="s">
        <v>130</v>
      </c>
      <c r="BO2842" s="0" t="s">
        <v>130</v>
      </c>
      <c r="BP2842" s="0" t="s">
        <v>130</v>
      </c>
      <c r="BQ2842" s="0" t="s">
        <v>130</v>
      </c>
      <c r="BR2842" s="0" t="s">
        <v>130</v>
      </c>
      <c r="BS2842" s="0" t="s">
        <v>130</v>
      </c>
      <c r="BT2842" s="0" t="s">
        <v>130</v>
      </c>
      <c r="BU2842" s="0" t="s">
        <v>130</v>
      </c>
      <c r="BV2842" s="0" t="s">
        <v>130</v>
      </c>
      <c r="BW2842" s="0" t="s">
        <v>130</v>
      </c>
      <c r="BX2842" s="0" t="s">
        <v>130</v>
      </c>
      <c r="BY2842" s="0" t="s">
        <v>130</v>
      </c>
      <c r="BZ2842" s="0" t="s">
        <v>130</v>
      </c>
      <c r="CA2842" s="0" t="s">
        <v>130</v>
      </c>
      <c r="CB2842" s="0" t="s">
        <v>130</v>
      </c>
      <c r="CC2842" s="0" t="s">
        <v>130</v>
      </c>
      <c r="CD2842" s="0" t="s">
        <v>130</v>
      </c>
      <c r="CE2842" s="0" t="s">
        <v>130</v>
      </c>
      <c r="CF2842" s="0" t="s">
        <v>130</v>
      </c>
      <c r="CG2842" s="0" t="s">
        <v>130</v>
      </c>
      <c r="CH2842" s="0" t="s">
        <v>130</v>
      </c>
      <c r="CI2842" s="0" t="s">
        <v>141</v>
      </c>
      <c r="CJ2842" s="0" t="s">
        <v>130</v>
      </c>
      <c r="CK2842" s="0" t="s">
        <v>130</v>
      </c>
      <c r="CL2842" s="0" t="s">
        <v>130</v>
      </c>
      <c r="CM2842" s="0" t="s">
        <v>130</v>
      </c>
      <c r="CN2842" s="0" t="s">
        <v>130</v>
      </c>
      <c r="CO2842" s="0" t="s">
        <v>130</v>
      </c>
      <c r="CP2842" s="0" t="s">
        <v>130</v>
      </c>
      <c r="CQ2842" s="0" t="s">
        <v>130</v>
      </c>
      <c r="CR2842" s="0" t="s">
        <v>130</v>
      </c>
      <c r="CS2842" s="0" t="s">
        <v>130</v>
      </c>
      <c r="CT2842" s="0" t="s">
        <v>7681</v>
      </c>
    </row>
    <row r="2843">
      <c r="A2843" s="14">
        <v>101522</v>
      </c>
      <c r="B2843" s="0" t="s">
        <v>7672</v>
      </c>
      <c r="C2843" s="16">
        <f>HYPERLINK("https://eosportal.federatedhermes.com/companies/Q29tcGFueQppNjI0MjQ=", "Tyler Technologies Inc")</f>
      </c>
      <c r="D2843" s="0" t="s">
        <v>25</v>
      </c>
      <c r="E2843" s="0" t="s">
        <v>7682</v>
      </c>
      <c r="F2843" s="16">
        <f>HYPERLINK("https://eosportal.federatedhermes.com/engagements/RW5nYWdlbWVudAppMzkzMjI=", "Talent development")</f>
      </c>
      <c r="G2843" s="14" t="s">
        <v>7683</v>
      </c>
      <c r="H2843" s="0" t="s">
        <v>130</v>
      </c>
      <c r="I2843" s="14" t="s">
        <v>131</v>
      </c>
      <c r="J2843" s="0" t="s">
        <v>153</v>
      </c>
      <c r="K2843" s="0" t="s">
        <v>154</v>
      </c>
      <c r="L2843" s="0" t="s">
        <v>268</v>
      </c>
      <c r="M2843" s="0" t="s">
        <v>135</v>
      </c>
      <c r="N2843" s="0" t="s">
        <v>136</v>
      </c>
      <c r="O2843" s="0" t="s">
        <v>137</v>
      </c>
      <c r="Q2843" s="0" t="s">
        <v>141</v>
      </c>
      <c r="R2843" s="0" t="s">
        <v>138</v>
      </c>
      <c r="S2843" s="14">
        <v>2</v>
      </c>
      <c r="T2843" s="0" t="s">
        <v>4412</v>
      </c>
      <c r="U2843" s="0" t="s">
        <v>138</v>
      </c>
      <c r="V2843" s="14" t="s">
        <v>138</v>
      </c>
      <c r="W2843" s="0" t="s">
        <v>138</v>
      </c>
      <c r="X2843" s="14" t="s">
        <v>138</v>
      </c>
      <c r="Y2843" s="0" t="s">
        <v>138</v>
      </c>
      <c r="Z2843" s="14" t="s">
        <v>138</v>
      </c>
      <c r="AA2843" s="0" t="s">
        <v>138</v>
      </c>
      <c r="AB2843" s="14" t="s">
        <v>138</v>
      </c>
      <c r="AD2843" s="0" t="s">
        <v>138</v>
      </c>
      <c r="AF2843" s="0">
        <v>0</v>
      </c>
      <c r="AG2843" s="0">
        <v>0</v>
      </c>
      <c r="AH2843" s="0" t="s">
        <v>140</v>
      </c>
      <c r="AI2843" s="0" t="s">
        <v>138</v>
      </c>
      <c r="AK2843" s="0" t="s">
        <v>1668</v>
      </c>
      <c r="AL2843" s="14"/>
      <c r="AN2843" s="14"/>
      <c r="AQ2843" s="0" t="s">
        <v>130</v>
      </c>
      <c r="AR2843" s="0" t="s">
        <v>130</v>
      </c>
      <c r="AS2843" s="0" t="s">
        <v>130</v>
      </c>
      <c r="AT2843" s="0" t="s">
        <v>130</v>
      </c>
      <c r="AU2843" s="0" t="s">
        <v>141</v>
      </c>
      <c r="AV2843" s="0" t="s">
        <v>130</v>
      </c>
      <c r="AW2843" s="0" t="s">
        <v>130</v>
      </c>
      <c r="AX2843" s="0" t="s">
        <v>141</v>
      </c>
      <c r="AY2843" s="0" t="s">
        <v>130</v>
      </c>
      <c r="AZ2843" s="0" t="s">
        <v>130</v>
      </c>
      <c r="BA2843" s="0" t="s">
        <v>130</v>
      </c>
      <c r="BB2843" s="0" t="s">
        <v>130</v>
      </c>
      <c r="BC2843" s="0" t="s">
        <v>130</v>
      </c>
      <c r="BD2843" s="0" t="s">
        <v>130</v>
      </c>
      <c r="BE2843" s="0" t="s">
        <v>130</v>
      </c>
      <c r="BF2843" s="0" t="s">
        <v>130</v>
      </c>
      <c r="BG2843" s="0" t="s">
        <v>130</v>
      </c>
      <c r="BH2843" s="0" t="s">
        <v>130</v>
      </c>
      <c r="BI2843" s="0" t="s">
        <v>130</v>
      </c>
      <c r="BJ2843" s="0" t="s">
        <v>130</v>
      </c>
      <c r="BK2843" s="0" t="s">
        <v>130</v>
      </c>
      <c r="BL2843" s="0" t="s">
        <v>130</v>
      </c>
      <c r="BM2843" s="0" t="s">
        <v>130</v>
      </c>
      <c r="BN2843" s="0" t="s">
        <v>130</v>
      </c>
      <c r="BO2843" s="0" t="s">
        <v>130</v>
      </c>
      <c r="BP2843" s="0" t="s">
        <v>130</v>
      </c>
      <c r="BQ2843" s="0" t="s">
        <v>130</v>
      </c>
      <c r="BR2843" s="0" t="s">
        <v>130</v>
      </c>
      <c r="BS2843" s="0" t="s">
        <v>130</v>
      </c>
      <c r="BT2843" s="0" t="s">
        <v>130</v>
      </c>
      <c r="BU2843" s="0" t="s">
        <v>130</v>
      </c>
      <c r="BV2843" s="0" t="s">
        <v>130</v>
      </c>
      <c r="BW2843" s="0" t="s">
        <v>130</v>
      </c>
      <c r="BX2843" s="0" t="s">
        <v>130</v>
      </c>
      <c r="BY2843" s="0" t="s">
        <v>130</v>
      </c>
      <c r="BZ2843" s="0" t="s">
        <v>130</v>
      </c>
      <c r="CA2843" s="0" t="s">
        <v>130</v>
      </c>
      <c r="CB2843" s="0" t="s">
        <v>130</v>
      </c>
      <c r="CC2843" s="0" t="s">
        <v>130</v>
      </c>
      <c r="CD2843" s="0" t="s">
        <v>130</v>
      </c>
      <c r="CE2843" s="0" t="s">
        <v>130</v>
      </c>
      <c r="CF2843" s="0" t="s">
        <v>130</v>
      </c>
      <c r="CG2843" s="0" t="s">
        <v>130</v>
      </c>
      <c r="CH2843" s="0" t="s">
        <v>130</v>
      </c>
      <c r="CI2843" s="0" t="s">
        <v>130</v>
      </c>
      <c r="CJ2843" s="0" t="s">
        <v>130</v>
      </c>
      <c r="CK2843" s="0" t="s">
        <v>141</v>
      </c>
      <c r="CL2843" s="0" t="s">
        <v>130</v>
      </c>
      <c r="CM2843" s="0" t="s">
        <v>130</v>
      </c>
      <c r="CN2843" s="0" t="s">
        <v>130</v>
      </c>
      <c r="CO2843" s="0" t="s">
        <v>130</v>
      </c>
      <c r="CP2843" s="0" t="s">
        <v>130</v>
      </c>
      <c r="CQ2843" s="0" t="s">
        <v>130</v>
      </c>
      <c r="CR2843" s="0" t="s">
        <v>130</v>
      </c>
      <c r="CS2843" s="0" t="s">
        <v>130</v>
      </c>
      <c r="CT2843" s="0" t="s">
        <v>7684</v>
      </c>
    </row>
    <row r="2844">
      <c r="A2844" s="14">
        <v>101092</v>
      </c>
      <c r="B2844" s="0" t="s">
        <v>1319</v>
      </c>
      <c r="C2844" s="16">
        <f>HYPERLINK("https://eosportal.federatedhermes.com/companies/Q29tcGFueQppNzc5MzU=", "Wells Fargo &amp; Co")</f>
      </c>
      <c r="D2844" s="0" t="s">
        <v>25</v>
      </c>
      <c r="E2844" s="0" t="s">
        <v>2208</v>
      </c>
      <c r="F2844" s="16">
        <f>HYPERLINK("https://eosportal.federatedhermes.com/engagements/RW5nYWdlbWVudAppMzkzMjU=", "Artificial intelligence")</f>
      </c>
      <c r="G2844" s="14" t="s">
        <v>7685</v>
      </c>
      <c r="H2844" s="0" t="s">
        <v>141</v>
      </c>
      <c r="I2844" s="14" t="s">
        <v>191</v>
      </c>
      <c r="J2844" s="0" t="s">
        <v>153</v>
      </c>
      <c r="K2844" s="0" t="s">
        <v>243</v>
      </c>
      <c r="L2844" s="0" t="s">
        <v>537</v>
      </c>
      <c r="M2844" s="0" t="s">
        <v>135</v>
      </c>
      <c r="N2844" s="0" t="s">
        <v>136</v>
      </c>
      <c r="O2844" s="0" t="s">
        <v>238</v>
      </c>
      <c r="Q2844" s="0" t="s">
        <v>141</v>
      </c>
      <c r="R2844" s="0" t="s">
        <v>138</v>
      </c>
      <c r="S2844" s="14">
        <v>1</v>
      </c>
      <c r="T2844" s="0" t="s">
        <v>4412</v>
      </c>
      <c r="U2844" s="0" t="s">
        <v>138</v>
      </c>
      <c r="V2844" s="14" t="s">
        <v>138</v>
      </c>
      <c r="W2844" s="0" t="s">
        <v>138</v>
      </c>
      <c r="X2844" s="14" t="s">
        <v>138</v>
      </c>
      <c r="Y2844" s="0" t="s">
        <v>138</v>
      </c>
      <c r="Z2844" s="14" t="s">
        <v>138</v>
      </c>
      <c r="AA2844" s="0" t="s">
        <v>138</v>
      </c>
      <c r="AB2844" s="14" t="s">
        <v>138</v>
      </c>
      <c r="AD2844" s="0" t="s">
        <v>138</v>
      </c>
      <c r="AF2844" s="0">
        <v>0</v>
      </c>
      <c r="AG2844" s="0">
        <v>0</v>
      </c>
      <c r="AH2844" s="0" t="s">
        <v>140</v>
      </c>
      <c r="AI2844" s="0" t="s">
        <v>138</v>
      </c>
      <c r="AK2844" s="0" t="s">
        <v>584</v>
      </c>
      <c r="AL2844" s="14"/>
      <c r="AN2844" s="14"/>
      <c r="AQ2844" s="0" t="s">
        <v>130</v>
      </c>
      <c r="AR2844" s="0" t="s">
        <v>130</v>
      </c>
      <c r="AS2844" s="0" t="s">
        <v>130</v>
      </c>
      <c r="AT2844" s="0" t="s">
        <v>130</v>
      </c>
      <c r="AU2844" s="0" t="s">
        <v>130</v>
      </c>
      <c r="AV2844" s="0" t="s">
        <v>130</v>
      </c>
      <c r="AW2844" s="0" t="s">
        <v>130</v>
      </c>
      <c r="AX2844" s="0" t="s">
        <v>130</v>
      </c>
      <c r="AY2844" s="0" t="s">
        <v>130</v>
      </c>
      <c r="AZ2844" s="0" t="s">
        <v>130</v>
      </c>
      <c r="BA2844" s="0" t="s">
        <v>130</v>
      </c>
      <c r="BB2844" s="0" t="s">
        <v>130</v>
      </c>
      <c r="BC2844" s="0" t="s">
        <v>130</v>
      </c>
      <c r="BD2844" s="0" t="s">
        <v>130</v>
      </c>
      <c r="BE2844" s="0" t="s">
        <v>130</v>
      </c>
      <c r="BF2844" s="0" t="s">
        <v>141</v>
      </c>
      <c r="BG2844" s="0" t="s">
        <v>130</v>
      </c>
      <c r="BH2844" s="0" t="s">
        <v>130</v>
      </c>
      <c r="BI2844" s="0" t="s">
        <v>130</v>
      </c>
      <c r="BJ2844" s="0" t="s">
        <v>130</v>
      </c>
      <c r="BK2844" s="0" t="s">
        <v>130</v>
      </c>
      <c r="BL2844" s="0" t="s">
        <v>130</v>
      </c>
      <c r="BM2844" s="0" t="s">
        <v>130</v>
      </c>
      <c r="BN2844" s="0" t="s">
        <v>130</v>
      </c>
      <c r="BO2844" s="0" t="s">
        <v>130</v>
      </c>
      <c r="BP2844" s="0" t="s">
        <v>130</v>
      </c>
      <c r="BQ2844" s="0" t="s">
        <v>130</v>
      </c>
      <c r="BR2844" s="0" t="s">
        <v>130</v>
      </c>
      <c r="BS2844" s="0" t="s">
        <v>130</v>
      </c>
      <c r="BT2844" s="0" t="s">
        <v>130</v>
      </c>
      <c r="BU2844" s="0" t="s">
        <v>130</v>
      </c>
      <c r="BV2844" s="0" t="s">
        <v>130</v>
      </c>
      <c r="BW2844" s="0" t="s">
        <v>130</v>
      </c>
      <c r="BX2844" s="0" t="s">
        <v>130</v>
      </c>
      <c r="BY2844" s="0" t="s">
        <v>130</v>
      </c>
      <c r="BZ2844" s="0" t="s">
        <v>130</v>
      </c>
      <c r="CA2844" s="0" t="s">
        <v>130</v>
      </c>
      <c r="CB2844" s="0" t="s">
        <v>130</v>
      </c>
      <c r="CC2844" s="0" t="s">
        <v>130</v>
      </c>
      <c r="CD2844" s="0" t="s">
        <v>130</v>
      </c>
      <c r="CE2844" s="0" t="s">
        <v>130</v>
      </c>
      <c r="CF2844" s="0" t="s">
        <v>130</v>
      </c>
      <c r="CG2844" s="0" t="s">
        <v>130</v>
      </c>
      <c r="CH2844" s="0" t="s">
        <v>130</v>
      </c>
      <c r="CI2844" s="0" t="s">
        <v>130</v>
      </c>
      <c r="CJ2844" s="0" t="s">
        <v>130</v>
      </c>
      <c r="CK2844" s="0" t="s">
        <v>130</v>
      </c>
      <c r="CL2844" s="0" t="s">
        <v>130</v>
      </c>
      <c r="CM2844" s="0" t="s">
        <v>130</v>
      </c>
      <c r="CN2844" s="0" t="s">
        <v>130</v>
      </c>
      <c r="CO2844" s="0" t="s">
        <v>130</v>
      </c>
      <c r="CP2844" s="0" t="s">
        <v>130</v>
      </c>
      <c r="CQ2844" s="0" t="s">
        <v>130</v>
      </c>
      <c r="CR2844" s="0" t="s">
        <v>130</v>
      </c>
      <c r="CS2844" s="0" t="s">
        <v>130</v>
      </c>
      <c r="CT2844" s="0" t="s">
        <v>7686</v>
      </c>
    </row>
    <row r="2845">
      <c r="A2845" s="14">
        <v>110631</v>
      </c>
      <c r="B2845" s="0" t="s">
        <v>2283</v>
      </c>
      <c r="C2845" s="16">
        <f>HYPERLINK("https://eosportal.federatedhermes.com/companies/Q29tcGFueQppODExMjM=", "Suncor Energy Inc")</f>
      </c>
      <c r="D2845" s="0" t="s">
        <v>25</v>
      </c>
      <c r="E2845" s="0" t="s">
        <v>7687</v>
      </c>
      <c r="F2845" s="16">
        <f>HYPERLINK("https://eosportal.federatedhermes.com/engagements/RW5nYWdlbWVudAppMzkzMzA=", "AI impact on oil sands operations")</f>
      </c>
      <c r="G2845" s="14" t="s">
        <v>7688</v>
      </c>
      <c r="H2845" s="0" t="s">
        <v>141</v>
      </c>
      <c r="I2845" s="14" t="s">
        <v>636</v>
      </c>
      <c r="J2845" s="0" t="s">
        <v>132</v>
      </c>
      <c r="K2845" s="0" t="s">
        <v>133</v>
      </c>
      <c r="L2845" s="0" t="s">
        <v>160</v>
      </c>
      <c r="M2845" s="0" t="s">
        <v>135</v>
      </c>
      <c r="N2845" s="0" t="s">
        <v>1678</v>
      </c>
      <c r="O2845" s="0" t="s">
        <v>542</v>
      </c>
      <c r="Q2845" s="0" t="s">
        <v>130</v>
      </c>
      <c r="R2845" s="0" t="s">
        <v>138</v>
      </c>
      <c r="S2845" s="14">
        <v>0</v>
      </c>
      <c r="T2845" s="0" t="s">
        <v>4412</v>
      </c>
      <c r="U2845" s="0" t="s">
        <v>138</v>
      </c>
      <c r="V2845" s="14" t="s">
        <v>138</v>
      </c>
      <c r="W2845" s="0" t="s">
        <v>138</v>
      </c>
      <c r="X2845" s="14" t="s">
        <v>138</v>
      </c>
      <c r="Y2845" s="0" t="s">
        <v>138</v>
      </c>
      <c r="Z2845" s="14" t="s">
        <v>138</v>
      </c>
      <c r="AA2845" s="0" t="s">
        <v>138</v>
      </c>
      <c r="AB2845" s="14" t="s">
        <v>138</v>
      </c>
      <c r="AD2845" s="0" t="s">
        <v>138</v>
      </c>
      <c r="AF2845" s="0">
        <v>0</v>
      </c>
      <c r="AG2845" s="0">
        <v>0</v>
      </c>
      <c r="AH2845" s="0" t="s">
        <v>140</v>
      </c>
      <c r="AI2845" s="0" t="s">
        <v>138</v>
      </c>
      <c r="AL2845" s="14"/>
      <c r="AN2845" s="14"/>
      <c r="AQ2845" s="0" t="s">
        <v>130</v>
      </c>
      <c r="AR2845" s="0" t="s">
        <v>130</v>
      </c>
      <c r="AS2845" s="0" t="s">
        <v>130</v>
      </c>
      <c r="AT2845" s="0" t="s">
        <v>130</v>
      </c>
      <c r="AU2845" s="0" t="s">
        <v>130</v>
      </c>
      <c r="AV2845" s="0" t="s">
        <v>130</v>
      </c>
      <c r="AW2845" s="0" t="s">
        <v>130</v>
      </c>
      <c r="AX2845" s="0" t="s">
        <v>130</v>
      </c>
      <c r="AY2845" s="0" t="s">
        <v>141</v>
      </c>
      <c r="AZ2845" s="0" t="s">
        <v>130</v>
      </c>
      <c r="BA2845" s="0" t="s">
        <v>130</v>
      </c>
      <c r="BB2845" s="0" t="s">
        <v>130</v>
      </c>
      <c r="BC2845" s="0" t="s">
        <v>141</v>
      </c>
      <c r="BD2845" s="0" t="s">
        <v>130</v>
      </c>
      <c r="BE2845" s="0" t="s">
        <v>130</v>
      </c>
      <c r="BF2845" s="0" t="s">
        <v>130</v>
      </c>
      <c r="BG2845" s="0" t="s">
        <v>130</v>
      </c>
      <c r="BH2845" s="0" t="s">
        <v>130</v>
      </c>
      <c r="BI2845" s="0" t="s">
        <v>130</v>
      </c>
      <c r="BJ2845" s="0" t="s">
        <v>130</v>
      </c>
      <c r="BK2845" s="0" t="s">
        <v>130</v>
      </c>
      <c r="BL2845" s="0" t="s">
        <v>130</v>
      </c>
      <c r="BM2845" s="0" t="s">
        <v>130</v>
      </c>
      <c r="BN2845" s="0" t="s">
        <v>130</v>
      </c>
      <c r="BO2845" s="0" t="s">
        <v>130</v>
      </c>
      <c r="BP2845" s="0" t="s">
        <v>130</v>
      </c>
      <c r="BQ2845" s="0" t="s">
        <v>130</v>
      </c>
      <c r="BR2845" s="0" t="s">
        <v>130</v>
      </c>
      <c r="BS2845" s="0" t="s">
        <v>130</v>
      </c>
      <c r="BT2845" s="0" t="s">
        <v>130</v>
      </c>
      <c r="BU2845" s="0" t="s">
        <v>130</v>
      </c>
      <c r="BV2845" s="0" t="s">
        <v>130</v>
      </c>
      <c r="BW2845" s="0" t="s">
        <v>130</v>
      </c>
      <c r="BX2845" s="0" t="s">
        <v>130</v>
      </c>
      <c r="BY2845" s="0" t="s">
        <v>130</v>
      </c>
      <c r="BZ2845" s="0" t="s">
        <v>130</v>
      </c>
      <c r="CA2845" s="0" t="s">
        <v>130</v>
      </c>
      <c r="CB2845" s="0" t="s">
        <v>130</v>
      </c>
      <c r="CC2845" s="0" t="s">
        <v>130</v>
      </c>
      <c r="CD2845" s="0" t="s">
        <v>130</v>
      </c>
      <c r="CE2845" s="0" t="s">
        <v>130</v>
      </c>
      <c r="CF2845" s="0" t="s">
        <v>130</v>
      </c>
      <c r="CG2845" s="0" t="s">
        <v>130</v>
      </c>
      <c r="CH2845" s="0" t="s">
        <v>130</v>
      </c>
      <c r="CI2845" s="0" t="s">
        <v>130</v>
      </c>
      <c r="CJ2845" s="0" t="s">
        <v>130</v>
      </c>
      <c r="CK2845" s="0" t="s">
        <v>130</v>
      </c>
      <c r="CL2845" s="0" t="s">
        <v>130</v>
      </c>
      <c r="CM2845" s="0" t="s">
        <v>130</v>
      </c>
      <c r="CN2845" s="0" t="s">
        <v>130</v>
      </c>
      <c r="CO2845" s="0" t="s">
        <v>130</v>
      </c>
      <c r="CP2845" s="0" t="s">
        <v>130</v>
      </c>
      <c r="CQ2845" s="0" t="s">
        <v>130</v>
      </c>
      <c r="CR2845" s="0" t="s">
        <v>130</v>
      </c>
      <c r="CS2845" s="0" t="s">
        <v>130</v>
      </c>
      <c r="CT2845" s="0" t="s">
        <v>7689</v>
      </c>
    </row>
    <row r="2846">
      <c r="A2846" s="14">
        <v>115230</v>
      </c>
      <c r="B2846" s="0" t="s">
        <v>2352</v>
      </c>
      <c r="C2846" s="16">
        <f>HYPERLINK("https://eosportal.federatedhermes.com/companies/Q29tcGFueQppNjI0OTg=", "Air Liquide SA")</f>
      </c>
      <c r="D2846" s="0" t="s">
        <v>25</v>
      </c>
      <c r="E2846" s="0" t="s">
        <v>968</v>
      </c>
      <c r="F2846" s="16">
        <f>HYPERLINK("https://eosportal.federatedhermes.com/engagements/RW5nYWdlbWVudAppMzkzNDY=", "Board effectiveness")</f>
      </c>
      <c r="G2846" s="14" t="s">
        <v>7690</v>
      </c>
      <c r="H2846" s="0" t="s">
        <v>141</v>
      </c>
      <c r="I2846" s="14" t="s">
        <v>1645</v>
      </c>
      <c r="J2846" s="0" t="s">
        <v>145</v>
      </c>
      <c r="K2846" s="0" t="s">
        <v>164</v>
      </c>
      <c r="L2846" s="0" t="s">
        <v>970</v>
      </c>
      <c r="M2846" s="0" t="s">
        <v>378</v>
      </c>
      <c r="N2846" s="0" t="s">
        <v>1646</v>
      </c>
      <c r="O2846" s="0" t="s">
        <v>706</v>
      </c>
      <c r="Q2846" s="0" t="s">
        <v>141</v>
      </c>
      <c r="R2846" s="0" t="s">
        <v>138</v>
      </c>
      <c r="S2846" s="14">
        <v>2</v>
      </c>
      <c r="T2846" s="0" t="s">
        <v>4412</v>
      </c>
      <c r="U2846" s="0" t="s">
        <v>138</v>
      </c>
      <c r="V2846" s="14" t="s">
        <v>138</v>
      </c>
      <c r="W2846" s="0" t="s">
        <v>138</v>
      </c>
      <c r="X2846" s="14" t="s">
        <v>138</v>
      </c>
      <c r="Y2846" s="0" t="s">
        <v>138</v>
      </c>
      <c r="Z2846" s="14" t="s">
        <v>138</v>
      </c>
      <c r="AA2846" s="0" t="s">
        <v>138</v>
      </c>
      <c r="AB2846" s="14" t="s">
        <v>138</v>
      </c>
      <c r="AD2846" s="0" t="s">
        <v>138</v>
      </c>
      <c r="AF2846" s="0">
        <v>0</v>
      </c>
      <c r="AG2846" s="0">
        <v>0</v>
      </c>
      <c r="AH2846" s="0" t="s">
        <v>140</v>
      </c>
      <c r="AI2846" s="0" t="s">
        <v>138</v>
      </c>
      <c r="AK2846" s="0" t="s">
        <v>436</v>
      </c>
      <c r="AL2846" s="14"/>
      <c r="AN2846" s="14"/>
      <c r="AQ2846" s="0" t="s">
        <v>130</v>
      </c>
      <c r="AR2846" s="0" t="s">
        <v>130</v>
      </c>
      <c r="AS2846" s="0" t="s">
        <v>130</v>
      </c>
      <c r="AT2846" s="0" t="s">
        <v>130</v>
      </c>
      <c r="AU2846" s="0" t="s">
        <v>130</v>
      </c>
      <c r="AV2846" s="0" t="s">
        <v>130</v>
      </c>
      <c r="AW2846" s="0" t="s">
        <v>130</v>
      </c>
      <c r="AX2846" s="0" t="s">
        <v>130</v>
      </c>
      <c r="AY2846" s="0" t="s">
        <v>130</v>
      </c>
      <c r="AZ2846" s="0" t="s">
        <v>130</v>
      </c>
      <c r="BA2846" s="0" t="s">
        <v>130</v>
      </c>
      <c r="BB2846" s="0" t="s">
        <v>130</v>
      </c>
      <c r="BC2846" s="0" t="s">
        <v>130</v>
      </c>
      <c r="BD2846" s="0" t="s">
        <v>130</v>
      </c>
      <c r="BE2846" s="0" t="s">
        <v>130</v>
      </c>
      <c r="BF2846" s="0" t="s">
        <v>130</v>
      </c>
      <c r="BG2846" s="0" t="s">
        <v>130</v>
      </c>
      <c r="BH2846" s="0" t="s">
        <v>130</v>
      </c>
      <c r="BI2846" s="0" t="s">
        <v>130</v>
      </c>
      <c r="BJ2846" s="0" t="s">
        <v>130</v>
      </c>
      <c r="BK2846" s="0" t="s">
        <v>130</v>
      </c>
      <c r="BL2846" s="0" t="s">
        <v>130</v>
      </c>
      <c r="BM2846" s="0" t="s">
        <v>130</v>
      </c>
      <c r="BN2846" s="0" t="s">
        <v>130</v>
      </c>
      <c r="BO2846" s="0" t="s">
        <v>130</v>
      </c>
      <c r="BP2846" s="0" t="s">
        <v>130</v>
      </c>
      <c r="BQ2846" s="0" t="s">
        <v>130</v>
      </c>
      <c r="BR2846" s="0" t="s">
        <v>130</v>
      </c>
      <c r="BS2846" s="0" t="s">
        <v>130</v>
      </c>
      <c r="BT2846" s="0" t="s">
        <v>130</v>
      </c>
      <c r="BU2846" s="0" t="s">
        <v>130</v>
      </c>
      <c r="BV2846" s="0" t="s">
        <v>130</v>
      </c>
      <c r="BW2846" s="0" t="s">
        <v>130</v>
      </c>
      <c r="BX2846" s="0" t="s">
        <v>130</v>
      </c>
      <c r="BY2846" s="0" t="s">
        <v>130</v>
      </c>
      <c r="BZ2846" s="0" t="s">
        <v>130</v>
      </c>
      <c r="CA2846" s="0" t="s">
        <v>130</v>
      </c>
      <c r="CB2846" s="0" t="s">
        <v>130</v>
      </c>
      <c r="CC2846" s="0" t="s">
        <v>130</v>
      </c>
      <c r="CD2846" s="0" t="s">
        <v>130</v>
      </c>
      <c r="CE2846" s="0" t="s">
        <v>130</v>
      </c>
      <c r="CF2846" s="0" t="s">
        <v>130</v>
      </c>
      <c r="CG2846" s="0" t="s">
        <v>130</v>
      </c>
      <c r="CH2846" s="0" t="s">
        <v>130</v>
      </c>
      <c r="CI2846" s="0" t="s">
        <v>130</v>
      </c>
      <c r="CJ2846" s="0" t="s">
        <v>130</v>
      </c>
      <c r="CK2846" s="0" t="s">
        <v>130</v>
      </c>
      <c r="CL2846" s="0" t="s">
        <v>130</v>
      </c>
      <c r="CM2846" s="0" t="s">
        <v>130</v>
      </c>
      <c r="CN2846" s="0" t="s">
        <v>130</v>
      </c>
      <c r="CO2846" s="0" t="s">
        <v>130</v>
      </c>
      <c r="CP2846" s="0" t="s">
        <v>130</v>
      </c>
      <c r="CQ2846" s="0" t="s">
        <v>130</v>
      </c>
      <c r="CR2846" s="0" t="s">
        <v>130</v>
      </c>
      <c r="CS2846" s="0" t="s">
        <v>130</v>
      </c>
      <c r="CT2846" s="0" t="s">
        <v>7691</v>
      </c>
    </row>
    <row r="2847">
      <c r="A2847" s="14">
        <v>8502156</v>
      </c>
      <c r="B2847" s="0" t="s">
        <v>3910</v>
      </c>
      <c r="C2847" s="16">
        <f>HYPERLINK("https://eosportal.federatedhermes.com/companies/Q29tcGFueQppODYyODc=", "NRG Energy Inc")</f>
      </c>
      <c r="D2847" s="0" t="s">
        <v>25</v>
      </c>
      <c r="E2847" s="0" t="s">
        <v>968</v>
      </c>
      <c r="F2847" s="16">
        <f>HYPERLINK("https://eosportal.federatedhermes.com/engagements/RW5nYWdlbWVudAppMzkzNTM=", "Board effectiveness")</f>
      </c>
      <c r="G2847" s="14" t="s">
        <v>7692</v>
      </c>
      <c r="H2847" s="0" t="s">
        <v>141</v>
      </c>
      <c r="I2847" s="14" t="s">
        <v>191</v>
      </c>
      <c r="J2847" s="0" t="s">
        <v>145</v>
      </c>
      <c r="K2847" s="0" t="s">
        <v>164</v>
      </c>
      <c r="L2847" s="0" t="s">
        <v>970</v>
      </c>
      <c r="M2847" s="0" t="s">
        <v>135</v>
      </c>
      <c r="N2847" s="0" t="s">
        <v>136</v>
      </c>
      <c r="O2847" s="0" t="s">
        <v>192</v>
      </c>
      <c r="Q2847" s="0" t="s">
        <v>130</v>
      </c>
      <c r="R2847" s="0" t="s">
        <v>138</v>
      </c>
      <c r="S2847" s="14">
        <v>0</v>
      </c>
      <c r="T2847" s="0" t="s">
        <v>4412</v>
      </c>
      <c r="U2847" s="0" t="s">
        <v>138</v>
      </c>
      <c r="V2847" s="14" t="s">
        <v>138</v>
      </c>
      <c r="W2847" s="0" t="s">
        <v>138</v>
      </c>
      <c r="X2847" s="14" t="s">
        <v>138</v>
      </c>
      <c r="Y2847" s="0" t="s">
        <v>138</v>
      </c>
      <c r="Z2847" s="14" t="s">
        <v>138</v>
      </c>
      <c r="AA2847" s="0" t="s">
        <v>138</v>
      </c>
      <c r="AB2847" s="14" t="s">
        <v>138</v>
      </c>
      <c r="AD2847" s="0" t="s">
        <v>138</v>
      </c>
      <c r="AF2847" s="0">
        <v>0</v>
      </c>
      <c r="AG2847" s="0">
        <v>0</v>
      </c>
      <c r="AH2847" s="0" t="s">
        <v>140</v>
      </c>
      <c r="AI2847" s="0" t="s">
        <v>138</v>
      </c>
      <c r="AL2847" s="14"/>
      <c r="AN2847" s="14"/>
      <c r="AQ2847" s="0" t="s">
        <v>130</v>
      </c>
      <c r="AR2847" s="0" t="s">
        <v>130</v>
      </c>
      <c r="AS2847" s="0" t="s">
        <v>130</v>
      </c>
      <c r="AT2847" s="0" t="s">
        <v>130</v>
      </c>
      <c r="AU2847" s="0" t="s">
        <v>130</v>
      </c>
      <c r="AV2847" s="0" t="s">
        <v>130</v>
      </c>
      <c r="AW2847" s="0" t="s">
        <v>130</v>
      </c>
      <c r="AX2847" s="0" t="s">
        <v>130</v>
      </c>
      <c r="AY2847" s="0" t="s">
        <v>130</v>
      </c>
      <c r="AZ2847" s="0" t="s">
        <v>130</v>
      </c>
      <c r="BA2847" s="0" t="s">
        <v>130</v>
      </c>
      <c r="BB2847" s="0" t="s">
        <v>130</v>
      </c>
      <c r="BC2847" s="0" t="s">
        <v>130</v>
      </c>
      <c r="BD2847" s="0" t="s">
        <v>130</v>
      </c>
      <c r="BE2847" s="0" t="s">
        <v>130</v>
      </c>
      <c r="BF2847" s="0" t="s">
        <v>130</v>
      </c>
      <c r="BG2847" s="0" t="s">
        <v>130</v>
      </c>
      <c r="BH2847" s="0" t="s">
        <v>130</v>
      </c>
      <c r="BI2847" s="0" t="s">
        <v>130</v>
      </c>
      <c r="BJ2847" s="0" t="s">
        <v>130</v>
      </c>
      <c r="BK2847" s="0" t="s">
        <v>130</v>
      </c>
      <c r="BL2847" s="0" t="s">
        <v>130</v>
      </c>
      <c r="BM2847" s="0" t="s">
        <v>130</v>
      </c>
      <c r="BN2847" s="0" t="s">
        <v>130</v>
      </c>
      <c r="BO2847" s="0" t="s">
        <v>130</v>
      </c>
      <c r="BP2847" s="0" t="s">
        <v>130</v>
      </c>
      <c r="BQ2847" s="0" t="s">
        <v>130</v>
      </c>
      <c r="BR2847" s="0" t="s">
        <v>130</v>
      </c>
      <c r="BS2847" s="0" t="s">
        <v>130</v>
      </c>
      <c r="BT2847" s="0" t="s">
        <v>130</v>
      </c>
      <c r="BU2847" s="0" t="s">
        <v>130</v>
      </c>
      <c r="BV2847" s="0" t="s">
        <v>130</v>
      </c>
      <c r="BW2847" s="0" t="s">
        <v>130</v>
      </c>
      <c r="BX2847" s="0" t="s">
        <v>130</v>
      </c>
      <c r="BY2847" s="0" t="s">
        <v>130</v>
      </c>
      <c r="BZ2847" s="0" t="s">
        <v>130</v>
      </c>
      <c r="CA2847" s="0" t="s">
        <v>130</v>
      </c>
      <c r="CB2847" s="0" t="s">
        <v>130</v>
      </c>
      <c r="CC2847" s="0" t="s">
        <v>130</v>
      </c>
      <c r="CD2847" s="0" t="s">
        <v>130</v>
      </c>
      <c r="CE2847" s="0" t="s">
        <v>130</v>
      </c>
      <c r="CF2847" s="0" t="s">
        <v>130</v>
      </c>
      <c r="CG2847" s="0" t="s">
        <v>130</v>
      </c>
      <c r="CH2847" s="0" t="s">
        <v>130</v>
      </c>
      <c r="CI2847" s="0" t="s">
        <v>130</v>
      </c>
      <c r="CJ2847" s="0" t="s">
        <v>130</v>
      </c>
      <c r="CK2847" s="0" t="s">
        <v>130</v>
      </c>
      <c r="CL2847" s="0" t="s">
        <v>130</v>
      </c>
      <c r="CM2847" s="0" t="s">
        <v>130</v>
      </c>
      <c r="CN2847" s="0" t="s">
        <v>130</v>
      </c>
      <c r="CO2847" s="0" t="s">
        <v>130</v>
      </c>
      <c r="CP2847" s="0" t="s">
        <v>130</v>
      </c>
      <c r="CQ2847" s="0" t="s">
        <v>130</v>
      </c>
      <c r="CR2847" s="0" t="s">
        <v>130</v>
      </c>
      <c r="CS2847" s="0" t="s">
        <v>130</v>
      </c>
      <c r="CT2847" s="0" t="s">
        <v>7693</v>
      </c>
    </row>
    <row r="2848">
      <c r="A2848" s="14">
        <v>100312</v>
      </c>
      <c r="B2848" s="0" t="s">
        <v>476</v>
      </c>
      <c r="C2848" s="16">
        <f>HYPERLINK("https://eosportal.federatedhermes.com/companies/Q29tcGFueQppNTg5OTQ=", "JPMorgan Chase &amp; Co")</f>
      </c>
      <c r="D2848" s="0" t="s">
        <v>25</v>
      </c>
      <c r="E2848" s="0" t="s">
        <v>968</v>
      </c>
      <c r="F2848" s="16">
        <f>HYPERLINK("https://eosportal.federatedhermes.com/engagements/RW5nYWdlbWVudAppMzkzNjA=", "Board effectiveness")</f>
      </c>
      <c r="G2848" s="14" t="s">
        <v>7694</v>
      </c>
      <c r="H2848" s="0" t="s">
        <v>141</v>
      </c>
      <c r="I2848" s="14" t="s">
        <v>191</v>
      </c>
      <c r="J2848" s="0" t="s">
        <v>145</v>
      </c>
      <c r="K2848" s="0" t="s">
        <v>164</v>
      </c>
      <c r="L2848" s="0" t="s">
        <v>970</v>
      </c>
      <c r="M2848" s="0" t="s">
        <v>135</v>
      </c>
      <c r="N2848" s="0" t="s">
        <v>136</v>
      </c>
      <c r="O2848" s="0" t="s">
        <v>238</v>
      </c>
      <c r="Q2848" s="0" t="s">
        <v>130</v>
      </c>
      <c r="R2848" s="0" t="s">
        <v>138</v>
      </c>
      <c r="S2848" s="14">
        <v>0</v>
      </c>
      <c r="T2848" s="0" t="s">
        <v>449</v>
      </c>
      <c r="U2848" s="0" t="s">
        <v>138</v>
      </c>
      <c r="V2848" s="14" t="s">
        <v>138</v>
      </c>
      <c r="W2848" s="0" t="s">
        <v>138</v>
      </c>
      <c r="X2848" s="14" t="s">
        <v>138</v>
      </c>
      <c r="Y2848" s="0" t="s">
        <v>138</v>
      </c>
      <c r="Z2848" s="14" t="s">
        <v>138</v>
      </c>
      <c r="AA2848" s="0" t="s">
        <v>138</v>
      </c>
      <c r="AB2848" s="14" t="s">
        <v>138</v>
      </c>
      <c r="AD2848" s="0" t="s">
        <v>138</v>
      </c>
      <c r="AF2848" s="0">
        <v>0</v>
      </c>
      <c r="AG2848" s="0">
        <v>0</v>
      </c>
      <c r="AH2848" s="0" t="s">
        <v>140</v>
      </c>
      <c r="AI2848" s="0" t="s">
        <v>138</v>
      </c>
      <c r="AL2848" s="14"/>
      <c r="AN2848" s="14"/>
      <c r="AQ2848" s="0" t="s">
        <v>130</v>
      </c>
      <c r="AR2848" s="0" t="s">
        <v>130</v>
      </c>
      <c r="AS2848" s="0" t="s">
        <v>130</v>
      </c>
      <c r="AT2848" s="0" t="s">
        <v>130</v>
      </c>
      <c r="AU2848" s="0" t="s">
        <v>130</v>
      </c>
      <c r="AV2848" s="0" t="s">
        <v>130</v>
      </c>
      <c r="AW2848" s="0" t="s">
        <v>130</v>
      </c>
      <c r="AX2848" s="0" t="s">
        <v>130</v>
      </c>
      <c r="AY2848" s="0" t="s">
        <v>130</v>
      </c>
      <c r="AZ2848" s="0" t="s">
        <v>130</v>
      </c>
      <c r="BA2848" s="0" t="s">
        <v>130</v>
      </c>
      <c r="BB2848" s="0" t="s">
        <v>130</v>
      </c>
      <c r="BC2848" s="0" t="s">
        <v>130</v>
      </c>
      <c r="BD2848" s="0" t="s">
        <v>130</v>
      </c>
      <c r="BE2848" s="0" t="s">
        <v>130</v>
      </c>
      <c r="BF2848" s="0" t="s">
        <v>130</v>
      </c>
      <c r="BG2848" s="0" t="s">
        <v>130</v>
      </c>
      <c r="BH2848" s="0" t="s">
        <v>130</v>
      </c>
      <c r="BI2848" s="0" t="s">
        <v>130</v>
      </c>
      <c r="BJ2848" s="0" t="s">
        <v>130</v>
      </c>
      <c r="BK2848" s="0" t="s">
        <v>130</v>
      </c>
      <c r="BL2848" s="0" t="s">
        <v>130</v>
      </c>
      <c r="BM2848" s="0" t="s">
        <v>130</v>
      </c>
      <c r="BN2848" s="0" t="s">
        <v>130</v>
      </c>
      <c r="BO2848" s="0" t="s">
        <v>130</v>
      </c>
      <c r="BP2848" s="0" t="s">
        <v>130</v>
      </c>
      <c r="BQ2848" s="0" t="s">
        <v>130</v>
      </c>
      <c r="BR2848" s="0" t="s">
        <v>130</v>
      </c>
      <c r="BS2848" s="0" t="s">
        <v>130</v>
      </c>
      <c r="BT2848" s="0" t="s">
        <v>130</v>
      </c>
      <c r="BU2848" s="0" t="s">
        <v>130</v>
      </c>
      <c r="BV2848" s="0" t="s">
        <v>130</v>
      </c>
      <c r="BW2848" s="0" t="s">
        <v>130</v>
      </c>
      <c r="BX2848" s="0" t="s">
        <v>130</v>
      </c>
      <c r="BY2848" s="0" t="s">
        <v>130</v>
      </c>
      <c r="BZ2848" s="0" t="s">
        <v>130</v>
      </c>
      <c r="CA2848" s="0" t="s">
        <v>130</v>
      </c>
      <c r="CB2848" s="0" t="s">
        <v>130</v>
      </c>
      <c r="CC2848" s="0" t="s">
        <v>130</v>
      </c>
      <c r="CD2848" s="0" t="s">
        <v>130</v>
      </c>
      <c r="CE2848" s="0" t="s">
        <v>130</v>
      </c>
      <c r="CF2848" s="0" t="s">
        <v>130</v>
      </c>
      <c r="CG2848" s="0" t="s">
        <v>130</v>
      </c>
      <c r="CH2848" s="0" t="s">
        <v>130</v>
      </c>
      <c r="CI2848" s="0" t="s">
        <v>130</v>
      </c>
      <c r="CJ2848" s="0" t="s">
        <v>130</v>
      </c>
      <c r="CK2848" s="0" t="s">
        <v>130</v>
      </c>
      <c r="CL2848" s="0" t="s">
        <v>130</v>
      </c>
      <c r="CM2848" s="0" t="s">
        <v>130</v>
      </c>
      <c r="CN2848" s="0" t="s">
        <v>130</v>
      </c>
      <c r="CO2848" s="0" t="s">
        <v>130</v>
      </c>
      <c r="CP2848" s="0" t="s">
        <v>130</v>
      </c>
      <c r="CQ2848" s="0" t="s">
        <v>130</v>
      </c>
      <c r="CR2848" s="0" t="s">
        <v>130</v>
      </c>
      <c r="CS2848" s="0" t="s">
        <v>130</v>
      </c>
      <c r="CT2848" s="0" t="s">
        <v>7695</v>
      </c>
    </row>
    <row r="2849">
      <c r="A2849" s="14">
        <v>100312</v>
      </c>
      <c r="B2849" s="0" t="s">
        <v>476</v>
      </c>
      <c r="C2849" s="16">
        <f>HYPERLINK("https://eosportal.federatedhermes.com/companies/Q29tcGFueQppNTg5OTQ=", "JPMorgan Chase &amp; Co")</f>
      </c>
      <c r="D2849" s="0" t="s">
        <v>25</v>
      </c>
      <c r="E2849" s="0" t="s">
        <v>2996</v>
      </c>
      <c r="F2849" s="16">
        <f>HYPERLINK("https://eosportal.federatedhermes.com/engagements/RW5nYWdlbWVudAppMzkzNjE=", "CEO succession")</f>
      </c>
      <c r="G2849" s="14" t="s">
        <v>7696</v>
      </c>
      <c r="H2849" s="0" t="s">
        <v>141</v>
      </c>
      <c r="I2849" s="14" t="s">
        <v>191</v>
      </c>
      <c r="J2849" s="0" t="s">
        <v>145</v>
      </c>
      <c r="K2849" s="0" t="s">
        <v>164</v>
      </c>
      <c r="L2849" s="0" t="s">
        <v>277</v>
      </c>
      <c r="M2849" s="0" t="s">
        <v>135</v>
      </c>
      <c r="N2849" s="0" t="s">
        <v>136</v>
      </c>
      <c r="O2849" s="0" t="s">
        <v>238</v>
      </c>
      <c r="Q2849" s="0" t="s">
        <v>130</v>
      </c>
      <c r="R2849" s="0" t="s">
        <v>138</v>
      </c>
      <c r="S2849" s="14">
        <v>0</v>
      </c>
      <c r="T2849" s="0" t="s">
        <v>288</v>
      </c>
      <c r="U2849" s="0" t="s">
        <v>138</v>
      </c>
      <c r="V2849" s="14" t="s">
        <v>138</v>
      </c>
      <c r="W2849" s="0" t="s">
        <v>138</v>
      </c>
      <c r="X2849" s="14" t="s">
        <v>138</v>
      </c>
      <c r="Y2849" s="0" t="s">
        <v>138</v>
      </c>
      <c r="Z2849" s="14" t="s">
        <v>138</v>
      </c>
      <c r="AA2849" s="0" t="s">
        <v>138</v>
      </c>
      <c r="AB2849" s="14" t="s">
        <v>138</v>
      </c>
      <c r="AD2849" s="0" t="s">
        <v>138</v>
      </c>
      <c r="AF2849" s="0">
        <v>0</v>
      </c>
      <c r="AG2849" s="0">
        <v>0</v>
      </c>
      <c r="AH2849" s="0" t="s">
        <v>140</v>
      </c>
      <c r="AI2849" s="0" t="s">
        <v>138</v>
      </c>
      <c r="AL2849" s="14"/>
      <c r="AN2849" s="14"/>
      <c r="AQ2849" s="0" t="s">
        <v>130</v>
      </c>
      <c r="AR2849" s="0" t="s">
        <v>130</v>
      </c>
      <c r="AS2849" s="0" t="s">
        <v>130</v>
      </c>
      <c r="AT2849" s="0" t="s">
        <v>130</v>
      </c>
      <c r="AU2849" s="0" t="s">
        <v>130</v>
      </c>
      <c r="AV2849" s="0" t="s">
        <v>130</v>
      </c>
      <c r="AW2849" s="0" t="s">
        <v>130</v>
      </c>
      <c r="AX2849" s="0" t="s">
        <v>130</v>
      </c>
      <c r="AY2849" s="0" t="s">
        <v>130</v>
      </c>
      <c r="AZ2849" s="0" t="s">
        <v>130</v>
      </c>
      <c r="BA2849" s="0" t="s">
        <v>130</v>
      </c>
      <c r="BB2849" s="0" t="s">
        <v>130</v>
      </c>
      <c r="BC2849" s="0" t="s">
        <v>130</v>
      </c>
      <c r="BD2849" s="0" t="s">
        <v>130</v>
      </c>
      <c r="BE2849" s="0" t="s">
        <v>130</v>
      </c>
      <c r="BF2849" s="0" t="s">
        <v>130</v>
      </c>
      <c r="BG2849" s="0" t="s">
        <v>130</v>
      </c>
      <c r="BH2849" s="0" t="s">
        <v>130</v>
      </c>
      <c r="BI2849" s="0" t="s">
        <v>130</v>
      </c>
      <c r="BJ2849" s="0" t="s">
        <v>130</v>
      </c>
      <c r="BK2849" s="0" t="s">
        <v>130</v>
      </c>
      <c r="BL2849" s="0" t="s">
        <v>130</v>
      </c>
      <c r="BM2849" s="0" t="s">
        <v>130</v>
      </c>
      <c r="BN2849" s="0" t="s">
        <v>130</v>
      </c>
      <c r="BO2849" s="0" t="s">
        <v>130</v>
      </c>
      <c r="BP2849" s="0" t="s">
        <v>130</v>
      </c>
      <c r="BQ2849" s="0" t="s">
        <v>130</v>
      </c>
      <c r="BR2849" s="0" t="s">
        <v>130</v>
      </c>
      <c r="BS2849" s="0" t="s">
        <v>130</v>
      </c>
      <c r="BT2849" s="0" t="s">
        <v>130</v>
      </c>
      <c r="BU2849" s="0" t="s">
        <v>130</v>
      </c>
      <c r="BV2849" s="0" t="s">
        <v>130</v>
      </c>
      <c r="BW2849" s="0" t="s">
        <v>130</v>
      </c>
      <c r="BX2849" s="0" t="s">
        <v>130</v>
      </c>
      <c r="BY2849" s="0" t="s">
        <v>130</v>
      </c>
      <c r="BZ2849" s="0" t="s">
        <v>130</v>
      </c>
      <c r="CA2849" s="0" t="s">
        <v>130</v>
      </c>
      <c r="CB2849" s="0" t="s">
        <v>130</v>
      </c>
      <c r="CC2849" s="0" t="s">
        <v>130</v>
      </c>
      <c r="CD2849" s="0" t="s">
        <v>130</v>
      </c>
      <c r="CE2849" s="0" t="s">
        <v>130</v>
      </c>
      <c r="CF2849" s="0" t="s">
        <v>130</v>
      </c>
      <c r="CG2849" s="0" t="s">
        <v>130</v>
      </c>
      <c r="CH2849" s="0" t="s">
        <v>130</v>
      </c>
      <c r="CI2849" s="0" t="s">
        <v>130</v>
      </c>
      <c r="CJ2849" s="0" t="s">
        <v>130</v>
      </c>
      <c r="CK2849" s="0" t="s">
        <v>130</v>
      </c>
      <c r="CL2849" s="0" t="s">
        <v>130</v>
      </c>
      <c r="CM2849" s="0" t="s">
        <v>130</v>
      </c>
      <c r="CN2849" s="0" t="s">
        <v>130</v>
      </c>
      <c r="CO2849" s="0" t="s">
        <v>130</v>
      </c>
      <c r="CP2849" s="0" t="s">
        <v>130</v>
      </c>
      <c r="CQ2849" s="0" t="s">
        <v>130</v>
      </c>
      <c r="CR2849" s="0" t="s">
        <v>130</v>
      </c>
      <c r="CS2849" s="0" t="s">
        <v>130</v>
      </c>
      <c r="CT2849" s="0" t="s">
        <v>7697</v>
      </c>
    </row>
    <row r="2850">
      <c r="A2850" s="14">
        <v>117400</v>
      </c>
      <c r="B2850" s="0" t="s">
        <v>2831</v>
      </c>
      <c r="C2850" s="16">
        <f>HYPERLINK("https://eosportal.federatedhermes.com/companies/Q29tcGFueQppNzE3MDY=", "Alpha Services and Holdings SA")</f>
      </c>
      <c r="D2850" s="0" t="s">
        <v>23</v>
      </c>
      <c r="E2850" s="0" t="s">
        <v>7698</v>
      </c>
      <c r="F2850" s="16">
        <f>HYPERLINK("https://eosportal.federatedhermes.com/engagements/RW5nYWdlbWVudAppMzk0MDg=", "Transparency on client ESG risk assessments")</f>
      </c>
      <c r="G2850" s="14" t="s">
        <v>7699</v>
      </c>
      <c r="H2850" s="0" t="s">
        <v>130</v>
      </c>
      <c r="I2850" s="14" t="s">
        <v>131</v>
      </c>
      <c r="J2850" s="0" t="s">
        <v>197</v>
      </c>
      <c r="K2850" s="0" t="s">
        <v>198</v>
      </c>
      <c r="L2850" s="0" t="s">
        <v>199</v>
      </c>
      <c r="M2850" s="0" t="s">
        <v>378</v>
      </c>
      <c r="N2850" s="0" t="s">
        <v>2834</v>
      </c>
      <c r="O2850" s="0" t="s">
        <v>238</v>
      </c>
      <c r="Q2850" s="0" t="s">
        <v>130</v>
      </c>
      <c r="R2850" s="0" t="s">
        <v>130</v>
      </c>
      <c r="S2850" s="14">
        <v>0</v>
      </c>
      <c r="T2850" s="0" t="s">
        <v>449</v>
      </c>
      <c r="U2850" s="0" t="s">
        <v>221</v>
      </c>
      <c r="V2850" s="14" t="s">
        <v>449</v>
      </c>
      <c r="W2850" s="0" t="s">
        <v>221</v>
      </c>
      <c r="X2850" s="14" t="s">
        <v>449</v>
      </c>
      <c r="Y2850" s="0" t="s">
        <v>223</v>
      </c>
      <c r="Z2850" s="14" t="s">
        <v>138</v>
      </c>
      <c r="AA2850" s="0" t="s">
        <v>224</v>
      </c>
      <c r="AB2850" s="14" t="s">
        <v>138</v>
      </c>
      <c r="AD2850" s="0" t="s">
        <v>17</v>
      </c>
      <c r="AF2850" s="0">
        <v>0</v>
      </c>
      <c r="AG2850" s="0">
        <v>0</v>
      </c>
      <c r="AH2850" s="0" t="s">
        <v>140</v>
      </c>
      <c r="AI2850" s="0" t="s">
        <v>598</v>
      </c>
      <c r="AL2850" s="14"/>
      <c r="AN2850" s="14"/>
      <c r="AQ2850" s="0" t="s">
        <v>130</v>
      </c>
      <c r="AR2850" s="0" t="s">
        <v>130</v>
      </c>
      <c r="AS2850" s="0" t="s">
        <v>130</v>
      </c>
      <c r="AT2850" s="0" t="s">
        <v>130</v>
      </c>
      <c r="AU2850" s="0" t="s">
        <v>130</v>
      </c>
      <c r="AV2850" s="0" t="s">
        <v>130</v>
      </c>
      <c r="AW2850" s="0" t="s">
        <v>130</v>
      </c>
      <c r="AX2850" s="0" t="s">
        <v>130</v>
      </c>
      <c r="AY2850" s="0" t="s">
        <v>130</v>
      </c>
      <c r="AZ2850" s="0" t="s">
        <v>130</v>
      </c>
      <c r="BA2850" s="0" t="s">
        <v>130</v>
      </c>
      <c r="BB2850" s="0" t="s">
        <v>141</v>
      </c>
      <c r="BC2850" s="0" t="s">
        <v>141</v>
      </c>
      <c r="BD2850" s="0" t="s">
        <v>130</v>
      </c>
      <c r="BE2850" s="0" t="s">
        <v>130</v>
      </c>
      <c r="BF2850" s="0" t="s">
        <v>130</v>
      </c>
      <c r="BG2850" s="0" t="s">
        <v>130</v>
      </c>
      <c r="BH2850" s="0" t="s">
        <v>141</v>
      </c>
      <c r="BI2850" s="0" t="s">
        <v>141</v>
      </c>
      <c r="BJ2850" s="0" t="s">
        <v>141</v>
      </c>
      <c r="BK2850" s="0" t="s">
        <v>130</v>
      </c>
      <c r="BL2850" s="0" t="s">
        <v>130</v>
      </c>
      <c r="BM2850" s="0" t="s">
        <v>130</v>
      </c>
      <c r="BN2850" s="0" t="s">
        <v>130</v>
      </c>
      <c r="BO2850" s="0" t="s">
        <v>130</v>
      </c>
      <c r="BP2850" s="0" t="s">
        <v>130</v>
      </c>
      <c r="BQ2850" s="0" t="s">
        <v>130</v>
      </c>
      <c r="BR2850" s="0" t="s">
        <v>130</v>
      </c>
      <c r="BS2850" s="0" t="s">
        <v>130</v>
      </c>
      <c r="BT2850" s="0" t="s">
        <v>130</v>
      </c>
      <c r="BU2850" s="0" t="s">
        <v>130</v>
      </c>
      <c r="BV2850" s="0" t="s">
        <v>141</v>
      </c>
      <c r="BW2850" s="0" t="s">
        <v>141</v>
      </c>
      <c r="BX2850" s="0" t="s">
        <v>130</v>
      </c>
      <c r="BY2850" s="0" t="s">
        <v>130</v>
      </c>
      <c r="BZ2850" s="0" t="s">
        <v>130</v>
      </c>
      <c r="CA2850" s="0" t="s">
        <v>130</v>
      </c>
      <c r="CB2850" s="0" t="s">
        <v>130</v>
      </c>
      <c r="CC2850" s="0" t="s">
        <v>130</v>
      </c>
      <c r="CD2850" s="0" t="s">
        <v>130</v>
      </c>
      <c r="CE2850" s="0" t="s">
        <v>130</v>
      </c>
      <c r="CF2850" s="0" t="s">
        <v>130</v>
      </c>
      <c r="CG2850" s="0" t="s">
        <v>130</v>
      </c>
      <c r="CH2850" s="0" t="s">
        <v>130</v>
      </c>
      <c r="CI2850" s="0" t="s">
        <v>130</v>
      </c>
      <c r="CJ2850" s="0" t="s">
        <v>130</v>
      </c>
      <c r="CK2850" s="0" t="s">
        <v>130</v>
      </c>
      <c r="CL2850" s="0" t="s">
        <v>130</v>
      </c>
      <c r="CM2850" s="0" t="s">
        <v>130</v>
      </c>
      <c r="CN2850" s="0" t="s">
        <v>130</v>
      </c>
      <c r="CO2850" s="0" t="s">
        <v>130</v>
      </c>
      <c r="CP2850" s="0" t="s">
        <v>130</v>
      </c>
      <c r="CQ2850" s="0" t="s">
        <v>130</v>
      </c>
      <c r="CR2850" s="0" t="s">
        <v>130</v>
      </c>
      <c r="CS2850" s="0" t="s">
        <v>130</v>
      </c>
      <c r="CT2850" s="0" t="s">
        <v>7700</v>
      </c>
    </row>
    <row r="2851">
      <c r="A2851" s="14">
        <v>115643</v>
      </c>
      <c r="B2851" s="0" t="s">
        <v>2552</v>
      </c>
      <c r="C2851" s="16">
        <f>HYPERLINK("https://eosportal.federatedhermes.com/companies/Q29tcGFueQppNjk2MzA=", "Koninklijke Ahold Delhaize NV")</f>
      </c>
      <c r="D2851" s="0" t="s">
        <v>25</v>
      </c>
      <c r="E2851" s="0" t="s">
        <v>2656</v>
      </c>
      <c r="F2851" s="16">
        <f>HYPERLINK("https://eosportal.federatedhermes.com/engagements/RW5nYWdlbWVudAppMzk0MTU=", "Supervisory board composition and succession planning")</f>
      </c>
      <c r="G2851" s="14" t="s">
        <v>7701</v>
      </c>
      <c r="H2851" s="0" t="s">
        <v>141</v>
      </c>
      <c r="I2851" s="14" t="s">
        <v>1645</v>
      </c>
      <c r="J2851" s="0" t="s">
        <v>145</v>
      </c>
      <c r="K2851" s="0" t="s">
        <v>164</v>
      </c>
      <c r="L2851" s="0" t="s">
        <v>165</v>
      </c>
      <c r="M2851" s="0" t="s">
        <v>378</v>
      </c>
      <c r="N2851" s="0" t="s">
        <v>2554</v>
      </c>
      <c r="O2851" s="0" t="s">
        <v>643</v>
      </c>
      <c r="Q2851" s="0" t="s">
        <v>130</v>
      </c>
      <c r="R2851" s="0" t="s">
        <v>138</v>
      </c>
      <c r="S2851" s="14">
        <v>0</v>
      </c>
      <c r="T2851" s="0" t="s">
        <v>449</v>
      </c>
      <c r="U2851" s="0" t="s">
        <v>138</v>
      </c>
      <c r="V2851" s="14" t="s">
        <v>138</v>
      </c>
      <c r="W2851" s="0" t="s">
        <v>138</v>
      </c>
      <c r="X2851" s="14" t="s">
        <v>138</v>
      </c>
      <c r="Y2851" s="0" t="s">
        <v>138</v>
      </c>
      <c r="Z2851" s="14" t="s">
        <v>138</v>
      </c>
      <c r="AA2851" s="0" t="s">
        <v>138</v>
      </c>
      <c r="AB2851" s="14" t="s">
        <v>138</v>
      </c>
      <c r="AD2851" s="0" t="s">
        <v>138</v>
      </c>
      <c r="AF2851" s="0">
        <v>0</v>
      </c>
      <c r="AG2851" s="0">
        <v>0</v>
      </c>
      <c r="AH2851" s="0" t="s">
        <v>140</v>
      </c>
      <c r="AI2851" s="0" t="s">
        <v>138</v>
      </c>
      <c r="AL2851" s="14"/>
      <c r="AN2851" s="14"/>
      <c r="AQ2851" s="0" t="s">
        <v>130</v>
      </c>
      <c r="AR2851" s="0" t="s">
        <v>130</v>
      </c>
      <c r="AS2851" s="0" t="s">
        <v>130</v>
      </c>
      <c r="AT2851" s="0" t="s">
        <v>130</v>
      </c>
      <c r="AU2851" s="0" t="s">
        <v>141</v>
      </c>
      <c r="AV2851" s="0" t="s">
        <v>130</v>
      </c>
      <c r="AW2851" s="0" t="s">
        <v>130</v>
      </c>
      <c r="AX2851" s="0" t="s">
        <v>130</v>
      </c>
      <c r="AY2851" s="0" t="s">
        <v>130</v>
      </c>
      <c r="AZ2851" s="0" t="s">
        <v>130</v>
      </c>
      <c r="BA2851" s="0" t="s">
        <v>130</v>
      </c>
      <c r="BB2851" s="0" t="s">
        <v>130</v>
      </c>
      <c r="BC2851" s="0" t="s">
        <v>130</v>
      </c>
      <c r="BD2851" s="0" t="s">
        <v>130</v>
      </c>
      <c r="BE2851" s="0" t="s">
        <v>130</v>
      </c>
      <c r="BF2851" s="0" t="s">
        <v>130</v>
      </c>
      <c r="BG2851" s="0" t="s">
        <v>130</v>
      </c>
      <c r="BH2851" s="0" t="s">
        <v>130</v>
      </c>
      <c r="BI2851" s="0" t="s">
        <v>130</v>
      </c>
      <c r="BJ2851" s="0" t="s">
        <v>130</v>
      </c>
      <c r="BK2851" s="0" t="s">
        <v>130</v>
      </c>
      <c r="BL2851" s="0" t="s">
        <v>130</v>
      </c>
      <c r="BM2851" s="0" t="s">
        <v>130</v>
      </c>
      <c r="BN2851" s="0" t="s">
        <v>130</v>
      </c>
      <c r="BO2851" s="0" t="s">
        <v>130</v>
      </c>
      <c r="BP2851" s="0" t="s">
        <v>130</v>
      </c>
      <c r="BQ2851" s="0" t="s">
        <v>130</v>
      </c>
      <c r="BR2851" s="0" t="s">
        <v>130</v>
      </c>
      <c r="BS2851" s="0" t="s">
        <v>130</v>
      </c>
      <c r="BT2851" s="0" t="s">
        <v>130</v>
      </c>
      <c r="BU2851" s="0" t="s">
        <v>130</v>
      </c>
      <c r="BV2851" s="0" t="s">
        <v>130</v>
      </c>
      <c r="BW2851" s="0" t="s">
        <v>130</v>
      </c>
      <c r="BX2851" s="0" t="s">
        <v>130</v>
      </c>
      <c r="BY2851" s="0" t="s">
        <v>130</v>
      </c>
      <c r="BZ2851" s="0" t="s">
        <v>130</v>
      </c>
      <c r="CA2851" s="0" t="s">
        <v>130</v>
      </c>
      <c r="CB2851" s="0" t="s">
        <v>130</v>
      </c>
      <c r="CC2851" s="0" t="s">
        <v>130</v>
      </c>
      <c r="CD2851" s="0" t="s">
        <v>130</v>
      </c>
      <c r="CE2851" s="0" t="s">
        <v>130</v>
      </c>
      <c r="CF2851" s="0" t="s">
        <v>130</v>
      </c>
      <c r="CG2851" s="0" t="s">
        <v>130</v>
      </c>
      <c r="CH2851" s="0" t="s">
        <v>130</v>
      </c>
      <c r="CI2851" s="0" t="s">
        <v>130</v>
      </c>
      <c r="CJ2851" s="0" t="s">
        <v>130</v>
      </c>
      <c r="CK2851" s="0" t="s">
        <v>130</v>
      </c>
      <c r="CL2851" s="0" t="s">
        <v>130</v>
      </c>
      <c r="CM2851" s="0" t="s">
        <v>130</v>
      </c>
      <c r="CN2851" s="0" t="s">
        <v>130</v>
      </c>
      <c r="CO2851" s="0" t="s">
        <v>130</v>
      </c>
      <c r="CP2851" s="0" t="s">
        <v>130</v>
      </c>
      <c r="CQ2851" s="0" t="s">
        <v>130</v>
      </c>
      <c r="CR2851" s="0" t="s">
        <v>130</v>
      </c>
      <c r="CS2851" s="0" t="s">
        <v>130</v>
      </c>
      <c r="CT2851" s="0" t="s">
        <v>7702</v>
      </c>
    </row>
    <row r="2852">
      <c r="A2852" s="14">
        <v>9545052</v>
      </c>
      <c r="B2852" s="0" t="s">
        <v>127</v>
      </c>
      <c r="C2852" s="16">
        <f>HYPERLINK("https://eosportal.federatedhermes.com/companies/Q29tcGFueQppODM4MjI=", "Warner Bros Discovery Inc")</f>
      </c>
      <c r="D2852" s="0" t="s">
        <v>25</v>
      </c>
      <c r="E2852" s="0" t="s">
        <v>7703</v>
      </c>
      <c r="F2852" s="16">
        <f>HYPERLINK("https://eosportal.federatedhermes.com/engagements/RW5nYWdlbWVudAppMzk0MjE=", "Company Separation")</f>
      </c>
      <c r="G2852" s="14" t="s">
        <v>7704</v>
      </c>
      <c r="H2852" s="0" t="s">
        <v>130</v>
      </c>
      <c r="I2852" s="14" t="s">
        <v>131</v>
      </c>
      <c r="J2852" s="0" t="s">
        <v>132</v>
      </c>
      <c r="K2852" s="0" t="s">
        <v>133</v>
      </c>
      <c r="L2852" s="0" t="s">
        <v>160</v>
      </c>
      <c r="M2852" s="0" t="s">
        <v>135</v>
      </c>
      <c r="N2852" s="0" t="s">
        <v>136</v>
      </c>
      <c r="O2852" s="0" t="s">
        <v>137</v>
      </c>
      <c r="Q2852" s="0" t="s">
        <v>141</v>
      </c>
      <c r="R2852" s="0" t="s">
        <v>138</v>
      </c>
      <c r="S2852" s="14">
        <v>1</v>
      </c>
      <c r="T2852" s="0" t="s">
        <v>449</v>
      </c>
      <c r="U2852" s="0" t="s">
        <v>138</v>
      </c>
      <c r="V2852" s="14" t="s">
        <v>138</v>
      </c>
      <c r="W2852" s="0" t="s">
        <v>138</v>
      </c>
      <c r="X2852" s="14" t="s">
        <v>138</v>
      </c>
      <c r="Y2852" s="0" t="s">
        <v>138</v>
      </c>
      <c r="Z2852" s="14" t="s">
        <v>138</v>
      </c>
      <c r="AA2852" s="0" t="s">
        <v>138</v>
      </c>
      <c r="AB2852" s="14" t="s">
        <v>138</v>
      </c>
      <c r="AD2852" s="0" t="s">
        <v>138</v>
      </c>
      <c r="AF2852" s="0">
        <v>0</v>
      </c>
      <c r="AG2852" s="0">
        <v>0</v>
      </c>
      <c r="AH2852" s="0" t="s">
        <v>140</v>
      </c>
      <c r="AI2852" s="0" t="s">
        <v>138</v>
      </c>
      <c r="AK2852" s="0" t="s">
        <v>149</v>
      </c>
      <c r="AL2852" s="14"/>
      <c r="AN2852" s="14"/>
      <c r="AQ2852" s="0" t="s">
        <v>130</v>
      </c>
      <c r="AR2852" s="0" t="s">
        <v>130</v>
      </c>
      <c r="AS2852" s="0" t="s">
        <v>130</v>
      </c>
      <c r="AT2852" s="0" t="s">
        <v>130</v>
      </c>
      <c r="AU2852" s="0" t="s">
        <v>130</v>
      </c>
      <c r="AV2852" s="0" t="s">
        <v>130</v>
      </c>
      <c r="AW2852" s="0" t="s">
        <v>130</v>
      </c>
      <c r="AX2852" s="0" t="s">
        <v>130</v>
      </c>
      <c r="AY2852" s="0" t="s">
        <v>130</v>
      </c>
      <c r="AZ2852" s="0" t="s">
        <v>130</v>
      </c>
      <c r="BA2852" s="0" t="s">
        <v>130</v>
      </c>
      <c r="BB2852" s="0" t="s">
        <v>130</v>
      </c>
      <c r="BC2852" s="0" t="s">
        <v>130</v>
      </c>
      <c r="BD2852" s="0" t="s">
        <v>130</v>
      </c>
      <c r="BE2852" s="0" t="s">
        <v>130</v>
      </c>
      <c r="BF2852" s="0" t="s">
        <v>130</v>
      </c>
      <c r="BG2852" s="0" t="s">
        <v>130</v>
      </c>
      <c r="BH2852" s="0" t="s">
        <v>130</v>
      </c>
      <c r="BI2852" s="0" t="s">
        <v>130</v>
      </c>
      <c r="BJ2852" s="0" t="s">
        <v>130</v>
      </c>
      <c r="BK2852" s="0" t="s">
        <v>130</v>
      </c>
      <c r="BL2852" s="0" t="s">
        <v>130</v>
      </c>
      <c r="BM2852" s="0" t="s">
        <v>130</v>
      </c>
      <c r="BN2852" s="0" t="s">
        <v>130</v>
      </c>
      <c r="BO2852" s="0" t="s">
        <v>130</v>
      </c>
      <c r="BP2852" s="0" t="s">
        <v>130</v>
      </c>
      <c r="BQ2852" s="0" t="s">
        <v>130</v>
      </c>
      <c r="BR2852" s="0" t="s">
        <v>130</v>
      </c>
      <c r="BS2852" s="0" t="s">
        <v>130</v>
      </c>
      <c r="BT2852" s="0" t="s">
        <v>130</v>
      </c>
      <c r="BU2852" s="0" t="s">
        <v>130</v>
      </c>
      <c r="BV2852" s="0" t="s">
        <v>130</v>
      </c>
      <c r="BW2852" s="0" t="s">
        <v>130</v>
      </c>
      <c r="BX2852" s="0" t="s">
        <v>130</v>
      </c>
      <c r="BY2852" s="0" t="s">
        <v>130</v>
      </c>
      <c r="BZ2852" s="0" t="s">
        <v>130</v>
      </c>
      <c r="CA2852" s="0" t="s">
        <v>130</v>
      </c>
      <c r="CB2852" s="0" t="s">
        <v>130</v>
      </c>
      <c r="CC2852" s="0" t="s">
        <v>130</v>
      </c>
      <c r="CD2852" s="0" t="s">
        <v>130</v>
      </c>
      <c r="CE2852" s="0" t="s">
        <v>130</v>
      </c>
      <c r="CF2852" s="0" t="s">
        <v>130</v>
      </c>
      <c r="CG2852" s="0" t="s">
        <v>130</v>
      </c>
      <c r="CH2852" s="0" t="s">
        <v>130</v>
      </c>
      <c r="CI2852" s="0" t="s">
        <v>130</v>
      </c>
      <c r="CJ2852" s="0" t="s">
        <v>130</v>
      </c>
      <c r="CK2852" s="0" t="s">
        <v>130</v>
      </c>
      <c r="CL2852" s="0" t="s">
        <v>130</v>
      </c>
      <c r="CM2852" s="0" t="s">
        <v>130</v>
      </c>
      <c r="CN2852" s="0" t="s">
        <v>130</v>
      </c>
      <c r="CO2852" s="0" t="s">
        <v>130</v>
      </c>
      <c r="CP2852" s="0" t="s">
        <v>130</v>
      </c>
      <c r="CQ2852" s="0" t="s">
        <v>130</v>
      </c>
      <c r="CR2852" s="0" t="s">
        <v>130</v>
      </c>
      <c r="CS2852" s="0" t="s">
        <v>130</v>
      </c>
      <c r="CT2852" s="0" t="s">
        <v>7705</v>
      </c>
    </row>
    <row r="2853">
      <c r="A2853" s="14">
        <v>8023686</v>
      </c>
      <c r="B2853" s="0" t="s">
        <v>3886</v>
      </c>
      <c r="C2853" s="16">
        <f>HYPERLINK("https://eosportal.federatedhermes.com/companies/Q29tcGFueQppODQwNjc=", "Mizuho Financial Group Inc")</f>
      </c>
      <c r="D2853" s="0" t="s">
        <v>23</v>
      </c>
      <c r="E2853" s="0" t="s">
        <v>5737</v>
      </c>
      <c r="F2853" s="16">
        <f>HYPERLINK("https://eosportal.federatedhermes.com/engagements/RW5nYWdlbWVudAppMzk0MjU=", "Climate-aligned accounting")</f>
      </c>
      <c r="G2853" s="14" t="s">
        <v>7706</v>
      </c>
      <c r="H2853" s="0" t="s">
        <v>141</v>
      </c>
      <c r="I2853" s="14" t="s">
        <v>191</v>
      </c>
      <c r="J2853" s="0" t="s">
        <v>197</v>
      </c>
      <c r="K2853" s="0" t="s">
        <v>198</v>
      </c>
      <c r="L2853" s="0" t="s">
        <v>199</v>
      </c>
      <c r="M2853" s="0" t="s">
        <v>802</v>
      </c>
      <c r="N2853" s="0" t="s">
        <v>952</v>
      </c>
      <c r="O2853" s="0" t="s">
        <v>238</v>
      </c>
      <c r="Q2853" s="0" t="s">
        <v>130</v>
      </c>
      <c r="R2853" s="0" t="s">
        <v>130</v>
      </c>
      <c r="S2853" s="14">
        <v>0</v>
      </c>
      <c r="T2853" s="0" t="s">
        <v>4412</v>
      </c>
      <c r="U2853" s="0" t="s">
        <v>221</v>
      </c>
      <c r="V2853" s="14" t="s">
        <v>4412</v>
      </c>
      <c r="W2853" s="0" t="s">
        <v>221</v>
      </c>
      <c r="X2853" s="14" t="s">
        <v>4412</v>
      </c>
      <c r="Y2853" s="0" t="s">
        <v>223</v>
      </c>
      <c r="Z2853" s="14" t="s">
        <v>138</v>
      </c>
      <c r="AA2853" s="0" t="s">
        <v>224</v>
      </c>
      <c r="AB2853" s="14" t="s">
        <v>138</v>
      </c>
      <c r="AD2853" s="0" t="s">
        <v>17</v>
      </c>
      <c r="AF2853" s="0">
        <v>0</v>
      </c>
      <c r="AG2853" s="0">
        <v>0</v>
      </c>
      <c r="AH2853" s="0" t="s">
        <v>140</v>
      </c>
      <c r="AI2853" s="0" t="s">
        <v>598</v>
      </c>
      <c r="AL2853" s="14"/>
      <c r="AN2853" s="14"/>
      <c r="AQ2853" s="0" t="s">
        <v>130</v>
      </c>
      <c r="AR2853" s="0" t="s">
        <v>130</v>
      </c>
      <c r="AS2853" s="0" t="s">
        <v>130</v>
      </c>
      <c r="AT2853" s="0" t="s">
        <v>130</v>
      </c>
      <c r="AU2853" s="0" t="s">
        <v>130</v>
      </c>
      <c r="AV2853" s="0" t="s">
        <v>130</v>
      </c>
      <c r="AW2853" s="0" t="s">
        <v>130</v>
      </c>
      <c r="AX2853" s="0" t="s">
        <v>130</v>
      </c>
      <c r="AY2853" s="0" t="s">
        <v>130</v>
      </c>
      <c r="AZ2853" s="0" t="s">
        <v>130</v>
      </c>
      <c r="BA2853" s="0" t="s">
        <v>130</v>
      </c>
      <c r="BB2853" s="0" t="s">
        <v>141</v>
      </c>
      <c r="BC2853" s="0" t="s">
        <v>141</v>
      </c>
      <c r="BD2853" s="0" t="s">
        <v>130</v>
      </c>
      <c r="BE2853" s="0" t="s">
        <v>130</v>
      </c>
      <c r="BF2853" s="0" t="s">
        <v>130</v>
      </c>
      <c r="BG2853" s="0" t="s">
        <v>130</v>
      </c>
      <c r="BH2853" s="0" t="s">
        <v>130</v>
      </c>
      <c r="BI2853" s="0" t="s">
        <v>130</v>
      </c>
      <c r="BJ2853" s="0" t="s">
        <v>130</v>
      </c>
      <c r="BK2853" s="0" t="s">
        <v>130</v>
      </c>
      <c r="BL2853" s="0" t="s">
        <v>130</v>
      </c>
      <c r="BM2853" s="0" t="s">
        <v>130</v>
      </c>
      <c r="BN2853" s="0" t="s">
        <v>130</v>
      </c>
      <c r="BO2853" s="0" t="s">
        <v>130</v>
      </c>
      <c r="BP2853" s="0" t="s">
        <v>130</v>
      </c>
      <c r="BQ2853" s="0" t="s">
        <v>130</v>
      </c>
      <c r="BR2853" s="0" t="s">
        <v>130</v>
      </c>
      <c r="BS2853" s="0" t="s">
        <v>130</v>
      </c>
      <c r="BT2853" s="0" t="s">
        <v>130</v>
      </c>
      <c r="BU2853" s="0" t="s">
        <v>130</v>
      </c>
      <c r="BV2853" s="0" t="s">
        <v>130</v>
      </c>
      <c r="BW2853" s="0" t="s">
        <v>130</v>
      </c>
      <c r="BX2853" s="0" t="s">
        <v>130</v>
      </c>
      <c r="BY2853" s="0" t="s">
        <v>130</v>
      </c>
      <c r="BZ2853" s="0" t="s">
        <v>130</v>
      </c>
      <c r="CA2853" s="0" t="s">
        <v>130</v>
      </c>
      <c r="CB2853" s="0" t="s">
        <v>130</v>
      </c>
      <c r="CC2853" s="0" t="s">
        <v>130</v>
      </c>
      <c r="CD2853" s="0" t="s">
        <v>130</v>
      </c>
      <c r="CE2853" s="0" t="s">
        <v>130</v>
      </c>
      <c r="CF2853" s="0" t="s">
        <v>130</v>
      </c>
      <c r="CG2853" s="0" t="s">
        <v>130</v>
      </c>
      <c r="CH2853" s="0" t="s">
        <v>130</v>
      </c>
      <c r="CI2853" s="0" t="s">
        <v>130</v>
      </c>
      <c r="CJ2853" s="0" t="s">
        <v>130</v>
      </c>
      <c r="CK2853" s="0" t="s">
        <v>130</v>
      </c>
      <c r="CL2853" s="0" t="s">
        <v>130</v>
      </c>
      <c r="CM2853" s="0" t="s">
        <v>130</v>
      </c>
      <c r="CN2853" s="0" t="s">
        <v>130</v>
      </c>
      <c r="CO2853" s="0" t="s">
        <v>130</v>
      </c>
      <c r="CP2853" s="0" t="s">
        <v>130</v>
      </c>
      <c r="CQ2853" s="0" t="s">
        <v>130</v>
      </c>
      <c r="CR2853" s="0" t="s">
        <v>130</v>
      </c>
      <c r="CS2853" s="0" t="s">
        <v>130</v>
      </c>
      <c r="CT2853" s="0" t="s">
        <v>7707</v>
      </c>
    </row>
    <row r="2854">
      <c r="A2854" s="14">
        <v>8957976</v>
      </c>
      <c r="B2854" s="0" t="s">
        <v>3934</v>
      </c>
      <c r="C2854" s="16">
        <f>HYPERLINK("https://eosportal.federatedhermes.com/companies/Q29tcGFueQppNTg5NDk=", "Tencent Holdings Ltd")</f>
      </c>
      <c r="D2854" s="0" t="s">
        <v>23</v>
      </c>
      <c r="E2854" s="0" t="s">
        <v>7708</v>
      </c>
      <c r="F2854" s="16">
        <f>HYPERLINK("https://eosportal.federatedhermes.com/engagements/RW5nYWdlbWVudAppMzk0NDE=", "Demonstrate continued alignment to emissions reduction targets")</f>
      </c>
      <c r="G2854" s="14" t="s">
        <v>7709</v>
      </c>
      <c r="H2854" s="0" t="s">
        <v>141</v>
      </c>
      <c r="I2854" s="14" t="s">
        <v>191</v>
      </c>
      <c r="J2854" s="0" t="s">
        <v>197</v>
      </c>
      <c r="K2854" s="0" t="s">
        <v>198</v>
      </c>
      <c r="L2854" s="0" t="s">
        <v>216</v>
      </c>
      <c r="M2854" s="0" t="s">
        <v>2807</v>
      </c>
      <c r="N2854" s="0" t="s">
        <v>3272</v>
      </c>
      <c r="O2854" s="0" t="s">
        <v>137</v>
      </c>
      <c r="Q2854" s="0" t="s">
        <v>130</v>
      </c>
      <c r="R2854" s="0" t="s">
        <v>130</v>
      </c>
      <c r="S2854" s="14">
        <v>0</v>
      </c>
      <c r="T2854" s="0" t="s">
        <v>4412</v>
      </c>
      <c r="U2854" s="0" t="s">
        <v>221</v>
      </c>
      <c r="V2854" s="14" t="s">
        <v>4412</v>
      </c>
      <c r="W2854" s="0" t="s">
        <v>221</v>
      </c>
      <c r="X2854" s="14" t="s">
        <v>4412</v>
      </c>
      <c r="Y2854" s="0" t="s">
        <v>223</v>
      </c>
      <c r="Z2854" s="14" t="s">
        <v>138</v>
      </c>
      <c r="AA2854" s="0" t="s">
        <v>224</v>
      </c>
      <c r="AB2854" s="14" t="s">
        <v>138</v>
      </c>
      <c r="AD2854" s="0" t="s">
        <v>17</v>
      </c>
      <c r="AF2854" s="0">
        <v>0</v>
      </c>
      <c r="AG2854" s="0">
        <v>0</v>
      </c>
      <c r="AH2854" s="0" t="s">
        <v>140</v>
      </c>
      <c r="AI2854" s="0" t="s">
        <v>598</v>
      </c>
      <c r="AL2854" s="14"/>
      <c r="AN2854" s="14"/>
      <c r="AQ2854" s="0" t="s">
        <v>130</v>
      </c>
      <c r="AR2854" s="0" t="s">
        <v>130</v>
      </c>
      <c r="AS2854" s="0" t="s">
        <v>130</v>
      </c>
      <c r="AT2854" s="0" t="s">
        <v>130</v>
      </c>
      <c r="AU2854" s="0" t="s">
        <v>130</v>
      </c>
      <c r="AV2854" s="0" t="s">
        <v>130</v>
      </c>
      <c r="AW2854" s="0" t="s">
        <v>141</v>
      </c>
      <c r="AX2854" s="0" t="s">
        <v>130</v>
      </c>
      <c r="AY2854" s="0" t="s">
        <v>141</v>
      </c>
      <c r="AZ2854" s="0" t="s">
        <v>130</v>
      </c>
      <c r="BA2854" s="0" t="s">
        <v>130</v>
      </c>
      <c r="BB2854" s="0" t="s">
        <v>130</v>
      </c>
      <c r="BC2854" s="0" t="s">
        <v>141</v>
      </c>
      <c r="BD2854" s="0" t="s">
        <v>130</v>
      </c>
      <c r="BE2854" s="0" t="s">
        <v>130</v>
      </c>
      <c r="BF2854" s="0" t="s">
        <v>130</v>
      </c>
      <c r="BG2854" s="0" t="s">
        <v>130</v>
      </c>
      <c r="BH2854" s="0" t="s">
        <v>141</v>
      </c>
      <c r="BI2854" s="0" t="s">
        <v>141</v>
      </c>
      <c r="BJ2854" s="0" t="s">
        <v>141</v>
      </c>
      <c r="BK2854" s="0" t="s">
        <v>141</v>
      </c>
      <c r="BL2854" s="0" t="s">
        <v>141</v>
      </c>
      <c r="BM2854" s="0" t="s">
        <v>130</v>
      </c>
      <c r="BN2854" s="0" t="s">
        <v>130</v>
      </c>
      <c r="BO2854" s="0" t="s">
        <v>130</v>
      </c>
      <c r="BP2854" s="0" t="s">
        <v>130</v>
      </c>
      <c r="BQ2854" s="0" t="s">
        <v>130</v>
      </c>
      <c r="BR2854" s="0" t="s">
        <v>130</v>
      </c>
      <c r="BS2854" s="0" t="s">
        <v>130</v>
      </c>
      <c r="BT2854" s="0" t="s">
        <v>130</v>
      </c>
      <c r="BU2854" s="0" t="s">
        <v>130</v>
      </c>
      <c r="BV2854" s="0" t="s">
        <v>141</v>
      </c>
      <c r="BW2854" s="0" t="s">
        <v>141</v>
      </c>
      <c r="BX2854" s="0" t="s">
        <v>130</v>
      </c>
      <c r="BY2854" s="0" t="s">
        <v>130</v>
      </c>
      <c r="BZ2854" s="0" t="s">
        <v>130</v>
      </c>
      <c r="CA2854" s="0" t="s">
        <v>130</v>
      </c>
      <c r="CB2854" s="0" t="s">
        <v>130</v>
      </c>
      <c r="CC2854" s="0" t="s">
        <v>130</v>
      </c>
      <c r="CD2854" s="0" t="s">
        <v>130</v>
      </c>
      <c r="CE2854" s="0" t="s">
        <v>130</v>
      </c>
      <c r="CF2854" s="0" t="s">
        <v>130</v>
      </c>
      <c r="CG2854" s="0" t="s">
        <v>130</v>
      </c>
      <c r="CH2854" s="0" t="s">
        <v>130</v>
      </c>
      <c r="CI2854" s="0" t="s">
        <v>130</v>
      </c>
      <c r="CJ2854" s="0" t="s">
        <v>130</v>
      </c>
      <c r="CK2854" s="0" t="s">
        <v>130</v>
      </c>
      <c r="CL2854" s="0" t="s">
        <v>130</v>
      </c>
      <c r="CM2854" s="0" t="s">
        <v>130</v>
      </c>
      <c r="CN2854" s="0" t="s">
        <v>130</v>
      </c>
      <c r="CO2854" s="0" t="s">
        <v>130</v>
      </c>
      <c r="CP2854" s="0" t="s">
        <v>130</v>
      </c>
      <c r="CQ2854" s="0" t="s">
        <v>130</v>
      </c>
      <c r="CR2854" s="0" t="s">
        <v>130</v>
      </c>
      <c r="CS2854" s="0" t="s">
        <v>130</v>
      </c>
      <c r="CT2854" s="0" t="s">
        <v>7710</v>
      </c>
    </row>
    <row r="2855">
      <c r="A2855" s="14">
        <v>7909359</v>
      </c>
      <c r="B2855" s="0" t="s">
        <v>3859</v>
      </c>
      <c r="C2855" s="16">
        <f>HYPERLINK("https://eosportal.federatedhermes.com/companies/Q29tcGFueQppNzgyNzQ=", "Sumitomo Mitsui Financial Group Inc")</f>
      </c>
      <c r="D2855" s="0" t="s">
        <v>23</v>
      </c>
      <c r="E2855" s="0" t="s">
        <v>5737</v>
      </c>
      <c r="F2855" s="16">
        <f>HYPERLINK("https://eosportal.federatedhermes.com/engagements/RW5nYWdlbWVudAppMzk0NTU=", "Climate-aligned accounting")</f>
      </c>
      <c r="G2855" s="14" t="s">
        <v>7711</v>
      </c>
      <c r="H2855" s="0" t="s">
        <v>141</v>
      </c>
      <c r="I2855" s="14" t="s">
        <v>191</v>
      </c>
      <c r="J2855" s="0" t="s">
        <v>197</v>
      </c>
      <c r="K2855" s="0" t="s">
        <v>198</v>
      </c>
      <c r="L2855" s="0" t="s">
        <v>199</v>
      </c>
      <c r="M2855" s="0" t="s">
        <v>802</v>
      </c>
      <c r="N2855" s="0" t="s">
        <v>952</v>
      </c>
      <c r="O2855" s="0" t="s">
        <v>238</v>
      </c>
      <c r="Q2855" s="0" t="s">
        <v>141</v>
      </c>
      <c r="R2855" s="0" t="s">
        <v>130</v>
      </c>
      <c r="S2855" s="14">
        <v>1</v>
      </c>
      <c r="T2855" s="0" t="s">
        <v>4412</v>
      </c>
      <c r="U2855" s="0" t="s">
        <v>221</v>
      </c>
      <c r="V2855" s="14" t="s">
        <v>4412</v>
      </c>
      <c r="W2855" s="0" t="s">
        <v>221</v>
      </c>
      <c r="X2855" s="14" t="s">
        <v>4412</v>
      </c>
      <c r="Y2855" s="0" t="s">
        <v>223</v>
      </c>
      <c r="Z2855" s="14" t="s">
        <v>138</v>
      </c>
      <c r="AA2855" s="0" t="s">
        <v>224</v>
      </c>
      <c r="AB2855" s="14" t="s">
        <v>138</v>
      </c>
      <c r="AD2855" s="0" t="s">
        <v>17</v>
      </c>
      <c r="AF2855" s="0">
        <v>0</v>
      </c>
      <c r="AG2855" s="0">
        <v>0</v>
      </c>
      <c r="AH2855" s="0" t="s">
        <v>140</v>
      </c>
      <c r="AI2855" s="0" t="s">
        <v>598</v>
      </c>
      <c r="AK2855" s="0" t="s">
        <v>339</v>
      </c>
      <c r="AL2855" s="14"/>
      <c r="AN2855" s="14"/>
      <c r="AQ2855" s="0" t="s">
        <v>130</v>
      </c>
      <c r="AR2855" s="0" t="s">
        <v>130</v>
      </c>
      <c r="AS2855" s="0" t="s">
        <v>130</v>
      </c>
      <c r="AT2855" s="0" t="s">
        <v>130</v>
      </c>
      <c r="AU2855" s="0" t="s">
        <v>130</v>
      </c>
      <c r="AV2855" s="0" t="s">
        <v>130</v>
      </c>
      <c r="AW2855" s="0" t="s">
        <v>130</v>
      </c>
      <c r="AX2855" s="0" t="s">
        <v>130</v>
      </c>
      <c r="AY2855" s="0" t="s">
        <v>130</v>
      </c>
      <c r="AZ2855" s="0" t="s">
        <v>130</v>
      </c>
      <c r="BA2855" s="0" t="s">
        <v>130</v>
      </c>
      <c r="BB2855" s="0" t="s">
        <v>141</v>
      </c>
      <c r="BC2855" s="0" t="s">
        <v>141</v>
      </c>
      <c r="BD2855" s="0" t="s">
        <v>130</v>
      </c>
      <c r="BE2855" s="0" t="s">
        <v>130</v>
      </c>
      <c r="BF2855" s="0" t="s">
        <v>130</v>
      </c>
      <c r="BG2855" s="0" t="s">
        <v>130</v>
      </c>
      <c r="BH2855" s="0" t="s">
        <v>130</v>
      </c>
      <c r="BI2855" s="0" t="s">
        <v>130</v>
      </c>
      <c r="BJ2855" s="0" t="s">
        <v>130</v>
      </c>
      <c r="BK2855" s="0" t="s">
        <v>130</v>
      </c>
      <c r="BL2855" s="0" t="s">
        <v>130</v>
      </c>
      <c r="BM2855" s="0" t="s">
        <v>130</v>
      </c>
      <c r="BN2855" s="0" t="s">
        <v>130</v>
      </c>
      <c r="BO2855" s="0" t="s">
        <v>130</v>
      </c>
      <c r="BP2855" s="0" t="s">
        <v>130</v>
      </c>
      <c r="BQ2855" s="0" t="s">
        <v>130</v>
      </c>
      <c r="BR2855" s="0" t="s">
        <v>130</v>
      </c>
      <c r="BS2855" s="0" t="s">
        <v>130</v>
      </c>
      <c r="BT2855" s="0" t="s">
        <v>130</v>
      </c>
      <c r="BU2855" s="0" t="s">
        <v>130</v>
      </c>
      <c r="BV2855" s="0" t="s">
        <v>130</v>
      </c>
      <c r="BW2855" s="0" t="s">
        <v>130</v>
      </c>
      <c r="BX2855" s="0" t="s">
        <v>130</v>
      </c>
      <c r="BY2855" s="0" t="s">
        <v>130</v>
      </c>
      <c r="BZ2855" s="0" t="s">
        <v>130</v>
      </c>
      <c r="CA2855" s="0" t="s">
        <v>130</v>
      </c>
      <c r="CB2855" s="0" t="s">
        <v>130</v>
      </c>
      <c r="CC2855" s="0" t="s">
        <v>130</v>
      </c>
      <c r="CD2855" s="0" t="s">
        <v>130</v>
      </c>
      <c r="CE2855" s="0" t="s">
        <v>130</v>
      </c>
      <c r="CF2855" s="0" t="s">
        <v>130</v>
      </c>
      <c r="CG2855" s="0" t="s">
        <v>130</v>
      </c>
      <c r="CH2855" s="0" t="s">
        <v>130</v>
      </c>
      <c r="CI2855" s="0" t="s">
        <v>130</v>
      </c>
      <c r="CJ2855" s="0" t="s">
        <v>130</v>
      </c>
      <c r="CK2855" s="0" t="s">
        <v>130</v>
      </c>
      <c r="CL2855" s="0" t="s">
        <v>130</v>
      </c>
      <c r="CM2855" s="0" t="s">
        <v>130</v>
      </c>
      <c r="CN2855" s="0" t="s">
        <v>130</v>
      </c>
      <c r="CO2855" s="0" t="s">
        <v>130</v>
      </c>
      <c r="CP2855" s="0" t="s">
        <v>130</v>
      </c>
      <c r="CQ2855" s="0" t="s">
        <v>130</v>
      </c>
      <c r="CR2855" s="0" t="s">
        <v>130</v>
      </c>
      <c r="CS2855" s="0" t="s">
        <v>130</v>
      </c>
      <c r="CT2855" s="0" t="s">
        <v>7712</v>
      </c>
    </row>
    <row r="2856">
      <c r="A2856" s="14">
        <v>115711</v>
      </c>
      <c r="B2856" s="0" t="s">
        <v>2539</v>
      </c>
      <c r="C2856" s="16">
        <f>HYPERLINK("https://eosportal.federatedhermes.com/companies/Q29tcGFueQppNTU1NzU=", "Henkel AG &amp; Co KGaA")</f>
      </c>
      <c r="D2856" s="0" t="s">
        <v>25</v>
      </c>
      <c r="E2856" s="0" t="s">
        <v>712</v>
      </c>
      <c r="F2856" s="16">
        <f>HYPERLINK("https://eosportal.federatedhermes.com/engagements/RW5nYWdlbWVudAppMzk0OTQ=", "Hazardous chemicals management")</f>
      </c>
      <c r="G2856" s="14" t="s">
        <v>7713</v>
      </c>
      <c r="H2856" s="0" t="s">
        <v>130</v>
      </c>
      <c r="I2856" s="14" t="s">
        <v>319</v>
      </c>
      <c r="J2856" s="0" t="s">
        <v>197</v>
      </c>
      <c r="K2856" s="0" t="s">
        <v>348</v>
      </c>
      <c r="L2856" s="0" t="s">
        <v>650</v>
      </c>
      <c r="M2856" s="0" t="s">
        <v>378</v>
      </c>
      <c r="N2856" s="0" t="s">
        <v>2485</v>
      </c>
      <c r="O2856" s="0" t="s">
        <v>332</v>
      </c>
      <c r="Q2856" s="0" t="s">
        <v>141</v>
      </c>
      <c r="R2856" s="0" t="s">
        <v>138</v>
      </c>
      <c r="S2856" s="14">
        <v>1</v>
      </c>
      <c r="T2856" s="0" t="s">
        <v>449</v>
      </c>
      <c r="U2856" s="0" t="s">
        <v>138</v>
      </c>
      <c r="V2856" s="14" t="s">
        <v>138</v>
      </c>
      <c r="W2856" s="0" t="s">
        <v>138</v>
      </c>
      <c r="X2856" s="14" t="s">
        <v>138</v>
      </c>
      <c r="Y2856" s="0" t="s">
        <v>138</v>
      </c>
      <c r="Z2856" s="14" t="s">
        <v>138</v>
      </c>
      <c r="AA2856" s="0" t="s">
        <v>138</v>
      </c>
      <c r="AB2856" s="14" t="s">
        <v>138</v>
      </c>
      <c r="AD2856" s="0" t="s">
        <v>138</v>
      </c>
      <c r="AF2856" s="0">
        <v>0</v>
      </c>
      <c r="AG2856" s="0">
        <v>0</v>
      </c>
      <c r="AH2856" s="0" t="s">
        <v>140</v>
      </c>
      <c r="AI2856" s="0" t="s">
        <v>138</v>
      </c>
      <c r="AK2856" s="0" t="s">
        <v>714</v>
      </c>
      <c r="AL2856" s="14"/>
      <c r="AN2856" s="14"/>
      <c r="AQ2856" s="0" t="s">
        <v>130</v>
      </c>
      <c r="AR2856" s="0" t="s">
        <v>130</v>
      </c>
      <c r="AS2856" s="0" t="s">
        <v>141</v>
      </c>
      <c r="AT2856" s="0" t="s">
        <v>130</v>
      </c>
      <c r="AU2856" s="0" t="s">
        <v>130</v>
      </c>
      <c r="AV2856" s="0" t="s">
        <v>141</v>
      </c>
      <c r="AW2856" s="0" t="s">
        <v>130</v>
      </c>
      <c r="AX2856" s="0" t="s">
        <v>130</v>
      </c>
      <c r="AY2856" s="0" t="s">
        <v>130</v>
      </c>
      <c r="AZ2856" s="0" t="s">
        <v>130</v>
      </c>
      <c r="BA2856" s="0" t="s">
        <v>130</v>
      </c>
      <c r="BB2856" s="0" t="s">
        <v>141</v>
      </c>
      <c r="BC2856" s="0" t="s">
        <v>130</v>
      </c>
      <c r="BD2856" s="0" t="s">
        <v>141</v>
      </c>
      <c r="BE2856" s="0" t="s">
        <v>130</v>
      </c>
      <c r="BF2856" s="0" t="s">
        <v>130</v>
      </c>
      <c r="BG2856" s="0" t="s">
        <v>130</v>
      </c>
      <c r="BH2856" s="0" t="s">
        <v>130</v>
      </c>
      <c r="BI2856" s="0" t="s">
        <v>130</v>
      </c>
      <c r="BJ2856" s="0" t="s">
        <v>130</v>
      </c>
      <c r="BK2856" s="0" t="s">
        <v>130</v>
      </c>
      <c r="BL2856" s="0" t="s">
        <v>130</v>
      </c>
      <c r="BM2856" s="0" t="s">
        <v>130</v>
      </c>
      <c r="BN2856" s="0" t="s">
        <v>130</v>
      </c>
      <c r="BO2856" s="0" t="s">
        <v>130</v>
      </c>
      <c r="BP2856" s="0" t="s">
        <v>130</v>
      </c>
      <c r="BQ2856" s="0" t="s">
        <v>130</v>
      </c>
      <c r="BR2856" s="0" t="s">
        <v>130</v>
      </c>
      <c r="BS2856" s="0" t="s">
        <v>130</v>
      </c>
      <c r="BT2856" s="0" t="s">
        <v>130</v>
      </c>
      <c r="BU2856" s="0" t="s">
        <v>130</v>
      </c>
      <c r="BV2856" s="0" t="s">
        <v>130</v>
      </c>
      <c r="BW2856" s="0" t="s">
        <v>130</v>
      </c>
      <c r="BX2856" s="0" t="s">
        <v>130</v>
      </c>
      <c r="BY2856" s="0" t="s">
        <v>130</v>
      </c>
      <c r="BZ2856" s="0" t="s">
        <v>130</v>
      </c>
      <c r="CA2856" s="0" t="s">
        <v>130</v>
      </c>
      <c r="CB2856" s="0" t="s">
        <v>130</v>
      </c>
      <c r="CC2856" s="0" t="s">
        <v>130</v>
      </c>
      <c r="CD2856" s="0" t="s">
        <v>130</v>
      </c>
      <c r="CE2856" s="0" t="s">
        <v>130</v>
      </c>
      <c r="CF2856" s="0" t="s">
        <v>130</v>
      </c>
      <c r="CG2856" s="0" t="s">
        <v>130</v>
      </c>
      <c r="CH2856" s="0" t="s">
        <v>130</v>
      </c>
      <c r="CI2856" s="0" t="s">
        <v>130</v>
      </c>
      <c r="CJ2856" s="0" t="s">
        <v>130</v>
      </c>
      <c r="CK2856" s="0" t="s">
        <v>130</v>
      </c>
      <c r="CL2856" s="0" t="s">
        <v>130</v>
      </c>
      <c r="CM2856" s="0" t="s">
        <v>130</v>
      </c>
      <c r="CN2856" s="0" t="s">
        <v>130</v>
      </c>
      <c r="CO2856" s="0" t="s">
        <v>130</v>
      </c>
      <c r="CP2856" s="0" t="s">
        <v>130</v>
      </c>
      <c r="CQ2856" s="0" t="s">
        <v>130</v>
      </c>
      <c r="CR2856" s="0" t="s">
        <v>130</v>
      </c>
      <c r="CS2856" s="0" t="s">
        <v>130</v>
      </c>
      <c r="CT2856" s="0" t="s">
        <v>7714</v>
      </c>
    </row>
    <row r="2857">
      <c r="A2857" s="14">
        <v>115757</v>
      </c>
      <c r="B2857" s="0" t="s">
        <v>2655</v>
      </c>
      <c r="C2857" s="16">
        <f>HYPERLINK("https://eosportal.federatedhermes.com/companies/Q29tcGFueQppNTg5Mjc=", "Volkswagen AG")</f>
      </c>
      <c r="D2857" s="0" t="s">
        <v>23</v>
      </c>
      <c r="E2857" s="0" t="s">
        <v>7715</v>
      </c>
      <c r="F2857" s="16">
        <f>HYPERLINK("https://eosportal.federatedhermes.com/engagements/RW5nYWdlbWVudAppMzk1MDg=", "Management of biodiversity in the supply chain")</f>
      </c>
      <c r="G2857" s="14" t="s">
        <v>7716</v>
      </c>
      <c r="H2857" s="0" t="s">
        <v>141</v>
      </c>
      <c r="I2857" s="14" t="s">
        <v>1645</v>
      </c>
      <c r="J2857" s="0" t="s">
        <v>197</v>
      </c>
      <c r="K2857" s="0" t="s">
        <v>337</v>
      </c>
      <c r="L2857" s="0" t="s">
        <v>576</v>
      </c>
      <c r="M2857" s="0" t="s">
        <v>378</v>
      </c>
      <c r="N2857" s="0" t="s">
        <v>2485</v>
      </c>
      <c r="O2857" s="0" t="s">
        <v>425</v>
      </c>
      <c r="Q2857" s="0" t="s">
        <v>141</v>
      </c>
      <c r="R2857" s="0" t="s">
        <v>130</v>
      </c>
      <c r="S2857" s="14">
        <v>2</v>
      </c>
      <c r="T2857" s="0" t="s">
        <v>449</v>
      </c>
      <c r="U2857" s="0" t="s">
        <v>221</v>
      </c>
      <c r="V2857" s="14" t="s">
        <v>449</v>
      </c>
      <c r="W2857" s="0" t="s">
        <v>223</v>
      </c>
      <c r="X2857" s="14" t="s">
        <v>138</v>
      </c>
      <c r="Y2857" s="0" t="s">
        <v>224</v>
      </c>
      <c r="Z2857" s="14" t="s">
        <v>138</v>
      </c>
      <c r="AA2857" s="0" t="s">
        <v>224</v>
      </c>
      <c r="AB2857" s="14" t="s">
        <v>138</v>
      </c>
      <c r="AD2857" s="0" t="s">
        <v>14</v>
      </c>
      <c r="AF2857" s="0">
        <v>0</v>
      </c>
      <c r="AG2857" s="0">
        <v>0</v>
      </c>
      <c r="AH2857" s="0" t="s">
        <v>140</v>
      </c>
      <c r="AI2857" s="0" t="s">
        <v>598</v>
      </c>
      <c r="AK2857" s="0" t="s">
        <v>344</v>
      </c>
      <c r="AL2857" s="14"/>
      <c r="AN2857" s="14"/>
      <c r="AQ2857" s="0" t="s">
        <v>130</v>
      </c>
      <c r="AR2857" s="0" t="s">
        <v>130</v>
      </c>
      <c r="AS2857" s="0" t="s">
        <v>130</v>
      </c>
      <c r="AT2857" s="0" t="s">
        <v>130</v>
      </c>
      <c r="AU2857" s="0" t="s">
        <v>130</v>
      </c>
      <c r="AV2857" s="0" t="s">
        <v>130</v>
      </c>
      <c r="AW2857" s="0" t="s">
        <v>130</v>
      </c>
      <c r="AX2857" s="0" t="s">
        <v>130</v>
      </c>
      <c r="AY2857" s="0" t="s">
        <v>130</v>
      </c>
      <c r="AZ2857" s="0" t="s">
        <v>130</v>
      </c>
      <c r="BA2857" s="0" t="s">
        <v>141</v>
      </c>
      <c r="BB2857" s="0" t="s">
        <v>141</v>
      </c>
      <c r="BC2857" s="0" t="s">
        <v>141</v>
      </c>
      <c r="BD2857" s="0" t="s">
        <v>130</v>
      </c>
      <c r="BE2857" s="0" t="s">
        <v>141</v>
      </c>
      <c r="BF2857" s="0" t="s">
        <v>130</v>
      </c>
      <c r="BG2857" s="0" t="s">
        <v>130</v>
      </c>
      <c r="BH2857" s="0" t="s">
        <v>130</v>
      </c>
      <c r="BI2857" s="0" t="s">
        <v>130</v>
      </c>
      <c r="BJ2857" s="0" t="s">
        <v>130</v>
      </c>
      <c r="BK2857" s="0" t="s">
        <v>130</v>
      </c>
      <c r="BL2857" s="0" t="s">
        <v>130</v>
      </c>
      <c r="BM2857" s="0" t="s">
        <v>130</v>
      </c>
      <c r="BN2857" s="0" t="s">
        <v>130</v>
      </c>
      <c r="BO2857" s="0" t="s">
        <v>130</v>
      </c>
      <c r="BP2857" s="0" t="s">
        <v>130</v>
      </c>
      <c r="BQ2857" s="0" t="s">
        <v>130</v>
      </c>
      <c r="BR2857" s="0" t="s">
        <v>130</v>
      </c>
      <c r="BS2857" s="0" t="s">
        <v>130</v>
      </c>
      <c r="BT2857" s="0" t="s">
        <v>130</v>
      </c>
      <c r="BU2857" s="0" t="s">
        <v>130</v>
      </c>
      <c r="BV2857" s="0" t="s">
        <v>130</v>
      </c>
      <c r="BW2857" s="0" t="s">
        <v>130</v>
      </c>
      <c r="BX2857" s="0" t="s">
        <v>130</v>
      </c>
      <c r="BY2857" s="0" t="s">
        <v>130</v>
      </c>
      <c r="BZ2857" s="0" t="s">
        <v>130</v>
      </c>
      <c r="CA2857" s="0" t="s">
        <v>130</v>
      </c>
      <c r="CB2857" s="0" t="s">
        <v>130</v>
      </c>
      <c r="CC2857" s="0" t="s">
        <v>130</v>
      </c>
      <c r="CD2857" s="0" t="s">
        <v>130</v>
      </c>
      <c r="CE2857" s="0" t="s">
        <v>130</v>
      </c>
      <c r="CF2857" s="0" t="s">
        <v>130</v>
      </c>
      <c r="CG2857" s="0" t="s">
        <v>130</v>
      </c>
      <c r="CH2857" s="0" t="s">
        <v>130</v>
      </c>
      <c r="CI2857" s="0" t="s">
        <v>130</v>
      </c>
      <c r="CJ2857" s="0" t="s">
        <v>130</v>
      </c>
      <c r="CK2857" s="0" t="s">
        <v>130</v>
      </c>
      <c r="CL2857" s="0" t="s">
        <v>130</v>
      </c>
      <c r="CM2857" s="0" t="s">
        <v>130</v>
      </c>
      <c r="CN2857" s="0" t="s">
        <v>130</v>
      </c>
      <c r="CO2857" s="0" t="s">
        <v>130</v>
      </c>
      <c r="CP2857" s="0" t="s">
        <v>130</v>
      </c>
      <c r="CQ2857" s="0" t="s">
        <v>130</v>
      </c>
      <c r="CR2857" s="0" t="s">
        <v>130</v>
      </c>
      <c r="CS2857" s="0" t="s">
        <v>130</v>
      </c>
      <c r="CT2857" s="0" t="s">
        <v>7717</v>
      </c>
    </row>
    <row r="2858">
      <c r="A2858" s="14">
        <v>109965</v>
      </c>
      <c r="B2858" s="0" t="s">
        <v>5265</v>
      </c>
      <c r="C2858" s="16">
        <f>HYPERLINK("https://eosportal.federatedhermes.com/companies/Q29tcGFueQppODIyNjk=", "National Bank of Canada")</f>
      </c>
      <c r="D2858" s="0" t="s">
        <v>23</v>
      </c>
      <c r="E2858" s="0" t="s">
        <v>7718</v>
      </c>
      <c r="F2858" s="16">
        <f>HYPERLINK("https://eosportal.federatedhermes.com/engagements/RW5nYWdlbWVudAppMzk1MjU=", "Employee sentiment")</f>
      </c>
      <c r="G2858" s="14" t="s">
        <v>7719</v>
      </c>
      <c r="H2858" s="0" t="s">
        <v>141</v>
      </c>
      <c r="I2858" s="14" t="s">
        <v>131</v>
      </c>
      <c r="J2858" s="0" t="s">
        <v>153</v>
      </c>
      <c r="K2858" s="0" t="s">
        <v>154</v>
      </c>
      <c r="L2858" s="0" t="s">
        <v>268</v>
      </c>
      <c r="M2858" s="0" t="s">
        <v>135</v>
      </c>
      <c r="N2858" s="0" t="s">
        <v>1678</v>
      </c>
      <c r="O2858" s="0" t="s">
        <v>238</v>
      </c>
      <c r="Q2858" s="0" t="s">
        <v>141</v>
      </c>
      <c r="R2858" s="0" t="s">
        <v>130</v>
      </c>
      <c r="S2858" s="14">
        <v>1</v>
      </c>
      <c r="T2858" s="0" t="s">
        <v>2428</v>
      </c>
      <c r="U2858" s="0" t="s">
        <v>221</v>
      </c>
      <c r="V2858" s="14" t="s">
        <v>2428</v>
      </c>
      <c r="W2858" s="0" t="s">
        <v>223</v>
      </c>
      <c r="X2858" s="14" t="s">
        <v>138</v>
      </c>
      <c r="Y2858" s="0" t="s">
        <v>224</v>
      </c>
      <c r="Z2858" s="14" t="s">
        <v>138</v>
      </c>
      <c r="AA2858" s="0" t="s">
        <v>224</v>
      </c>
      <c r="AB2858" s="14" t="s">
        <v>138</v>
      </c>
      <c r="AD2858" s="0" t="s">
        <v>14</v>
      </c>
      <c r="AF2858" s="0">
        <v>0</v>
      </c>
      <c r="AG2858" s="0">
        <v>0</v>
      </c>
      <c r="AH2858" s="0" t="s">
        <v>140</v>
      </c>
      <c r="AI2858" s="0" t="s">
        <v>598</v>
      </c>
      <c r="AK2858" s="0" t="s">
        <v>1984</v>
      </c>
      <c r="AL2858" s="14"/>
      <c r="AN2858" s="14"/>
      <c r="AQ2858" s="0" t="s">
        <v>130</v>
      </c>
      <c r="AR2858" s="0" t="s">
        <v>130</v>
      </c>
      <c r="AS2858" s="0" t="s">
        <v>141</v>
      </c>
      <c r="AT2858" s="0" t="s">
        <v>130</v>
      </c>
      <c r="AU2858" s="0" t="s">
        <v>130</v>
      </c>
      <c r="AV2858" s="0" t="s">
        <v>130</v>
      </c>
      <c r="AW2858" s="0" t="s">
        <v>130</v>
      </c>
      <c r="AX2858" s="0" t="s">
        <v>130</v>
      </c>
      <c r="AY2858" s="0" t="s">
        <v>130</v>
      </c>
      <c r="AZ2858" s="0" t="s">
        <v>141</v>
      </c>
      <c r="BA2858" s="0" t="s">
        <v>130</v>
      </c>
      <c r="BB2858" s="0" t="s">
        <v>130</v>
      </c>
      <c r="BC2858" s="0" t="s">
        <v>130</v>
      </c>
      <c r="BD2858" s="0" t="s">
        <v>130</v>
      </c>
      <c r="BE2858" s="0" t="s">
        <v>130</v>
      </c>
      <c r="BF2858" s="0" t="s">
        <v>130</v>
      </c>
      <c r="BG2858" s="0" t="s">
        <v>130</v>
      </c>
      <c r="BH2858" s="0" t="s">
        <v>130</v>
      </c>
      <c r="BI2858" s="0" t="s">
        <v>130</v>
      </c>
      <c r="BJ2858" s="0" t="s">
        <v>130</v>
      </c>
      <c r="BK2858" s="0" t="s">
        <v>130</v>
      </c>
      <c r="BL2858" s="0" t="s">
        <v>130</v>
      </c>
      <c r="BM2858" s="0" t="s">
        <v>130</v>
      </c>
      <c r="BN2858" s="0" t="s">
        <v>130</v>
      </c>
      <c r="BO2858" s="0" t="s">
        <v>130</v>
      </c>
      <c r="BP2858" s="0" t="s">
        <v>130</v>
      </c>
      <c r="BQ2858" s="0" t="s">
        <v>130</v>
      </c>
      <c r="BR2858" s="0" t="s">
        <v>130</v>
      </c>
      <c r="BS2858" s="0" t="s">
        <v>130</v>
      </c>
      <c r="BT2858" s="0" t="s">
        <v>130</v>
      </c>
      <c r="BU2858" s="0" t="s">
        <v>130</v>
      </c>
      <c r="BV2858" s="0" t="s">
        <v>130</v>
      </c>
      <c r="BW2858" s="0" t="s">
        <v>130</v>
      </c>
      <c r="BX2858" s="0" t="s">
        <v>130</v>
      </c>
      <c r="BY2858" s="0" t="s">
        <v>130</v>
      </c>
      <c r="BZ2858" s="0" t="s">
        <v>130</v>
      </c>
      <c r="CA2858" s="0" t="s">
        <v>130</v>
      </c>
      <c r="CB2858" s="0" t="s">
        <v>130</v>
      </c>
      <c r="CC2858" s="0" t="s">
        <v>130</v>
      </c>
      <c r="CD2858" s="0" t="s">
        <v>130</v>
      </c>
      <c r="CE2858" s="0" t="s">
        <v>130</v>
      </c>
      <c r="CF2858" s="0" t="s">
        <v>130</v>
      </c>
      <c r="CG2858" s="0" t="s">
        <v>130</v>
      </c>
      <c r="CH2858" s="0" t="s">
        <v>130</v>
      </c>
      <c r="CI2858" s="0" t="s">
        <v>130</v>
      </c>
      <c r="CJ2858" s="0" t="s">
        <v>130</v>
      </c>
      <c r="CK2858" s="0" t="s">
        <v>141</v>
      </c>
      <c r="CL2858" s="0" t="s">
        <v>130</v>
      </c>
      <c r="CM2858" s="0" t="s">
        <v>130</v>
      </c>
      <c r="CN2858" s="0" t="s">
        <v>130</v>
      </c>
      <c r="CO2858" s="0" t="s">
        <v>130</v>
      </c>
      <c r="CP2858" s="0" t="s">
        <v>130</v>
      </c>
      <c r="CQ2858" s="0" t="s">
        <v>130</v>
      </c>
      <c r="CR2858" s="0" t="s">
        <v>130</v>
      </c>
      <c r="CS2858" s="0" t="s">
        <v>130</v>
      </c>
      <c r="CT2858" s="0" t="s">
        <v>7720</v>
      </c>
    </row>
    <row r="2859">
      <c r="A2859" s="14">
        <v>115114</v>
      </c>
      <c r="B2859" s="0" t="s">
        <v>2319</v>
      </c>
      <c r="C2859" s="16">
        <f>HYPERLINK("https://eosportal.federatedhermes.com/companies/Q29tcGFueQppNTU3NDE=", "Toyota Motor Corp")</f>
      </c>
      <c r="D2859" s="0" t="s">
        <v>23</v>
      </c>
      <c r="E2859" s="0" t="s">
        <v>1399</v>
      </c>
      <c r="F2859" s="16">
        <f>HYPERLINK("https://eosportal.federatedhermes.com/engagements/RW5nYWdlbWVudAppMzk1ODA=", "Allegiant shareholdings")</f>
      </c>
      <c r="G2859" s="14" t="s">
        <v>7721</v>
      </c>
      <c r="H2859" s="0" t="s">
        <v>141</v>
      </c>
      <c r="I2859" s="14" t="s">
        <v>1645</v>
      </c>
      <c r="J2859" s="0" t="s">
        <v>132</v>
      </c>
      <c r="K2859" s="0" t="s">
        <v>133</v>
      </c>
      <c r="L2859" s="0" t="s">
        <v>753</v>
      </c>
      <c r="M2859" s="0" t="s">
        <v>802</v>
      </c>
      <c r="N2859" s="0" t="s">
        <v>952</v>
      </c>
      <c r="O2859" s="0" t="s">
        <v>425</v>
      </c>
      <c r="Q2859" s="0" t="s">
        <v>130</v>
      </c>
      <c r="R2859" s="0" t="s">
        <v>130</v>
      </c>
      <c r="S2859" s="14">
        <v>0</v>
      </c>
      <c r="T2859" s="0" t="s">
        <v>3562</v>
      </c>
      <c r="U2859" s="0" t="s">
        <v>221</v>
      </c>
      <c r="V2859" s="14" t="s">
        <v>3562</v>
      </c>
      <c r="W2859" s="0" t="s">
        <v>221</v>
      </c>
      <c r="X2859" s="14" t="s">
        <v>3265</v>
      </c>
      <c r="Y2859" s="0" t="s">
        <v>223</v>
      </c>
      <c r="Z2859" s="14" t="s">
        <v>138</v>
      </c>
      <c r="AA2859" s="0" t="s">
        <v>224</v>
      </c>
      <c r="AB2859" s="14" t="s">
        <v>138</v>
      </c>
      <c r="AD2859" s="0" t="s">
        <v>17</v>
      </c>
      <c r="AF2859" s="0">
        <v>0</v>
      </c>
      <c r="AG2859" s="0">
        <v>0</v>
      </c>
      <c r="AH2859" s="0" t="s">
        <v>140</v>
      </c>
      <c r="AI2859" s="0" t="s">
        <v>598</v>
      </c>
      <c r="AL2859" s="14"/>
      <c r="AN2859" s="14"/>
      <c r="AQ2859" s="0" t="s">
        <v>130</v>
      </c>
      <c r="AR2859" s="0" t="s">
        <v>130</v>
      </c>
      <c r="AS2859" s="0" t="s">
        <v>130</v>
      </c>
      <c r="AT2859" s="0" t="s">
        <v>130</v>
      </c>
      <c r="AU2859" s="0" t="s">
        <v>130</v>
      </c>
      <c r="AV2859" s="0" t="s">
        <v>130</v>
      </c>
      <c r="AW2859" s="0" t="s">
        <v>130</v>
      </c>
      <c r="AX2859" s="0" t="s">
        <v>130</v>
      </c>
      <c r="AY2859" s="0" t="s">
        <v>130</v>
      </c>
      <c r="AZ2859" s="0" t="s">
        <v>130</v>
      </c>
      <c r="BA2859" s="0" t="s">
        <v>130</v>
      </c>
      <c r="BB2859" s="0" t="s">
        <v>130</v>
      </c>
      <c r="BC2859" s="0" t="s">
        <v>130</v>
      </c>
      <c r="BD2859" s="0" t="s">
        <v>130</v>
      </c>
      <c r="BE2859" s="0" t="s">
        <v>130</v>
      </c>
      <c r="BF2859" s="0" t="s">
        <v>130</v>
      </c>
      <c r="BG2859" s="0" t="s">
        <v>130</v>
      </c>
      <c r="BH2859" s="0" t="s">
        <v>130</v>
      </c>
      <c r="BI2859" s="0" t="s">
        <v>130</v>
      </c>
      <c r="BJ2859" s="0" t="s">
        <v>130</v>
      </c>
      <c r="BK2859" s="0" t="s">
        <v>130</v>
      </c>
      <c r="BL2859" s="0" t="s">
        <v>130</v>
      </c>
      <c r="BM2859" s="0" t="s">
        <v>130</v>
      </c>
      <c r="BN2859" s="0" t="s">
        <v>130</v>
      </c>
      <c r="BO2859" s="0" t="s">
        <v>130</v>
      </c>
      <c r="BP2859" s="0" t="s">
        <v>130</v>
      </c>
      <c r="BQ2859" s="0" t="s">
        <v>130</v>
      </c>
      <c r="BR2859" s="0" t="s">
        <v>130</v>
      </c>
      <c r="BS2859" s="0" t="s">
        <v>130</v>
      </c>
      <c r="BT2859" s="0" t="s">
        <v>130</v>
      </c>
      <c r="BU2859" s="0" t="s">
        <v>130</v>
      </c>
      <c r="BV2859" s="0" t="s">
        <v>130</v>
      </c>
      <c r="BW2859" s="0" t="s">
        <v>130</v>
      </c>
      <c r="BX2859" s="0" t="s">
        <v>130</v>
      </c>
      <c r="BY2859" s="0" t="s">
        <v>130</v>
      </c>
      <c r="BZ2859" s="0" t="s">
        <v>130</v>
      </c>
      <c r="CA2859" s="0" t="s">
        <v>130</v>
      </c>
      <c r="CB2859" s="0" t="s">
        <v>130</v>
      </c>
      <c r="CC2859" s="0" t="s">
        <v>130</v>
      </c>
      <c r="CD2859" s="0" t="s">
        <v>130</v>
      </c>
      <c r="CE2859" s="0" t="s">
        <v>130</v>
      </c>
      <c r="CF2859" s="0" t="s">
        <v>130</v>
      </c>
      <c r="CG2859" s="0" t="s">
        <v>130</v>
      </c>
      <c r="CH2859" s="0" t="s">
        <v>130</v>
      </c>
      <c r="CI2859" s="0" t="s">
        <v>130</v>
      </c>
      <c r="CJ2859" s="0" t="s">
        <v>130</v>
      </c>
      <c r="CK2859" s="0" t="s">
        <v>130</v>
      </c>
      <c r="CL2859" s="0" t="s">
        <v>130</v>
      </c>
      <c r="CM2859" s="0" t="s">
        <v>130</v>
      </c>
      <c r="CN2859" s="0" t="s">
        <v>130</v>
      </c>
      <c r="CO2859" s="0" t="s">
        <v>130</v>
      </c>
      <c r="CP2859" s="0" t="s">
        <v>130</v>
      </c>
      <c r="CQ2859" s="0" t="s">
        <v>130</v>
      </c>
      <c r="CR2859" s="0" t="s">
        <v>130</v>
      </c>
      <c r="CS2859" s="0" t="s">
        <v>130</v>
      </c>
      <c r="CT2859" s="0" t="s">
        <v>7722</v>
      </c>
    </row>
    <row r="2860">
      <c r="A2860" s="14">
        <v>48298702</v>
      </c>
      <c r="B2860" s="0" t="s">
        <v>5187</v>
      </c>
      <c r="C2860" s="16">
        <f>HYPERLINK("https://eosportal.federatedhermes.com/companies/Q29tcGFueQppODExMTM=", "Crowdstrike Holdings Inc")</f>
      </c>
      <c r="D2860" s="0" t="s">
        <v>23</v>
      </c>
      <c r="E2860" s="0" t="s">
        <v>7723</v>
      </c>
      <c r="F2860" s="16">
        <f>HYPERLINK("https://eosportal.federatedhermes.com/engagements/RW5nYWdlbWVudAppMzk1ODE=", "sunset classified board structure")</f>
      </c>
      <c r="G2860" s="14" t="s">
        <v>7724</v>
      </c>
      <c r="H2860" s="0" t="s">
        <v>141</v>
      </c>
      <c r="I2860" s="14" t="s">
        <v>131</v>
      </c>
      <c r="J2860" s="0" t="s">
        <v>145</v>
      </c>
      <c r="K2860" s="0" t="s">
        <v>400</v>
      </c>
      <c r="L2860" s="0" t="s">
        <v>507</v>
      </c>
      <c r="M2860" s="0" t="s">
        <v>135</v>
      </c>
      <c r="N2860" s="0" t="s">
        <v>136</v>
      </c>
      <c r="O2860" s="0" t="s">
        <v>137</v>
      </c>
      <c r="Q2860" s="0" t="s">
        <v>130</v>
      </c>
      <c r="R2860" s="0" t="s">
        <v>130</v>
      </c>
      <c r="S2860" s="14">
        <v>0</v>
      </c>
      <c r="T2860" s="0" t="s">
        <v>4412</v>
      </c>
      <c r="U2860" s="0" t="s">
        <v>221</v>
      </c>
      <c r="V2860" s="14" t="s">
        <v>4412</v>
      </c>
      <c r="W2860" s="0" t="s">
        <v>221</v>
      </c>
      <c r="X2860" s="14" t="s">
        <v>4412</v>
      </c>
      <c r="Y2860" s="0" t="s">
        <v>223</v>
      </c>
      <c r="Z2860" s="14" t="s">
        <v>138</v>
      </c>
      <c r="AA2860" s="0" t="s">
        <v>224</v>
      </c>
      <c r="AB2860" s="14" t="s">
        <v>138</v>
      </c>
      <c r="AD2860" s="0" t="s">
        <v>17</v>
      </c>
      <c r="AF2860" s="0">
        <v>0</v>
      </c>
      <c r="AG2860" s="0">
        <v>0</v>
      </c>
      <c r="AH2860" s="0" t="s">
        <v>140</v>
      </c>
      <c r="AI2860" s="0" t="s">
        <v>598</v>
      </c>
      <c r="AL2860" s="14"/>
      <c r="AN2860" s="14"/>
      <c r="AQ2860" s="0" t="s">
        <v>130</v>
      </c>
      <c r="AR2860" s="0" t="s">
        <v>130</v>
      </c>
      <c r="AS2860" s="0" t="s">
        <v>130</v>
      </c>
      <c r="AT2860" s="0" t="s">
        <v>130</v>
      </c>
      <c r="AU2860" s="0" t="s">
        <v>130</v>
      </c>
      <c r="AV2860" s="0" t="s">
        <v>130</v>
      </c>
      <c r="AW2860" s="0" t="s">
        <v>130</v>
      </c>
      <c r="AX2860" s="0" t="s">
        <v>130</v>
      </c>
      <c r="AY2860" s="0" t="s">
        <v>130</v>
      </c>
      <c r="AZ2860" s="0" t="s">
        <v>130</v>
      </c>
      <c r="BA2860" s="0" t="s">
        <v>130</v>
      </c>
      <c r="BB2860" s="0" t="s">
        <v>130</v>
      </c>
      <c r="BC2860" s="0" t="s">
        <v>130</v>
      </c>
      <c r="BD2860" s="0" t="s">
        <v>130</v>
      </c>
      <c r="BE2860" s="0" t="s">
        <v>130</v>
      </c>
      <c r="BF2860" s="0" t="s">
        <v>130</v>
      </c>
      <c r="BG2860" s="0" t="s">
        <v>130</v>
      </c>
      <c r="BH2860" s="0" t="s">
        <v>130</v>
      </c>
      <c r="BI2860" s="0" t="s">
        <v>130</v>
      </c>
      <c r="BJ2860" s="0" t="s">
        <v>130</v>
      </c>
      <c r="BK2860" s="0" t="s">
        <v>130</v>
      </c>
      <c r="BL2860" s="0" t="s">
        <v>130</v>
      </c>
      <c r="BM2860" s="0" t="s">
        <v>130</v>
      </c>
      <c r="BN2860" s="0" t="s">
        <v>130</v>
      </c>
      <c r="BO2860" s="0" t="s">
        <v>130</v>
      </c>
      <c r="BP2860" s="0" t="s">
        <v>130</v>
      </c>
      <c r="BQ2860" s="0" t="s">
        <v>130</v>
      </c>
      <c r="BR2860" s="0" t="s">
        <v>130</v>
      </c>
      <c r="BS2860" s="0" t="s">
        <v>130</v>
      </c>
      <c r="BT2860" s="0" t="s">
        <v>130</v>
      </c>
      <c r="BU2860" s="0" t="s">
        <v>130</v>
      </c>
      <c r="BV2860" s="0" t="s">
        <v>130</v>
      </c>
      <c r="BW2860" s="0" t="s">
        <v>130</v>
      </c>
      <c r="BX2860" s="0" t="s">
        <v>130</v>
      </c>
      <c r="BY2860" s="0" t="s">
        <v>130</v>
      </c>
      <c r="BZ2860" s="0" t="s">
        <v>130</v>
      </c>
      <c r="CA2860" s="0" t="s">
        <v>130</v>
      </c>
      <c r="CB2860" s="0" t="s">
        <v>130</v>
      </c>
      <c r="CC2860" s="0" t="s">
        <v>130</v>
      </c>
      <c r="CD2860" s="0" t="s">
        <v>130</v>
      </c>
      <c r="CE2860" s="0" t="s">
        <v>130</v>
      </c>
      <c r="CF2860" s="0" t="s">
        <v>130</v>
      </c>
      <c r="CG2860" s="0" t="s">
        <v>130</v>
      </c>
      <c r="CH2860" s="0" t="s">
        <v>130</v>
      </c>
      <c r="CI2860" s="0" t="s">
        <v>130</v>
      </c>
      <c r="CJ2860" s="0" t="s">
        <v>130</v>
      </c>
      <c r="CK2860" s="0" t="s">
        <v>130</v>
      </c>
      <c r="CL2860" s="0" t="s">
        <v>130</v>
      </c>
      <c r="CM2860" s="0" t="s">
        <v>130</v>
      </c>
      <c r="CN2860" s="0" t="s">
        <v>130</v>
      </c>
      <c r="CO2860" s="0" t="s">
        <v>130</v>
      </c>
      <c r="CP2860" s="0" t="s">
        <v>130</v>
      </c>
      <c r="CQ2860" s="0" t="s">
        <v>130</v>
      </c>
      <c r="CR2860" s="0" t="s">
        <v>130</v>
      </c>
      <c r="CS2860" s="0" t="s">
        <v>130</v>
      </c>
      <c r="CT2860" s="0" t="s">
        <v>7725</v>
      </c>
    </row>
    <row r="2861">
      <c r="A2861" s="14">
        <v>1442748</v>
      </c>
      <c r="B2861" s="0" t="s">
        <v>3624</v>
      </c>
      <c r="C2861" s="16">
        <f>HYPERLINK("https://eosportal.federatedhermes.com/companies/Q29tcGFueQppNjI1MDA=", "Mitsubishi UFJ Financial Group Inc")</f>
      </c>
      <c r="D2861" s="0" t="s">
        <v>23</v>
      </c>
      <c r="E2861" s="0" t="s">
        <v>5737</v>
      </c>
      <c r="F2861" s="16">
        <f>HYPERLINK("https://eosportal.federatedhermes.com/engagements/RW5nYWdlbWVudAppMzk1ODQ=", "Climate-aligned accounting")</f>
      </c>
      <c r="G2861" s="14" t="s">
        <v>7706</v>
      </c>
      <c r="H2861" s="0" t="s">
        <v>141</v>
      </c>
      <c r="I2861" s="14" t="s">
        <v>1645</v>
      </c>
      <c r="J2861" s="0" t="s">
        <v>197</v>
      </c>
      <c r="K2861" s="0" t="s">
        <v>198</v>
      </c>
      <c r="L2861" s="0" t="s">
        <v>199</v>
      </c>
      <c r="M2861" s="0" t="s">
        <v>802</v>
      </c>
      <c r="N2861" s="0" t="s">
        <v>952</v>
      </c>
      <c r="O2861" s="0" t="s">
        <v>238</v>
      </c>
      <c r="Q2861" s="0" t="s">
        <v>130</v>
      </c>
      <c r="R2861" s="0" t="s">
        <v>130</v>
      </c>
      <c r="S2861" s="14">
        <v>0</v>
      </c>
      <c r="T2861" s="0" t="s">
        <v>4412</v>
      </c>
      <c r="U2861" s="0" t="s">
        <v>221</v>
      </c>
      <c r="V2861" s="14" t="s">
        <v>4412</v>
      </c>
      <c r="W2861" s="0" t="s">
        <v>221</v>
      </c>
      <c r="X2861" s="14" t="s">
        <v>4412</v>
      </c>
      <c r="Y2861" s="0" t="s">
        <v>223</v>
      </c>
      <c r="Z2861" s="14" t="s">
        <v>138</v>
      </c>
      <c r="AA2861" s="0" t="s">
        <v>224</v>
      </c>
      <c r="AB2861" s="14" t="s">
        <v>138</v>
      </c>
      <c r="AD2861" s="0" t="s">
        <v>17</v>
      </c>
      <c r="AF2861" s="0">
        <v>0</v>
      </c>
      <c r="AG2861" s="0">
        <v>0</v>
      </c>
      <c r="AH2861" s="0" t="s">
        <v>140</v>
      </c>
      <c r="AI2861" s="0" t="s">
        <v>598</v>
      </c>
      <c r="AL2861" s="14"/>
      <c r="AN2861" s="14"/>
      <c r="AQ2861" s="0" t="s">
        <v>130</v>
      </c>
      <c r="AR2861" s="0" t="s">
        <v>130</v>
      </c>
      <c r="AS2861" s="0" t="s">
        <v>130</v>
      </c>
      <c r="AT2861" s="0" t="s">
        <v>130</v>
      </c>
      <c r="AU2861" s="0" t="s">
        <v>130</v>
      </c>
      <c r="AV2861" s="0" t="s">
        <v>130</v>
      </c>
      <c r="AW2861" s="0" t="s">
        <v>130</v>
      </c>
      <c r="AX2861" s="0" t="s">
        <v>130</v>
      </c>
      <c r="AY2861" s="0" t="s">
        <v>130</v>
      </c>
      <c r="AZ2861" s="0" t="s">
        <v>130</v>
      </c>
      <c r="BA2861" s="0" t="s">
        <v>130</v>
      </c>
      <c r="BB2861" s="0" t="s">
        <v>141</v>
      </c>
      <c r="BC2861" s="0" t="s">
        <v>141</v>
      </c>
      <c r="BD2861" s="0" t="s">
        <v>130</v>
      </c>
      <c r="BE2861" s="0" t="s">
        <v>130</v>
      </c>
      <c r="BF2861" s="0" t="s">
        <v>130</v>
      </c>
      <c r="BG2861" s="0" t="s">
        <v>130</v>
      </c>
      <c r="BH2861" s="0" t="s">
        <v>130</v>
      </c>
      <c r="BI2861" s="0" t="s">
        <v>130</v>
      </c>
      <c r="BJ2861" s="0" t="s">
        <v>130</v>
      </c>
      <c r="BK2861" s="0" t="s">
        <v>130</v>
      </c>
      <c r="BL2861" s="0" t="s">
        <v>130</v>
      </c>
      <c r="BM2861" s="0" t="s">
        <v>130</v>
      </c>
      <c r="BN2861" s="0" t="s">
        <v>130</v>
      </c>
      <c r="BO2861" s="0" t="s">
        <v>130</v>
      </c>
      <c r="BP2861" s="0" t="s">
        <v>130</v>
      </c>
      <c r="BQ2861" s="0" t="s">
        <v>130</v>
      </c>
      <c r="BR2861" s="0" t="s">
        <v>130</v>
      </c>
      <c r="BS2861" s="0" t="s">
        <v>130</v>
      </c>
      <c r="BT2861" s="0" t="s">
        <v>130</v>
      </c>
      <c r="BU2861" s="0" t="s">
        <v>130</v>
      </c>
      <c r="BV2861" s="0" t="s">
        <v>130</v>
      </c>
      <c r="BW2861" s="0" t="s">
        <v>130</v>
      </c>
      <c r="BX2861" s="0" t="s">
        <v>130</v>
      </c>
      <c r="BY2861" s="0" t="s">
        <v>130</v>
      </c>
      <c r="BZ2861" s="0" t="s">
        <v>130</v>
      </c>
      <c r="CA2861" s="0" t="s">
        <v>130</v>
      </c>
      <c r="CB2861" s="0" t="s">
        <v>130</v>
      </c>
      <c r="CC2861" s="0" t="s">
        <v>130</v>
      </c>
      <c r="CD2861" s="0" t="s">
        <v>130</v>
      </c>
      <c r="CE2861" s="0" t="s">
        <v>130</v>
      </c>
      <c r="CF2861" s="0" t="s">
        <v>130</v>
      </c>
      <c r="CG2861" s="0" t="s">
        <v>130</v>
      </c>
      <c r="CH2861" s="0" t="s">
        <v>130</v>
      </c>
      <c r="CI2861" s="0" t="s">
        <v>130</v>
      </c>
      <c r="CJ2861" s="0" t="s">
        <v>130</v>
      </c>
      <c r="CK2861" s="0" t="s">
        <v>130</v>
      </c>
      <c r="CL2861" s="0" t="s">
        <v>130</v>
      </c>
      <c r="CM2861" s="0" t="s">
        <v>130</v>
      </c>
      <c r="CN2861" s="0" t="s">
        <v>130</v>
      </c>
      <c r="CO2861" s="0" t="s">
        <v>130</v>
      </c>
      <c r="CP2861" s="0" t="s">
        <v>130</v>
      </c>
      <c r="CQ2861" s="0" t="s">
        <v>130</v>
      </c>
      <c r="CR2861" s="0" t="s">
        <v>130</v>
      </c>
      <c r="CS2861" s="0" t="s">
        <v>130</v>
      </c>
      <c r="CT2861" s="0" t="s">
        <v>7726</v>
      </c>
    </row>
    <row r="2862">
      <c r="A2862" s="14">
        <v>115675</v>
      </c>
      <c r="B2862" s="0" t="s">
        <v>2585</v>
      </c>
      <c r="C2862" s="16">
        <f>HYPERLINK("https://eosportal.federatedhermes.com/companies/Q29tcGFueQppNjI0NzI=", "RWE AG")</f>
      </c>
      <c r="D2862" s="0" t="s">
        <v>23</v>
      </c>
      <c r="E2862" s="0" t="s">
        <v>5759</v>
      </c>
      <c r="F2862" s="16">
        <f>HYPERLINK("https://eosportal.federatedhermes.com/engagements/RW5nYWdlbWVudAppMzk1OTg=", "Climate Aligned Accounting")</f>
      </c>
      <c r="G2862" s="14" t="s">
        <v>7727</v>
      </c>
      <c r="H2862" s="0" t="s">
        <v>141</v>
      </c>
      <c r="I2862" s="14" t="s">
        <v>191</v>
      </c>
      <c r="J2862" s="0" t="s">
        <v>197</v>
      </c>
      <c r="K2862" s="0" t="s">
        <v>198</v>
      </c>
      <c r="L2862" s="0" t="s">
        <v>199</v>
      </c>
      <c r="M2862" s="0" t="s">
        <v>378</v>
      </c>
      <c r="N2862" s="0" t="s">
        <v>2485</v>
      </c>
      <c r="O2862" s="0" t="s">
        <v>192</v>
      </c>
      <c r="Q2862" s="0" t="s">
        <v>141</v>
      </c>
      <c r="R2862" s="0" t="s">
        <v>130</v>
      </c>
      <c r="S2862" s="14">
        <v>1</v>
      </c>
      <c r="T2862" s="0" t="s">
        <v>4412</v>
      </c>
      <c r="U2862" s="0" t="s">
        <v>221</v>
      </c>
      <c r="V2862" s="14" t="s">
        <v>4412</v>
      </c>
      <c r="W2862" s="0" t="s">
        <v>221</v>
      </c>
      <c r="X2862" s="14" t="s">
        <v>4412</v>
      </c>
      <c r="Y2862" s="0" t="s">
        <v>221</v>
      </c>
      <c r="Z2862" s="14" t="s">
        <v>4412</v>
      </c>
      <c r="AA2862" s="0" t="s">
        <v>223</v>
      </c>
      <c r="AB2862" s="14" t="s">
        <v>138</v>
      </c>
      <c r="AD2862" s="0" t="s">
        <v>20</v>
      </c>
      <c r="AF2862" s="0">
        <v>0</v>
      </c>
      <c r="AG2862" s="0">
        <v>0</v>
      </c>
      <c r="AH2862" s="0" t="s">
        <v>140</v>
      </c>
      <c r="AI2862" s="0" t="s">
        <v>598</v>
      </c>
      <c r="AK2862" s="0" t="s">
        <v>2588</v>
      </c>
      <c r="AL2862" s="14"/>
      <c r="AN2862" s="14"/>
      <c r="AQ2862" s="0" t="s">
        <v>130</v>
      </c>
      <c r="AR2862" s="0" t="s">
        <v>130</v>
      </c>
      <c r="AS2862" s="0" t="s">
        <v>130</v>
      </c>
      <c r="AT2862" s="0" t="s">
        <v>130</v>
      </c>
      <c r="AU2862" s="0" t="s">
        <v>130</v>
      </c>
      <c r="AV2862" s="0" t="s">
        <v>130</v>
      </c>
      <c r="AW2862" s="0" t="s">
        <v>130</v>
      </c>
      <c r="AX2862" s="0" t="s">
        <v>130</v>
      </c>
      <c r="AY2862" s="0" t="s">
        <v>130</v>
      </c>
      <c r="AZ2862" s="0" t="s">
        <v>130</v>
      </c>
      <c r="BA2862" s="0" t="s">
        <v>130</v>
      </c>
      <c r="BB2862" s="0" t="s">
        <v>141</v>
      </c>
      <c r="BC2862" s="0" t="s">
        <v>141</v>
      </c>
      <c r="BD2862" s="0" t="s">
        <v>130</v>
      </c>
      <c r="BE2862" s="0" t="s">
        <v>130</v>
      </c>
      <c r="BF2862" s="0" t="s">
        <v>130</v>
      </c>
      <c r="BG2862" s="0" t="s">
        <v>130</v>
      </c>
      <c r="BH2862" s="0" t="s">
        <v>130</v>
      </c>
      <c r="BI2862" s="0" t="s">
        <v>130</v>
      </c>
      <c r="BJ2862" s="0" t="s">
        <v>130</v>
      </c>
      <c r="BK2862" s="0" t="s">
        <v>130</v>
      </c>
      <c r="BL2862" s="0" t="s">
        <v>130</v>
      </c>
      <c r="BM2862" s="0" t="s">
        <v>130</v>
      </c>
      <c r="BN2862" s="0" t="s">
        <v>130</v>
      </c>
      <c r="BO2862" s="0" t="s">
        <v>130</v>
      </c>
      <c r="BP2862" s="0" t="s">
        <v>130</v>
      </c>
      <c r="BQ2862" s="0" t="s">
        <v>130</v>
      </c>
      <c r="BR2862" s="0" t="s">
        <v>130</v>
      </c>
      <c r="BS2862" s="0" t="s">
        <v>130</v>
      </c>
      <c r="BT2862" s="0" t="s">
        <v>130</v>
      </c>
      <c r="BU2862" s="0" t="s">
        <v>130</v>
      </c>
      <c r="BV2862" s="0" t="s">
        <v>130</v>
      </c>
      <c r="BW2862" s="0" t="s">
        <v>130</v>
      </c>
      <c r="BX2862" s="0" t="s">
        <v>130</v>
      </c>
      <c r="BY2862" s="0" t="s">
        <v>130</v>
      </c>
      <c r="BZ2862" s="0" t="s">
        <v>130</v>
      </c>
      <c r="CA2862" s="0" t="s">
        <v>130</v>
      </c>
      <c r="CB2862" s="0" t="s">
        <v>130</v>
      </c>
      <c r="CC2862" s="0" t="s">
        <v>130</v>
      </c>
      <c r="CD2862" s="0" t="s">
        <v>130</v>
      </c>
      <c r="CE2862" s="0" t="s">
        <v>130</v>
      </c>
      <c r="CF2862" s="0" t="s">
        <v>130</v>
      </c>
      <c r="CG2862" s="0" t="s">
        <v>130</v>
      </c>
      <c r="CH2862" s="0" t="s">
        <v>130</v>
      </c>
      <c r="CI2862" s="0" t="s">
        <v>130</v>
      </c>
      <c r="CJ2862" s="0" t="s">
        <v>130</v>
      </c>
      <c r="CK2862" s="0" t="s">
        <v>130</v>
      </c>
      <c r="CL2862" s="0" t="s">
        <v>130</v>
      </c>
      <c r="CM2862" s="0" t="s">
        <v>130</v>
      </c>
      <c r="CN2862" s="0" t="s">
        <v>130</v>
      </c>
      <c r="CO2862" s="0" t="s">
        <v>130</v>
      </c>
      <c r="CP2862" s="0" t="s">
        <v>130</v>
      </c>
      <c r="CQ2862" s="0" t="s">
        <v>130</v>
      </c>
      <c r="CR2862" s="0" t="s">
        <v>130</v>
      </c>
      <c r="CS2862" s="0" t="s">
        <v>130</v>
      </c>
      <c r="CT2862" s="0" t="s">
        <v>7728</v>
      </c>
    </row>
    <row r="2863">
      <c r="A2863" s="14">
        <v>368234</v>
      </c>
      <c r="B2863" s="0" t="s">
        <v>3736</v>
      </c>
      <c r="C2863" s="16">
        <f>HYPERLINK("https://eosportal.federatedhermes.com/companies/Q29tcGFueQppNjc3MzU=", "Advance Auto Parts Inc")</f>
      </c>
      <c r="D2863" s="0" t="s">
        <v>25</v>
      </c>
      <c r="E2863" s="0" t="s">
        <v>1063</v>
      </c>
      <c r="F2863" s="16">
        <f>HYPERLINK("https://eosportal.federatedhermes.com/engagements/RW5nYWdlbWVudAppMzk2MDY=", "Board evaluation")</f>
      </c>
      <c r="G2863" s="14" t="s">
        <v>7729</v>
      </c>
      <c r="H2863" s="0" t="s">
        <v>130</v>
      </c>
      <c r="I2863" s="14" t="s">
        <v>131</v>
      </c>
      <c r="J2863" s="0" t="s">
        <v>145</v>
      </c>
      <c r="K2863" s="0" t="s">
        <v>164</v>
      </c>
      <c r="L2863" s="0" t="s">
        <v>970</v>
      </c>
      <c r="M2863" s="0" t="s">
        <v>135</v>
      </c>
      <c r="N2863" s="0" t="s">
        <v>136</v>
      </c>
      <c r="O2863" s="0" t="s">
        <v>643</v>
      </c>
      <c r="Q2863" s="0" t="s">
        <v>130</v>
      </c>
      <c r="R2863" s="0" t="s">
        <v>138</v>
      </c>
      <c r="S2863" s="14">
        <v>0</v>
      </c>
      <c r="T2863" s="0" t="s">
        <v>449</v>
      </c>
      <c r="U2863" s="0" t="s">
        <v>138</v>
      </c>
      <c r="V2863" s="14" t="s">
        <v>138</v>
      </c>
      <c r="W2863" s="0" t="s">
        <v>138</v>
      </c>
      <c r="X2863" s="14" t="s">
        <v>138</v>
      </c>
      <c r="Y2863" s="0" t="s">
        <v>138</v>
      </c>
      <c r="Z2863" s="14" t="s">
        <v>138</v>
      </c>
      <c r="AA2863" s="0" t="s">
        <v>138</v>
      </c>
      <c r="AB2863" s="14" t="s">
        <v>138</v>
      </c>
      <c r="AD2863" s="0" t="s">
        <v>138</v>
      </c>
      <c r="AF2863" s="0">
        <v>0</v>
      </c>
      <c r="AG2863" s="0">
        <v>0</v>
      </c>
      <c r="AH2863" s="0" t="s">
        <v>140</v>
      </c>
      <c r="AI2863" s="0" t="s">
        <v>138</v>
      </c>
      <c r="AL2863" s="14"/>
      <c r="AN2863" s="14"/>
      <c r="AQ2863" s="0" t="s">
        <v>130</v>
      </c>
      <c r="AR2863" s="0" t="s">
        <v>130</v>
      </c>
      <c r="AS2863" s="0" t="s">
        <v>130</v>
      </c>
      <c r="AT2863" s="0" t="s">
        <v>130</v>
      </c>
      <c r="AU2863" s="0" t="s">
        <v>130</v>
      </c>
      <c r="AV2863" s="0" t="s">
        <v>130</v>
      </c>
      <c r="AW2863" s="0" t="s">
        <v>130</v>
      </c>
      <c r="AX2863" s="0" t="s">
        <v>130</v>
      </c>
      <c r="AY2863" s="0" t="s">
        <v>130</v>
      </c>
      <c r="AZ2863" s="0" t="s">
        <v>130</v>
      </c>
      <c r="BA2863" s="0" t="s">
        <v>130</v>
      </c>
      <c r="BB2863" s="0" t="s">
        <v>130</v>
      </c>
      <c r="BC2863" s="0" t="s">
        <v>130</v>
      </c>
      <c r="BD2863" s="0" t="s">
        <v>130</v>
      </c>
      <c r="BE2863" s="0" t="s">
        <v>130</v>
      </c>
      <c r="BF2863" s="0" t="s">
        <v>130</v>
      </c>
      <c r="BG2863" s="0" t="s">
        <v>130</v>
      </c>
      <c r="BH2863" s="0" t="s">
        <v>130</v>
      </c>
      <c r="BI2863" s="0" t="s">
        <v>130</v>
      </c>
      <c r="BJ2863" s="0" t="s">
        <v>130</v>
      </c>
      <c r="BK2863" s="0" t="s">
        <v>130</v>
      </c>
      <c r="BL2863" s="0" t="s">
        <v>130</v>
      </c>
      <c r="BM2863" s="0" t="s">
        <v>130</v>
      </c>
      <c r="BN2863" s="0" t="s">
        <v>130</v>
      </c>
      <c r="BO2863" s="0" t="s">
        <v>130</v>
      </c>
      <c r="BP2863" s="0" t="s">
        <v>130</v>
      </c>
      <c r="BQ2863" s="0" t="s">
        <v>130</v>
      </c>
      <c r="BR2863" s="0" t="s">
        <v>130</v>
      </c>
      <c r="BS2863" s="0" t="s">
        <v>130</v>
      </c>
      <c r="BT2863" s="0" t="s">
        <v>130</v>
      </c>
      <c r="BU2863" s="0" t="s">
        <v>130</v>
      </c>
      <c r="BV2863" s="0" t="s">
        <v>130</v>
      </c>
      <c r="BW2863" s="0" t="s">
        <v>130</v>
      </c>
      <c r="BX2863" s="0" t="s">
        <v>130</v>
      </c>
      <c r="BY2863" s="0" t="s">
        <v>130</v>
      </c>
      <c r="BZ2863" s="0" t="s">
        <v>130</v>
      </c>
      <c r="CA2863" s="0" t="s">
        <v>130</v>
      </c>
      <c r="CB2863" s="0" t="s">
        <v>130</v>
      </c>
      <c r="CC2863" s="0" t="s">
        <v>130</v>
      </c>
      <c r="CD2863" s="0" t="s">
        <v>130</v>
      </c>
      <c r="CE2863" s="0" t="s">
        <v>130</v>
      </c>
      <c r="CF2863" s="0" t="s">
        <v>130</v>
      </c>
      <c r="CG2863" s="0" t="s">
        <v>130</v>
      </c>
      <c r="CH2863" s="0" t="s">
        <v>130</v>
      </c>
      <c r="CI2863" s="0" t="s">
        <v>130</v>
      </c>
      <c r="CJ2863" s="0" t="s">
        <v>130</v>
      </c>
      <c r="CK2863" s="0" t="s">
        <v>130</v>
      </c>
      <c r="CL2863" s="0" t="s">
        <v>130</v>
      </c>
      <c r="CM2863" s="0" t="s">
        <v>130</v>
      </c>
      <c r="CN2863" s="0" t="s">
        <v>130</v>
      </c>
      <c r="CO2863" s="0" t="s">
        <v>130</v>
      </c>
      <c r="CP2863" s="0" t="s">
        <v>130</v>
      </c>
      <c r="CQ2863" s="0" t="s">
        <v>130</v>
      </c>
      <c r="CR2863" s="0" t="s">
        <v>130</v>
      </c>
      <c r="CS2863" s="0" t="s">
        <v>130</v>
      </c>
      <c r="CT2863" s="0" t="s">
        <v>7730</v>
      </c>
    </row>
    <row r="2864">
      <c r="A2864" s="14">
        <v>7044851</v>
      </c>
      <c r="B2864" s="0" t="s">
        <v>3763</v>
      </c>
      <c r="C2864" s="16">
        <f>HYPERLINK("https://eosportal.federatedhermes.com/companies/Q29tcGFueQppODQ2NDc=", "Compass Group PLC")</f>
      </c>
      <c r="D2864" s="0" t="s">
        <v>25</v>
      </c>
      <c r="E2864" s="0" t="s">
        <v>7731</v>
      </c>
      <c r="F2864" s="16">
        <f>HYPERLINK("https://eosportal.federatedhermes.com/engagements/RW5nYWdlbWVudAppMzk2MTI=", "Water scarcity and flood risk")</f>
      </c>
      <c r="G2864" s="14" t="s">
        <v>7732</v>
      </c>
      <c r="H2864" s="0" t="s">
        <v>141</v>
      </c>
      <c r="I2864" s="14" t="s">
        <v>191</v>
      </c>
      <c r="J2864" s="0" t="s">
        <v>197</v>
      </c>
      <c r="K2864" s="0" t="s">
        <v>337</v>
      </c>
      <c r="L2864" s="0" t="s">
        <v>338</v>
      </c>
      <c r="M2864" s="0" t="s">
        <v>272</v>
      </c>
      <c r="N2864" s="0" t="s">
        <v>273</v>
      </c>
      <c r="O2864" s="0" t="s">
        <v>643</v>
      </c>
      <c r="Q2864" s="0" t="s">
        <v>130</v>
      </c>
      <c r="R2864" s="0" t="s">
        <v>138</v>
      </c>
      <c r="S2864" s="14">
        <v>0</v>
      </c>
      <c r="T2864" s="0" t="s">
        <v>449</v>
      </c>
      <c r="U2864" s="0" t="s">
        <v>138</v>
      </c>
      <c r="V2864" s="14" t="s">
        <v>138</v>
      </c>
      <c r="W2864" s="0" t="s">
        <v>138</v>
      </c>
      <c r="X2864" s="14" t="s">
        <v>138</v>
      </c>
      <c r="Y2864" s="0" t="s">
        <v>138</v>
      </c>
      <c r="Z2864" s="14" t="s">
        <v>138</v>
      </c>
      <c r="AA2864" s="0" t="s">
        <v>138</v>
      </c>
      <c r="AB2864" s="14" t="s">
        <v>138</v>
      </c>
      <c r="AD2864" s="0" t="s">
        <v>138</v>
      </c>
      <c r="AF2864" s="0">
        <v>0</v>
      </c>
      <c r="AG2864" s="0">
        <v>0</v>
      </c>
      <c r="AH2864" s="0" t="s">
        <v>140</v>
      </c>
      <c r="AI2864" s="0" t="s">
        <v>138</v>
      </c>
      <c r="AL2864" s="14"/>
      <c r="AN2864" s="14"/>
      <c r="AQ2864" s="0" t="s">
        <v>130</v>
      </c>
      <c r="AR2864" s="0" t="s">
        <v>141</v>
      </c>
      <c r="AS2864" s="0" t="s">
        <v>130</v>
      </c>
      <c r="AT2864" s="0" t="s">
        <v>130</v>
      </c>
      <c r="AU2864" s="0" t="s">
        <v>130</v>
      </c>
      <c r="AV2864" s="0" t="s">
        <v>141</v>
      </c>
      <c r="AW2864" s="0" t="s">
        <v>130</v>
      </c>
      <c r="AX2864" s="0" t="s">
        <v>130</v>
      </c>
      <c r="AY2864" s="0" t="s">
        <v>130</v>
      </c>
      <c r="AZ2864" s="0" t="s">
        <v>130</v>
      </c>
      <c r="BA2864" s="0" t="s">
        <v>130</v>
      </c>
      <c r="BB2864" s="0" t="s">
        <v>130</v>
      </c>
      <c r="BC2864" s="0" t="s">
        <v>130</v>
      </c>
      <c r="BD2864" s="0" t="s">
        <v>130</v>
      </c>
      <c r="BE2864" s="0" t="s">
        <v>130</v>
      </c>
      <c r="BF2864" s="0" t="s">
        <v>130</v>
      </c>
      <c r="BG2864" s="0" t="s">
        <v>130</v>
      </c>
      <c r="BH2864" s="0" t="s">
        <v>130</v>
      </c>
      <c r="BI2864" s="0" t="s">
        <v>130</v>
      </c>
      <c r="BJ2864" s="0" t="s">
        <v>130</v>
      </c>
      <c r="BK2864" s="0" t="s">
        <v>130</v>
      </c>
      <c r="BL2864" s="0" t="s">
        <v>130</v>
      </c>
      <c r="BM2864" s="0" t="s">
        <v>130</v>
      </c>
      <c r="BN2864" s="0" t="s">
        <v>130</v>
      </c>
      <c r="BO2864" s="0" t="s">
        <v>130</v>
      </c>
      <c r="BP2864" s="0" t="s">
        <v>130</v>
      </c>
      <c r="BQ2864" s="0" t="s">
        <v>130</v>
      </c>
      <c r="BR2864" s="0" t="s">
        <v>130</v>
      </c>
      <c r="BS2864" s="0" t="s">
        <v>130</v>
      </c>
      <c r="BT2864" s="0" t="s">
        <v>130</v>
      </c>
      <c r="BU2864" s="0" t="s">
        <v>130</v>
      </c>
      <c r="BV2864" s="0" t="s">
        <v>130</v>
      </c>
      <c r="BW2864" s="0" t="s">
        <v>130</v>
      </c>
      <c r="BX2864" s="0" t="s">
        <v>141</v>
      </c>
      <c r="BY2864" s="0" t="s">
        <v>130</v>
      </c>
      <c r="BZ2864" s="0" t="s">
        <v>130</v>
      </c>
      <c r="CA2864" s="0" t="s">
        <v>130</v>
      </c>
      <c r="CB2864" s="0" t="s">
        <v>130</v>
      </c>
      <c r="CC2864" s="0" t="s">
        <v>130</v>
      </c>
      <c r="CD2864" s="0" t="s">
        <v>130</v>
      </c>
      <c r="CE2864" s="0" t="s">
        <v>130</v>
      </c>
      <c r="CF2864" s="0" t="s">
        <v>130</v>
      </c>
      <c r="CG2864" s="0" t="s">
        <v>130</v>
      </c>
      <c r="CH2864" s="0" t="s">
        <v>130</v>
      </c>
      <c r="CI2864" s="0" t="s">
        <v>130</v>
      </c>
      <c r="CJ2864" s="0" t="s">
        <v>130</v>
      </c>
      <c r="CK2864" s="0" t="s">
        <v>130</v>
      </c>
      <c r="CL2864" s="0" t="s">
        <v>130</v>
      </c>
      <c r="CM2864" s="0" t="s">
        <v>130</v>
      </c>
      <c r="CN2864" s="0" t="s">
        <v>130</v>
      </c>
      <c r="CO2864" s="0" t="s">
        <v>130</v>
      </c>
      <c r="CP2864" s="0" t="s">
        <v>130</v>
      </c>
      <c r="CQ2864" s="0" t="s">
        <v>130</v>
      </c>
      <c r="CR2864" s="0" t="s">
        <v>130</v>
      </c>
      <c r="CS2864" s="0" t="s">
        <v>130</v>
      </c>
      <c r="CT2864" s="0" t="s">
        <v>7733</v>
      </c>
    </row>
    <row r="2865">
      <c r="A2865" s="14">
        <v>7044851</v>
      </c>
      <c r="B2865" s="0" t="s">
        <v>3763</v>
      </c>
      <c r="C2865" s="16">
        <f>HYPERLINK("https://eosportal.federatedhermes.com/companies/Q29tcGFueQppODQ2NDc=", "Compass Group PLC")</f>
      </c>
      <c r="D2865" s="0" t="s">
        <v>25</v>
      </c>
      <c r="E2865" s="0" t="s">
        <v>7734</v>
      </c>
      <c r="F2865" s="16">
        <f>HYPERLINK("https://eosportal.federatedhermes.com/engagements/RW5nYWdlbWVudAppMzk2MTM=", "SBTi FLAG approval")</f>
      </c>
      <c r="G2865" s="14" t="s">
        <v>7735</v>
      </c>
      <c r="H2865" s="0" t="s">
        <v>141</v>
      </c>
      <c r="I2865" s="14" t="s">
        <v>191</v>
      </c>
      <c r="J2865" s="0" t="s">
        <v>197</v>
      </c>
      <c r="K2865" s="0" t="s">
        <v>198</v>
      </c>
      <c r="L2865" s="0" t="s">
        <v>216</v>
      </c>
      <c r="M2865" s="0" t="s">
        <v>272</v>
      </c>
      <c r="N2865" s="0" t="s">
        <v>273</v>
      </c>
      <c r="O2865" s="0" t="s">
        <v>643</v>
      </c>
      <c r="Q2865" s="0" t="s">
        <v>130</v>
      </c>
      <c r="R2865" s="0" t="s">
        <v>138</v>
      </c>
      <c r="S2865" s="14">
        <v>0</v>
      </c>
      <c r="T2865" s="0" t="s">
        <v>449</v>
      </c>
      <c r="U2865" s="0" t="s">
        <v>138</v>
      </c>
      <c r="V2865" s="14" t="s">
        <v>138</v>
      </c>
      <c r="W2865" s="0" t="s">
        <v>138</v>
      </c>
      <c r="X2865" s="14" t="s">
        <v>138</v>
      </c>
      <c r="Y2865" s="0" t="s">
        <v>138</v>
      </c>
      <c r="Z2865" s="14" t="s">
        <v>138</v>
      </c>
      <c r="AA2865" s="0" t="s">
        <v>138</v>
      </c>
      <c r="AB2865" s="14" t="s">
        <v>138</v>
      </c>
      <c r="AD2865" s="0" t="s">
        <v>138</v>
      </c>
      <c r="AF2865" s="0">
        <v>0</v>
      </c>
      <c r="AG2865" s="0">
        <v>0</v>
      </c>
      <c r="AH2865" s="0" t="s">
        <v>140</v>
      </c>
      <c r="AI2865" s="0" t="s">
        <v>138</v>
      </c>
      <c r="AL2865" s="14"/>
      <c r="AN2865" s="14"/>
      <c r="AQ2865" s="0" t="s">
        <v>130</v>
      </c>
      <c r="AR2865" s="0" t="s">
        <v>130</v>
      </c>
      <c r="AS2865" s="0" t="s">
        <v>130</v>
      </c>
      <c r="AT2865" s="0" t="s">
        <v>130</v>
      </c>
      <c r="AU2865" s="0" t="s">
        <v>130</v>
      </c>
      <c r="AV2865" s="0" t="s">
        <v>130</v>
      </c>
      <c r="AW2865" s="0" t="s">
        <v>141</v>
      </c>
      <c r="AX2865" s="0" t="s">
        <v>130</v>
      </c>
      <c r="AY2865" s="0" t="s">
        <v>130</v>
      </c>
      <c r="AZ2865" s="0" t="s">
        <v>130</v>
      </c>
      <c r="BA2865" s="0" t="s">
        <v>130</v>
      </c>
      <c r="BB2865" s="0" t="s">
        <v>130</v>
      </c>
      <c r="BC2865" s="0" t="s">
        <v>141</v>
      </c>
      <c r="BD2865" s="0" t="s">
        <v>130</v>
      </c>
      <c r="BE2865" s="0" t="s">
        <v>130</v>
      </c>
      <c r="BF2865" s="0" t="s">
        <v>130</v>
      </c>
      <c r="BG2865" s="0" t="s">
        <v>130</v>
      </c>
      <c r="BH2865" s="0" t="s">
        <v>141</v>
      </c>
      <c r="BI2865" s="0" t="s">
        <v>141</v>
      </c>
      <c r="BJ2865" s="0" t="s">
        <v>141</v>
      </c>
      <c r="BK2865" s="0" t="s">
        <v>130</v>
      </c>
      <c r="BL2865" s="0" t="s">
        <v>130</v>
      </c>
      <c r="BM2865" s="0" t="s">
        <v>130</v>
      </c>
      <c r="BN2865" s="0" t="s">
        <v>130</v>
      </c>
      <c r="BO2865" s="0" t="s">
        <v>130</v>
      </c>
      <c r="BP2865" s="0" t="s">
        <v>130</v>
      </c>
      <c r="BQ2865" s="0" t="s">
        <v>130</v>
      </c>
      <c r="BR2865" s="0" t="s">
        <v>130</v>
      </c>
      <c r="BS2865" s="0" t="s">
        <v>130</v>
      </c>
      <c r="BT2865" s="0" t="s">
        <v>130</v>
      </c>
      <c r="BU2865" s="0" t="s">
        <v>130</v>
      </c>
      <c r="BV2865" s="0" t="s">
        <v>141</v>
      </c>
      <c r="BW2865" s="0" t="s">
        <v>141</v>
      </c>
      <c r="BX2865" s="0" t="s">
        <v>130</v>
      </c>
      <c r="BY2865" s="0" t="s">
        <v>130</v>
      </c>
      <c r="BZ2865" s="0" t="s">
        <v>130</v>
      </c>
      <c r="CA2865" s="0" t="s">
        <v>130</v>
      </c>
      <c r="CB2865" s="0" t="s">
        <v>130</v>
      </c>
      <c r="CC2865" s="0" t="s">
        <v>130</v>
      </c>
      <c r="CD2865" s="0" t="s">
        <v>130</v>
      </c>
      <c r="CE2865" s="0" t="s">
        <v>130</v>
      </c>
      <c r="CF2865" s="0" t="s">
        <v>130</v>
      </c>
      <c r="CG2865" s="0" t="s">
        <v>130</v>
      </c>
      <c r="CH2865" s="0" t="s">
        <v>130</v>
      </c>
      <c r="CI2865" s="0" t="s">
        <v>130</v>
      </c>
      <c r="CJ2865" s="0" t="s">
        <v>130</v>
      </c>
      <c r="CK2865" s="0" t="s">
        <v>130</v>
      </c>
      <c r="CL2865" s="0" t="s">
        <v>130</v>
      </c>
      <c r="CM2865" s="0" t="s">
        <v>130</v>
      </c>
      <c r="CN2865" s="0" t="s">
        <v>130</v>
      </c>
      <c r="CO2865" s="0" t="s">
        <v>130</v>
      </c>
      <c r="CP2865" s="0" t="s">
        <v>130</v>
      </c>
      <c r="CQ2865" s="0" t="s">
        <v>130</v>
      </c>
      <c r="CR2865" s="0" t="s">
        <v>130</v>
      </c>
      <c r="CS2865" s="0" t="s">
        <v>130</v>
      </c>
      <c r="CT2865" s="0" t="s">
        <v>7736</v>
      </c>
    </row>
    <row r="2866">
      <c r="A2866" s="14">
        <v>7044851</v>
      </c>
      <c r="B2866" s="0" t="s">
        <v>3763</v>
      </c>
      <c r="C2866" s="16">
        <f>HYPERLINK("https://eosportal.federatedhermes.com/companies/Q29tcGFueQppODQ2NDc=", "Compass Group PLC")</f>
      </c>
      <c r="D2866" s="0" t="s">
        <v>25</v>
      </c>
      <c r="E2866" s="0" t="s">
        <v>7737</v>
      </c>
      <c r="F2866" s="16">
        <f>HYPERLINK("https://eosportal.federatedhermes.com/engagements/RW5nYWdlbWVudAppMzk2MTQ=", "Talent retention")</f>
      </c>
      <c r="G2866" s="14" t="s">
        <v>7738</v>
      </c>
      <c r="H2866" s="0" t="s">
        <v>141</v>
      </c>
      <c r="I2866" s="14" t="s">
        <v>191</v>
      </c>
      <c r="J2866" s="0" t="s">
        <v>153</v>
      </c>
      <c r="K2866" s="0" t="s">
        <v>154</v>
      </c>
      <c r="L2866" s="0" t="s">
        <v>268</v>
      </c>
      <c r="M2866" s="0" t="s">
        <v>272</v>
      </c>
      <c r="N2866" s="0" t="s">
        <v>273</v>
      </c>
      <c r="O2866" s="0" t="s">
        <v>643</v>
      </c>
      <c r="Q2866" s="0" t="s">
        <v>130</v>
      </c>
      <c r="R2866" s="0" t="s">
        <v>138</v>
      </c>
      <c r="S2866" s="14">
        <v>0</v>
      </c>
      <c r="T2866" s="0" t="s">
        <v>449</v>
      </c>
      <c r="U2866" s="0" t="s">
        <v>138</v>
      </c>
      <c r="V2866" s="14" t="s">
        <v>138</v>
      </c>
      <c r="W2866" s="0" t="s">
        <v>138</v>
      </c>
      <c r="X2866" s="14" t="s">
        <v>138</v>
      </c>
      <c r="Y2866" s="0" t="s">
        <v>138</v>
      </c>
      <c r="Z2866" s="14" t="s">
        <v>138</v>
      </c>
      <c r="AA2866" s="0" t="s">
        <v>138</v>
      </c>
      <c r="AB2866" s="14" t="s">
        <v>138</v>
      </c>
      <c r="AD2866" s="0" t="s">
        <v>138</v>
      </c>
      <c r="AF2866" s="0">
        <v>0</v>
      </c>
      <c r="AG2866" s="0">
        <v>0</v>
      </c>
      <c r="AH2866" s="0" t="s">
        <v>140</v>
      </c>
      <c r="AI2866" s="0" t="s">
        <v>138</v>
      </c>
      <c r="AL2866" s="14"/>
      <c r="AN2866" s="14"/>
      <c r="AQ2866" s="0" t="s">
        <v>130</v>
      </c>
      <c r="AR2866" s="0" t="s">
        <v>130</v>
      </c>
      <c r="AS2866" s="0" t="s">
        <v>141</v>
      </c>
      <c r="AT2866" s="0" t="s">
        <v>130</v>
      </c>
      <c r="AU2866" s="0" t="s">
        <v>141</v>
      </c>
      <c r="AV2866" s="0" t="s">
        <v>130</v>
      </c>
      <c r="AW2866" s="0" t="s">
        <v>130</v>
      </c>
      <c r="AX2866" s="0" t="s">
        <v>141</v>
      </c>
      <c r="AY2866" s="0" t="s">
        <v>130</v>
      </c>
      <c r="AZ2866" s="0" t="s">
        <v>141</v>
      </c>
      <c r="BA2866" s="0" t="s">
        <v>130</v>
      </c>
      <c r="BB2866" s="0" t="s">
        <v>130</v>
      </c>
      <c r="BC2866" s="0" t="s">
        <v>130</v>
      </c>
      <c r="BD2866" s="0" t="s">
        <v>130</v>
      </c>
      <c r="BE2866" s="0" t="s">
        <v>130</v>
      </c>
      <c r="BF2866" s="0" t="s">
        <v>130</v>
      </c>
      <c r="BG2866" s="0" t="s">
        <v>130</v>
      </c>
      <c r="BH2866" s="0" t="s">
        <v>130</v>
      </c>
      <c r="BI2866" s="0" t="s">
        <v>130</v>
      </c>
      <c r="BJ2866" s="0" t="s">
        <v>130</v>
      </c>
      <c r="BK2866" s="0" t="s">
        <v>130</v>
      </c>
      <c r="BL2866" s="0" t="s">
        <v>130</v>
      </c>
      <c r="BM2866" s="0" t="s">
        <v>130</v>
      </c>
      <c r="BN2866" s="0" t="s">
        <v>130</v>
      </c>
      <c r="BO2866" s="0" t="s">
        <v>130</v>
      </c>
      <c r="BP2866" s="0" t="s">
        <v>130</v>
      </c>
      <c r="BQ2866" s="0" t="s">
        <v>130</v>
      </c>
      <c r="BR2866" s="0" t="s">
        <v>130</v>
      </c>
      <c r="BS2866" s="0" t="s">
        <v>130</v>
      </c>
      <c r="BT2866" s="0" t="s">
        <v>130</v>
      </c>
      <c r="BU2866" s="0" t="s">
        <v>130</v>
      </c>
      <c r="BV2866" s="0" t="s">
        <v>130</v>
      </c>
      <c r="BW2866" s="0" t="s">
        <v>130</v>
      </c>
      <c r="BX2866" s="0" t="s">
        <v>130</v>
      </c>
      <c r="BY2866" s="0" t="s">
        <v>130</v>
      </c>
      <c r="BZ2866" s="0" t="s">
        <v>130</v>
      </c>
      <c r="CA2866" s="0" t="s">
        <v>130</v>
      </c>
      <c r="CB2866" s="0" t="s">
        <v>130</v>
      </c>
      <c r="CC2866" s="0" t="s">
        <v>130</v>
      </c>
      <c r="CD2866" s="0" t="s">
        <v>130</v>
      </c>
      <c r="CE2866" s="0" t="s">
        <v>130</v>
      </c>
      <c r="CF2866" s="0" t="s">
        <v>130</v>
      </c>
      <c r="CG2866" s="0" t="s">
        <v>130</v>
      </c>
      <c r="CH2866" s="0" t="s">
        <v>130</v>
      </c>
      <c r="CI2866" s="0" t="s">
        <v>130</v>
      </c>
      <c r="CJ2866" s="0" t="s">
        <v>130</v>
      </c>
      <c r="CK2866" s="0" t="s">
        <v>141</v>
      </c>
      <c r="CL2866" s="0" t="s">
        <v>130</v>
      </c>
      <c r="CM2866" s="0" t="s">
        <v>130</v>
      </c>
      <c r="CN2866" s="0" t="s">
        <v>130</v>
      </c>
      <c r="CO2866" s="0" t="s">
        <v>130</v>
      </c>
      <c r="CP2866" s="0" t="s">
        <v>130</v>
      </c>
      <c r="CQ2866" s="0" t="s">
        <v>130</v>
      </c>
      <c r="CR2866" s="0" t="s">
        <v>130</v>
      </c>
      <c r="CS2866" s="0" t="s">
        <v>130</v>
      </c>
      <c r="CT2866" s="0" t="s">
        <v>7739</v>
      </c>
    </row>
    <row r="2867">
      <c r="A2867" s="14">
        <v>105995</v>
      </c>
      <c r="B2867" s="0" t="s">
        <v>6985</v>
      </c>
      <c r="C2867" s="16">
        <f>HYPERLINK("https://eosportal.federatedhermes.com/companies/Q29tcGFueQppODUwNTg=", "Paychex Inc")</f>
      </c>
      <c r="D2867" s="0" t="s">
        <v>23</v>
      </c>
      <c r="E2867" s="0" t="s">
        <v>7740</v>
      </c>
      <c r="F2867" s="16">
        <f>HYPERLINK("https://eosportal.federatedhermes.com/engagements/RW5nYWdlbWVudAppMzk2NTE=", "Cybersecurity Governance and Oversight")</f>
      </c>
      <c r="G2867" s="14" t="s">
        <v>7741</v>
      </c>
      <c r="H2867" s="0" t="s">
        <v>130</v>
      </c>
      <c r="I2867" s="14" t="s">
        <v>319</v>
      </c>
      <c r="J2867" s="0" t="s">
        <v>153</v>
      </c>
      <c r="K2867" s="0" t="s">
        <v>243</v>
      </c>
      <c r="L2867" s="0" t="s">
        <v>537</v>
      </c>
      <c r="M2867" s="0" t="s">
        <v>135</v>
      </c>
      <c r="N2867" s="0" t="s">
        <v>136</v>
      </c>
      <c r="O2867" s="0" t="s">
        <v>137</v>
      </c>
      <c r="Q2867" s="0" t="s">
        <v>141</v>
      </c>
      <c r="R2867" s="0" t="s">
        <v>130</v>
      </c>
      <c r="S2867" s="14">
        <v>1</v>
      </c>
      <c r="T2867" s="0" t="s">
        <v>2428</v>
      </c>
      <c r="U2867" s="0" t="s">
        <v>221</v>
      </c>
      <c r="V2867" s="14" t="s">
        <v>2428</v>
      </c>
      <c r="W2867" s="0" t="s">
        <v>223</v>
      </c>
      <c r="X2867" s="14" t="s">
        <v>138</v>
      </c>
      <c r="Y2867" s="0" t="s">
        <v>224</v>
      </c>
      <c r="Z2867" s="14" t="s">
        <v>138</v>
      </c>
      <c r="AA2867" s="0" t="s">
        <v>224</v>
      </c>
      <c r="AB2867" s="14" t="s">
        <v>138</v>
      </c>
      <c r="AD2867" s="0" t="s">
        <v>14</v>
      </c>
      <c r="AF2867" s="0">
        <v>0</v>
      </c>
      <c r="AG2867" s="0">
        <v>0</v>
      </c>
      <c r="AH2867" s="0" t="s">
        <v>140</v>
      </c>
      <c r="AI2867" s="0" t="s">
        <v>479</v>
      </c>
      <c r="AK2867" s="0" t="s">
        <v>3626</v>
      </c>
      <c r="AL2867" s="14"/>
      <c r="AN2867" s="14"/>
      <c r="AQ2867" s="0" t="s">
        <v>130</v>
      </c>
      <c r="AR2867" s="0" t="s">
        <v>130</v>
      </c>
      <c r="AS2867" s="0" t="s">
        <v>130</v>
      </c>
      <c r="AT2867" s="0" t="s">
        <v>130</v>
      </c>
      <c r="AU2867" s="0" t="s">
        <v>130</v>
      </c>
      <c r="AV2867" s="0" t="s">
        <v>130</v>
      </c>
      <c r="AW2867" s="0" t="s">
        <v>130</v>
      </c>
      <c r="AX2867" s="0" t="s">
        <v>130</v>
      </c>
      <c r="AY2867" s="0" t="s">
        <v>130</v>
      </c>
      <c r="AZ2867" s="0" t="s">
        <v>130</v>
      </c>
      <c r="BA2867" s="0" t="s">
        <v>130</v>
      </c>
      <c r="BB2867" s="0" t="s">
        <v>130</v>
      </c>
      <c r="BC2867" s="0" t="s">
        <v>130</v>
      </c>
      <c r="BD2867" s="0" t="s">
        <v>130</v>
      </c>
      <c r="BE2867" s="0" t="s">
        <v>130</v>
      </c>
      <c r="BF2867" s="0" t="s">
        <v>141</v>
      </c>
      <c r="BG2867" s="0" t="s">
        <v>130</v>
      </c>
      <c r="BH2867" s="0" t="s">
        <v>130</v>
      </c>
      <c r="BI2867" s="0" t="s">
        <v>130</v>
      </c>
      <c r="BJ2867" s="0" t="s">
        <v>130</v>
      </c>
      <c r="BK2867" s="0" t="s">
        <v>130</v>
      </c>
      <c r="BL2867" s="0" t="s">
        <v>130</v>
      </c>
      <c r="BM2867" s="0" t="s">
        <v>130</v>
      </c>
      <c r="BN2867" s="0" t="s">
        <v>130</v>
      </c>
      <c r="BO2867" s="0" t="s">
        <v>130</v>
      </c>
      <c r="BP2867" s="0" t="s">
        <v>130</v>
      </c>
      <c r="BQ2867" s="0" t="s">
        <v>130</v>
      </c>
      <c r="BR2867" s="0" t="s">
        <v>130</v>
      </c>
      <c r="BS2867" s="0" t="s">
        <v>130</v>
      </c>
      <c r="BT2867" s="0" t="s">
        <v>130</v>
      </c>
      <c r="BU2867" s="0" t="s">
        <v>130</v>
      </c>
      <c r="BV2867" s="0" t="s">
        <v>130</v>
      </c>
      <c r="BW2867" s="0" t="s">
        <v>130</v>
      </c>
      <c r="BX2867" s="0" t="s">
        <v>130</v>
      </c>
      <c r="BY2867" s="0" t="s">
        <v>130</v>
      </c>
      <c r="BZ2867" s="0" t="s">
        <v>130</v>
      </c>
      <c r="CA2867" s="0" t="s">
        <v>130</v>
      </c>
      <c r="CB2867" s="0" t="s">
        <v>130</v>
      </c>
      <c r="CC2867" s="0" t="s">
        <v>130</v>
      </c>
      <c r="CD2867" s="0" t="s">
        <v>130</v>
      </c>
      <c r="CE2867" s="0" t="s">
        <v>130</v>
      </c>
      <c r="CF2867" s="0" t="s">
        <v>130</v>
      </c>
      <c r="CG2867" s="0" t="s">
        <v>130</v>
      </c>
      <c r="CH2867" s="0" t="s">
        <v>130</v>
      </c>
      <c r="CI2867" s="0" t="s">
        <v>130</v>
      </c>
      <c r="CJ2867" s="0" t="s">
        <v>130</v>
      </c>
      <c r="CK2867" s="0" t="s">
        <v>130</v>
      </c>
      <c r="CL2867" s="0" t="s">
        <v>130</v>
      </c>
      <c r="CM2867" s="0" t="s">
        <v>130</v>
      </c>
      <c r="CN2867" s="0" t="s">
        <v>130</v>
      </c>
      <c r="CO2867" s="0" t="s">
        <v>130</v>
      </c>
      <c r="CP2867" s="0" t="s">
        <v>130</v>
      </c>
      <c r="CQ2867" s="0" t="s">
        <v>130</v>
      </c>
      <c r="CR2867" s="0" t="s">
        <v>130</v>
      </c>
      <c r="CS2867" s="0" t="s">
        <v>130</v>
      </c>
      <c r="CT2867" s="0" t="s">
        <v>7742</v>
      </c>
    </row>
    <row r="2868">
      <c r="A2868" s="14">
        <v>105995</v>
      </c>
      <c r="B2868" s="0" t="s">
        <v>6985</v>
      </c>
      <c r="C2868" s="16">
        <f>HYPERLINK("https://eosportal.federatedhermes.com/companies/Q29tcGFueQppODUwNTg=", "Paychex Inc")</f>
      </c>
      <c r="D2868" s="0" t="s">
        <v>23</v>
      </c>
      <c r="E2868" s="0" t="s">
        <v>7743</v>
      </c>
      <c r="F2868" s="16">
        <f>HYPERLINK("https://eosportal.federatedhermes.com/engagements/RW5nYWdlbWVudAppMzk2NTI=", "Cybersecurity Risk Management")</f>
      </c>
      <c r="G2868" s="14" t="s">
        <v>7744</v>
      </c>
      <c r="H2868" s="0" t="s">
        <v>130</v>
      </c>
      <c r="I2868" s="14" t="s">
        <v>319</v>
      </c>
      <c r="J2868" s="0" t="s">
        <v>153</v>
      </c>
      <c r="K2868" s="0" t="s">
        <v>243</v>
      </c>
      <c r="L2868" s="0" t="s">
        <v>537</v>
      </c>
      <c r="M2868" s="0" t="s">
        <v>135</v>
      </c>
      <c r="N2868" s="0" t="s">
        <v>136</v>
      </c>
      <c r="O2868" s="0" t="s">
        <v>137</v>
      </c>
      <c r="Q2868" s="0" t="s">
        <v>141</v>
      </c>
      <c r="R2868" s="0" t="s">
        <v>130</v>
      </c>
      <c r="S2868" s="14">
        <v>1</v>
      </c>
      <c r="T2868" s="0" t="s">
        <v>4412</v>
      </c>
      <c r="U2868" s="0" t="s">
        <v>221</v>
      </c>
      <c r="V2868" s="14" t="s">
        <v>4412</v>
      </c>
      <c r="W2868" s="0" t="s">
        <v>223</v>
      </c>
      <c r="X2868" s="14" t="s">
        <v>138</v>
      </c>
      <c r="Y2868" s="0" t="s">
        <v>224</v>
      </c>
      <c r="Z2868" s="14" t="s">
        <v>138</v>
      </c>
      <c r="AA2868" s="0" t="s">
        <v>224</v>
      </c>
      <c r="AB2868" s="14" t="s">
        <v>138</v>
      </c>
      <c r="AD2868" s="0" t="s">
        <v>14</v>
      </c>
      <c r="AF2868" s="0">
        <v>0</v>
      </c>
      <c r="AG2868" s="0">
        <v>0</v>
      </c>
      <c r="AH2868" s="0" t="s">
        <v>140</v>
      </c>
      <c r="AI2868" s="0" t="s">
        <v>598</v>
      </c>
      <c r="AK2868" s="0" t="s">
        <v>3626</v>
      </c>
      <c r="AL2868" s="14"/>
      <c r="AN2868" s="14"/>
      <c r="AQ2868" s="0" t="s">
        <v>130</v>
      </c>
      <c r="AR2868" s="0" t="s">
        <v>130</v>
      </c>
      <c r="AS2868" s="0" t="s">
        <v>130</v>
      </c>
      <c r="AT2868" s="0" t="s">
        <v>130</v>
      </c>
      <c r="AU2868" s="0" t="s">
        <v>130</v>
      </c>
      <c r="AV2868" s="0" t="s">
        <v>130</v>
      </c>
      <c r="AW2868" s="0" t="s">
        <v>130</v>
      </c>
      <c r="AX2868" s="0" t="s">
        <v>130</v>
      </c>
      <c r="AY2868" s="0" t="s">
        <v>130</v>
      </c>
      <c r="AZ2868" s="0" t="s">
        <v>130</v>
      </c>
      <c r="BA2868" s="0" t="s">
        <v>130</v>
      </c>
      <c r="BB2868" s="0" t="s">
        <v>130</v>
      </c>
      <c r="BC2868" s="0" t="s">
        <v>130</v>
      </c>
      <c r="BD2868" s="0" t="s">
        <v>130</v>
      </c>
      <c r="BE2868" s="0" t="s">
        <v>130</v>
      </c>
      <c r="BF2868" s="0" t="s">
        <v>141</v>
      </c>
      <c r="BG2868" s="0" t="s">
        <v>130</v>
      </c>
      <c r="BH2868" s="0" t="s">
        <v>130</v>
      </c>
      <c r="BI2868" s="0" t="s">
        <v>130</v>
      </c>
      <c r="BJ2868" s="0" t="s">
        <v>130</v>
      </c>
      <c r="BK2868" s="0" t="s">
        <v>130</v>
      </c>
      <c r="BL2868" s="0" t="s">
        <v>130</v>
      </c>
      <c r="BM2868" s="0" t="s">
        <v>130</v>
      </c>
      <c r="BN2868" s="0" t="s">
        <v>130</v>
      </c>
      <c r="BO2868" s="0" t="s">
        <v>130</v>
      </c>
      <c r="BP2868" s="0" t="s">
        <v>130</v>
      </c>
      <c r="BQ2868" s="0" t="s">
        <v>130</v>
      </c>
      <c r="BR2868" s="0" t="s">
        <v>130</v>
      </c>
      <c r="BS2868" s="0" t="s">
        <v>130</v>
      </c>
      <c r="BT2868" s="0" t="s">
        <v>130</v>
      </c>
      <c r="BU2868" s="0" t="s">
        <v>130</v>
      </c>
      <c r="BV2868" s="0" t="s">
        <v>130</v>
      </c>
      <c r="BW2868" s="0" t="s">
        <v>130</v>
      </c>
      <c r="BX2868" s="0" t="s">
        <v>130</v>
      </c>
      <c r="BY2868" s="0" t="s">
        <v>130</v>
      </c>
      <c r="BZ2868" s="0" t="s">
        <v>130</v>
      </c>
      <c r="CA2868" s="0" t="s">
        <v>130</v>
      </c>
      <c r="CB2868" s="0" t="s">
        <v>130</v>
      </c>
      <c r="CC2868" s="0" t="s">
        <v>130</v>
      </c>
      <c r="CD2868" s="0" t="s">
        <v>130</v>
      </c>
      <c r="CE2868" s="0" t="s">
        <v>130</v>
      </c>
      <c r="CF2868" s="0" t="s">
        <v>130</v>
      </c>
      <c r="CG2868" s="0" t="s">
        <v>130</v>
      </c>
      <c r="CH2868" s="0" t="s">
        <v>130</v>
      </c>
      <c r="CI2868" s="0" t="s">
        <v>130</v>
      </c>
      <c r="CJ2868" s="0" t="s">
        <v>130</v>
      </c>
      <c r="CK2868" s="0" t="s">
        <v>130</v>
      </c>
      <c r="CL2868" s="0" t="s">
        <v>130</v>
      </c>
      <c r="CM2868" s="0" t="s">
        <v>130</v>
      </c>
      <c r="CN2868" s="0" t="s">
        <v>130</v>
      </c>
      <c r="CO2868" s="0" t="s">
        <v>130</v>
      </c>
      <c r="CP2868" s="0" t="s">
        <v>130</v>
      </c>
      <c r="CQ2868" s="0" t="s">
        <v>130</v>
      </c>
      <c r="CR2868" s="0" t="s">
        <v>130</v>
      </c>
      <c r="CS2868" s="0" t="s">
        <v>130</v>
      </c>
      <c r="CT2868" s="0" t="s">
        <v>7745</v>
      </c>
    </row>
    <row r="2869">
      <c r="A2869" s="14">
        <v>101214</v>
      </c>
      <c r="B2869" s="0" t="s">
        <v>1420</v>
      </c>
      <c r="C2869" s="16">
        <f>HYPERLINK("https://eosportal.federatedhermes.com/companies/Q29tcGFueQppNTg5OTE=", "Citigroup Inc")</f>
      </c>
      <c r="D2869" s="0" t="s">
        <v>23</v>
      </c>
      <c r="E2869" s="0" t="s">
        <v>7746</v>
      </c>
      <c r="F2869" s="16">
        <f>HYPERLINK("https://eosportal.federatedhermes.com/engagements/RW5nYWdlbWVudAppMzk2NjU=", "Methane Reduction Strategy")</f>
      </c>
      <c r="G2869" s="14" t="s">
        <v>7747</v>
      </c>
      <c r="H2869" s="0" t="s">
        <v>141</v>
      </c>
      <c r="I2869" s="14" t="s">
        <v>191</v>
      </c>
      <c r="J2869" s="0" t="s">
        <v>197</v>
      </c>
      <c r="K2869" s="0" t="s">
        <v>198</v>
      </c>
      <c r="L2869" s="0" t="s">
        <v>216</v>
      </c>
      <c r="M2869" s="0" t="s">
        <v>135</v>
      </c>
      <c r="N2869" s="0" t="s">
        <v>136</v>
      </c>
      <c r="O2869" s="0" t="s">
        <v>238</v>
      </c>
      <c r="Q2869" s="0" t="s">
        <v>141</v>
      </c>
      <c r="R2869" s="0" t="s">
        <v>130</v>
      </c>
      <c r="S2869" s="14">
        <v>1</v>
      </c>
      <c r="T2869" s="0" t="s">
        <v>449</v>
      </c>
      <c r="U2869" s="0" t="s">
        <v>221</v>
      </c>
      <c r="V2869" s="14" t="s">
        <v>449</v>
      </c>
      <c r="W2869" s="0" t="s">
        <v>223</v>
      </c>
      <c r="X2869" s="14" t="s">
        <v>138</v>
      </c>
      <c r="Y2869" s="0" t="s">
        <v>224</v>
      </c>
      <c r="Z2869" s="14" t="s">
        <v>138</v>
      </c>
      <c r="AA2869" s="0" t="s">
        <v>224</v>
      </c>
      <c r="AB2869" s="14" t="s">
        <v>138</v>
      </c>
      <c r="AD2869" s="0" t="s">
        <v>14</v>
      </c>
      <c r="AF2869" s="0">
        <v>0</v>
      </c>
      <c r="AG2869" s="0">
        <v>0</v>
      </c>
      <c r="AH2869" s="0" t="s">
        <v>140</v>
      </c>
      <c r="AI2869" s="0" t="s">
        <v>598</v>
      </c>
      <c r="AK2869" s="0" t="s">
        <v>1439</v>
      </c>
      <c r="AL2869" s="14"/>
      <c r="AN2869" s="14"/>
      <c r="AQ2869" s="0" t="s">
        <v>130</v>
      </c>
      <c r="AR2869" s="0" t="s">
        <v>130</v>
      </c>
      <c r="AS2869" s="0" t="s">
        <v>130</v>
      </c>
      <c r="AT2869" s="0" t="s">
        <v>130</v>
      </c>
      <c r="AU2869" s="0" t="s">
        <v>130</v>
      </c>
      <c r="AV2869" s="0" t="s">
        <v>130</v>
      </c>
      <c r="AW2869" s="0" t="s">
        <v>141</v>
      </c>
      <c r="AX2869" s="0" t="s">
        <v>130</v>
      </c>
      <c r="AY2869" s="0" t="s">
        <v>130</v>
      </c>
      <c r="AZ2869" s="0" t="s">
        <v>130</v>
      </c>
      <c r="BA2869" s="0" t="s">
        <v>130</v>
      </c>
      <c r="BB2869" s="0" t="s">
        <v>130</v>
      </c>
      <c r="BC2869" s="0" t="s">
        <v>141</v>
      </c>
      <c r="BD2869" s="0" t="s">
        <v>130</v>
      </c>
      <c r="BE2869" s="0" t="s">
        <v>130</v>
      </c>
      <c r="BF2869" s="0" t="s">
        <v>130</v>
      </c>
      <c r="BG2869" s="0" t="s">
        <v>130</v>
      </c>
      <c r="BH2869" s="0" t="s">
        <v>141</v>
      </c>
      <c r="BI2869" s="0" t="s">
        <v>141</v>
      </c>
      <c r="BJ2869" s="0" t="s">
        <v>141</v>
      </c>
      <c r="BK2869" s="0" t="s">
        <v>130</v>
      </c>
      <c r="BL2869" s="0" t="s">
        <v>130</v>
      </c>
      <c r="BM2869" s="0" t="s">
        <v>130</v>
      </c>
      <c r="BN2869" s="0" t="s">
        <v>130</v>
      </c>
      <c r="BO2869" s="0" t="s">
        <v>130</v>
      </c>
      <c r="BP2869" s="0" t="s">
        <v>130</v>
      </c>
      <c r="BQ2869" s="0" t="s">
        <v>130</v>
      </c>
      <c r="BR2869" s="0" t="s">
        <v>130</v>
      </c>
      <c r="BS2869" s="0" t="s">
        <v>130</v>
      </c>
      <c r="BT2869" s="0" t="s">
        <v>130</v>
      </c>
      <c r="BU2869" s="0" t="s">
        <v>130</v>
      </c>
      <c r="BV2869" s="0" t="s">
        <v>141</v>
      </c>
      <c r="BW2869" s="0" t="s">
        <v>141</v>
      </c>
      <c r="BX2869" s="0" t="s">
        <v>130</v>
      </c>
      <c r="BY2869" s="0" t="s">
        <v>130</v>
      </c>
      <c r="BZ2869" s="0" t="s">
        <v>130</v>
      </c>
      <c r="CA2869" s="0" t="s">
        <v>130</v>
      </c>
      <c r="CB2869" s="0" t="s">
        <v>130</v>
      </c>
      <c r="CC2869" s="0" t="s">
        <v>130</v>
      </c>
      <c r="CD2869" s="0" t="s">
        <v>130</v>
      </c>
      <c r="CE2869" s="0" t="s">
        <v>130</v>
      </c>
      <c r="CF2869" s="0" t="s">
        <v>130</v>
      </c>
      <c r="CG2869" s="0" t="s">
        <v>130</v>
      </c>
      <c r="CH2869" s="0" t="s">
        <v>130</v>
      </c>
      <c r="CI2869" s="0" t="s">
        <v>130</v>
      </c>
      <c r="CJ2869" s="0" t="s">
        <v>130</v>
      </c>
      <c r="CK2869" s="0" t="s">
        <v>130</v>
      </c>
      <c r="CL2869" s="0" t="s">
        <v>130</v>
      </c>
      <c r="CM2869" s="0" t="s">
        <v>130</v>
      </c>
      <c r="CN2869" s="0" t="s">
        <v>130</v>
      </c>
      <c r="CO2869" s="0" t="s">
        <v>130</v>
      </c>
      <c r="CP2869" s="0" t="s">
        <v>130</v>
      </c>
      <c r="CQ2869" s="0" t="s">
        <v>130</v>
      </c>
      <c r="CR2869" s="0" t="s">
        <v>130</v>
      </c>
      <c r="CS2869" s="0" t="s">
        <v>130</v>
      </c>
      <c r="CT2869" s="0" t="s">
        <v>7748</v>
      </c>
    </row>
    <row r="2870">
      <c r="A2870" s="14">
        <v>101214</v>
      </c>
      <c r="B2870" s="0" t="s">
        <v>1420</v>
      </c>
      <c r="C2870" s="16">
        <f>HYPERLINK("https://eosportal.federatedhermes.com/companies/Q29tcGFueQppNTg5OTE=", "Citigroup Inc")</f>
      </c>
      <c r="D2870" s="0" t="s">
        <v>23</v>
      </c>
      <c r="E2870" s="0" t="s">
        <v>7749</v>
      </c>
      <c r="F2870" s="16">
        <f>HYPERLINK("https://eosportal.federatedhermes.com/engagements/RW5nYWdlbWVudAppMzk2NjY=", "Compliance enhancements and risk management")</f>
      </c>
      <c r="G2870" s="14" t="s">
        <v>7750</v>
      </c>
      <c r="H2870" s="0" t="s">
        <v>141</v>
      </c>
      <c r="I2870" s="14" t="s">
        <v>191</v>
      </c>
      <c r="J2870" s="0" t="s">
        <v>132</v>
      </c>
      <c r="K2870" s="0" t="s">
        <v>260</v>
      </c>
      <c r="L2870" s="0" t="s">
        <v>261</v>
      </c>
      <c r="M2870" s="0" t="s">
        <v>135</v>
      </c>
      <c r="N2870" s="0" t="s">
        <v>136</v>
      </c>
      <c r="O2870" s="0" t="s">
        <v>238</v>
      </c>
      <c r="Q2870" s="0" t="s">
        <v>141</v>
      </c>
      <c r="R2870" s="0" t="s">
        <v>130</v>
      </c>
      <c r="S2870" s="14">
        <v>1</v>
      </c>
      <c r="T2870" s="0" t="s">
        <v>449</v>
      </c>
      <c r="U2870" s="0" t="s">
        <v>221</v>
      </c>
      <c r="V2870" s="14" t="s">
        <v>449</v>
      </c>
      <c r="W2870" s="0" t="s">
        <v>223</v>
      </c>
      <c r="X2870" s="14" t="s">
        <v>138</v>
      </c>
      <c r="Y2870" s="0" t="s">
        <v>224</v>
      </c>
      <c r="Z2870" s="14" t="s">
        <v>138</v>
      </c>
      <c r="AA2870" s="0" t="s">
        <v>224</v>
      </c>
      <c r="AB2870" s="14" t="s">
        <v>138</v>
      </c>
      <c r="AD2870" s="0" t="s">
        <v>14</v>
      </c>
      <c r="AF2870" s="0">
        <v>0</v>
      </c>
      <c r="AG2870" s="0">
        <v>0</v>
      </c>
      <c r="AH2870" s="0" t="s">
        <v>140</v>
      </c>
      <c r="AI2870" s="0" t="s">
        <v>598</v>
      </c>
      <c r="AK2870" s="0" t="s">
        <v>1439</v>
      </c>
      <c r="AL2870" s="14"/>
      <c r="AN2870" s="14"/>
      <c r="AQ2870" s="0" t="s">
        <v>130</v>
      </c>
      <c r="AR2870" s="0" t="s">
        <v>130</v>
      </c>
      <c r="AS2870" s="0" t="s">
        <v>130</v>
      </c>
      <c r="AT2870" s="0" t="s">
        <v>130</v>
      </c>
      <c r="AU2870" s="0" t="s">
        <v>130</v>
      </c>
      <c r="AV2870" s="0" t="s">
        <v>130</v>
      </c>
      <c r="AW2870" s="0" t="s">
        <v>130</v>
      </c>
      <c r="AX2870" s="0" t="s">
        <v>130</v>
      </c>
      <c r="AY2870" s="0" t="s">
        <v>130</v>
      </c>
      <c r="AZ2870" s="0" t="s">
        <v>130</v>
      </c>
      <c r="BA2870" s="0" t="s">
        <v>130</v>
      </c>
      <c r="BB2870" s="0" t="s">
        <v>130</v>
      </c>
      <c r="BC2870" s="0" t="s">
        <v>130</v>
      </c>
      <c r="BD2870" s="0" t="s">
        <v>130</v>
      </c>
      <c r="BE2870" s="0" t="s">
        <v>130</v>
      </c>
      <c r="BF2870" s="0" t="s">
        <v>130</v>
      </c>
      <c r="BG2870" s="0" t="s">
        <v>130</v>
      </c>
      <c r="BH2870" s="0" t="s">
        <v>130</v>
      </c>
      <c r="BI2870" s="0" t="s">
        <v>130</v>
      </c>
      <c r="BJ2870" s="0" t="s">
        <v>130</v>
      </c>
      <c r="BK2870" s="0" t="s">
        <v>130</v>
      </c>
      <c r="BL2870" s="0" t="s">
        <v>130</v>
      </c>
      <c r="BM2870" s="0" t="s">
        <v>130</v>
      </c>
      <c r="BN2870" s="0" t="s">
        <v>130</v>
      </c>
      <c r="BO2870" s="0" t="s">
        <v>130</v>
      </c>
      <c r="BP2870" s="0" t="s">
        <v>130</v>
      </c>
      <c r="BQ2870" s="0" t="s">
        <v>130</v>
      </c>
      <c r="BR2870" s="0" t="s">
        <v>130</v>
      </c>
      <c r="BS2870" s="0" t="s">
        <v>130</v>
      </c>
      <c r="BT2870" s="0" t="s">
        <v>130</v>
      </c>
      <c r="BU2870" s="0" t="s">
        <v>130</v>
      </c>
      <c r="BV2870" s="0" t="s">
        <v>130</v>
      </c>
      <c r="BW2870" s="0" t="s">
        <v>130</v>
      </c>
      <c r="BX2870" s="0" t="s">
        <v>130</v>
      </c>
      <c r="BY2870" s="0" t="s">
        <v>130</v>
      </c>
      <c r="BZ2870" s="0" t="s">
        <v>130</v>
      </c>
      <c r="CA2870" s="0" t="s">
        <v>130</v>
      </c>
      <c r="CB2870" s="0" t="s">
        <v>130</v>
      </c>
      <c r="CC2870" s="0" t="s">
        <v>130</v>
      </c>
      <c r="CD2870" s="0" t="s">
        <v>130</v>
      </c>
      <c r="CE2870" s="0" t="s">
        <v>130</v>
      </c>
      <c r="CF2870" s="0" t="s">
        <v>130</v>
      </c>
      <c r="CG2870" s="0" t="s">
        <v>130</v>
      </c>
      <c r="CH2870" s="0" t="s">
        <v>130</v>
      </c>
      <c r="CI2870" s="0" t="s">
        <v>130</v>
      </c>
      <c r="CJ2870" s="0" t="s">
        <v>130</v>
      </c>
      <c r="CK2870" s="0" t="s">
        <v>130</v>
      </c>
      <c r="CL2870" s="0" t="s">
        <v>130</v>
      </c>
      <c r="CM2870" s="0" t="s">
        <v>130</v>
      </c>
      <c r="CN2870" s="0" t="s">
        <v>130</v>
      </c>
      <c r="CO2870" s="0" t="s">
        <v>130</v>
      </c>
      <c r="CP2870" s="0" t="s">
        <v>130</v>
      </c>
      <c r="CQ2870" s="0" t="s">
        <v>130</v>
      </c>
      <c r="CR2870" s="0" t="s">
        <v>130</v>
      </c>
      <c r="CS2870" s="0" t="s">
        <v>130</v>
      </c>
      <c r="CT2870" s="0" t="s">
        <v>7751</v>
      </c>
    </row>
    <row r="2871">
      <c r="A2871" s="14">
        <v>117312</v>
      </c>
      <c r="B2871" s="0" t="s">
        <v>2853</v>
      </c>
      <c r="C2871" s="16">
        <f>HYPERLINK("https://eosportal.federatedhermes.com/companies/Q29tcGFueQppNDc1NDI=", "Royal Caribbean Cruises Ltd")</f>
      </c>
      <c r="D2871" s="0" t="s">
        <v>25</v>
      </c>
      <c r="E2871" s="0" t="s">
        <v>7752</v>
      </c>
      <c r="F2871" s="16">
        <f>HYPERLINK("https://eosportal.federatedhermes.com/engagements/RW5nYWdlbWVudAppMzk2NzE=", "Waste management")</f>
      </c>
      <c r="G2871" s="14" t="s">
        <v>7753</v>
      </c>
      <c r="H2871" s="0" t="s">
        <v>130</v>
      </c>
      <c r="I2871" s="14" t="s">
        <v>131</v>
      </c>
      <c r="J2871" s="0" t="s">
        <v>197</v>
      </c>
      <c r="K2871" s="0" t="s">
        <v>348</v>
      </c>
      <c r="L2871" s="0" t="s">
        <v>650</v>
      </c>
      <c r="M2871" s="0" t="s">
        <v>135</v>
      </c>
      <c r="N2871" s="0" t="s">
        <v>136</v>
      </c>
      <c r="O2871" s="0" t="s">
        <v>643</v>
      </c>
      <c r="Q2871" s="0" t="s">
        <v>141</v>
      </c>
      <c r="R2871" s="0" t="s">
        <v>138</v>
      </c>
      <c r="S2871" s="14">
        <v>1</v>
      </c>
      <c r="T2871" s="0" t="s">
        <v>449</v>
      </c>
      <c r="U2871" s="0" t="s">
        <v>138</v>
      </c>
      <c r="V2871" s="14" t="s">
        <v>138</v>
      </c>
      <c r="W2871" s="0" t="s">
        <v>138</v>
      </c>
      <c r="X2871" s="14" t="s">
        <v>138</v>
      </c>
      <c r="Y2871" s="0" t="s">
        <v>138</v>
      </c>
      <c r="Z2871" s="14" t="s">
        <v>138</v>
      </c>
      <c r="AA2871" s="0" t="s">
        <v>138</v>
      </c>
      <c r="AB2871" s="14" t="s">
        <v>138</v>
      </c>
      <c r="AD2871" s="0" t="s">
        <v>138</v>
      </c>
      <c r="AF2871" s="0">
        <v>0</v>
      </c>
      <c r="AG2871" s="0">
        <v>0</v>
      </c>
      <c r="AH2871" s="0" t="s">
        <v>140</v>
      </c>
      <c r="AI2871" s="0" t="s">
        <v>138</v>
      </c>
      <c r="AK2871" s="0" t="s">
        <v>1950</v>
      </c>
      <c r="AL2871" s="14"/>
      <c r="AN2871" s="14"/>
      <c r="AQ2871" s="0" t="s">
        <v>130</v>
      </c>
      <c r="AR2871" s="0" t="s">
        <v>130</v>
      </c>
      <c r="AS2871" s="0" t="s">
        <v>130</v>
      </c>
      <c r="AT2871" s="0" t="s">
        <v>130</v>
      </c>
      <c r="AU2871" s="0" t="s">
        <v>130</v>
      </c>
      <c r="AV2871" s="0" t="s">
        <v>130</v>
      </c>
      <c r="AW2871" s="0" t="s">
        <v>130</v>
      </c>
      <c r="AX2871" s="0" t="s">
        <v>130</v>
      </c>
      <c r="AY2871" s="0" t="s">
        <v>130</v>
      </c>
      <c r="AZ2871" s="0" t="s">
        <v>130</v>
      </c>
      <c r="BA2871" s="0" t="s">
        <v>130</v>
      </c>
      <c r="BB2871" s="0" t="s">
        <v>130</v>
      </c>
      <c r="BC2871" s="0" t="s">
        <v>130</v>
      </c>
      <c r="BD2871" s="0" t="s">
        <v>141</v>
      </c>
      <c r="BE2871" s="0" t="s">
        <v>130</v>
      </c>
      <c r="BF2871" s="0" t="s">
        <v>130</v>
      </c>
      <c r="BG2871" s="0" t="s">
        <v>130</v>
      </c>
      <c r="BH2871" s="0" t="s">
        <v>130</v>
      </c>
      <c r="BI2871" s="0" t="s">
        <v>130</v>
      </c>
      <c r="BJ2871" s="0" t="s">
        <v>130</v>
      </c>
      <c r="BK2871" s="0" t="s">
        <v>130</v>
      </c>
      <c r="BL2871" s="0" t="s">
        <v>130</v>
      </c>
      <c r="BM2871" s="0" t="s">
        <v>130</v>
      </c>
      <c r="BN2871" s="0" t="s">
        <v>130</v>
      </c>
      <c r="BO2871" s="0" t="s">
        <v>130</v>
      </c>
      <c r="BP2871" s="0" t="s">
        <v>130</v>
      </c>
      <c r="BQ2871" s="0" t="s">
        <v>130</v>
      </c>
      <c r="BR2871" s="0" t="s">
        <v>130</v>
      </c>
      <c r="BS2871" s="0" t="s">
        <v>130</v>
      </c>
      <c r="BT2871" s="0" t="s">
        <v>130</v>
      </c>
      <c r="BU2871" s="0" t="s">
        <v>130</v>
      </c>
      <c r="BV2871" s="0" t="s">
        <v>130</v>
      </c>
      <c r="BW2871" s="0" t="s">
        <v>130</v>
      </c>
      <c r="BX2871" s="0" t="s">
        <v>130</v>
      </c>
      <c r="BY2871" s="0" t="s">
        <v>130</v>
      </c>
      <c r="BZ2871" s="0" t="s">
        <v>130</v>
      </c>
      <c r="CA2871" s="0" t="s">
        <v>130</v>
      </c>
      <c r="CB2871" s="0" t="s">
        <v>130</v>
      </c>
      <c r="CC2871" s="0" t="s">
        <v>130</v>
      </c>
      <c r="CD2871" s="0" t="s">
        <v>141</v>
      </c>
      <c r="CE2871" s="0" t="s">
        <v>130</v>
      </c>
      <c r="CF2871" s="0" t="s">
        <v>130</v>
      </c>
      <c r="CG2871" s="0" t="s">
        <v>130</v>
      </c>
      <c r="CH2871" s="0" t="s">
        <v>130</v>
      </c>
      <c r="CI2871" s="0" t="s">
        <v>130</v>
      </c>
      <c r="CJ2871" s="0" t="s">
        <v>130</v>
      </c>
      <c r="CK2871" s="0" t="s">
        <v>130</v>
      </c>
      <c r="CL2871" s="0" t="s">
        <v>130</v>
      </c>
      <c r="CM2871" s="0" t="s">
        <v>130</v>
      </c>
      <c r="CN2871" s="0" t="s">
        <v>130</v>
      </c>
      <c r="CO2871" s="0" t="s">
        <v>130</v>
      </c>
      <c r="CP2871" s="0" t="s">
        <v>130</v>
      </c>
      <c r="CQ2871" s="0" t="s">
        <v>130</v>
      </c>
      <c r="CR2871" s="0" t="s">
        <v>130</v>
      </c>
      <c r="CS2871" s="0" t="s">
        <v>130</v>
      </c>
      <c r="CT2871" s="0" t="s">
        <v>7754</v>
      </c>
    </row>
    <row r="2872">
      <c r="A2872" s="14">
        <v>136124</v>
      </c>
      <c r="B2872" s="0" t="s">
        <v>3066</v>
      </c>
      <c r="C2872" s="16">
        <f>HYPERLINK("https://eosportal.federatedhermes.com/companies/Q29tcGFueQppODQ3NTU=", "AP Moller - Maersk A/S")</f>
      </c>
      <c r="D2872" s="0" t="s">
        <v>23</v>
      </c>
      <c r="E2872" s="0" t="s">
        <v>922</v>
      </c>
      <c r="F2872" s="16">
        <f>HYPERLINK("https://eosportal.federatedhermes.com/engagements/RW5nYWdlbWVudAppMzk3MDQ=", "Human rights")</f>
      </c>
      <c r="G2872" s="14" t="s">
        <v>7755</v>
      </c>
      <c r="H2872" s="0" t="s">
        <v>141</v>
      </c>
      <c r="I2872" s="14" t="s">
        <v>191</v>
      </c>
      <c r="J2872" s="0" t="s">
        <v>153</v>
      </c>
      <c r="K2872" s="0" t="s">
        <v>243</v>
      </c>
      <c r="L2872" s="0" t="s">
        <v>456</v>
      </c>
      <c r="M2872" s="0" t="s">
        <v>378</v>
      </c>
      <c r="N2872" s="0" t="s">
        <v>1339</v>
      </c>
      <c r="O2872" s="0" t="s">
        <v>425</v>
      </c>
      <c r="Q2872" s="0" t="s">
        <v>141</v>
      </c>
      <c r="R2872" s="0" t="s">
        <v>130</v>
      </c>
      <c r="S2872" s="14">
        <v>2</v>
      </c>
      <c r="T2872" s="0" t="s">
        <v>449</v>
      </c>
      <c r="U2872" s="0" t="s">
        <v>221</v>
      </c>
      <c r="V2872" s="14" t="s">
        <v>449</v>
      </c>
      <c r="W2872" s="0" t="s">
        <v>221</v>
      </c>
      <c r="X2872" s="14" t="s">
        <v>449</v>
      </c>
      <c r="Y2872" s="0" t="s">
        <v>223</v>
      </c>
      <c r="Z2872" s="14" t="s">
        <v>138</v>
      </c>
      <c r="AA2872" s="0" t="s">
        <v>224</v>
      </c>
      <c r="AB2872" s="14" t="s">
        <v>138</v>
      </c>
      <c r="AD2872" s="0" t="s">
        <v>17</v>
      </c>
      <c r="AF2872" s="0">
        <v>0</v>
      </c>
      <c r="AG2872" s="0">
        <v>0</v>
      </c>
      <c r="AH2872" s="0" t="s">
        <v>140</v>
      </c>
      <c r="AI2872" s="0" t="s">
        <v>598</v>
      </c>
      <c r="AK2872" s="0" t="s">
        <v>226</v>
      </c>
      <c r="AL2872" s="14"/>
      <c r="AN2872" s="14"/>
      <c r="AQ2872" s="0" t="s">
        <v>130</v>
      </c>
      <c r="AR2872" s="0" t="s">
        <v>130</v>
      </c>
      <c r="AS2872" s="0" t="s">
        <v>130</v>
      </c>
      <c r="AT2872" s="0" t="s">
        <v>130</v>
      </c>
      <c r="AU2872" s="0" t="s">
        <v>130</v>
      </c>
      <c r="AV2872" s="0" t="s">
        <v>130</v>
      </c>
      <c r="AW2872" s="0" t="s">
        <v>130</v>
      </c>
      <c r="AX2872" s="0" t="s">
        <v>141</v>
      </c>
      <c r="AY2872" s="0" t="s">
        <v>130</v>
      </c>
      <c r="AZ2872" s="0" t="s">
        <v>130</v>
      </c>
      <c r="BA2872" s="0" t="s">
        <v>130</v>
      </c>
      <c r="BB2872" s="0" t="s">
        <v>130</v>
      </c>
      <c r="BC2872" s="0" t="s">
        <v>130</v>
      </c>
      <c r="BD2872" s="0" t="s">
        <v>130</v>
      </c>
      <c r="BE2872" s="0" t="s">
        <v>130</v>
      </c>
      <c r="BF2872" s="0" t="s">
        <v>141</v>
      </c>
      <c r="BG2872" s="0" t="s">
        <v>130</v>
      </c>
      <c r="BH2872" s="0" t="s">
        <v>130</v>
      </c>
      <c r="BI2872" s="0" t="s">
        <v>130</v>
      </c>
      <c r="BJ2872" s="0" t="s">
        <v>130</v>
      </c>
      <c r="BK2872" s="0" t="s">
        <v>130</v>
      </c>
      <c r="BL2872" s="0" t="s">
        <v>130</v>
      </c>
      <c r="BM2872" s="0" t="s">
        <v>130</v>
      </c>
      <c r="BN2872" s="0" t="s">
        <v>130</v>
      </c>
      <c r="BO2872" s="0" t="s">
        <v>130</v>
      </c>
      <c r="BP2872" s="0" t="s">
        <v>130</v>
      </c>
      <c r="BQ2872" s="0" t="s">
        <v>130</v>
      </c>
      <c r="BR2872" s="0" t="s">
        <v>130</v>
      </c>
      <c r="BS2872" s="0" t="s">
        <v>130</v>
      </c>
      <c r="BT2872" s="0" t="s">
        <v>130</v>
      </c>
      <c r="BU2872" s="0" t="s">
        <v>130</v>
      </c>
      <c r="BV2872" s="0" t="s">
        <v>130</v>
      </c>
      <c r="BW2872" s="0" t="s">
        <v>130</v>
      </c>
      <c r="BX2872" s="0" t="s">
        <v>130</v>
      </c>
      <c r="BY2872" s="0" t="s">
        <v>130</v>
      </c>
      <c r="BZ2872" s="0" t="s">
        <v>130</v>
      </c>
      <c r="CA2872" s="0" t="s">
        <v>130</v>
      </c>
      <c r="CB2872" s="0" t="s">
        <v>130</v>
      </c>
      <c r="CC2872" s="0" t="s">
        <v>130</v>
      </c>
      <c r="CD2872" s="0" t="s">
        <v>130</v>
      </c>
      <c r="CE2872" s="0" t="s">
        <v>130</v>
      </c>
      <c r="CF2872" s="0" t="s">
        <v>130</v>
      </c>
      <c r="CG2872" s="0" t="s">
        <v>130</v>
      </c>
      <c r="CH2872" s="0" t="s">
        <v>130</v>
      </c>
      <c r="CI2872" s="0" t="s">
        <v>130</v>
      </c>
      <c r="CJ2872" s="0" t="s">
        <v>130</v>
      </c>
      <c r="CK2872" s="0" t="s">
        <v>130</v>
      </c>
      <c r="CL2872" s="0" t="s">
        <v>130</v>
      </c>
      <c r="CM2872" s="0" t="s">
        <v>130</v>
      </c>
      <c r="CN2872" s="0" t="s">
        <v>130</v>
      </c>
      <c r="CO2872" s="0" t="s">
        <v>130</v>
      </c>
      <c r="CP2872" s="0" t="s">
        <v>130</v>
      </c>
      <c r="CQ2872" s="0" t="s">
        <v>130</v>
      </c>
      <c r="CR2872" s="0" t="s">
        <v>130</v>
      </c>
      <c r="CS2872" s="0" t="s">
        <v>130</v>
      </c>
      <c r="CT2872" s="0" t="s">
        <v>7756</v>
      </c>
    </row>
    <row r="2873">
      <c r="A2873" s="14">
        <v>58121995</v>
      </c>
      <c r="B2873" s="0" t="s">
        <v>4629</v>
      </c>
      <c r="C2873" s="16">
        <f>HYPERLINK("https://eosportal.federatedhermes.com/companies/Q29tcGFueQppNzM3OTU=", "Nutrien Ltd")</f>
      </c>
      <c r="D2873" s="0" t="s">
        <v>25</v>
      </c>
      <c r="E2873" s="0" t="s">
        <v>907</v>
      </c>
      <c r="F2873" s="16">
        <f>HYPERLINK("https://eosportal.federatedhermes.com/engagements/RW5nYWdlbWVudAppMzk3MzE=", "Climate change")</f>
      </c>
      <c r="G2873" s="14" t="s">
        <v>7757</v>
      </c>
      <c r="H2873" s="0" t="s">
        <v>141</v>
      </c>
      <c r="I2873" s="14" t="s">
        <v>131</v>
      </c>
      <c r="J2873" s="0" t="s">
        <v>197</v>
      </c>
      <c r="K2873" s="0" t="s">
        <v>198</v>
      </c>
      <c r="L2873" s="0" t="s">
        <v>216</v>
      </c>
      <c r="M2873" s="0" t="s">
        <v>135</v>
      </c>
      <c r="N2873" s="0" t="s">
        <v>1678</v>
      </c>
      <c r="O2873" s="0" t="s">
        <v>706</v>
      </c>
      <c r="Q2873" s="0" t="s">
        <v>130</v>
      </c>
      <c r="R2873" s="0" t="s">
        <v>138</v>
      </c>
      <c r="S2873" s="14">
        <v>0</v>
      </c>
      <c r="T2873" s="0" t="s">
        <v>449</v>
      </c>
      <c r="U2873" s="0" t="s">
        <v>138</v>
      </c>
      <c r="V2873" s="14" t="s">
        <v>138</v>
      </c>
      <c r="W2873" s="0" t="s">
        <v>138</v>
      </c>
      <c r="X2873" s="14" t="s">
        <v>138</v>
      </c>
      <c r="Y2873" s="0" t="s">
        <v>138</v>
      </c>
      <c r="Z2873" s="14" t="s">
        <v>138</v>
      </c>
      <c r="AA2873" s="0" t="s">
        <v>138</v>
      </c>
      <c r="AB2873" s="14" t="s">
        <v>138</v>
      </c>
      <c r="AD2873" s="0" t="s">
        <v>138</v>
      </c>
      <c r="AF2873" s="0">
        <v>0</v>
      </c>
      <c r="AG2873" s="0">
        <v>0</v>
      </c>
      <c r="AH2873" s="0" t="s">
        <v>140</v>
      </c>
      <c r="AI2873" s="0" t="s">
        <v>138</v>
      </c>
      <c r="AL2873" s="14"/>
      <c r="AN2873" s="14"/>
      <c r="AQ2873" s="0" t="s">
        <v>130</v>
      </c>
      <c r="AR2873" s="0" t="s">
        <v>130</v>
      </c>
      <c r="AS2873" s="0" t="s">
        <v>130</v>
      </c>
      <c r="AT2873" s="0" t="s">
        <v>130</v>
      </c>
      <c r="AU2873" s="0" t="s">
        <v>130</v>
      </c>
      <c r="AV2873" s="0" t="s">
        <v>130</v>
      </c>
      <c r="AW2873" s="0" t="s">
        <v>141</v>
      </c>
      <c r="AX2873" s="0" t="s">
        <v>130</v>
      </c>
      <c r="AY2873" s="0" t="s">
        <v>130</v>
      </c>
      <c r="AZ2873" s="0" t="s">
        <v>130</v>
      </c>
      <c r="BA2873" s="0" t="s">
        <v>130</v>
      </c>
      <c r="BB2873" s="0" t="s">
        <v>130</v>
      </c>
      <c r="BC2873" s="0" t="s">
        <v>141</v>
      </c>
      <c r="BD2873" s="0" t="s">
        <v>130</v>
      </c>
      <c r="BE2873" s="0" t="s">
        <v>130</v>
      </c>
      <c r="BF2873" s="0" t="s">
        <v>130</v>
      </c>
      <c r="BG2873" s="0" t="s">
        <v>130</v>
      </c>
      <c r="BH2873" s="0" t="s">
        <v>141</v>
      </c>
      <c r="BI2873" s="0" t="s">
        <v>141</v>
      </c>
      <c r="BJ2873" s="0" t="s">
        <v>141</v>
      </c>
      <c r="BK2873" s="0" t="s">
        <v>130</v>
      </c>
      <c r="BL2873" s="0" t="s">
        <v>130</v>
      </c>
      <c r="BM2873" s="0" t="s">
        <v>130</v>
      </c>
      <c r="BN2873" s="0" t="s">
        <v>130</v>
      </c>
      <c r="BO2873" s="0" t="s">
        <v>130</v>
      </c>
      <c r="BP2873" s="0" t="s">
        <v>130</v>
      </c>
      <c r="BQ2873" s="0" t="s">
        <v>130</v>
      </c>
      <c r="BR2873" s="0" t="s">
        <v>130</v>
      </c>
      <c r="BS2873" s="0" t="s">
        <v>130</v>
      </c>
      <c r="BT2873" s="0" t="s">
        <v>130</v>
      </c>
      <c r="BU2873" s="0" t="s">
        <v>130</v>
      </c>
      <c r="BV2873" s="0" t="s">
        <v>141</v>
      </c>
      <c r="BW2873" s="0" t="s">
        <v>141</v>
      </c>
      <c r="BX2873" s="0" t="s">
        <v>130</v>
      </c>
      <c r="BY2873" s="0" t="s">
        <v>130</v>
      </c>
      <c r="BZ2873" s="0" t="s">
        <v>130</v>
      </c>
      <c r="CA2873" s="0" t="s">
        <v>130</v>
      </c>
      <c r="CB2873" s="0" t="s">
        <v>130</v>
      </c>
      <c r="CC2873" s="0" t="s">
        <v>130</v>
      </c>
      <c r="CD2873" s="0" t="s">
        <v>130</v>
      </c>
      <c r="CE2873" s="0" t="s">
        <v>130</v>
      </c>
      <c r="CF2873" s="0" t="s">
        <v>130</v>
      </c>
      <c r="CG2873" s="0" t="s">
        <v>130</v>
      </c>
      <c r="CH2873" s="0" t="s">
        <v>130</v>
      </c>
      <c r="CI2873" s="0" t="s">
        <v>130</v>
      </c>
      <c r="CJ2873" s="0" t="s">
        <v>130</v>
      </c>
      <c r="CK2873" s="0" t="s">
        <v>130</v>
      </c>
      <c r="CL2873" s="0" t="s">
        <v>130</v>
      </c>
      <c r="CM2873" s="0" t="s">
        <v>130</v>
      </c>
      <c r="CN2873" s="0" t="s">
        <v>130</v>
      </c>
      <c r="CO2873" s="0" t="s">
        <v>130</v>
      </c>
      <c r="CP2873" s="0" t="s">
        <v>130</v>
      </c>
      <c r="CQ2873" s="0" t="s">
        <v>130</v>
      </c>
      <c r="CR2873" s="0" t="s">
        <v>130</v>
      </c>
      <c r="CS2873" s="0" t="s">
        <v>130</v>
      </c>
      <c r="CT2873" s="0" t="s">
        <v>7758</v>
      </c>
    </row>
    <row r="2874">
      <c r="A2874" s="14">
        <v>173055</v>
      </c>
      <c r="B2874" s="0" t="s">
        <v>3098</v>
      </c>
      <c r="C2874" s="16">
        <f>HYPERLINK("https://eosportal.federatedhermes.com/companies/Q29tcGFueQppNzI2OTc=", "WEG SA")</f>
      </c>
      <c r="D2874" s="0" t="s">
        <v>23</v>
      </c>
      <c r="E2874" s="0" t="s">
        <v>7759</v>
      </c>
      <c r="F2874" s="16">
        <f>HYPERLINK("https://eosportal.federatedhermes.com/engagements/RW5nYWdlbWVudAppMzk4NzY=", "Supply Chain Management")</f>
      </c>
      <c r="G2874" s="14" t="s">
        <v>7760</v>
      </c>
      <c r="H2874" s="0" t="s">
        <v>130</v>
      </c>
      <c r="I2874" s="14" t="s">
        <v>131</v>
      </c>
      <c r="J2874" s="0" t="s">
        <v>132</v>
      </c>
      <c r="K2874" s="0" t="s">
        <v>260</v>
      </c>
      <c r="L2874" s="0" t="s">
        <v>261</v>
      </c>
      <c r="M2874" s="0" t="s">
        <v>2807</v>
      </c>
      <c r="N2874" s="0" t="s">
        <v>3041</v>
      </c>
      <c r="O2874" s="0" t="s">
        <v>176</v>
      </c>
      <c r="Q2874" s="0" t="s">
        <v>141</v>
      </c>
      <c r="R2874" s="0" t="s">
        <v>130</v>
      </c>
      <c r="S2874" s="14">
        <v>2</v>
      </c>
      <c r="T2874" s="0" t="s">
        <v>449</v>
      </c>
      <c r="U2874" s="0" t="s">
        <v>221</v>
      </c>
      <c r="V2874" s="14" t="s">
        <v>449</v>
      </c>
      <c r="W2874" s="0" t="s">
        <v>221</v>
      </c>
      <c r="X2874" s="14" t="s">
        <v>449</v>
      </c>
      <c r="Y2874" s="0" t="s">
        <v>223</v>
      </c>
      <c r="Z2874" s="14" t="s">
        <v>138</v>
      </c>
      <c r="AA2874" s="0" t="s">
        <v>224</v>
      </c>
      <c r="AB2874" s="14" t="s">
        <v>138</v>
      </c>
      <c r="AD2874" s="0" t="s">
        <v>17</v>
      </c>
      <c r="AF2874" s="0">
        <v>0</v>
      </c>
      <c r="AG2874" s="0">
        <v>0</v>
      </c>
      <c r="AH2874" s="0" t="s">
        <v>140</v>
      </c>
      <c r="AI2874" s="0" t="s">
        <v>598</v>
      </c>
      <c r="AK2874" s="0" t="s">
        <v>3996</v>
      </c>
      <c r="AL2874" s="14"/>
      <c r="AN2874" s="14"/>
      <c r="AQ2874" s="0" t="s">
        <v>130</v>
      </c>
      <c r="AR2874" s="0" t="s">
        <v>130</v>
      </c>
      <c r="AS2874" s="0" t="s">
        <v>130</v>
      </c>
      <c r="AT2874" s="0" t="s">
        <v>130</v>
      </c>
      <c r="AU2874" s="0" t="s">
        <v>130</v>
      </c>
      <c r="AV2874" s="0" t="s">
        <v>130</v>
      </c>
      <c r="AW2874" s="0" t="s">
        <v>130</v>
      </c>
      <c r="AX2874" s="0" t="s">
        <v>130</v>
      </c>
      <c r="AY2874" s="0" t="s">
        <v>130</v>
      </c>
      <c r="AZ2874" s="0" t="s">
        <v>130</v>
      </c>
      <c r="BA2874" s="0" t="s">
        <v>130</v>
      </c>
      <c r="BB2874" s="0" t="s">
        <v>130</v>
      </c>
      <c r="BC2874" s="0" t="s">
        <v>130</v>
      </c>
      <c r="BD2874" s="0" t="s">
        <v>130</v>
      </c>
      <c r="BE2874" s="0" t="s">
        <v>130</v>
      </c>
      <c r="BF2874" s="0" t="s">
        <v>130</v>
      </c>
      <c r="BG2874" s="0" t="s">
        <v>130</v>
      </c>
      <c r="BH2874" s="0" t="s">
        <v>130</v>
      </c>
      <c r="BI2874" s="0" t="s">
        <v>130</v>
      </c>
      <c r="BJ2874" s="0" t="s">
        <v>130</v>
      </c>
      <c r="BK2874" s="0" t="s">
        <v>130</v>
      </c>
      <c r="BL2874" s="0" t="s">
        <v>130</v>
      </c>
      <c r="BM2874" s="0" t="s">
        <v>130</v>
      </c>
      <c r="BN2874" s="0" t="s">
        <v>130</v>
      </c>
      <c r="BO2874" s="0" t="s">
        <v>130</v>
      </c>
      <c r="BP2874" s="0" t="s">
        <v>130</v>
      </c>
      <c r="BQ2874" s="0" t="s">
        <v>130</v>
      </c>
      <c r="BR2874" s="0" t="s">
        <v>130</v>
      </c>
      <c r="BS2874" s="0" t="s">
        <v>130</v>
      </c>
      <c r="BT2874" s="0" t="s">
        <v>130</v>
      </c>
      <c r="BU2874" s="0" t="s">
        <v>130</v>
      </c>
      <c r="BV2874" s="0" t="s">
        <v>130</v>
      </c>
      <c r="BW2874" s="0" t="s">
        <v>130</v>
      </c>
      <c r="BX2874" s="0" t="s">
        <v>130</v>
      </c>
      <c r="BY2874" s="0" t="s">
        <v>130</v>
      </c>
      <c r="BZ2874" s="0" t="s">
        <v>130</v>
      </c>
      <c r="CA2874" s="0" t="s">
        <v>130</v>
      </c>
      <c r="CB2874" s="0" t="s">
        <v>130</v>
      </c>
      <c r="CC2874" s="0" t="s">
        <v>130</v>
      </c>
      <c r="CD2874" s="0" t="s">
        <v>130</v>
      </c>
      <c r="CE2874" s="0" t="s">
        <v>130</v>
      </c>
      <c r="CF2874" s="0" t="s">
        <v>130</v>
      </c>
      <c r="CG2874" s="0" t="s">
        <v>130</v>
      </c>
      <c r="CH2874" s="0" t="s">
        <v>130</v>
      </c>
      <c r="CI2874" s="0" t="s">
        <v>130</v>
      </c>
      <c r="CJ2874" s="0" t="s">
        <v>130</v>
      </c>
      <c r="CK2874" s="0" t="s">
        <v>130</v>
      </c>
      <c r="CL2874" s="0" t="s">
        <v>130</v>
      </c>
      <c r="CM2874" s="0" t="s">
        <v>130</v>
      </c>
      <c r="CN2874" s="0" t="s">
        <v>130</v>
      </c>
      <c r="CO2874" s="0" t="s">
        <v>130</v>
      </c>
      <c r="CP2874" s="0" t="s">
        <v>130</v>
      </c>
      <c r="CQ2874" s="0" t="s">
        <v>130</v>
      </c>
      <c r="CR2874" s="0" t="s">
        <v>130</v>
      </c>
      <c r="CS2874" s="0" t="s">
        <v>130</v>
      </c>
      <c r="CT2874" s="0" t="s">
        <v>7761</v>
      </c>
    </row>
    <row r="2875">
      <c r="A2875" s="14">
        <v>173055</v>
      </c>
      <c r="B2875" s="0" t="s">
        <v>3098</v>
      </c>
      <c r="C2875" s="16">
        <f>HYPERLINK("https://eosportal.federatedhermes.com/companies/Q29tcGFueQppNzI2OTc=", "WEG SA")</f>
      </c>
      <c r="D2875" s="0" t="s">
        <v>25</v>
      </c>
      <c r="E2875" s="0" t="s">
        <v>7762</v>
      </c>
      <c r="F2875" s="16">
        <f>HYPERLINK("https://eosportal.federatedhermes.com/engagements/RW5nYWdlbWVudAppMzk4ODU=", "Novo Mercado listing rules revision")</f>
      </c>
      <c r="G2875" s="14" t="s">
        <v>7763</v>
      </c>
      <c r="H2875" s="0" t="s">
        <v>130</v>
      </c>
      <c r="I2875" s="14" t="s">
        <v>131</v>
      </c>
      <c r="J2875" s="0" t="s">
        <v>145</v>
      </c>
      <c r="K2875" s="0" t="s">
        <v>164</v>
      </c>
      <c r="L2875" s="0" t="s">
        <v>165</v>
      </c>
      <c r="M2875" s="0" t="s">
        <v>2807</v>
      </c>
      <c r="N2875" s="0" t="s">
        <v>3041</v>
      </c>
      <c r="O2875" s="0" t="s">
        <v>176</v>
      </c>
      <c r="Q2875" s="0" t="s">
        <v>141</v>
      </c>
      <c r="R2875" s="0" t="s">
        <v>138</v>
      </c>
      <c r="S2875" s="14">
        <v>1</v>
      </c>
      <c r="T2875" s="0" t="s">
        <v>449</v>
      </c>
      <c r="U2875" s="0" t="s">
        <v>138</v>
      </c>
      <c r="V2875" s="14" t="s">
        <v>138</v>
      </c>
      <c r="W2875" s="0" t="s">
        <v>138</v>
      </c>
      <c r="X2875" s="14" t="s">
        <v>138</v>
      </c>
      <c r="Y2875" s="0" t="s">
        <v>138</v>
      </c>
      <c r="Z2875" s="14" t="s">
        <v>138</v>
      </c>
      <c r="AA2875" s="0" t="s">
        <v>138</v>
      </c>
      <c r="AB2875" s="14" t="s">
        <v>138</v>
      </c>
      <c r="AD2875" s="0" t="s">
        <v>138</v>
      </c>
      <c r="AF2875" s="0">
        <v>0</v>
      </c>
      <c r="AG2875" s="0">
        <v>0</v>
      </c>
      <c r="AH2875" s="0" t="s">
        <v>140</v>
      </c>
      <c r="AI2875" s="0" t="s">
        <v>138</v>
      </c>
      <c r="AK2875" s="0" t="s">
        <v>1347</v>
      </c>
      <c r="AL2875" s="14"/>
      <c r="AN2875" s="14"/>
      <c r="AQ2875" s="0" t="s">
        <v>130</v>
      </c>
      <c r="AR2875" s="0" t="s">
        <v>130</v>
      </c>
      <c r="AS2875" s="0" t="s">
        <v>130</v>
      </c>
      <c r="AT2875" s="0" t="s">
        <v>130</v>
      </c>
      <c r="AU2875" s="0" t="s">
        <v>130</v>
      </c>
      <c r="AV2875" s="0" t="s">
        <v>130</v>
      </c>
      <c r="AW2875" s="0" t="s">
        <v>130</v>
      </c>
      <c r="AX2875" s="0" t="s">
        <v>130</v>
      </c>
      <c r="AY2875" s="0" t="s">
        <v>130</v>
      </c>
      <c r="AZ2875" s="0" t="s">
        <v>130</v>
      </c>
      <c r="BA2875" s="0" t="s">
        <v>130</v>
      </c>
      <c r="BB2875" s="0" t="s">
        <v>130</v>
      </c>
      <c r="BC2875" s="0" t="s">
        <v>130</v>
      </c>
      <c r="BD2875" s="0" t="s">
        <v>130</v>
      </c>
      <c r="BE2875" s="0" t="s">
        <v>130</v>
      </c>
      <c r="BF2875" s="0" t="s">
        <v>130</v>
      </c>
      <c r="BG2875" s="0" t="s">
        <v>130</v>
      </c>
      <c r="BH2875" s="0" t="s">
        <v>130</v>
      </c>
      <c r="BI2875" s="0" t="s">
        <v>130</v>
      </c>
      <c r="BJ2875" s="0" t="s">
        <v>130</v>
      </c>
      <c r="BK2875" s="0" t="s">
        <v>130</v>
      </c>
      <c r="BL2875" s="0" t="s">
        <v>130</v>
      </c>
      <c r="BM2875" s="0" t="s">
        <v>130</v>
      </c>
      <c r="BN2875" s="0" t="s">
        <v>130</v>
      </c>
      <c r="BO2875" s="0" t="s">
        <v>130</v>
      </c>
      <c r="BP2875" s="0" t="s">
        <v>130</v>
      </c>
      <c r="BQ2875" s="0" t="s">
        <v>130</v>
      </c>
      <c r="BR2875" s="0" t="s">
        <v>130</v>
      </c>
      <c r="BS2875" s="0" t="s">
        <v>130</v>
      </c>
      <c r="BT2875" s="0" t="s">
        <v>130</v>
      </c>
      <c r="BU2875" s="0" t="s">
        <v>130</v>
      </c>
      <c r="BV2875" s="0" t="s">
        <v>130</v>
      </c>
      <c r="BW2875" s="0" t="s">
        <v>130</v>
      </c>
      <c r="BX2875" s="0" t="s">
        <v>130</v>
      </c>
      <c r="BY2875" s="0" t="s">
        <v>130</v>
      </c>
      <c r="BZ2875" s="0" t="s">
        <v>130</v>
      </c>
      <c r="CA2875" s="0" t="s">
        <v>130</v>
      </c>
      <c r="CB2875" s="0" t="s">
        <v>130</v>
      </c>
      <c r="CC2875" s="0" t="s">
        <v>130</v>
      </c>
      <c r="CD2875" s="0" t="s">
        <v>130</v>
      </c>
      <c r="CE2875" s="0" t="s">
        <v>130</v>
      </c>
      <c r="CF2875" s="0" t="s">
        <v>130</v>
      </c>
      <c r="CG2875" s="0" t="s">
        <v>130</v>
      </c>
      <c r="CH2875" s="0" t="s">
        <v>130</v>
      </c>
      <c r="CI2875" s="0" t="s">
        <v>130</v>
      </c>
      <c r="CJ2875" s="0" t="s">
        <v>130</v>
      </c>
      <c r="CK2875" s="0" t="s">
        <v>130</v>
      </c>
      <c r="CL2875" s="0" t="s">
        <v>130</v>
      </c>
      <c r="CM2875" s="0" t="s">
        <v>130</v>
      </c>
      <c r="CN2875" s="0" t="s">
        <v>130</v>
      </c>
      <c r="CO2875" s="0" t="s">
        <v>130</v>
      </c>
      <c r="CP2875" s="0" t="s">
        <v>130</v>
      </c>
      <c r="CQ2875" s="0" t="s">
        <v>130</v>
      </c>
      <c r="CR2875" s="0" t="s">
        <v>130</v>
      </c>
      <c r="CS2875" s="0" t="s">
        <v>130</v>
      </c>
      <c r="CT2875" s="0" t="s">
        <v>7764</v>
      </c>
    </row>
    <row r="2876">
      <c r="A2876" s="14">
        <v>100043</v>
      </c>
      <c r="B2876" s="0" t="s">
        <v>173</v>
      </c>
      <c r="C2876" s="16">
        <f>HYPERLINK("https://eosportal.federatedhermes.com/companies/Q29tcGFueQppNDgxNjg=", "Honeywell International Inc")</f>
      </c>
      <c r="D2876" s="0" t="s">
        <v>23</v>
      </c>
      <c r="E2876" s="0" t="s">
        <v>7765</v>
      </c>
      <c r="F2876" s="16">
        <f>HYPERLINK("https://eosportal.federatedhermes.com/engagements/RW5nYWdlbWVudAppMzk5MDc=", "Carbon neutrality")</f>
      </c>
      <c r="G2876" s="14" t="s">
        <v>7766</v>
      </c>
      <c r="H2876" s="0" t="s">
        <v>130</v>
      </c>
      <c r="I2876" s="14" t="s">
        <v>131</v>
      </c>
      <c r="J2876" s="0" t="s">
        <v>197</v>
      </c>
      <c r="K2876" s="0" t="s">
        <v>198</v>
      </c>
      <c r="L2876" s="0" t="s">
        <v>216</v>
      </c>
      <c r="M2876" s="0" t="s">
        <v>135</v>
      </c>
      <c r="N2876" s="0" t="s">
        <v>136</v>
      </c>
      <c r="O2876" s="0" t="s">
        <v>176</v>
      </c>
      <c r="Q2876" s="0" t="s">
        <v>141</v>
      </c>
      <c r="R2876" s="0" t="s">
        <v>130</v>
      </c>
      <c r="S2876" s="14">
        <v>1</v>
      </c>
      <c r="T2876" s="0" t="s">
        <v>449</v>
      </c>
      <c r="U2876" s="0" t="s">
        <v>221</v>
      </c>
      <c r="V2876" s="14" t="s">
        <v>449</v>
      </c>
      <c r="W2876" s="0" t="s">
        <v>223</v>
      </c>
      <c r="X2876" s="14" t="s">
        <v>138</v>
      </c>
      <c r="Y2876" s="0" t="s">
        <v>224</v>
      </c>
      <c r="Z2876" s="14" t="s">
        <v>138</v>
      </c>
      <c r="AA2876" s="0" t="s">
        <v>224</v>
      </c>
      <c r="AB2876" s="14" t="s">
        <v>138</v>
      </c>
      <c r="AD2876" s="0" t="s">
        <v>14</v>
      </c>
      <c r="AF2876" s="0">
        <v>0</v>
      </c>
      <c r="AG2876" s="0">
        <v>0</v>
      </c>
      <c r="AH2876" s="0" t="s">
        <v>140</v>
      </c>
      <c r="AI2876" s="0" t="s">
        <v>598</v>
      </c>
      <c r="AK2876" s="0" t="s">
        <v>177</v>
      </c>
      <c r="AL2876" s="14"/>
      <c r="AN2876" s="14"/>
      <c r="AQ2876" s="0" t="s">
        <v>130</v>
      </c>
      <c r="AR2876" s="0" t="s">
        <v>130</v>
      </c>
      <c r="AS2876" s="0" t="s">
        <v>130</v>
      </c>
      <c r="AT2876" s="0" t="s">
        <v>130</v>
      </c>
      <c r="AU2876" s="0" t="s">
        <v>130</v>
      </c>
      <c r="AV2876" s="0" t="s">
        <v>130</v>
      </c>
      <c r="AW2876" s="0" t="s">
        <v>141</v>
      </c>
      <c r="AX2876" s="0" t="s">
        <v>130</v>
      </c>
      <c r="AY2876" s="0" t="s">
        <v>141</v>
      </c>
      <c r="AZ2876" s="0" t="s">
        <v>130</v>
      </c>
      <c r="BA2876" s="0" t="s">
        <v>130</v>
      </c>
      <c r="BB2876" s="0" t="s">
        <v>130</v>
      </c>
      <c r="BC2876" s="0" t="s">
        <v>141</v>
      </c>
      <c r="BD2876" s="0" t="s">
        <v>130</v>
      </c>
      <c r="BE2876" s="0" t="s">
        <v>130</v>
      </c>
      <c r="BF2876" s="0" t="s">
        <v>130</v>
      </c>
      <c r="BG2876" s="0" t="s">
        <v>130</v>
      </c>
      <c r="BH2876" s="0" t="s">
        <v>141</v>
      </c>
      <c r="BI2876" s="0" t="s">
        <v>141</v>
      </c>
      <c r="BJ2876" s="0" t="s">
        <v>141</v>
      </c>
      <c r="BK2876" s="0" t="s">
        <v>130</v>
      </c>
      <c r="BL2876" s="0" t="s">
        <v>130</v>
      </c>
      <c r="BM2876" s="0" t="s">
        <v>130</v>
      </c>
      <c r="BN2876" s="0" t="s">
        <v>130</v>
      </c>
      <c r="BO2876" s="0" t="s">
        <v>130</v>
      </c>
      <c r="BP2876" s="0" t="s">
        <v>130</v>
      </c>
      <c r="BQ2876" s="0" t="s">
        <v>130</v>
      </c>
      <c r="BR2876" s="0" t="s">
        <v>130</v>
      </c>
      <c r="BS2876" s="0" t="s">
        <v>130</v>
      </c>
      <c r="BT2876" s="0" t="s">
        <v>130</v>
      </c>
      <c r="BU2876" s="0" t="s">
        <v>130</v>
      </c>
      <c r="BV2876" s="0" t="s">
        <v>141</v>
      </c>
      <c r="BW2876" s="0" t="s">
        <v>141</v>
      </c>
      <c r="BX2876" s="0" t="s">
        <v>130</v>
      </c>
      <c r="BY2876" s="0" t="s">
        <v>130</v>
      </c>
      <c r="BZ2876" s="0" t="s">
        <v>130</v>
      </c>
      <c r="CA2876" s="0" t="s">
        <v>130</v>
      </c>
      <c r="CB2876" s="0" t="s">
        <v>130</v>
      </c>
      <c r="CC2876" s="0" t="s">
        <v>130</v>
      </c>
      <c r="CD2876" s="0" t="s">
        <v>130</v>
      </c>
      <c r="CE2876" s="0" t="s">
        <v>130</v>
      </c>
      <c r="CF2876" s="0" t="s">
        <v>130</v>
      </c>
      <c r="CG2876" s="0" t="s">
        <v>130</v>
      </c>
      <c r="CH2876" s="0" t="s">
        <v>130</v>
      </c>
      <c r="CI2876" s="0" t="s">
        <v>130</v>
      </c>
      <c r="CJ2876" s="0" t="s">
        <v>130</v>
      </c>
      <c r="CK2876" s="0" t="s">
        <v>130</v>
      </c>
      <c r="CL2876" s="0" t="s">
        <v>130</v>
      </c>
      <c r="CM2876" s="0" t="s">
        <v>130</v>
      </c>
      <c r="CN2876" s="0" t="s">
        <v>130</v>
      </c>
      <c r="CO2876" s="0" t="s">
        <v>130</v>
      </c>
      <c r="CP2876" s="0" t="s">
        <v>130</v>
      </c>
      <c r="CQ2876" s="0" t="s">
        <v>130</v>
      </c>
      <c r="CR2876" s="0" t="s">
        <v>130</v>
      </c>
      <c r="CS2876" s="0" t="s">
        <v>130</v>
      </c>
      <c r="CT2876" s="0" t="s">
        <v>7767</v>
      </c>
    </row>
    <row r="2877">
      <c r="A2877" s="14">
        <v>36507453</v>
      </c>
      <c r="B2877" s="0" t="s">
        <v>4479</v>
      </c>
      <c r="C2877" s="16">
        <f>HYPERLINK("https://eosportal.federatedhermes.com/companies/Q29tcGFueQppNjI0Njg=", "CNH Industrial NV")</f>
      </c>
      <c r="D2877" s="0" t="s">
        <v>23</v>
      </c>
      <c r="E2877" s="0" t="s">
        <v>7768</v>
      </c>
      <c r="F2877" s="16">
        <f>HYPERLINK("https://eosportal.federatedhermes.com/engagements/RW5nYWdlbWVudAppMzk5NDI=", "Circularity Strategy")</f>
      </c>
      <c r="G2877" s="14" t="s">
        <v>7494</v>
      </c>
      <c r="H2877" s="0" t="s">
        <v>130</v>
      </c>
      <c r="I2877" s="14" t="s">
        <v>131</v>
      </c>
      <c r="J2877" s="0" t="s">
        <v>197</v>
      </c>
      <c r="K2877" s="0" t="s">
        <v>348</v>
      </c>
      <c r="L2877" s="0" t="s">
        <v>349</v>
      </c>
      <c r="M2877" s="0" t="s">
        <v>272</v>
      </c>
      <c r="N2877" s="0" t="s">
        <v>273</v>
      </c>
      <c r="O2877" s="0" t="s">
        <v>176</v>
      </c>
      <c r="Q2877" s="0" t="s">
        <v>141</v>
      </c>
      <c r="R2877" s="0" t="s">
        <v>130</v>
      </c>
      <c r="S2877" s="14">
        <v>1</v>
      </c>
      <c r="T2877" s="0" t="s">
        <v>449</v>
      </c>
      <c r="U2877" s="0" t="s">
        <v>221</v>
      </c>
      <c r="V2877" s="14" t="s">
        <v>449</v>
      </c>
      <c r="W2877" s="0" t="s">
        <v>223</v>
      </c>
      <c r="X2877" s="14" t="s">
        <v>138</v>
      </c>
      <c r="Y2877" s="0" t="s">
        <v>224</v>
      </c>
      <c r="Z2877" s="14" t="s">
        <v>138</v>
      </c>
      <c r="AA2877" s="0" t="s">
        <v>224</v>
      </c>
      <c r="AB2877" s="14" t="s">
        <v>138</v>
      </c>
      <c r="AD2877" s="0" t="s">
        <v>14</v>
      </c>
      <c r="AF2877" s="0">
        <v>0</v>
      </c>
      <c r="AG2877" s="0">
        <v>0</v>
      </c>
      <c r="AH2877" s="0" t="s">
        <v>140</v>
      </c>
      <c r="AI2877" s="0" t="s">
        <v>598</v>
      </c>
      <c r="AK2877" s="0" t="s">
        <v>3996</v>
      </c>
      <c r="AL2877" s="14"/>
      <c r="AN2877" s="14"/>
      <c r="AQ2877" s="0" t="s">
        <v>130</v>
      </c>
      <c r="AR2877" s="0" t="s">
        <v>130</v>
      </c>
      <c r="AS2877" s="0" t="s">
        <v>130</v>
      </c>
      <c r="AT2877" s="0" t="s">
        <v>130</v>
      </c>
      <c r="AU2877" s="0" t="s">
        <v>130</v>
      </c>
      <c r="AV2877" s="0" t="s">
        <v>130</v>
      </c>
      <c r="AW2877" s="0" t="s">
        <v>130</v>
      </c>
      <c r="AX2877" s="0" t="s">
        <v>130</v>
      </c>
      <c r="AY2877" s="0" t="s">
        <v>130</v>
      </c>
      <c r="AZ2877" s="0" t="s">
        <v>130</v>
      </c>
      <c r="BA2877" s="0" t="s">
        <v>141</v>
      </c>
      <c r="BB2877" s="0" t="s">
        <v>141</v>
      </c>
      <c r="BC2877" s="0" t="s">
        <v>130</v>
      </c>
      <c r="BD2877" s="0" t="s">
        <v>130</v>
      </c>
      <c r="BE2877" s="0" t="s">
        <v>130</v>
      </c>
      <c r="BF2877" s="0" t="s">
        <v>130</v>
      </c>
      <c r="BG2877" s="0" t="s">
        <v>130</v>
      </c>
      <c r="BH2877" s="0" t="s">
        <v>130</v>
      </c>
      <c r="BI2877" s="0" t="s">
        <v>130</v>
      </c>
      <c r="BJ2877" s="0" t="s">
        <v>130</v>
      </c>
      <c r="BK2877" s="0" t="s">
        <v>130</v>
      </c>
      <c r="BL2877" s="0" t="s">
        <v>130</v>
      </c>
      <c r="BM2877" s="0" t="s">
        <v>130</v>
      </c>
      <c r="BN2877" s="0" t="s">
        <v>130</v>
      </c>
      <c r="BO2877" s="0" t="s">
        <v>130</v>
      </c>
      <c r="BP2877" s="0" t="s">
        <v>130</v>
      </c>
      <c r="BQ2877" s="0" t="s">
        <v>130</v>
      </c>
      <c r="BR2877" s="0" t="s">
        <v>130</v>
      </c>
      <c r="BS2877" s="0" t="s">
        <v>130</v>
      </c>
      <c r="BT2877" s="0" t="s">
        <v>130</v>
      </c>
      <c r="BU2877" s="0" t="s">
        <v>130</v>
      </c>
      <c r="BV2877" s="0" t="s">
        <v>130</v>
      </c>
      <c r="BW2877" s="0" t="s">
        <v>130</v>
      </c>
      <c r="BX2877" s="0" t="s">
        <v>130</v>
      </c>
      <c r="BY2877" s="0" t="s">
        <v>130</v>
      </c>
      <c r="BZ2877" s="0" t="s">
        <v>130</v>
      </c>
      <c r="CA2877" s="0" t="s">
        <v>130</v>
      </c>
      <c r="CB2877" s="0" t="s">
        <v>130</v>
      </c>
      <c r="CC2877" s="0" t="s">
        <v>130</v>
      </c>
      <c r="CD2877" s="0" t="s">
        <v>141</v>
      </c>
      <c r="CE2877" s="0" t="s">
        <v>130</v>
      </c>
      <c r="CF2877" s="0" t="s">
        <v>130</v>
      </c>
      <c r="CG2877" s="0" t="s">
        <v>130</v>
      </c>
      <c r="CH2877" s="0" t="s">
        <v>130</v>
      </c>
      <c r="CI2877" s="0" t="s">
        <v>130</v>
      </c>
      <c r="CJ2877" s="0" t="s">
        <v>130</v>
      </c>
      <c r="CK2877" s="0" t="s">
        <v>130</v>
      </c>
      <c r="CL2877" s="0" t="s">
        <v>130</v>
      </c>
      <c r="CM2877" s="0" t="s">
        <v>130</v>
      </c>
      <c r="CN2877" s="0" t="s">
        <v>130</v>
      </c>
      <c r="CO2877" s="0" t="s">
        <v>130</v>
      </c>
      <c r="CP2877" s="0" t="s">
        <v>130</v>
      </c>
      <c r="CQ2877" s="0" t="s">
        <v>130</v>
      </c>
      <c r="CR2877" s="0" t="s">
        <v>130</v>
      </c>
      <c r="CS2877" s="0" t="s">
        <v>130</v>
      </c>
      <c r="CT2877" s="0" t="s">
        <v>7769</v>
      </c>
    </row>
    <row r="2878">
      <c r="A2878" s="14">
        <v>186941</v>
      </c>
      <c r="B2878" s="0" t="s">
        <v>3270</v>
      </c>
      <c r="C2878" s="16">
        <f>HYPERLINK("https://eosportal.federatedhermes.com/companies/Q29tcGFueQppNzc5MzA=", "China Construction Bank Corp")</f>
      </c>
      <c r="D2878" s="0" t="s">
        <v>25</v>
      </c>
      <c r="E2878" s="0" t="s">
        <v>7770</v>
      </c>
      <c r="F2878" s="16">
        <f>HYPERLINK("https://eosportal.federatedhermes.com/engagements/RW5nYWdlbWVudAppMzk5OTE=", "Management of climate-related financial risks and opportunities")</f>
      </c>
      <c r="G2878" s="14" t="s">
        <v>7771</v>
      </c>
      <c r="H2878" s="0" t="s">
        <v>141</v>
      </c>
      <c r="I2878" s="14" t="s">
        <v>131</v>
      </c>
      <c r="J2878" s="0" t="s">
        <v>197</v>
      </c>
      <c r="K2878" s="0" t="s">
        <v>198</v>
      </c>
      <c r="L2878" s="0" t="s">
        <v>199</v>
      </c>
      <c r="M2878" s="0" t="s">
        <v>2807</v>
      </c>
      <c r="N2878" s="0" t="s">
        <v>3272</v>
      </c>
      <c r="O2878" s="0" t="s">
        <v>238</v>
      </c>
      <c r="Q2878" s="0" t="s">
        <v>141</v>
      </c>
      <c r="R2878" s="0" t="s">
        <v>138</v>
      </c>
      <c r="S2878" s="14">
        <v>1</v>
      </c>
      <c r="T2878" s="0" t="s">
        <v>449</v>
      </c>
      <c r="U2878" s="0" t="s">
        <v>138</v>
      </c>
      <c r="V2878" s="14" t="s">
        <v>138</v>
      </c>
      <c r="W2878" s="0" t="s">
        <v>138</v>
      </c>
      <c r="X2878" s="14" t="s">
        <v>138</v>
      </c>
      <c r="Y2878" s="0" t="s">
        <v>138</v>
      </c>
      <c r="Z2878" s="14" t="s">
        <v>138</v>
      </c>
      <c r="AA2878" s="0" t="s">
        <v>138</v>
      </c>
      <c r="AB2878" s="14" t="s">
        <v>138</v>
      </c>
      <c r="AD2878" s="0" t="s">
        <v>138</v>
      </c>
      <c r="AF2878" s="0">
        <v>0</v>
      </c>
      <c r="AG2878" s="0">
        <v>0</v>
      </c>
      <c r="AH2878" s="0" t="s">
        <v>140</v>
      </c>
      <c r="AI2878" s="0" t="s">
        <v>138</v>
      </c>
      <c r="AK2878" s="0" t="s">
        <v>1834</v>
      </c>
      <c r="AL2878" s="14"/>
      <c r="AN2878" s="14"/>
      <c r="AQ2878" s="0" t="s">
        <v>130</v>
      </c>
      <c r="AR2878" s="0" t="s">
        <v>130</v>
      </c>
      <c r="AS2878" s="0" t="s">
        <v>130</v>
      </c>
      <c r="AT2878" s="0" t="s">
        <v>130</v>
      </c>
      <c r="AU2878" s="0" t="s">
        <v>130</v>
      </c>
      <c r="AV2878" s="0" t="s">
        <v>130</v>
      </c>
      <c r="AW2878" s="0" t="s">
        <v>130</v>
      </c>
      <c r="AX2878" s="0" t="s">
        <v>130</v>
      </c>
      <c r="AY2878" s="0" t="s">
        <v>130</v>
      </c>
      <c r="AZ2878" s="0" t="s">
        <v>130</v>
      </c>
      <c r="BA2878" s="0" t="s">
        <v>130</v>
      </c>
      <c r="BB2878" s="0" t="s">
        <v>141</v>
      </c>
      <c r="BC2878" s="0" t="s">
        <v>141</v>
      </c>
      <c r="BD2878" s="0" t="s">
        <v>130</v>
      </c>
      <c r="BE2878" s="0" t="s">
        <v>130</v>
      </c>
      <c r="BF2878" s="0" t="s">
        <v>130</v>
      </c>
      <c r="BG2878" s="0" t="s">
        <v>130</v>
      </c>
      <c r="BH2878" s="0" t="s">
        <v>130</v>
      </c>
      <c r="BI2878" s="0" t="s">
        <v>130</v>
      </c>
      <c r="BJ2878" s="0" t="s">
        <v>130</v>
      </c>
      <c r="BK2878" s="0" t="s">
        <v>130</v>
      </c>
      <c r="BL2878" s="0" t="s">
        <v>130</v>
      </c>
      <c r="BM2878" s="0" t="s">
        <v>130</v>
      </c>
      <c r="BN2878" s="0" t="s">
        <v>130</v>
      </c>
      <c r="BO2878" s="0" t="s">
        <v>130</v>
      </c>
      <c r="BP2878" s="0" t="s">
        <v>130</v>
      </c>
      <c r="BQ2878" s="0" t="s">
        <v>130</v>
      </c>
      <c r="BR2878" s="0" t="s">
        <v>130</v>
      </c>
      <c r="BS2878" s="0" t="s">
        <v>130</v>
      </c>
      <c r="BT2878" s="0" t="s">
        <v>130</v>
      </c>
      <c r="BU2878" s="0" t="s">
        <v>130</v>
      </c>
      <c r="BV2878" s="0" t="s">
        <v>130</v>
      </c>
      <c r="BW2878" s="0" t="s">
        <v>130</v>
      </c>
      <c r="BX2878" s="0" t="s">
        <v>130</v>
      </c>
      <c r="BY2878" s="0" t="s">
        <v>130</v>
      </c>
      <c r="BZ2878" s="0" t="s">
        <v>130</v>
      </c>
      <c r="CA2878" s="0" t="s">
        <v>130</v>
      </c>
      <c r="CB2878" s="0" t="s">
        <v>130</v>
      </c>
      <c r="CC2878" s="0" t="s">
        <v>130</v>
      </c>
      <c r="CD2878" s="0" t="s">
        <v>130</v>
      </c>
      <c r="CE2878" s="0" t="s">
        <v>130</v>
      </c>
      <c r="CF2878" s="0" t="s">
        <v>130</v>
      </c>
      <c r="CG2878" s="0" t="s">
        <v>130</v>
      </c>
      <c r="CH2878" s="0" t="s">
        <v>130</v>
      </c>
      <c r="CI2878" s="0" t="s">
        <v>130</v>
      </c>
      <c r="CJ2878" s="0" t="s">
        <v>130</v>
      </c>
      <c r="CK2878" s="0" t="s">
        <v>130</v>
      </c>
      <c r="CL2878" s="0" t="s">
        <v>130</v>
      </c>
      <c r="CM2878" s="0" t="s">
        <v>130</v>
      </c>
      <c r="CN2878" s="0" t="s">
        <v>130</v>
      </c>
      <c r="CO2878" s="0" t="s">
        <v>130</v>
      </c>
      <c r="CP2878" s="0" t="s">
        <v>130</v>
      </c>
      <c r="CQ2878" s="0" t="s">
        <v>130</v>
      </c>
      <c r="CR2878" s="0" t="s">
        <v>130</v>
      </c>
      <c r="CS2878" s="0" t="s">
        <v>130</v>
      </c>
      <c r="CT2878" s="0" t="s">
        <v>7772</v>
      </c>
    </row>
    <row r="2879">
      <c r="A2879" s="14">
        <v>101491</v>
      </c>
      <c r="B2879" s="0" t="s">
        <v>1642</v>
      </c>
      <c r="C2879" s="16">
        <f>HYPERLINK("https://eosportal.federatedhermes.com/companies/Q29tcGFueQppNjMzMzM=", "TotalEnergies SE")</f>
      </c>
      <c r="D2879" s="0" t="s">
        <v>25</v>
      </c>
      <c r="E2879" s="0" t="s">
        <v>7773</v>
      </c>
      <c r="F2879" s="16">
        <f>HYPERLINK("https://eosportal.federatedhermes.com/engagements/RW5nYWdlbWVudAppNDAwMjI=", "Adopting the IASB's illustrative examples")</f>
      </c>
      <c r="G2879" s="14" t="s">
        <v>7774</v>
      </c>
      <c r="H2879" s="0" t="s">
        <v>141</v>
      </c>
      <c r="I2879" s="14" t="s">
        <v>1645</v>
      </c>
      <c r="J2879" s="0" t="s">
        <v>197</v>
      </c>
      <c r="K2879" s="0" t="s">
        <v>198</v>
      </c>
      <c r="L2879" s="0" t="s">
        <v>199</v>
      </c>
      <c r="M2879" s="0" t="s">
        <v>378</v>
      </c>
      <c r="N2879" s="0" t="s">
        <v>1646</v>
      </c>
      <c r="O2879" s="0" t="s">
        <v>542</v>
      </c>
      <c r="Q2879" s="0" t="s">
        <v>130</v>
      </c>
      <c r="R2879" s="0" t="s">
        <v>138</v>
      </c>
      <c r="S2879" s="14">
        <v>0</v>
      </c>
      <c r="T2879" s="0" t="s">
        <v>449</v>
      </c>
      <c r="U2879" s="0" t="s">
        <v>138</v>
      </c>
      <c r="V2879" s="14" t="s">
        <v>138</v>
      </c>
      <c r="W2879" s="0" t="s">
        <v>138</v>
      </c>
      <c r="X2879" s="14" t="s">
        <v>138</v>
      </c>
      <c r="Y2879" s="0" t="s">
        <v>138</v>
      </c>
      <c r="Z2879" s="14" t="s">
        <v>138</v>
      </c>
      <c r="AA2879" s="0" t="s">
        <v>138</v>
      </c>
      <c r="AB2879" s="14" t="s">
        <v>138</v>
      </c>
      <c r="AD2879" s="0" t="s">
        <v>138</v>
      </c>
      <c r="AF2879" s="0">
        <v>0</v>
      </c>
      <c r="AG2879" s="0">
        <v>0</v>
      </c>
      <c r="AH2879" s="0" t="s">
        <v>140</v>
      </c>
      <c r="AI2879" s="0" t="s">
        <v>138</v>
      </c>
      <c r="AL2879" s="14"/>
      <c r="AN2879" s="14"/>
      <c r="AQ2879" s="0" t="s">
        <v>130</v>
      </c>
      <c r="AR2879" s="0" t="s">
        <v>130</v>
      </c>
      <c r="AS2879" s="0" t="s">
        <v>130</v>
      </c>
      <c r="AT2879" s="0" t="s">
        <v>130</v>
      </c>
      <c r="AU2879" s="0" t="s">
        <v>130</v>
      </c>
      <c r="AV2879" s="0" t="s">
        <v>130</v>
      </c>
      <c r="AW2879" s="0" t="s">
        <v>130</v>
      </c>
      <c r="AX2879" s="0" t="s">
        <v>130</v>
      </c>
      <c r="AY2879" s="0" t="s">
        <v>130</v>
      </c>
      <c r="AZ2879" s="0" t="s">
        <v>130</v>
      </c>
      <c r="BA2879" s="0" t="s">
        <v>130</v>
      </c>
      <c r="BB2879" s="0" t="s">
        <v>141</v>
      </c>
      <c r="BC2879" s="0" t="s">
        <v>141</v>
      </c>
      <c r="BD2879" s="0" t="s">
        <v>130</v>
      </c>
      <c r="BE2879" s="0" t="s">
        <v>130</v>
      </c>
      <c r="BF2879" s="0" t="s">
        <v>130</v>
      </c>
      <c r="BG2879" s="0" t="s">
        <v>130</v>
      </c>
      <c r="BH2879" s="0" t="s">
        <v>130</v>
      </c>
      <c r="BI2879" s="0" t="s">
        <v>130</v>
      </c>
      <c r="BJ2879" s="0" t="s">
        <v>130</v>
      </c>
      <c r="BK2879" s="0" t="s">
        <v>130</v>
      </c>
      <c r="BL2879" s="0" t="s">
        <v>130</v>
      </c>
      <c r="BM2879" s="0" t="s">
        <v>130</v>
      </c>
      <c r="BN2879" s="0" t="s">
        <v>130</v>
      </c>
      <c r="BO2879" s="0" t="s">
        <v>130</v>
      </c>
      <c r="BP2879" s="0" t="s">
        <v>130</v>
      </c>
      <c r="BQ2879" s="0" t="s">
        <v>130</v>
      </c>
      <c r="BR2879" s="0" t="s">
        <v>130</v>
      </c>
      <c r="BS2879" s="0" t="s">
        <v>130</v>
      </c>
      <c r="BT2879" s="0" t="s">
        <v>130</v>
      </c>
      <c r="BU2879" s="0" t="s">
        <v>130</v>
      </c>
      <c r="BV2879" s="0" t="s">
        <v>130</v>
      </c>
      <c r="BW2879" s="0" t="s">
        <v>130</v>
      </c>
      <c r="BX2879" s="0" t="s">
        <v>130</v>
      </c>
      <c r="BY2879" s="0" t="s">
        <v>130</v>
      </c>
      <c r="BZ2879" s="0" t="s">
        <v>130</v>
      </c>
      <c r="CA2879" s="0" t="s">
        <v>130</v>
      </c>
      <c r="CB2879" s="0" t="s">
        <v>130</v>
      </c>
      <c r="CC2879" s="0" t="s">
        <v>130</v>
      </c>
      <c r="CD2879" s="0" t="s">
        <v>130</v>
      </c>
      <c r="CE2879" s="0" t="s">
        <v>130</v>
      </c>
      <c r="CF2879" s="0" t="s">
        <v>130</v>
      </c>
      <c r="CG2879" s="0" t="s">
        <v>130</v>
      </c>
      <c r="CH2879" s="0" t="s">
        <v>130</v>
      </c>
      <c r="CI2879" s="0" t="s">
        <v>130</v>
      </c>
      <c r="CJ2879" s="0" t="s">
        <v>130</v>
      </c>
      <c r="CK2879" s="0" t="s">
        <v>130</v>
      </c>
      <c r="CL2879" s="0" t="s">
        <v>130</v>
      </c>
      <c r="CM2879" s="0" t="s">
        <v>130</v>
      </c>
      <c r="CN2879" s="0" t="s">
        <v>130</v>
      </c>
      <c r="CO2879" s="0" t="s">
        <v>130</v>
      </c>
      <c r="CP2879" s="0" t="s">
        <v>130</v>
      </c>
      <c r="CQ2879" s="0" t="s">
        <v>130</v>
      </c>
      <c r="CR2879" s="0" t="s">
        <v>130</v>
      </c>
      <c r="CS2879" s="0" t="s">
        <v>130</v>
      </c>
      <c r="CT2879" s="0" t="s">
        <v>7775</v>
      </c>
    </row>
    <row r="2880">
      <c r="A2880" s="14">
        <v>216204</v>
      </c>
      <c r="B2880" s="0" t="s">
        <v>3364</v>
      </c>
      <c r="C2880" s="16">
        <f>HYPERLINK("https://eosportal.federatedhermes.com/companies/Q29tcGFueQppNjQzODI=", "Centrica PLC")</f>
      </c>
      <c r="D2880" s="0" t="s">
        <v>25</v>
      </c>
      <c r="E2880" s="0" t="s">
        <v>7773</v>
      </c>
      <c r="F2880" s="16">
        <f>HYPERLINK("https://eosportal.federatedhermes.com/engagements/RW5nYWdlbWVudAppNDAwMjM=", "Adopting the IASB's illustrative examples")</f>
      </c>
      <c r="G2880" s="14" t="s">
        <v>7774</v>
      </c>
      <c r="H2880" s="0" t="s">
        <v>141</v>
      </c>
      <c r="I2880" s="14" t="s">
        <v>191</v>
      </c>
      <c r="J2880" s="0" t="s">
        <v>197</v>
      </c>
      <c r="K2880" s="0" t="s">
        <v>198</v>
      </c>
      <c r="L2880" s="0" t="s">
        <v>199</v>
      </c>
      <c r="M2880" s="0" t="s">
        <v>272</v>
      </c>
      <c r="N2880" s="0" t="s">
        <v>273</v>
      </c>
      <c r="O2880" s="0" t="s">
        <v>192</v>
      </c>
      <c r="Q2880" s="0" t="s">
        <v>130</v>
      </c>
      <c r="R2880" s="0" t="s">
        <v>138</v>
      </c>
      <c r="S2880" s="14">
        <v>0</v>
      </c>
      <c r="T2880" s="0" t="s">
        <v>449</v>
      </c>
      <c r="U2880" s="0" t="s">
        <v>138</v>
      </c>
      <c r="V2880" s="14" t="s">
        <v>138</v>
      </c>
      <c r="W2880" s="0" t="s">
        <v>138</v>
      </c>
      <c r="X2880" s="14" t="s">
        <v>138</v>
      </c>
      <c r="Y2880" s="0" t="s">
        <v>138</v>
      </c>
      <c r="Z2880" s="14" t="s">
        <v>138</v>
      </c>
      <c r="AA2880" s="0" t="s">
        <v>138</v>
      </c>
      <c r="AB2880" s="14" t="s">
        <v>138</v>
      </c>
      <c r="AD2880" s="0" t="s">
        <v>138</v>
      </c>
      <c r="AF2880" s="0">
        <v>0</v>
      </c>
      <c r="AG2880" s="0">
        <v>0</v>
      </c>
      <c r="AH2880" s="0" t="s">
        <v>140</v>
      </c>
      <c r="AI2880" s="0" t="s">
        <v>138</v>
      </c>
      <c r="AL2880" s="14"/>
      <c r="AN2880" s="14"/>
      <c r="AQ2880" s="0" t="s">
        <v>130</v>
      </c>
      <c r="AR2880" s="0" t="s">
        <v>130</v>
      </c>
      <c r="AS2880" s="0" t="s">
        <v>130</v>
      </c>
      <c r="AT2880" s="0" t="s">
        <v>130</v>
      </c>
      <c r="AU2880" s="0" t="s">
        <v>130</v>
      </c>
      <c r="AV2880" s="0" t="s">
        <v>130</v>
      </c>
      <c r="AW2880" s="0" t="s">
        <v>130</v>
      </c>
      <c r="AX2880" s="0" t="s">
        <v>130</v>
      </c>
      <c r="AY2880" s="0" t="s">
        <v>130</v>
      </c>
      <c r="AZ2880" s="0" t="s">
        <v>130</v>
      </c>
      <c r="BA2880" s="0" t="s">
        <v>130</v>
      </c>
      <c r="BB2880" s="0" t="s">
        <v>141</v>
      </c>
      <c r="BC2880" s="0" t="s">
        <v>141</v>
      </c>
      <c r="BD2880" s="0" t="s">
        <v>130</v>
      </c>
      <c r="BE2880" s="0" t="s">
        <v>130</v>
      </c>
      <c r="BF2880" s="0" t="s">
        <v>130</v>
      </c>
      <c r="BG2880" s="0" t="s">
        <v>130</v>
      </c>
      <c r="BH2880" s="0" t="s">
        <v>130</v>
      </c>
      <c r="BI2880" s="0" t="s">
        <v>130</v>
      </c>
      <c r="BJ2880" s="0" t="s">
        <v>130</v>
      </c>
      <c r="BK2880" s="0" t="s">
        <v>130</v>
      </c>
      <c r="BL2880" s="0" t="s">
        <v>130</v>
      </c>
      <c r="BM2880" s="0" t="s">
        <v>130</v>
      </c>
      <c r="BN2880" s="0" t="s">
        <v>130</v>
      </c>
      <c r="BO2880" s="0" t="s">
        <v>130</v>
      </c>
      <c r="BP2880" s="0" t="s">
        <v>130</v>
      </c>
      <c r="BQ2880" s="0" t="s">
        <v>130</v>
      </c>
      <c r="BR2880" s="0" t="s">
        <v>130</v>
      </c>
      <c r="BS2880" s="0" t="s">
        <v>130</v>
      </c>
      <c r="BT2880" s="0" t="s">
        <v>130</v>
      </c>
      <c r="BU2880" s="0" t="s">
        <v>130</v>
      </c>
      <c r="BV2880" s="0" t="s">
        <v>130</v>
      </c>
      <c r="BW2880" s="0" t="s">
        <v>130</v>
      </c>
      <c r="BX2880" s="0" t="s">
        <v>130</v>
      </c>
      <c r="BY2880" s="0" t="s">
        <v>130</v>
      </c>
      <c r="BZ2880" s="0" t="s">
        <v>130</v>
      </c>
      <c r="CA2880" s="0" t="s">
        <v>130</v>
      </c>
      <c r="CB2880" s="0" t="s">
        <v>130</v>
      </c>
      <c r="CC2880" s="0" t="s">
        <v>130</v>
      </c>
      <c r="CD2880" s="0" t="s">
        <v>130</v>
      </c>
      <c r="CE2880" s="0" t="s">
        <v>130</v>
      </c>
      <c r="CF2880" s="0" t="s">
        <v>130</v>
      </c>
      <c r="CG2880" s="0" t="s">
        <v>130</v>
      </c>
      <c r="CH2880" s="0" t="s">
        <v>130</v>
      </c>
      <c r="CI2880" s="0" t="s">
        <v>130</v>
      </c>
      <c r="CJ2880" s="0" t="s">
        <v>130</v>
      </c>
      <c r="CK2880" s="0" t="s">
        <v>130</v>
      </c>
      <c r="CL2880" s="0" t="s">
        <v>130</v>
      </c>
      <c r="CM2880" s="0" t="s">
        <v>130</v>
      </c>
      <c r="CN2880" s="0" t="s">
        <v>130</v>
      </c>
      <c r="CO2880" s="0" t="s">
        <v>130</v>
      </c>
      <c r="CP2880" s="0" t="s">
        <v>130</v>
      </c>
      <c r="CQ2880" s="0" t="s">
        <v>130</v>
      </c>
      <c r="CR2880" s="0" t="s">
        <v>130</v>
      </c>
      <c r="CS2880" s="0" t="s">
        <v>130</v>
      </c>
      <c r="CT2880" s="0" t="s">
        <v>7776</v>
      </c>
    </row>
    <row r="2881">
      <c r="A2881" s="14">
        <v>7774345</v>
      </c>
      <c r="B2881" s="0" t="s">
        <v>3847</v>
      </c>
      <c r="C2881" s="16">
        <f>HYPERLINK("https://eosportal.federatedhermes.com/companies/Q29tcGFueQppODMyNTM=", "Evolution Mining Ltd")</f>
      </c>
      <c r="D2881" s="0" t="s">
        <v>25</v>
      </c>
      <c r="E2881" s="0" t="s">
        <v>7770</v>
      </c>
      <c r="F2881" s="16">
        <f>HYPERLINK("https://eosportal.federatedhermes.com/engagements/RW5nYWdlbWVudAppNDAwMjk=", "Management of climate-related financial risks and opportunities")</f>
      </c>
      <c r="G2881" s="14" t="s">
        <v>7771</v>
      </c>
      <c r="H2881" s="0" t="s">
        <v>130</v>
      </c>
      <c r="I2881" s="14" t="s">
        <v>319</v>
      </c>
      <c r="J2881" s="0" t="s">
        <v>197</v>
      </c>
      <c r="K2881" s="0" t="s">
        <v>198</v>
      </c>
      <c r="L2881" s="0" t="s">
        <v>199</v>
      </c>
      <c r="M2881" s="0" t="s">
        <v>371</v>
      </c>
      <c r="N2881" s="0" t="s">
        <v>372</v>
      </c>
      <c r="O2881" s="0" t="s">
        <v>373</v>
      </c>
      <c r="Q2881" s="0" t="s">
        <v>141</v>
      </c>
      <c r="R2881" s="0" t="s">
        <v>138</v>
      </c>
      <c r="S2881" s="14">
        <v>1</v>
      </c>
      <c r="T2881" s="0" t="s">
        <v>449</v>
      </c>
      <c r="U2881" s="0" t="s">
        <v>138</v>
      </c>
      <c r="V2881" s="14" t="s">
        <v>138</v>
      </c>
      <c r="W2881" s="0" t="s">
        <v>138</v>
      </c>
      <c r="X2881" s="14" t="s">
        <v>138</v>
      </c>
      <c r="Y2881" s="0" t="s">
        <v>138</v>
      </c>
      <c r="Z2881" s="14" t="s">
        <v>138</v>
      </c>
      <c r="AA2881" s="0" t="s">
        <v>138</v>
      </c>
      <c r="AB2881" s="14" t="s">
        <v>138</v>
      </c>
      <c r="AD2881" s="0" t="s">
        <v>138</v>
      </c>
      <c r="AF2881" s="0">
        <v>0</v>
      </c>
      <c r="AG2881" s="0">
        <v>0</v>
      </c>
      <c r="AH2881" s="0" t="s">
        <v>140</v>
      </c>
      <c r="AI2881" s="0" t="s">
        <v>138</v>
      </c>
      <c r="AK2881" s="0" t="s">
        <v>3145</v>
      </c>
      <c r="AL2881" s="14"/>
      <c r="AN2881" s="14"/>
      <c r="AQ2881" s="0" t="s">
        <v>130</v>
      </c>
      <c r="AR2881" s="0" t="s">
        <v>130</v>
      </c>
      <c r="AS2881" s="0" t="s">
        <v>130</v>
      </c>
      <c r="AT2881" s="0" t="s">
        <v>130</v>
      </c>
      <c r="AU2881" s="0" t="s">
        <v>130</v>
      </c>
      <c r="AV2881" s="0" t="s">
        <v>130</v>
      </c>
      <c r="AW2881" s="0" t="s">
        <v>130</v>
      </c>
      <c r="AX2881" s="0" t="s">
        <v>130</v>
      </c>
      <c r="AY2881" s="0" t="s">
        <v>130</v>
      </c>
      <c r="AZ2881" s="0" t="s">
        <v>130</v>
      </c>
      <c r="BA2881" s="0" t="s">
        <v>130</v>
      </c>
      <c r="BB2881" s="0" t="s">
        <v>141</v>
      </c>
      <c r="BC2881" s="0" t="s">
        <v>141</v>
      </c>
      <c r="BD2881" s="0" t="s">
        <v>130</v>
      </c>
      <c r="BE2881" s="0" t="s">
        <v>130</v>
      </c>
      <c r="BF2881" s="0" t="s">
        <v>130</v>
      </c>
      <c r="BG2881" s="0" t="s">
        <v>130</v>
      </c>
      <c r="BH2881" s="0" t="s">
        <v>130</v>
      </c>
      <c r="BI2881" s="0" t="s">
        <v>130</v>
      </c>
      <c r="BJ2881" s="0" t="s">
        <v>130</v>
      </c>
      <c r="BK2881" s="0" t="s">
        <v>130</v>
      </c>
      <c r="BL2881" s="0" t="s">
        <v>130</v>
      </c>
      <c r="BM2881" s="0" t="s">
        <v>130</v>
      </c>
      <c r="BN2881" s="0" t="s">
        <v>130</v>
      </c>
      <c r="BO2881" s="0" t="s">
        <v>130</v>
      </c>
      <c r="BP2881" s="0" t="s">
        <v>130</v>
      </c>
      <c r="BQ2881" s="0" t="s">
        <v>130</v>
      </c>
      <c r="BR2881" s="0" t="s">
        <v>130</v>
      </c>
      <c r="BS2881" s="0" t="s">
        <v>130</v>
      </c>
      <c r="BT2881" s="0" t="s">
        <v>130</v>
      </c>
      <c r="BU2881" s="0" t="s">
        <v>130</v>
      </c>
      <c r="BV2881" s="0" t="s">
        <v>130</v>
      </c>
      <c r="BW2881" s="0" t="s">
        <v>130</v>
      </c>
      <c r="BX2881" s="0" t="s">
        <v>130</v>
      </c>
      <c r="BY2881" s="0" t="s">
        <v>130</v>
      </c>
      <c r="BZ2881" s="0" t="s">
        <v>130</v>
      </c>
      <c r="CA2881" s="0" t="s">
        <v>130</v>
      </c>
      <c r="CB2881" s="0" t="s">
        <v>130</v>
      </c>
      <c r="CC2881" s="0" t="s">
        <v>130</v>
      </c>
      <c r="CD2881" s="0" t="s">
        <v>130</v>
      </c>
      <c r="CE2881" s="0" t="s">
        <v>130</v>
      </c>
      <c r="CF2881" s="0" t="s">
        <v>130</v>
      </c>
      <c r="CG2881" s="0" t="s">
        <v>130</v>
      </c>
      <c r="CH2881" s="0" t="s">
        <v>130</v>
      </c>
      <c r="CI2881" s="0" t="s">
        <v>130</v>
      </c>
      <c r="CJ2881" s="0" t="s">
        <v>130</v>
      </c>
      <c r="CK2881" s="0" t="s">
        <v>130</v>
      </c>
      <c r="CL2881" s="0" t="s">
        <v>130</v>
      </c>
      <c r="CM2881" s="0" t="s">
        <v>130</v>
      </c>
      <c r="CN2881" s="0" t="s">
        <v>130</v>
      </c>
      <c r="CO2881" s="0" t="s">
        <v>130</v>
      </c>
      <c r="CP2881" s="0" t="s">
        <v>130</v>
      </c>
      <c r="CQ2881" s="0" t="s">
        <v>130</v>
      </c>
      <c r="CR2881" s="0" t="s">
        <v>130</v>
      </c>
      <c r="CS2881" s="0" t="s">
        <v>130</v>
      </c>
      <c r="CT2881" s="0" t="s">
        <v>7777</v>
      </c>
    </row>
    <row r="2882">
      <c r="A2882" s="14">
        <v>112647</v>
      </c>
      <c r="B2882" s="0" t="s">
        <v>996</v>
      </c>
      <c r="C2882" s="16">
        <f>HYPERLINK("https://eosportal.federatedhermes.com/companies/Q29tcGFueQppNTIwMTk=", "Origin Energy Ltd")</f>
      </c>
      <c r="D2882" s="0" t="s">
        <v>25</v>
      </c>
      <c r="E2882" s="0" t="s">
        <v>7778</v>
      </c>
      <c r="F2882" s="16">
        <f>HYPERLINK("https://eosportal.federatedhermes.com/engagements/RW5nYWdlbWVudAppNDAxMDM=", "Adopting the IASB's illustrative examples on climate uncertainties")</f>
      </c>
      <c r="G2882" s="14" t="s">
        <v>7779</v>
      </c>
      <c r="H2882" s="0" t="s">
        <v>141</v>
      </c>
      <c r="I2882" s="14" t="s">
        <v>636</v>
      </c>
      <c r="J2882" s="0" t="s">
        <v>197</v>
      </c>
      <c r="K2882" s="0" t="s">
        <v>198</v>
      </c>
      <c r="L2882" s="0" t="s">
        <v>199</v>
      </c>
      <c r="M2882" s="0" t="s">
        <v>371</v>
      </c>
      <c r="N2882" s="0" t="s">
        <v>372</v>
      </c>
      <c r="O2882" s="0" t="s">
        <v>192</v>
      </c>
      <c r="Q2882" s="0" t="s">
        <v>130</v>
      </c>
      <c r="R2882" s="0" t="s">
        <v>138</v>
      </c>
      <c r="S2882" s="14">
        <v>0</v>
      </c>
      <c r="T2882" s="0" t="s">
        <v>449</v>
      </c>
      <c r="U2882" s="0" t="s">
        <v>138</v>
      </c>
      <c r="V2882" s="14" t="s">
        <v>138</v>
      </c>
      <c r="W2882" s="0" t="s">
        <v>138</v>
      </c>
      <c r="X2882" s="14" t="s">
        <v>138</v>
      </c>
      <c r="Y2882" s="0" t="s">
        <v>138</v>
      </c>
      <c r="Z2882" s="14" t="s">
        <v>138</v>
      </c>
      <c r="AA2882" s="0" t="s">
        <v>138</v>
      </c>
      <c r="AB2882" s="14" t="s">
        <v>138</v>
      </c>
      <c r="AD2882" s="0" t="s">
        <v>138</v>
      </c>
      <c r="AF2882" s="0">
        <v>0</v>
      </c>
      <c r="AG2882" s="0">
        <v>0</v>
      </c>
      <c r="AH2882" s="0" t="s">
        <v>140</v>
      </c>
      <c r="AI2882" s="0" t="s">
        <v>138</v>
      </c>
      <c r="AL2882" s="14"/>
      <c r="AN2882" s="14"/>
      <c r="AQ2882" s="0" t="s">
        <v>130</v>
      </c>
      <c r="AR2882" s="0" t="s">
        <v>130</v>
      </c>
      <c r="AS2882" s="0" t="s">
        <v>130</v>
      </c>
      <c r="AT2882" s="0" t="s">
        <v>130</v>
      </c>
      <c r="AU2882" s="0" t="s">
        <v>130</v>
      </c>
      <c r="AV2882" s="0" t="s">
        <v>130</v>
      </c>
      <c r="AW2882" s="0" t="s">
        <v>130</v>
      </c>
      <c r="AX2882" s="0" t="s">
        <v>130</v>
      </c>
      <c r="AY2882" s="0" t="s">
        <v>130</v>
      </c>
      <c r="AZ2882" s="0" t="s">
        <v>130</v>
      </c>
      <c r="BA2882" s="0" t="s">
        <v>130</v>
      </c>
      <c r="BB2882" s="0" t="s">
        <v>141</v>
      </c>
      <c r="BC2882" s="0" t="s">
        <v>141</v>
      </c>
      <c r="BD2882" s="0" t="s">
        <v>130</v>
      </c>
      <c r="BE2882" s="0" t="s">
        <v>130</v>
      </c>
      <c r="BF2882" s="0" t="s">
        <v>130</v>
      </c>
      <c r="BG2882" s="0" t="s">
        <v>130</v>
      </c>
      <c r="BH2882" s="0" t="s">
        <v>130</v>
      </c>
      <c r="BI2882" s="0" t="s">
        <v>130</v>
      </c>
      <c r="BJ2882" s="0" t="s">
        <v>130</v>
      </c>
      <c r="BK2882" s="0" t="s">
        <v>130</v>
      </c>
      <c r="BL2882" s="0" t="s">
        <v>130</v>
      </c>
      <c r="BM2882" s="0" t="s">
        <v>130</v>
      </c>
      <c r="BN2882" s="0" t="s">
        <v>130</v>
      </c>
      <c r="BO2882" s="0" t="s">
        <v>130</v>
      </c>
      <c r="BP2882" s="0" t="s">
        <v>130</v>
      </c>
      <c r="BQ2882" s="0" t="s">
        <v>130</v>
      </c>
      <c r="BR2882" s="0" t="s">
        <v>130</v>
      </c>
      <c r="BS2882" s="0" t="s">
        <v>130</v>
      </c>
      <c r="BT2882" s="0" t="s">
        <v>130</v>
      </c>
      <c r="BU2882" s="0" t="s">
        <v>130</v>
      </c>
      <c r="BV2882" s="0" t="s">
        <v>130</v>
      </c>
      <c r="BW2882" s="0" t="s">
        <v>130</v>
      </c>
      <c r="BX2882" s="0" t="s">
        <v>130</v>
      </c>
      <c r="BY2882" s="0" t="s">
        <v>130</v>
      </c>
      <c r="BZ2882" s="0" t="s">
        <v>130</v>
      </c>
      <c r="CA2882" s="0" t="s">
        <v>130</v>
      </c>
      <c r="CB2882" s="0" t="s">
        <v>130</v>
      </c>
      <c r="CC2882" s="0" t="s">
        <v>130</v>
      </c>
      <c r="CD2882" s="0" t="s">
        <v>130</v>
      </c>
      <c r="CE2882" s="0" t="s">
        <v>130</v>
      </c>
      <c r="CF2882" s="0" t="s">
        <v>130</v>
      </c>
      <c r="CG2882" s="0" t="s">
        <v>130</v>
      </c>
      <c r="CH2882" s="0" t="s">
        <v>130</v>
      </c>
      <c r="CI2882" s="0" t="s">
        <v>130</v>
      </c>
      <c r="CJ2882" s="0" t="s">
        <v>130</v>
      </c>
      <c r="CK2882" s="0" t="s">
        <v>130</v>
      </c>
      <c r="CL2882" s="0" t="s">
        <v>130</v>
      </c>
      <c r="CM2882" s="0" t="s">
        <v>130</v>
      </c>
      <c r="CN2882" s="0" t="s">
        <v>130</v>
      </c>
      <c r="CO2882" s="0" t="s">
        <v>130</v>
      </c>
      <c r="CP2882" s="0" t="s">
        <v>130</v>
      </c>
      <c r="CQ2882" s="0" t="s">
        <v>130</v>
      </c>
      <c r="CR2882" s="0" t="s">
        <v>130</v>
      </c>
      <c r="CS2882" s="0" t="s">
        <v>130</v>
      </c>
      <c r="CT2882" s="0" t="s">
        <v>7780</v>
      </c>
    </row>
    <row r="2883">
      <c r="A2883" s="14">
        <v>344500</v>
      </c>
      <c r="B2883" s="0" t="s">
        <v>3697</v>
      </c>
      <c r="C2883" s="16">
        <f>HYPERLINK("https://eosportal.federatedhermes.com/companies/Q29tcGFueQppNjY1MDA=", "Republic Services Inc")</f>
      </c>
      <c r="D2883" s="0" t="s">
        <v>25</v>
      </c>
      <c r="E2883" s="0" t="s">
        <v>7781</v>
      </c>
      <c r="F2883" s="16">
        <f>HYPERLINK("https://eosportal.federatedhermes.com/engagements/RW5nYWdlbWVudAppNDAxMDc=", "Labour strikes")</f>
      </c>
      <c r="G2883" s="14" t="s">
        <v>7782</v>
      </c>
      <c r="H2883" s="0" t="s">
        <v>130</v>
      </c>
      <c r="I2883" s="14" t="s">
        <v>319</v>
      </c>
      <c r="J2883" s="0" t="s">
        <v>153</v>
      </c>
      <c r="K2883" s="0" t="s">
        <v>154</v>
      </c>
      <c r="L2883" s="0" t="s">
        <v>306</v>
      </c>
      <c r="M2883" s="0" t="s">
        <v>135</v>
      </c>
      <c r="N2883" s="0" t="s">
        <v>136</v>
      </c>
      <c r="O2883" s="0" t="s">
        <v>176</v>
      </c>
      <c r="Q2883" s="0" t="s">
        <v>141</v>
      </c>
      <c r="R2883" s="0" t="s">
        <v>138</v>
      </c>
      <c r="S2883" s="14">
        <v>1</v>
      </c>
      <c r="T2883" s="0" t="s">
        <v>449</v>
      </c>
      <c r="U2883" s="0" t="s">
        <v>138</v>
      </c>
      <c r="V2883" s="14" t="s">
        <v>138</v>
      </c>
      <c r="W2883" s="0" t="s">
        <v>138</v>
      </c>
      <c r="X2883" s="14" t="s">
        <v>138</v>
      </c>
      <c r="Y2883" s="0" t="s">
        <v>138</v>
      </c>
      <c r="Z2883" s="14" t="s">
        <v>138</v>
      </c>
      <c r="AA2883" s="0" t="s">
        <v>138</v>
      </c>
      <c r="AB2883" s="14" t="s">
        <v>138</v>
      </c>
      <c r="AD2883" s="0" t="s">
        <v>138</v>
      </c>
      <c r="AF2883" s="0">
        <v>0</v>
      </c>
      <c r="AG2883" s="0">
        <v>0</v>
      </c>
      <c r="AH2883" s="0" t="s">
        <v>140</v>
      </c>
      <c r="AI2883" s="0" t="s">
        <v>138</v>
      </c>
      <c r="AK2883" s="0" t="s">
        <v>1853</v>
      </c>
      <c r="AL2883" s="14"/>
      <c r="AN2883" s="14"/>
      <c r="AQ2883" s="0" t="s">
        <v>130</v>
      </c>
      <c r="AR2883" s="0" t="s">
        <v>130</v>
      </c>
      <c r="AS2883" s="0" t="s">
        <v>130</v>
      </c>
      <c r="AT2883" s="0" t="s">
        <v>130</v>
      </c>
      <c r="AU2883" s="0" t="s">
        <v>130</v>
      </c>
      <c r="AV2883" s="0" t="s">
        <v>130</v>
      </c>
      <c r="AW2883" s="0" t="s">
        <v>130</v>
      </c>
      <c r="AX2883" s="0" t="s">
        <v>141</v>
      </c>
      <c r="AY2883" s="0" t="s">
        <v>130</v>
      </c>
      <c r="AZ2883" s="0" t="s">
        <v>141</v>
      </c>
      <c r="BA2883" s="0" t="s">
        <v>130</v>
      </c>
      <c r="BB2883" s="0" t="s">
        <v>130</v>
      </c>
      <c r="BC2883" s="0" t="s">
        <v>130</v>
      </c>
      <c r="BD2883" s="0" t="s">
        <v>130</v>
      </c>
      <c r="BE2883" s="0" t="s">
        <v>130</v>
      </c>
      <c r="BF2883" s="0" t="s">
        <v>130</v>
      </c>
      <c r="BG2883" s="0" t="s">
        <v>130</v>
      </c>
      <c r="BH2883" s="0" t="s">
        <v>130</v>
      </c>
      <c r="BI2883" s="0" t="s">
        <v>130</v>
      </c>
      <c r="BJ2883" s="0" t="s">
        <v>130</v>
      </c>
      <c r="BK2883" s="0" t="s">
        <v>130</v>
      </c>
      <c r="BL2883" s="0" t="s">
        <v>130</v>
      </c>
      <c r="BM2883" s="0" t="s">
        <v>130</v>
      </c>
      <c r="BN2883" s="0" t="s">
        <v>130</v>
      </c>
      <c r="BO2883" s="0" t="s">
        <v>130</v>
      </c>
      <c r="BP2883" s="0" t="s">
        <v>130</v>
      </c>
      <c r="BQ2883" s="0" t="s">
        <v>130</v>
      </c>
      <c r="BR2883" s="0" t="s">
        <v>130</v>
      </c>
      <c r="BS2883" s="0" t="s">
        <v>130</v>
      </c>
      <c r="BT2883" s="0" t="s">
        <v>130</v>
      </c>
      <c r="BU2883" s="0" t="s">
        <v>130</v>
      </c>
      <c r="BV2883" s="0" t="s">
        <v>130</v>
      </c>
      <c r="BW2883" s="0" t="s">
        <v>130</v>
      </c>
      <c r="BX2883" s="0" t="s">
        <v>130</v>
      </c>
      <c r="BY2883" s="0" t="s">
        <v>130</v>
      </c>
      <c r="BZ2883" s="0" t="s">
        <v>130</v>
      </c>
      <c r="CA2883" s="0" t="s">
        <v>130</v>
      </c>
      <c r="CB2883" s="0" t="s">
        <v>130</v>
      </c>
      <c r="CC2883" s="0" t="s">
        <v>130</v>
      </c>
      <c r="CD2883" s="0" t="s">
        <v>130</v>
      </c>
      <c r="CE2883" s="0" t="s">
        <v>130</v>
      </c>
      <c r="CF2883" s="0" t="s">
        <v>130</v>
      </c>
      <c r="CG2883" s="0" t="s">
        <v>130</v>
      </c>
      <c r="CH2883" s="0" t="s">
        <v>130</v>
      </c>
      <c r="CI2883" s="0" t="s">
        <v>130</v>
      </c>
      <c r="CJ2883" s="0" t="s">
        <v>130</v>
      </c>
      <c r="CK2883" s="0" t="s">
        <v>130</v>
      </c>
      <c r="CL2883" s="0" t="s">
        <v>130</v>
      </c>
      <c r="CM2883" s="0" t="s">
        <v>130</v>
      </c>
      <c r="CN2883" s="0" t="s">
        <v>130</v>
      </c>
      <c r="CO2883" s="0" t="s">
        <v>130</v>
      </c>
      <c r="CP2883" s="0" t="s">
        <v>130</v>
      </c>
      <c r="CQ2883" s="0" t="s">
        <v>130</v>
      </c>
      <c r="CR2883" s="0" t="s">
        <v>130</v>
      </c>
      <c r="CS2883" s="0" t="s">
        <v>130</v>
      </c>
      <c r="CT2883" s="0" t="s">
        <v>7783</v>
      </c>
    </row>
    <row r="2884">
      <c r="A2884" s="14">
        <v>114151</v>
      </c>
      <c r="B2884" s="0" t="s">
        <v>1981</v>
      </c>
      <c r="C2884" s="16">
        <f>HYPERLINK("https://eosportal.federatedhermes.com/companies/Q29tcGFueQppNzU2OTQ=", "Mitsubishi Corp")</f>
      </c>
      <c r="D2884" s="0" t="s">
        <v>25</v>
      </c>
      <c r="E2884" s="0" t="s">
        <v>3628</v>
      </c>
      <c r="F2884" s="16">
        <f>HYPERLINK("https://eosportal.federatedhermes.com/engagements/RW5nYWdlbWVudAppNDAxMDk=", "Board access")</f>
      </c>
      <c r="G2884" s="14" t="s">
        <v>7784</v>
      </c>
      <c r="H2884" s="0" t="s">
        <v>141</v>
      </c>
      <c r="I2884" s="14" t="s">
        <v>191</v>
      </c>
      <c r="J2884" s="0" t="s">
        <v>145</v>
      </c>
      <c r="K2884" s="0" t="s">
        <v>400</v>
      </c>
      <c r="L2884" s="0" t="s">
        <v>401</v>
      </c>
      <c r="M2884" s="0" t="s">
        <v>802</v>
      </c>
      <c r="N2884" s="0" t="s">
        <v>952</v>
      </c>
      <c r="O2884" s="0" t="s">
        <v>176</v>
      </c>
      <c r="Q2884" s="0" t="s">
        <v>141</v>
      </c>
      <c r="R2884" s="0" t="s">
        <v>138</v>
      </c>
      <c r="S2884" s="14">
        <v>1</v>
      </c>
      <c r="T2884" s="0" t="s">
        <v>449</v>
      </c>
      <c r="U2884" s="0" t="s">
        <v>138</v>
      </c>
      <c r="V2884" s="14" t="s">
        <v>138</v>
      </c>
      <c r="W2884" s="0" t="s">
        <v>138</v>
      </c>
      <c r="X2884" s="14" t="s">
        <v>138</v>
      </c>
      <c r="Y2884" s="0" t="s">
        <v>138</v>
      </c>
      <c r="Z2884" s="14" t="s">
        <v>138</v>
      </c>
      <c r="AA2884" s="0" t="s">
        <v>138</v>
      </c>
      <c r="AB2884" s="14" t="s">
        <v>138</v>
      </c>
      <c r="AD2884" s="0" t="s">
        <v>138</v>
      </c>
      <c r="AF2884" s="0">
        <v>0</v>
      </c>
      <c r="AG2884" s="0">
        <v>0</v>
      </c>
      <c r="AH2884" s="0" t="s">
        <v>140</v>
      </c>
      <c r="AI2884" s="0" t="s">
        <v>138</v>
      </c>
      <c r="AK2884" s="0" t="s">
        <v>1984</v>
      </c>
      <c r="AL2884" s="14"/>
      <c r="AN2884" s="14"/>
      <c r="AQ2884" s="0" t="s">
        <v>130</v>
      </c>
      <c r="AR2884" s="0" t="s">
        <v>130</v>
      </c>
      <c r="AS2884" s="0" t="s">
        <v>130</v>
      </c>
      <c r="AT2884" s="0" t="s">
        <v>130</v>
      </c>
      <c r="AU2884" s="0" t="s">
        <v>130</v>
      </c>
      <c r="AV2884" s="0" t="s">
        <v>130</v>
      </c>
      <c r="AW2884" s="0" t="s">
        <v>130</v>
      </c>
      <c r="AX2884" s="0" t="s">
        <v>130</v>
      </c>
      <c r="AY2884" s="0" t="s">
        <v>130</v>
      </c>
      <c r="AZ2884" s="0" t="s">
        <v>130</v>
      </c>
      <c r="BA2884" s="0" t="s">
        <v>130</v>
      </c>
      <c r="BB2884" s="0" t="s">
        <v>130</v>
      </c>
      <c r="BC2884" s="0" t="s">
        <v>130</v>
      </c>
      <c r="BD2884" s="0" t="s">
        <v>130</v>
      </c>
      <c r="BE2884" s="0" t="s">
        <v>130</v>
      </c>
      <c r="BF2884" s="0" t="s">
        <v>130</v>
      </c>
      <c r="BG2884" s="0" t="s">
        <v>130</v>
      </c>
      <c r="BH2884" s="0" t="s">
        <v>130</v>
      </c>
      <c r="BI2884" s="0" t="s">
        <v>130</v>
      </c>
      <c r="BJ2884" s="0" t="s">
        <v>130</v>
      </c>
      <c r="BK2884" s="0" t="s">
        <v>130</v>
      </c>
      <c r="BL2884" s="0" t="s">
        <v>130</v>
      </c>
      <c r="BM2884" s="0" t="s">
        <v>130</v>
      </c>
      <c r="BN2884" s="0" t="s">
        <v>130</v>
      </c>
      <c r="BO2884" s="0" t="s">
        <v>130</v>
      </c>
      <c r="BP2884" s="0" t="s">
        <v>130</v>
      </c>
      <c r="BQ2884" s="0" t="s">
        <v>130</v>
      </c>
      <c r="BR2884" s="0" t="s">
        <v>130</v>
      </c>
      <c r="BS2884" s="0" t="s">
        <v>130</v>
      </c>
      <c r="BT2884" s="0" t="s">
        <v>130</v>
      </c>
      <c r="BU2884" s="0" t="s">
        <v>130</v>
      </c>
      <c r="BV2884" s="0" t="s">
        <v>130</v>
      </c>
      <c r="BW2884" s="0" t="s">
        <v>130</v>
      </c>
      <c r="BX2884" s="0" t="s">
        <v>130</v>
      </c>
      <c r="BY2884" s="0" t="s">
        <v>130</v>
      </c>
      <c r="BZ2884" s="0" t="s">
        <v>130</v>
      </c>
      <c r="CA2884" s="0" t="s">
        <v>130</v>
      </c>
      <c r="CB2884" s="0" t="s">
        <v>130</v>
      </c>
      <c r="CC2884" s="0" t="s">
        <v>130</v>
      </c>
      <c r="CD2884" s="0" t="s">
        <v>130</v>
      </c>
      <c r="CE2884" s="0" t="s">
        <v>130</v>
      </c>
      <c r="CF2884" s="0" t="s">
        <v>130</v>
      </c>
      <c r="CG2884" s="0" t="s">
        <v>130</v>
      </c>
      <c r="CH2884" s="0" t="s">
        <v>130</v>
      </c>
      <c r="CI2884" s="0" t="s">
        <v>130</v>
      </c>
      <c r="CJ2884" s="0" t="s">
        <v>130</v>
      </c>
      <c r="CK2884" s="0" t="s">
        <v>130</v>
      </c>
      <c r="CL2884" s="0" t="s">
        <v>130</v>
      </c>
      <c r="CM2884" s="0" t="s">
        <v>130</v>
      </c>
      <c r="CN2884" s="0" t="s">
        <v>130</v>
      </c>
      <c r="CO2884" s="0" t="s">
        <v>130</v>
      </c>
      <c r="CP2884" s="0" t="s">
        <v>130</v>
      </c>
      <c r="CQ2884" s="0" t="s">
        <v>130</v>
      </c>
      <c r="CR2884" s="0" t="s">
        <v>130</v>
      </c>
      <c r="CS2884" s="0" t="s">
        <v>130</v>
      </c>
      <c r="CT2884" s="0" t="s">
        <v>7785</v>
      </c>
    </row>
    <row r="2885">
      <c r="A2885" s="14">
        <v>16857643</v>
      </c>
      <c r="B2885" s="0" t="s">
        <v>4271</v>
      </c>
      <c r="C2885" s="16">
        <f>HYPERLINK("https://eosportal.federatedhermes.com/companies/Q29tcGFueQppNzgyNzY=", "Alibaba Group Holding Ltd")</f>
      </c>
      <c r="D2885" s="0" t="s">
        <v>25</v>
      </c>
      <c r="E2885" s="0" t="s">
        <v>7786</v>
      </c>
      <c r="F2885" s="16">
        <f>HYPERLINK("https://eosportal.federatedhermes.com/engagements/RW5nYWdlbWVudAppNDAxMTE=", "Climate impacts of AI-driven data centre expansion")</f>
      </c>
      <c r="G2885" s="14" t="s">
        <v>7787</v>
      </c>
      <c r="H2885" s="0" t="s">
        <v>141</v>
      </c>
      <c r="I2885" s="14" t="s">
        <v>1645</v>
      </c>
      <c r="J2885" s="0" t="s">
        <v>197</v>
      </c>
      <c r="K2885" s="0" t="s">
        <v>198</v>
      </c>
      <c r="L2885" s="0" t="s">
        <v>216</v>
      </c>
      <c r="M2885" s="0" t="s">
        <v>802</v>
      </c>
      <c r="N2885" s="0" t="s">
        <v>803</v>
      </c>
      <c r="O2885" s="0" t="s">
        <v>643</v>
      </c>
      <c r="Q2885" s="0" t="s">
        <v>141</v>
      </c>
      <c r="R2885" s="0" t="s">
        <v>138</v>
      </c>
      <c r="S2885" s="14">
        <v>1</v>
      </c>
      <c r="T2885" s="0" t="s">
        <v>2842</v>
      </c>
      <c r="U2885" s="0" t="s">
        <v>138</v>
      </c>
      <c r="V2885" s="14" t="s">
        <v>138</v>
      </c>
      <c r="W2885" s="0" t="s">
        <v>138</v>
      </c>
      <c r="X2885" s="14" t="s">
        <v>138</v>
      </c>
      <c r="Y2885" s="0" t="s">
        <v>138</v>
      </c>
      <c r="Z2885" s="14" t="s">
        <v>138</v>
      </c>
      <c r="AA2885" s="0" t="s">
        <v>138</v>
      </c>
      <c r="AB2885" s="14" t="s">
        <v>138</v>
      </c>
      <c r="AD2885" s="0" t="s">
        <v>138</v>
      </c>
      <c r="AF2885" s="0">
        <v>0</v>
      </c>
      <c r="AG2885" s="0">
        <v>0</v>
      </c>
      <c r="AH2885" s="0" t="s">
        <v>140</v>
      </c>
      <c r="AI2885" s="0" t="s">
        <v>138</v>
      </c>
      <c r="AK2885" s="0" t="s">
        <v>675</v>
      </c>
      <c r="AL2885" s="14"/>
      <c r="AN2885" s="14"/>
      <c r="AQ2885" s="0" t="s">
        <v>130</v>
      </c>
      <c r="AR2885" s="0" t="s">
        <v>130</v>
      </c>
      <c r="AS2885" s="0" t="s">
        <v>130</v>
      </c>
      <c r="AT2885" s="0" t="s">
        <v>130</v>
      </c>
      <c r="AU2885" s="0" t="s">
        <v>130</v>
      </c>
      <c r="AV2885" s="0" t="s">
        <v>130</v>
      </c>
      <c r="AW2885" s="0" t="s">
        <v>141</v>
      </c>
      <c r="AX2885" s="0" t="s">
        <v>130</v>
      </c>
      <c r="AY2885" s="0" t="s">
        <v>141</v>
      </c>
      <c r="AZ2885" s="0" t="s">
        <v>130</v>
      </c>
      <c r="BA2885" s="0" t="s">
        <v>130</v>
      </c>
      <c r="BB2885" s="0" t="s">
        <v>130</v>
      </c>
      <c r="BC2885" s="0" t="s">
        <v>141</v>
      </c>
      <c r="BD2885" s="0" t="s">
        <v>130</v>
      </c>
      <c r="BE2885" s="0" t="s">
        <v>130</v>
      </c>
      <c r="BF2885" s="0" t="s">
        <v>130</v>
      </c>
      <c r="BG2885" s="0" t="s">
        <v>130</v>
      </c>
      <c r="BH2885" s="0" t="s">
        <v>141</v>
      </c>
      <c r="BI2885" s="0" t="s">
        <v>141</v>
      </c>
      <c r="BJ2885" s="0" t="s">
        <v>141</v>
      </c>
      <c r="BK2885" s="0" t="s">
        <v>130</v>
      </c>
      <c r="BL2885" s="0" t="s">
        <v>130</v>
      </c>
      <c r="BM2885" s="0" t="s">
        <v>130</v>
      </c>
      <c r="BN2885" s="0" t="s">
        <v>130</v>
      </c>
      <c r="BO2885" s="0" t="s">
        <v>130</v>
      </c>
      <c r="BP2885" s="0" t="s">
        <v>130</v>
      </c>
      <c r="BQ2885" s="0" t="s">
        <v>130</v>
      </c>
      <c r="BR2885" s="0" t="s">
        <v>130</v>
      </c>
      <c r="BS2885" s="0" t="s">
        <v>130</v>
      </c>
      <c r="BT2885" s="0" t="s">
        <v>130</v>
      </c>
      <c r="BU2885" s="0" t="s">
        <v>130</v>
      </c>
      <c r="BV2885" s="0" t="s">
        <v>141</v>
      </c>
      <c r="BW2885" s="0" t="s">
        <v>141</v>
      </c>
      <c r="BX2885" s="0" t="s">
        <v>130</v>
      </c>
      <c r="BY2885" s="0" t="s">
        <v>130</v>
      </c>
      <c r="BZ2885" s="0" t="s">
        <v>130</v>
      </c>
      <c r="CA2885" s="0" t="s">
        <v>130</v>
      </c>
      <c r="CB2885" s="0" t="s">
        <v>130</v>
      </c>
      <c r="CC2885" s="0" t="s">
        <v>130</v>
      </c>
      <c r="CD2885" s="0" t="s">
        <v>130</v>
      </c>
      <c r="CE2885" s="0" t="s">
        <v>130</v>
      </c>
      <c r="CF2885" s="0" t="s">
        <v>130</v>
      </c>
      <c r="CG2885" s="0" t="s">
        <v>130</v>
      </c>
      <c r="CH2885" s="0" t="s">
        <v>130</v>
      </c>
      <c r="CI2885" s="0" t="s">
        <v>130</v>
      </c>
      <c r="CJ2885" s="0" t="s">
        <v>130</v>
      </c>
      <c r="CK2885" s="0" t="s">
        <v>130</v>
      </c>
      <c r="CL2885" s="0" t="s">
        <v>130</v>
      </c>
      <c r="CM2885" s="0" t="s">
        <v>130</v>
      </c>
      <c r="CN2885" s="0" t="s">
        <v>130</v>
      </c>
      <c r="CO2885" s="0" t="s">
        <v>130</v>
      </c>
      <c r="CP2885" s="0" t="s">
        <v>130</v>
      </c>
      <c r="CQ2885" s="0" t="s">
        <v>130</v>
      </c>
      <c r="CR2885" s="0" t="s">
        <v>130</v>
      </c>
      <c r="CS2885" s="0" t="s">
        <v>130</v>
      </c>
      <c r="CT2885" s="0" t="s">
        <v>7788</v>
      </c>
    </row>
    <row r="2886">
      <c r="A2886" s="14">
        <v>183932</v>
      </c>
      <c r="B2886" s="0" t="s">
        <v>3222</v>
      </c>
      <c r="C2886" s="16">
        <f>HYPERLINK("https://eosportal.federatedhermes.com/companies/Q29tcGFueQppNzU5MzI=", "Orsted AS")</f>
      </c>
      <c r="D2886" s="0" t="s">
        <v>23</v>
      </c>
      <c r="E2886" s="0" t="s">
        <v>7789</v>
      </c>
      <c r="F2886" s="16">
        <f>HYPERLINK("https://eosportal.federatedhermes.com/engagements/RW5nYWdlbWVudAppNDAxMzg=", "Supply Chain Engagement")</f>
      </c>
      <c r="G2886" s="14" t="s">
        <v>7790</v>
      </c>
      <c r="H2886" s="0" t="s">
        <v>130</v>
      </c>
      <c r="I2886" s="14" t="s">
        <v>131</v>
      </c>
      <c r="J2886" s="0" t="s">
        <v>197</v>
      </c>
      <c r="K2886" s="0" t="s">
        <v>198</v>
      </c>
      <c r="L2886" s="0" t="s">
        <v>216</v>
      </c>
      <c r="M2886" s="0" t="s">
        <v>378</v>
      </c>
      <c r="N2886" s="0" t="s">
        <v>1339</v>
      </c>
      <c r="O2886" s="0" t="s">
        <v>192</v>
      </c>
      <c r="Q2886" s="0" t="s">
        <v>141</v>
      </c>
      <c r="R2886" s="0" t="s">
        <v>130</v>
      </c>
      <c r="S2886" s="14">
        <v>1</v>
      </c>
      <c r="T2886" s="0" t="s">
        <v>449</v>
      </c>
      <c r="U2886" s="0" t="s">
        <v>221</v>
      </c>
      <c r="V2886" s="14" t="s">
        <v>449</v>
      </c>
      <c r="W2886" s="0" t="s">
        <v>223</v>
      </c>
      <c r="X2886" s="14" t="s">
        <v>138</v>
      </c>
      <c r="Y2886" s="0" t="s">
        <v>224</v>
      </c>
      <c r="Z2886" s="14" t="s">
        <v>138</v>
      </c>
      <c r="AA2886" s="0" t="s">
        <v>224</v>
      </c>
      <c r="AB2886" s="14" t="s">
        <v>138</v>
      </c>
      <c r="AD2886" s="0" t="s">
        <v>14</v>
      </c>
      <c r="AF2886" s="0">
        <v>0</v>
      </c>
      <c r="AG2886" s="0">
        <v>0</v>
      </c>
      <c r="AH2886" s="0" t="s">
        <v>140</v>
      </c>
      <c r="AI2886" s="0" t="s">
        <v>598</v>
      </c>
      <c r="AK2886" s="0" t="s">
        <v>3207</v>
      </c>
      <c r="AL2886" s="14"/>
      <c r="AN2886" s="14"/>
      <c r="AQ2886" s="0" t="s">
        <v>130</v>
      </c>
      <c r="AR2886" s="0" t="s">
        <v>130</v>
      </c>
      <c r="AS2886" s="0" t="s">
        <v>130</v>
      </c>
      <c r="AT2886" s="0" t="s">
        <v>130</v>
      </c>
      <c r="AU2886" s="0" t="s">
        <v>130</v>
      </c>
      <c r="AV2886" s="0" t="s">
        <v>130</v>
      </c>
      <c r="AW2886" s="0" t="s">
        <v>141</v>
      </c>
      <c r="AX2886" s="0" t="s">
        <v>130</v>
      </c>
      <c r="AY2886" s="0" t="s">
        <v>130</v>
      </c>
      <c r="AZ2886" s="0" t="s">
        <v>130</v>
      </c>
      <c r="BA2886" s="0" t="s">
        <v>130</v>
      </c>
      <c r="BB2886" s="0" t="s">
        <v>130</v>
      </c>
      <c r="BC2886" s="0" t="s">
        <v>141</v>
      </c>
      <c r="BD2886" s="0" t="s">
        <v>130</v>
      </c>
      <c r="BE2886" s="0" t="s">
        <v>130</v>
      </c>
      <c r="BF2886" s="0" t="s">
        <v>130</v>
      </c>
      <c r="BG2886" s="0" t="s">
        <v>130</v>
      </c>
      <c r="BH2886" s="0" t="s">
        <v>141</v>
      </c>
      <c r="BI2886" s="0" t="s">
        <v>141</v>
      </c>
      <c r="BJ2886" s="0" t="s">
        <v>141</v>
      </c>
      <c r="BK2886" s="0" t="s">
        <v>130</v>
      </c>
      <c r="BL2886" s="0" t="s">
        <v>130</v>
      </c>
      <c r="BM2886" s="0" t="s">
        <v>130</v>
      </c>
      <c r="BN2886" s="0" t="s">
        <v>130</v>
      </c>
      <c r="BO2886" s="0" t="s">
        <v>130</v>
      </c>
      <c r="BP2886" s="0" t="s">
        <v>130</v>
      </c>
      <c r="BQ2886" s="0" t="s">
        <v>130</v>
      </c>
      <c r="BR2886" s="0" t="s">
        <v>130</v>
      </c>
      <c r="BS2886" s="0" t="s">
        <v>130</v>
      </c>
      <c r="BT2886" s="0" t="s">
        <v>130</v>
      </c>
      <c r="BU2886" s="0" t="s">
        <v>130</v>
      </c>
      <c r="BV2886" s="0" t="s">
        <v>141</v>
      </c>
      <c r="BW2886" s="0" t="s">
        <v>141</v>
      </c>
      <c r="BX2886" s="0" t="s">
        <v>130</v>
      </c>
      <c r="BY2886" s="0" t="s">
        <v>130</v>
      </c>
      <c r="BZ2886" s="0" t="s">
        <v>130</v>
      </c>
      <c r="CA2886" s="0" t="s">
        <v>130</v>
      </c>
      <c r="CB2886" s="0" t="s">
        <v>130</v>
      </c>
      <c r="CC2886" s="0" t="s">
        <v>130</v>
      </c>
      <c r="CD2886" s="0" t="s">
        <v>130</v>
      </c>
      <c r="CE2886" s="0" t="s">
        <v>130</v>
      </c>
      <c r="CF2886" s="0" t="s">
        <v>130</v>
      </c>
      <c r="CG2886" s="0" t="s">
        <v>130</v>
      </c>
      <c r="CH2886" s="0" t="s">
        <v>130</v>
      </c>
      <c r="CI2886" s="0" t="s">
        <v>130</v>
      </c>
      <c r="CJ2886" s="0" t="s">
        <v>130</v>
      </c>
      <c r="CK2886" s="0" t="s">
        <v>130</v>
      </c>
      <c r="CL2886" s="0" t="s">
        <v>130</v>
      </c>
      <c r="CM2886" s="0" t="s">
        <v>130</v>
      </c>
      <c r="CN2886" s="0" t="s">
        <v>130</v>
      </c>
      <c r="CO2886" s="0" t="s">
        <v>130</v>
      </c>
      <c r="CP2886" s="0" t="s">
        <v>130</v>
      </c>
      <c r="CQ2886" s="0" t="s">
        <v>130</v>
      </c>
      <c r="CR2886" s="0" t="s">
        <v>130</v>
      </c>
      <c r="CS2886" s="0" t="s">
        <v>130</v>
      </c>
      <c r="CT2886" s="0" t="s">
        <v>7791</v>
      </c>
    </row>
    <row r="2887">
      <c r="A2887" s="14">
        <v>100285</v>
      </c>
      <c r="B2887" s="0" t="s">
        <v>423</v>
      </c>
      <c r="C2887" s="16">
        <f>HYPERLINK("https://eosportal.federatedhermes.com/companies/Q29tcGFueQppNzM3OTg=", "Caterpillar Inc")</f>
      </c>
      <c r="D2887" s="0" t="s">
        <v>23</v>
      </c>
      <c r="E2887" s="0" t="s">
        <v>7792</v>
      </c>
      <c r="F2887" s="16">
        <f>HYPERLINK("https://eosportal.federatedhermes.com/engagements/RW5nYWdlbWVudAppNDAxNDA=", "Outcomes of Human Rights Strategy")</f>
      </c>
      <c r="G2887" s="14" t="s">
        <v>7793</v>
      </c>
      <c r="H2887" s="0" t="s">
        <v>141</v>
      </c>
      <c r="I2887" s="14" t="s">
        <v>191</v>
      </c>
      <c r="J2887" s="0" t="s">
        <v>153</v>
      </c>
      <c r="K2887" s="0" t="s">
        <v>243</v>
      </c>
      <c r="L2887" s="0" t="s">
        <v>244</v>
      </c>
      <c r="M2887" s="0" t="s">
        <v>135</v>
      </c>
      <c r="N2887" s="0" t="s">
        <v>136</v>
      </c>
      <c r="O2887" s="0" t="s">
        <v>425</v>
      </c>
      <c r="Q2887" s="0" t="s">
        <v>141</v>
      </c>
      <c r="R2887" s="0" t="s">
        <v>130</v>
      </c>
      <c r="S2887" s="14">
        <v>1</v>
      </c>
      <c r="T2887" s="0" t="s">
        <v>4412</v>
      </c>
      <c r="U2887" s="0" t="s">
        <v>221</v>
      </c>
      <c r="V2887" s="14" t="s">
        <v>4412</v>
      </c>
      <c r="W2887" s="0" t="s">
        <v>223</v>
      </c>
      <c r="X2887" s="14" t="s">
        <v>138</v>
      </c>
      <c r="Y2887" s="0" t="s">
        <v>224</v>
      </c>
      <c r="Z2887" s="14" t="s">
        <v>138</v>
      </c>
      <c r="AA2887" s="0" t="s">
        <v>224</v>
      </c>
      <c r="AB2887" s="14" t="s">
        <v>138</v>
      </c>
      <c r="AD2887" s="0" t="s">
        <v>14</v>
      </c>
      <c r="AF2887" s="0">
        <v>0</v>
      </c>
      <c r="AG2887" s="0">
        <v>0</v>
      </c>
      <c r="AH2887" s="0" t="s">
        <v>140</v>
      </c>
      <c r="AI2887" s="0" t="s">
        <v>598</v>
      </c>
      <c r="AK2887" s="0" t="s">
        <v>436</v>
      </c>
      <c r="AL2887" s="14"/>
      <c r="AN2887" s="14"/>
      <c r="AQ2887" s="0" t="s">
        <v>130</v>
      </c>
      <c r="AR2887" s="0" t="s">
        <v>130</v>
      </c>
      <c r="AS2887" s="0" t="s">
        <v>130</v>
      </c>
      <c r="AT2887" s="0" t="s">
        <v>130</v>
      </c>
      <c r="AU2887" s="0" t="s">
        <v>130</v>
      </c>
      <c r="AV2887" s="0" t="s">
        <v>130</v>
      </c>
      <c r="AW2887" s="0" t="s">
        <v>130</v>
      </c>
      <c r="AX2887" s="0" t="s">
        <v>141</v>
      </c>
      <c r="AY2887" s="0" t="s">
        <v>130</v>
      </c>
      <c r="AZ2887" s="0" t="s">
        <v>130</v>
      </c>
      <c r="BA2887" s="0" t="s">
        <v>130</v>
      </c>
      <c r="BB2887" s="0" t="s">
        <v>130</v>
      </c>
      <c r="BC2887" s="0" t="s">
        <v>130</v>
      </c>
      <c r="BD2887" s="0" t="s">
        <v>130</v>
      </c>
      <c r="BE2887" s="0" t="s">
        <v>130</v>
      </c>
      <c r="BF2887" s="0" t="s">
        <v>130</v>
      </c>
      <c r="BG2887" s="0" t="s">
        <v>130</v>
      </c>
      <c r="BH2887" s="0" t="s">
        <v>130</v>
      </c>
      <c r="BI2887" s="0" t="s">
        <v>130</v>
      </c>
      <c r="BJ2887" s="0" t="s">
        <v>130</v>
      </c>
      <c r="BK2887" s="0" t="s">
        <v>130</v>
      </c>
      <c r="BL2887" s="0" t="s">
        <v>130</v>
      </c>
      <c r="BM2887" s="0" t="s">
        <v>130</v>
      </c>
      <c r="BN2887" s="0" t="s">
        <v>130</v>
      </c>
      <c r="BO2887" s="0" t="s">
        <v>130</v>
      </c>
      <c r="BP2887" s="0" t="s">
        <v>130</v>
      </c>
      <c r="BQ2887" s="0" t="s">
        <v>130</v>
      </c>
      <c r="BR2887" s="0" t="s">
        <v>130</v>
      </c>
      <c r="BS2887" s="0" t="s">
        <v>130</v>
      </c>
      <c r="BT2887" s="0" t="s">
        <v>130</v>
      </c>
      <c r="BU2887" s="0" t="s">
        <v>130</v>
      </c>
      <c r="BV2887" s="0" t="s">
        <v>130</v>
      </c>
      <c r="BW2887" s="0" t="s">
        <v>130</v>
      </c>
      <c r="BX2887" s="0" t="s">
        <v>130</v>
      </c>
      <c r="BY2887" s="0" t="s">
        <v>130</v>
      </c>
      <c r="BZ2887" s="0" t="s">
        <v>130</v>
      </c>
      <c r="CA2887" s="0" t="s">
        <v>130</v>
      </c>
      <c r="CB2887" s="0" t="s">
        <v>130</v>
      </c>
      <c r="CC2887" s="0" t="s">
        <v>130</v>
      </c>
      <c r="CD2887" s="0" t="s">
        <v>130</v>
      </c>
      <c r="CE2887" s="0" t="s">
        <v>130</v>
      </c>
      <c r="CF2887" s="0" t="s">
        <v>130</v>
      </c>
      <c r="CG2887" s="0" t="s">
        <v>130</v>
      </c>
      <c r="CH2887" s="0" t="s">
        <v>130</v>
      </c>
      <c r="CI2887" s="0" t="s">
        <v>130</v>
      </c>
      <c r="CJ2887" s="0" t="s">
        <v>130</v>
      </c>
      <c r="CK2887" s="0" t="s">
        <v>130</v>
      </c>
      <c r="CL2887" s="0" t="s">
        <v>130</v>
      </c>
      <c r="CM2887" s="0" t="s">
        <v>130</v>
      </c>
      <c r="CN2887" s="0" t="s">
        <v>130</v>
      </c>
      <c r="CO2887" s="0" t="s">
        <v>130</v>
      </c>
      <c r="CP2887" s="0" t="s">
        <v>130</v>
      </c>
      <c r="CQ2887" s="0" t="s">
        <v>130</v>
      </c>
      <c r="CR2887" s="0" t="s">
        <v>130</v>
      </c>
      <c r="CS2887" s="0" t="s">
        <v>130</v>
      </c>
      <c r="CT2887" s="0" t="s">
        <v>7794</v>
      </c>
    </row>
    <row r="2888">
      <c r="A2888" s="14">
        <v>169367</v>
      </c>
      <c r="B2888" s="0" t="s">
        <v>3021</v>
      </c>
      <c r="C2888" s="16">
        <f>HYPERLINK("https://eosportal.federatedhermes.com/companies/Q29tcGFueQppNjE5MDI=", "HDFC Bank Ltd")</f>
      </c>
      <c r="D2888" s="0" t="s">
        <v>25</v>
      </c>
      <c r="E2888" s="0" t="s">
        <v>7795</v>
      </c>
      <c r="F2888" s="16">
        <f>HYPERLINK("https://eosportal.federatedhermes.com/engagements/RW5nYWdlbWVudAppNDAxNDY=", "Cybersecurity")</f>
      </c>
      <c r="G2888" s="14" t="s">
        <v>7796</v>
      </c>
      <c r="H2888" s="0" t="s">
        <v>141</v>
      </c>
      <c r="I2888" s="14" t="s">
        <v>131</v>
      </c>
      <c r="J2888" s="0" t="s">
        <v>132</v>
      </c>
      <c r="K2888" s="0" t="s">
        <v>260</v>
      </c>
      <c r="L2888" s="0" t="s">
        <v>743</v>
      </c>
      <c r="M2888" s="0" t="s">
        <v>2807</v>
      </c>
      <c r="N2888" s="0" t="s">
        <v>2969</v>
      </c>
      <c r="O2888" s="0" t="s">
        <v>238</v>
      </c>
      <c r="Q2888" s="0" t="s">
        <v>130</v>
      </c>
      <c r="R2888" s="0" t="s">
        <v>138</v>
      </c>
      <c r="S2888" s="14">
        <v>0</v>
      </c>
      <c r="T2888" s="0" t="s">
        <v>449</v>
      </c>
      <c r="U2888" s="0" t="s">
        <v>138</v>
      </c>
      <c r="V2888" s="14" t="s">
        <v>138</v>
      </c>
      <c r="W2888" s="0" t="s">
        <v>138</v>
      </c>
      <c r="X2888" s="14" t="s">
        <v>138</v>
      </c>
      <c r="Y2888" s="0" t="s">
        <v>138</v>
      </c>
      <c r="Z2888" s="14" t="s">
        <v>138</v>
      </c>
      <c r="AA2888" s="0" t="s">
        <v>138</v>
      </c>
      <c r="AB2888" s="14" t="s">
        <v>138</v>
      </c>
      <c r="AD2888" s="0" t="s">
        <v>138</v>
      </c>
      <c r="AF2888" s="0">
        <v>0</v>
      </c>
      <c r="AG2888" s="0">
        <v>0</v>
      </c>
      <c r="AH2888" s="0" t="s">
        <v>140</v>
      </c>
      <c r="AI2888" s="0" t="s">
        <v>138</v>
      </c>
      <c r="AL2888" s="14"/>
      <c r="AN2888" s="14"/>
      <c r="AQ2888" s="0" t="s">
        <v>130</v>
      </c>
      <c r="AR2888" s="0" t="s">
        <v>130</v>
      </c>
      <c r="AS2888" s="0" t="s">
        <v>130</v>
      </c>
      <c r="AT2888" s="0" t="s">
        <v>130</v>
      </c>
      <c r="AU2888" s="0" t="s">
        <v>130</v>
      </c>
      <c r="AV2888" s="0" t="s">
        <v>130</v>
      </c>
      <c r="AW2888" s="0" t="s">
        <v>130</v>
      </c>
      <c r="AX2888" s="0" t="s">
        <v>130</v>
      </c>
      <c r="AY2888" s="0" t="s">
        <v>130</v>
      </c>
      <c r="AZ2888" s="0" t="s">
        <v>130</v>
      </c>
      <c r="BA2888" s="0" t="s">
        <v>130</v>
      </c>
      <c r="BB2888" s="0" t="s">
        <v>130</v>
      </c>
      <c r="BC2888" s="0" t="s">
        <v>130</v>
      </c>
      <c r="BD2888" s="0" t="s">
        <v>130</v>
      </c>
      <c r="BE2888" s="0" t="s">
        <v>130</v>
      </c>
      <c r="BF2888" s="0" t="s">
        <v>130</v>
      </c>
      <c r="BG2888" s="0" t="s">
        <v>130</v>
      </c>
      <c r="BH2888" s="0" t="s">
        <v>130</v>
      </c>
      <c r="BI2888" s="0" t="s">
        <v>130</v>
      </c>
      <c r="BJ2888" s="0" t="s">
        <v>130</v>
      </c>
      <c r="BK2888" s="0" t="s">
        <v>130</v>
      </c>
      <c r="BL2888" s="0" t="s">
        <v>130</v>
      </c>
      <c r="BM2888" s="0" t="s">
        <v>130</v>
      </c>
      <c r="BN2888" s="0" t="s">
        <v>130</v>
      </c>
      <c r="BO2888" s="0" t="s">
        <v>130</v>
      </c>
      <c r="BP2888" s="0" t="s">
        <v>130</v>
      </c>
      <c r="BQ2888" s="0" t="s">
        <v>130</v>
      </c>
      <c r="BR2888" s="0" t="s">
        <v>130</v>
      </c>
      <c r="BS2888" s="0" t="s">
        <v>130</v>
      </c>
      <c r="BT2888" s="0" t="s">
        <v>130</v>
      </c>
      <c r="BU2888" s="0" t="s">
        <v>130</v>
      </c>
      <c r="BV2888" s="0" t="s">
        <v>130</v>
      </c>
      <c r="BW2888" s="0" t="s">
        <v>130</v>
      </c>
      <c r="BX2888" s="0" t="s">
        <v>130</v>
      </c>
      <c r="BY2888" s="0" t="s">
        <v>130</v>
      </c>
      <c r="BZ2888" s="0" t="s">
        <v>130</v>
      </c>
      <c r="CA2888" s="0" t="s">
        <v>130</v>
      </c>
      <c r="CB2888" s="0" t="s">
        <v>130</v>
      </c>
      <c r="CC2888" s="0" t="s">
        <v>130</v>
      </c>
      <c r="CD2888" s="0" t="s">
        <v>130</v>
      </c>
      <c r="CE2888" s="0" t="s">
        <v>130</v>
      </c>
      <c r="CF2888" s="0" t="s">
        <v>130</v>
      </c>
      <c r="CG2888" s="0" t="s">
        <v>130</v>
      </c>
      <c r="CH2888" s="0" t="s">
        <v>130</v>
      </c>
      <c r="CI2888" s="0" t="s">
        <v>130</v>
      </c>
      <c r="CJ2888" s="0" t="s">
        <v>130</v>
      </c>
      <c r="CK2888" s="0" t="s">
        <v>130</v>
      </c>
      <c r="CL2888" s="0" t="s">
        <v>130</v>
      </c>
      <c r="CM2888" s="0" t="s">
        <v>130</v>
      </c>
      <c r="CN2888" s="0" t="s">
        <v>130</v>
      </c>
      <c r="CO2888" s="0" t="s">
        <v>130</v>
      </c>
      <c r="CP2888" s="0" t="s">
        <v>130</v>
      </c>
      <c r="CQ2888" s="0" t="s">
        <v>130</v>
      </c>
      <c r="CR2888" s="0" t="s">
        <v>130</v>
      </c>
      <c r="CS2888" s="0" t="s">
        <v>130</v>
      </c>
      <c r="CT2888" s="0" t="s">
        <v>7797</v>
      </c>
    </row>
    <row r="2889">
      <c r="A2889" s="14">
        <v>225547</v>
      </c>
      <c r="B2889" s="0" t="s">
        <v>3434</v>
      </c>
      <c r="C2889" s="16">
        <f>HYPERLINK("https://eosportal.federatedhermes.com/companies/Q29tcGFueQppNzQwNTc=", "ArcelorMittal SA")</f>
      </c>
      <c r="D2889" s="0" t="s">
        <v>25</v>
      </c>
      <c r="E2889" s="0" t="s">
        <v>7798</v>
      </c>
      <c r="F2889" s="16">
        <f>HYPERLINK("https://eosportal.federatedhermes.com/engagements/RW5nYWdlbWVudAppNDAxNTg=", "Adopting the IASB's illustrative examples on climate uncertainties in accounts")</f>
      </c>
      <c r="G2889" s="14" t="s">
        <v>7779</v>
      </c>
      <c r="H2889" s="0" t="s">
        <v>141</v>
      </c>
      <c r="I2889" s="14" t="s">
        <v>191</v>
      </c>
      <c r="J2889" s="0" t="s">
        <v>197</v>
      </c>
      <c r="K2889" s="0" t="s">
        <v>198</v>
      </c>
      <c r="L2889" s="0" t="s">
        <v>199</v>
      </c>
      <c r="M2889" s="0" t="s">
        <v>378</v>
      </c>
      <c r="N2889" s="0" t="s">
        <v>3435</v>
      </c>
      <c r="O2889" s="0" t="s">
        <v>373</v>
      </c>
      <c r="Q2889" s="0" t="s">
        <v>141</v>
      </c>
      <c r="R2889" s="0" t="s">
        <v>138</v>
      </c>
      <c r="S2889" s="14">
        <v>1</v>
      </c>
      <c r="T2889" s="0" t="s">
        <v>449</v>
      </c>
      <c r="U2889" s="0" t="s">
        <v>138</v>
      </c>
      <c r="V2889" s="14" t="s">
        <v>138</v>
      </c>
      <c r="W2889" s="0" t="s">
        <v>138</v>
      </c>
      <c r="X2889" s="14" t="s">
        <v>138</v>
      </c>
      <c r="Y2889" s="0" t="s">
        <v>138</v>
      </c>
      <c r="Z2889" s="14" t="s">
        <v>138</v>
      </c>
      <c r="AA2889" s="0" t="s">
        <v>138</v>
      </c>
      <c r="AB2889" s="14" t="s">
        <v>138</v>
      </c>
      <c r="AD2889" s="0" t="s">
        <v>138</v>
      </c>
      <c r="AF2889" s="0">
        <v>0</v>
      </c>
      <c r="AG2889" s="0">
        <v>0</v>
      </c>
      <c r="AH2889" s="0" t="s">
        <v>140</v>
      </c>
      <c r="AI2889" s="0" t="s">
        <v>138</v>
      </c>
      <c r="AK2889" s="0" t="s">
        <v>1470</v>
      </c>
      <c r="AL2889" s="14"/>
      <c r="AN2889" s="14"/>
      <c r="AQ2889" s="0" t="s">
        <v>130</v>
      </c>
      <c r="AR2889" s="0" t="s">
        <v>130</v>
      </c>
      <c r="AS2889" s="0" t="s">
        <v>130</v>
      </c>
      <c r="AT2889" s="0" t="s">
        <v>130</v>
      </c>
      <c r="AU2889" s="0" t="s">
        <v>130</v>
      </c>
      <c r="AV2889" s="0" t="s">
        <v>130</v>
      </c>
      <c r="AW2889" s="0" t="s">
        <v>130</v>
      </c>
      <c r="AX2889" s="0" t="s">
        <v>130</v>
      </c>
      <c r="AY2889" s="0" t="s">
        <v>130</v>
      </c>
      <c r="AZ2889" s="0" t="s">
        <v>130</v>
      </c>
      <c r="BA2889" s="0" t="s">
        <v>130</v>
      </c>
      <c r="BB2889" s="0" t="s">
        <v>141</v>
      </c>
      <c r="BC2889" s="0" t="s">
        <v>141</v>
      </c>
      <c r="BD2889" s="0" t="s">
        <v>130</v>
      </c>
      <c r="BE2889" s="0" t="s">
        <v>130</v>
      </c>
      <c r="BF2889" s="0" t="s">
        <v>130</v>
      </c>
      <c r="BG2889" s="0" t="s">
        <v>130</v>
      </c>
      <c r="BH2889" s="0" t="s">
        <v>130</v>
      </c>
      <c r="BI2889" s="0" t="s">
        <v>130</v>
      </c>
      <c r="BJ2889" s="0" t="s">
        <v>130</v>
      </c>
      <c r="BK2889" s="0" t="s">
        <v>130</v>
      </c>
      <c r="BL2889" s="0" t="s">
        <v>130</v>
      </c>
      <c r="BM2889" s="0" t="s">
        <v>130</v>
      </c>
      <c r="BN2889" s="0" t="s">
        <v>130</v>
      </c>
      <c r="BO2889" s="0" t="s">
        <v>130</v>
      </c>
      <c r="BP2889" s="0" t="s">
        <v>130</v>
      </c>
      <c r="BQ2889" s="0" t="s">
        <v>130</v>
      </c>
      <c r="BR2889" s="0" t="s">
        <v>130</v>
      </c>
      <c r="BS2889" s="0" t="s">
        <v>130</v>
      </c>
      <c r="BT2889" s="0" t="s">
        <v>130</v>
      </c>
      <c r="BU2889" s="0" t="s">
        <v>130</v>
      </c>
      <c r="BV2889" s="0" t="s">
        <v>130</v>
      </c>
      <c r="BW2889" s="0" t="s">
        <v>130</v>
      </c>
      <c r="BX2889" s="0" t="s">
        <v>130</v>
      </c>
      <c r="BY2889" s="0" t="s">
        <v>130</v>
      </c>
      <c r="BZ2889" s="0" t="s">
        <v>130</v>
      </c>
      <c r="CA2889" s="0" t="s">
        <v>130</v>
      </c>
      <c r="CB2889" s="0" t="s">
        <v>130</v>
      </c>
      <c r="CC2889" s="0" t="s">
        <v>130</v>
      </c>
      <c r="CD2889" s="0" t="s">
        <v>130</v>
      </c>
      <c r="CE2889" s="0" t="s">
        <v>130</v>
      </c>
      <c r="CF2889" s="0" t="s">
        <v>130</v>
      </c>
      <c r="CG2889" s="0" t="s">
        <v>130</v>
      </c>
      <c r="CH2889" s="0" t="s">
        <v>130</v>
      </c>
      <c r="CI2889" s="0" t="s">
        <v>130</v>
      </c>
      <c r="CJ2889" s="0" t="s">
        <v>130</v>
      </c>
      <c r="CK2889" s="0" t="s">
        <v>130</v>
      </c>
      <c r="CL2889" s="0" t="s">
        <v>130</v>
      </c>
      <c r="CM2889" s="0" t="s">
        <v>130</v>
      </c>
      <c r="CN2889" s="0" t="s">
        <v>130</v>
      </c>
      <c r="CO2889" s="0" t="s">
        <v>130</v>
      </c>
      <c r="CP2889" s="0" t="s">
        <v>130</v>
      </c>
      <c r="CQ2889" s="0" t="s">
        <v>130</v>
      </c>
      <c r="CR2889" s="0" t="s">
        <v>130</v>
      </c>
      <c r="CS2889" s="0" t="s">
        <v>130</v>
      </c>
      <c r="CT2889" s="0" t="s">
        <v>7799</v>
      </c>
    </row>
    <row r="2890">
      <c r="A2890" s="14">
        <v>101215</v>
      </c>
      <c r="B2890" s="0" t="s">
        <v>1464</v>
      </c>
      <c r="C2890" s="16">
        <f>HYPERLINK("https://eosportal.federatedhermes.com/companies/Q29tcGFueQppNTIxNzY=", "Procter &amp; Gamble Co/The")</f>
      </c>
      <c r="D2890" s="0" t="s">
        <v>23</v>
      </c>
      <c r="E2890" s="0" t="s">
        <v>7792</v>
      </c>
      <c r="F2890" s="16">
        <f>HYPERLINK("https://eosportal.federatedhermes.com/engagements/RW5nYWdlbWVudAppNDAxNjQ=", "Outcomes of Human Rights Strategy")</f>
      </c>
      <c r="G2890" s="14" t="s">
        <v>7800</v>
      </c>
      <c r="H2890" s="0" t="s">
        <v>141</v>
      </c>
      <c r="I2890" s="14" t="s">
        <v>191</v>
      </c>
      <c r="J2890" s="0" t="s">
        <v>153</v>
      </c>
      <c r="K2890" s="0" t="s">
        <v>243</v>
      </c>
      <c r="L2890" s="0" t="s">
        <v>244</v>
      </c>
      <c r="M2890" s="0" t="s">
        <v>135</v>
      </c>
      <c r="N2890" s="0" t="s">
        <v>136</v>
      </c>
      <c r="O2890" s="0" t="s">
        <v>332</v>
      </c>
      <c r="Q2890" s="0" t="s">
        <v>141</v>
      </c>
      <c r="R2890" s="0" t="s">
        <v>130</v>
      </c>
      <c r="S2890" s="14">
        <v>1</v>
      </c>
      <c r="T2890" s="0" t="s">
        <v>2428</v>
      </c>
      <c r="U2890" s="0" t="s">
        <v>221</v>
      </c>
      <c r="V2890" s="14" t="s">
        <v>2428</v>
      </c>
      <c r="W2890" s="0" t="s">
        <v>221</v>
      </c>
      <c r="X2890" s="14" t="s">
        <v>449</v>
      </c>
      <c r="Y2890" s="0" t="s">
        <v>223</v>
      </c>
      <c r="Z2890" s="14" t="s">
        <v>138</v>
      </c>
      <c r="AA2890" s="0" t="s">
        <v>224</v>
      </c>
      <c r="AB2890" s="14" t="s">
        <v>138</v>
      </c>
      <c r="AD2890" s="0" t="s">
        <v>17</v>
      </c>
      <c r="AF2890" s="0">
        <v>0</v>
      </c>
      <c r="AG2890" s="0">
        <v>0</v>
      </c>
      <c r="AH2890" s="0" t="s">
        <v>140</v>
      </c>
      <c r="AI2890" s="0" t="s">
        <v>598</v>
      </c>
      <c r="AK2890" s="0" t="s">
        <v>2019</v>
      </c>
      <c r="AL2890" s="14"/>
      <c r="AN2890" s="14"/>
      <c r="AQ2890" s="0" t="s">
        <v>130</v>
      </c>
      <c r="AR2890" s="0" t="s">
        <v>130</v>
      </c>
      <c r="AS2890" s="0" t="s">
        <v>130</v>
      </c>
      <c r="AT2890" s="0" t="s">
        <v>130</v>
      </c>
      <c r="AU2890" s="0" t="s">
        <v>130</v>
      </c>
      <c r="AV2890" s="0" t="s">
        <v>130</v>
      </c>
      <c r="AW2890" s="0" t="s">
        <v>130</v>
      </c>
      <c r="AX2890" s="0" t="s">
        <v>141</v>
      </c>
      <c r="AY2890" s="0" t="s">
        <v>130</v>
      </c>
      <c r="AZ2890" s="0" t="s">
        <v>130</v>
      </c>
      <c r="BA2890" s="0" t="s">
        <v>130</v>
      </c>
      <c r="BB2890" s="0" t="s">
        <v>130</v>
      </c>
      <c r="BC2890" s="0" t="s">
        <v>130</v>
      </c>
      <c r="BD2890" s="0" t="s">
        <v>130</v>
      </c>
      <c r="BE2890" s="0" t="s">
        <v>130</v>
      </c>
      <c r="BF2890" s="0" t="s">
        <v>130</v>
      </c>
      <c r="BG2890" s="0" t="s">
        <v>130</v>
      </c>
      <c r="BH2890" s="0" t="s">
        <v>130</v>
      </c>
      <c r="BI2890" s="0" t="s">
        <v>130</v>
      </c>
      <c r="BJ2890" s="0" t="s">
        <v>130</v>
      </c>
      <c r="BK2890" s="0" t="s">
        <v>130</v>
      </c>
      <c r="BL2890" s="0" t="s">
        <v>130</v>
      </c>
      <c r="BM2890" s="0" t="s">
        <v>130</v>
      </c>
      <c r="BN2890" s="0" t="s">
        <v>130</v>
      </c>
      <c r="BO2890" s="0" t="s">
        <v>130</v>
      </c>
      <c r="BP2890" s="0" t="s">
        <v>130</v>
      </c>
      <c r="BQ2890" s="0" t="s">
        <v>130</v>
      </c>
      <c r="BR2890" s="0" t="s">
        <v>130</v>
      </c>
      <c r="BS2890" s="0" t="s">
        <v>130</v>
      </c>
      <c r="BT2890" s="0" t="s">
        <v>130</v>
      </c>
      <c r="BU2890" s="0" t="s">
        <v>130</v>
      </c>
      <c r="BV2890" s="0" t="s">
        <v>130</v>
      </c>
      <c r="BW2890" s="0" t="s">
        <v>130</v>
      </c>
      <c r="BX2890" s="0" t="s">
        <v>130</v>
      </c>
      <c r="BY2890" s="0" t="s">
        <v>130</v>
      </c>
      <c r="BZ2890" s="0" t="s">
        <v>130</v>
      </c>
      <c r="CA2890" s="0" t="s">
        <v>130</v>
      </c>
      <c r="CB2890" s="0" t="s">
        <v>130</v>
      </c>
      <c r="CC2890" s="0" t="s">
        <v>130</v>
      </c>
      <c r="CD2890" s="0" t="s">
        <v>130</v>
      </c>
      <c r="CE2890" s="0" t="s">
        <v>130</v>
      </c>
      <c r="CF2890" s="0" t="s">
        <v>130</v>
      </c>
      <c r="CG2890" s="0" t="s">
        <v>130</v>
      </c>
      <c r="CH2890" s="0" t="s">
        <v>130</v>
      </c>
      <c r="CI2890" s="0" t="s">
        <v>130</v>
      </c>
      <c r="CJ2890" s="0" t="s">
        <v>130</v>
      </c>
      <c r="CK2890" s="0" t="s">
        <v>130</v>
      </c>
      <c r="CL2890" s="0" t="s">
        <v>130</v>
      </c>
      <c r="CM2890" s="0" t="s">
        <v>130</v>
      </c>
      <c r="CN2890" s="0" t="s">
        <v>130</v>
      </c>
      <c r="CO2890" s="0" t="s">
        <v>130</v>
      </c>
      <c r="CP2890" s="0" t="s">
        <v>130</v>
      </c>
      <c r="CQ2890" s="0" t="s">
        <v>130</v>
      </c>
      <c r="CR2890" s="0" t="s">
        <v>130</v>
      </c>
      <c r="CS2890" s="0" t="s">
        <v>130</v>
      </c>
      <c r="CT2890" s="0" t="s">
        <v>7801</v>
      </c>
    </row>
    <row r="2891">
      <c r="A2891" s="14">
        <v>101534</v>
      </c>
      <c r="B2891" s="0" t="s">
        <v>1699</v>
      </c>
      <c r="C2891" s="16">
        <f>HYPERLINK("https://eosportal.federatedhermes.com/companies/Q29tcGFueQppNjM1OTI=", "Unilever PLC")</f>
      </c>
      <c r="D2891" s="0" t="s">
        <v>25</v>
      </c>
      <c r="E2891" s="0" t="s">
        <v>7802</v>
      </c>
      <c r="F2891" s="16">
        <f>HYPERLINK("https://eosportal.federatedhermes.com/engagements/RW5nYWdlbWVudAppNDAxNzM=", "Adopting the IASB's illustrative examples on climate in the accounts")</f>
      </c>
      <c r="G2891" s="14" t="s">
        <v>7779</v>
      </c>
      <c r="H2891" s="0" t="s">
        <v>141</v>
      </c>
      <c r="I2891" s="14" t="s">
        <v>636</v>
      </c>
      <c r="J2891" s="0" t="s">
        <v>197</v>
      </c>
      <c r="K2891" s="0" t="s">
        <v>198</v>
      </c>
      <c r="L2891" s="0" t="s">
        <v>199</v>
      </c>
      <c r="M2891" s="0" t="s">
        <v>272</v>
      </c>
      <c r="N2891" s="0" t="s">
        <v>273</v>
      </c>
      <c r="O2891" s="0" t="s">
        <v>332</v>
      </c>
      <c r="Q2891" s="0" t="s">
        <v>141</v>
      </c>
      <c r="R2891" s="0" t="s">
        <v>138</v>
      </c>
      <c r="S2891" s="14">
        <v>1</v>
      </c>
      <c r="T2891" s="0" t="s">
        <v>449</v>
      </c>
      <c r="U2891" s="0" t="s">
        <v>138</v>
      </c>
      <c r="V2891" s="14" t="s">
        <v>138</v>
      </c>
      <c r="W2891" s="0" t="s">
        <v>138</v>
      </c>
      <c r="X2891" s="14" t="s">
        <v>138</v>
      </c>
      <c r="Y2891" s="0" t="s">
        <v>138</v>
      </c>
      <c r="Z2891" s="14" t="s">
        <v>138</v>
      </c>
      <c r="AA2891" s="0" t="s">
        <v>138</v>
      </c>
      <c r="AB2891" s="14" t="s">
        <v>138</v>
      </c>
      <c r="AD2891" s="0" t="s">
        <v>138</v>
      </c>
      <c r="AF2891" s="0">
        <v>0</v>
      </c>
      <c r="AG2891" s="0">
        <v>0</v>
      </c>
      <c r="AH2891" s="0" t="s">
        <v>140</v>
      </c>
      <c r="AI2891" s="0" t="s">
        <v>138</v>
      </c>
      <c r="AK2891" s="0" t="s">
        <v>339</v>
      </c>
      <c r="AL2891" s="14"/>
      <c r="AN2891" s="14"/>
      <c r="AQ2891" s="0" t="s">
        <v>130</v>
      </c>
      <c r="AR2891" s="0" t="s">
        <v>130</v>
      </c>
      <c r="AS2891" s="0" t="s">
        <v>130</v>
      </c>
      <c r="AT2891" s="0" t="s">
        <v>130</v>
      </c>
      <c r="AU2891" s="0" t="s">
        <v>130</v>
      </c>
      <c r="AV2891" s="0" t="s">
        <v>130</v>
      </c>
      <c r="AW2891" s="0" t="s">
        <v>130</v>
      </c>
      <c r="AX2891" s="0" t="s">
        <v>130</v>
      </c>
      <c r="AY2891" s="0" t="s">
        <v>130</v>
      </c>
      <c r="AZ2891" s="0" t="s">
        <v>130</v>
      </c>
      <c r="BA2891" s="0" t="s">
        <v>130</v>
      </c>
      <c r="BB2891" s="0" t="s">
        <v>141</v>
      </c>
      <c r="BC2891" s="0" t="s">
        <v>141</v>
      </c>
      <c r="BD2891" s="0" t="s">
        <v>130</v>
      </c>
      <c r="BE2891" s="0" t="s">
        <v>130</v>
      </c>
      <c r="BF2891" s="0" t="s">
        <v>130</v>
      </c>
      <c r="BG2891" s="0" t="s">
        <v>130</v>
      </c>
      <c r="BH2891" s="0" t="s">
        <v>130</v>
      </c>
      <c r="BI2891" s="0" t="s">
        <v>130</v>
      </c>
      <c r="BJ2891" s="0" t="s">
        <v>130</v>
      </c>
      <c r="BK2891" s="0" t="s">
        <v>130</v>
      </c>
      <c r="BL2891" s="0" t="s">
        <v>130</v>
      </c>
      <c r="BM2891" s="0" t="s">
        <v>130</v>
      </c>
      <c r="BN2891" s="0" t="s">
        <v>130</v>
      </c>
      <c r="BO2891" s="0" t="s">
        <v>130</v>
      </c>
      <c r="BP2891" s="0" t="s">
        <v>130</v>
      </c>
      <c r="BQ2891" s="0" t="s">
        <v>130</v>
      </c>
      <c r="BR2891" s="0" t="s">
        <v>130</v>
      </c>
      <c r="BS2891" s="0" t="s">
        <v>130</v>
      </c>
      <c r="BT2891" s="0" t="s">
        <v>130</v>
      </c>
      <c r="BU2891" s="0" t="s">
        <v>130</v>
      </c>
      <c r="BV2891" s="0" t="s">
        <v>130</v>
      </c>
      <c r="BW2891" s="0" t="s">
        <v>130</v>
      </c>
      <c r="BX2891" s="0" t="s">
        <v>130</v>
      </c>
      <c r="BY2891" s="0" t="s">
        <v>130</v>
      </c>
      <c r="BZ2891" s="0" t="s">
        <v>130</v>
      </c>
      <c r="CA2891" s="0" t="s">
        <v>130</v>
      </c>
      <c r="CB2891" s="0" t="s">
        <v>130</v>
      </c>
      <c r="CC2891" s="0" t="s">
        <v>130</v>
      </c>
      <c r="CD2891" s="0" t="s">
        <v>130</v>
      </c>
      <c r="CE2891" s="0" t="s">
        <v>130</v>
      </c>
      <c r="CF2891" s="0" t="s">
        <v>130</v>
      </c>
      <c r="CG2891" s="0" t="s">
        <v>130</v>
      </c>
      <c r="CH2891" s="0" t="s">
        <v>130</v>
      </c>
      <c r="CI2891" s="0" t="s">
        <v>130</v>
      </c>
      <c r="CJ2891" s="0" t="s">
        <v>130</v>
      </c>
      <c r="CK2891" s="0" t="s">
        <v>130</v>
      </c>
      <c r="CL2891" s="0" t="s">
        <v>130</v>
      </c>
      <c r="CM2891" s="0" t="s">
        <v>130</v>
      </c>
      <c r="CN2891" s="0" t="s">
        <v>130</v>
      </c>
      <c r="CO2891" s="0" t="s">
        <v>130</v>
      </c>
      <c r="CP2891" s="0" t="s">
        <v>130</v>
      </c>
      <c r="CQ2891" s="0" t="s">
        <v>130</v>
      </c>
      <c r="CR2891" s="0" t="s">
        <v>130</v>
      </c>
      <c r="CS2891" s="0" t="s">
        <v>130</v>
      </c>
      <c r="CT2891" s="0" t="s">
        <v>7803</v>
      </c>
    </row>
    <row r="2892">
      <c r="A2892" s="14">
        <v>101743</v>
      </c>
      <c r="B2892" s="0" t="s">
        <v>1893</v>
      </c>
      <c r="C2892" s="16">
        <f>HYPERLINK("https://eosportal.federatedhermes.com/companies/Q29tcGFueQppNjI1MDg=", "Microsoft Corp")</f>
      </c>
      <c r="D2892" s="0" t="s">
        <v>23</v>
      </c>
      <c r="E2892" s="0" t="s">
        <v>7804</v>
      </c>
      <c r="F2892" s="16">
        <f>HYPERLINK("https://eosportal.federatedhermes.com/engagements/RW5nYWdlbWVudAppNDAyNDY=", "AI and Climate")</f>
      </c>
      <c r="G2892" s="14" t="s">
        <v>5006</v>
      </c>
      <c r="H2892" s="0" t="s">
        <v>141</v>
      </c>
      <c r="I2892" s="14" t="s">
        <v>191</v>
      </c>
      <c r="J2892" s="0" t="s">
        <v>197</v>
      </c>
      <c r="K2892" s="0" t="s">
        <v>198</v>
      </c>
      <c r="L2892" s="0" t="s">
        <v>199</v>
      </c>
      <c r="M2892" s="0" t="s">
        <v>135</v>
      </c>
      <c r="N2892" s="0" t="s">
        <v>136</v>
      </c>
      <c r="O2892" s="0" t="s">
        <v>137</v>
      </c>
      <c r="Q2892" s="0" t="s">
        <v>141</v>
      </c>
      <c r="R2892" s="0" t="s">
        <v>130</v>
      </c>
      <c r="S2892" s="14">
        <v>1</v>
      </c>
      <c r="T2892" s="0" t="s">
        <v>449</v>
      </c>
      <c r="U2892" s="0" t="s">
        <v>221</v>
      </c>
      <c r="V2892" s="14" t="s">
        <v>449</v>
      </c>
      <c r="W2892" s="0" t="s">
        <v>223</v>
      </c>
      <c r="X2892" s="14" t="s">
        <v>138</v>
      </c>
      <c r="Y2892" s="0" t="s">
        <v>224</v>
      </c>
      <c r="Z2892" s="14" t="s">
        <v>138</v>
      </c>
      <c r="AA2892" s="0" t="s">
        <v>224</v>
      </c>
      <c r="AB2892" s="14" t="s">
        <v>138</v>
      </c>
      <c r="AD2892" s="0" t="s">
        <v>14</v>
      </c>
      <c r="AF2892" s="0">
        <v>0</v>
      </c>
      <c r="AG2892" s="0">
        <v>0</v>
      </c>
      <c r="AH2892" s="0" t="s">
        <v>140</v>
      </c>
      <c r="AI2892" s="0" t="s">
        <v>598</v>
      </c>
      <c r="AK2892" s="0" t="s">
        <v>339</v>
      </c>
      <c r="AL2892" s="14"/>
      <c r="AN2892" s="14"/>
      <c r="AQ2892" s="0" t="s">
        <v>130</v>
      </c>
      <c r="AR2892" s="0" t="s">
        <v>130</v>
      </c>
      <c r="AS2892" s="0" t="s">
        <v>130</v>
      </c>
      <c r="AT2892" s="0" t="s">
        <v>130</v>
      </c>
      <c r="AU2892" s="0" t="s">
        <v>130</v>
      </c>
      <c r="AV2892" s="0" t="s">
        <v>130</v>
      </c>
      <c r="AW2892" s="0" t="s">
        <v>130</v>
      </c>
      <c r="AX2892" s="0" t="s">
        <v>130</v>
      </c>
      <c r="AY2892" s="0" t="s">
        <v>130</v>
      </c>
      <c r="AZ2892" s="0" t="s">
        <v>130</v>
      </c>
      <c r="BA2892" s="0" t="s">
        <v>130</v>
      </c>
      <c r="BB2892" s="0" t="s">
        <v>141</v>
      </c>
      <c r="BC2892" s="0" t="s">
        <v>141</v>
      </c>
      <c r="BD2892" s="0" t="s">
        <v>130</v>
      </c>
      <c r="BE2892" s="0" t="s">
        <v>130</v>
      </c>
      <c r="BF2892" s="0" t="s">
        <v>130</v>
      </c>
      <c r="BG2892" s="0" t="s">
        <v>130</v>
      </c>
      <c r="BH2892" s="0" t="s">
        <v>141</v>
      </c>
      <c r="BI2892" s="0" t="s">
        <v>141</v>
      </c>
      <c r="BJ2892" s="0" t="s">
        <v>141</v>
      </c>
      <c r="BK2892" s="0" t="s">
        <v>130</v>
      </c>
      <c r="BL2892" s="0" t="s">
        <v>130</v>
      </c>
      <c r="BM2892" s="0" t="s">
        <v>130</v>
      </c>
      <c r="BN2892" s="0" t="s">
        <v>130</v>
      </c>
      <c r="BO2892" s="0" t="s">
        <v>130</v>
      </c>
      <c r="BP2892" s="0" t="s">
        <v>130</v>
      </c>
      <c r="BQ2892" s="0" t="s">
        <v>130</v>
      </c>
      <c r="BR2892" s="0" t="s">
        <v>130</v>
      </c>
      <c r="BS2892" s="0" t="s">
        <v>130</v>
      </c>
      <c r="BT2892" s="0" t="s">
        <v>130</v>
      </c>
      <c r="BU2892" s="0" t="s">
        <v>130</v>
      </c>
      <c r="BV2892" s="0" t="s">
        <v>141</v>
      </c>
      <c r="BW2892" s="0" t="s">
        <v>141</v>
      </c>
      <c r="BX2892" s="0" t="s">
        <v>130</v>
      </c>
      <c r="BY2892" s="0" t="s">
        <v>130</v>
      </c>
      <c r="BZ2892" s="0" t="s">
        <v>130</v>
      </c>
      <c r="CA2892" s="0" t="s">
        <v>130</v>
      </c>
      <c r="CB2892" s="0" t="s">
        <v>130</v>
      </c>
      <c r="CC2892" s="0" t="s">
        <v>130</v>
      </c>
      <c r="CD2892" s="0" t="s">
        <v>130</v>
      </c>
      <c r="CE2892" s="0" t="s">
        <v>130</v>
      </c>
      <c r="CF2892" s="0" t="s">
        <v>130</v>
      </c>
      <c r="CG2892" s="0" t="s">
        <v>130</v>
      </c>
      <c r="CH2892" s="0" t="s">
        <v>130</v>
      </c>
      <c r="CI2892" s="0" t="s">
        <v>130</v>
      </c>
      <c r="CJ2892" s="0" t="s">
        <v>130</v>
      </c>
      <c r="CK2892" s="0" t="s">
        <v>130</v>
      </c>
      <c r="CL2892" s="0" t="s">
        <v>130</v>
      </c>
      <c r="CM2892" s="0" t="s">
        <v>130</v>
      </c>
      <c r="CN2892" s="0" t="s">
        <v>130</v>
      </c>
      <c r="CO2892" s="0" t="s">
        <v>130</v>
      </c>
      <c r="CP2892" s="0" t="s">
        <v>130</v>
      </c>
      <c r="CQ2892" s="0" t="s">
        <v>130</v>
      </c>
      <c r="CR2892" s="0" t="s">
        <v>130</v>
      </c>
      <c r="CS2892" s="0" t="s">
        <v>130</v>
      </c>
      <c r="CT2892" s="0" t="s">
        <v>7805</v>
      </c>
    </row>
    <row r="2893">
      <c r="A2893" s="14">
        <v>101743</v>
      </c>
      <c r="B2893" s="0" t="s">
        <v>1893</v>
      </c>
      <c r="C2893" s="16">
        <f>HYPERLINK("https://eosportal.federatedhermes.com/companies/Q29tcGFueQppNjI1MDg=", "Microsoft Corp")</f>
      </c>
      <c r="D2893" s="0" t="s">
        <v>23</v>
      </c>
      <c r="E2893" s="0" t="s">
        <v>7806</v>
      </c>
      <c r="F2893" s="16">
        <f>HYPERLINK("https://eosportal.federatedhermes.com/engagements/RW5nYWdlbWVudAppNDAyNDc=", "AI Risk")</f>
      </c>
      <c r="G2893" s="14" t="s">
        <v>7807</v>
      </c>
      <c r="H2893" s="0" t="s">
        <v>141</v>
      </c>
      <c r="I2893" s="14" t="s">
        <v>191</v>
      </c>
      <c r="J2893" s="0" t="s">
        <v>132</v>
      </c>
      <c r="K2893" s="0" t="s">
        <v>260</v>
      </c>
      <c r="L2893" s="0" t="s">
        <v>743</v>
      </c>
      <c r="M2893" s="0" t="s">
        <v>135</v>
      </c>
      <c r="N2893" s="0" t="s">
        <v>136</v>
      </c>
      <c r="O2893" s="0" t="s">
        <v>137</v>
      </c>
      <c r="Q2893" s="0" t="s">
        <v>141</v>
      </c>
      <c r="R2893" s="0" t="s">
        <v>130</v>
      </c>
      <c r="S2893" s="14">
        <v>3</v>
      </c>
      <c r="T2893" s="0" t="s">
        <v>449</v>
      </c>
      <c r="U2893" s="0" t="s">
        <v>221</v>
      </c>
      <c r="V2893" s="14" t="s">
        <v>449</v>
      </c>
      <c r="W2893" s="0" t="s">
        <v>223</v>
      </c>
      <c r="X2893" s="14" t="s">
        <v>138</v>
      </c>
      <c r="Y2893" s="0" t="s">
        <v>224</v>
      </c>
      <c r="Z2893" s="14" t="s">
        <v>138</v>
      </c>
      <c r="AA2893" s="0" t="s">
        <v>224</v>
      </c>
      <c r="AB2893" s="14" t="s">
        <v>138</v>
      </c>
      <c r="AD2893" s="0" t="s">
        <v>14</v>
      </c>
      <c r="AF2893" s="0">
        <v>0</v>
      </c>
      <c r="AG2893" s="0">
        <v>0</v>
      </c>
      <c r="AH2893" s="0" t="s">
        <v>140</v>
      </c>
      <c r="AI2893" s="0" t="s">
        <v>598</v>
      </c>
      <c r="AK2893" s="0" t="s">
        <v>436</v>
      </c>
      <c r="AL2893" s="14"/>
      <c r="AN2893" s="14"/>
      <c r="AQ2893" s="0" t="s">
        <v>130</v>
      </c>
      <c r="AR2893" s="0" t="s">
        <v>130</v>
      </c>
      <c r="AS2893" s="0" t="s">
        <v>130</v>
      </c>
      <c r="AT2893" s="0" t="s">
        <v>130</v>
      </c>
      <c r="AU2893" s="0" t="s">
        <v>130</v>
      </c>
      <c r="AV2893" s="0" t="s">
        <v>130</v>
      </c>
      <c r="AW2893" s="0" t="s">
        <v>130</v>
      </c>
      <c r="AX2893" s="0" t="s">
        <v>130</v>
      </c>
      <c r="AY2893" s="0" t="s">
        <v>130</v>
      </c>
      <c r="AZ2893" s="0" t="s">
        <v>130</v>
      </c>
      <c r="BA2893" s="0" t="s">
        <v>130</v>
      </c>
      <c r="BB2893" s="0" t="s">
        <v>130</v>
      </c>
      <c r="BC2893" s="0" t="s">
        <v>130</v>
      </c>
      <c r="BD2893" s="0" t="s">
        <v>130</v>
      </c>
      <c r="BE2893" s="0" t="s">
        <v>130</v>
      </c>
      <c r="BF2893" s="0" t="s">
        <v>130</v>
      </c>
      <c r="BG2893" s="0" t="s">
        <v>130</v>
      </c>
      <c r="BH2893" s="0" t="s">
        <v>130</v>
      </c>
      <c r="BI2893" s="0" t="s">
        <v>130</v>
      </c>
      <c r="BJ2893" s="0" t="s">
        <v>130</v>
      </c>
      <c r="BK2893" s="0" t="s">
        <v>130</v>
      </c>
      <c r="BL2893" s="0" t="s">
        <v>130</v>
      </c>
      <c r="BM2893" s="0" t="s">
        <v>130</v>
      </c>
      <c r="BN2893" s="0" t="s">
        <v>130</v>
      </c>
      <c r="BO2893" s="0" t="s">
        <v>130</v>
      </c>
      <c r="BP2893" s="0" t="s">
        <v>130</v>
      </c>
      <c r="BQ2893" s="0" t="s">
        <v>130</v>
      </c>
      <c r="BR2893" s="0" t="s">
        <v>130</v>
      </c>
      <c r="BS2893" s="0" t="s">
        <v>130</v>
      </c>
      <c r="BT2893" s="0" t="s">
        <v>130</v>
      </c>
      <c r="BU2893" s="0" t="s">
        <v>130</v>
      </c>
      <c r="BV2893" s="0" t="s">
        <v>130</v>
      </c>
      <c r="BW2893" s="0" t="s">
        <v>130</v>
      </c>
      <c r="BX2893" s="0" t="s">
        <v>130</v>
      </c>
      <c r="BY2893" s="0" t="s">
        <v>130</v>
      </c>
      <c r="BZ2893" s="0" t="s">
        <v>130</v>
      </c>
      <c r="CA2893" s="0" t="s">
        <v>130</v>
      </c>
      <c r="CB2893" s="0" t="s">
        <v>130</v>
      </c>
      <c r="CC2893" s="0" t="s">
        <v>130</v>
      </c>
      <c r="CD2893" s="0" t="s">
        <v>130</v>
      </c>
      <c r="CE2893" s="0" t="s">
        <v>130</v>
      </c>
      <c r="CF2893" s="0" t="s">
        <v>130</v>
      </c>
      <c r="CG2893" s="0" t="s">
        <v>130</v>
      </c>
      <c r="CH2893" s="0" t="s">
        <v>130</v>
      </c>
      <c r="CI2893" s="0" t="s">
        <v>130</v>
      </c>
      <c r="CJ2893" s="0" t="s">
        <v>130</v>
      </c>
      <c r="CK2893" s="0" t="s">
        <v>130</v>
      </c>
      <c r="CL2893" s="0" t="s">
        <v>130</v>
      </c>
      <c r="CM2893" s="0" t="s">
        <v>130</v>
      </c>
      <c r="CN2893" s="0" t="s">
        <v>130</v>
      </c>
      <c r="CO2893" s="0" t="s">
        <v>130</v>
      </c>
      <c r="CP2893" s="0" t="s">
        <v>130</v>
      </c>
      <c r="CQ2893" s="0" t="s">
        <v>130</v>
      </c>
      <c r="CR2893" s="0" t="s">
        <v>130</v>
      </c>
      <c r="CS2893" s="0" t="s">
        <v>130</v>
      </c>
      <c r="CT2893" s="0" t="s">
        <v>7808</v>
      </c>
    </row>
    <row r="2894">
      <c r="A2894" s="14">
        <v>101743</v>
      </c>
      <c r="B2894" s="0" t="s">
        <v>1893</v>
      </c>
      <c r="C2894" s="16">
        <f>HYPERLINK("https://eosportal.federatedhermes.com/companies/Q29tcGFueQppNjI1MDg=", "Microsoft Corp")</f>
      </c>
      <c r="D2894" s="0" t="s">
        <v>23</v>
      </c>
      <c r="E2894" s="0" t="s">
        <v>7809</v>
      </c>
      <c r="F2894" s="16">
        <f>HYPERLINK("https://eosportal.federatedhermes.com/engagements/RW5nYWdlbWVudAppNDAyNDg=", "Impact of AI on Human Capital Management")</f>
      </c>
      <c r="G2894" s="14" t="s">
        <v>7810</v>
      </c>
      <c r="H2894" s="0" t="s">
        <v>141</v>
      </c>
      <c r="I2894" s="14" t="s">
        <v>191</v>
      </c>
      <c r="J2894" s="0" t="s">
        <v>153</v>
      </c>
      <c r="K2894" s="0" t="s">
        <v>243</v>
      </c>
      <c r="L2894" s="0" t="s">
        <v>537</v>
      </c>
      <c r="M2894" s="0" t="s">
        <v>135</v>
      </c>
      <c r="N2894" s="0" t="s">
        <v>136</v>
      </c>
      <c r="O2894" s="0" t="s">
        <v>137</v>
      </c>
      <c r="Q2894" s="0" t="s">
        <v>130</v>
      </c>
      <c r="R2894" s="0" t="s">
        <v>130</v>
      </c>
      <c r="S2894" s="14">
        <v>0</v>
      </c>
      <c r="T2894" s="0" t="s">
        <v>449</v>
      </c>
      <c r="U2894" s="0" t="s">
        <v>221</v>
      </c>
      <c r="V2894" s="14" t="s">
        <v>449</v>
      </c>
      <c r="W2894" s="0" t="s">
        <v>223</v>
      </c>
      <c r="X2894" s="14" t="s">
        <v>138</v>
      </c>
      <c r="Y2894" s="0" t="s">
        <v>224</v>
      </c>
      <c r="Z2894" s="14" t="s">
        <v>138</v>
      </c>
      <c r="AA2894" s="0" t="s">
        <v>224</v>
      </c>
      <c r="AB2894" s="14" t="s">
        <v>138</v>
      </c>
      <c r="AD2894" s="0" t="s">
        <v>14</v>
      </c>
      <c r="AF2894" s="0">
        <v>0</v>
      </c>
      <c r="AG2894" s="0">
        <v>0</v>
      </c>
      <c r="AH2894" s="0" t="s">
        <v>140</v>
      </c>
      <c r="AI2894" s="0" t="s">
        <v>598</v>
      </c>
      <c r="AL2894" s="14"/>
      <c r="AN2894" s="14"/>
      <c r="AQ2894" s="0" t="s">
        <v>130</v>
      </c>
      <c r="AR2894" s="0" t="s">
        <v>130</v>
      </c>
      <c r="AS2894" s="0" t="s">
        <v>130</v>
      </c>
      <c r="AT2894" s="0" t="s">
        <v>130</v>
      </c>
      <c r="AU2894" s="0" t="s">
        <v>130</v>
      </c>
      <c r="AV2894" s="0" t="s">
        <v>130</v>
      </c>
      <c r="AW2894" s="0" t="s">
        <v>130</v>
      </c>
      <c r="AX2894" s="0" t="s">
        <v>130</v>
      </c>
      <c r="AY2894" s="0" t="s">
        <v>130</v>
      </c>
      <c r="AZ2894" s="0" t="s">
        <v>130</v>
      </c>
      <c r="BA2894" s="0" t="s">
        <v>130</v>
      </c>
      <c r="BB2894" s="0" t="s">
        <v>130</v>
      </c>
      <c r="BC2894" s="0" t="s">
        <v>130</v>
      </c>
      <c r="BD2894" s="0" t="s">
        <v>130</v>
      </c>
      <c r="BE2894" s="0" t="s">
        <v>130</v>
      </c>
      <c r="BF2894" s="0" t="s">
        <v>141</v>
      </c>
      <c r="BG2894" s="0" t="s">
        <v>130</v>
      </c>
      <c r="BH2894" s="0" t="s">
        <v>130</v>
      </c>
      <c r="BI2894" s="0" t="s">
        <v>130</v>
      </c>
      <c r="BJ2894" s="0" t="s">
        <v>130</v>
      </c>
      <c r="BK2894" s="0" t="s">
        <v>130</v>
      </c>
      <c r="BL2894" s="0" t="s">
        <v>130</v>
      </c>
      <c r="BM2894" s="0" t="s">
        <v>130</v>
      </c>
      <c r="BN2894" s="0" t="s">
        <v>130</v>
      </c>
      <c r="BO2894" s="0" t="s">
        <v>130</v>
      </c>
      <c r="BP2894" s="0" t="s">
        <v>130</v>
      </c>
      <c r="BQ2894" s="0" t="s">
        <v>130</v>
      </c>
      <c r="BR2894" s="0" t="s">
        <v>130</v>
      </c>
      <c r="BS2894" s="0" t="s">
        <v>130</v>
      </c>
      <c r="BT2894" s="0" t="s">
        <v>130</v>
      </c>
      <c r="BU2894" s="0" t="s">
        <v>130</v>
      </c>
      <c r="BV2894" s="0" t="s">
        <v>130</v>
      </c>
      <c r="BW2894" s="0" t="s">
        <v>130</v>
      </c>
      <c r="BX2894" s="0" t="s">
        <v>130</v>
      </c>
      <c r="BY2894" s="0" t="s">
        <v>130</v>
      </c>
      <c r="BZ2894" s="0" t="s">
        <v>130</v>
      </c>
      <c r="CA2894" s="0" t="s">
        <v>130</v>
      </c>
      <c r="CB2894" s="0" t="s">
        <v>130</v>
      </c>
      <c r="CC2894" s="0" t="s">
        <v>130</v>
      </c>
      <c r="CD2894" s="0" t="s">
        <v>130</v>
      </c>
      <c r="CE2894" s="0" t="s">
        <v>130</v>
      </c>
      <c r="CF2894" s="0" t="s">
        <v>130</v>
      </c>
      <c r="CG2894" s="0" t="s">
        <v>130</v>
      </c>
      <c r="CH2894" s="0" t="s">
        <v>130</v>
      </c>
      <c r="CI2894" s="0" t="s">
        <v>130</v>
      </c>
      <c r="CJ2894" s="0" t="s">
        <v>130</v>
      </c>
      <c r="CK2894" s="0" t="s">
        <v>130</v>
      </c>
      <c r="CL2894" s="0" t="s">
        <v>130</v>
      </c>
      <c r="CM2894" s="0" t="s">
        <v>130</v>
      </c>
      <c r="CN2894" s="0" t="s">
        <v>130</v>
      </c>
      <c r="CO2894" s="0" t="s">
        <v>130</v>
      </c>
      <c r="CP2894" s="0" t="s">
        <v>130</v>
      </c>
      <c r="CQ2894" s="0" t="s">
        <v>130</v>
      </c>
      <c r="CR2894" s="0" t="s">
        <v>130</v>
      </c>
      <c r="CS2894" s="0" t="s">
        <v>130</v>
      </c>
      <c r="CT2894" s="0" t="s">
        <v>7811</v>
      </c>
    </row>
    <row r="2895">
      <c r="A2895" s="14">
        <v>313657</v>
      </c>
      <c r="B2895" s="0" t="s">
        <v>3594</v>
      </c>
      <c r="C2895" s="16">
        <f>HYPERLINK("https://eosportal.federatedhermes.com/companies/Q29tcGFueQppODU4NzU=", "NVIDIA Corp")</f>
      </c>
      <c r="D2895" s="0" t="s">
        <v>23</v>
      </c>
      <c r="E2895" s="0" t="s">
        <v>7812</v>
      </c>
      <c r="F2895" s="16">
        <f>HYPERLINK("https://eosportal.federatedhermes.com/engagements/RW5nYWdlbWVudAppNDAyNTI=", "Product Life Cycle Assessment")</f>
      </c>
      <c r="G2895" s="14" t="s">
        <v>7813</v>
      </c>
      <c r="H2895" s="0" t="s">
        <v>141</v>
      </c>
      <c r="I2895" s="14" t="s">
        <v>191</v>
      </c>
      <c r="J2895" s="0" t="s">
        <v>197</v>
      </c>
      <c r="K2895" s="0" t="s">
        <v>198</v>
      </c>
      <c r="L2895" s="0" t="s">
        <v>199</v>
      </c>
      <c r="M2895" s="0" t="s">
        <v>135</v>
      </c>
      <c r="N2895" s="0" t="s">
        <v>136</v>
      </c>
      <c r="O2895" s="0" t="s">
        <v>1125</v>
      </c>
      <c r="Q2895" s="0" t="s">
        <v>141</v>
      </c>
      <c r="R2895" s="0" t="s">
        <v>130</v>
      </c>
      <c r="S2895" s="14">
        <v>1</v>
      </c>
      <c r="T2895" s="0" t="s">
        <v>449</v>
      </c>
      <c r="U2895" s="0" t="s">
        <v>221</v>
      </c>
      <c r="V2895" s="14" t="s">
        <v>449</v>
      </c>
      <c r="W2895" s="0" t="s">
        <v>223</v>
      </c>
      <c r="X2895" s="14" t="s">
        <v>138</v>
      </c>
      <c r="Y2895" s="0" t="s">
        <v>224</v>
      </c>
      <c r="Z2895" s="14" t="s">
        <v>138</v>
      </c>
      <c r="AA2895" s="0" t="s">
        <v>224</v>
      </c>
      <c r="AB2895" s="14" t="s">
        <v>138</v>
      </c>
      <c r="AD2895" s="0" t="s">
        <v>14</v>
      </c>
      <c r="AF2895" s="0">
        <v>0</v>
      </c>
      <c r="AG2895" s="0">
        <v>0</v>
      </c>
      <c r="AH2895" s="0" t="s">
        <v>140</v>
      </c>
      <c r="AI2895" s="0" t="s">
        <v>598</v>
      </c>
      <c r="AK2895" s="0" t="s">
        <v>3596</v>
      </c>
      <c r="AL2895" s="14"/>
      <c r="AN2895" s="14"/>
      <c r="AQ2895" s="0" t="s">
        <v>130</v>
      </c>
      <c r="AR2895" s="0" t="s">
        <v>130</v>
      </c>
      <c r="AS2895" s="0" t="s">
        <v>130</v>
      </c>
      <c r="AT2895" s="0" t="s">
        <v>130</v>
      </c>
      <c r="AU2895" s="0" t="s">
        <v>130</v>
      </c>
      <c r="AV2895" s="0" t="s">
        <v>130</v>
      </c>
      <c r="AW2895" s="0" t="s">
        <v>130</v>
      </c>
      <c r="AX2895" s="0" t="s">
        <v>130</v>
      </c>
      <c r="AY2895" s="0" t="s">
        <v>130</v>
      </c>
      <c r="AZ2895" s="0" t="s">
        <v>130</v>
      </c>
      <c r="BA2895" s="0" t="s">
        <v>130</v>
      </c>
      <c r="BB2895" s="0" t="s">
        <v>141</v>
      </c>
      <c r="BC2895" s="0" t="s">
        <v>141</v>
      </c>
      <c r="BD2895" s="0" t="s">
        <v>130</v>
      </c>
      <c r="BE2895" s="0" t="s">
        <v>130</v>
      </c>
      <c r="BF2895" s="0" t="s">
        <v>130</v>
      </c>
      <c r="BG2895" s="0" t="s">
        <v>130</v>
      </c>
      <c r="BH2895" s="0" t="s">
        <v>130</v>
      </c>
      <c r="BI2895" s="0" t="s">
        <v>130</v>
      </c>
      <c r="BJ2895" s="0" t="s">
        <v>130</v>
      </c>
      <c r="BK2895" s="0" t="s">
        <v>130</v>
      </c>
      <c r="BL2895" s="0" t="s">
        <v>130</v>
      </c>
      <c r="BM2895" s="0" t="s">
        <v>130</v>
      </c>
      <c r="BN2895" s="0" t="s">
        <v>130</v>
      </c>
      <c r="BO2895" s="0" t="s">
        <v>130</v>
      </c>
      <c r="BP2895" s="0" t="s">
        <v>130</v>
      </c>
      <c r="BQ2895" s="0" t="s">
        <v>130</v>
      </c>
      <c r="BR2895" s="0" t="s">
        <v>130</v>
      </c>
      <c r="BS2895" s="0" t="s">
        <v>130</v>
      </c>
      <c r="BT2895" s="0" t="s">
        <v>130</v>
      </c>
      <c r="BU2895" s="0" t="s">
        <v>130</v>
      </c>
      <c r="BV2895" s="0" t="s">
        <v>130</v>
      </c>
      <c r="BW2895" s="0" t="s">
        <v>130</v>
      </c>
      <c r="BX2895" s="0" t="s">
        <v>130</v>
      </c>
      <c r="BY2895" s="0" t="s">
        <v>130</v>
      </c>
      <c r="BZ2895" s="0" t="s">
        <v>130</v>
      </c>
      <c r="CA2895" s="0" t="s">
        <v>130</v>
      </c>
      <c r="CB2895" s="0" t="s">
        <v>130</v>
      </c>
      <c r="CC2895" s="0" t="s">
        <v>130</v>
      </c>
      <c r="CD2895" s="0" t="s">
        <v>130</v>
      </c>
      <c r="CE2895" s="0" t="s">
        <v>130</v>
      </c>
      <c r="CF2895" s="0" t="s">
        <v>130</v>
      </c>
      <c r="CG2895" s="0" t="s">
        <v>130</v>
      </c>
      <c r="CH2895" s="0" t="s">
        <v>130</v>
      </c>
      <c r="CI2895" s="0" t="s">
        <v>130</v>
      </c>
      <c r="CJ2895" s="0" t="s">
        <v>130</v>
      </c>
      <c r="CK2895" s="0" t="s">
        <v>130</v>
      </c>
      <c r="CL2895" s="0" t="s">
        <v>130</v>
      </c>
      <c r="CM2895" s="0" t="s">
        <v>130</v>
      </c>
      <c r="CN2895" s="0" t="s">
        <v>130</v>
      </c>
      <c r="CO2895" s="0" t="s">
        <v>130</v>
      </c>
      <c r="CP2895" s="0" t="s">
        <v>130</v>
      </c>
      <c r="CQ2895" s="0" t="s">
        <v>130</v>
      </c>
      <c r="CR2895" s="0" t="s">
        <v>130</v>
      </c>
      <c r="CS2895" s="0" t="s">
        <v>130</v>
      </c>
      <c r="CT2895" s="0" t="s">
        <v>7814</v>
      </c>
    </row>
    <row r="2896">
      <c r="A2896" s="14">
        <v>28046509</v>
      </c>
      <c r="B2896" s="0" t="s">
        <v>4333</v>
      </c>
      <c r="C2896" s="16">
        <f>HYPERLINK("https://eosportal.federatedhermes.com/companies/Q29tcGFueQppNzM3NjA=", "AbbVie Inc")</f>
      </c>
      <c r="D2896" s="0" t="s">
        <v>23</v>
      </c>
      <c r="E2896" s="0" t="s">
        <v>7815</v>
      </c>
      <c r="F2896" s="16">
        <f>HYPERLINK("https://eosportal.federatedhermes.com/engagements/RW5nYWdlbWVudAppNDAyNTc=", "Strengthen Stock Ownership Guidelines")</f>
      </c>
      <c r="G2896" s="14" t="s">
        <v>7816</v>
      </c>
      <c r="H2896" s="0" t="s">
        <v>141</v>
      </c>
      <c r="I2896" s="14" t="s">
        <v>131</v>
      </c>
      <c r="J2896" s="0" t="s">
        <v>145</v>
      </c>
      <c r="K2896" s="0" t="s">
        <v>146</v>
      </c>
      <c r="L2896" s="0" t="s">
        <v>147</v>
      </c>
      <c r="M2896" s="0" t="s">
        <v>135</v>
      </c>
      <c r="N2896" s="0" t="s">
        <v>136</v>
      </c>
      <c r="O2896" s="0" t="s">
        <v>274</v>
      </c>
      <c r="Q2896" s="0" t="s">
        <v>130</v>
      </c>
      <c r="R2896" s="0" t="s">
        <v>130</v>
      </c>
      <c r="S2896" s="14">
        <v>0</v>
      </c>
      <c r="T2896" s="0" t="s">
        <v>4412</v>
      </c>
      <c r="U2896" s="0" t="s">
        <v>221</v>
      </c>
      <c r="V2896" s="14" t="s">
        <v>4412</v>
      </c>
      <c r="W2896" s="0" t="s">
        <v>223</v>
      </c>
      <c r="X2896" s="14" t="s">
        <v>138</v>
      </c>
      <c r="Y2896" s="0" t="s">
        <v>224</v>
      </c>
      <c r="Z2896" s="14" t="s">
        <v>138</v>
      </c>
      <c r="AA2896" s="0" t="s">
        <v>224</v>
      </c>
      <c r="AB2896" s="14" t="s">
        <v>138</v>
      </c>
      <c r="AD2896" s="0" t="s">
        <v>14</v>
      </c>
      <c r="AF2896" s="0">
        <v>0</v>
      </c>
      <c r="AG2896" s="0">
        <v>0</v>
      </c>
      <c r="AH2896" s="0" t="s">
        <v>140</v>
      </c>
      <c r="AI2896" s="0" t="s">
        <v>598</v>
      </c>
      <c r="AL2896" s="14"/>
      <c r="AN2896" s="14"/>
      <c r="AQ2896" s="0" t="s">
        <v>130</v>
      </c>
      <c r="AR2896" s="0" t="s">
        <v>130</v>
      </c>
      <c r="AS2896" s="0" t="s">
        <v>130</v>
      </c>
      <c r="AT2896" s="0" t="s">
        <v>130</v>
      </c>
      <c r="AU2896" s="0" t="s">
        <v>130</v>
      </c>
      <c r="AV2896" s="0" t="s">
        <v>130</v>
      </c>
      <c r="AW2896" s="0" t="s">
        <v>130</v>
      </c>
      <c r="AX2896" s="0" t="s">
        <v>130</v>
      </c>
      <c r="AY2896" s="0" t="s">
        <v>130</v>
      </c>
      <c r="AZ2896" s="0" t="s">
        <v>130</v>
      </c>
      <c r="BA2896" s="0" t="s">
        <v>130</v>
      </c>
      <c r="BB2896" s="0" t="s">
        <v>130</v>
      </c>
      <c r="BC2896" s="0" t="s">
        <v>130</v>
      </c>
      <c r="BD2896" s="0" t="s">
        <v>130</v>
      </c>
      <c r="BE2896" s="0" t="s">
        <v>130</v>
      </c>
      <c r="BF2896" s="0" t="s">
        <v>130</v>
      </c>
      <c r="BG2896" s="0" t="s">
        <v>130</v>
      </c>
      <c r="BH2896" s="0" t="s">
        <v>130</v>
      </c>
      <c r="BI2896" s="0" t="s">
        <v>130</v>
      </c>
      <c r="BJ2896" s="0" t="s">
        <v>130</v>
      </c>
      <c r="BK2896" s="0" t="s">
        <v>130</v>
      </c>
      <c r="BL2896" s="0" t="s">
        <v>130</v>
      </c>
      <c r="BM2896" s="0" t="s">
        <v>130</v>
      </c>
      <c r="BN2896" s="0" t="s">
        <v>130</v>
      </c>
      <c r="BO2896" s="0" t="s">
        <v>130</v>
      </c>
      <c r="BP2896" s="0" t="s">
        <v>130</v>
      </c>
      <c r="BQ2896" s="0" t="s">
        <v>130</v>
      </c>
      <c r="BR2896" s="0" t="s">
        <v>130</v>
      </c>
      <c r="BS2896" s="0" t="s">
        <v>130</v>
      </c>
      <c r="BT2896" s="0" t="s">
        <v>130</v>
      </c>
      <c r="BU2896" s="0" t="s">
        <v>130</v>
      </c>
      <c r="BV2896" s="0" t="s">
        <v>130</v>
      </c>
      <c r="BW2896" s="0" t="s">
        <v>130</v>
      </c>
      <c r="BX2896" s="0" t="s">
        <v>130</v>
      </c>
      <c r="BY2896" s="0" t="s">
        <v>130</v>
      </c>
      <c r="BZ2896" s="0" t="s">
        <v>130</v>
      </c>
      <c r="CA2896" s="0" t="s">
        <v>130</v>
      </c>
      <c r="CB2896" s="0" t="s">
        <v>130</v>
      </c>
      <c r="CC2896" s="0" t="s">
        <v>130</v>
      </c>
      <c r="CD2896" s="0" t="s">
        <v>130</v>
      </c>
      <c r="CE2896" s="0" t="s">
        <v>130</v>
      </c>
      <c r="CF2896" s="0" t="s">
        <v>130</v>
      </c>
      <c r="CG2896" s="0" t="s">
        <v>130</v>
      </c>
      <c r="CH2896" s="0" t="s">
        <v>130</v>
      </c>
      <c r="CI2896" s="0" t="s">
        <v>130</v>
      </c>
      <c r="CJ2896" s="0" t="s">
        <v>130</v>
      </c>
      <c r="CK2896" s="0" t="s">
        <v>130</v>
      </c>
      <c r="CL2896" s="0" t="s">
        <v>130</v>
      </c>
      <c r="CM2896" s="0" t="s">
        <v>130</v>
      </c>
      <c r="CN2896" s="0" t="s">
        <v>130</v>
      </c>
      <c r="CO2896" s="0" t="s">
        <v>130</v>
      </c>
      <c r="CP2896" s="0" t="s">
        <v>130</v>
      </c>
      <c r="CQ2896" s="0" t="s">
        <v>130</v>
      </c>
      <c r="CR2896" s="0" t="s">
        <v>130</v>
      </c>
      <c r="CS2896" s="0" t="s">
        <v>130</v>
      </c>
      <c r="CT2896" s="0" t="s">
        <v>7817</v>
      </c>
    </row>
    <row r="2897">
      <c r="A2897" s="14">
        <v>59907412</v>
      </c>
      <c r="B2897" s="0" t="s">
        <v>4708</v>
      </c>
      <c r="C2897" s="16">
        <f>HYPERLINK("https://eosportal.federatedhermes.com/companies/Q29tcGFueQppNTg5NjM=", "Broadcom Inc")</f>
      </c>
      <c r="D2897" s="0" t="s">
        <v>25</v>
      </c>
      <c r="E2897" s="0" t="s">
        <v>7818</v>
      </c>
      <c r="F2897" s="16">
        <f>HYPERLINK("https://eosportal.federatedhermes.com/engagements/RW5nYWdlbWVudAppNDAyNjI=", "3rd party board effectiveness facilitation")</f>
      </c>
      <c r="G2897" s="14" t="s">
        <v>7819</v>
      </c>
      <c r="H2897" s="0" t="s">
        <v>141</v>
      </c>
      <c r="I2897" s="14" t="s">
        <v>131</v>
      </c>
      <c r="J2897" s="0" t="s">
        <v>145</v>
      </c>
      <c r="K2897" s="0" t="s">
        <v>164</v>
      </c>
      <c r="L2897" s="0" t="s">
        <v>970</v>
      </c>
      <c r="M2897" s="0" t="s">
        <v>135</v>
      </c>
      <c r="N2897" s="0" t="s">
        <v>136</v>
      </c>
      <c r="O2897" s="0" t="s">
        <v>1125</v>
      </c>
      <c r="Q2897" s="0" t="s">
        <v>130</v>
      </c>
      <c r="R2897" s="0" t="s">
        <v>138</v>
      </c>
      <c r="S2897" s="14">
        <v>0</v>
      </c>
      <c r="T2897" s="0" t="s">
        <v>4412</v>
      </c>
      <c r="U2897" s="0" t="s">
        <v>138</v>
      </c>
      <c r="V2897" s="14" t="s">
        <v>138</v>
      </c>
      <c r="W2897" s="0" t="s">
        <v>138</v>
      </c>
      <c r="X2897" s="14" t="s">
        <v>138</v>
      </c>
      <c r="Y2897" s="0" t="s">
        <v>138</v>
      </c>
      <c r="Z2897" s="14" t="s">
        <v>138</v>
      </c>
      <c r="AA2897" s="0" t="s">
        <v>138</v>
      </c>
      <c r="AB2897" s="14" t="s">
        <v>138</v>
      </c>
      <c r="AD2897" s="0" t="s">
        <v>138</v>
      </c>
      <c r="AF2897" s="0">
        <v>0</v>
      </c>
      <c r="AG2897" s="0">
        <v>0</v>
      </c>
      <c r="AH2897" s="0" t="s">
        <v>140</v>
      </c>
      <c r="AI2897" s="0" t="s">
        <v>138</v>
      </c>
      <c r="AL2897" s="14"/>
      <c r="AN2897" s="14"/>
      <c r="AQ2897" s="0" t="s">
        <v>130</v>
      </c>
      <c r="AR2897" s="0" t="s">
        <v>130</v>
      </c>
      <c r="AS2897" s="0" t="s">
        <v>130</v>
      </c>
      <c r="AT2897" s="0" t="s">
        <v>130</v>
      </c>
      <c r="AU2897" s="0" t="s">
        <v>130</v>
      </c>
      <c r="AV2897" s="0" t="s">
        <v>130</v>
      </c>
      <c r="AW2897" s="0" t="s">
        <v>130</v>
      </c>
      <c r="AX2897" s="0" t="s">
        <v>130</v>
      </c>
      <c r="AY2897" s="0" t="s">
        <v>130</v>
      </c>
      <c r="AZ2897" s="0" t="s">
        <v>130</v>
      </c>
      <c r="BA2897" s="0" t="s">
        <v>130</v>
      </c>
      <c r="BB2897" s="0" t="s">
        <v>130</v>
      </c>
      <c r="BC2897" s="0" t="s">
        <v>130</v>
      </c>
      <c r="BD2897" s="0" t="s">
        <v>130</v>
      </c>
      <c r="BE2897" s="0" t="s">
        <v>130</v>
      </c>
      <c r="BF2897" s="0" t="s">
        <v>130</v>
      </c>
      <c r="BG2897" s="0" t="s">
        <v>130</v>
      </c>
      <c r="BH2897" s="0" t="s">
        <v>130</v>
      </c>
      <c r="BI2897" s="0" t="s">
        <v>130</v>
      </c>
      <c r="BJ2897" s="0" t="s">
        <v>130</v>
      </c>
      <c r="BK2897" s="0" t="s">
        <v>130</v>
      </c>
      <c r="BL2897" s="0" t="s">
        <v>130</v>
      </c>
      <c r="BM2897" s="0" t="s">
        <v>130</v>
      </c>
      <c r="BN2897" s="0" t="s">
        <v>130</v>
      </c>
      <c r="BO2897" s="0" t="s">
        <v>130</v>
      </c>
      <c r="BP2897" s="0" t="s">
        <v>130</v>
      </c>
      <c r="BQ2897" s="0" t="s">
        <v>130</v>
      </c>
      <c r="BR2897" s="0" t="s">
        <v>130</v>
      </c>
      <c r="BS2897" s="0" t="s">
        <v>130</v>
      </c>
      <c r="BT2897" s="0" t="s">
        <v>130</v>
      </c>
      <c r="BU2897" s="0" t="s">
        <v>130</v>
      </c>
      <c r="BV2897" s="0" t="s">
        <v>130</v>
      </c>
      <c r="BW2897" s="0" t="s">
        <v>130</v>
      </c>
      <c r="BX2897" s="0" t="s">
        <v>130</v>
      </c>
      <c r="BY2897" s="0" t="s">
        <v>130</v>
      </c>
      <c r="BZ2897" s="0" t="s">
        <v>130</v>
      </c>
      <c r="CA2897" s="0" t="s">
        <v>130</v>
      </c>
      <c r="CB2897" s="0" t="s">
        <v>130</v>
      </c>
      <c r="CC2897" s="0" t="s">
        <v>130</v>
      </c>
      <c r="CD2897" s="0" t="s">
        <v>130</v>
      </c>
      <c r="CE2897" s="0" t="s">
        <v>130</v>
      </c>
      <c r="CF2897" s="0" t="s">
        <v>130</v>
      </c>
      <c r="CG2897" s="0" t="s">
        <v>130</v>
      </c>
      <c r="CH2897" s="0" t="s">
        <v>130</v>
      </c>
      <c r="CI2897" s="0" t="s">
        <v>130</v>
      </c>
      <c r="CJ2897" s="0" t="s">
        <v>130</v>
      </c>
      <c r="CK2897" s="0" t="s">
        <v>130</v>
      </c>
      <c r="CL2897" s="0" t="s">
        <v>130</v>
      </c>
      <c r="CM2897" s="0" t="s">
        <v>130</v>
      </c>
      <c r="CN2897" s="0" t="s">
        <v>130</v>
      </c>
      <c r="CO2897" s="0" t="s">
        <v>130</v>
      </c>
      <c r="CP2897" s="0" t="s">
        <v>130</v>
      </c>
      <c r="CQ2897" s="0" t="s">
        <v>130</v>
      </c>
      <c r="CR2897" s="0" t="s">
        <v>130</v>
      </c>
      <c r="CS2897" s="0" t="s">
        <v>130</v>
      </c>
      <c r="CT2897" s="0" t="s">
        <v>7820</v>
      </c>
    </row>
    <row r="2898">
      <c r="A2898" s="14">
        <v>8641755</v>
      </c>
      <c r="B2898" s="0" t="s">
        <v>3917</v>
      </c>
      <c r="C2898" s="16">
        <f>HYPERLINK("https://eosportal.federatedhermes.com/companies/Q29tcGFueQppODI2NzY=", "Yara International ASA")</f>
      </c>
      <c r="D2898" s="0" t="s">
        <v>25</v>
      </c>
      <c r="E2898" s="0" t="s">
        <v>6955</v>
      </c>
      <c r="F2898" s="16">
        <f>HYPERLINK("https://eosportal.federatedhermes.com/engagements/RW5nYWdlbWVudAppNDAyNjQ=", "Director time committment")</f>
      </c>
      <c r="G2898" s="14" t="s">
        <v>7821</v>
      </c>
      <c r="H2898" s="0" t="s">
        <v>141</v>
      </c>
      <c r="I2898" s="14" t="s">
        <v>636</v>
      </c>
      <c r="J2898" s="0" t="s">
        <v>145</v>
      </c>
      <c r="K2898" s="0" t="s">
        <v>164</v>
      </c>
      <c r="L2898" s="0" t="s">
        <v>165</v>
      </c>
      <c r="M2898" s="0" t="s">
        <v>378</v>
      </c>
      <c r="N2898" s="0" t="s">
        <v>3211</v>
      </c>
      <c r="O2898" s="0" t="s">
        <v>706</v>
      </c>
      <c r="Q2898" s="0" t="s">
        <v>130</v>
      </c>
      <c r="R2898" s="0" t="s">
        <v>138</v>
      </c>
      <c r="S2898" s="14">
        <v>0</v>
      </c>
      <c r="T2898" s="0" t="s">
        <v>449</v>
      </c>
      <c r="U2898" s="0" t="s">
        <v>138</v>
      </c>
      <c r="V2898" s="14" t="s">
        <v>138</v>
      </c>
      <c r="W2898" s="0" t="s">
        <v>138</v>
      </c>
      <c r="X2898" s="14" t="s">
        <v>138</v>
      </c>
      <c r="Y2898" s="0" t="s">
        <v>138</v>
      </c>
      <c r="Z2898" s="14" t="s">
        <v>138</v>
      </c>
      <c r="AA2898" s="0" t="s">
        <v>138</v>
      </c>
      <c r="AB2898" s="14" t="s">
        <v>138</v>
      </c>
      <c r="AD2898" s="0" t="s">
        <v>138</v>
      </c>
      <c r="AF2898" s="0">
        <v>0</v>
      </c>
      <c r="AG2898" s="0">
        <v>0</v>
      </c>
      <c r="AH2898" s="0" t="s">
        <v>140</v>
      </c>
      <c r="AI2898" s="0" t="s">
        <v>138</v>
      </c>
      <c r="AL2898" s="14"/>
      <c r="AN2898" s="14"/>
      <c r="AQ2898" s="0" t="s">
        <v>130</v>
      </c>
      <c r="AR2898" s="0" t="s">
        <v>130</v>
      </c>
      <c r="AS2898" s="0" t="s">
        <v>130</v>
      </c>
      <c r="AT2898" s="0" t="s">
        <v>130</v>
      </c>
      <c r="AU2898" s="0" t="s">
        <v>130</v>
      </c>
      <c r="AV2898" s="0" t="s">
        <v>130</v>
      </c>
      <c r="AW2898" s="0" t="s">
        <v>130</v>
      </c>
      <c r="AX2898" s="0" t="s">
        <v>130</v>
      </c>
      <c r="AY2898" s="0" t="s">
        <v>130</v>
      </c>
      <c r="AZ2898" s="0" t="s">
        <v>130</v>
      </c>
      <c r="BA2898" s="0" t="s">
        <v>130</v>
      </c>
      <c r="BB2898" s="0" t="s">
        <v>130</v>
      </c>
      <c r="BC2898" s="0" t="s">
        <v>130</v>
      </c>
      <c r="BD2898" s="0" t="s">
        <v>130</v>
      </c>
      <c r="BE2898" s="0" t="s">
        <v>130</v>
      </c>
      <c r="BF2898" s="0" t="s">
        <v>130</v>
      </c>
      <c r="BG2898" s="0" t="s">
        <v>130</v>
      </c>
      <c r="BH2898" s="0" t="s">
        <v>130</v>
      </c>
      <c r="BI2898" s="0" t="s">
        <v>130</v>
      </c>
      <c r="BJ2898" s="0" t="s">
        <v>130</v>
      </c>
      <c r="BK2898" s="0" t="s">
        <v>130</v>
      </c>
      <c r="BL2898" s="0" t="s">
        <v>130</v>
      </c>
      <c r="BM2898" s="0" t="s">
        <v>130</v>
      </c>
      <c r="BN2898" s="0" t="s">
        <v>130</v>
      </c>
      <c r="BO2898" s="0" t="s">
        <v>130</v>
      </c>
      <c r="BP2898" s="0" t="s">
        <v>130</v>
      </c>
      <c r="BQ2898" s="0" t="s">
        <v>130</v>
      </c>
      <c r="BR2898" s="0" t="s">
        <v>130</v>
      </c>
      <c r="BS2898" s="0" t="s">
        <v>130</v>
      </c>
      <c r="BT2898" s="0" t="s">
        <v>130</v>
      </c>
      <c r="BU2898" s="0" t="s">
        <v>130</v>
      </c>
      <c r="BV2898" s="0" t="s">
        <v>130</v>
      </c>
      <c r="BW2898" s="0" t="s">
        <v>130</v>
      </c>
      <c r="BX2898" s="0" t="s">
        <v>130</v>
      </c>
      <c r="BY2898" s="0" t="s">
        <v>130</v>
      </c>
      <c r="BZ2898" s="0" t="s">
        <v>130</v>
      </c>
      <c r="CA2898" s="0" t="s">
        <v>130</v>
      </c>
      <c r="CB2898" s="0" t="s">
        <v>130</v>
      </c>
      <c r="CC2898" s="0" t="s">
        <v>130</v>
      </c>
      <c r="CD2898" s="0" t="s">
        <v>130</v>
      </c>
      <c r="CE2898" s="0" t="s">
        <v>130</v>
      </c>
      <c r="CF2898" s="0" t="s">
        <v>130</v>
      </c>
      <c r="CG2898" s="0" t="s">
        <v>130</v>
      </c>
      <c r="CH2898" s="0" t="s">
        <v>130</v>
      </c>
      <c r="CI2898" s="0" t="s">
        <v>130</v>
      </c>
      <c r="CJ2898" s="0" t="s">
        <v>130</v>
      </c>
      <c r="CK2898" s="0" t="s">
        <v>130</v>
      </c>
      <c r="CL2898" s="0" t="s">
        <v>130</v>
      </c>
      <c r="CM2898" s="0" t="s">
        <v>130</v>
      </c>
      <c r="CN2898" s="0" t="s">
        <v>130</v>
      </c>
      <c r="CO2898" s="0" t="s">
        <v>130</v>
      </c>
      <c r="CP2898" s="0" t="s">
        <v>130</v>
      </c>
      <c r="CQ2898" s="0" t="s">
        <v>130</v>
      </c>
      <c r="CR2898" s="0" t="s">
        <v>130</v>
      </c>
      <c r="CS2898" s="0" t="s">
        <v>130</v>
      </c>
      <c r="CT2898" s="0" t="s">
        <v>7822</v>
      </c>
    </row>
    <row r="2899">
      <c r="A2899" s="14">
        <v>115230</v>
      </c>
      <c r="B2899" s="0" t="s">
        <v>2352</v>
      </c>
      <c r="C2899" s="16">
        <f>HYPERLINK("https://eosportal.federatedhermes.com/companies/Q29tcGFueQppNjI0OTg=", "Air Liquide SA")</f>
      </c>
      <c r="D2899" s="0" t="s">
        <v>25</v>
      </c>
      <c r="E2899" s="0" t="s">
        <v>7823</v>
      </c>
      <c r="F2899" s="16">
        <f>HYPERLINK("https://eosportal.federatedhermes.com/engagements/RW5nYWdlbWVudAppNDAyNjk=", "Adopting the IASB's illustrative examples on climate uncertainties in the accoun")</f>
      </c>
      <c r="G2899" s="14" t="s">
        <v>7779</v>
      </c>
      <c r="H2899" s="0" t="s">
        <v>141</v>
      </c>
      <c r="I2899" s="14" t="s">
        <v>1645</v>
      </c>
      <c r="J2899" s="0" t="s">
        <v>197</v>
      </c>
      <c r="K2899" s="0" t="s">
        <v>198</v>
      </c>
      <c r="L2899" s="0" t="s">
        <v>199</v>
      </c>
      <c r="M2899" s="0" t="s">
        <v>378</v>
      </c>
      <c r="N2899" s="0" t="s">
        <v>1646</v>
      </c>
      <c r="O2899" s="0" t="s">
        <v>706</v>
      </c>
      <c r="Q2899" s="0" t="s">
        <v>130</v>
      </c>
      <c r="R2899" s="0" t="s">
        <v>138</v>
      </c>
      <c r="S2899" s="14">
        <v>0</v>
      </c>
      <c r="T2899" s="0" t="s">
        <v>449</v>
      </c>
      <c r="U2899" s="0" t="s">
        <v>138</v>
      </c>
      <c r="V2899" s="14" t="s">
        <v>138</v>
      </c>
      <c r="W2899" s="0" t="s">
        <v>138</v>
      </c>
      <c r="X2899" s="14" t="s">
        <v>138</v>
      </c>
      <c r="Y2899" s="0" t="s">
        <v>138</v>
      </c>
      <c r="Z2899" s="14" t="s">
        <v>138</v>
      </c>
      <c r="AA2899" s="0" t="s">
        <v>138</v>
      </c>
      <c r="AB2899" s="14" t="s">
        <v>138</v>
      </c>
      <c r="AD2899" s="0" t="s">
        <v>138</v>
      </c>
      <c r="AF2899" s="0">
        <v>0</v>
      </c>
      <c r="AG2899" s="0">
        <v>0</v>
      </c>
      <c r="AH2899" s="0" t="s">
        <v>140</v>
      </c>
      <c r="AI2899" s="0" t="s">
        <v>138</v>
      </c>
      <c r="AL2899" s="14"/>
      <c r="AN2899" s="14"/>
      <c r="AQ2899" s="0" t="s">
        <v>130</v>
      </c>
      <c r="AR2899" s="0" t="s">
        <v>130</v>
      </c>
      <c r="AS2899" s="0" t="s">
        <v>130</v>
      </c>
      <c r="AT2899" s="0" t="s">
        <v>130</v>
      </c>
      <c r="AU2899" s="0" t="s">
        <v>130</v>
      </c>
      <c r="AV2899" s="0" t="s">
        <v>130</v>
      </c>
      <c r="AW2899" s="0" t="s">
        <v>130</v>
      </c>
      <c r="AX2899" s="0" t="s">
        <v>130</v>
      </c>
      <c r="AY2899" s="0" t="s">
        <v>130</v>
      </c>
      <c r="AZ2899" s="0" t="s">
        <v>130</v>
      </c>
      <c r="BA2899" s="0" t="s">
        <v>130</v>
      </c>
      <c r="BB2899" s="0" t="s">
        <v>141</v>
      </c>
      <c r="BC2899" s="0" t="s">
        <v>141</v>
      </c>
      <c r="BD2899" s="0" t="s">
        <v>130</v>
      </c>
      <c r="BE2899" s="0" t="s">
        <v>130</v>
      </c>
      <c r="BF2899" s="0" t="s">
        <v>130</v>
      </c>
      <c r="BG2899" s="0" t="s">
        <v>130</v>
      </c>
      <c r="BH2899" s="0" t="s">
        <v>130</v>
      </c>
      <c r="BI2899" s="0" t="s">
        <v>130</v>
      </c>
      <c r="BJ2899" s="0" t="s">
        <v>130</v>
      </c>
      <c r="BK2899" s="0" t="s">
        <v>130</v>
      </c>
      <c r="BL2899" s="0" t="s">
        <v>130</v>
      </c>
      <c r="BM2899" s="0" t="s">
        <v>130</v>
      </c>
      <c r="BN2899" s="0" t="s">
        <v>130</v>
      </c>
      <c r="BO2899" s="0" t="s">
        <v>130</v>
      </c>
      <c r="BP2899" s="0" t="s">
        <v>130</v>
      </c>
      <c r="BQ2899" s="0" t="s">
        <v>130</v>
      </c>
      <c r="BR2899" s="0" t="s">
        <v>130</v>
      </c>
      <c r="BS2899" s="0" t="s">
        <v>130</v>
      </c>
      <c r="BT2899" s="0" t="s">
        <v>130</v>
      </c>
      <c r="BU2899" s="0" t="s">
        <v>130</v>
      </c>
      <c r="BV2899" s="0" t="s">
        <v>130</v>
      </c>
      <c r="BW2899" s="0" t="s">
        <v>130</v>
      </c>
      <c r="BX2899" s="0" t="s">
        <v>130</v>
      </c>
      <c r="BY2899" s="0" t="s">
        <v>130</v>
      </c>
      <c r="BZ2899" s="0" t="s">
        <v>130</v>
      </c>
      <c r="CA2899" s="0" t="s">
        <v>130</v>
      </c>
      <c r="CB2899" s="0" t="s">
        <v>130</v>
      </c>
      <c r="CC2899" s="0" t="s">
        <v>130</v>
      </c>
      <c r="CD2899" s="0" t="s">
        <v>130</v>
      </c>
      <c r="CE2899" s="0" t="s">
        <v>130</v>
      </c>
      <c r="CF2899" s="0" t="s">
        <v>130</v>
      </c>
      <c r="CG2899" s="0" t="s">
        <v>130</v>
      </c>
      <c r="CH2899" s="0" t="s">
        <v>130</v>
      </c>
      <c r="CI2899" s="0" t="s">
        <v>130</v>
      </c>
      <c r="CJ2899" s="0" t="s">
        <v>130</v>
      </c>
      <c r="CK2899" s="0" t="s">
        <v>130</v>
      </c>
      <c r="CL2899" s="0" t="s">
        <v>130</v>
      </c>
      <c r="CM2899" s="0" t="s">
        <v>130</v>
      </c>
      <c r="CN2899" s="0" t="s">
        <v>130</v>
      </c>
      <c r="CO2899" s="0" t="s">
        <v>130</v>
      </c>
      <c r="CP2899" s="0" t="s">
        <v>130</v>
      </c>
      <c r="CQ2899" s="0" t="s">
        <v>130</v>
      </c>
      <c r="CR2899" s="0" t="s">
        <v>130</v>
      </c>
      <c r="CS2899" s="0" t="s">
        <v>130</v>
      </c>
      <c r="CT2899" s="0" t="s">
        <v>7824</v>
      </c>
    </row>
    <row r="2900">
      <c r="A2900" s="14">
        <v>115794</v>
      </c>
      <c r="B2900" s="0" t="s">
        <v>2720</v>
      </c>
      <c r="C2900" s="16">
        <f>HYPERLINK("https://eosportal.federatedhermes.com/companies/Q29tcGFueQppNzc2NTc=", "Sun Hung Kai Properties Ltd")</f>
      </c>
      <c r="D2900" s="0" t="s">
        <v>25</v>
      </c>
      <c r="E2900" s="0" t="s">
        <v>7825</v>
      </c>
      <c r="F2900" s="16">
        <f>HYPERLINK("https://eosportal.federatedhermes.com/engagements/RW5nYWdlbWVudAppNDAyNzA=", "Climate adaptation")</f>
      </c>
      <c r="G2900" s="14" t="s">
        <v>7826</v>
      </c>
      <c r="H2900" s="0" t="s">
        <v>141</v>
      </c>
      <c r="I2900" s="14" t="s">
        <v>636</v>
      </c>
      <c r="J2900" s="0" t="s">
        <v>197</v>
      </c>
      <c r="K2900" s="0" t="s">
        <v>198</v>
      </c>
      <c r="L2900" s="0" t="s">
        <v>682</v>
      </c>
      <c r="M2900" s="0" t="s">
        <v>802</v>
      </c>
      <c r="N2900" s="0" t="s">
        <v>803</v>
      </c>
      <c r="O2900" s="0" t="s">
        <v>238</v>
      </c>
      <c r="Q2900" s="0" t="s">
        <v>141</v>
      </c>
      <c r="R2900" s="0" t="s">
        <v>138</v>
      </c>
      <c r="S2900" s="14">
        <v>1</v>
      </c>
      <c r="T2900" s="0" t="s">
        <v>2842</v>
      </c>
      <c r="U2900" s="0" t="s">
        <v>138</v>
      </c>
      <c r="V2900" s="14" t="s">
        <v>138</v>
      </c>
      <c r="W2900" s="0" t="s">
        <v>138</v>
      </c>
      <c r="X2900" s="14" t="s">
        <v>138</v>
      </c>
      <c r="Y2900" s="0" t="s">
        <v>138</v>
      </c>
      <c r="Z2900" s="14" t="s">
        <v>138</v>
      </c>
      <c r="AA2900" s="0" t="s">
        <v>138</v>
      </c>
      <c r="AB2900" s="14" t="s">
        <v>138</v>
      </c>
      <c r="AD2900" s="0" t="s">
        <v>138</v>
      </c>
      <c r="AF2900" s="0">
        <v>0</v>
      </c>
      <c r="AG2900" s="0">
        <v>0</v>
      </c>
      <c r="AH2900" s="0" t="s">
        <v>140</v>
      </c>
      <c r="AI2900" s="0" t="s">
        <v>138</v>
      </c>
      <c r="AK2900" s="0" t="s">
        <v>2330</v>
      </c>
      <c r="AL2900" s="14"/>
      <c r="AN2900" s="14"/>
      <c r="AQ2900" s="0" t="s">
        <v>130</v>
      </c>
      <c r="AR2900" s="0" t="s">
        <v>130</v>
      </c>
      <c r="AS2900" s="0" t="s">
        <v>130</v>
      </c>
      <c r="AT2900" s="0" t="s">
        <v>130</v>
      </c>
      <c r="AU2900" s="0" t="s">
        <v>130</v>
      </c>
      <c r="AV2900" s="0" t="s">
        <v>130</v>
      </c>
      <c r="AW2900" s="0" t="s">
        <v>130</v>
      </c>
      <c r="AX2900" s="0" t="s">
        <v>130</v>
      </c>
      <c r="AY2900" s="0" t="s">
        <v>130</v>
      </c>
      <c r="AZ2900" s="0" t="s">
        <v>130</v>
      </c>
      <c r="BA2900" s="0" t="s">
        <v>130</v>
      </c>
      <c r="BB2900" s="0" t="s">
        <v>130</v>
      </c>
      <c r="BC2900" s="0" t="s">
        <v>141</v>
      </c>
      <c r="BD2900" s="0" t="s">
        <v>130</v>
      </c>
      <c r="BE2900" s="0" t="s">
        <v>130</v>
      </c>
      <c r="BF2900" s="0" t="s">
        <v>130</v>
      </c>
      <c r="BG2900" s="0" t="s">
        <v>130</v>
      </c>
      <c r="BH2900" s="0" t="s">
        <v>130</v>
      </c>
      <c r="BI2900" s="0" t="s">
        <v>130</v>
      </c>
      <c r="BJ2900" s="0" t="s">
        <v>130</v>
      </c>
      <c r="BK2900" s="0" t="s">
        <v>130</v>
      </c>
      <c r="BL2900" s="0" t="s">
        <v>130</v>
      </c>
      <c r="BM2900" s="0" t="s">
        <v>130</v>
      </c>
      <c r="BN2900" s="0" t="s">
        <v>130</v>
      </c>
      <c r="BO2900" s="0" t="s">
        <v>130</v>
      </c>
      <c r="BP2900" s="0" t="s">
        <v>130</v>
      </c>
      <c r="BQ2900" s="0" t="s">
        <v>130</v>
      </c>
      <c r="BR2900" s="0" t="s">
        <v>130</v>
      </c>
      <c r="BS2900" s="0" t="s">
        <v>130</v>
      </c>
      <c r="BT2900" s="0" t="s">
        <v>130</v>
      </c>
      <c r="BU2900" s="0" t="s">
        <v>130</v>
      </c>
      <c r="BV2900" s="0" t="s">
        <v>130</v>
      </c>
      <c r="BW2900" s="0" t="s">
        <v>130</v>
      </c>
      <c r="BX2900" s="0" t="s">
        <v>130</v>
      </c>
      <c r="BY2900" s="0" t="s">
        <v>130</v>
      </c>
      <c r="BZ2900" s="0" t="s">
        <v>130</v>
      </c>
      <c r="CA2900" s="0" t="s">
        <v>130</v>
      </c>
      <c r="CB2900" s="0" t="s">
        <v>130</v>
      </c>
      <c r="CC2900" s="0" t="s">
        <v>130</v>
      </c>
      <c r="CD2900" s="0" t="s">
        <v>130</v>
      </c>
      <c r="CE2900" s="0" t="s">
        <v>130</v>
      </c>
      <c r="CF2900" s="0" t="s">
        <v>130</v>
      </c>
      <c r="CG2900" s="0" t="s">
        <v>130</v>
      </c>
      <c r="CH2900" s="0" t="s">
        <v>130</v>
      </c>
      <c r="CI2900" s="0" t="s">
        <v>130</v>
      </c>
      <c r="CJ2900" s="0" t="s">
        <v>130</v>
      </c>
      <c r="CK2900" s="0" t="s">
        <v>130</v>
      </c>
      <c r="CL2900" s="0" t="s">
        <v>130</v>
      </c>
      <c r="CM2900" s="0" t="s">
        <v>130</v>
      </c>
      <c r="CN2900" s="0" t="s">
        <v>130</v>
      </c>
      <c r="CO2900" s="0" t="s">
        <v>130</v>
      </c>
      <c r="CP2900" s="0" t="s">
        <v>130</v>
      </c>
      <c r="CQ2900" s="0" t="s">
        <v>130</v>
      </c>
      <c r="CR2900" s="0" t="s">
        <v>130</v>
      </c>
      <c r="CS2900" s="0" t="s">
        <v>130</v>
      </c>
      <c r="CT2900" s="0" t="s">
        <v>7827</v>
      </c>
    </row>
    <row r="2901">
      <c r="A2901" s="14">
        <v>69383537</v>
      </c>
      <c r="B2901" s="0" t="s">
        <v>5940</v>
      </c>
      <c r="C2901" s="16">
        <f>HYPERLINK("https://eosportal.federatedhermes.com/companies/Q29tcGFueQppNTM4NjY=", "InPost SA")</f>
      </c>
      <c r="D2901" s="0" t="s">
        <v>25</v>
      </c>
      <c r="E2901" s="0" t="s">
        <v>4032</v>
      </c>
      <c r="F2901" s="16">
        <f>HYPERLINK("https://eosportal.federatedhermes.com/engagements/RW5nYWdlbWVudAppNDAyNzY=", "Physical climate risk management")</f>
      </c>
      <c r="G2901" s="14" t="s">
        <v>7828</v>
      </c>
      <c r="H2901" s="0" t="s">
        <v>130</v>
      </c>
      <c r="I2901" s="14" t="s">
        <v>131</v>
      </c>
      <c r="J2901" s="0" t="s">
        <v>197</v>
      </c>
      <c r="K2901" s="0" t="s">
        <v>198</v>
      </c>
      <c r="L2901" s="0" t="s">
        <v>682</v>
      </c>
      <c r="M2901" s="0" t="s">
        <v>2807</v>
      </c>
      <c r="N2901" s="0" t="s">
        <v>5942</v>
      </c>
      <c r="O2901" s="0" t="s">
        <v>425</v>
      </c>
      <c r="Q2901" s="0" t="s">
        <v>130</v>
      </c>
      <c r="R2901" s="0" t="s">
        <v>138</v>
      </c>
      <c r="S2901" s="14">
        <v>0</v>
      </c>
      <c r="T2901" s="0" t="s">
        <v>449</v>
      </c>
      <c r="U2901" s="0" t="s">
        <v>138</v>
      </c>
      <c r="V2901" s="14" t="s">
        <v>138</v>
      </c>
      <c r="W2901" s="0" t="s">
        <v>138</v>
      </c>
      <c r="X2901" s="14" t="s">
        <v>138</v>
      </c>
      <c r="Y2901" s="0" t="s">
        <v>138</v>
      </c>
      <c r="Z2901" s="14" t="s">
        <v>138</v>
      </c>
      <c r="AA2901" s="0" t="s">
        <v>138</v>
      </c>
      <c r="AB2901" s="14" t="s">
        <v>138</v>
      </c>
      <c r="AD2901" s="0" t="s">
        <v>138</v>
      </c>
      <c r="AF2901" s="0">
        <v>0</v>
      </c>
      <c r="AG2901" s="0">
        <v>0</v>
      </c>
      <c r="AH2901" s="0" t="s">
        <v>140</v>
      </c>
      <c r="AI2901" s="0" t="s">
        <v>138</v>
      </c>
      <c r="AL2901" s="14"/>
      <c r="AN2901" s="14"/>
      <c r="AQ2901" s="0" t="s">
        <v>130</v>
      </c>
      <c r="AR2901" s="0" t="s">
        <v>130</v>
      </c>
      <c r="AS2901" s="0" t="s">
        <v>130</v>
      </c>
      <c r="AT2901" s="0" t="s">
        <v>130</v>
      </c>
      <c r="AU2901" s="0" t="s">
        <v>130</v>
      </c>
      <c r="AV2901" s="0" t="s">
        <v>130</v>
      </c>
      <c r="AW2901" s="0" t="s">
        <v>130</v>
      </c>
      <c r="AX2901" s="0" t="s">
        <v>130</v>
      </c>
      <c r="AY2901" s="0" t="s">
        <v>130</v>
      </c>
      <c r="AZ2901" s="0" t="s">
        <v>130</v>
      </c>
      <c r="BA2901" s="0" t="s">
        <v>130</v>
      </c>
      <c r="BB2901" s="0" t="s">
        <v>130</v>
      </c>
      <c r="BC2901" s="0" t="s">
        <v>141</v>
      </c>
      <c r="BD2901" s="0" t="s">
        <v>130</v>
      </c>
      <c r="BE2901" s="0" t="s">
        <v>130</v>
      </c>
      <c r="BF2901" s="0" t="s">
        <v>130</v>
      </c>
      <c r="BG2901" s="0" t="s">
        <v>130</v>
      </c>
      <c r="BH2901" s="0" t="s">
        <v>130</v>
      </c>
      <c r="BI2901" s="0" t="s">
        <v>130</v>
      </c>
      <c r="BJ2901" s="0" t="s">
        <v>130</v>
      </c>
      <c r="BK2901" s="0" t="s">
        <v>130</v>
      </c>
      <c r="BL2901" s="0" t="s">
        <v>130</v>
      </c>
      <c r="BM2901" s="0" t="s">
        <v>130</v>
      </c>
      <c r="BN2901" s="0" t="s">
        <v>130</v>
      </c>
      <c r="BO2901" s="0" t="s">
        <v>130</v>
      </c>
      <c r="BP2901" s="0" t="s">
        <v>130</v>
      </c>
      <c r="BQ2901" s="0" t="s">
        <v>130</v>
      </c>
      <c r="BR2901" s="0" t="s">
        <v>130</v>
      </c>
      <c r="BS2901" s="0" t="s">
        <v>130</v>
      </c>
      <c r="BT2901" s="0" t="s">
        <v>130</v>
      </c>
      <c r="BU2901" s="0" t="s">
        <v>130</v>
      </c>
      <c r="BV2901" s="0" t="s">
        <v>130</v>
      </c>
      <c r="BW2901" s="0" t="s">
        <v>130</v>
      </c>
      <c r="BX2901" s="0" t="s">
        <v>130</v>
      </c>
      <c r="BY2901" s="0" t="s">
        <v>130</v>
      </c>
      <c r="BZ2901" s="0" t="s">
        <v>130</v>
      </c>
      <c r="CA2901" s="0" t="s">
        <v>130</v>
      </c>
      <c r="CB2901" s="0" t="s">
        <v>130</v>
      </c>
      <c r="CC2901" s="0" t="s">
        <v>130</v>
      </c>
      <c r="CD2901" s="0" t="s">
        <v>130</v>
      </c>
      <c r="CE2901" s="0" t="s">
        <v>130</v>
      </c>
      <c r="CF2901" s="0" t="s">
        <v>130</v>
      </c>
      <c r="CG2901" s="0" t="s">
        <v>130</v>
      </c>
      <c r="CH2901" s="0" t="s">
        <v>130</v>
      </c>
      <c r="CI2901" s="0" t="s">
        <v>130</v>
      </c>
      <c r="CJ2901" s="0" t="s">
        <v>130</v>
      </c>
      <c r="CK2901" s="0" t="s">
        <v>130</v>
      </c>
      <c r="CL2901" s="0" t="s">
        <v>130</v>
      </c>
      <c r="CM2901" s="0" t="s">
        <v>130</v>
      </c>
      <c r="CN2901" s="0" t="s">
        <v>130</v>
      </c>
      <c r="CO2901" s="0" t="s">
        <v>130</v>
      </c>
      <c r="CP2901" s="0" t="s">
        <v>130</v>
      </c>
      <c r="CQ2901" s="0" t="s">
        <v>130</v>
      </c>
      <c r="CR2901" s="0" t="s">
        <v>130</v>
      </c>
      <c r="CS2901" s="0" t="s">
        <v>130</v>
      </c>
      <c r="CT2901" s="0" t="s">
        <v>7829</v>
      </c>
    </row>
    <row r="2902">
      <c r="A2902" s="14">
        <v>69383537</v>
      </c>
      <c r="B2902" s="0" t="s">
        <v>5940</v>
      </c>
      <c r="C2902" s="16">
        <f>HYPERLINK("https://eosportal.federatedhermes.com/companies/Q29tcGFueQppNTM4NjY=", "InPost SA")</f>
      </c>
      <c r="D2902" s="0" t="s">
        <v>25</v>
      </c>
      <c r="E2902" s="0" t="s">
        <v>7830</v>
      </c>
      <c r="F2902" s="16">
        <f>HYPERLINK("https://eosportal.federatedhermes.com/engagements/RW5nYWdlbWVudAppNDAyNzc=", "Fleet management strategy")</f>
      </c>
      <c r="G2902" s="14" t="s">
        <v>7831</v>
      </c>
      <c r="H2902" s="0" t="s">
        <v>130</v>
      </c>
      <c r="I2902" s="14" t="s">
        <v>131</v>
      </c>
      <c r="J2902" s="0" t="s">
        <v>197</v>
      </c>
      <c r="K2902" s="0" t="s">
        <v>198</v>
      </c>
      <c r="L2902" s="0" t="s">
        <v>216</v>
      </c>
      <c r="M2902" s="0" t="s">
        <v>2807</v>
      </c>
      <c r="N2902" s="0" t="s">
        <v>5942</v>
      </c>
      <c r="O2902" s="0" t="s">
        <v>425</v>
      </c>
      <c r="Q2902" s="0" t="s">
        <v>130</v>
      </c>
      <c r="R2902" s="0" t="s">
        <v>138</v>
      </c>
      <c r="S2902" s="14">
        <v>0</v>
      </c>
      <c r="T2902" s="0" t="s">
        <v>449</v>
      </c>
      <c r="U2902" s="0" t="s">
        <v>138</v>
      </c>
      <c r="V2902" s="14" t="s">
        <v>138</v>
      </c>
      <c r="W2902" s="0" t="s">
        <v>138</v>
      </c>
      <c r="X2902" s="14" t="s">
        <v>138</v>
      </c>
      <c r="Y2902" s="0" t="s">
        <v>138</v>
      </c>
      <c r="Z2902" s="14" t="s">
        <v>138</v>
      </c>
      <c r="AA2902" s="0" t="s">
        <v>138</v>
      </c>
      <c r="AB2902" s="14" t="s">
        <v>138</v>
      </c>
      <c r="AD2902" s="0" t="s">
        <v>138</v>
      </c>
      <c r="AF2902" s="0">
        <v>0</v>
      </c>
      <c r="AG2902" s="0">
        <v>0</v>
      </c>
      <c r="AH2902" s="0" t="s">
        <v>140</v>
      </c>
      <c r="AI2902" s="0" t="s">
        <v>138</v>
      </c>
      <c r="AL2902" s="14"/>
      <c r="AN2902" s="14"/>
      <c r="AQ2902" s="0" t="s">
        <v>130</v>
      </c>
      <c r="AR2902" s="0" t="s">
        <v>130</v>
      </c>
      <c r="AS2902" s="0" t="s">
        <v>130</v>
      </c>
      <c r="AT2902" s="0" t="s">
        <v>130</v>
      </c>
      <c r="AU2902" s="0" t="s">
        <v>130</v>
      </c>
      <c r="AV2902" s="0" t="s">
        <v>130</v>
      </c>
      <c r="AW2902" s="0" t="s">
        <v>141</v>
      </c>
      <c r="AX2902" s="0" t="s">
        <v>130</v>
      </c>
      <c r="AY2902" s="0" t="s">
        <v>130</v>
      </c>
      <c r="AZ2902" s="0" t="s">
        <v>130</v>
      </c>
      <c r="BA2902" s="0" t="s">
        <v>130</v>
      </c>
      <c r="BB2902" s="0" t="s">
        <v>130</v>
      </c>
      <c r="BC2902" s="0" t="s">
        <v>141</v>
      </c>
      <c r="BD2902" s="0" t="s">
        <v>130</v>
      </c>
      <c r="BE2902" s="0" t="s">
        <v>130</v>
      </c>
      <c r="BF2902" s="0" t="s">
        <v>130</v>
      </c>
      <c r="BG2902" s="0" t="s">
        <v>130</v>
      </c>
      <c r="BH2902" s="0" t="s">
        <v>141</v>
      </c>
      <c r="BI2902" s="0" t="s">
        <v>141</v>
      </c>
      <c r="BJ2902" s="0" t="s">
        <v>141</v>
      </c>
      <c r="BK2902" s="0" t="s">
        <v>130</v>
      </c>
      <c r="BL2902" s="0" t="s">
        <v>130</v>
      </c>
      <c r="BM2902" s="0" t="s">
        <v>130</v>
      </c>
      <c r="BN2902" s="0" t="s">
        <v>130</v>
      </c>
      <c r="BO2902" s="0" t="s">
        <v>130</v>
      </c>
      <c r="BP2902" s="0" t="s">
        <v>130</v>
      </c>
      <c r="BQ2902" s="0" t="s">
        <v>130</v>
      </c>
      <c r="BR2902" s="0" t="s">
        <v>130</v>
      </c>
      <c r="BS2902" s="0" t="s">
        <v>130</v>
      </c>
      <c r="BT2902" s="0" t="s">
        <v>130</v>
      </c>
      <c r="BU2902" s="0" t="s">
        <v>130</v>
      </c>
      <c r="BV2902" s="0" t="s">
        <v>141</v>
      </c>
      <c r="BW2902" s="0" t="s">
        <v>141</v>
      </c>
      <c r="BX2902" s="0" t="s">
        <v>130</v>
      </c>
      <c r="BY2902" s="0" t="s">
        <v>130</v>
      </c>
      <c r="BZ2902" s="0" t="s">
        <v>130</v>
      </c>
      <c r="CA2902" s="0" t="s">
        <v>130</v>
      </c>
      <c r="CB2902" s="0" t="s">
        <v>130</v>
      </c>
      <c r="CC2902" s="0" t="s">
        <v>130</v>
      </c>
      <c r="CD2902" s="0" t="s">
        <v>130</v>
      </c>
      <c r="CE2902" s="0" t="s">
        <v>130</v>
      </c>
      <c r="CF2902" s="0" t="s">
        <v>130</v>
      </c>
      <c r="CG2902" s="0" t="s">
        <v>130</v>
      </c>
      <c r="CH2902" s="0" t="s">
        <v>130</v>
      </c>
      <c r="CI2902" s="0" t="s">
        <v>130</v>
      </c>
      <c r="CJ2902" s="0" t="s">
        <v>130</v>
      </c>
      <c r="CK2902" s="0" t="s">
        <v>130</v>
      </c>
      <c r="CL2902" s="0" t="s">
        <v>130</v>
      </c>
      <c r="CM2902" s="0" t="s">
        <v>130</v>
      </c>
      <c r="CN2902" s="0" t="s">
        <v>130</v>
      </c>
      <c r="CO2902" s="0" t="s">
        <v>130</v>
      </c>
      <c r="CP2902" s="0" t="s">
        <v>130</v>
      </c>
      <c r="CQ2902" s="0" t="s">
        <v>130</v>
      </c>
      <c r="CR2902" s="0" t="s">
        <v>130</v>
      </c>
      <c r="CS2902" s="0" t="s">
        <v>130</v>
      </c>
      <c r="CT2902" s="0" t="s">
        <v>7832</v>
      </c>
    </row>
    <row r="2903">
      <c r="A2903" s="14">
        <v>17085420</v>
      </c>
      <c r="B2903" s="0" t="s">
        <v>4306</v>
      </c>
      <c r="C2903" s="16">
        <f>HYPERLINK("https://eosportal.federatedhermes.com/companies/Q29tcGFueQppNTIwNTI=", "Argenx SE")</f>
      </c>
      <c r="D2903" s="0" t="s">
        <v>23</v>
      </c>
      <c r="E2903" s="0" t="s">
        <v>7833</v>
      </c>
      <c r="F2903" s="16">
        <f>HYPERLINK("https://eosportal.federatedhermes.com/engagements/RW5nYWdlbWVudAppNDAyNzk=", "Board Oversight of the Workforce")</f>
      </c>
      <c r="G2903" s="14" t="s">
        <v>7834</v>
      </c>
      <c r="H2903" s="0" t="s">
        <v>130</v>
      </c>
      <c r="I2903" s="14" t="s">
        <v>319</v>
      </c>
      <c r="J2903" s="0" t="s">
        <v>153</v>
      </c>
      <c r="K2903" s="0" t="s">
        <v>154</v>
      </c>
      <c r="L2903" s="0" t="s">
        <v>268</v>
      </c>
      <c r="M2903" s="0" t="s">
        <v>378</v>
      </c>
      <c r="N2903" s="0" t="s">
        <v>2554</v>
      </c>
      <c r="O2903" s="0" t="s">
        <v>274</v>
      </c>
      <c r="Q2903" s="0" t="s">
        <v>130</v>
      </c>
      <c r="R2903" s="0" t="s">
        <v>130</v>
      </c>
      <c r="S2903" s="14">
        <v>0</v>
      </c>
      <c r="T2903" s="0" t="s">
        <v>449</v>
      </c>
      <c r="U2903" s="0" t="s">
        <v>221</v>
      </c>
      <c r="V2903" s="14" t="s">
        <v>449</v>
      </c>
      <c r="W2903" s="0" t="s">
        <v>1255</v>
      </c>
      <c r="X2903" s="14" t="s">
        <v>361</v>
      </c>
      <c r="Y2903" s="0" t="s">
        <v>1255</v>
      </c>
      <c r="Z2903" s="14" t="s">
        <v>361</v>
      </c>
      <c r="AA2903" s="0" t="s">
        <v>1255</v>
      </c>
      <c r="AB2903" s="14" t="s">
        <v>361</v>
      </c>
      <c r="AD2903" s="0" t="s">
        <v>1256</v>
      </c>
      <c r="AF2903" s="0">
        <v>0</v>
      </c>
      <c r="AG2903" s="0">
        <v>0</v>
      </c>
      <c r="AH2903" s="0" t="s">
        <v>140</v>
      </c>
      <c r="AI2903" s="0" t="s">
        <v>1255</v>
      </c>
      <c r="AJ2903" s="0" t="s">
        <v>5589</v>
      </c>
      <c r="AL2903" s="14"/>
      <c r="AN2903" s="14"/>
      <c r="AQ2903" s="0" t="s">
        <v>130</v>
      </c>
      <c r="AR2903" s="0" t="s">
        <v>130</v>
      </c>
      <c r="AS2903" s="0" t="s">
        <v>130</v>
      </c>
      <c r="AT2903" s="0" t="s">
        <v>130</v>
      </c>
      <c r="AU2903" s="0" t="s">
        <v>130</v>
      </c>
      <c r="AV2903" s="0" t="s">
        <v>130</v>
      </c>
      <c r="AW2903" s="0" t="s">
        <v>130</v>
      </c>
      <c r="AX2903" s="0" t="s">
        <v>141</v>
      </c>
      <c r="AY2903" s="0" t="s">
        <v>130</v>
      </c>
      <c r="AZ2903" s="0" t="s">
        <v>130</v>
      </c>
      <c r="BA2903" s="0" t="s">
        <v>130</v>
      </c>
      <c r="BB2903" s="0" t="s">
        <v>130</v>
      </c>
      <c r="BC2903" s="0" t="s">
        <v>130</v>
      </c>
      <c r="BD2903" s="0" t="s">
        <v>130</v>
      </c>
      <c r="BE2903" s="0" t="s">
        <v>130</v>
      </c>
      <c r="BF2903" s="0" t="s">
        <v>141</v>
      </c>
      <c r="BG2903" s="0" t="s">
        <v>130</v>
      </c>
      <c r="BH2903" s="0" t="s">
        <v>130</v>
      </c>
      <c r="BI2903" s="0" t="s">
        <v>130</v>
      </c>
      <c r="BJ2903" s="0" t="s">
        <v>130</v>
      </c>
      <c r="BK2903" s="0" t="s">
        <v>130</v>
      </c>
      <c r="BL2903" s="0" t="s">
        <v>130</v>
      </c>
      <c r="BM2903" s="0" t="s">
        <v>130</v>
      </c>
      <c r="BN2903" s="0" t="s">
        <v>130</v>
      </c>
      <c r="BO2903" s="0" t="s">
        <v>130</v>
      </c>
      <c r="BP2903" s="0" t="s">
        <v>130</v>
      </c>
      <c r="BQ2903" s="0" t="s">
        <v>130</v>
      </c>
      <c r="BR2903" s="0" t="s">
        <v>130</v>
      </c>
      <c r="BS2903" s="0" t="s">
        <v>130</v>
      </c>
      <c r="BT2903" s="0" t="s">
        <v>130</v>
      </c>
      <c r="BU2903" s="0" t="s">
        <v>130</v>
      </c>
      <c r="BV2903" s="0" t="s">
        <v>130</v>
      </c>
      <c r="BW2903" s="0" t="s">
        <v>130</v>
      </c>
      <c r="BX2903" s="0" t="s">
        <v>130</v>
      </c>
      <c r="BY2903" s="0" t="s">
        <v>130</v>
      </c>
      <c r="BZ2903" s="0" t="s">
        <v>130</v>
      </c>
      <c r="CA2903" s="0" t="s">
        <v>130</v>
      </c>
      <c r="CB2903" s="0" t="s">
        <v>130</v>
      </c>
      <c r="CC2903" s="0" t="s">
        <v>130</v>
      </c>
      <c r="CD2903" s="0" t="s">
        <v>130</v>
      </c>
      <c r="CE2903" s="0" t="s">
        <v>130</v>
      </c>
      <c r="CF2903" s="0" t="s">
        <v>130</v>
      </c>
      <c r="CG2903" s="0" t="s">
        <v>130</v>
      </c>
      <c r="CH2903" s="0" t="s">
        <v>130</v>
      </c>
      <c r="CI2903" s="0" t="s">
        <v>130</v>
      </c>
      <c r="CJ2903" s="0" t="s">
        <v>130</v>
      </c>
      <c r="CK2903" s="0" t="s">
        <v>141</v>
      </c>
      <c r="CL2903" s="0" t="s">
        <v>130</v>
      </c>
      <c r="CM2903" s="0" t="s">
        <v>130</v>
      </c>
      <c r="CN2903" s="0" t="s">
        <v>130</v>
      </c>
      <c r="CO2903" s="0" t="s">
        <v>130</v>
      </c>
      <c r="CP2903" s="0" t="s">
        <v>130</v>
      </c>
      <c r="CQ2903" s="0" t="s">
        <v>130</v>
      </c>
      <c r="CR2903" s="0" t="s">
        <v>130</v>
      </c>
      <c r="CS2903" s="0" t="s">
        <v>130</v>
      </c>
      <c r="CT2903" s="0" t="s">
        <v>7835</v>
      </c>
    </row>
    <row r="2904">
      <c r="A2904" s="14">
        <v>59907412</v>
      </c>
      <c r="B2904" s="0" t="s">
        <v>4708</v>
      </c>
      <c r="C2904" s="16">
        <f>HYPERLINK("https://eosportal.federatedhermes.com/companies/Q29tcGFueQppNTg5NjM=", "Broadcom Inc")</f>
      </c>
      <c r="D2904" s="0" t="s">
        <v>25</v>
      </c>
      <c r="E2904" s="0" t="s">
        <v>7836</v>
      </c>
      <c r="F2904" s="16">
        <f>HYPERLINK("https://eosportal.federatedhermes.com/engagements/RW5nYWdlbWVudAppNDAyODM=", "Capex oversight")</f>
      </c>
      <c r="G2904" s="14" t="s">
        <v>7837</v>
      </c>
      <c r="H2904" s="0" t="s">
        <v>141</v>
      </c>
      <c r="I2904" s="14" t="s">
        <v>131</v>
      </c>
      <c r="J2904" s="0" t="s">
        <v>132</v>
      </c>
      <c r="K2904" s="0" t="s">
        <v>133</v>
      </c>
      <c r="L2904" s="0" t="s">
        <v>753</v>
      </c>
      <c r="M2904" s="0" t="s">
        <v>135</v>
      </c>
      <c r="N2904" s="0" t="s">
        <v>136</v>
      </c>
      <c r="O2904" s="0" t="s">
        <v>1125</v>
      </c>
      <c r="Q2904" s="0" t="s">
        <v>130</v>
      </c>
      <c r="R2904" s="0" t="s">
        <v>138</v>
      </c>
      <c r="S2904" s="14">
        <v>0</v>
      </c>
      <c r="T2904" s="0" t="s">
        <v>4412</v>
      </c>
      <c r="U2904" s="0" t="s">
        <v>138</v>
      </c>
      <c r="V2904" s="14" t="s">
        <v>138</v>
      </c>
      <c r="W2904" s="0" t="s">
        <v>138</v>
      </c>
      <c r="X2904" s="14" t="s">
        <v>138</v>
      </c>
      <c r="Y2904" s="0" t="s">
        <v>138</v>
      </c>
      <c r="Z2904" s="14" t="s">
        <v>138</v>
      </c>
      <c r="AA2904" s="0" t="s">
        <v>138</v>
      </c>
      <c r="AB2904" s="14" t="s">
        <v>138</v>
      </c>
      <c r="AD2904" s="0" t="s">
        <v>138</v>
      </c>
      <c r="AF2904" s="0">
        <v>0</v>
      </c>
      <c r="AG2904" s="0">
        <v>0</v>
      </c>
      <c r="AH2904" s="0" t="s">
        <v>140</v>
      </c>
      <c r="AI2904" s="0" t="s">
        <v>138</v>
      </c>
      <c r="AL2904" s="14"/>
      <c r="AN2904" s="14"/>
      <c r="AQ2904" s="0" t="s">
        <v>130</v>
      </c>
      <c r="AR2904" s="0" t="s">
        <v>130</v>
      </c>
      <c r="AS2904" s="0" t="s">
        <v>130</v>
      </c>
      <c r="AT2904" s="0" t="s">
        <v>130</v>
      </c>
      <c r="AU2904" s="0" t="s">
        <v>130</v>
      </c>
      <c r="AV2904" s="0" t="s">
        <v>130</v>
      </c>
      <c r="AW2904" s="0" t="s">
        <v>130</v>
      </c>
      <c r="AX2904" s="0" t="s">
        <v>130</v>
      </c>
      <c r="AY2904" s="0" t="s">
        <v>130</v>
      </c>
      <c r="AZ2904" s="0" t="s">
        <v>130</v>
      </c>
      <c r="BA2904" s="0" t="s">
        <v>130</v>
      </c>
      <c r="BB2904" s="0" t="s">
        <v>141</v>
      </c>
      <c r="BC2904" s="0" t="s">
        <v>130</v>
      </c>
      <c r="BD2904" s="0" t="s">
        <v>130</v>
      </c>
      <c r="BE2904" s="0" t="s">
        <v>130</v>
      </c>
      <c r="BF2904" s="0" t="s">
        <v>130</v>
      </c>
      <c r="BG2904" s="0" t="s">
        <v>130</v>
      </c>
      <c r="BH2904" s="0" t="s">
        <v>130</v>
      </c>
      <c r="BI2904" s="0" t="s">
        <v>130</v>
      </c>
      <c r="BJ2904" s="0" t="s">
        <v>130</v>
      </c>
      <c r="BK2904" s="0" t="s">
        <v>130</v>
      </c>
      <c r="BL2904" s="0" t="s">
        <v>130</v>
      </c>
      <c r="BM2904" s="0" t="s">
        <v>130</v>
      </c>
      <c r="BN2904" s="0" t="s">
        <v>130</v>
      </c>
      <c r="BO2904" s="0" t="s">
        <v>130</v>
      </c>
      <c r="BP2904" s="0" t="s">
        <v>130</v>
      </c>
      <c r="BQ2904" s="0" t="s">
        <v>130</v>
      </c>
      <c r="BR2904" s="0" t="s">
        <v>130</v>
      </c>
      <c r="BS2904" s="0" t="s">
        <v>130</v>
      </c>
      <c r="BT2904" s="0" t="s">
        <v>130</v>
      </c>
      <c r="BU2904" s="0" t="s">
        <v>130</v>
      </c>
      <c r="BV2904" s="0" t="s">
        <v>130</v>
      </c>
      <c r="BW2904" s="0" t="s">
        <v>130</v>
      </c>
      <c r="BX2904" s="0" t="s">
        <v>130</v>
      </c>
      <c r="BY2904" s="0" t="s">
        <v>130</v>
      </c>
      <c r="BZ2904" s="0" t="s">
        <v>130</v>
      </c>
      <c r="CA2904" s="0" t="s">
        <v>130</v>
      </c>
      <c r="CB2904" s="0" t="s">
        <v>130</v>
      </c>
      <c r="CC2904" s="0" t="s">
        <v>130</v>
      </c>
      <c r="CD2904" s="0" t="s">
        <v>130</v>
      </c>
      <c r="CE2904" s="0" t="s">
        <v>130</v>
      </c>
      <c r="CF2904" s="0" t="s">
        <v>130</v>
      </c>
      <c r="CG2904" s="0" t="s">
        <v>130</v>
      </c>
      <c r="CH2904" s="0" t="s">
        <v>130</v>
      </c>
      <c r="CI2904" s="0" t="s">
        <v>130</v>
      </c>
      <c r="CJ2904" s="0" t="s">
        <v>130</v>
      </c>
      <c r="CK2904" s="0" t="s">
        <v>130</v>
      </c>
      <c r="CL2904" s="0" t="s">
        <v>130</v>
      </c>
      <c r="CM2904" s="0" t="s">
        <v>130</v>
      </c>
      <c r="CN2904" s="0" t="s">
        <v>130</v>
      </c>
      <c r="CO2904" s="0" t="s">
        <v>130</v>
      </c>
      <c r="CP2904" s="0" t="s">
        <v>130</v>
      </c>
      <c r="CQ2904" s="0" t="s">
        <v>130</v>
      </c>
      <c r="CR2904" s="0" t="s">
        <v>130</v>
      </c>
      <c r="CS2904" s="0" t="s">
        <v>130</v>
      </c>
      <c r="CT2904" s="0" t="s">
        <v>7838</v>
      </c>
    </row>
    <row r="2905">
      <c r="A2905" s="14">
        <v>17085420</v>
      </c>
      <c r="B2905" s="0" t="s">
        <v>4306</v>
      </c>
      <c r="C2905" s="16">
        <f>HYPERLINK("https://eosportal.federatedhermes.com/companies/Q29tcGFueQppNTIwNTI=", "Argenx SE")</f>
      </c>
      <c r="D2905" s="0" t="s">
        <v>25</v>
      </c>
      <c r="E2905" s="0" t="s">
        <v>154</v>
      </c>
      <c r="F2905" s="16">
        <f>HYPERLINK("https://eosportal.federatedhermes.com/engagements/RW5nYWdlbWVudAppNDAyODc=", "Human Capital")</f>
      </c>
      <c r="G2905" s="14" t="s">
        <v>7839</v>
      </c>
      <c r="H2905" s="0" t="s">
        <v>130</v>
      </c>
      <c r="I2905" s="14" t="s">
        <v>319</v>
      </c>
      <c r="J2905" s="0" t="s">
        <v>153</v>
      </c>
      <c r="K2905" s="0" t="s">
        <v>154</v>
      </c>
      <c r="L2905" s="0" t="s">
        <v>268</v>
      </c>
      <c r="M2905" s="0" t="s">
        <v>378</v>
      </c>
      <c r="N2905" s="0" t="s">
        <v>2554</v>
      </c>
      <c r="O2905" s="0" t="s">
        <v>274</v>
      </c>
      <c r="Q2905" s="0" t="s">
        <v>130</v>
      </c>
      <c r="R2905" s="0" t="s">
        <v>138</v>
      </c>
      <c r="S2905" s="14">
        <v>0</v>
      </c>
      <c r="T2905" s="0" t="s">
        <v>449</v>
      </c>
      <c r="U2905" s="0" t="s">
        <v>138</v>
      </c>
      <c r="V2905" s="14" t="s">
        <v>138</v>
      </c>
      <c r="W2905" s="0" t="s">
        <v>138</v>
      </c>
      <c r="X2905" s="14" t="s">
        <v>138</v>
      </c>
      <c r="Y2905" s="0" t="s">
        <v>138</v>
      </c>
      <c r="Z2905" s="14" t="s">
        <v>138</v>
      </c>
      <c r="AA2905" s="0" t="s">
        <v>138</v>
      </c>
      <c r="AB2905" s="14" t="s">
        <v>138</v>
      </c>
      <c r="AD2905" s="0" t="s">
        <v>138</v>
      </c>
      <c r="AF2905" s="0">
        <v>0</v>
      </c>
      <c r="AG2905" s="0">
        <v>0</v>
      </c>
      <c r="AH2905" s="0" t="s">
        <v>140</v>
      </c>
      <c r="AI2905" s="0" t="s">
        <v>138</v>
      </c>
      <c r="AL2905" s="14"/>
      <c r="AN2905" s="14"/>
      <c r="AQ2905" s="0" t="s">
        <v>130</v>
      </c>
      <c r="AR2905" s="0" t="s">
        <v>130</v>
      </c>
      <c r="AS2905" s="0" t="s">
        <v>130</v>
      </c>
      <c r="AT2905" s="0" t="s">
        <v>130</v>
      </c>
      <c r="AU2905" s="0" t="s">
        <v>130</v>
      </c>
      <c r="AV2905" s="0" t="s">
        <v>130</v>
      </c>
      <c r="AW2905" s="0" t="s">
        <v>130</v>
      </c>
      <c r="AX2905" s="0" t="s">
        <v>141</v>
      </c>
      <c r="AY2905" s="0" t="s">
        <v>130</v>
      </c>
      <c r="AZ2905" s="0" t="s">
        <v>130</v>
      </c>
      <c r="BA2905" s="0" t="s">
        <v>130</v>
      </c>
      <c r="BB2905" s="0" t="s">
        <v>130</v>
      </c>
      <c r="BC2905" s="0" t="s">
        <v>130</v>
      </c>
      <c r="BD2905" s="0" t="s">
        <v>130</v>
      </c>
      <c r="BE2905" s="0" t="s">
        <v>130</v>
      </c>
      <c r="BF2905" s="0" t="s">
        <v>141</v>
      </c>
      <c r="BG2905" s="0" t="s">
        <v>130</v>
      </c>
      <c r="BH2905" s="0" t="s">
        <v>130</v>
      </c>
      <c r="BI2905" s="0" t="s">
        <v>130</v>
      </c>
      <c r="BJ2905" s="0" t="s">
        <v>130</v>
      </c>
      <c r="BK2905" s="0" t="s">
        <v>130</v>
      </c>
      <c r="BL2905" s="0" t="s">
        <v>130</v>
      </c>
      <c r="BM2905" s="0" t="s">
        <v>130</v>
      </c>
      <c r="BN2905" s="0" t="s">
        <v>130</v>
      </c>
      <c r="BO2905" s="0" t="s">
        <v>130</v>
      </c>
      <c r="BP2905" s="0" t="s">
        <v>130</v>
      </c>
      <c r="BQ2905" s="0" t="s">
        <v>130</v>
      </c>
      <c r="BR2905" s="0" t="s">
        <v>130</v>
      </c>
      <c r="BS2905" s="0" t="s">
        <v>130</v>
      </c>
      <c r="BT2905" s="0" t="s">
        <v>130</v>
      </c>
      <c r="BU2905" s="0" t="s">
        <v>130</v>
      </c>
      <c r="BV2905" s="0" t="s">
        <v>130</v>
      </c>
      <c r="BW2905" s="0" t="s">
        <v>130</v>
      </c>
      <c r="BX2905" s="0" t="s">
        <v>130</v>
      </c>
      <c r="BY2905" s="0" t="s">
        <v>130</v>
      </c>
      <c r="BZ2905" s="0" t="s">
        <v>130</v>
      </c>
      <c r="CA2905" s="0" t="s">
        <v>130</v>
      </c>
      <c r="CB2905" s="0" t="s">
        <v>130</v>
      </c>
      <c r="CC2905" s="0" t="s">
        <v>130</v>
      </c>
      <c r="CD2905" s="0" t="s">
        <v>130</v>
      </c>
      <c r="CE2905" s="0" t="s">
        <v>130</v>
      </c>
      <c r="CF2905" s="0" t="s">
        <v>130</v>
      </c>
      <c r="CG2905" s="0" t="s">
        <v>130</v>
      </c>
      <c r="CH2905" s="0" t="s">
        <v>130</v>
      </c>
      <c r="CI2905" s="0" t="s">
        <v>130</v>
      </c>
      <c r="CJ2905" s="0" t="s">
        <v>130</v>
      </c>
      <c r="CK2905" s="0" t="s">
        <v>141</v>
      </c>
      <c r="CL2905" s="0" t="s">
        <v>130</v>
      </c>
      <c r="CM2905" s="0" t="s">
        <v>130</v>
      </c>
      <c r="CN2905" s="0" t="s">
        <v>130</v>
      </c>
      <c r="CO2905" s="0" t="s">
        <v>130</v>
      </c>
      <c r="CP2905" s="0" t="s">
        <v>130</v>
      </c>
      <c r="CQ2905" s="0" t="s">
        <v>130</v>
      </c>
      <c r="CR2905" s="0" t="s">
        <v>130</v>
      </c>
      <c r="CS2905" s="0" t="s">
        <v>130</v>
      </c>
      <c r="CT2905" s="0" t="s">
        <v>7840</v>
      </c>
    </row>
    <row r="2906">
      <c r="A2906" s="14">
        <v>17085420</v>
      </c>
      <c r="B2906" s="0" t="s">
        <v>4306</v>
      </c>
      <c r="C2906" s="16">
        <f>HYPERLINK("https://eosportal.federatedhermes.com/companies/Q29tcGFueQppNTIwNTI=", "Argenx SE")</f>
      </c>
      <c r="D2906" s="0" t="s">
        <v>25</v>
      </c>
      <c r="E2906" s="0" t="s">
        <v>7841</v>
      </c>
      <c r="F2906" s="16">
        <f>HYPERLINK("https://eosportal.federatedhermes.com/engagements/RW5nYWdlbWVudAppNDAyODg=", "Aritifcal intelligence")</f>
      </c>
      <c r="G2906" s="14" t="s">
        <v>7842</v>
      </c>
      <c r="H2906" s="0" t="s">
        <v>130</v>
      </c>
      <c r="I2906" s="14" t="s">
        <v>319</v>
      </c>
      <c r="J2906" s="0" t="s">
        <v>153</v>
      </c>
      <c r="K2906" s="0" t="s">
        <v>243</v>
      </c>
      <c r="L2906" s="0" t="s">
        <v>537</v>
      </c>
      <c r="M2906" s="0" t="s">
        <v>378</v>
      </c>
      <c r="N2906" s="0" t="s">
        <v>2554</v>
      </c>
      <c r="O2906" s="0" t="s">
        <v>274</v>
      </c>
      <c r="Q2906" s="0" t="s">
        <v>130</v>
      </c>
      <c r="R2906" s="0" t="s">
        <v>138</v>
      </c>
      <c r="S2906" s="14">
        <v>0</v>
      </c>
      <c r="T2906" s="0" t="s">
        <v>449</v>
      </c>
      <c r="U2906" s="0" t="s">
        <v>138</v>
      </c>
      <c r="V2906" s="14" t="s">
        <v>138</v>
      </c>
      <c r="W2906" s="0" t="s">
        <v>138</v>
      </c>
      <c r="X2906" s="14" t="s">
        <v>138</v>
      </c>
      <c r="Y2906" s="0" t="s">
        <v>138</v>
      </c>
      <c r="Z2906" s="14" t="s">
        <v>138</v>
      </c>
      <c r="AA2906" s="0" t="s">
        <v>138</v>
      </c>
      <c r="AB2906" s="14" t="s">
        <v>138</v>
      </c>
      <c r="AD2906" s="0" t="s">
        <v>138</v>
      </c>
      <c r="AF2906" s="0">
        <v>0</v>
      </c>
      <c r="AG2906" s="0">
        <v>0</v>
      </c>
      <c r="AH2906" s="0" t="s">
        <v>140</v>
      </c>
      <c r="AI2906" s="0" t="s">
        <v>138</v>
      </c>
      <c r="AL2906" s="14"/>
      <c r="AN2906" s="14"/>
      <c r="AQ2906" s="0" t="s">
        <v>130</v>
      </c>
      <c r="AR2906" s="0" t="s">
        <v>130</v>
      </c>
      <c r="AS2906" s="0" t="s">
        <v>130</v>
      </c>
      <c r="AT2906" s="0" t="s">
        <v>130</v>
      </c>
      <c r="AU2906" s="0" t="s">
        <v>130</v>
      </c>
      <c r="AV2906" s="0" t="s">
        <v>130</v>
      </c>
      <c r="AW2906" s="0" t="s">
        <v>130</v>
      </c>
      <c r="AX2906" s="0" t="s">
        <v>130</v>
      </c>
      <c r="AY2906" s="0" t="s">
        <v>130</v>
      </c>
      <c r="AZ2906" s="0" t="s">
        <v>141</v>
      </c>
      <c r="BA2906" s="0" t="s">
        <v>130</v>
      </c>
      <c r="BB2906" s="0" t="s">
        <v>130</v>
      </c>
      <c r="BC2906" s="0" t="s">
        <v>130</v>
      </c>
      <c r="BD2906" s="0" t="s">
        <v>130</v>
      </c>
      <c r="BE2906" s="0" t="s">
        <v>130</v>
      </c>
      <c r="BF2906" s="0" t="s">
        <v>141</v>
      </c>
      <c r="BG2906" s="0" t="s">
        <v>130</v>
      </c>
      <c r="BH2906" s="0" t="s">
        <v>130</v>
      </c>
      <c r="BI2906" s="0" t="s">
        <v>130</v>
      </c>
      <c r="BJ2906" s="0" t="s">
        <v>130</v>
      </c>
      <c r="BK2906" s="0" t="s">
        <v>130</v>
      </c>
      <c r="BL2906" s="0" t="s">
        <v>130</v>
      </c>
      <c r="BM2906" s="0" t="s">
        <v>130</v>
      </c>
      <c r="BN2906" s="0" t="s">
        <v>130</v>
      </c>
      <c r="BO2906" s="0" t="s">
        <v>130</v>
      </c>
      <c r="BP2906" s="0" t="s">
        <v>130</v>
      </c>
      <c r="BQ2906" s="0" t="s">
        <v>130</v>
      </c>
      <c r="BR2906" s="0" t="s">
        <v>130</v>
      </c>
      <c r="BS2906" s="0" t="s">
        <v>130</v>
      </c>
      <c r="BT2906" s="0" t="s">
        <v>130</v>
      </c>
      <c r="BU2906" s="0" t="s">
        <v>130</v>
      </c>
      <c r="BV2906" s="0" t="s">
        <v>130</v>
      </c>
      <c r="BW2906" s="0" t="s">
        <v>130</v>
      </c>
      <c r="BX2906" s="0" t="s">
        <v>130</v>
      </c>
      <c r="BY2906" s="0" t="s">
        <v>130</v>
      </c>
      <c r="BZ2906" s="0" t="s">
        <v>130</v>
      </c>
      <c r="CA2906" s="0" t="s">
        <v>130</v>
      </c>
      <c r="CB2906" s="0" t="s">
        <v>130</v>
      </c>
      <c r="CC2906" s="0" t="s">
        <v>130</v>
      </c>
      <c r="CD2906" s="0" t="s">
        <v>130</v>
      </c>
      <c r="CE2906" s="0" t="s">
        <v>130</v>
      </c>
      <c r="CF2906" s="0" t="s">
        <v>130</v>
      </c>
      <c r="CG2906" s="0" t="s">
        <v>130</v>
      </c>
      <c r="CH2906" s="0" t="s">
        <v>130</v>
      </c>
      <c r="CI2906" s="0" t="s">
        <v>130</v>
      </c>
      <c r="CJ2906" s="0" t="s">
        <v>130</v>
      </c>
      <c r="CK2906" s="0" t="s">
        <v>130</v>
      </c>
      <c r="CL2906" s="0" t="s">
        <v>130</v>
      </c>
      <c r="CM2906" s="0" t="s">
        <v>130</v>
      </c>
      <c r="CN2906" s="0" t="s">
        <v>130</v>
      </c>
      <c r="CO2906" s="0" t="s">
        <v>130</v>
      </c>
      <c r="CP2906" s="0" t="s">
        <v>130</v>
      </c>
      <c r="CQ2906" s="0" t="s">
        <v>130</v>
      </c>
      <c r="CR2906" s="0" t="s">
        <v>130</v>
      </c>
      <c r="CS2906" s="0" t="s">
        <v>130</v>
      </c>
      <c r="CT2906" s="0" t="s">
        <v>7843</v>
      </c>
    </row>
    <row r="2907">
      <c r="A2907" s="14">
        <v>117341</v>
      </c>
      <c r="B2907" s="0" t="s">
        <v>2804</v>
      </c>
      <c r="C2907" s="16">
        <f>HYPERLINK("https://eosportal.federatedhermes.com/companies/Q29tcGFueQppNjI0ODY=", "Cemex SAB de CV")</f>
      </c>
      <c r="D2907" s="0" t="s">
        <v>25</v>
      </c>
      <c r="E2907" s="0" t="s">
        <v>7844</v>
      </c>
      <c r="F2907" s="16">
        <f>HYPERLINK("https://eosportal.federatedhermes.com/engagements/RW5nYWdlbWVudAppNDAzMzE=", "Adopting the IASB's guidance on climate uncertainties in the accounts")</f>
      </c>
      <c r="G2907" s="14" t="s">
        <v>7779</v>
      </c>
      <c r="H2907" s="0" t="s">
        <v>141</v>
      </c>
      <c r="I2907" s="14" t="s">
        <v>636</v>
      </c>
      <c r="J2907" s="0" t="s">
        <v>197</v>
      </c>
      <c r="K2907" s="0" t="s">
        <v>198</v>
      </c>
      <c r="L2907" s="0" t="s">
        <v>199</v>
      </c>
      <c r="M2907" s="0" t="s">
        <v>2807</v>
      </c>
      <c r="N2907" s="0" t="s">
        <v>2808</v>
      </c>
      <c r="O2907" s="0" t="s">
        <v>373</v>
      </c>
      <c r="Q2907" s="0" t="s">
        <v>141</v>
      </c>
      <c r="R2907" s="0" t="s">
        <v>138</v>
      </c>
      <c r="S2907" s="14">
        <v>1</v>
      </c>
      <c r="T2907" s="0" t="s">
        <v>449</v>
      </c>
      <c r="U2907" s="0" t="s">
        <v>138</v>
      </c>
      <c r="V2907" s="14" t="s">
        <v>138</v>
      </c>
      <c r="W2907" s="0" t="s">
        <v>138</v>
      </c>
      <c r="X2907" s="14" t="s">
        <v>138</v>
      </c>
      <c r="Y2907" s="0" t="s">
        <v>138</v>
      </c>
      <c r="Z2907" s="14" t="s">
        <v>138</v>
      </c>
      <c r="AA2907" s="0" t="s">
        <v>138</v>
      </c>
      <c r="AB2907" s="14" t="s">
        <v>138</v>
      </c>
      <c r="AD2907" s="0" t="s">
        <v>138</v>
      </c>
      <c r="AF2907" s="0">
        <v>0</v>
      </c>
      <c r="AG2907" s="0">
        <v>0</v>
      </c>
      <c r="AH2907" s="0" t="s">
        <v>140</v>
      </c>
      <c r="AI2907" s="0" t="s">
        <v>138</v>
      </c>
      <c r="AK2907" s="0" t="s">
        <v>1220</v>
      </c>
      <c r="AL2907" s="14"/>
      <c r="AN2907" s="14"/>
      <c r="AQ2907" s="0" t="s">
        <v>130</v>
      </c>
      <c r="AR2907" s="0" t="s">
        <v>130</v>
      </c>
      <c r="AS2907" s="0" t="s">
        <v>130</v>
      </c>
      <c r="AT2907" s="0" t="s">
        <v>130</v>
      </c>
      <c r="AU2907" s="0" t="s">
        <v>130</v>
      </c>
      <c r="AV2907" s="0" t="s">
        <v>130</v>
      </c>
      <c r="AW2907" s="0" t="s">
        <v>130</v>
      </c>
      <c r="AX2907" s="0" t="s">
        <v>130</v>
      </c>
      <c r="AY2907" s="0" t="s">
        <v>130</v>
      </c>
      <c r="AZ2907" s="0" t="s">
        <v>130</v>
      </c>
      <c r="BA2907" s="0" t="s">
        <v>130</v>
      </c>
      <c r="BB2907" s="0" t="s">
        <v>141</v>
      </c>
      <c r="BC2907" s="0" t="s">
        <v>141</v>
      </c>
      <c r="BD2907" s="0" t="s">
        <v>130</v>
      </c>
      <c r="BE2907" s="0" t="s">
        <v>130</v>
      </c>
      <c r="BF2907" s="0" t="s">
        <v>130</v>
      </c>
      <c r="BG2907" s="0" t="s">
        <v>130</v>
      </c>
      <c r="BH2907" s="0" t="s">
        <v>130</v>
      </c>
      <c r="BI2907" s="0" t="s">
        <v>130</v>
      </c>
      <c r="BJ2907" s="0" t="s">
        <v>130</v>
      </c>
      <c r="BK2907" s="0" t="s">
        <v>130</v>
      </c>
      <c r="BL2907" s="0" t="s">
        <v>130</v>
      </c>
      <c r="BM2907" s="0" t="s">
        <v>130</v>
      </c>
      <c r="BN2907" s="0" t="s">
        <v>130</v>
      </c>
      <c r="BO2907" s="0" t="s">
        <v>130</v>
      </c>
      <c r="BP2907" s="0" t="s">
        <v>130</v>
      </c>
      <c r="BQ2907" s="0" t="s">
        <v>130</v>
      </c>
      <c r="BR2907" s="0" t="s">
        <v>130</v>
      </c>
      <c r="BS2907" s="0" t="s">
        <v>130</v>
      </c>
      <c r="BT2907" s="0" t="s">
        <v>130</v>
      </c>
      <c r="BU2907" s="0" t="s">
        <v>130</v>
      </c>
      <c r="BV2907" s="0" t="s">
        <v>130</v>
      </c>
      <c r="BW2907" s="0" t="s">
        <v>130</v>
      </c>
      <c r="BX2907" s="0" t="s">
        <v>130</v>
      </c>
      <c r="BY2907" s="0" t="s">
        <v>130</v>
      </c>
      <c r="BZ2907" s="0" t="s">
        <v>130</v>
      </c>
      <c r="CA2907" s="0" t="s">
        <v>130</v>
      </c>
      <c r="CB2907" s="0" t="s">
        <v>130</v>
      </c>
      <c r="CC2907" s="0" t="s">
        <v>130</v>
      </c>
      <c r="CD2907" s="0" t="s">
        <v>130</v>
      </c>
      <c r="CE2907" s="0" t="s">
        <v>130</v>
      </c>
      <c r="CF2907" s="0" t="s">
        <v>130</v>
      </c>
      <c r="CG2907" s="0" t="s">
        <v>130</v>
      </c>
      <c r="CH2907" s="0" t="s">
        <v>130</v>
      </c>
      <c r="CI2907" s="0" t="s">
        <v>130</v>
      </c>
      <c r="CJ2907" s="0" t="s">
        <v>130</v>
      </c>
      <c r="CK2907" s="0" t="s">
        <v>130</v>
      </c>
      <c r="CL2907" s="0" t="s">
        <v>130</v>
      </c>
      <c r="CM2907" s="0" t="s">
        <v>130</v>
      </c>
      <c r="CN2907" s="0" t="s">
        <v>130</v>
      </c>
      <c r="CO2907" s="0" t="s">
        <v>130</v>
      </c>
      <c r="CP2907" s="0" t="s">
        <v>130</v>
      </c>
      <c r="CQ2907" s="0" t="s">
        <v>130</v>
      </c>
      <c r="CR2907" s="0" t="s">
        <v>130</v>
      </c>
      <c r="CS2907" s="0" t="s">
        <v>130</v>
      </c>
      <c r="CT2907" s="0" t="s">
        <v>7845</v>
      </c>
    </row>
    <row r="2908">
      <c r="A2908" s="14">
        <v>136114</v>
      </c>
      <c r="B2908" s="0" t="s">
        <v>3038</v>
      </c>
      <c r="C2908" s="16">
        <f>HYPERLINK("https://eosportal.federatedhermes.com/companies/Q29tcGFueQppNzM3Nzc=", "Petroleo Brasileiro SA - Petrobras")</f>
      </c>
      <c r="D2908" s="0" t="s">
        <v>25</v>
      </c>
      <c r="E2908" s="0" t="s">
        <v>7844</v>
      </c>
      <c r="F2908" s="16">
        <f>HYPERLINK("https://eosportal.federatedhermes.com/engagements/RW5nYWdlbWVudAppNDAzMzI=", "Adopting the IASB's guidance on climate uncertainties in the accounts")</f>
      </c>
      <c r="G2908" s="14" t="s">
        <v>7779</v>
      </c>
      <c r="H2908" s="0" t="s">
        <v>141</v>
      </c>
      <c r="I2908" s="14" t="s">
        <v>191</v>
      </c>
      <c r="J2908" s="0" t="s">
        <v>197</v>
      </c>
      <c r="K2908" s="0" t="s">
        <v>198</v>
      </c>
      <c r="L2908" s="0" t="s">
        <v>199</v>
      </c>
      <c r="M2908" s="0" t="s">
        <v>2807</v>
      </c>
      <c r="N2908" s="0" t="s">
        <v>3041</v>
      </c>
      <c r="O2908" s="0" t="s">
        <v>542</v>
      </c>
      <c r="Q2908" s="0" t="s">
        <v>141</v>
      </c>
      <c r="R2908" s="0" t="s">
        <v>138</v>
      </c>
      <c r="S2908" s="14">
        <v>1</v>
      </c>
      <c r="T2908" s="0" t="s">
        <v>449</v>
      </c>
      <c r="U2908" s="0" t="s">
        <v>138</v>
      </c>
      <c r="V2908" s="14" t="s">
        <v>138</v>
      </c>
      <c r="W2908" s="0" t="s">
        <v>138</v>
      </c>
      <c r="X2908" s="14" t="s">
        <v>138</v>
      </c>
      <c r="Y2908" s="0" t="s">
        <v>138</v>
      </c>
      <c r="Z2908" s="14" t="s">
        <v>138</v>
      </c>
      <c r="AA2908" s="0" t="s">
        <v>138</v>
      </c>
      <c r="AB2908" s="14" t="s">
        <v>138</v>
      </c>
      <c r="AD2908" s="0" t="s">
        <v>138</v>
      </c>
      <c r="AF2908" s="0">
        <v>0</v>
      </c>
      <c r="AG2908" s="0">
        <v>0</v>
      </c>
      <c r="AH2908" s="0" t="s">
        <v>140</v>
      </c>
      <c r="AI2908" s="0" t="s">
        <v>138</v>
      </c>
      <c r="AK2908" s="0" t="s">
        <v>3042</v>
      </c>
      <c r="AL2908" s="14"/>
      <c r="AN2908" s="14"/>
      <c r="AQ2908" s="0" t="s">
        <v>130</v>
      </c>
      <c r="AR2908" s="0" t="s">
        <v>130</v>
      </c>
      <c r="AS2908" s="0" t="s">
        <v>130</v>
      </c>
      <c r="AT2908" s="0" t="s">
        <v>130</v>
      </c>
      <c r="AU2908" s="0" t="s">
        <v>130</v>
      </c>
      <c r="AV2908" s="0" t="s">
        <v>130</v>
      </c>
      <c r="AW2908" s="0" t="s">
        <v>130</v>
      </c>
      <c r="AX2908" s="0" t="s">
        <v>130</v>
      </c>
      <c r="AY2908" s="0" t="s">
        <v>130</v>
      </c>
      <c r="AZ2908" s="0" t="s">
        <v>130</v>
      </c>
      <c r="BA2908" s="0" t="s">
        <v>130</v>
      </c>
      <c r="BB2908" s="0" t="s">
        <v>141</v>
      </c>
      <c r="BC2908" s="0" t="s">
        <v>141</v>
      </c>
      <c r="BD2908" s="0" t="s">
        <v>130</v>
      </c>
      <c r="BE2908" s="0" t="s">
        <v>130</v>
      </c>
      <c r="BF2908" s="0" t="s">
        <v>130</v>
      </c>
      <c r="BG2908" s="0" t="s">
        <v>130</v>
      </c>
      <c r="BH2908" s="0" t="s">
        <v>130</v>
      </c>
      <c r="BI2908" s="0" t="s">
        <v>130</v>
      </c>
      <c r="BJ2908" s="0" t="s">
        <v>130</v>
      </c>
      <c r="BK2908" s="0" t="s">
        <v>130</v>
      </c>
      <c r="BL2908" s="0" t="s">
        <v>130</v>
      </c>
      <c r="BM2908" s="0" t="s">
        <v>130</v>
      </c>
      <c r="BN2908" s="0" t="s">
        <v>130</v>
      </c>
      <c r="BO2908" s="0" t="s">
        <v>130</v>
      </c>
      <c r="BP2908" s="0" t="s">
        <v>130</v>
      </c>
      <c r="BQ2908" s="0" t="s">
        <v>130</v>
      </c>
      <c r="BR2908" s="0" t="s">
        <v>130</v>
      </c>
      <c r="BS2908" s="0" t="s">
        <v>130</v>
      </c>
      <c r="BT2908" s="0" t="s">
        <v>130</v>
      </c>
      <c r="BU2908" s="0" t="s">
        <v>130</v>
      </c>
      <c r="BV2908" s="0" t="s">
        <v>130</v>
      </c>
      <c r="BW2908" s="0" t="s">
        <v>130</v>
      </c>
      <c r="BX2908" s="0" t="s">
        <v>130</v>
      </c>
      <c r="BY2908" s="0" t="s">
        <v>130</v>
      </c>
      <c r="BZ2908" s="0" t="s">
        <v>130</v>
      </c>
      <c r="CA2908" s="0" t="s">
        <v>130</v>
      </c>
      <c r="CB2908" s="0" t="s">
        <v>130</v>
      </c>
      <c r="CC2908" s="0" t="s">
        <v>130</v>
      </c>
      <c r="CD2908" s="0" t="s">
        <v>130</v>
      </c>
      <c r="CE2908" s="0" t="s">
        <v>130</v>
      </c>
      <c r="CF2908" s="0" t="s">
        <v>130</v>
      </c>
      <c r="CG2908" s="0" t="s">
        <v>130</v>
      </c>
      <c r="CH2908" s="0" t="s">
        <v>130</v>
      </c>
      <c r="CI2908" s="0" t="s">
        <v>130</v>
      </c>
      <c r="CJ2908" s="0" t="s">
        <v>130</v>
      </c>
      <c r="CK2908" s="0" t="s">
        <v>130</v>
      </c>
      <c r="CL2908" s="0" t="s">
        <v>130</v>
      </c>
      <c r="CM2908" s="0" t="s">
        <v>130</v>
      </c>
      <c r="CN2908" s="0" t="s">
        <v>130</v>
      </c>
      <c r="CO2908" s="0" t="s">
        <v>130</v>
      </c>
      <c r="CP2908" s="0" t="s">
        <v>130</v>
      </c>
      <c r="CQ2908" s="0" t="s">
        <v>130</v>
      </c>
      <c r="CR2908" s="0" t="s">
        <v>130</v>
      </c>
      <c r="CS2908" s="0" t="s">
        <v>130</v>
      </c>
      <c r="CT2908" s="0" t="s">
        <v>7846</v>
      </c>
    </row>
    <row r="2909">
      <c r="A2909" s="14">
        <v>112571</v>
      </c>
      <c r="B2909" s="0" t="s">
        <v>1056</v>
      </c>
      <c r="C2909" s="16">
        <f>HYPERLINK("https://eosportal.federatedhermes.com/companies/Q29tcGFueQppNTIxNzE=", "Nestle SA")</f>
      </c>
      <c r="D2909" s="0" t="s">
        <v>25</v>
      </c>
      <c r="E2909" s="0" t="s">
        <v>7823</v>
      </c>
      <c r="F2909" s="16">
        <f>HYPERLINK("https://eosportal.federatedhermes.com/engagements/RW5nYWdlbWVudAppNDAzMzM=", "Adopting the IASB's illustrative examples on climate uncertainties in the accoun")</f>
      </c>
      <c r="G2909" s="14" t="s">
        <v>7779</v>
      </c>
      <c r="H2909" s="0" t="s">
        <v>141</v>
      </c>
      <c r="I2909" s="14" t="s">
        <v>191</v>
      </c>
      <c r="J2909" s="0" t="s">
        <v>197</v>
      </c>
      <c r="K2909" s="0" t="s">
        <v>198</v>
      </c>
      <c r="L2909" s="0" t="s">
        <v>199</v>
      </c>
      <c r="M2909" s="0" t="s">
        <v>378</v>
      </c>
      <c r="N2909" s="0" t="s">
        <v>1059</v>
      </c>
      <c r="O2909" s="0" t="s">
        <v>332</v>
      </c>
      <c r="Q2909" s="0" t="s">
        <v>130</v>
      </c>
      <c r="R2909" s="0" t="s">
        <v>138</v>
      </c>
      <c r="S2909" s="14">
        <v>0</v>
      </c>
      <c r="T2909" s="0" t="s">
        <v>449</v>
      </c>
      <c r="U2909" s="0" t="s">
        <v>138</v>
      </c>
      <c r="V2909" s="14" t="s">
        <v>138</v>
      </c>
      <c r="W2909" s="0" t="s">
        <v>138</v>
      </c>
      <c r="X2909" s="14" t="s">
        <v>138</v>
      </c>
      <c r="Y2909" s="0" t="s">
        <v>138</v>
      </c>
      <c r="Z2909" s="14" t="s">
        <v>138</v>
      </c>
      <c r="AA2909" s="0" t="s">
        <v>138</v>
      </c>
      <c r="AB2909" s="14" t="s">
        <v>138</v>
      </c>
      <c r="AD2909" s="0" t="s">
        <v>138</v>
      </c>
      <c r="AF2909" s="0">
        <v>0</v>
      </c>
      <c r="AG2909" s="0">
        <v>0</v>
      </c>
      <c r="AH2909" s="0" t="s">
        <v>140</v>
      </c>
      <c r="AI2909" s="0" t="s">
        <v>138</v>
      </c>
      <c r="AL2909" s="14"/>
      <c r="AN2909" s="14"/>
      <c r="AQ2909" s="0" t="s">
        <v>130</v>
      </c>
      <c r="AR2909" s="0" t="s">
        <v>130</v>
      </c>
      <c r="AS2909" s="0" t="s">
        <v>130</v>
      </c>
      <c r="AT2909" s="0" t="s">
        <v>130</v>
      </c>
      <c r="AU2909" s="0" t="s">
        <v>130</v>
      </c>
      <c r="AV2909" s="0" t="s">
        <v>130</v>
      </c>
      <c r="AW2909" s="0" t="s">
        <v>130</v>
      </c>
      <c r="AX2909" s="0" t="s">
        <v>130</v>
      </c>
      <c r="AY2909" s="0" t="s">
        <v>130</v>
      </c>
      <c r="AZ2909" s="0" t="s">
        <v>130</v>
      </c>
      <c r="BA2909" s="0" t="s">
        <v>130</v>
      </c>
      <c r="BB2909" s="0" t="s">
        <v>141</v>
      </c>
      <c r="BC2909" s="0" t="s">
        <v>141</v>
      </c>
      <c r="BD2909" s="0" t="s">
        <v>130</v>
      </c>
      <c r="BE2909" s="0" t="s">
        <v>130</v>
      </c>
      <c r="BF2909" s="0" t="s">
        <v>130</v>
      </c>
      <c r="BG2909" s="0" t="s">
        <v>130</v>
      </c>
      <c r="BH2909" s="0" t="s">
        <v>130</v>
      </c>
      <c r="BI2909" s="0" t="s">
        <v>130</v>
      </c>
      <c r="BJ2909" s="0" t="s">
        <v>130</v>
      </c>
      <c r="BK2909" s="0" t="s">
        <v>130</v>
      </c>
      <c r="BL2909" s="0" t="s">
        <v>130</v>
      </c>
      <c r="BM2909" s="0" t="s">
        <v>130</v>
      </c>
      <c r="BN2909" s="0" t="s">
        <v>130</v>
      </c>
      <c r="BO2909" s="0" t="s">
        <v>130</v>
      </c>
      <c r="BP2909" s="0" t="s">
        <v>130</v>
      </c>
      <c r="BQ2909" s="0" t="s">
        <v>130</v>
      </c>
      <c r="BR2909" s="0" t="s">
        <v>130</v>
      </c>
      <c r="BS2909" s="0" t="s">
        <v>130</v>
      </c>
      <c r="BT2909" s="0" t="s">
        <v>130</v>
      </c>
      <c r="BU2909" s="0" t="s">
        <v>130</v>
      </c>
      <c r="BV2909" s="0" t="s">
        <v>130</v>
      </c>
      <c r="BW2909" s="0" t="s">
        <v>130</v>
      </c>
      <c r="BX2909" s="0" t="s">
        <v>130</v>
      </c>
      <c r="BY2909" s="0" t="s">
        <v>130</v>
      </c>
      <c r="BZ2909" s="0" t="s">
        <v>130</v>
      </c>
      <c r="CA2909" s="0" t="s">
        <v>130</v>
      </c>
      <c r="CB2909" s="0" t="s">
        <v>130</v>
      </c>
      <c r="CC2909" s="0" t="s">
        <v>130</v>
      </c>
      <c r="CD2909" s="0" t="s">
        <v>130</v>
      </c>
      <c r="CE2909" s="0" t="s">
        <v>130</v>
      </c>
      <c r="CF2909" s="0" t="s">
        <v>130</v>
      </c>
      <c r="CG2909" s="0" t="s">
        <v>130</v>
      </c>
      <c r="CH2909" s="0" t="s">
        <v>130</v>
      </c>
      <c r="CI2909" s="0" t="s">
        <v>130</v>
      </c>
      <c r="CJ2909" s="0" t="s">
        <v>130</v>
      </c>
      <c r="CK2909" s="0" t="s">
        <v>130</v>
      </c>
      <c r="CL2909" s="0" t="s">
        <v>130</v>
      </c>
      <c r="CM2909" s="0" t="s">
        <v>130</v>
      </c>
      <c r="CN2909" s="0" t="s">
        <v>130</v>
      </c>
      <c r="CO2909" s="0" t="s">
        <v>130</v>
      </c>
      <c r="CP2909" s="0" t="s">
        <v>130</v>
      </c>
      <c r="CQ2909" s="0" t="s">
        <v>130</v>
      </c>
      <c r="CR2909" s="0" t="s">
        <v>130</v>
      </c>
      <c r="CS2909" s="0" t="s">
        <v>130</v>
      </c>
      <c r="CT2909" s="0" t="s">
        <v>7847</v>
      </c>
    </row>
    <row r="2910">
      <c r="A2910" s="14">
        <v>183932</v>
      </c>
      <c r="B2910" s="0" t="s">
        <v>3222</v>
      </c>
      <c r="C2910" s="16">
        <f>HYPERLINK("https://eosportal.federatedhermes.com/companies/Q29tcGFueQppNzU5MzI=", "Orsted AS")</f>
      </c>
      <c r="D2910" s="0" t="s">
        <v>23</v>
      </c>
      <c r="E2910" s="0" t="s">
        <v>7848</v>
      </c>
      <c r="F2910" s="16">
        <f>HYPERLINK("https://eosportal.federatedhermes.com/engagements/RW5nYWdlbWVudAppNDAzNDI=", "Biodiversity Measurement Disclosure")</f>
      </c>
      <c r="G2910" s="14" t="s">
        <v>7849</v>
      </c>
      <c r="H2910" s="0" t="s">
        <v>130</v>
      </c>
      <c r="I2910" s="14" t="s">
        <v>131</v>
      </c>
      <c r="J2910" s="0" t="s">
        <v>197</v>
      </c>
      <c r="K2910" s="0" t="s">
        <v>337</v>
      </c>
      <c r="L2910" s="0" t="s">
        <v>576</v>
      </c>
      <c r="M2910" s="0" t="s">
        <v>378</v>
      </c>
      <c r="N2910" s="0" t="s">
        <v>1339</v>
      </c>
      <c r="O2910" s="0" t="s">
        <v>192</v>
      </c>
      <c r="Q2910" s="0" t="s">
        <v>130</v>
      </c>
      <c r="R2910" s="0" t="s">
        <v>130</v>
      </c>
      <c r="S2910" s="14">
        <v>0</v>
      </c>
      <c r="T2910" s="0" t="s">
        <v>449</v>
      </c>
      <c r="U2910" s="0" t="s">
        <v>221</v>
      </c>
      <c r="V2910" s="14" t="s">
        <v>449</v>
      </c>
      <c r="W2910" s="0" t="s">
        <v>223</v>
      </c>
      <c r="X2910" s="14" t="s">
        <v>138</v>
      </c>
      <c r="Y2910" s="0" t="s">
        <v>224</v>
      </c>
      <c r="Z2910" s="14" t="s">
        <v>138</v>
      </c>
      <c r="AA2910" s="0" t="s">
        <v>224</v>
      </c>
      <c r="AB2910" s="14" t="s">
        <v>138</v>
      </c>
      <c r="AD2910" s="0" t="s">
        <v>14</v>
      </c>
      <c r="AF2910" s="0">
        <v>0</v>
      </c>
      <c r="AG2910" s="0">
        <v>0</v>
      </c>
      <c r="AH2910" s="0" t="s">
        <v>140</v>
      </c>
      <c r="AI2910" s="0" t="s">
        <v>598</v>
      </c>
      <c r="AL2910" s="14"/>
      <c r="AN2910" s="14"/>
      <c r="AQ2910" s="0" t="s">
        <v>130</v>
      </c>
      <c r="AR2910" s="0" t="s">
        <v>130</v>
      </c>
      <c r="AS2910" s="0" t="s">
        <v>130</v>
      </c>
      <c r="AT2910" s="0" t="s">
        <v>130</v>
      </c>
      <c r="AU2910" s="0" t="s">
        <v>130</v>
      </c>
      <c r="AV2910" s="0" t="s">
        <v>130</v>
      </c>
      <c r="AW2910" s="0" t="s">
        <v>130</v>
      </c>
      <c r="AX2910" s="0" t="s">
        <v>130</v>
      </c>
      <c r="AY2910" s="0" t="s">
        <v>130</v>
      </c>
      <c r="AZ2910" s="0" t="s">
        <v>130</v>
      </c>
      <c r="BA2910" s="0" t="s">
        <v>130</v>
      </c>
      <c r="BB2910" s="0" t="s">
        <v>141</v>
      </c>
      <c r="BC2910" s="0" t="s">
        <v>130</v>
      </c>
      <c r="BD2910" s="0" t="s">
        <v>141</v>
      </c>
      <c r="BE2910" s="0" t="s">
        <v>141</v>
      </c>
      <c r="BF2910" s="0" t="s">
        <v>130</v>
      </c>
      <c r="BG2910" s="0" t="s">
        <v>130</v>
      </c>
      <c r="BH2910" s="0" t="s">
        <v>130</v>
      </c>
      <c r="BI2910" s="0" t="s">
        <v>130</v>
      </c>
      <c r="BJ2910" s="0" t="s">
        <v>130</v>
      </c>
      <c r="BK2910" s="0" t="s">
        <v>130</v>
      </c>
      <c r="BL2910" s="0" t="s">
        <v>130</v>
      </c>
      <c r="BM2910" s="0" t="s">
        <v>130</v>
      </c>
      <c r="BN2910" s="0" t="s">
        <v>130</v>
      </c>
      <c r="BO2910" s="0" t="s">
        <v>130</v>
      </c>
      <c r="BP2910" s="0" t="s">
        <v>130</v>
      </c>
      <c r="BQ2910" s="0" t="s">
        <v>130</v>
      </c>
      <c r="BR2910" s="0" t="s">
        <v>130</v>
      </c>
      <c r="BS2910" s="0" t="s">
        <v>130</v>
      </c>
      <c r="BT2910" s="0" t="s">
        <v>130</v>
      </c>
      <c r="BU2910" s="0" t="s">
        <v>130</v>
      </c>
      <c r="BV2910" s="0" t="s">
        <v>130</v>
      </c>
      <c r="BW2910" s="0" t="s">
        <v>130</v>
      </c>
      <c r="BX2910" s="0" t="s">
        <v>130</v>
      </c>
      <c r="BY2910" s="0" t="s">
        <v>130</v>
      </c>
      <c r="BZ2910" s="0" t="s">
        <v>130</v>
      </c>
      <c r="CA2910" s="0" t="s">
        <v>130</v>
      </c>
      <c r="CB2910" s="0" t="s">
        <v>130</v>
      </c>
      <c r="CC2910" s="0" t="s">
        <v>130</v>
      </c>
      <c r="CD2910" s="0" t="s">
        <v>130</v>
      </c>
      <c r="CE2910" s="0" t="s">
        <v>130</v>
      </c>
      <c r="CF2910" s="0" t="s">
        <v>130</v>
      </c>
      <c r="CG2910" s="0" t="s">
        <v>130</v>
      </c>
      <c r="CH2910" s="0" t="s">
        <v>130</v>
      </c>
      <c r="CI2910" s="0" t="s">
        <v>130</v>
      </c>
      <c r="CJ2910" s="0" t="s">
        <v>130</v>
      </c>
      <c r="CK2910" s="0" t="s">
        <v>130</v>
      </c>
      <c r="CL2910" s="0" t="s">
        <v>130</v>
      </c>
      <c r="CM2910" s="0" t="s">
        <v>130</v>
      </c>
      <c r="CN2910" s="0" t="s">
        <v>130</v>
      </c>
      <c r="CO2910" s="0" t="s">
        <v>130</v>
      </c>
      <c r="CP2910" s="0" t="s">
        <v>130</v>
      </c>
      <c r="CQ2910" s="0" t="s">
        <v>130</v>
      </c>
      <c r="CR2910" s="0" t="s">
        <v>130</v>
      </c>
      <c r="CS2910" s="0" t="s">
        <v>130</v>
      </c>
      <c r="CT2910" s="0" t="s">
        <v>7850</v>
      </c>
    </row>
    <row r="2911">
      <c r="A2911" s="14">
        <v>100481</v>
      </c>
      <c r="B2911" s="0" t="s">
        <v>673</v>
      </c>
      <c r="C2911" s="16">
        <f>HYPERLINK("https://eosportal.federatedhermes.com/companies/Q29tcGFueQppNjQzNjU=", "Duke Energy Corp")</f>
      </c>
      <c r="D2911" s="0" t="s">
        <v>25</v>
      </c>
      <c r="E2911" s="0" t="s">
        <v>7851</v>
      </c>
      <c r="F2911" s="16">
        <f>HYPERLINK("https://eosportal.federatedhermes.com/engagements/RW5nYWdlbWVudAppNDAzNTY=", "Plans for adoption of EPRI methodology")</f>
      </c>
      <c r="G2911" s="14" t="s">
        <v>7852</v>
      </c>
      <c r="H2911" s="0" t="s">
        <v>141</v>
      </c>
      <c r="I2911" s="14" t="s">
        <v>191</v>
      </c>
      <c r="J2911" s="0" t="s">
        <v>197</v>
      </c>
      <c r="K2911" s="0" t="s">
        <v>198</v>
      </c>
      <c r="L2911" s="0" t="s">
        <v>220</v>
      </c>
      <c r="M2911" s="0" t="s">
        <v>135</v>
      </c>
      <c r="N2911" s="0" t="s">
        <v>136</v>
      </c>
      <c r="O2911" s="0" t="s">
        <v>192</v>
      </c>
      <c r="Q2911" s="0" t="s">
        <v>130</v>
      </c>
      <c r="R2911" s="0" t="s">
        <v>138</v>
      </c>
      <c r="S2911" s="14">
        <v>0</v>
      </c>
      <c r="T2911" s="0" t="s">
        <v>449</v>
      </c>
      <c r="U2911" s="0" t="s">
        <v>138</v>
      </c>
      <c r="V2911" s="14" t="s">
        <v>138</v>
      </c>
      <c r="W2911" s="0" t="s">
        <v>138</v>
      </c>
      <c r="X2911" s="14" t="s">
        <v>138</v>
      </c>
      <c r="Y2911" s="0" t="s">
        <v>138</v>
      </c>
      <c r="Z2911" s="14" t="s">
        <v>138</v>
      </c>
      <c r="AA2911" s="0" t="s">
        <v>138</v>
      </c>
      <c r="AB2911" s="14" t="s">
        <v>138</v>
      </c>
      <c r="AD2911" s="0" t="s">
        <v>138</v>
      </c>
      <c r="AF2911" s="0">
        <v>0</v>
      </c>
      <c r="AG2911" s="0">
        <v>0</v>
      </c>
      <c r="AH2911" s="0" t="s">
        <v>140</v>
      </c>
      <c r="AI2911" s="0" t="s">
        <v>138</v>
      </c>
      <c r="AL2911" s="14"/>
      <c r="AN2911" s="14"/>
      <c r="AQ2911" s="0" t="s">
        <v>130</v>
      </c>
      <c r="AR2911" s="0" t="s">
        <v>130</v>
      </c>
      <c r="AS2911" s="0" t="s">
        <v>130</v>
      </c>
      <c r="AT2911" s="0" t="s">
        <v>130</v>
      </c>
      <c r="AU2911" s="0" t="s">
        <v>130</v>
      </c>
      <c r="AV2911" s="0" t="s">
        <v>130</v>
      </c>
      <c r="AW2911" s="0" t="s">
        <v>141</v>
      </c>
      <c r="AX2911" s="0" t="s">
        <v>130</v>
      </c>
      <c r="AY2911" s="0" t="s">
        <v>141</v>
      </c>
      <c r="AZ2911" s="0" t="s">
        <v>130</v>
      </c>
      <c r="BA2911" s="0" t="s">
        <v>130</v>
      </c>
      <c r="BB2911" s="0" t="s">
        <v>130</v>
      </c>
      <c r="BC2911" s="0" t="s">
        <v>141</v>
      </c>
      <c r="BD2911" s="0" t="s">
        <v>130</v>
      </c>
      <c r="BE2911" s="0" t="s">
        <v>130</v>
      </c>
      <c r="BF2911" s="0" t="s">
        <v>130</v>
      </c>
      <c r="BG2911" s="0" t="s">
        <v>130</v>
      </c>
      <c r="BH2911" s="0" t="s">
        <v>130</v>
      </c>
      <c r="BI2911" s="0" t="s">
        <v>130</v>
      </c>
      <c r="BJ2911" s="0" t="s">
        <v>130</v>
      </c>
      <c r="BK2911" s="0" t="s">
        <v>130</v>
      </c>
      <c r="BL2911" s="0" t="s">
        <v>130</v>
      </c>
      <c r="BM2911" s="0" t="s">
        <v>130</v>
      </c>
      <c r="BN2911" s="0" t="s">
        <v>130</v>
      </c>
      <c r="BO2911" s="0" t="s">
        <v>130</v>
      </c>
      <c r="BP2911" s="0" t="s">
        <v>130</v>
      </c>
      <c r="BQ2911" s="0" t="s">
        <v>130</v>
      </c>
      <c r="BR2911" s="0" t="s">
        <v>130</v>
      </c>
      <c r="BS2911" s="0" t="s">
        <v>130</v>
      </c>
      <c r="BT2911" s="0" t="s">
        <v>130</v>
      </c>
      <c r="BU2911" s="0" t="s">
        <v>130</v>
      </c>
      <c r="BV2911" s="0" t="s">
        <v>130</v>
      </c>
      <c r="BW2911" s="0" t="s">
        <v>130</v>
      </c>
      <c r="BX2911" s="0" t="s">
        <v>130</v>
      </c>
      <c r="BY2911" s="0" t="s">
        <v>130</v>
      </c>
      <c r="BZ2911" s="0" t="s">
        <v>130</v>
      </c>
      <c r="CA2911" s="0" t="s">
        <v>130</v>
      </c>
      <c r="CB2911" s="0" t="s">
        <v>130</v>
      </c>
      <c r="CC2911" s="0" t="s">
        <v>130</v>
      </c>
      <c r="CD2911" s="0" t="s">
        <v>130</v>
      </c>
      <c r="CE2911" s="0" t="s">
        <v>130</v>
      </c>
      <c r="CF2911" s="0" t="s">
        <v>130</v>
      </c>
      <c r="CG2911" s="0" t="s">
        <v>130</v>
      </c>
      <c r="CH2911" s="0" t="s">
        <v>130</v>
      </c>
      <c r="CI2911" s="0" t="s">
        <v>130</v>
      </c>
      <c r="CJ2911" s="0" t="s">
        <v>130</v>
      </c>
      <c r="CK2911" s="0" t="s">
        <v>130</v>
      </c>
      <c r="CL2911" s="0" t="s">
        <v>130</v>
      </c>
      <c r="CM2911" s="0" t="s">
        <v>130</v>
      </c>
      <c r="CN2911" s="0" t="s">
        <v>130</v>
      </c>
      <c r="CO2911" s="0" t="s">
        <v>130</v>
      </c>
      <c r="CP2911" s="0" t="s">
        <v>130</v>
      </c>
      <c r="CQ2911" s="0" t="s">
        <v>130</v>
      </c>
      <c r="CR2911" s="0" t="s">
        <v>130</v>
      </c>
      <c r="CS2911" s="0" t="s">
        <v>130</v>
      </c>
      <c r="CT2911" s="0" t="s">
        <v>7853</v>
      </c>
    </row>
    <row r="2912">
      <c r="A2912" s="14">
        <v>70940270</v>
      </c>
      <c r="B2912" s="0" t="s">
        <v>4590</v>
      </c>
      <c r="C2912" s="16">
        <f>HYPERLINK("https://eosportal.federatedhermes.com/companies/Q29tcGFueQppODU0MTY=", "Linde PLC")</f>
      </c>
      <c r="D2912" s="0" t="s">
        <v>23</v>
      </c>
      <c r="E2912" s="0" t="s">
        <v>7854</v>
      </c>
      <c r="F2912" s="16">
        <f>HYPERLINK("https://eosportal.federatedhermes.com/engagements/RW5nYWdlbWVudAppNDAzNjA=", "Scope 3 emission target")</f>
      </c>
      <c r="G2912" s="14" t="s">
        <v>7855</v>
      </c>
      <c r="H2912" s="0" t="s">
        <v>141</v>
      </c>
      <c r="I2912" s="14" t="s">
        <v>191</v>
      </c>
      <c r="J2912" s="0" t="s">
        <v>197</v>
      </c>
      <c r="K2912" s="0" t="s">
        <v>198</v>
      </c>
      <c r="L2912" s="0" t="s">
        <v>216</v>
      </c>
      <c r="M2912" s="0" t="s">
        <v>135</v>
      </c>
      <c r="N2912" s="0" t="s">
        <v>136</v>
      </c>
      <c r="O2912" s="0" t="s">
        <v>706</v>
      </c>
      <c r="Q2912" s="0" t="s">
        <v>130</v>
      </c>
      <c r="R2912" s="0" t="s">
        <v>130</v>
      </c>
      <c r="S2912" s="14">
        <v>0</v>
      </c>
      <c r="T2912" s="0" t="s">
        <v>449</v>
      </c>
      <c r="U2912" s="0" t="s">
        <v>221</v>
      </c>
      <c r="V2912" s="14" t="s">
        <v>449</v>
      </c>
      <c r="W2912" s="0" t="s">
        <v>221</v>
      </c>
      <c r="X2912" s="14" t="s">
        <v>449</v>
      </c>
      <c r="Y2912" s="0" t="s">
        <v>223</v>
      </c>
      <c r="Z2912" s="14" t="s">
        <v>138</v>
      </c>
      <c r="AA2912" s="0" t="s">
        <v>224</v>
      </c>
      <c r="AB2912" s="14" t="s">
        <v>138</v>
      </c>
      <c r="AD2912" s="0" t="s">
        <v>17</v>
      </c>
      <c r="AF2912" s="0">
        <v>0</v>
      </c>
      <c r="AG2912" s="0">
        <v>0</v>
      </c>
      <c r="AH2912" s="0" t="s">
        <v>140</v>
      </c>
      <c r="AI2912" s="0" t="s">
        <v>598</v>
      </c>
      <c r="AL2912" s="14"/>
      <c r="AN2912" s="14"/>
      <c r="AQ2912" s="0" t="s">
        <v>130</v>
      </c>
      <c r="AR2912" s="0" t="s">
        <v>130</v>
      </c>
      <c r="AS2912" s="0" t="s">
        <v>130</v>
      </c>
      <c r="AT2912" s="0" t="s">
        <v>130</v>
      </c>
      <c r="AU2912" s="0" t="s">
        <v>130</v>
      </c>
      <c r="AV2912" s="0" t="s">
        <v>130</v>
      </c>
      <c r="AW2912" s="0" t="s">
        <v>141</v>
      </c>
      <c r="AX2912" s="0" t="s">
        <v>130</v>
      </c>
      <c r="AY2912" s="0" t="s">
        <v>141</v>
      </c>
      <c r="AZ2912" s="0" t="s">
        <v>130</v>
      </c>
      <c r="BA2912" s="0" t="s">
        <v>130</v>
      </c>
      <c r="BB2912" s="0" t="s">
        <v>130</v>
      </c>
      <c r="BC2912" s="0" t="s">
        <v>141</v>
      </c>
      <c r="BD2912" s="0" t="s">
        <v>130</v>
      </c>
      <c r="BE2912" s="0" t="s">
        <v>130</v>
      </c>
      <c r="BF2912" s="0" t="s">
        <v>130</v>
      </c>
      <c r="BG2912" s="0" t="s">
        <v>130</v>
      </c>
      <c r="BH2912" s="0" t="s">
        <v>141</v>
      </c>
      <c r="BI2912" s="0" t="s">
        <v>141</v>
      </c>
      <c r="BJ2912" s="0" t="s">
        <v>141</v>
      </c>
      <c r="BK2912" s="0" t="s">
        <v>141</v>
      </c>
      <c r="BL2912" s="0" t="s">
        <v>130</v>
      </c>
      <c r="BM2912" s="0" t="s">
        <v>130</v>
      </c>
      <c r="BN2912" s="0" t="s">
        <v>130</v>
      </c>
      <c r="BO2912" s="0" t="s">
        <v>130</v>
      </c>
      <c r="BP2912" s="0" t="s">
        <v>130</v>
      </c>
      <c r="BQ2912" s="0" t="s">
        <v>130</v>
      </c>
      <c r="BR2912" s="0" t="s">
        <v>130</v>
      </c>
      <c r="BS2912" s="0" t="s">
        <v>130</v>
      </c>
      <c r="BT2912" s="0" t="s">
        <v>130</v>
      </c>
      <c r="BU2912" s="0" t="s">
        <v>130</v>
      </c>
      <c r="BV2912" s="0" t="s">
        <v>141</v>
      </c>
      <c r="BW2912" s="0" t="s">
        <v>141</v>
      </c>
      <c r="BX2912" s="0" t="s">
        <v>130</v>
      </c>
      <c r="BY2912" s="0" t="s">
        <v>130</v>
      </c>
      <c r="BZ2912" s="0" t="s">
        <v>130</v>
      </c>
      <c r="CA2912" s="0" t="s">
        <v>130</v>
      </c>
      <c r="CB2912" s="0" t="s">
        <v>130</v>
      </c>
      <c r="CC2912" s="0" t="s">
        <v>130</v>
      </c>
      <c r="CD2912" s="0" t="s">
        <v>130</v>
      </c>
      <c r="CE2912" s="0" t="s">
        <v>130</v>
      </c>
      <c r="CF2912" s="0" t="s">
        <v>130</v>
      </c>
      <c r="CG2912" s="0" t="s">
        <v>130</v>
      </c>
      <c r="CH2912" s="0" t="s">
        <v>130</v>
      </c>
      <c r="CI2912" s="0" t="s">
        <v>130</v>
      </c>
      <c r="CJ2912" s="0" t="s">
        <v>130</v>
      </c>
      <c r="CK2912" s="0" t="s">
        <v>130</v>
      </c>
      <c r="CL2912" s="0" t="s">
        <v>130</v>
      </c>
      <c r="CM2912" s="0" t="s">
        <v>130</v>
      </c>
      <c r="CN2912" s="0" t="s">
        <v>130</v>
      </c>
      <c r="CO2912" s="0" t="s">
        <v>130</v>
      </c>
      <c r="CP2912" s="0" t="s">
        <v>130</v>
      </c>
      <c r="CQ2912" s="0" t="s">
        <v>130</v>
      </c>
      <c r="CR2912" s="0" t="s">
        <v>130</v>
      </c>
      <c r="CS2912" s="0" t="s">
        <v>130</v>
      </c>
      <c r="CT2912" s="0" t="s">
        <v>7856</v>
      </c>
    </row>
    <row r="2913">
      <c r="A2913" s="14">
        <v>115649</v>
      </c>
      <c r="B2913" s="0" t="s">
        <v>2571</v>
      </c>
      <c r="C2913" s="16">
        <f>HYPERLINK("https://eosportal.federatedhermes.com/companies/Q29tcGFueQppNTg5MjU=", "Allianz SE")</f>
      </c>
      <c r="D2913" s="0" t="s">
        <v>23</v>
      </c>
      <c r="E2913" s="0" t="s">
        <v>7857</v>
      </c>
      <c r="F2913" s="16">
        <f>HYPERLINK("https://eosportal.federatedhermes.com/engagements/RW5nYWdlbWVudAppNDAzNzk=", "Chair Independence")</f>
      </c>
      <c r="G2913" s="14" t="s">
        <v>7858</v>
      </c>
      <c r="H2913" s="0" t="s">
        <v>141</v>
      </c>
      <c r="I2913" s="14" t="s">
        <v>131</v>
      </c>
      <c r="J2913" s="0" t="s">
        <v>145</v>
      </c>
      <c r="K2913" s="0" t="s">
        <v>164</v>
      </c>
      <c r="L2913" s="0" t="s">
        <v>165</v>
      </c>
      <c r="M2913" s="0" t="s">
        <v>378</v>
      </c>
      <c r="N2913" s="0" t="s">
        <v>2485</v>
      </c>
      <c r="O2913" s="0" t="s">
        <v>238</v>
      </c>
      <c r="Q2913" s="0" t="s">
        <v>130</v>
      </c>
      <c r="R2913" s="0" t="s">
        <v>130</v>
      </c>
      <c r="S2913" s="14">
        <v>0</v>
      </c>
      <c r="T2913" s="0" t="s">
        <v>478</v>
      </c>
      <c r="U2913" s="0" t="s">
        <v>221</v>
      </c>
      <c r="V2913" s="14" t="s">
        <v>478</v>
      </c>
      <c r="W2913" s="0" t="s">
        <v>221</v>
      </c>
      <c r="X2913" s="14" t="s">
        <v>478</v>
      </c>
      <c r="Y2913" s="0" t="s">
        <v>221</v>
      </c>
      <c r="Z2913" s="14" t="s">
        <v>449</v>
      </c>
      <c r="AA2913" s="0" t="s">
        <v>223</v>
      </c>
      <c r="AB2913" s="14" t="s">
        <v>138</v>
      </c>
      <c r="AD2913" s="0" t="s">
        <v>20</v>
      </c>
      <c r="AF2913" s="0">
        <v>0</v>
      </c>
      <c r="AG2913" s="0">
        <v>0</v>
      </c>
      <c r="AH2913" s="0" t="s">
        <v>140</v>
      </c>
      <c r="AI2913" s="0" t="s">
        <v>598</v>
      </c>
      <c r="AL2913" s="14"/>
      <c r="AN2913" s="14"/>
      <c r="AQ2913" s="0" t="s">
        <v>130</v>
      </c>
      <c r="AR2913" s="0" t="s">
        <v>130</v>
      </c>
      <c r="AS2913" s="0" t="s">
        <v>130</v>
      </c>
      <c r="AT2913" s="0" t="s">
        <v>130</v>
      </c>
      <c r="AU2913" s="0" t="s">
        <v>130</v>
      </c>
      <c r="AV2913" s="0" t="s">
        <v>130</v>
      </c>
      <c r="AW2913" s="0" t="s">
        <v>130</v>
      </c>
      <c r="AX2913" s="0" t="s">
        <v>130</v>
      </c>
      <c r="AY2913" s="0" t="s">
        <v>130</v>
      </c>
      <c r="AZ2913" s="0" t="s">
        <v>130</v>
      </c>
      <c r="BA2913" s="0" t="s">
        <v>130</v>
      </c>
      <c r="BB2913" s="0" t="s">
        <v>130</v>
      </c>
      <c r="BC2913" s="0" t="s">
        <v>130</v>
      </c>
      <c r="BD2913" s="0" t="s">
        <v>130</v>
      </c>
      <c r="BE2913" s="0" t="s">
        <v>130</v>
      </c>
      <c r="BF2913" s="0" t="s">
        <v>130</v>
      </c>
      <c r="BG2913" s="0" t="s">
        <v>130</v>
      </c>
      <c r="BH2913" s="0" t="s">
        <v>130</v>
      </c>
      <c r="BI2913" s="0" t="s">
        <v>130</v>
      </c>
      <c r="BJ2913" s="0" t="s">
        <v>130</v>
      </c>
      <c r="BK2913" s="0" t="s">
        <v>130</v>
      </c>
      <c r="BL2913" s="0" t="s">
        <v>130</v>
      </c>
      <c r="BM2913" s="0" t="s">
        <v>130</v>
      </c>
      <c r="BN2913" s="0" t="s">
        <v>130</v>
      </c>
      <c r="BO2913" s="0" t="s">
        <v>130</v>
      </c>
      <c r="BP2913" s="0" t="s">
        <v>130</v>
      </c>
      <c r="BQ2913" s="0" t="s">
        <v>130</v>
      </c>
      <c r="BR2913" s="0" t="s">
        <v>130</v>
      </c>
      <c r="BS2913" s="0" t="s">
        <v>130</v>
      </c>
      <c r="BT2913" s="0" t="s">
        <v>130</v>
      </c>
      <c r="BU2913" s="0" t="s">
        <v>130</v>
      </c>
      <c r="BV2913" s="0" t="s">
        <v>130</v>
      </c>
      <c r="BW2913" s="0" t="s">
        <v>130</v>
      </c>
      <c r="BX2913" s="0" t="s">
        <v>130</v>
      </c>
      <c r="BY2913" s="0" t="s">
        <v>130</v>
      </c>
      <c r="BZ2913" s="0" t="s">
        <v>130</v>
      </c>
      <c r="CA2913" s="0" t="s">
        <v>130</v>
      </c>
      <c r="CB2913" s="0" t="s">
        <v>130</v>
      </c>
      <c r="CC2913" s="0" t="s">
        <v>130</v>
      </c>
      <c r="CD2913" s="0" t="s">
        <v>130</v>
      </c>
      <c r="CE2913" s="0" t="s">
        <v>130</v>
      </c>
      <c r="CF2913" s="0" t="s">
        <v>130</v>
      </c>
      <c r="CG2913" s="0" t="s">
        <v>130</v>
      </c>
      <c r="CH2913" s="0" t="s">
        <v>130</v>
      </c>
      <c r="CI2913" s="0" t="s">
        <v>130</v>
      </c>
      <c r="CJ2913" s="0" t="s">
        <v>130</v>
      </c>
      <c r="CK2913" s="0" t="s">
        <v>130</v>
      </c>
      <c r="CL2913" s="0" t="s">
        <v>130</v>
      </c>
      <c r="CM2913" s="0" t="s">
        <v>130</v>
      </c>
      <c r="CN2913" s="0" t="s">
        <v>130</v>
      </c>
      <c r="CO2913" s="0" t="s">
        <v>130</v>
      </c>
      <c r="CP2913" s="0" t="s">
        <v>130</v>
      </c>
      <c r="CQ2913" s="0" t="s">
        <v>130</v>
      </c>
      <c r="CR2913" s="0" t="s">
        <v>130</v>
      </c>
      <c r="CS2913" s="0" t="s">
        <v>130</v>
      </c>
      <c r="CT2913" s="0" t="s">
        <v>7859</v>
      </c>
    </row>
    <row r="2914">
      <c r="A2914" s="14">
        <v>115649</v>
      </c>
      <c r="B2914" s="0" t="s">
        <v>2571</v>
      </c>
      <c r="C2914" s="16">
        <f>HYPERLINK("https://eosportal.federatedhermes.com/companies/Q29tcGFueQppNTg5MjU=", "Allianz SE")</f>
      </c>
      <c r="D2914" s="0" t="s">
        <v>23</v>
      </c>
      <c r="E2914" s="0" t="s">
        <v>146</v>
      </c>
      <c r="F2914" s="16">
        <f>HYPERLINK("https://eosportal.federatedhermes.com/engagements/RW5nYWdlbWVudAppNDAzODA=", "Executive Remuneration")</f>
      </c>
      <c r="G2914" s="14" t="s">
        <v>7860</v>
      </c>
      <c r="H2914" s="0" t="s">
        <v>141</v>
      </c>
      <c r="I2914" s="14" t="s">
        <v>131</v>
      </c>
      <c r="J2914" s="0" t="s">
        <v>145</v>
      </c>
      <c r="K2914" s="0" t="s">
        <v>146</v>
      </c>
      <c r="L2914" s="0" t="s">
        <v>147</v>
      </c>
      <c r="M2914" s="0" t="s">
        <v>378</v>
      </c>
      <c r="N2914" s="0" t="s">
        <v>2485</v>
      </c>
      <c r="O2914" s="0" t="s">
        <v>238</v>
      </c>
      <c r="Q2914" s="0" t="s">
        <v>130</v>
      </c>
      <c r="R2914" s="0" t="s">
        <v>130</v>
      </c>
      <c r="S2914" s="14">
        <v>0</v>
      </c>
      <c r="T2914" s="0" t="s">
        <v>449</v>
      </c>
      <c r="U2914" s="0" t="s">
        <v>221</v>
      </c>
      <c r="V2914" s="14" t="s">
        <v>449</v>
      </c>
      <c r="W2914" s="0" t="s">
        <v>221</v>
      </c>
      <c r="X2914" s="14" t="s">
        <v>449</v>
      </c>
      <c r="Y2914" s="0" t="s">
        <v>223</v>
      </c>
      <c r="Z2914" s="14" t="s">
        <v>138</v>
      </c>
      <c r="AA2914" s="0" t="s">
        <v>224</v>
      </c>
      <c r="AB2914" s="14" t="s">
        <v>138</v>
      </c>
      <c r="AD2914" s="0" t="s">
        <v>17</v>
      </c>
      <c r="AF2914" s="0">
        <v>0</v>
      </c>
      <c r="AG2914" s="0">
        <v>0</v>
      </c>
      <c r="AH2914" s="0" t="s">
        <v>140</v>
      </c>
      <c r="AI2914" s="0" t="s">
        <v>598</v>
      </c>
      <c r="AL2914" s="14"/>
      <c r="AN2914" s="14"/>
      <c r="AQ2914" s="0" t="s">
        <v>130</v>
      </c>
      <c r="AR2914" s="0" t="s">
        <v>130</v>
      </c>
      <c r="AS2914" s="0" t="s">
        <v>130</v>
      </c>
      <c r="AT2914" s="0" t="s">
        <v>130</v>
      </c>
      <c r="AU2914" s="0" t="s">
        <v>130</v>
      </c>
      <c r="AV2914" s="0" t="s">
        <v>130</v>
      </c>
      <c r="AW2914" s="0" t="s">
        <v>130</v>
      </c>
      <c r="AX2914" s="0" t="s">
        <v>130</v>
      </c>
      <c r="AY2914" s="0" t="s">
        <v>130</v>
      </c>
      <c r="AZ2914" s="0" t="s">
        <v>130</v>
      </c>
      <c r="BA2914" s="0" t="s">
        <v>130</v>
      </c>
      <c r="BB2914" s="0" t="s">
        <v>130</v>
      </c>
      <c r="BC2914" s="0" t="s">
        <v>130</v>
      </c>
      <c r="BD2914" s="0" t="s">
        <v>130</v>
      </c>
      <c r="BE2914" s="0" t="s">
        <v>130</v>
      </c>
      <c r="BF2914" s="0" t="s">
        <v>130</v>
      </c>
      <c r="BG2914" s="0" t="s">
        <v>130</v>
      </c>
      <c r="BH2914" s="0" t="s">
        <v>130</v>
      </c>
      <c r="BI2914" s="0" t="s">
        <v>130</v>
      </c>
      <c r="BJ2914" s="0" t="s">
        <v>130</v>
      </c>
      <c r="BK2914" s="0" t="s">
        <v>130</v>
      </c>
      <c r="BL2914" s="0" t="s">
        <v>130</v>
      </c>
      <c r="BM2914" s="0" t="s">
        <v>130</v>
      </c>
      <c r="BN2914" s="0" t="s">
        <v>130</v>
      </c>
      <c r="BO2914" s="0" t="s">
        <v>130</v>
      </c>
      <c r="BP2914" s="0" t="s">
        <v>130</v>
      </c>
      <c r="BQ2914" s="0" t="s">
        <v>130</v>
      </c>
      <c r="BR2914" s="0" t="s">
        <v>130</v>
      </c>
      <c r="BS2914" s="0" t="s">
        <v>130</v>
      </c>
      <c r="BT2914" s="0" t="s">
        <v>130</v>
      </c>
      <c r="BU2914" s="0" t="s">
        <v>130</v>
      </c>
      <c r="BV2914" s="0" t="s">
        <v>130</v>
      </c>
      <c r="BW2914" s="0" t="s">
        <v>130</v>
      </c>
      <c r="BX2914" s="0" t="s">
        <v>130</v>
      </c>
      <c r="BY2914" s="0" t="s">
        <v>130</v>
      </c>
      <c r="BZ2914" s="0" t="s">
        <v>130</v>
      </c>
      <c r="CA2914" s="0" t="s">
        <v>130</v>
      </c>
      <c r="CB2914" s="0" t="s">
        <v>130</v>
      </c>
      <c r="CC2914" s="0" t="s">
        <v>130</v>
      </c>
      <c r="CD2914" s="0" t="s">
        <v>130</v>
      </c>
      <c r="CE2914" s="0" t="s">
        <v>130</v>
      </c>
      <c r="CF2914" s="0" t="s">
        <v>130</v>
      </c>
      <c r="CG2914" s="0" t="s">
        <v>130</v>
      </c>
      <c r="CH2914" s="0" t="s">
        <v>130</v>
      </c>
      <c r="CI2914" s="0" t="s">
        <v>130</v>
      </c>
      <c r="CJ2914" s="0" t="s">
        <v>130</v>
      </c>
      <c r="CK2914" s="0" t="s">
        <v>130</v>
      </c>
      <c r="CL2914" s="0" t="s">
        <v>130</v>
      </c>
      <c r="CM2914" s="0" t="s">
        <v>130</v>
      </c>
      <c r="CN2914" s="0" t="s">
        <v>130</v>
      </c>
      <c r="CO2914" s="0" t="s">
        <v>130</v>
      </c>
      <c r="CP2914" s="0" t="s">
        <v>130</v>
      </c>
      <c r="CQ2914" s="0" t="s">
        <v>130</v>
      </c>
      <c r="CR2914" s="0" t="s">
        <v>130</v>
      </c>
      <c r="CS2914" s="0" t="s">
        <v>130</v>
      </c>
      <c r="CT2914" s="0" t="s">
        <v>7861</v>
      </c>
    </row>
    <row r="2915">
      <c r="A2915" s="14">
        <v>313657</v>
      </c>
      <c r="B2915" s="0" t="s">
        <v>3594</v>
      </c>
      <c r="C2915" s="16">
        <f>HYPERLINK("https://eosportal.federatedhermes.com/companies/Q29tcGFueQppODU4NzU=", "NVIDIA Corp")</f>
      </c>
      <c r="D2915" s="0" t="s">
        <v>23</v>
      </c>
      <c r="E2915" s="0" t="s">
        <v>7862</v>
      </c>
      <c r="F2915" s="16">
        <f>HYPERLINK("https://eosportal.federatedhermes.com/engagements/RW5nYWdlbWVudAppNDAzOTY=", "Strategy and Risk")</f>
      </c>
      <c r="G2915" s="14" t="s">
        <v>7863</v>
      </c>
      <c r="H2915" s="0" t="s">
        <v>141</v>
      </c>
      <c r="I2915" s="14" t="s">
        <v>191</v>
      </c>
      <c r="J2915" s="0" t="s">
        <v>132</v>
      </c>
      <c r="K2915" s="0" t="s">
        <v>133</v>
      </c>
      <c r="L2915" s="0" t="s">
        <v>160</v>
      </c>
      <c r="M2915" s="0" t="s">
        <v>135</v>
      </c>
      <c r="N2915" s="0" t="s">
        <v>136</v>
      </c>
      <c r="O2915" s="0" t="s">
        <v>1125</v>
      </c>
      <c r="Q2915" s="0" t="s">
        <v>141</v>
      </c>
      <c r="R2915" s="0" t="s">
        <v>130</v>
      </c>
      <c r="S2915" s="14">
        <v>1</v>
      </c>
      <c r="T2915" s="0" t="s">
        <v>449</v>
      </c>
      <c r="U2915" s="0" t="s">
        <v>221</v>
      </c>
      <c r="V2915" s="14" t="s">
        <v>449</v>
      </c>
      <c r="W2915" s="0" t="s">
        <v>223</v>
      </c>
      <c r="X2915" s="14" t="s">
        <v>138</v>
      </c>
      <c r="Y2915" s="0" t="s">
        <v>224</v>
      </c>
      <c r="Z2915" s="14" t="s">
        <v>138</v>
      </c>
      <c r="AA2915" s="0" t="s">
        <v>224</v>
      </c>
      <c r="AB2915" s="14" t="s">
        <v>138</v>
      </c>
      <c r="AD2915" s="0" t="s">
        <v>14</v>
      </c>
      <c r="AF2915" s="0">
        <v>0</v>
      </c>
      <c r="AG2915" s="0">
        <v>0</v>
      </c>
      <c r="AH2915" s="0" t="s">
        <v>140</v>
      </c>
      <c r="AI2915" s="0" t="s">
        <v>598</v>
      </c>
      <c r="AK2915" s="0" t="s">
        <v>3596</v>
      </c>
      <c r="AL2915" s="14"/>
      <c r="AN2915" s="14"/>
      <c r="AQ2915" s="0" t="s">
        <v>130</v>
      </c>
      <c r="AR2915" s="0" t="s">
        <v>130</v>
      </c>
      <c r="AS2915" s="0" t="s">
        <v>130</v>
      </c>
      <c r="AT2915" s="0" t="s">
        <v>130</v>
      </c>
      <c r="AU2915" s="0" t="s">
        <v>130</v>
      </c>
      <c r="AV2915" s="0" t="s">
        <v>130</v>
      </c>
      <c r="AW2915" s="0" t="s">
        <v>130</v>
      </c>
      <c r="AX2915" s="0" t="s">
        <v>130</v>
      </c>
      <c r="AY2915" s="0" t="s">
        <v>141</v>
      </c>
      <c r="AZ2915" s="0" t="s">
        <v>130</v>
      </c>
      <c r="BA2915" s="0" t="s">
        <v>130</v>
      </c>
      <c r="BB2915" s="0" t="s">
        <v>130</v>
      </c>
      <c r="BC2915" s="0" t="s">
        <v>141</v>
      </c>
      <c r="BD2915" s="0" t="s">
        <v>130</v>
      </c>
      <c r="BE2915" s="0" t="s">
        <v>130</v>
      </c>
      <c r="BF2915" s="0" t="s">
        <v>130</v>
      </c>
      <c r="BG2915" s="0" t="s">
        <v>130</v>
      </c>
      <c r="BH2915" s="0" t="s">
        <v>130</v>
      </c>
      <c r="BI2915" s="0" t="s">
        <v>130</v>
      </c>
      <c r="BJ2915" s="0" t="s">
        <v>130</v>
      </c>
      <c r="BK2915" s="0" t="s">
        <v>130</v>
      </c>
      <c r="BL2915" s="0" t="s">
        <v>130</v>
      </c>
      <c r="BM2915" s="0" t="s">
        <v>130</v>
      </c>
      <c r="BN2915" s="0" t="s">
        <v>130</v>
      </c>
      <c r="BO2915" s="0" t="s">
        <v>130</v>
      </c>
      <c r="BP2915" s="0" t="s">
        <v>130</v>
      </c>
      <c r="BQ2915" s="0" t="s">
        <v>130</v>
      </c>
      <c r="BR2915" s="0" t="s">
        <v>130</v>
      </c>
      <c r="BS2915" s="0" t="s">
        <v>130</v>
      </c>
      <c r="BT2915" s="0" t="s">
        <v>130</v>
      </c>
      <c r="BU2915" s="0" t="s">
        <v>130</v>
      </c>
      <c r="BV2915" s="0" t="s">
        <v>130</v>
      </c>
      <c r="BW2915" s="0" t="s">
        <v>130</v>
      </c>
      <c r="BX2915" s="0" t="s">
        <v>130</v>
      </c>
      <c r="BY2915" s="0" t="s">
        <v>130</v>
      </c>
      <c r="BZ2915" s="0" t="s">
        <v>130</v>
      </c>
      <c r="CA2915" s="0" t="s">
        <v>130</v>
      </c>
      <c r="CB2915" s="0" t="s">
        <v>130</v>
      </c>
      <c r="CC2915" s="0" t="s">
        <v>130</v>
      </c>
      <c r="CD2915" s="0" t="s">
        <v>130</v>
      </c>
      <c r="CE2915" s="0" t="s">
        <v>130</v>
      </c>
      <c r="CF2915" s="0" t="s">
        <v>130</v>
      </c>
      <c r="CG2915" s="0" t="s">
        <v>130</v>
      </c>
      <c r="CH2915" s="0" t="s">
        <v>130</v>
      </c>
      <c r="CI2915" s="0" t="s">
        <v>130</v>
      </c>
      <c r="CJ2915" s="0" t="s">
        <v>130</v>
      </c>
      <c r="CK2915" s="0" t="s">
        <v>130</v>
      </c>
      <c r="CL2915" s="0" t="s">
        <v>130</v>
      </c>
      <c r="CM2915" s="0" t="s">
        <v>130</v>
      </c>
      <c r="CN2915" s="0" t="s">
        <v>130</v>
      </c>
      <c r="CO2915" s="0" t="s">
        <v>130</v>
      </c>
      <c r="CP2915" s="0" t="s">
        <v>130</v>
      </c>
      <c r="CQ2915" s="0" t="s">
        <v>130</v>
      </c>
      <c r="CR2915" s="0" t="s">
        <v>130</v>
      </c>
      <c r="CS2915" s="0" t="s">
        <v>130</v>
      </c>
      <c r="CT2915" s="0" t="s">
        <v>7864</v>
      </c>
    </row>
    <row r="2916">
      <c r="A2916" s="14">
        <v>59907412</v>
      </c>
      <c r="B2916" s="0" t="s">
        <v>4708</v>
      </c>
      <c r="C2916" s="16">
        <f>HYPERLINK("https://eosportal.federatedhermes.com/companies/Q29tcGFueQppNTg5NjM=", "Broadcom Inc")</f>
      </c>
      <c r="D2916" s="0" t="s">
        <v>23</v>
      </c>
      <c r="E2916" s="0" t="s">
        <v>7865</v>
      </c>
      <c r="F2916" s="16">
        <f>HYPERLINK("https://eosportal.federatedhermes.com/engagements/RW5nYWdlbWVudAppNDA0NDA=", "Board Education")</f>
      </c>
      <c r="G2916" s="14" t="s">
        <v>7866</v>
      </c>
      <c r="H2916" s="0" t="s">
        <v>141</v>
      </c>
      <c r="I2916" s="14" t="s">
        <v>131</v>
      </c>
      <c r="J2916" s="0" t="s">
        <v>145</v>
      </c>
      <c r="K2916" s="0" t="s">
        <v>164</v>
      </c>
      <c r="L2916" s="0" t="s">
        <v>970</v>
      </c>
      <c r="M2916" s="0" t="s">
        <v>135</v>
      </c>
      <c r="N2916" s="0" t="s">
        <v>136</v>
      </c>
      <c r="O2916" s="0" t="s">
        <v>1125</v>
      </c>
      <c r="Q2916" s="0" t="s">
        <v>130</v>
      </c>
      <c r="R2916" s="0" t="s">
        <v>130</v>
      </c>
      <c r="S2916" s="14">
        <v>0</v>
      </c>
      <c r="T2916" s="0" t="s">
        <v>4412</v>
      </c>
      <c r="U2916" s="0" t="s">
        <v>221</v>
      </c>
      <c r="V2916" s="14" t="s">
        <v>4412</v>
      </c>
      <c r="W2916" s="0" t="s">
        <v>223</v>
      </c>
      <c r="X2916" s="14" t="s">
        <v>138</v>
      </c>
      <c r="Y2916" s="0" t="s">
        <v>224</v>
      </c>
      <c r="Z2916" s="14" t="s">
        <v>138</v>
      </c>
      <c r="AA2916" s="0" t="s">
        <v>224</v>
      </c>
      <c r="AB2916" s="14" t="s">
        <v>138</v>
      </c>
      <c r="AD2916" s="0" t="s">
        <v>14</v>
      </c>
      <c r="AF2916" s="0">
        <v>0</v>
      </c>
      <c r="AG2916" s="0">
        <v>0</v>
      </c>
      <c r="AH2916" s="0" t="s">
        <v>140</v>
      </c>
      <c r="AI2916" s="0" t="s">
        <v>598</v>
      </c>
      <c r="AL2916" s="14"/>
      <c r="AN2916" s="14"/>
      <c r="AQ2916" s="0" t="s">
        <v>130</v>
      </c>
      <c r="AR2916" s="0" t="s">
        <v>130</v>
      </c>
      <c r="AS2916" s="0" t="s">
        <v>130</v>
      </c>
      <c r="AT2916" s="0" t="s">
        <v>130</v>
      </c>
      <c r="AU2916" s="0" t="s">
        <v>130</v>
      </c>
      <c r="AV2916" s="0" t="s">
        <v>130</v>
      </c>
      <c r="AW2916" s="0" t="s">
        <v>130</v>
      </c>
      <c r="AX2916" s="0" t="s">
        <v>130</v>
      </c>
      <c r="AY2916" s="0" t="s">
        <v>130</v>
      </c>
      <c r="AZ2916" s="0" t="s">
        <v>130</v>
      </c>
      <c r="BA2916" s="0" t="s">
        <v>130</v>
      </c>
      <c r="BB2916" s="0" t="s">
        <v>130</v>
      </c>
      <c r="BC2916" s="0" t="s">
        <v>130</v>
      </c>
      <c r="BD2916" s="0" t="s">
        <v>130</v>
      </c>
      <c r="BE2916" s="0" t="s">
        <v>130</v>
      </c>
      <c r="BF2916" s="0" t="s">
        <v>130</v>
      </c>
      <c r="BG2916" s="0" t="s">
        <v>130</v>
      </c>
      <c r="BH2916" s="0" t="s">
        <v>130</v>
      </c>
      <c r="BI2916" s="0" t="s">
        <v>130</v>
      </c>
      <c r="BJ2916" s="0" t="s">
        <v>130</v>
      </c>
      <c r="BK2916" s="0" t="s">
        <v>130</v>
      </c>
      <c r="BL2916" s="0" t="s">
        <v>130</v>
      </c>
      <c r="BM2916" s="0" t="s">
        <v>130</v>
      </c>
      <c r="BN2916" s="0" t="s">
        <v>130</v>
      </c>
      <c r="BO2916" s="0" t="s">
        <v>130</v>
      </c>
      <c r="BP2916" s="0" t="s">
        <v>130</v>
      </c>
      <c r="BQ2916" s="0" t="s">
        <v>130</v>
      </c>
      <c r="BR2916" s="0" t="s">
        <v>130</v>
      </c>
      <c r="BS2916" s="0" t="s">
        <v>130</v>
      </c>
      <c r="BT2916" s="0" t="s">
        <v>130</v>
      </c>
      <c r="BU2916" s="0" t="s">
        <v>130</v>
      </c>
      <c r="BV2916" s="0" t="s">
        <v>130</v>
      </c>
      <c r="BW2916" s="0" t="s">
        <v>130</v>
      </c>
      <c r="BX2916" s="0" t="s">
        <v>130</v>
      </c>
      <c r="BY2916" s="0" t="s">
        <v>130</v>
      </c>
      <c r="BZ2916" s="0" t="s">
        <v>130</v>
      </c>
      <c r="CA2916" s="0" t="s">
        <v>130</v>
      </c>
      <c r="CB2916" s="0" t="s">
        <v>130</v>
      </c>
      <c r="CC2916" s="0" t="s">
        <v>130</v>
      </c>
      <c r="CD2916" s="0" t="s">
        <v>130</v>
      </c>
      <c r="CE2916" s="0" t="s">
        <v>130</v>
      </c>
      <c r="CF2916" s="0" t="s">
        <v>130</v>
      </c>
      <c r="CG2916" s="0" t="s">
        <v>130</v>
      </c>
      <c r="CH2916" s="0" t="s">
        <v>130</v>
      </c>
      <c r="CI2916" s="0" t="s">
        <v>130</v>
      </c>
      <c r="CJ2916" s="0" t="s">
        <v>130</v>
      </c>
      <c r="CK2916" s="0" t="s">
        <v>130</v>
      </c>
      <c r="CL2916" s="0" t="s">
        <v>130</v>
      </c>
      <c r="CM2916" s="0" t="s">
        <v>130</v>
      </c>
      <c r="CN2916" s="0" t="s">
        <v>130</v>
      </c>
      <c r="CO2916" s="0" t="s">
        <v>130</v>
      </c>
      <c r="CP2916" s="0" t="s">
        <v>130</v>
      </c>
      <c r="CQ2916" s="0" t="s">
        <v>130</v>
      </c>
      <c r="CR2916" s="0" t="s">
        <v>130</v>
      </c>
      <c r="CS2916" s="0" t="s">
        <v>130</v>
      </c>
      <c r="CT2916" s="0" t="s">
        <v>7867</v>
      </c>
    </row>
    <row r="2917">
      <c r="A2917" s="14">
        <v>100060</v>
      </c>
      <c r="B2917" s="0" t="s">
        <v>188</v>
      </c>
      <c r="C2917" s="16">
        <f>HYPERLINK("https://eosportal.federatedhermes.com/companies/Q29tcGFueQppNjI0OTY=", "American Electric Power Co Inc")</f>
      </c>
      <c r="D2917" s="0" t="s">
        <v>25</v>
      </c>
      <c r="E2917" s="0" t="s">
        <v>7851</v>
      </c>
      <c r="F2917" s="16">
        <f>HYPERLINK("https://eosportal.federatedhermes.com/engagements/RW5nYWdlbWVudAppNDA0NTA=", "Plans for adoption of EPRI methodology")</f>
      </c>
      <c r="G2917" s="14" t="s">
        <v>7868</v>
      </c>
      <c r="H2917" s="0" t="s">
        <v>141</v>
      </c>
      <c r="I2917" s="14" t="s">
        <v>191</v>
      </c>
      <c r="J2917" s="0" t="s">
        <v>197</v>
      </c>
      <c r="K2917" s="0" t="s">
        <v>198</v>
      </c>
      <c r="L2917" s="0" t="s">
        <v>220</v>
      </c>
      <c r="M2917" s="0" t="s">
        <v>135</v>
      </c>
      <c r="N2917" s="0" t="s">
        <v>136</v>
      </c>
      <c r="O2917" s="0" t="s">
        <v>192</v>
      </c>
      <c r="Q2917" s="0" t="s">
        <v>141</v>
      </c>
      <c r="R2917" s="0" t="s">
        <v>138</v>
      </c>
      <c r="S2917" s="14">
        <v>1</v>
      </c>
      <c r="T2917" s="0" t="s">
        <v>449</v>
      </c>
      <c r="U2917" s="0" t="s">
        <v>138</v>
      </c>
      <c r="V2917" s="14" t="s">
        <v>138</v>
      </c>
      <c r="W2917" s="0" t="s">
        <v>138</v>
      </c>
      <c r="X2917" s="14" t="s">
        <v>138</v>
      </c>
      <c r="Y2917" s="0" t="s">
        <v>138</v>
      </c>
      <c r="Z2917" s="14" t="s">
        <v>138</v>
      </c>
      <c r="AA2917" s="0" t="s">
        <v>138</v>
      </c>
      <c r="AB2917" s="14" t="s">
        <v>138</v>
      </c>
      <c r="AD2917" s="0" t="s">
        <v>138</v>
      </c>
      <c r="AF2917" s="0">
        <v>0</v>
      </c>
      <c r="AG2917" s="0">
        <v>0</v>
      </c>
      <c r="AH2917" s="0" t="s">
        <v>140</v>
      </c>
      <c r="AI2917" s="0" t="s">
        <v>138</v>
      </c>
      <c r="AK2917" s="0" t="s">
        <v>226</v>
      </c>
      <c r="AL2917" s="14"/>
      <c r="AN2917" s="14"/>
      <c r="AQ2917" s="0" t="s">
        <v>130</v>
      </c>
      <c r="AR2917" s="0" t="s">
        <v>130</v>
      </c>
      <c r="AS2917" s="0" t="s">
        <v>130</v>
      </c>
      <c r="AT2917" s="0" t="s">
        <v>130</v>
      </c>
      <c r="AU2917" s="0" t="s">
        <v>130</v>
      </c>
      <c r="AV2917" s="0" t="s">
        <v>130</v>
      </c>
      <c r="AW2917" s="0" t="s">
        <v>141</v>
      </c>
      <c r="AX2917" s="0" t="s">
        <v>130</v>
      </c>
      <c r="AY2917" s="0" t="s">
        <v>141</v>
      </c>
      <c r="AZ2917" s="0" t="s">
        <v>130</v>
      </c>
      <c r="BA2917" s="0" t="s">
        <v>130</v>
      </c>
      <c r="BB2917" s="0" t="s">
        <v>130</v>
      </c>
      <c r="BC2917" s="0" t="s">
        <v>141</v>
      </c>
      <c r="BD2917" s="0" t="s">
        <v>130</v>
      </c>
      <c r="BE2917" s="0" t="s">
        <v>130</v>
      </c>
      <c r="BF2917" s="0" t="s">
        <v>130</v>
      </c>
      <c r="BG2917" s="0" t="s">
        <v>130</v>
      </c>
      <c r="BH2917" s="0" t="s">
        <v>130</v>
      </c>
      <c r="BI2917" s="0" t="s">
        <v>130</v>
      </c>
      <c r="BJ2917" s="0" t="s">
        <v>130</v>
      </c>
      <c r="BK2917" s="0" t="s">
        <v>130</v>
      </c>
      <c r="BL2917" s="0" t="s">
        <v>130</v>
      </c>
      <c r="BM2917" s="0" t="s">
        <v>130</v>
      </c>
      <c r="BN2917" s="0" t="s">
        <v>130</v>
      </c>
      <c r="BO2917" s="0" t="s">
        <v>130</v>
      </c>
      <c r="BP2917" s="0" t="s">
        <v>130</v>
      </c>
      <c r="BQ2917" s="0" t="s">
        <v>130</v>
      </c>
      <c r="BR2917" s="0" t="s">
        <v>130</v>
      </c>
      <c r="BS2917" s="0" t="s">
        <v>130</v>
      </c>
      <c r="BT2917" s="0" t="s">
        <v>130</v>
      </c>
      <c r="BU2917" s="0" t="s">
        <v>130</v>
      </c>
      <c r="BV2917" s="0" t="s">
        <v>130</v>
      </c>
      <c r="BW2917" s="0" t="s">
        <v>130</v>
      </c>
      <c r="BX2917" s="0" t="s">
        <v>130</v>
      </c>
      <c r="BY2917" s="0" t="s">
        <v>130</v>
      </c>
      <c r="BZ2917" s="0" t="s">
        <v>130</v>
      </c>
      <c r="CA2917" s="0" t="s">
        <v>130</v>
      </c>
      <c r="CB2917" s="0" t="s">
        <v>130</v>
      </c>
      <c r="CC2917" s="0" t="s">
        <v>130</v>
      </c>
      <c r="CD2917" s="0" t="s">
        <v>130</v>
      </c>
      <c r="CE2917" s="0" t="s">
        <v>130</v>
      </c>
      <c r="CF2917" s="0" t="s">
        <v>130</v>
      </c>
      <c r="CG2917" s="0" t="s">
        <v>130</v>
      </c>
      <c r="CH2917" s="0" t="s">
        <v>130</v>
      </c>
      <c r="CI2917" s="0" t="s">
        <v>130</v>
      </c>
      <c r="CJ2917" s="0" t="s">
        <v>130</v>
      </c>
      <c r="CK2917" s="0" t="s">
        <v>130</v>
      </c>
      <c r="CL2917" s="0" t="s">
        <v>130</v>
      </c>
      <c r="CM2917" s="0" t="s">
        <v>130</v>
      </c>
      <c r="CN2917" s="0" t="s">
        <v>130</v>
      </c>
      <c r="CO2917" s="0" t="s">
        <v>130</v>
      </c>
      <c r="CP2917" s="0" t="s">
        <v>130</v>
      </c>
      <c r="CQ2917" s="0" t="s">
        <v>130</v>
      </c>
      <c r="CR2917" s="0" t="s">
        <v>130</v>
      </c>
      <c r="CS2917" s="0" t="s">
        <v>130</v>
      </c>
      <c r="CT2917" s="0" t="s">
        <v>7869</v>
      </c>
    </row>
    <row r="2918">
      <c r="A2918" s="14">
        <v>8904723</v>
      </c>
      <c r="B2918" s="0" t="s">
        <v>7870</v>
      </c>
      <c r="C2918" s="16">
        <f>HYPERLINK("https://eosportal.federatedhermes.com/companies/Q29tcGFueQppNzQwNjc=", "China Mengniu Dairy Co Ltd")</f>
      </c>
      <c r="D2918" s="0" t="s">
        <v>23</v>
      </c>
      <c r="E2918" s="0" t="s">
        <v>7871</v>
      </c>
      <c r="F2918" s="16">
        <f>HYPERLINK("https://eosportal.federatedhermes.com/engagements/RW5nYWdlbWVudAppNDA0NTY=", "Zero deforestation strategy and disclosure")</f>
      </c>
      <c r="G2918" s="14" t="s">
        <v>7872</v>
      </c>
      <c r="H2918" s="0" t="s">
        <v>130</v>
      </c>
      <c r="I2918" s="14" t="s">
        <v>131</v>
      </c>
      <c r="J2918" s="0" t="s">
        <v>197</v>
      </c>
      <c r="K2918" s="0" t="s">
        <v>337</v>
      </c>
      <c r="L2918" s="0" t="s">
        <v>576</v>
      </c>
      <c r="M2918" s="0" t="s">
        <v>2807</v>
      </c>
      <c r="N2918" s="0" t="s">
        <v>3272</v>
      </c>
      <c r="O2918" s="0" t="s">
        <v>332</v>
      </c>
      <c r="Q2918" s="0" t="s">
        <v>130</v>
      </c>
      <c r="R2918" s="0" t="s">
        <v>141</v>
      </c>
      <c r="S2918" s="14">
        <v>0</v>
      </c>
      <c r="T2918" s="0" t="s">
        <v>446</v>
      </c>
      <c r="U2918" s="0" t="s">
        <v>221</v>
      </c>
      <c r="V2918" s="14" t="s">
        <v>446</v>
      </c>
      <c r="W2918" s="0" t="s">
        <v>221</v>
      </c>
      <c r="X2918" s="14" t="s">
        <v>446</v>
      </c>
      <c r="Y2918" s="0" t="s">
        <v>221</v>
      </c>
      <c r="Z2918" s="14" t="s">
        <v>361</v>
      </c>
      <c r="AA2918" s="0" t="s">
        <v>223</v>
      </c>
      <c r="AB2918" s="14" t="s">
        <v>138</v>
      </c>
      <c r="AC2918" s="0" t="s">
        <v>17</v>
      </c>
      <c r="AD2918" s="0" t="s">
        <v>20</v>
      </c>
      <c r="AE2918" s="0" t="s">
        <v>2266</v>
      </c>
      <c r="AF2918" s="0">
        <v>1</v>
      </c>
      <c r="AG2918" s="0">
        <v>0</v>
      </c>
      <c r="AH2918" s="0" t="s">
        <v>140</v>
      </c>
      <c r="AI2918" s="0" t="s">
        <v>598</v>
      </c>
      <c r="AL2918" s="14"/>
      <c r="AN2918" s="14"/>
      <c r="AQ2918" s="0" t="s">
        <v>130</v>
      </c>
      <c r="AR2918" s="0" t="s">
        <v>130</v>
      </c>
      <c r="AS2918" s="0" t="s">
        <v>130</v>
      </c>
      <c r="AT2918" s="0" t="s">
        <v>130</v>
      </c>
      <c r="AU2918" s="0" t="s">
        <v>130</v>
      </c>
      <c r="AV2918" s="0" t="s">
        <v>130</v>
      </c>
      <c r="AW2918" s="0" t="s">
        <v>130</v>
      </c>
      <c r="AX2918" s="0" t="s">
        <v>130</v>
      </c>
      <c r="AY2918" s="0" t="s">
        <v>130</v>
      </c>
      <c r="AZ2918" s="0" t="s">
        <v>130</v>
      </c>
      <c r="BA2918" s="0" t="s">
        <v>130</v>
      </c>
      <c r="BB2918" s="0" t="s">
        <v>141</v>
      </c>
      <c r="BC2918" s="0" t="s">
        <v>130</v>
      </c>
      <c r="BD2918" s="0" t="s">
        <v>130</v>
      </c>
      <c r="BE2918" s="0" t="s">
        <v>141</v>
      </c>
      <c r="BF2918" s="0" t="s">
        <v>130</v>
      </c>
      <c r="BG2918" s="0" t="s">
        <v>130</v>
      </c>
      <c r="BH2918" s="0" t="s">
        <v>130</v>
      </c>
      <c r="BI2918" s="0" t="s">
        <v>130</v>
      </c>
      <c r="BJ2918" s="0" t="s">
        <v>130</v>
      </c>
      <c r="BK2918" s="0" t="s">
        <v>130</v>
      </c>
      <c r="BL2918" s="0" t="s">
        <v>130</v>
      </c>
      <c r="BM2918" s="0" t="s">
        <v>130</v>
      </c>
      <c r="BN2918" s="0" t="s">
        <v>130</v>
      </c>
      <c r="BO2918" s="0" t="s">
        <v>130</v>
      </c>
      <c r="BP2918" s="0" t="s">
        <v>130</v>
      </c>
      <c r="BQ2918" s="0" t="s">
        <v>130</v>
      </c>
      <c r="BR2918" s="0" t="s">
        <v>130</v>
      </c>
      <c r="BS2918" s="0" t="s">
        <v>130</v>
      </c>
      <c r="BT2918" s="0" t="s">
        <v>130</v>
      </c>
      <c r="BU2918" s="0" t="s">
        <v>130</v>
      </c>
      <c r="BV2918" s="0" t="s">
        <v>130</v>
      </c>
      <c r="BW2918" s="0" t="s">
        <v>130</v>
      </c>
      <c r="BX2918" s="0" t="s">
        <v>130</v>
      </c>
      <c r="BY2918" s="0" t="s">
        <v>130</v>
      </c>
      <c r="BZ2918" s="0" t="s">
        <v>130</v>
      </c>
      <c r="CA2918" s="0" t="s">
        <v>130</v>
      </c>
      <c r="CB2918" s="0" t="s">
        <v>130</v>
      </c>
      <c r="CC2918" s="0" t="s">
        <v>130</v>
      </c>
      <c r="CD2918" s="0" t="s">
        <v>130</v>
      </c>
      <c r="CE2918" s="0" t="s">
        <v>130</v>
      </c>
      <c r="CF2918" s="0" t="s">
        <v>130</v>
      </c>
      <c r="CG2918" s="0" t="s">
        <v>130</v>
      </c>
      <c r="CH2918" s="0" t="s">
        <v>130</v>
      </c>
      <c r="CI2918" s="0" t="s">
        <v>130</v>
      </c>
      <c r="CJ2918" s="0" t="s">
        <v>130</v>
      </c>
      <c r="CK2918" s="0" t="s">
        <v>130</v>
      </c>
      <c r="CL2918" s="0" t="s">
        <v>130</v>
      </c>
      <c r="CM2918" s="0" t="s">
        <v>130</v>
      </c>
      <c r="CN2918" s="0" t="s">
        <v>130</v>
      </c>
      <c r="CO2918" s="0" t="s">
        <v>130</v>
      </c>
      <c r="CP2918" s="0" t="s">
        <v>130</v>
      </c>
      <c r="CQ2918" s="0" t="s">
        <v>130</v>
      </c>
      <c r="CR2918" s="0" t="s">
        <v>130</v>
      </c>
      <c r="CS2918" s="0" t="s">
        <v>130</v>
      </c>
      <c r="CT2918" s="0" t="s">
        <v>7873</v>
      </c>
    </row>
    <row r="2919">
      <c r="A2919" s="14">
        <v>313657</v>
      </c>
      <c r="B2919" s="0" t="s">
        <v>3594</v>
      </c>
      <c r="C2919" s="16">
        <f>HYPERLINK("https://eosportal.federatedhermes.com/companies/Q29tcGFueQppODU4NzU=", "NVIDIA Corp")</f>
      </c>
      <c r="D2919" s="0" t="s">
        <v>23</v>
      </c>
      <c r="E2919" s="0" t="s">
        <v>7874</v>
      </c>
      <c r="F2919" s="16">
        <f>HYPERLINK("https://eosportal.federatedhermes.com/engagements/RW5nYWdlbWVudAppNDA0NzM=", "Energy Efficiency Ratings for Chips")</f>
      </c>
      <c r="G2919" s="14" t="s">
        <v>7875</v>
      </c>
      <c r="H2919" s="0" t="s">
        <v>141</v>
      </c>
      <c r="I2919" s="14" t="s">
        <v>191</v>
      </c>
      <c r="J2919" s="0" t="s">
        <v>197</v>
      </c>
      <c r="K2919" s="0" t="s">
        <v>198</v>
      </c>
      <c r="L2919" s="0" t="s">
        <v>220</v>
      </c>
      <c r="M2919" s="0" t="s">
        <v>135</v>
      </c>
      <c r="N2919" s="0" t="s">
        <v>136</v>
      </c>
      <c r="O2919" s="0" t="s">
        <v>1125</v>
      </c>
      <c r="Q2919" s="0" t="s">
        <v>141</v>
      </c>
      <c r="R2919" s="0" t="s">
        <v>130</v>
      </c>
      <c r="S2919" s="14">
        <v>1</v>
      </c>
      <c r="T2919" s="0" t="s">
        <v>449</v>
      </c>
      <c r="U2919" s="0" t="s">
        <v>221</v>
      </c>
      <c r="V2919" s="14" t="s">
        <v>449</v>
      </c>
      <c r="W2919" s="0" t="s">
        <v>223</v>
      </c>
      <c r="X2919" s="14" t="s">
        <v>138</v>
      </c>
      <c r="Y2919" s="0" t="s">
        <v>224</v>
      </c>
      <c r="Z2919" s="14" t="s">
        <v>138</v>
      </c>
      <c r="AA2919" s="0" t="s">
        <v>224</v>
      </c>
      <c r="AB2919" s="14" t="s">
        <v>138</v>
      </c>
      <c r="AD2919" s="0" t="s">
        <v>14</v>
      </c>
      <c r="AF2919" s="0">
        <v>0</v>
      </c>
      <c r="AG2919" s="0">
        <v>0</v>
      </c>
      <c r="AH2919" s="0" t="s">
        <v>140</v>
      </c>
      <c r="AI2919" s="0" t="s">
        <v>598</v>
      </c>
      <c r="AK2919" s="0" t="s">
        <v>3596</v>
      </c>
      <c r="AL2919" s="14"/>
      <c r="AN2919" s="14"/>
      <c r="AQ2919" s="0" t="s">
        <v>130</v>
      </c>
      <c r="AR2919" s="0" t="s">
        <v>130</v>
      </c>
      <c r="AS2919" s="0" t="s">
        <v>130</v>
      </c>
      <c r="AT2919" s="0" t="s">
        <v>130</v>
      </c>
      <c r="AU2919" s="0" t="s">
        <v>130</v>
      </c>
      <c r="AV2919" s="0" t="s">
        <v>130</v>
      </c>
      <c r="AW2919" s="0" t="s">
        <v>141</v>
      </c>
      <c r="AX2919" s="0" t="s">
        <v>130</v>
      </c>
      <c r="AY2919" s="0" t="s">
        <v>141</v>
      </c>
      <c r="AZ2919" s="0" t="s">
        <v>130</v>
      </c>
      <c r="BA2919" s="0" t="s">
        <v>130</v>
      </c>
      <c r="BB2919" s="0" t="s">
        <v>130</v>
      </c>
      <c r="BC2919" s="0" t="s">
        <v>141</v>
      </c>
      <c r="BD2919" s="0" t="s">
        <v>130</v>
      </c>
      <c r="BE2919" s="0" t="s">
        <v>130</v>
      </c>
      <c r="BF2919" s="0" t="s">
        <v>130</v>
      </c>
      <c r="BG2919" s="0" t="s">
        <v>130</v>
      </c>
      <c r="BH2919" s="0" t="s">
        <v>130</v>
      </c>
      <c r="BI2919" s="0" t="s">
        <v>141</v>
      </c>
      <c r="BJ2919" s="0" t="s">
        <v>141</v>
      </c>
      <c r="BK2919" s="0" t="s">
        <v>130</v>
      </c>
      <c r="BL2919" s="0" t="s">
        <v>141</v>
      </c>
      <c r="BM2919" s="0" t="s">
        <v>130</v>
      </c>
      <c r="BN2919" s="0" t="s">
        <v>130</v>
      </c>
      <c r="BO2919" s="0" t="s">
        <v>130</v>
      </c>
      <c r="BP2919" s="0" t="s">
        <v>130</v>
      </c>
      <c r="BQ2919" s="0" t="s">
        <v>130</v>
      </c>
      <c r="BR2919" s="0" t="s">
        <v>130</v>
      </c>
      <c r="BS2919" s="0" t="s">
        <v>130</v>
      </c>
      <c r="BT2919" s="0" t="s">
        <v>130</v>
      </c>
      <c r="BU2919" s="0" t="s">
        <v>130</v>
      </c>
      <c r="BV2919" s="0" t="s">
        <v>130</v>
      </c>
      <c r="BW2919" s="0" t="s">
        <v>130</v>
      </c>
      <c r="BX2919" s="0" t="s">
        <v>130</v>
      </c>
      <c r="BY2919" s="0" t="s">
        <v>130</v>
      </c>
      <c r="BZ2919" s="0" t="s">
        <v>130</v>
      </c>
      <c r="CA2919" s="0" t="s">
        <v>130</v>
      </c>
      <c r="CB2919" s="0" t="s">
        <v>130</v>
      </c>
      <c r="CC2919" s="0" t="s">
        <v>130</v>
      </c>
      <c r="CD2919" s="0" t="s">
        <v>130</v>
      </c>
      <c r="CE2919" s="0" t="s">
        <v>130</v>
      </c>
      <c r="CF2919" s="0" t="s">
        <v>130</v>
      </c>
      <c r="CG2919" s="0" t="s">
        <v>130</v>
      </c>
      <c r="CH2919" s="0" t="s">
        <v>130</v>
      </c>
      <c r="CI2919" s="0" t="s">
        <v>130</v>
      </c>
      <c r="CJ2919" s="0" t="s">
        <v>130</v>
      </c>
      <c r="CK2919" s="0" t="s">
        <v>130</v>
      </c>
      <c r="CL2919" s="0" t="s">
        <v>130</v>
      </c>
      <c r="CM2919" s="0" t="s">
        <v>130</v>
      </c>
      <c r="CN2919" s="0" t="s">
        <v>130</v>
      </c>
      <c r="CO2919" s="0" t="s">
        <v>130</v>
      </c>
      <c r="CP2919" s="0" t="s">
        <v>130</v>
      </c>
      <c r="CQ2919" s="0" t="s">
        <v>130</v>
      </c>
      <c r="CR2919" s="0" t="s">
        <v>130</v>
      </c>
      <c r="CS2919" s="0" t="s">
        <v>130</v>
      </c>
      <c r="CT2919" s="0" t="s">
        <v>7876</v>
      </c>
    </row>
    <row r="2920">
      <c r="A2920" s="14">
        <v>111435</v>
      </c>
      <c r="B2920" s="0" t="s">
        <v>406</v>
      </c>
      <c r="C2920" s="16">
        <f>HYPERLINK("https://eosportal.federatedhermes.com/companies/Q29tcGFueQppNzgyNjk=", "CRH PLC")</f>
      </c>
      <c r="D2920" s="0" t="s">
        <v>25</v>
      </c>
      <c r="E2920" s="0" t="s">
        <v>7877</v>
      </c>
      <c r="F2920" s="16">
        <f>HYPERLINK("https://eosportal.federatedhermes.com/engagements/RW5nYWdlbWVudAppNDA1OTk=", "SBTi validated targets")</f>
      </c>
      <c r="G2920" s="14" t="s">
        <v>7878</v>
      </c>
      <c r="H2920" s="0" t="s">
        <v>141</v>
      </c>
      <c r="I2920" s="14" t="s">
        <v>191</v>
      </c>
      <c r="J2920" s="0" t="s">
        <v>197</v>
      </c>
      <c r="K2920" s="0" t="s">
        <v>198</v>
      </c>
      <c r="L2920" s="0" t="s">
        <v>216</v>
      </c>
      <c r="M2920" s="0" t="s">
        <v>378</v>
      </c>
      <c r="N2920" s="0" t="s">
        <v>409</v>
      </c>
      <c r="O2920" s="0" t="s">
        <v>373</v>
      </c>
      <c r="Q2920" s="0" t="s">
        <v>130</v>
      </c>
      <c r="R2920" s="0" t="s">
        <v>138</v>
      </c>
      <c r="S2920" s="14">
        <v>0</v>
      </c>
      <c r="T2920" s="0" t="s">
        <v>449</v>
      </c>
      <c r="U2920" s="0" t="s">
        <v>138</v>
      </c>
      <c r="V2920" s="14" t="s">
        <v>138</v>
      </c>
      <c r="W2920" s="0" t="s">
        <v>138</v>
      </c>
      <c r="X2920" s="14" t="s">
        <v>138</v>
      </c>
      <c r="Y2920" s="0" t="s">
        <v>138</v>
      </c>
      <c r="Z2920" s="14" t="s">
        <v>138</v>
      </c>
      <c r="AA2920" s="0" t="s">
        <v>138</v>
      </c>
      <c r="AB2920" s="14" t="s">
        <v>138</v>
      </c>
      <c r="AD2920" s="0" t="s">
        <v>138</v>
      </c>
      <c r="AF2920" s="0">
        <v>0</v>
      </c>
      <c r="AG2920" s="0">
        <v>0</v>
      </c>
      <c r="AH2920" s="0" t="s">
        <v>140</v>
      </c>
      <c r="AI2920" s="0" t="s">
        <v>138</v>
      </c>
      <c r="AL2920" s="14"/>
      <c r="AN2920" s="14"/>
      <c r="AQ2920" s="0" t="s">
        <v>130</v>
      </c>
      <c r="AR2920" s="0" t="s">
        <v>130</v>
      </c>
      <c r="AS2920" s="0" t="s">
        <v>130</v>
      </c>
      <c r="AT2920" s="0" t="s">
        <v>130</v>
      </c>
      <c r="AU2920" s="0" t="s">
        <v>130</v>
      </c>
      <c r="AV2920" s="0" t="s">
        <v>130</v>
      </c>
      <c r="AW2920" s="0" t="s">
        <v>141</v>
      </c>
      <c r="AX2920" s="0" t="s">
        <v>130</v>
      </c>
      <c r="AY2920" s="0" t="s">
        <v>141</v>
      </c>
      <c r="AZ2920" s="0" t="s">
        <v>130</v>
      </c>
      <c r="BA2920" s="0" t="s">
        <v>130</v>
      </c>
      <c r="BB2920" s="0" t="s">
        <v>130</v>
      </c>
      <c r="BC2920" s="0" t="s">
        <v>141</v>
      </c>
      <c r="BD2920" s="0" t="s">
        <v>130</v>
      </c>
      <c r="BE2920" s="0" t="s">
        <v>130</v>
      </c>
      <c r="BF2920" s="0" t="s">
        <v>130</v>
      </c>
      <c r="BG2920" s="0" t="s">
        <v>130</v>
      </c>
      <c r="BH2920" s="0" t="s">
        <v>141</v>
      </c>
      <c r="BI2920" s="0" t="s">
        <v>141</v>
      </c>
      <c r="BJ2920" s="0" t="s">
        <v>141</v>
      </c>
      <c r="BK2920" s="0" t="s">
        <v>130</v>
      </c>
      <c r="BL2920" s="0" t="s">
        <v>130</v>
      </c>
      <c r="BM2920" s="0" t="s">
        <v>130</v>
      </c>
      <c r="BN2920" s="0" t="s">
        <v>130</v>
      </c>
      <c r="BO2920" s="0" t="s">
        <v>130</v>
      </c>
      <c r="BP2920" s="0" t="s">
        <v>130</v>
      </c>
      <c r="BQ2920" s="0" t="s">
        <v>130</v>
      </c>
      <c r="BR2920" s="0" t="s">
        <v>130</v>
      </c>
      <c r="BS2920" s="0" t="s">
        <v>130</v>
      </c>
      <c r="BT2920" s="0" t="s">
        <v>130</v>
      </c>
      <c r="BU2920" s="0" t="s">
        <v>130</v>
      </c>
      <c r="BV2920" s="0" t="s">
        <v>141</v>
      </c>
      <c r="BW2920" s="0" t="s">
        <v>141</v>
      </c>
      <c r="BX2920" s="0" t="s">
        <v>130</v>
      </c>
      <c r="BY2920" s="0" t="s">
        <v>130</v>
      </c>
      <c r="BZ2920" s="0" t="s">
        <v>130</v>
      </c>
      <c r="CA2920" s="0" t="s">
        <v>130</v>
      </c>
      <c r="CB2920" s="0" t="s">
        <v>130</v>
      </c>
      <c r="CC2920" s="0" t="s">
        <v>130</v>
      </c>
      <c r="CD2920" s="0" t="s">
        <v>130</v>
      </c>
      <c r="CE2920" s="0" t="s">
        <v>130</v>
      </c>
      <c r="CF2920" s="0" t="s">
        <v>130</v>
      </c>
      <c r="CG2920" s="0" t="s">
        <v>130</v>
      </c>
      <c r="CH2920" s="0" t="s">
        <v>130</v>
      </c>
      <c r="CI2920" s="0" t="s">
        <v>130</v>
      </c>
      <c r="CJ2920" s="0" t="s">
        <v>130</v>
      </c>
      <c r="CK2920" s="0" t="s">
        <v>130</v>
      </c>
      <c r="CL2920" s="0" t="s">
        <v>130</v>
      </c>
      <c r="CM2920" s="0" t="s">
        <v>130</v>
      </c>
      <c r="CN2920" s="0" t="s">
        <v>130</v>
      </c>
      <c r="CO2920" s="0" t="s">
        <v>130</v>
      </c>
      <c r="CP2920" s="0" t="s">
        <v>130</v>
      </c>
      <c r="CQ2920" s="0" t="s">
        <v>130</v>
      </c>
      <c r="CR2920" s="0" t="s">
        <v>130</v>
      </c>
      <c r="CS2920" s="0" t="s">
        <v>130</v>
      </c>
      <c r="CT2920" s="0" t="s">
        <v>7879</v>
      </c>
    </row>
    <row r="2921">
      <c r="A2921" s="14">
        <v>111435</v>
      </c>
      <c r="B2921" s="0" t="s">
        <v>406</v>
      </c>
      <c r="C2921" s="16">
        <f>HYPERLINK("https://eosportal.federatedhermes.com/companies/Q29tcGFueQppNzgyNjk=", "CRH PLC")</f>
      </c>
      <c r="D2921" s="0" t="s">
        <v>25</v>
      </c>
      <c r="E2921" s="0" t="s">
        <v>7880</v>
      </c>
      <c r="F2921" s="16">
        <f>HYPERLINK("https://eosportal.federatedhermes.com/engagements/RW5nYWdlbWVudAppNDA2MTM=", "Board skills matrix")</f>
      </c>
      <c r="G2921" s="14" t="s">
        <v>7881</v>
      </c>
      <c r="H2921" s="0" t="s">
        <v>141</v>
      </c>
      <c r="I2921" s="14" t="s">
        <v>191</v>
      </c>
      <c r="J2921" s="0" t="s">
        <v>145</v>
      </c>
      <c r="K2921" s="0" t="s">
        <v>164</v>
      </c>
      <c r="L2921" s="0" t="s">
        <v>970</v>
      </c>
      <c r="M2921" s="0" t="s">
        <v>378</v>
      </c>
      <c r="N2921" s="0" t="s">
        <v>409</v>
      </c>
      <c r="O2921" s="0" t="s">
        <v>373</v>
      </c>
      <c r="Q2921" s="0" t="s">
        <v>130</v>
      </c>
      <c r="R2921" s="0" t="s">
        <v>138</v>
      </c>
      <c r="S2921" s="14">
        <v>0</v>
      </c>
      <c r="T2921" s="0" t="s">
        <v>449</v>
      </c>
      <c r="U2921" s="0" t="s">
        <v>138</v>
      </c>
      <c r="V2921" s="14" t="s">
        <v>138</v>
      </c>
      <c r="W2921" s="0" t="s">
        <v>138</v>
      </c>
      <c r="X2921" s="14" t="s">
        <v>138</v>
      </c>
      <c r="Y2921" s="0" t="s">
        <v>138</v>
      </c>
      <c r="Z2921" s="14" t="s">
        <v>138</v>
      </c>
      <c r="AA2921" s="0" t="s">
        <v>138</v>
      </c>
      <c r="AB2921" s="14" t="s">
        <v>138</v>
      </c>
      <c r="AD2921" s="0" t="s">
        <v>138</v>
      </c>
      <c r="AF2921" s="0">
        <v>0</v>
      </c>
      <c r="AG2921" s="0">
        <v>0</v>
      </c>
      <c r="AH2921" s="0" t="s">
        <v>140</v>
      </c>
      <c r="AI2921" s="0" t="s">
        <v>138</v>
      </c>
      <c r="AL2921" s="14"/>
      <c r="AN2921" s="14"/>
      <c r="AQ2921" s="0" t="s">
        <v>130</v>
      </c>
      <c r="AR2921" s="0" t="s">
        <v>130</v>
      </c>
      <c r="AS2921" s="0" t="s">
        <v>130</v>
      </c>
      <c r="AT2921" s="0" t="s">
        <v>130</v>
      </c>
      <c r="AU2921" s="0" t="s">
        <v>130</v>
      </c>
      <c r="AV2921" s="0" t="s">
        <v>130</v>
      </c>
      <c r="AW2921" s="0" t="s">
        <v>130</v>
      </c>
      <c r="AX2921" s="0" t="s">
        <v>130</v>
      </c>
      <c r="AY2921" s="0" t="s">
        <v>130</v>
      </c>
      <c r="AZ2921" s="0" t="s">
        <v>130</v>
      </c>
      <c r="BA2921" s="0" t="s">
        <v>130</v>
      </c>
      <c r="BB2921" s="0" t="s">
        <v>130</v>
      </c>
      <c r="BC2921" s="0" t="s">
        <v>130</v>
      </c>
      <c r="BD2921" s="0" t="s">
        <v>130</v>
      </c>
      <c r="BE2921" s="0" t="s">
        <v>130</v>
      </c>
      <c r="BF2921" s="0" t="s">
        <v>130</v>
      </c>
      <c r="BG2921" s="0" t="s">
        <v>130</v>
      </c>
      <c r="BH2921" s="0" t="s">
        <v>130</v>
      </c>
      <c r="BI2921" s="0" t="s">
        <v>130</v>
      </c>
      <c r="BJ2921" s="0" t="s">
        <v>130</v>
      </c>
      <c r="BK2921" s="0" t="s">
        <v>130</v>
      </c>
      <c r="BL2921" s="0" t="s">
        <v>130</v>
      </c>
      <c r="BM2921" s="0" t="s">
        <v>130</v>
      </c>
      <c r="BN2921" s="0" t="s">
        <v>130</v>
      </c>
      <c r="BO2921" s="0" t="s">
        <v>130</v>
      </c>
      <c r="BP2921" s="0" t="s">
        <v>130</v>
      </c>
      <c r="BQ2921" s="0" t="s">
        <v>130</v>
      </c>
      <c r="BR2921" s="0" t="s">
        <v>130</v>
      </c>
      <c r="BS2921" s="0" t="s">
        <v>130</v>
      </c>
      <c r="BT2921" s="0" t="s">
        <v>130</v>
      </c>
      <c r="BU2921" s="0" t="s">
        <v>130</v>
      </c>
      <c r="BV2921" s="0" t="s">
        <v>130</v>
      </c>
      <c r="BW2921" s="0" t="s">
        <v>130</v>
      </c>
      <c r="BX2921" s="0" t="s">
        <v>130</v>
      </c>
      <c r="BY2921" s="0" t="s">
        <v>130</v>
      </c>
      <c r="BZ2921" s="0" t="s">
        <v>130</v>
      </c>
      <c r="CA2921" s="0" t="s">
        <v>130</v>
      </c>
      <c r="CB2921" s="0" t="s">
        <v>130</v>
      </c>
      <c r="CC2921" s="0" t="s">
        <v>130</v>
      </c>
      <c r="CD2921" s="0" t="s">
        <v>130</v>
      </c>
      <c r="CE2921" s="0" t="s">
        <v>130</v>
      </c>
      <c r="CF2921" s="0" t="s">
        <v>130</v>
      </c>
      <c r="CG2921" s="0" t="s">
        <v>130</v>
      </c>
      <c r="CH2921" s="0" t="s">
        <v>130</v>
      </c>
      <c r="CI2921" s="0" t="s">
        <v>130</v>
      </c>
      <c r="CJ2921" s="0" t="s">
        <v>130</v>
      </c>
      <c r="CK2921" s="0" t="s">
        <v>130</v>
      </c>
      <c r="CL2921" s="0" t="s">
        <v>130</v>
      </c>
      <c r="CM2921" s="0" t="s">
        <v>130</v>
      </c>
      <c r="CN2921" s="0" t="s">
        <v>130</v>
      </c>
      <c r="CO2921" s="0" t="s">
        <v>130</v>
      </c>
      <c r="CP2921" s="0" t="s">
        <v>130</v>
      </c>
      <c r="CQ2921" s="0" t="s">
        <v>130</v>
      </c>
      <c r="CR2921" s="0" t="s">
        <v>130</v>
      </c>
      <c r="CS2921" s="0" t="s">
        <v>130</v>
      </c>
      <c r="CT2921" s="0" t="s">
        <v>7882</v>
      </c>
    </row>
    <row r="2922">
      <c r="A2922" s="14">
        <v>101153</v>
      </c>
      <c r="B2922" s="0" t="s">
        <v>1245</v>
      </c>
      <c r="C2922" s="16">
        <f>HYPERLINK("https://eosportal.federatedhermes.com/companies/Q29tcGFueQppODA2MDM=", "PPL Corp")</f>
      </c>
      <c r="D2922" s="0" t="s">
        <v>25</v>
      </c>
      <c r="E2922" s="0" t="s">
        <v>7883</v>
      </c>
      <c r="F2922" s="16">
        <f>HYPERLINK("https://eosportal.federatedhermes.com/engagements/RW5nYWdlbWVudAppNDA2MTQ=", "Third party board evaluation")</f>
      </c>
      <c r="G2922" s="14" t="s">
        <v>7884</v>
      </c>
      <c r="H2922" s="0" t="s">
        <v>130</v>
      </c>
      <c r="I2922" s="14" t="s">
        <v>131</v>
      </c>
      <c r="J2922" s="0" t="s">
        <v>145</v>
      </c>
      <c r="K2922" s="0" t="s">
        <v>164</v>
      </c>
      <c r="L2922" s="0" t="s">
        <v>970</v>
      </c>
      <c r="M2922" s="0" t="s">
        <v>135</v>
      </c>
      <c r="N2922" s="0" t="s">
        <v>136</v>
      </c>
      <c r="O2922" s="0" t="s">
        <v>192</v>
      </c>
      <c r="Q2922" s="0" t="s">
        <v>130</v>
      </c>
      <c r="R2922" s="0" t="s">
        <v>138</v>
      </c>
      <c r="S2922" s="14">
        <v>0</v>
      </c>
      <c r="T2922" s="0" t="s">
        <v>449</v>
      </c>
      <c r="U2922" s="0" t="s">
        <v>138</v>
      </c>
      <c r="V2922" s="14" t="s">
        <v>138</v>
      </c>
      <c r="W2922" s="0" t="s">
        <v>138</v>
      </c>
      <c r="X2922" s="14" t="s">
        <v>138</v>
      </c>
      <c r="Y2922" s="0" t="s">
        <v>138</v>
      </c>
      <c r="Z2922" s="14" t="s">
        <v>138</v>
      </c>
      <c r="AA2922" s="0" t="s">
        <v>138</v>
      </c>
      <c r="AB2922" s="14" t="s">
        <v>138</v>
      </c>
      <c r="AD2922" s="0" t="s">
        <v>138</v>
      </c>
      <c r="AF2922" s="0">
        <v>0</v>
      </c>
      <c r="AG2922" s="0">
        <v>0</v>
      </c>
      <c r="AH2922" s="0" t="s">
        <v>140</v>
      </c>
      <c r="AI2922" s="0" t="s">
        <v>138</v>
      </c>
      <c r="AL2922" s="14"/>
      <c r="AN2922" s="14"/>
      <c r="AQ2922" s="0" t="s">
        <v>130</v>
      </c>
      <c r="AR2922" s="0" t="s">
        <v>130</v>
      </c>
      <c r="AS2922" s="0" t="s">
        <v>130</v>
      </c>
      <c r="AT2922" s="0" t="s">
        <v>130</v>
      </c>
      <c r="AU2922" s="0" t="s">
        <v>130</v>
      </c>
      <c r="AV2922" s="0" t="s">
        <v>130</v>
      </c>
      <c r="AW2922" s="0" t="s">
        <v>130</v>
      </c>
      <c r="AX2922" s="0" t="s">
        <v>130</v>
      </c>
      <c r="AY2922" s="0" t="s">
        <v>130</v>
      </c>
      <c r="AZ2922" s="0" t="s">
        <v>130</v>
      </c>
      <c r="BA2922" s="0" t="s">
        <v>130</v>
      </c>
      <c r="BB2922" s="0" t="s">
        <v>130</v>
      </c>
      <c r="BC2922" s="0" t="s">
        <v>130</v>
      </c>
      <c r="BD2922" s="0" t="s">
        <v>130</v>
      </c>
      <c r="BE2922" s="0" t="s">
        <v>130</v>
      </c>
      <c r="BF2922" s="0" t="s">
        <v>130</v>
      </c>
      <c r="BG2922" s="0" t="s">
        <v>130</v>
      </c>
      <c r="BH2922" s="0" t="s">
        <v>130</v>
      </c>
      <c r="BI2922" s="0" t="s">
        <v>130</v>
      </c>
      <c r="BJ2922" s="0" t="s">
        <v>130</v>
      </c>
      <c r="BK2922" s="0" t="s">
        <v>130</v>
      </c>
      <c r="BL2922" s="0" t="s">
        <v>130</v>
      </c>
      <c r="BM2922" s="0" t="s">
        <v>130</v>
      </c>
      <c r="BN2922" s="0" t="s">
        <v>130</v>
      </c>
      <c r="BO2922" s="0" t="s">
        <v>130</v>
      </c>
      <c r="BP2922" s="0" t="s">
        <v>130</v>
      </c>
      <c r="BQ2922" s="0" t="s">
        <v>130</v>
      </c>
      <c r="BR2922" s="0" t="s">
        <v>130</v>
      </c>
      <c r="BS2922" s="0" t="s">
        <v>130</v>
      </c>
      <c r="BT2922" s="0" t="s">
        <v>130</v>
      </c>
      <c r="BU2922" s="0" t="s">
        <v>130</v>
      </c>
      <c r="BV2922" s="0" t="s">
        <v>130</v>
      </c>
      <c r="BW2922" s="0" t="s">
        <v>130</v>
      </c>
      <c r="BX2922" s="0" t="s">
        <v>130</v>
      </c>
      <c r="BY2922" s="0" t="s">
        <v>130</v>
      </c>
      <c r="BZ2922" s="0" t="s">
        <v>130</v>
      </c>
      <c r="CA2922" s="0" t="s">
        <v>130</v>
      </c>
      <c r="CB2922" s="0" t="s">
        <v>130</v>
      </c>
      <c r="CC2922" s="0" t="s">
        <v>130</v>
      </c>
      <c r="CD2922" s="0" t="s">
        <v>130</v>
      </c>
      <c r="CE2922" s="0" t="s">
        <v>130</v>
      </c>
      <c r="CF2922" s="0" t="s">
        <v>130</v>
      </c>
      <c r="CG2922" s="0" t="s">
        <v>130</v>
      </c>
      <c r="CH2922" s="0" t="s">
        <v>130</v>
      </c>
      <c r="CI2922" s="0" t="s">
        <v>130</v>
      </c>
      <c r="CJ2922" s="0" t="s">
        <v>130</v>
      </c>
      <c r="CK2922" s="0" t="s">
        <v>130</v>
      </c>
      <c r="CL2922" s="0" t="s">
        <v>130</v>
      </c>
      <c r="CM2922" s="0" t="s">
        <v>130</v>
      </c>
      <c r="CN2922" s="0" t="s">
        <v>130</v>
      </c>
      <c r="CO2922" s="0" t="s">
        <v>130</v>
      </c>
      <c r="CP2922" s="0" t="s">
        <v>130</v>
      </c>
      <c r="CQ2922" s="0" t="s">
        <v>130</v>
      </c>
      <c r="CR2922" s="0" t="s">
        <v>130</v>
      </c>
      <c r="CS2922" s="0" t="s">
        <v>130</v>
      </c>
      <c r="CT2922" s="0" t="s">
        <v>7885</v>
      </c>
    </row>
    <row r="2923">
      <c r="A2923" s="14">
        <v>101153</v>
      </c>
      <c r="B2923" s="0" t="s">
        <v>1245</v>
      </c>
      <c r="C2923" s="16">
        <f>HYPERLINK("https://eosportal.federatedhermes.com/companies/Q29tcGFueQppODA2MDM=", "PPL Corp")</f>
      </c>
      <c r="D2923" s="0" t="s">
        <v>25</v>
      </c>
      <c r="E2923" s="0" t="s">
        <v>7851</v>
      </c>
      <c r="F2923" s="16">
        <f>HYPERLINK("https://eosportal.federatedhermes.com/engagements/RW5nYWdlbWVudAppNDA2MTU=", "Plans for adoption of EPRI methodology")</f>
      </c>
      <c r="G2923" s="14" t="s">
        <v>7868</v>
      </c>
      <c r="H2923" s="0" t="s">
        <v>130</v>
      </c>
      <c r="I2923" s="14" t="s">
        <v>131</v>
      </c>
      <c r="J2923" s="0" t="s">
        <v>197</v>
      </c>
      <c r="K2923" s="0" t="s">
        <v>198</v>
      </c>
      <c r="L2923" s="0" t="s">
        <v>220</v>
      </c>
      <c r="M2923" s="0" t="s">
        <v>135</v>
      </c>
      <c r="N2923" s="0" t="s">
        <v>136</v>
      </c>
      <c r="O2923" s="0" t="s">
        <v>192</v>
      </c>
      <c r="Q2923" s="0" t="s">
        <v>141</v>
      </c>
      <c r="R2923" s="0" t="s">
        <v>138</v>
      </c>
      <c r="S2923" s="14">
        <v>1</v>
      </c>
      <c r="T2923" s="0" t="s">
        <v>449</v>
      </c>
      <c r="U2923" s="0" t="s">
        <v>138</v>
      </c>
      <c r="V2923" s="14" t="s">
        <v>138</v>
      </c>
      <c r="W2923" s="0" t="s">
        <v>138</v>
      </c>
      <c r="X2923" s="14" t="s">
        <v>138</v>
      </c>
      <c r="Y2923" s="0" t="s">
        <v>138</v>
      </c>
      <c r="Z2923" s="14" t="s">
        <v>138</v>
      </c>
      <c r="AA2923" s="0" t="s">
        <v>138</v>
      </c>
      <c r="AB2923" s="14" t="s">
        <v>138</v>
      </c>
      <c r="AD2923" s="0" t="s">
        <v>138</v>
      </c>
      <c r="AF2923" s="0">
        <v>0</v>
      </c>
      <c r="AG2923" s="0">
        <v>0</v>
      </c>
      <c r="AH2923" s="0" t="s">
        <v>140</v>
      </c>
      <c r="AI2923" s="0" t="s">
        <v>138</v>
      </c>
      <c r="AK2923" s="0" t="s">
        <v>930</v>
      </c>
      <c r="AL2923" s="14"/>
      <c r="AN2923" s="14"/>
      <c r="AQ2923" s="0" t="s">
        <v>130</v>
      </c>
      <c r="AR2923" s="0" t="s">
        <v>130</v>
      </c>
      <c r="AS2923" s="0" t="s">
        <v>130</v>
      </c>
      <c r="AT2923" s="0" t="s">
        <v>130</v>
      </c>
      <c r="AU2923" s="0" t="s">
        <v>130</v>
      </c>
      <c r="AV2923" s="0" t="s">
        <v>130</v>
      </c>
      <c r="AW2923" s="0" t="s">
        <v>141</v>
      </c>
      <c r="AX2923" s="0" t="s">
        <v>130</v>
      </c>
      <c r="AY2923" s="0" t="s">
        <v>141</v>
      </c>
      <c r="AZ2923" s="0" t="s">
        <v>130</v>
      </c>
      <c r="BA2923" s="0" t="s">
        <v>130</v>
      </c>
      <c r="BB2923" s="0" t="s">
        <v>130</v>
      </c>
      <c r="BC2923" s="0" t="s">
        <v>141</v>
      </c>
      <c r="BD2923" s="0" t="s">
        <v>130</v>
      </c>
      <c r="BE2923" s="0" t="s">
        <v>130</v>
      </c>
      <c r="BF2923" s="0" t="s">
        <v>130</v>
      </c>
      <c r="BG2923" s="0" t="s">
        <v>130</v>
      </c>
      <c r="BH2923" s="0" t="s">
        <v>130</v>
      </c>
      <c r="BI2923" s="0" t="s">
        <v>130</v>
      </c>
      <c r="BJ2923" s="0" t="s">
        <v>130</v>
      </c>
      <c r="BK2923" s="0" t="s">
        <v>130</v>
      </c>
      <c r="BL2923" s="0" t="s">
        <v>130</v>
      </c>
      <c r="BM2923" s="0" t="s">
        <v>130</v>
      </c>
      <c r="BN2923" s="0" t="s">
        <v>130</v>
      </c>
      <c r="BO2923" s="0" t="s">
        <v>130</v>
      </c>
      <c r="BP2923" s="0" t="s">
        <v>130</v>
      </c>
      <c r="BQ2923" s="0" t="s">
        <v>130</v>
      </c>
      <c r="BR2923" s="0" t="s">
        <v>130</v>
      </c>
      <c r="BS2923" s="0" t="s">
        <v>130</v>
      </c>
      <c r="BT2923" s="0" t="s">
        <v>130</v>
      </c>
      <c r="BU2923" s="0" t="s">
        <v>130</v>
      </c>
      <c r="BV2923" s="0" t="s">
        <v>130</v>
      </c>
      <c r="BW2923" s="0" t="s">
        <v>130</v>
      </c>
      <c r="BX2923" s="0" t="s">
        <v>130</v>
      </c>
      <c r="BY2923" s="0" t="s">
        <v>130</v>
      </c>
      <c r="BZ2923" s="0" t="s">
        <v>130</v>
      </c>
      <c r="CA2923" s="0" t="s">
        <v>130</v>
      </c>
      <c r="CB2923" s="0" t="s">
        <v>130</v>
      </c>
      <c r="CC2923" s="0" t="s">
        <v>130</v>
      </c>
      <c r="CD2923" s="0" t="s">
        <v>130</v>
      </c>
      <c r="CE2923" s="0" t="s">
        <v>130</v>
      </c>
      <c r="CF2923" s="0" t="s">
        <v>130</v>
      </c>
      <c r="CG2923" s="0" t="s">
        <v>130</v>
      </c>
      <c r="CH2923" s="0" t="s">
        <v>130</v>
      </c>
      <c r="CI2923" s="0" t="s">
        <v>130</v>
      </c>
      <c r="CJ2923" s="0" t="s">
        <v>130</v>
      </c>
      <c r="CK2923" s="0" t="s">
        <v>130</v>
      </c>
      <c r="CL2923" s="0" t="s">
        <v>130</v>
      </c>
      <c r="CM2923" s="0" t="s">
        <v>130</v>
      </c>
      <c r="CN2923" s="0" t="s">
        <v>130</v>
      </c>
      <c r="CO2923" s="0" t="s">
        <v>130</v>
      </c>
      <c r="CP2923" s="0" t="s">
        <v>130</v>
      </c>
      <c r="CQ2923" s="0" t="s">
        <v>130</v>
      </c>
      <c r="CR2923" s="0" t="s">
        <v>130</v>
      </c>
      <c r="CS2923" s="0" t="s">
        <v>130</v>
      </c>
      <c r="CT2923" s="0" t="s">
        <v>7886</v>
      </c>
    </row>
    <row r="2924">
      <c r="A2924" s="14">
        <v>100546</v>
      </c>
      <c r="B2924" s="0" t="s">
        <v>776</v>
      </c>
      <c r="C2924" s="16">
        <f>HYPERLINK("https://eosportal.federatedhermes.com/companies/Q29tcGFueQppNzU3MjY=", "Exxon Mobil Corp")</f>
      </c>
      <c r="D2924" s="0" t="s">
        <v>25</v>
      </c>
      <c r="E2924" s="0" t="s">
        <v>7887</v>
      </c>
      <c r="F2924" s="16">
        <f>HYPERLINK("https://eosportal.federatedhermes.com/engagements/RW5nYWdlbWVudAppNDA2NzM=", "Carbon intensity standards")</f>
      </c>
      <c r="G2924" s="14" t="s">
        <v>7888</v>
      </c>
      <c r="H2924" s="0" t="s">
        <v>141</v>
      </c>
      <c r="I2924" s="14" t="s">
        <v>191</v>
      </c>
      <c r="J2924" s="0" t="s">
        <v>197</v>
      </c>
      <c r="K2924" s="0" t="s">
        <v>198</v>
      </c>
      <c r="L2924" s="0" t="s">
        <v>199</v>
      </c>
      <c r="M2924" s="0" t="s">
        <v>135</v>
      </c>
      <c r="N2924" s="0" t="s">
        <v>136</v>
      </c>
      <c r="O2924" s="0" t="s">
        <v>542</v>
      </c>
      <c r="Q2924" s="0" t="s">
        <v>130</v>
      </c>
      <c r="R2924" s="0" t="s">
        <v>138</v>
      </c>
      <c r="S2924" s="14">
        <v>0</v>
      </c>
      <c r="T2924" s="0" t="s">
        <v>449</v>
      </c>
      <c r="U2924" s="0" t="s">
        <v>138</v>
      </c>
      <c r="V2924" s="14" t="s">
        <v>138</v>
      </c>
      <c r="W2924" s="0" t="s">
        <v>138</v>
      </c>
      <c r="X2924" s="14" t="s">
        <v>138</v>
      </c>
      <c r="Y2924" s="0" t="s">
        <v>138</v>
      </c>
      <c r="Z2924" s="14" t="s">
        <v>138</v>
      </c>
      <c r="AA2924" s="0" t="s">
        <v>138</v>
      </c>
      <c r="AB2924" s="14" t="s">
        <v>138</v>
      </c>
      <c r="AD2924" s="0" t="s">
        <v>138</v>
      </c>
      <c r="AF2924" s="0">
        <v>0</v>
      </c>
      <c r="AG2924" s="0">
        <v>0</v>
      </c>
      <c r="AH2924" s="0" t="s">
        <v>140</v>
      </c>
      <c r="AI2924" s="0" t="s">
        <v>138</v>
      </c>
      <c r="AL2924" s="14"/>
      <c r="AN2924" s="14"/>
      <c r="AQ2924" s="0" t="s">
        <v>130</v>
      </c>
      <c r="AR2924" s="0" t="s">
        <v>130</v>
      </c>
      <c r="AS2924" s="0" t="s">
        <v>130</v>
      </c>
      <c r="AT2924" s="0" t="s">
        <v>130</v>
      </c>
      <c r="AU2924" s="0" t="s">
        <v>130</v>
      </c>
      <c r="AV2924" s="0" t="s">
        <v>130</v>
      </c>
      <c r="AW2924" s="0" t="s">
        <v>130</v>
      </c>
      <c r="AX2924" s="0" t="s">
        <v>130</v>
      </c>
      <c r="AY2924" s="0" t="s">
        <v>130</v>
      </c>
      <c r="AZ2924" s="0" t="s">
        <v>130</v>
      </c>
      <c r="BA2924" s="0" t="s">
        <v>130</v>
      </c>
      <c r="BB2924" s="0" t="s">
        <v>141</v>
      </c>
      <c r="BC2924" s="0" t="s">
        <v>141</v>
      </c>
      <c r="BD2924" s="0" t="s">
        <v>130</v>
      </c>
      <c r="BE2924" s="0" t="s">
        <v>130</v>
      </c>
      <c r="BF2924" s="0" t="s">
        <v>130</v>
      </c>
      <c r="BG2924" s="0" t="s">
        <v>130</v>
      </c>
      <c r="BH2924" s="0" t="s">
        <v>141</v>
      </c>
      <c r="BI2924" s="0" t="s">
        <v>141</v>
      </c>
      <c r="BJ2924" s="0" t="s">
        <v>141</v>
      </c>
      <c r="BK2924" s="0" t="s">
        <v>130</v>
      </c>
      <c r="BL2924" s="0" t="s">
        <v>141</v>
      </c>
      <c r="BM2924" s="0" t="s">
        <v>130</v>
      </c>
      <c r="BN2924" s="0" t="s">
        <v>130</v>
      </c>
      <c r="BO2924" s="0" t="s">
        <v>130</v>
      </c>
      <c r="BP2924" s="0" t="s">
        <v>130</v>
      </c>
      <c r="BQ2924" s="0" t="s">
        <v>130</v>
      </c>
      <c r="BR2924" s="0" t="s">
        <v>130</v>
      </c>
      <c r="BS2924" s="0" t="s">
        <v>130</v>
      </c>
      <c r="BT2924" s="0" t="s">
        <v>130</v>
      </c>
      <c r="BU2924" s="0" t="s">
        <v>130</v>
      </c>
      <c r="BV2924" s="0" t="s">
        <v>141</v>
      </c>
      <c r="BW2924" s="0" t="s">
        <v>141</v>
      </c>
      <c r="BX2924" s="0" t="s">
        <v>130</v>
      </c>
      <c r="BY2924" s="0" t="s">
        <v>130</v>
      </c>
      <c r="BZ2924" s="0" t="s">
        <v>130</v>
      </c>
      <c r="CA2924" s="0" t="s">
        <v>130</v>
      </c>
      <c r="CB2924" s="0" t="s">
        <v>130</v>
      </c>
      <c r="CC2924" s="0" t="s">
        <v>130</v>
      </c>
      <c r="CD2924" s="0" t="s">
        <v>130</v>
      </c>
      <c r="CE2924" s="0" t="s">
        <v>130</v>
      </c>
      <c r="CF2924" s="0" t="s">
        <v>130</v>
      </c>
      <c r="CG2924" s="0" t="s">
        <v>130</v>
      </c>
      <c r="CH2924" s="0" t="s">
        <v>130</v>
      </c>
      <c r="CI2924" s="0" t="s">
        <v>130</v>
      </c>
      <c r="CJ2924" s="0" t="s">
        <v>130</v>
      </c>
      <c r="CK2924" s="0" t="s">
        <v>130</v>
      </c>
      <c r="CL2924" s="0" t="s">
        <v>130</v>
      </c>
      <c r="CM2924" s="0" t="s">
        <v>130</v>
      </c>
      <c r="CN2924" s="0" t="s">
        <v>130</v>
      </c>
      <c r="CO2924" s="0" t="s">
        <v>130</v>
      </c>
      <c r="CP2924" s="0" t="s">
        <v>130</v>
      </c>
      <c r="CQ2924" s="0" t="s">
        <v>130</v>
      </c>
      <c r="CR2924" s="0" t="s">
        <v>130</v>
      </c>
      <c r="CS2924" s="0" t="s">
        <v>130</v>
      </c>
      <c r="CT2924" s="0" t="s">
        <v>7889</v>
      </c>
    </row>
    <row r="2925">
      <c r="A2925" s="14">
        <v>101215</v>
      </c>
      <c r="B2925" s="0" t="s">
        <v>1464</v>
      </c>
      <c r="C2925" s="16">
        <f>HYPERLINK("https://eosportal.federatedhermes.com/companies/Q29tcGFueQppNTIxNzY=", "Procter &amp; Gamble Co/The")</f>
      </c>
      <c r="D2925" s="0" t="s">
        <v>25</v>
      </c>
      <c r="E2925" s="0" t="s">
        <v>441</v>
      </c>
      <c r="F2925" s="16">
        <f>HYPERLINK("https://eosportal.federatedhermes.com/engagements/RW5nYWdlbWVudAppNDA2ODg=", "Auditor tenure")</f>
      </c>
      <c r="G2925" s="14" t="s">
        <v>7890</v>
      </c>
      <c r="H2925" s="0" t="s">
        <v>141</v>
      </c>
      <c r="I2925" s="14" t="s">
        <v>191</v>
      </c>
      <c r="J2925" s="0" t="s">
        <v>132</v>
      </c>
      <c r="K2925" s="0" t="s">
        <v>170</v>
      </c>
      <c r="L2925" s="0" t="s">
        <v>310</v>
      </c>
      <c r="M2925" s="0" t="s">
        <v>135</v>
      </c>
      <c r="N2925" s="0" t="s">
        <v>136</v>
      </c>
      <c r="O2925" s="0" t="s">
        <v>332</v>
      </c>
      <c r="Q2925" s="0" t="s">
        <v>141</v>
      </c>
      <c r="R2925" s="0" t="s">
        <v>138</v>
      </c>
      <c r="S2925" s="14">
        <v>1</v>
      </c>
      <c r="T2925" s="0" t="s">
        <v>449</v>
      </c>
      <c r="U2925" s="0" t="s">
        <v>138</v>
      </c>
      <c r="V2925" s="14" t="s">
        <v>138</v>
      </c>
      <c r="W2925" s="0" t="s">
        <v>138</v>
      </c>
      <c r="X2925" s="14" t="s">
        <v>138</v>
      </c>
      <c r="Y2925" s="0" t="s">
        <v>138</v>
      </c>
      <c r="Z2925" s="14" t="s">
        <v>138</v>
      </c>
      <c r="AA2925" s="0" t="s">
        <v>138</v>
      </c>
      <c r="AB2925" s="14" t="s">
        <v>138</v>
      </c>
      <c r="AD2925" s="0" t="s">
        <v>138</v>
      </c>
      <c r="AF2925" s="0">
        <v>0</v>
      </c>
      <c r="AG2925" s="0">
        <v>0</v>
      </c>
      <c r="AH2925" s="0" t="s">
        <v>140</v>
      </c>
      <c r="AI2925" s="0" t="s">
        <v>138</v>
      </c>
      <c r="AK2925" s="0" t="s">
        <v>2019</v>
      </c>
      <c r="AL2925" s="14"/>
      <c r="AN2925" s="14"/>
      <c r="AQ2925" s="0" t="s">
        <v>130</v>
      </c>
      <c r="AR2925" s="0" t="s">
        <v>130</v>
      </c>
      <c r="AS2925" s="0" t="s">
        <v>130</v>
      </c>
      <c r="AT2925" s="0" t="s">
        <v>130</v>
      </c>
      <c r="AU2925" s="0" t="s">
        <v>130</v>
      </c>
      <c r="AV2925" s="0" t="s">
        <v>130</v>
      </c>
      <c r="AW2925" s="0" t="s">
        <v>130</v>
      </c>
      <c r="AX2925" s="0" t="s">
        <v>130</v>
      </c>
      <c r="AY2925" s="0" t="s">
        <v>130</v>
      </c>
      <c r="AZ2925" s="0" t="s">
        <v>130</v>
      </c>
      <c r="BA2925" s="0" t="s">
        <v>130</v>
      </c>
      <c r="BB2925" s="0" t="s">
        <v>130</v>
      </c>
      <c r="BC2925" s="0" t="s">
        <v>130</v>
      </c>
      <c r="BD2925" s="0" t="s">
        <v>130</v>
      </c>
      <c r="BE2925" s="0" t="s">
        <v>130</v>
      </c>
      <c r="BF2925" s="0" t="s">
        <v>130</v>
      </c>
      <c r="BG2925" s="0" t="s">
        <v>130</v>
      </c>
      <c r="BH2925" s="0" t="s">
        <v>130</v>
      </c>
      <c r="BI2925" s="0" t="s">
        <v>130</v>
      </c>
      <c r="BJ2925" s="0" t="s">
        <v>130</v>
      </c>
      <c r="BK2925" s="0" t="s">
        <v>130</v>
      </c>
      <c r="BL2925" s="0" t="s">
        <v>130</v>
      </c>
      <c r="BM2925" s="0" t="s">
        <v>130</v>
      </c>
      <c r="BN2925" s="0" t="s">
        <v>130</v>
      </c>
      <c r="BO2925" s="0" t="s">
        <v>130</v>
      </c>
      <c r="BP2925" s="0" t="s">
        <v>130</v>
      </c>
      <c r="BQ2925" s="0" t="s">
        <v>130</v>
      </c>
      <c r="BR2925" s="0" t="s">
        <v>130</v>
      </c>
      <c r="BS2925" s="0" t="s">
        <v>130</v>
      </c>
      <c r="BT2925" s="0" t="s">
        <v>130</v>
      </c>
      <c r="BU2925" s="0" t="s">
        <v>130</v>
      </c>
      <c r="BV2925" s="0" t="s">
        <v>130</v>
      </c>
      <c r="BW2925" s="0" t="s">
        <v>130</v>
      </c>
      <c r="BX2925" s="0" t="s">
        <v>130</v>
      </c>
      <c r="BY2925" s="0" t="s">
        <v>130</v>
      </c>
      <c r="BZ2925" s="0" t="s">
        <v>130</v>
      </c>
      <c r="CA2925" s="0" t="s">
        <v>130</v>
      </c>
      <c r="CB2925" s="0" t="s">
        <v>130</v>
      </c>
      <c r="CC2925" s="0" t="s">
        <v>130</v>
      </c>
      <c r="CD2925" s="0" t="s">
        <v>130</v>
      </c>
      <c r="CE2925" s="0" t="s">
        <v>130</v>
      </c>
      <c r="CF2925" s="0" t="s">
        <v>130</v>
      </c>
      <c r="CG2925" s="0" t="s">
        <v>130</v>
      </c>
      <c r="CH2925" s="0" t="s">
        <v>130</v>
      </c>
      <c r="CI2925" s="0" t="s">
        <v>130</v>
      </c>
      <c r="CJ2925" s="0" t="s">
        <v>130</v>
      </c>
      <c r="CK2925" s="0" t="s">
        <v>130</v>
      </c>
      <c r="CL2925" s="0" t="s">
        <v>130</v>
      </c>
      <c r="CM2925" s="0" t="s">
        <v>130</v>
      </c>
      <c r="CN2925" s="0" t="s">
        <v>130</v>
      </c>
      <c r="CO2925" s="0" t="s">
        <v>130</v>
      </c>
      <c r="CP2925" s="0" t="s">
        <v>130</v>
      </c>
      <c r="CQ2925" s="0" t="s">
        <v>130</v>
      </c>
      <c r="CR2925" s="0" t="s">
        <v>130</v>
      </c>
      <c r="CS2925" s="0" t="s">
        <v>130</v>
      </c>
      <c r="CT2925" s="0" t="s">
        <v>7891</v>
      </c>
    </row>
    <row r="2926">
      <c r="A2926" s="14">
        <v>101650</v>
      </c>
      <c r="B2926" s="0" t="s">
        <v>1765</v>
      </c>
      <c r="C2926" s="16">
        <f>HYPERLINK("https://eosportal.federatedhermes.com/companies/Q29tcGFueQppNzU3MDM=", "Westpac Banking Corp")</f>
      </c>
      <c r="D2926" s="0" t="s">
        <v>23</v>
      </c>
      <c r="E2926" s="0" t="s">
        <v>7594</v>
      </c>
      <c r="F2926" s="16">
        <f>HYPERLINK("https://eosportal.federatedhermes.com/engagements/RW5nYWdlbWVudAppNDA2OTE=", "Forward-looking assumptions in financial statements")</f>
      </c>
      <c r="G2926" s="14" t="s">
        <v>7892</v>
      </c>
      <c r="H2926" s="0" t="s">
        <v>141</v>
      </c>
      <c r="I2926" s="14" t="s">
        <v>191</v>
      </c>
      <c r="J2926" s="0" t="s">
        <v>197</v>
      </c>
      <c r="K2926" s="0" t="s">
        <v>198</v>
      </c>
      <c r="L2926" s="0" t="s">
        <v>199</v>
      </c>
      <c r="M2926" s="0" t="s">
        <v>371</v>
      </c>
      <c r="N2926" s="0" t="s">
        <v>372</v>
      </c>
      <c r="O2926" s="0" t="s">
        <v>238</v>
      </c>
      <c r="Q2926" s="0" t="s">
        <v>141</v>
      </c>
      <c r="R2926" s="0" t="s">
        <v>130</v>
      </c>
      <c r="S2926" s="14">
        <v>1</v>
      </c>
      <c r="T2926" s="0" t="s">
        <v>449</v>
      </c>
      <c r="U2926" s="0" t="s">
        <v>221</v>
      </c>
      <c r="V2926" s="14" t="s">
        <v>449</v>
      </c>
      <c r="W2926" s="0" t="s">
        <v>223</v>
      </c>
      <c r="X2926" s="14" t="s">
        <v>138</v>
      </c>
      <c r="Y2926" s="0" t="s">
        <v>224</v>
      </c>
      <c r="Z2926" s="14" t="s">
        <v>138</v>
      </c>
      <c r="AA2926" s="0" t="s">
        <v>224</v>
      </c>
      <c r="AB2926" s="14" t="s">
        <v>138</v>
      </c>
      <c r="AD2926" s="0" t="s">
        <v>14</v>
      </c>
      <c r="AF2926" s="0">
        <v>0</v>
      </c>
      <c r="AG2926" s="0">
        <v>0</v>
      </c>
      <c r="AH2926" s="0" t="s">
        <v>140</v>
      </c>
      <c r="AI2926" s="0" t="s">
        <v>598</v>
      </c>
      <c r="AK2926" s="0" t="s">
        <v>1151</v>
      </c>
      <c r="AL2926" s="14"/>
      <c r="AN2926" s="14"/>
      <c r="AQ2926" s="0" t="s">
        <v>130</v>
      </c>
      <c r="AR2926" s="0" t="s">
        <v>130</v>
      </c>
      <c r="AS2926" s="0" t="s">
        <v>130</v>
      </c>
      <c r="AT2926" s="0" t="s">
        <v>130</v>
      </c>
      <c r="AU2926" s="0" t="s">
        <v>130</v>
      </c>
      <c r="AV2926" s="0" t="s">
        <v>130</v>
      </c>
      <c r="AW2926" s="0" t="s">
        <v>130</v>
      </c>
      <c r="AX2926" s="0" t="s">
        <v>130</v>
      </c>
      <c r="AY2926" s="0" t="s">
        <v>130</v>
      </c>
      <c r="AZ2926" s="0" t="s">
        <v>130</v>
      </c>
      <c r="BA2926" s="0" t="s">
        <v>130</v>
      </c>
      <c r="BB2926" s="0" t="s">
        <v>141</v>
      </c>
      <c r="BC2926" s="0" t="s">
        <v>141</v>
      </c>
      <c r="BD2926" s="0" t="s">
        <v>130</v>
      </c>
      <c r="BE2926" s="0" t="s">
        <v>130</v>
      </c>
      <c r="BF2926" s="0" t="s">
        <v>130</v>
      </c>
      <c r="BG2926" s="0" t="s">
        <v>130</v>
      </c>
      <c r="BH2926" s="0" t="s">
        <v>130</v>
      </c>
      <c r="BI2926" s="0" t="s">
        <v>130</v>
      </c>
      <c r="BJ2926" s="0" t="s">
        <v>130</v>
      </c>
      <c r="BK2926" s="0" t="s">
        <v>130</v>
      </c>
      <c r="BL2926" s="0" t="s">
        <v>130</v>
      </c>
      <c r="BM2926" s="0" t="s">
        <v>130</v>
      </c>
      <c r="BN2926" s="0" t="s">
        <v>130</v>
      </c>
      <c r="BO2926" s="0" t="s">
        <v>130</v>
      </c>
      <c r="BP2926" s="0" t="s">
        <v>130</v>
      </c>
      <c r="BQ2926" s="0" t="s">
        <v>130</v>
      </c>
      <c r="BR2926" s="0" t="s">
        <v>130</v>
      </c>
      <c r="BS2926" s="0" t="s">
        <v>130</v>
      </c>
      <c r="BT2926" s="0" t="s">
        <v>130</v>
      </c>
      <c r="BU2926" s="0" t="s">
        <v>130</v>
      </c>
      <c r="BV2926" s="0" t="s">
        <v>130</v>
      </c>
      <c r="BW2926" s="0" t="s">
        <v>130</v>
      </c>
      <c r="BX2926" s="0" t="s">
        <v>130</v>
      </c>
      <c r="BY2926" s="0" t="s">
        <v>130</v>
      </c>
      <c r="BZ2926" s="0" t="s">
        <v>130</v>
      </c>
      <c r="CA2926" s="0" t="s">
        <v>130</v>
      </c>
      <c r="CB2926" s="0" t="s">
        <v>130</v>
      </c>
      <c r="CC2926" s="0" t="s">
        <v>130</v>
      </c>
      <c r="CD2926" s="0" t="s">
        <v>130</v>
      </c>
      <c r="CE2926" s="0" t="s">
        <v>130</v>
      </c>
      <c r="CF2926" s="0" t="s">
        <v>130</v>
      </c>
      <c r="CG2926" s="0" t="s">
        <v>130</v>
      </c>
      <c r="CH2926" s="0" t="s">
        <v>130</v>
      </c>
      <c r="CI2926" s="0" t="s">
        <v>130</v>
      </c>
      <c r="CJ2926" s="0" t="s">
        <v>130</v>
      </c>
      <c r="CK2926" s="0" t="s">
        <v>130</v>
      </c>
      <c r="CL2926" s="0" t="s">
        <v>130</v>
      </c>
      <c r="CM2926" s="0" t="s">
        <v>130</v>
      </c>
      <c r="CN2926" s="0" t="s">
        <v>130</v>
      </c>
      <c r="CO2926" s="0" t="s">
        <v>130</v>
      </c>
      <c r="CP2926" s="0" t="s">
        <v>130</v>
      </c>
      <c r="CQ2926" s="0" t="s">
        <v>130</v>
      </c>
      <c r="CR2926" s="0" t="s">
        <v>130</v>
      </c>
      <c r="CS2926" s="0" t="s">
        <v>130</v>
      </c>
      <c r="CT2926" s="0" t="s">
        <v>7893</v>
      </c>
    </row>
    <row r="2927">
      <c r="A2927" s="14">
        <v>100864</v>
      </c>
      <c r="B2927" s="0" t="s">
        <v>1103</v>
      </c>
      <c r="C2927" s="16">
        <f>HYPERLINK("https://eosportal.federatedhermes.com/companies/Q29tcGFueQppODI1MDM=", "Kroger Co/The")</f>
      </c>
      <c r="D2927" s="0" t="s">
        <v>23</v>
      </c>
      <c r="E2927" s="0" t="s">
        <v>4356</v>
      </c>
      <c r="F2927" s="16">
        <f>HYPERLINK("https://eosportal.federatedhermes.com/engagements/RW5nYWdlbWVudAppNDA3MDk=", "Human rights disclosure")</f>
      </c>
      <c r="G2927" s="14" t="s">
        <v>7894</v>
      </c>
      <c r="H2927" s="0" t="s">
        <v>130</v>
      </c>
      <c r="I2927" s="14" t="s">
        <v>131</v>
      </c>
      <c r="J2927" s="0" t="s">
        <v>153</v>
      </c>
      <c r="K2927" s="0" t="s">
        <v>243</v>
      </c>
      <c r="L2927" s="0" t="s">
        <v>244</v>
      </c>
      <c r="M2927" s="0" t="s">
        <v>135</v>
      </c>
      <c r="N2927" s="0" t="s">
        <v>136</v>
      </c>
      <c r="O2927" s="0" t="s">
        <v>643</v>
      </c>
      <c r="Q2927" s="0" t="s">
        <v>130</v>
      </c>
      <c r="R2927" s="0" t="s">
        <v>130</v>
      </c>
      <c r="S2927" s="14">
        <v>0</v>
      </c>
      <c r="T2927" s="0" t="s">
        <v>449</v>
      </c>
      <c r="U2927" s="0" t="s">
        <v>221</v>
      </c>
      <c r="V2927" s="14" t="s">
        <v>449</v>
      </c>
      <c r="W2927" s="0" t="s">
        <v>223</v>
      </c>
      <c r="X2927" s="14" t="s">
        <v>138</v>
      </c>
      <c r="Y2927" s="0" t="s">
        <v>224</v>
      </c>
      <c r="Z2927" s="14" t="s">
        <v>138</v>
      </c>
      <c r="AA2927" s="0" t="s">
        <v>224</v>
      </c>
      <c r="AB2927" s="14" t="s">
        <v>138</v>
      </c>
      <c r="AD2927" s="0" t="s">
        <v>14</v>
      </c>
      <c r="AF2927" s="0">
        <v>0</v>
      </c>
      <c r="AG2927" s="0">
        <v>0</v>
      </c>
      <c r="AH2927" s="0" t="s">
        <v>140</v>
      </c>
      <c r="AI2927" s="0" t="s">
        <v>598</v>
      </c>
      <c r="AL2927" s="14"/>
      <c r="AN2927" s="14"/>
      <c r="AQ2927" s="0" t="s">
        <v>130</v>
      </c>
      <c r="AR2927" s="0" t="s">
        <v>130</v>
      </c>
      <c r="AS2927" s="0" t="s">
        <v>130</v>
      </c>
      <c r="AT2927" s="0" t="s">
        <v>130</v>
      </c>
      <c r="AU2927" s="0" t="s">
        <v>130</v>
      </c>
      <c r="AV2927" s="0" t="s">
        <v>130</v>
      </c>
      <c r="AW2927" s="0" t="s">
        <v>130</v>
      </c>
      <c r="AX2927" s="0" t="s">
        <v>141</v>
      </c>
      <c r="AY2927" s="0" t="s">
        <v>130</v>
      </c>
      <c r="AZ2927" s="0" t="s">
        <v>130</v>
      </c>
      <c r="BA2927" s="0" t="s">
        <v>130</v>
      </c>
      <c r="BB2927" s="0" t="s">
        <v>130</v>
      </c>
      <c r="BC2927" s="0" t="s">
        <v>130</v>
      </c>
      <c r="BD2927" s="0" t="s">
        <v>130</v>
      </c>
      <c r="BE2927" s="0" t="s">
        <v>130</v>
      </c>
      <c r="BF2927" s="0" t="s">
        <v>130</v>
      </c>
      <c r="BG2927" s="0" t="s">
        <v>130</v>
      </c>
      <c r="BH2927" s="0" t="s">
        <v>130</v>
      </c>
      <c r="BI2927" s="0" t="s">
        <v>130</v>
      </c>
      <c r="BJ2927" s="0" t="s">
        <v>130</v>
      </c>
      <c r="BK2927" s="0" t="s">
        <v>130</v>
      </c>
      <c r="BL2927" s="0" t="s">
        <v>130</v>
      </c>
      <c r="BM2927" s="0" t="s">
        <v>130</v>
      </c>
      <c r="BN2927" s="0" t="s">
        <v>130</v>
      </c>
      <c r="BO2927" s="0" t="s">
        <v>130</v>
      </c>
      <c r="BP2927" s="0" t="s">
        <v>130</v>
      </c>
      <c r="BQ2927" s="0" t="s">
        <v>130</v>
      </c>
      <c r="BR2927" s="0" t="s">
        <v>130</v>
      </c>
      <c r="BS2927" s="0" t="s">
        <v>130</v>
      </c>
      <c r="BT2927" s="0" t="s">
        <v>130</v>
      </c>
      <c r="BU2927" s="0" t="s">
        <v>130</v>
      </c>
      <c r="BV2927" s="0" t="s">
        <v>130</v>
      </c>
      <c r="BW2927" s="0" t="s">
        <v>130</v>
      </c>
      <c r="BX2927" s="0" t="s">
        <v>130</v>
      </c>
      <c r="BY2927" s="0" t="s">
        <v>130</v>
      </c>
      <c r="BZ2927" s="0" t="s">
        <v>130</v>
      </c>
      <c r="CA2927" s="0" t="s">
        <v>130</v>
      </c>
      <c r="CB2927" s="0" t="s">
        <v>130</v>
      </c>
      <c r="CC2927" s="0" t="s">
        <v>130</v>
      </c>
      <c r="CD2927" s="0" t="s">
        <v>130</v>
      </c>
      <c r="CE2927" s="0" t="s">
        <v>130</v>
      </c>
      <c r="CF2927" s="0" t="s">
        <v>130</v>
      </c>
      <c r="CG2927" s="0" t="s">
        <v>130</v>
      </c>
      <c r="CH2927" s="0" t="s">
        <v>130</v>
      </c>
      <c r="CI2927" s="0" t="s">
        <v>130</v>
      </c>
      <c r="CJ2927" s="0" t="s">
        <v>130</v>
      </c>
      <c r="CK2927" s="0" t="s">
        <v>130</v>
      </c>
      <c r="CL2927" s="0" t="s">
        <v>130</v>
      </c>
      <c r="CM2927" s="0" t="s">
        <v>130</v>
      </c>
      <c r="CN2927" s="0" t="s">
        <v>130</v>
      </c>
      <c r="CO2927" s="0" t="s">
        <v>130</v>
      </c>
      <c r="CP2927" s="0" t="s">
        <v>130</v>
      </c>
      <c r="CQ2927" s="0" t="s">
        <v>130</v>
      </c>
      <c r="CR2927" s="0" t="s">
        <v>130</v>
      </c>
      <c r="CS2927" s="0" t="s">
        <v>130</v>
      </c>
      <c r="CT2927" s="0" t="s">
        <v>7895</v>
      </c>
    </row>
    <row r="2928">
      <c r="A2928" s="14">
        <v>100546</v>
      </c>
      <c r="B2928" s="0" t="s">
        <v>776</v>
      </c>
      <c r="C2928" s="16">
        <f>HYPERLINK("https://eosportal.federatedhermes.com/companies/Q29tcGFueQppNzU3MjY=", "Exxon Mobil Corp")</f>
      </c>
      <c r="D2928" s="0" t="s">
        <v>25</v>
      </c>
      <c r="E2928" s="0" t="s">
        <v>7896</v>
      </c>
      <c r="F2928" s="16">
        <f>HYPERLINK("https://eosportal.federatedhermes.com/engagements/RW5nYWdlbWVudAppNDA3MjY=", "US retail investor default voting")</f>
      </c>
      <c r="G2928" s="14" t="s">
        <v>7897</v>
      </c>
      <c r="H2928" s="0" t="s">
        <v>141</v>
      </c>
      <c r="I2928" s="14" t="s">
        <v>191</v>
      </c>
      <c r="J2928" s="0" t="s">
        <v>145</v>
      </c>
      <c r="K2928" s="0" t="s">
        <v>400</v>
      </c>
      <c r="L2928" s="0" t="s">
        <v>507</v>
      </c>
      <c r="M2928" s="0" t="s">
        <v>135</v>
      </c>
      <c r="N2928" s="0" t="s">
        <v>136</v>
      </c>
      <c r="O2928" s="0" t="s">
        <v>542</v>
      </c>
      <c r="Q2928" s="0" t="s">
        <v>141</v>
      </c>
      <c r="R2928" s="0" t="s">
        <v>138</v>
      </c>
      <c r="S2928" s="14">
        <v>1</v>
      </c>
      <c r="T2928" s="0" t="s">
        <v>361</v>
      </c>
      <c r="U2928" s="0" t="s">
        <v>138</v>
      </c>
      <c r="V2928" s="14" t="s">
        <v>138</v>
      </c>
      <c r="W2928" s="0" t="s">
        <v>138</v>
      </c>
      <c r="X2928" s="14" t="s">
        <v>138</v>
      </c>
      <c r="Y2928" s="0" t="s">
        <v>138</v>
      </c>
      <c r="Z2928" s="14" t="s">
        <v>138</v>
      </c>
      <c r="AA2928" s="0" t="s">
        <v>138</v>
      </c>
      <c r="AB2928" s="14" t="s">
        <v>138</v>
      </c>
      <c r="AD2928" s="0" t="s">
        <v>138</v>
      </c>
      <c r="AF2928" s="0">
        <v>0</v>
      </c>
      <c r="AG2928" s="0">
        <v>0</v>
      </c>
      <c r="AH2928" s="0" t="s">
        <v>140</v>
      </c>
      <c r="AI2928" s="0" t="s">
        <v>138</v>
      </c>
      <c r="AK2928" s="0" t="s">
        <v>3789</v>
      </c>
      <c r="AL2928" s="14"/>
      <c r="AN2928" s="14"/>
      <c r="AQ2928" s="0" t="s">
        <v>130</v>
      </c>
      <c r="AR2928" s="0" t="s">
        <v>130</v>
      </c>
      <c r="AS2928" s="0" t="s">
        <v>130</v>
      </c>
      <c r="AT2928" s="0" t="s">
        <v>130</v>
      </c>
      <c r="AU2928" s="0" t="s">
        <v>130</v>
      </c>
      <c r="AV2928" s="0" t="s">
        <v>130</v>
      </c>
      <c r="AW2928" s="0" t="s">
        <v>130</v>
      </c>
      <c r="AX2928" s="0" t="s">
        <v>130</v>
      </c>
      <c r="AY2928" s="0" t="s">
        <v>130</v>
      </c>
      <c r="AZ2928" s="0" t="s">
        <v>130</v>
      </c>
      <c r="BA2928" s="0" t="s">
        <v>130</v>
      </c>
      <c r="BB2928" s="0" t="s">
        <v>130</v>
      </c>
      <c r="BC2928" s="0" t="s">
        <v>130</v>
      </c>
      <c r="BD2928" s="0" t="s">
        <v>130</v>
      </c>
      <c r="BE2928" s="0" t="s">
        <v>130</v>
      </c>
      <c r="BF2928" s="0" t="s">
        <v>130</v>
      </c>
      <c r="BG2928" s="0" t="s">
        <v>130</v>
      </c>
      <c r="BH2928" s="0" t="s">
        <v>130</v>
      </c>
      <c r="BI2928" s="0" t="s">
        <v>130</v>
      </c>
      <c r="BJ2928" s="0" t="s">
        <v>130</v>
      </c>
      <c r="BK2928" s="0" t="s">
        <v>130</v>
      </c>
      <c r="BL2928" s="0" t="s">
        <v>130</v>
      </c>
      <c r="BM2928" s="0" t="s">
        <v>130</v>
      </c>
      <c r="BN2928" s="0" t="s">
        <v>130</v>
      </c>
      <c r="BO2928" s="0" t="s">
        <v>130</v>
      </c>
      <c r="BP2928" s="0" t="s">
        <v>130</v>
      </c>
      <c r="BQ2928" s="0" t="s">
        <v>130</v>
      </c>
      <c r="BR2928" s="0" t="s">
        <v>130</v>
      </c>
      <c r="BS2928" s="0" t="s">
        <v>130</v>
      </c>
      <c r="BT2928" s="0" t="s">
        <v>130</v>
      </c>
      <c r="BU2928" s="0" t="s">
        <v>130</v>
      </c>
      <c r="BV2928" s="0" t="s">
        <v>130</v>
      </c>
      <c r="BW2928" s="0" t="s">
        <v>130</v>
      </c>
      <c r="BX2928" s="0" t="s">
        <v>130</v>
      </c>
      <c r="BY2928" s="0" t="s">
        <v>130</v>
      </c>
      <c r="BZ2928" s="0" t="s">
        <v>130</v>
      </c>
      <c r="CA2928" s="0" t="s">
        <v>130</v>
      </c>
      <c r="CB2928" s="0" t="s">
        <v>130</v>
      </c>
      <c r="CC2928" s="0" t="s">
        <v>130</v>
      </c>
      <c r="CD2928" s="0" t="s">
        <v>130</v>
      </c>
      <c r="CE2928" s="0" t="s">
        <v>130</v>
      </c>
      <c r="CF2928" s="0" t="s">
        <v>130</v>
      </c>
      <c r="CG2928" s="0" t="s">
        <v>130</v>
      </c>
      <c r="CH2928" s="0" t="s">
        <v>130</v>
      </c>
      <c r="CI2928" s="0" t="s">
        <v>130</v>
      </c>
      <c r="CJ2928" s="0" t="s">
        <v>130</v>
      </c>
      <c r="CK2928" s="0" t="s">
        <v>130</v>
      </c>
      <c r="CL2928" s="0" t="s">
        <v>130</v>
      </c>
      <c r="CM2928" s="0" t="s">
        <v>130</v>
      </c>
      <c r="CN2928" s="0" t="s">
        <v>130</v>
      </c>
      <c r="CO2928" s="0" t="s">
        <v>130</v>
      </c>
      <c r="CP2928" s="0" t="s">
        <v>130</v>
      </c>
      <c r="CQ2928" s="0" t="s">
        <v>130</v>
      </c>
      <c r="CR2928" s="0" t="s">
        <v>130</v>
      </c>
      <c r="CS2928" s="0" t="s">
        <v>130</v>
      </c>
      <c r="CT2928" s="0" t="s">
        <v>7898</v>
      </c>
    </row>
    <row r="2929">
      <c r="A2929" s="14">
        <v>918049</v>
      </c>
      <c r="B2929" s="0" t="s">
        <v>3423</v>
      </c>
      <c r="C2929" s="16">
        <f>HYPERLINK("https://eosportal.federatedhermes.com/companies/Q29tcGFueQppNjQzOTQ=", "Enel SpA")</f>
      </c>
      <c r="D2929" s="0" t="s">
        <v>25</v>
      </c>
      <c r="E2929" s="0" t="s">
        <v>7823</v>
      </c>
      <c r="F2929" s="16">
        <f>HYPERLINK("https://eosportal.federatedhermes.com/engagements/RW5nYWdlbWVudAppNDA3Mjg=", "Adopting the IASB's illustrative examples on climate uncertainties in the accoun")</f>
      </c>
      <c r="G2929" s="14" t="s">
        <v>7774</v>
      </c>
      <c r="H2929" s="0" t="s">
        <v>141</v>
      </c>
      <c r="I2929" s="14" t="s">
        <v>636</v>
      </c>
      <c r="J2929" s="0" t="s">
        <v>197</v>
      </c>
      <c r="K2929" s="0" t="s">
        <v>198</v>
      </c>
      <c r="L2929" s="0" t="s">
        <v>199</v>
      </c>
      <c r="M2929" s="0" t="s">
        <v>378</v>
      </c>
      <c r="N2929" s="0" t="s">
        <v>2898</v>
      </c>
      <c r="O2929" s="0" t="s">
        <v>192</v>
      </c>
      <c r="Q2929" s="0" t="s">
        <v>141</v>
      </c>
      <c r="R2929" s="0" t="s">
        <v>138</v>
      </c>
      <c r="S2929" s="14">
        <v>1</v>
      </c>
      <c r="T2929" s="0" t="s">
        <v>361</v>
      </c>
      <c r="U2929" s="0" t="s">
        <v>138</v>
      </c>
      <c r="V2929" s="14" t="s">
        <v>138</v>
      </c>
      <c r="W2929" s="0" t="s">
        <v>138</v>
      </c>
      <c r="X2929" s="14" t="s">
        <v>138</v>
      </c>
      <c r="Y2929" s="0" t="s">
        <v>138</v>
      </c>
      <c r="Z2929" s="14" t="s">
        <v>138</v>
      </c>
      <c r="AA2929" s="0" t="s">
        <v>138</v>
      </c>
      <c r="AB2929" s="14" t="s">
        <v>138</v>
      </c>
      <c r="AD2929" s="0" t="s">
        <v>138</v>
      </c>
      <c r="AF2929" s="0">
        <v>0</v>
      </c>
      <c r="AG2929" s="0">
        <v>0</v>
      </c>
      <c r="AH2929" s="0" t="s">
        <v>140</v>
      </c>
      <c r="AI2929" s="0" t="s">
        <v>138</v>
      </c>
      <c r="AK2929" s="0" t="s">
        <v>3626</v>
      </c>
      <c r="AL2929" s="14"/>
      <c r="AN2929" s="14"/>
      <c r="AQ2929" s="0" t="s">
        <v>130</v>
      </c>
      <c r="AR2929" s="0" t="s">
        <v>130</v>
      </c>
      <c r="AS2929" s="0" t="s">
        <v>130</v>
      </c>
      <c r="AT2929" s="0" t="s">
        <v>130</v>
      </c>
      <c r="AU2929" s="0" t="s">
        <v>130</v>
      </c>
      <c r="AV2929" s="0" t="s">
        <v>130</v>
      </c>
      <c r="AW2929" s="0" t="s">
        <v>130</v>
      </c>
      <c r="AX2929" s="0" t="s">
        <v>130</v>
      </c>
      <c r="AY2929" s="0" t="s">
        <v>130</v>
      </c>
      <c r="AZ2929" s="0" t="s">
        <v>130</v>
      </c>
      <c r="BA2929" s="0" t="s">
        <v>130</v>
      </c>
      <c r="BB2929" s="0" t="s">
        <v>141</v>
      </c>
      <c r="BC2929" s="0" t="s">
        <v>141</v>
      </c>
      <c r="BD2929" s="0" t="s">
        <v>130</v>
      </c>
      <c r="BE2929" s="0" t="s">
        <v>130</v>
      </c>
      <c r="BF2929" s="0" t="s">
        <v>130</v>
      </c>
      <c r="BG2929" s="0" t="s">
        <v>130</v>
      </c>
      <c r="BH2929" s="0" t="s">
        <v>130</v>
      </c>
      <c r="BI2929" s="0" t="s">
        <v>130</v>
      </c>
      <c r="BJ2929" s="0" t="s">
        <v>130</v>
      </c>
      <c r="BK2929" s="0" t="s">
        <v>130</v>
      </c>
      <c r="BL2929" s="0" t="s">
        <v>130</v>
      </c>
      <c r="BM2929" s="0" t="s">
        <v>130</v>
      </c>
      <c r="BN2929" s="0" t="s">
        <v>130</v>
      </c>
      <c r="BO2929" s="0" t="s">
        <v>130</v>
      </c>
      <c r="BP2929" s="0" t="s">
        <v>130</v>
      </c>
      <c r="BQ2929" s="0" t="s">
        <v>130</v>
      </c>
      <c r="BR2929" s="0" t="s">
        <v>130</v>
      </c>
      <c r="BS2929" s="0" t="s">
        <v>130</v>
      </c>
      <c r="BT2929" s="0" t="s">
        <v>130</v>
      </c>
      <c r="BU2929" s="0" t="s">
        <v>130</v>
      </c>
      <c r="BV2929" s="0" t="s">
        <v>130</v>
      </c>
      <c r="BW2929" s="0" t="s">
        <v>130</v>
      </c>
      <c r="BX2929" s="0" t="s">
        <v>130</v>
      </c>
      <c r="BY2929" s="0" t="s">
        <v>130</v>
      </c>
      <c r="BZ2929" s="0" t="s">
        <v>130</v>
      </c>
      <c r="CA2929" s="0" t="s">
        <v>130</v>
      </c>
      <c r="CB2929" s="0" t="s">
        <v>130</v>
      </c>
      <c r="CC2929" s="0" t="s">
        <v>130</v>
      </c>
      <c r="CD2929" s="0" t="s">
        <v>130</v>
      </c>
      <c r="CE2929" s="0" t="s">
        <v>130</v>
      </c>
      <c r="CF2929" s="0" t="s">
        <v>130</v>
      </c>
      <c r="CG2929" s="0" t="s">
        <v>130</v>
      </c>
      <c r="CH2929" s="0" t="s">
        <v>130</v>
      </c>
      <c r="CI2929" s="0" t="s">
        <v>130</v>
      </c>
      <c r="CJ2929" s="0" t="s">
        <v>130</v>
      </c>
      <c r="CK2929" s="0" t="s">
        <v>130</v>
      </c>
      <c r="CL2929" s="0" t="s">
        <v>130</v>
      </c>
      <c r="CM2929" s="0" t="s">
        <v>130</v>
      </c>
      <c r="CN2929" s="0" t="s">
        <v>130</v>
      </c>
      <c r="CO2929" s="0" t="s">
        <v>130</v>
      </c>
      <c r="CP2929" s="0" t="s">
        <v>130</v>
      </c>
      <c r="CQ2929" s="0" t="s">
        <v>130</v>
      </c>
      <c r="CR2929" s="0" t="s">
        <v>130</v>
      </c>
      <c r="CS2929" s="0" t="s">
        <v>130</v>
      </c>
      <c r="CT2929" s="0" t="s">
        <v>7899</v>
      </c>
    </row>
    <row r="2930">
      <c r="A2930" s="14">
        <v>1442748</v>
      </c>
      <c r="B2930" s="0" t="s">
        <v>3624</v>
      </c>
      <c r="C2930" s="16">
        <f>HYPERLINK("https://eosportal.federatedhermes.com/companies/Q29tcGFueQppNjI1MDA=", "Mitsubishi UFJ Financial Group Inc")</f>
      </c>
      <c r="D2930" s="0" t="s">
        <v>23</v>
      </c>
      <c r="E2930" s="0" t="s">
        <v>7900</v>
      </c>
      <c r="F2930" s="16">
        <f>HYPERLINK("https://eosportal.federatedhermes.com/engagements/RW5nYWdlbWVudAppNDA3Mzg=", "Engaging with board of directors")</f>
      </c>
      <c r="G2930" s="14" t="s">
        <v>7901</v>
      </c>
      <c r="H2930" s="0" t="s">
        <v>141</v>
      </c>
      <c r="I2930" s="14" t="s">
        <v>1645</v>
      </c>
      <c r="J2930" s="0" t="s">
        <v>145</v>
      </c>
      <c r="K2930" s="0" t="s">
        <v>164</v>
      </c>
      <c r="L2930" s="0" t="s">
        <v>970</v>
      </c>
      <c r="M2930" s="0" t="s">
        <v>802</v>
      </c>
      <c r="N2930" s="0" t="s">
        <v>952</v>
      </c>
      <c r="O2930" s="0" t="s">
        <v>238</v>
      </c>
      <c r="Q2930" s="0" t="s">
        <v>141</v>
      </c>
      <c r="R2930" s="0" t="s">
        <v>130</v>
      </c>
      <c r="S2930" s="14">
        <v>1</v>
      </c>
      <c r="T2930" s="0" t="s">
        <v>2629</v>
      </c>
      <c r="U2930" s="0" t="s">
        <v>221</v>
      </c>
      <c r="V2930" s="14" t="s">
        <v>2629</v>
      </c>
      <c r="W2930" s="0" t="s">
        <v>221</v>
      </c>
      <c r="X2930" s="14" t="s">
        <v>3265</v>
      </c>
      <c r="Y2930" s="0" t="s">
        <v>223</v>
      </c>
      <c r="Z2930" s="14" t="s">
        <v>138</v>
      </c>
      <c r="AA2930" s="0" t="s">
        <v>224</v>
      </c>
      <c r="AB2930" s="14" t="s">
        <v>138</v>
      </c>
      <c r="AD2930" s="0" t="s">
        <v>17</v>
      </c>
      <c r="AF2930" s="0">
        <v>0</v>
      </c>
      <c r="AG2930" s="0">
        <v>1</v>
      </c>
      <c r="AH2930" s="0" t="s">
        <v>7902</v>
      </c>
      <c r="AI2930" s="0" t="s">
        <v>232</v>
      </c>
      <c r="AK2930" s="0" t="s">
        <v>3789</v>
      </c>
      <c r="AL2930" s="14"/>
      <c r="AN2930" s="14"/>
      <c r="AQ2930" s="0" t="s">
        <v>130</v>
      </c>
      <c r="AR2930" s="0" t="s">
        <v>130</v>
      </c>
      <c r="AS2930" s="0" t="s">
        <v>130</v>
      </c>
      <c r="AT2930" s="0" t="s">
        <v>130</v>
      </c>
      <c r="AU2930" s="0" t="s">
        <v>130</v>
      </c>
      <c r="AV2930" s="0" t="s">
        <v>130</v>
      </c>
      <c r="AW2930" s="0" t="s">
        <v>130</v>
      </c>
      <c r="AX2930" s="0" t="s">
        <v>130</v>
      </c>
      <c r="AY2930" s="0" t="s">
        <v>130</v>
      </c>
      <c r="AZ2930" s="0" t="s">
        <v>130</v>
      </c>
      <c r="BA2930" s="0" t="s">
        <v>130</v>
      </c>
      <c r="BB2930" s="0" t="s">
        <v>130</v>
      </c>
      <c r="BC2930" s="0" t="s">
        <v>130</v>
      </c>
      <c r="BD2930" s="0" t="s">
        <v>130</v>
      </c>
      <c r="BE2930" s="0" t="s">
        <v>130</v>
      </c>
      <c r="BF2930" s="0" t="s">
        <v>130</v>
      </c>
      <c r="BG2930" s="0" t="s">
        <v>130</v>
      </c>
      <c r="BH2930" s="0" t="s">
        <v>130</v>
      </c>
      <c r="BI2930" s="0" t="s">
        <v>130</v>
      </c>
      <c r="BJ2930" s="0" t="s">
        <v>130</v>
      </c>
      <c r="BK2930" s="0" t="s">
        <v>130</v>
      </c>
      <c r="BL2930" s="0" t="s">
        <v>130</v>
      </c>
      <c r="BM2930" s="0" t="s">
        <v>130</v>
      </c>
      <c r="BN2930" s="0" t="s">
        <v>130</v>
      </c>
      <c r="BO2930" s="0" t="s">
        <v>130</v>
      </c>
      <c r="BP2930" s="0" t="s">
        <v>130</v>
      </c>
      <c r="BQ2930" s="0" t="s">
        <v>130</v>
      </c>
      <c r="BR2930" s="0" t="s">
        <v>130</v>
      </c>
      <c r="BS2930" s="0" t="s">
        <v>130</v>
      </c>
      <c r="BT2930" s="0" t="s">
        <v>130</v>
      </c>
      <c r="BU2930" s="0" t="s">
        <v>130</v>
      </c>
      <c r="BV2930" s="0" t="s">
        <v>130</v>
      </c>
      <c r="BW2930" s="0" t="s">
        <v>130</v>
      </c>
      <c r="BX2930" s="0" t="s">
        <v>130</v>
      </c>
      <c r="BY2930" s="0" t="s">
        <v>130</v>
      </c>
      <c r="BZ2930" s="0" t="s">
        <v>130</v>
      </c>
      <c r="CA2930" s="0" t="s">
        <v>130</v>
      </c>
      <c r="CB2930" s="0" t="s">
        <v>130</v>
      </c>
      <c r="CC2930" s="0" t="s">
        <v>130</v>
      </c>
      <c r="CD2930" s="0" t="s">
        <v>130</v>
      </c>
      <c r="CE2930" s="0" t="s">
        <v>130</v>
      </c>
      <c r="CF2930" s="0" t="s">
        <v>130</v>
      </c>
      <c r="CG2930" s="0" t="s">
        <v>130</v>
      </c>
      <c r="CH2930" s="0" t="s">
        <v>130</v>
      </c>
      <c r="CI2930" s="0" t="s">
        <v>130</v>
      </c>
      <c r="CJ2930" s="0" t="s">
        <v>130</v>
      </c>
      <c r="CK2930" s="0" t="s">
        <v>130</v>
      </c>
      <c r="CL2930" s="0" t="s">
        <v>130</v>
      </c>
      <c r="CM2930" s="0" t="s">
        <v>130</v>
      </c>
      <c r="CN2930" s="0" t="s">
        <v>130</v>
      </c>
      <c r="CO2930" s="0" t="s">
        <v>130</v>
      </c>
      <c r="CP2930" s="0" t="s">
        <v>130</v>
      </c>
      <c r="CQ2930" s="0" t="s">
        <v>130</v>
      </c>
      <c r="CR2930" s="0" t="s">
        <v>130</v>
      </c>
      <c r="CS2930" s="0" t="s">
        <v>130</v>
      </c>
      <c r="CT2930" s="0" t="s">
        <v>7903</v>
      </c>
    </row>
    <row r="2931">
      <c r="A2931" s="14">
        <v>100158</v>
      </c>
      <c r="B2931" s="0" t="s">
        <v>375</v>
      </c>
      <c r="C2931" s="16">
        <f>HYPERLINK("https://eosportal.federatedhermes.com/companies/Q29tcGFueQppNDY5MDc=", "Banco Santander SA")</f>
      </c>
      <c r="D2931" s="0" t="s">
        <v>25</v>
      </c>
      <c r="E2931" s="0" t="s">
        <v>7904</v>
      </c>
      <c r="F2931" s="16">
        <f>HYPERLINK("https://eosportal.federatedhermes.com/engagements/RW5nYWdlbWVudAppNDA3NDc=", "Deforestation risk management and due diligence")</f>
      </c>
      <c r="G2931" s="14" t="s">
        <v>7905</v>
      </c>
      <c r="H2931" s="0" t="s">
        <v>130</v>
      </c>
      <c r="I2931" s="14" t="s">
        <v>319</v>
      </c>
      <c r="J2931" s="0" t="s">
        <v>197</v>
      </c>
      <c r="K2931" s="0" t="s">
        <v>337</v>
      </c>
      <c r="L2931" s="0" t="s">
        <v>576</v>
      </c>
      <c r="M2931" s="0" t="s">
        <v>378</v>
      </c>
      <c r="N2931" s="0" t="s">
        <v>379</v>
      </c>
      <c r="O2931" s="0" t="s">
        <v>238</v>
      </c>
      <c r="Q2931" s="0" t="s">
        <v>141</v>
      </c>
      <c r="R2931" s="0" t="s">
        <v>138</v>
      </c>
      <c r="S2931" s="14">
        <v>1</v>
      </c>
      <c r="T2931" s="0" t="s">
        <v>4412</v>
      </c>
      <c r="U2931" s="0" t="s">
        <v>138</v>
      </c>
      <c r="V2931" s="14" t="s">
        <v>138</v>
      </c>
      <c r="W2931" s="0" t="s">
        <v>138</v>
      </c>
      <c r="X2931" s="14" t="s">
        <v>138</v>
      </c>
      <c r="Y2931" s="0" t="s">
        <v>138</v>
      </c>
      <c r="Z2931" s="14" t="s">
        <v>138</v>
      </c>
      <c r="AA2931" s="0" t="s">
        <v>138</v>
      </c>
      <c r="AB2931" s="14" t="s">
        <v>138</v>
      </c>
      <c r="AD2931" s="0" t="s">
        <v>138</v>
      </c>
      <c r="AF2931" s="0">
        <v>0</v>
      </c>
      <c r="AG2931" s="0">
        <v>0</v>
      </c>
      <c r="AH2931" s="0" t="s">
        <v>140</v>
      </c>
      <c r="AI2931" s="0" t="s">
        <v>138</v>
      </c>
      <c r="AK2931" s="0" t="s">
        <v>3584</v>
      </c>
      <c r="AL2931" s="14"/>
      <c r="AN2931" s="14"/>
      <c r="AQ2931" s="0" t="s">
        <v>130</v>
      </c>
      <c r="AR2931" s="0" t="s">
        <v>130</v>
      </c>
      <c r="AS2931" s="0" t="s">
        <v>130</v>
      </c>
      <c r="AT2931" s="0" t="s">
        <v>130</v>
      </c>
      <c r="AU2931" s="0" t="s">
        <v>130</v>
      </c>
      <c r="AV2931" s="0" t="s">
        <v>130</v>
      </c>
      <c r="AW2931" s="0" t="s">
        <v>130</v>
      </c>
      <c r="AX2931" s="0" t="s">
        <v>130</v>
      </c>
      <c r="AY2931" s="0" t="s">
        <v>130</v>
      </c>
      <c r="AZ2931" s="0" t="s">
        <v>130</v>
      </c>
      <c r="BA2931" s="0" t="s">
        <v>130</v>
      </c>
      <c r="BB2931" s="0" t="s">
        <v>141</v>
      </c>
      <c r="BC2931" s="0" t="s">
        <v>141</v>
      </c>
      <c r="BD2931" s="0" t="s">
        <v>130</v>
      </c>
      <c r="BE2931" s="0" t="s">
        <v>141</v>
      </c>
      <c r="BF2931" s="0" t="s">
        <v>130</v>
      </c>
      <c r="BG2931" s="0" t="s">
        <v>130</v>
      </c>
      <c r="BH2931" s="0" t="s">
        <v>130</v>
      </c>
      <c r="BI2931" s="0" t="s">
        <v>130</v>
      </c>
      <c r="BJ2931" s="0" t="s">
        <v>130</v>
      </c>
      <c r="BK2931" s="0" t="s">
        <v>130</v>
      </c>
      <c r="BL2931" s="0" t="s">
        <v>130</v>
      </c>
      <c r="BM2931" s="0" t="s">
        <v>130</v>
      </c>
      <c r="BN2931" s="0" t="s">
        <v>130</v>
      </c>
      <c r="BO2931" s="0" t="s">
        <v>130</v>
      </c>
      <c r="BP2931" s="0" t="s">
        <v>141</v>
      </c>
      <c r="BQ2931" s="0" t="s">
        <v>130</v>
      </c>
      <c r="BR2931" s="0" t="s">
        <v>130</v>
      </c>
      <c r="BS2931" s="0" t="s">
        <v>130</v>
      </c>
      <c r="BT2931" s="0" t="s">
        <v>130</v>
      </c>
      <c r="BU2931" s="0" t="s">
        <v>130</v>
      </c>
      <c r="BV2931" s="0" t="s">
        <v>130</v>
      </c>
      <c r="BW2931" s="0" t="s">
        <v>130</v>
      </c>
      <c r="BX2931" s="0" t="s">
        <v>130</v>
      </c>
      <c r="BY2931" s="0" t="s">
        <v>130</v>
      </c>
      <c r="BZ2931" s="0" t="s">
        <v>130</v>
      </c>
      <c r="CA2931" s="0" t="s">
        <v>130</v>
      </c>
      <c r="CB2931" s="0" t="s">
        <v>130</v>
      </c>
      <c r="CC2931" s="0" t="s">
        <v>130</v>
      </c>
      <c r="CD2931" s="0" t="s">
        <v>130</v>
      </c>
      <c r="CE2931" s="0" t="s">
        <v>130</v>
      </c>
      <c r="CF2931" s="0" t="s">
        <v>130</v>
      </c>
      <c r="CG2931" s="0" t="s">
        <v>130</v>
      </c>
      <c r="CH2931" s="0" t="s">
        <v>130</v>
      </c>
      <c r="CI2931" s="0" t="s">
        <v>130</v>
      </c>
      <c r="CJ2931" s="0" t="s">
        <v>130</v>
      </c>
      <c r="CK2931" s="0" t="s">
        <v>130</v>
      </c>
      <c r="CL2931" s="0" t="s">
        <v>130</v>
      </c>
      <c r="CM2931" s="0" t="s">
        <v>130</v>
      </c>
      <c r="CN2931" s="0" t="s">
        <v>130</v>
      </c>
      <c r="CO2931" s="0" t="s">
        <v>130</v>
      </c>
      <c r="CP2931" s="0" t="s">
        <v>130</v>
      </c>
      <c r="CQ2931" s="0" t="s">
        <v>130</v>
      </c>
      <c r="CR2931" s="0" t="s">
        <v>130</v>
      </c>
      <c r="CS2931" s="0" t="s">
        <v>130</v>
      </c>
      <c r="CT2931" s="0" t="s">
        <v>7906</v>
      </c>
    </row>
    <row r="2932">
      <c r="A2932" s="14">
        <v>112647</v>
      </c>
      <c r="B2932" s="0" t="s">
        <v>996</v>
      </c>
      <c r="C2932" s="16">
        <f>HYPERLINK("https://eosportal.federatedhermes.com/companies/Q29tcGFueQppNTIwMTk=", "Origin Energy Ltd")</f>
      </c>
      <c r="D2932" s="0" t="s">
        <v>25</v>
      </c>
      <c r="E2932" s="0" t="s">
        <v>271</v>
      </c>
      <c r="F2932" s="16">
        <f>HYPERLINK("https://eosportal.federatedhermes.com/engagements/RW5nYWdlbWVudAppNDA3NTE=", "Remuneration practices")</f>
      </c>
      <c r="G2932" s="14" t="s">
        <v>7907</v>
      </c>
      <c r="H2932" s="0" t="s">
        <v>141</v>
      </c>
      <c r="I2932" s="14" t="s">
        <v>636</v>
      </c>
      <c r="J2932" s="0" t="s">
        <v>145</v>
      </c>
      <c r="K2932" s="0" t="s">
        <v>146</v>
      </c>
      <c r="L2932" s="0" t="s">
        <v>147</v>
      </c>
      <c r="M2932" s="0" t="s">
        <v>371</v>
      </c>
      <c r="N2932" s="0" t="s">
        <v>372</v>
      </c>
      <c r="O2932" s="0" t="s">
        <v>192</v>
      </c>
      <c r="Q2932" s="0" t="s">
        <v>141</v>
      </c>
      <c r="R2932" s="0" t="s">
        <v>138</v>
      </c>
      <c r="S2932" s="14">
        <v>1</v>
      </c>
      <c r="T2932" s="0" t="s">
        <v>361</v>
      </c>
      <c r="U2932" s="0" t="s">
        <v>138</v>
      </c>
      <c r="V2932" s="14" t="s">
        <v>138</v>
      </c>
      <c r="W2932" s="0" t="s">
        <v>138</v>
      </c>
      <c r="X2932" s="14" t="s">
        <v>138</v>
      </c>
      <c r="Y2932" s="0" t="s">
        <v>138</v>
      </c>
      <c r="Z2932" s="14" t="s">
        <v>138</v>
      </c>
      <c r="AA2932" s="0" t="s">
        <v>138</v>
      </c>
      <c r="AB2932" s="14" t="s">
        <v>138</v>
      </c>
      <c r="AD2932" s="0" t="s">
        <v>138</v>
      </c>
      <c r="AF2932" s="0">
        <v>0</v>
      </c>
      <c r="AG2932" s="0">
        <v>0</v>
      </c>
      <c r="AH2932" s="0" t="s">
        <v>140</v>
      </c>
      <c r="AI2932" s="0" t="s">
        <v>138</v>
      </c>
      <c r="AK2932" s="0" t="s">
        <v>3626</v>
      </c>
      <c r="AL2932" s="14"/>
      <c r="AN2932" s="14"/>
      <c r="AQ2932" s="0" t="s">
        <v>130</v>
      </c>
      <c r="AR2932" s="0" t="s">
        <v>130</v>
      </c>
      <c r="AS2932" s="0" t="s">
        <v>130</v>
      </c>
      <c r="AT2932" s="0" t="s">
        <v>130</v>
      </c>
      <c r="AU2932" s="0" t="s">
        <v>130</v>
      </c>
      <c r="AV2932" s="0" t="s">
        <v>130</v>
      </c>
      <c r="AW2932" s="0" t="s">
        <v>130</v>
      </c>
      <c r="AX2932" s="0" t="s">
        <v>130</v>
      </c>
      <c r="AY2932" s="0" t="s">
        <v>130</v>
      </c>
      <c r="AZ2932" s="0" t="s">
        <v>130</v>
      </c>
      <c r="BA2932" s="0" t="s">
        <v>130</v>
      </c>
      <c r="BB2932" s="0" t="s">
        <v>130</v>
      </c>
      <c r="BC2932" s="0" t="s">
        <v>130</v>
      </c>
      <c r="BD2932" s="0" t="s">
        <v>130</v>
      </c>
      <c r="BE2932" s="0" t="s">
        <v>130</v>
      </c>
      <c r="BF2932" s="0" t="s">
        <v>130</v>
      </c>
      <c r="BG2932" s="0" t="s">
        <v>130</v>
      </c>
      <c r="BH2932" s="0" t="s">
        <v>130</v>
      </c>
      <c r="BI2932" s="0" t="s">
        <v>130</v>
      </c>
      <c r="BJ2932" s="0" t="s">
        <v>130</v>
      </c>
      <c r="BK2932" s="0" t="s">
        <v>130</v>
      </c>
      <c r="BL2932" s="0" t="s">
        <v>130</v>
      </c>
      <c r="BM2932" s="0" t="s">
        <v>130</v>
      </c>
      <c r="BN2932" s="0" t="s">
        <v>130</v>
      </c>
      <c r="BO2932" s="0" t="s">
        <v>130</v>
      </c>
      <c r="BP2932" s="0" t="s">
        <v>130</v>
      </c>
      <c r="BQ2932" s="0" t="s">
        <v>130</v>
      </c>
      <c r="BR2932" s="0" t="s">
        <v>130</v>
      </c>
      <c r="BS2932" s="0" t="s">
        <v>130</v>
      </c>
      <c r="BT2932" s="0" t="s">
        <v>130</v>
      </c>
      <c r="BU2932" s="0" t="s">
        <v>130</v>
      </c>
      <c r="BV2932" s="0" t="s">
        <v>130</v>
      </c>
      <c r="BW2932" s="0" t="s">
        <v>130</v>
      </c>
      <c r="BX2932" s="0" t="s">
        <v>130</v>
      </c>
      <c r="BY2932" s="0" t="s">
        <v>130</v>
      </c>
      <c r="BZ2932" s="0" t="s">
        <v>130</v>
      </c>
      <c r="CA2932" s="0" t="s">
        <v>130</v>
      </c>
      <c r="CB2932" s="0" t="s">
        <v>130</v>
      </c>
      <c r="CC2932" s="0" t="s">
        <v>130</v>
      </c>
      <c r="CD2932" s="0" t="s">
        <v>130</v>
      </c>
      <c r="CE2932" s="0" t="s">
        <v>130</v>
      </c>
      <c r="CF2932" s="0" t="s">
        <v>130</v>
      </c>
      <c r="CG2932" s="0" t="s">
        <v>130</v>
      </c>
      <c r="CH2932" s="0" t="s">
        <v>130</v>
      </c>
      <c r="CI2932" s="0" t="s">
        <v>130</v>
      </c>
      <c r="CJ2932" s="0" t="s">
        <v>130</v>
      </c>
      <c r="CK2932" s="0" t="s">
        <v>130</v>
      </c>
      <c r="CL2932" s="0" t="s">
        <v>130</v>
      </c>
      <c r="CM2932" s="0" t="s">
        <v>130</v>
      </c>
      <c r="CN2932" s="0" t="s">
        <v>130</v>
      </c>
      <c r="CO2932" s="0" t="s">
        <v>130</v>
      </c>
      <c r="CP2932" s="0" t="s">
        <v>130</v>
      </c>
      <c r="CQ2932" s="0" t="s">
        <v>130</v>
      </c>
      <c r="CR2932" s="0" t="s">
        <v>130</v>
      </c>
      <c r="CS2932" s="0" t="s">
        <v>130</v>
      </c>
      <c r="CT2932" s="0" t="s">
        <v>7908</v>
      </c>
    </row>
    <row r="2933">
      <c r="A2933" s="14">
        <v>115467</v>
      </c>
      <c r="B2933" s="0" t="s">
        <v>2421</v>
      </c>
      <c r="C2933" s="16">
        <f>HYPERLINK("https://eosportal.federatedhermes.com/companies/Q29tcGFueQppNTg0Nzc=", "Kering SA")</f>
      </c>
      <c r="D2933" s="0" t="s">
        <v>25</v>
      </c>
      <c r="E2933" s="0" t="s">
        <v>145</v>
      </c>
      <c r="F2933" s="16">
        <f>HYPERLINK("https://eosportal.federatedhermes.com/engagements/RW5nYWdlbWVudAppNDA4MzE=", "Governance")</f>
      </c>
      <c r="G2933" s="14" t="s">
        <v>7909</v>
      </c>
      <c r="H2933" s="0" t="s">
        <v>141</v>
      </c>
      <c r="I2933" s="14" t="s">
        <v>131</v>
      </c>
      <c r="J2933" s="0" t="s">
        <v>145</v>
      </c>
      <c r="K2933" s="0" t="s">
        <v>164</v>
      </c>
      <c r="L2933" s="0" t="s">
        <v>970</v>
      </c>
      <c r="M2933" s="0" t="s">
        <v>378</v>
      </c>
      <c r="N2933" s="0" t="s">
        <v>1646</v>
      </c>
      <c r="O2933" s="0" t="s">
        <v>332</v>
      </c>
      <c r="Q2933" s="0" t="s">
        <v>141</v>
      </c>
      <c r="R2933" s="0" t="s">
        <v>138</v>
      </c>
      <c r="S2933" s="14">
        <v>3</v>
      </c>
      <c r="T2933" s="0" t="s">
        <v>361</v>
      </c>
      <c r="U2933" s="0" t="s">
        <v>138</v>
      </c>
      <c r="V2933" s="14" t="s">
        <v>138</v>
      </c>
      <c r="W2933" s="0" t="s">
        <v>138</v>
      </c>
      <c r="X2933" s="14" t="s">
        <v>138</v>
      </c>
      <c r="Y2933" s="0" t="s">
        <v>138</v>
      </c>
      <c r="Z2933" s="14" t="s">
        <v>138</v>
      </c>
      <c r="AA2933" s="0" t="s">
        <v>138</v>
      </c>
      <c r="AB2933" s="14" t="s">
        <v>138</v>
      </c>
      <c r="AD2933" s="0" t="s">
        <v>138</v>
      </c>
      <c r="AF2933" s="0">
        <v>0</v>
      </c>
      <c r="AG2933" s="0">
        <v>0</v>
      </c>
      <c r="AH2933" s="0" t="s">
        <v>140</v>
      </c>
      <c r="AI2933" s="0" t="s">
        <v>138</v>
      </c>
      <c r="AK2933" s="0" t="s">
        <v>675</v>
      </c>
      <c r="AL2933" s="14"/>
      <c r="AN2933" s="14"/>
      <c r="AQ2933" s="0" t="s">
        <v>130</v>
      </c>
      <c r="AR2933" s="0" t="s">
        <v>130</v>
      </c>
      <c r="AS2933" s="0" t="s">
        <v>130</v>
      </c>
      <c r="AT2933" s="0" t="s">
        <v>130</v>
      </c>
      <c r="AU2933" s="0" t="s">
        <v>130</v>
      </c>
      <c r="AV2933" s="0" t="s">
        <v>130</v>
      </c>
      <c r="AW2933" s="0" t="s">
        <v>130</v>
      </c>
      <c r="AX2933" s="0" t="s">
        <v>130</v>
      </c>
      <c r="AY2933" s="0" t="s">
        <v>130</v>
      </c>
      <c r="AZ2933" s="0" t="s">
        <v>130</v>
      </c>
      <c r="BA2933" s="0" t="s">
        <v>130</v>
      </c>
      <c r="BB2933" s="0" t="s">
        <v>130</v>
      </c>
      <c r="BC2933" s="0" t="s">
        <v>130</v>
      </c>
      <c r="BD2933" s="0" t="s">
        <v>130</v>
      </c>
      <c r="BE2933" s="0" t="s">
        <v>130</v>
      </c>
      <c r="BF2933" s="0" t="s">
        <v>130</v>
      </c>
      <c r="BG2933" s="0" t="s">
        <v>130</v>
      </c>
      <c r="BH2933" s="0" t="s">
        <v>130</v>
      </c>
      <c r="BI2933" s="0" t="s">
        <v>130</v>
      </c>
      <c r="BJ2933" s="0" t="s">
        <v>130</v>
      </c>
      <c r="BK2933" s="0" t="s">
        <v>130</v>
      </c>
      <c r="BL2933" s="0" t="s">
        <v>130</v>
      </c>
      <c r="BM2933" s="0" t="s">
        <v>130</v>
      </c>
      <c r="BN2933" s="0" t="s">
        <v>130</v>
      </c>
      <c r="BO2933" s="0" t="s">
        <v>130</v>
      </c>
      <c r="BP2933" s="0" t="s">
        <v>130</v>
      </c>
      <c r="BQ2933" s="0" t="s">
        <v>130</v>
      </c>
      <c r="BR2933" s="0" t="s">
        <v>130</v>
      </c>
      <c r="BS2933" s="0" t="s">
        <v>130</v>
      </c>
      <c r="BT2933" s="0" t="s">
        <v>130</v>
      </c>
      <c r="BU2933" s="0" t="s">
        <v>130</v>
      </c>
      <c r="BV2933" s="0" t="s">
        <v>130</v>
      </c>
      <c r="BW2933" s="0" t="s">
        <v>130</v>
      </c>
      <c r="BX2933" s="0" t="s">
        <v>130</v>
      </c>
      <c r="BY2933" s="0" t="s">
        <v>130</v>
      </c>
      <c r="BZ2933" s="0" t="s">
        <v>130</v>
      </c>
      <c r="CA2933" s="0" t="s">
        <v>130</v>
      </c>
      <c r="CB2933" s="0" t="s">
        <v>130</v>
      </c>
      <c r="CC2933" s="0" t="s">
        <v>130</v>
      </c>
      <c r="CD2933" s="0" t="s">
        <v>130</v>
      </c>
      <c r="CE2933" s="0" t="s">
        <v>130</v>
      </c>
      <c r="CF2933" s="0" t="s">
        <v>130</v>
      </c>
      <c r="CG2933" s="0" t="s">
        <v>130</v>
      </c>
      <c r="CH2933" s="0" t="s">
        <v>130</v>
      </c>
      <c r="CI2933" s="0" t="s">
        <v>130</v>
      </c>
      <c r="CJ2933" s="0" t="s">
        <v>130</v>
      </c>
      <c r="CK2933" s="0" t="s">
        <v>130</v>
      </c>
      <c r="CL2933" s="0" t="s">
        <v>130</v>
      </c>
      <c r="CM2933" s="0" t="s">
        <v>130</v>
      </c>
      <c r="CN2933" s="0" t="s">
        <v>130</v>
      </c>
      <c r="CO2933" s="0" t="s">
        <v>130</v>
      </c>
      <c r="CP2933" s="0" t="s">
        <v>130</v>
      </c>
      <c r="CQ2933" s="0" t="s">
        <v>130</v>
      </c>
      <c r="CR2933" s="0" t="s">
        <v>130</v>
      </c>
      <c r="CS2933" s="0" t="s">
        <v>130</v>
      </c>
      <c r="CT2933" s="0" t="s">
        <v>7910</v>
      </c>
    </row>
    <row r="2934">
      <c r="A2934" s="14">
        <v>11204665</v>
      </c>
      <c r="B2934" s="0" t="s">
        <v>3998</v>
      </c>
      <c r="C2934" s="16">
        <f>HYPERLINK("https://eosportal.federatedhermes.com/companies/Q29tcGFueQppNjQ2NDE=", "Brambles Ltd")</f>
      </c>
      <c r="D2934" s="0" t="s">
        <v>25</v>
      </c>
      <c r="E2934" s="0" t="s">
        <v>968</v>
      </c>
      <c r="F2934" s="16">
        <f>HYPERLINK("https://eosportal.federatedhermes.com/engagements/RW5nYWdlbWVudAppNDA4Mzg=", "Board effectiveness")</f>
      </c>
      <c r="G2934" s="14" t="s">
        <v>7911</v>
      </c>
      <c r="H2934" s="0" t="s">
        <v>130</v>
      </c>
      <c r="I2934" s="14" t="s">
        <v>319</v>
      </c>
      <c r="J2934" s="0" t="s">
        <v>145</v>
      </c>
      <c r="K2934" s="0" t="s">
        <v>164</v>
      </c>
      <c r="L2934" s="0" t="s">
        <v>970</v>
      </c>
      <c r="M2934" s="0" t="s">
        <v>371</v>
      </c>
      <c r="N2934" s="0" t="s">
        <v>372</v>
      </c>
      <c r="O2934" s="0" t="s">
        <v>176</v>
      </c>
      <c r="Q2934" s="0" t="s">
        <v>141</v>
      </c>
      <c r="R2934" s="0" t="s">
        <v>138</v>
      </c>
      <c r="S2934" s="14">
        <v>2</v>
      </c>
      <c r="T2934" s="0" t="s">
        <v>361</v>
      </c>
      <c r="U2934" s="0" t="s">
        <v>138</v>
      </c>
      <c r="V2934" s="14" t="s">
        <v>138</v>
      </c>
      <c r="W2934" s="0" t="s">
        <v>138</v>
      </c>
      <c r="X2934" s="14" t="s">
        <v>138</v>
      </c>
      <c r="Y2934" s="0" t="s">
        <v>138</v>
      </c>
      <c r="Z2934" s="14" t="s">
        <v>138</v>
      </c>
      <c r="AA2934" s="0" t="s">
        <v>138</v>
      </c>
      <c r="AB2934" s="14" t="s">
        <v>138</v>
      </c>
      <c r="AD2934" s="0" t="s">
        <v>138</v>
      </c>
      <c r="AF2934" s="0">
        <v>0</v>
      </c>
      <c r="AG2934" s="0">
        <v>0</v>
      </c>
      <c r="AH2934" s="0" t="s">
        <v>140</v>
      </c>
      <c r="AI2934" s="0" t="s">
        <v>138</v>
      </c>
      <c r="AK2934" s="0" t="s">
        <v>2741</v>
      </c>
      <c r="AL2934" s="14"/>
      <c r="AN2934" s="14"/>
      <c r="AQ2934" s="0" t="s">
        <v>130</v>
      </c>
      <c r="AR2934" s="0" t="s">
        <v>130</v>
      </c>
      <c r="AS2934" s="0" t="s">
        <v>130</v>
      </c>
      <c r="AT2934" s="0" t="s">
        <v>130</v>
      </c>
      <c r="AU2934" s="0" t="s">
        <v>130</v>
      </c>
      <c r="AV2934" s="0" t="s">
        <v>130</v>
      </c>
      <c r="AW2934" s="0" t="s">
        <v>130</v>
      </c>
      <c r="AX2934" s="0" t="s">
        <v>130</v>
      </c>
      <c r="AY2934" s="0" t="s">
        <v>130</v>
      </c>
      <c r="AZ2934" s="0" t="s">
        <v>130</v>
      </c>
      <c r="BA2934" s="0" t="s">
        <v>130</v>
      </c>
      <c r="BB2934" s="0" t="s">
        <v>130</v>
      </c>
      <c r="BC2934" s="0" t="s">
        <v>130</v>
      </c>
      <c r="BD2934" s="0" t="s">
        <v>130</v>
      </c>
      <c r="BE2934" s="0" t="s">
        <v>130</v>
      </c>
      <c r="BF2934" s="0" t="s">
        <v>130</v>
      </c>
      <c r="BG2934" s="0" t="s">
        <v>130</v>
      </c>
      <c r="BH2934" s="0" t="s">
        <v>130</v>
      </c>
      <c r="BI2934" s="0" t="s">
        <v>130</v>
      </c>
      <c r="BJ2934" s="0" t="s">
        <v>130</v>
      </c>
      <c r="BK2934" s="0" t="s">
        <v>130</v>
      </c>
      <c r="BL2934" s="0" t="s">
        <v>130</v>
      </c>
      <c r="BM2934" s="0" t="s">
        <v>130</v>
      </c>
      <c r="BN2934" s="0" t="s">
        <v>130</v>
      </c>
      <c r="BO2934" s="0" t="s">
        <v>130</v>
      </c>
      <c r="BP2934" s="0" t="s">
        <v>130</v>
      </c>
      <c r="BQ2934" s="0" t="s">
        <v>130</v>
      </c>
      <c r="BR2934" s="0" t="s">
        <v>130</v>
      </c>
      <c r="BS2934" s="0" t="s">
        <v>130</v>
      </c>
      <c r="BT2934" s="0" t="s">
        <v>130</v>
      </c>
      <c r="BU2934" s="0" t="s">
        <v>130</v>
      </c>
      <c r="BV2934" s="0" t="s">
        <v>130</v>
      </c>
      <c r="BW2934" s="0" t="s">
        <v>130</v>
      </c>
      <c r="BX2934" s="0" t="s">
        <v>130</v>
      </c>
      <c r="BY2934" s="0" t="s">
        <v>130</v>
      </c>
      <c r="BZ2934" s="0" t="s">
        <v>130</v>
      </c>
      <c r="CA2934" s="0" t="s">
        <v>130</v>
      </c>
      <c r="CB2934" s="0" t="s">
        <v>130</v>
      </c>
      <c r="CC2934" s="0" t="s">
        <v>130</v>
      </c>
      <c r="CD2934" s="0" t="s">
        <v>130</v>
      </c>
      <c r="CE2934" s="0" t="s">
        <v>130</v>
      </c>
      <c r="CF2934" s="0" t="s">
        <v>130</v>
      </c>
      <c r="CG2934" s="0" t="s">
        <v>130</v>
      </c>
      <c r="CH2934" s="0" t="s">
        <v>130</v>
      </c>
      <c r="CI2934" s="0" t="s">
        <v>130</v>
      </c>
      <c r="CJ2934" s="0" t="s">
        <v>130</v>
      </c>
      <c r="CK2934" s="0" t="s">
        <v>130</v>
      </c>
      <c r="CL2934" s="0" t="s">
        <v>130</v>
      </c>
      <c r="CM2934" s="0" t="s">
        <v>130</v>
      </c>
      <c r="CN2934" s="0" t="s">
        <v>130</v>
      </c>
      <c r="CO2934" s="0" t="s">
        <v>130</v>
      </c>
      <c r="CP2934" s="0" t="s">
        <v>130</v>
      </c>
      <c r="CQ2934" s="0" t="s">
        <v>130</v>
      </c>
      <c r="CR2934" s="0" t="s">
        <v>130</v>
      </c>
      <c r="CS2934" s="0" t="s">
        <v>130</v>
      </c>
      <c r="CT2934" s="0" t="s">
        <v>7912</v>
      </c>
    </row>
    <row r="2935">
      <c r="A2935" s="14">
        <v>105995</v>
      </c>
      <c r="B2935" s="0" t="s">
        <v>6985</v>
      </c>
      <c r="C2935" s="16">
        <f>HYPERLINK("https://eosportal.federatedhermes.com/companies/Q29tcGFueQppODUwNTg=", "Paychex Inc")</f>
      </c>
      <c r="D2935" s="0" t="s">
        <v>23</v>
      </c>
      <c r="E2935" s="0" t="s">
        <v>937</v>
      </c>
      <c r="F2935" s="16">
        <f>HYPERLINK("https://eosportal.federatedhermes.com/engagements/RW5nYWdlbWVudAppNDA4OTk=", "CEO Shareholding Requirements")</f>
      </c>
      <c r="G2935" s="14" t="s">
        <v>7913</v>
      </c>
      <c r="H2935" s="0" t="s">
        <v>130</v>
      </c>
      <c r="I2935" s="14" t="s">
        <v>319</v>
      </c>
      <c r="J2935" s="0" t="s">
        <v>145</v>
      </c>
      <c r="K2935" s="0" t="s">
        <v>146</v>
      </c>
      <c r="L2935" s="0" t="s">
        <v>147</v>
      </c>
      <c r="M2935" s="0" t="s">
        <v>135</v>
      </c>
      <c r="N2935" s="0" t="s">
        <v>136</v>
      </c>
      <c r="O2935" s="0" t="s">
        <v>137</v>
      </c>
      <c r="Q2935" s="0" t="s">
        <v>130</v>
      </c>
      <c r="R2935" s="0" t="s">
        <v>141</v>
      </c>
      <c r="S2935" s="14">
        <v>0</v>
      </c>
      <c r="T2935" s="0" t="s">
        <v>361</v>
      </c>
      <c r="U2935" s="0" t="s">
        <v>221</v>
      </c>
      <c r="V2935" s="14" t="s">
        <v>361</v>
      </c>
      <c r="W2935" s="0" t="s">
        <v>223</v>
      </c>
      <c r="X2935" s="14" t="s">
        <v>138</v>
      </c>
      <c r="Y2935" s="0" t="s">
        <v>224</v>
      </c>
      <c r="Z2935" s="14" t="s">
        <v>138</v>
      </c>
      <c r="AA2935" s="0" t="s">
        <v>224</v>
      </c>
      <c r="AB2935" s="14" t="s">
        <v>138</v>
      </c>
      <c r="AC2935" s="0" t="s">
        <v>11</v>
      </c>
      <c r="AD2935" s="0" t="s">
        <v>14</v>
      </c>
      <c r="AE2935" s="0" t="s">
        <v>7914</v>
      </c>
      <c r="AF2935" s="0">
        <v>1</v>
      </c>
      <c r="AG2935" s="0">
        <v>0</v>
      </c>
      <c r="AH2935" s="0" t="s">
        <v>140</v>
      </c>
      <c r="AI2935" s="0" t="s">
        <v>598</v>
      </c>
      <c r="AL2935" s="14"/>
      <c r="AN2935" s="14"/>
      <c r="AQ2935" s="0" t="s">
        <v>130</v>
      </c>
      <c r="AR2935" s="0" t="s">
        <v>130</v>
      </c>
      <c r="AS2935" s="0" t="s">
        <v>130</v>
      </c>
      <c r="AT2935" s="0" t="s">
        <v>130</v>
      </c>
      <c r="AU2935" s="0" t="s">
        <v>130</v>
      </c>
      <c r="AV2935" s="0" t="s">
        <v>130</v>
      </c>
      <c r="AW2935" s="0" t="s">
        <v>130</v>
      </c>
      <c r="AX2935" s="0" t="s">
        <v>130</v>
      </c>
      <c r="AY2935" s="0" t="s">
        <v>130</v>
      </c>
      <c r="AZ2935" s="0" t="s">
        <v>130</v>
      </c>
      <c r="BA2935" s="0" t="s">
        <v>130</v>
      </c>
      <c r="BB2935" s="0" t="s">
        <v>130</v>
      </c>
      <c r="BC2935" s="0" t="s">
        <v>130</v>
      </c>
      <c r="BD2935" s="0" t="s">
        <v>130</v>
      </c>
      <c r="BE2935" s="0" t="s">
        <v>130</v>
      </c>
      <c r="BF2935" s="0" t="s">
        <v>130</v>
      </c>
      <c r="BG2935" s="0" t="s">
        <v>130</v>
      </c>
      <c r="BH2935" s="0" t="s">
        <v>130</v>
      </c>
      <c r="BI2935" s="0" t="s">
        <v>130</v>
      </c>
      <c r="BJ2935" s="0" t="s">
        <v>130</v>
      </c>
      <c r="BK2935" s="0" t="s">
        <v>130</v>
      </c>
      <c r="BL2935" s="0" t="s">
        <v>130</v>
      </c>
      <c r="BM2935" s="0" t="s">
        <v>130</v>
      </c>
      <c r="BN2935" s="0" t="s">
        <v>130</v>
      </c>
      <c r="BO2935" s="0" t="s">
        <v>130</v>
      </c>
      <c r="BP2935" s="0" t="s">
        <v>130</v>
      </c>
      <c r="BQ2935" s="0" t="s">
        <v>130</v>
      </c>
      <c r="BR2935" s="0" t="s">
        <v>130</v>
      </c>
      <c r="BS2935" s="0" t="s">
        <v>130</v>
      </c>
      <c r="BT2935" s="0" t="s">
        <v>130</v>
      </c>
      <c r="BU2935" s="0" t="s">
        <v>130</v>
      </c>
      <c r="BV2935" s="0" t="s">
        <v>130</v>
      </c>
      <c r="BW2935" s="0" t="s">
        <v>130</v>
      </c>
      <c r="BX2935" s="0" t="s">
        <v>130</v>
      </c>
      <c r="BY2935" s="0" t="s">
        <v>130</v>
      </c>
      <c r="BZ2935" s="0" t="s">
        <v>130</v>
      </c>
      <c r="CA2935" s="0" t="s">
        <v>130</v>
      </c>
      <c r="CB2935" s="0" t="s">
        <v>130</v>
      </c>
      <c r="CC2935" s="0" t="s">
        <v>130</v>
      </c>
      <c r="CD2935" s="0" t="s">
        <v>130</v>
      </c>
      <c r="CE2935" s="0" t="s">
        <v>130</v>
      </c>
      <c r="CF2935" s="0" t="s">
        <v>130</v>
      </c>
      <c r="CG2935" s="0" t="s">
        <v>130</v>
      </c>
      <c r="CH2935" s="0" t="s">
        <v>130</v>
      </c>
      <c r="CI2935" s="0" t="s">
        <v>130</v>
      </c>
      <c r="CJ2935" s="0" t="s">
        <v>130</v>
      </c>
      <c r="CK2935" s="0" t="s">
        <v>130</v>
      </c>
      <c r="CL2935" s="0" t="s">
        <v>130</v>
      </c>
      <c r="CM2935" s="0" t="s">
        <v>130</v>
      </c>
      <c r="CN2935" s="0" t="s">
        <v>130</v>
      </c>
      <c r="CO2935" s="0" t="s">
        <v>130</v>
      </c>
      <c r="CP2935" s="0" t="s">
        <v>130</v>
      </c>
      <c r="CQ2935" s="0" t="s">
        <v>130</v>
      </c>
      <c r="CR2935" s="0" t="s">
        <v>130</v>
      </c>
      <c r="CS2935" s="0" t="s">
        <v>130</v>
      </c>
      <c r="CT2935" s="0" t="s">
        <v>7915</v>
      </c>
    </row>
    <row r="2936">
      <c r="A2936" s="14">
        <v>348768</v>
      </c>
      <c r="B2936" s="0" t="s">
        <v>7916</v>
      </c>
      <c r="C2936" s="16">
        <f>HYPERLINK("https://eosportal.federatedhermes.com/companies/Q29tcGFueQppNTg5Nzc=", "Goldman Sachs Group Inc/The")</f>
      </c>
      <c r="D2936" s="0" t="s">
        <v>23</v>
      </c>
      <c r="E2936" s="0" t="s">
        <v>7746</v>
      </c>
      <c r="F2936" s="16">
        <f>HYPERLINK("https://eosportal.federatedhermes.com/engagements/RW5nYWdlbWVudAppNDA5MDA=", "Methane Reduction Strategy")</f>
      </c>
      <c r="G2936" s="14" t="s">
        <v>7747</v>
      </c>
      <c r="H2936" s="0" t="s">
        <v>141</v>
      </c>
      <c r="I2936" s="14" t="s">
        <v>191</v>
      </c>
      <c r="J2936" s="0" t="s">
        <v>197</v>
      </c>
      <c r="K2936" s="0" t="s">
        <v>198</v>
      </c>
      <c r="L2936" s="0" t="s">
        <v>216</v>
      </c>
      <c r="M2936" s="0" t="s">
        <v>135</v>
      </c>
      <c r="N2936" s="0" t="s">
        <v>136</v>
      </c>
      <c r="O2936" s="0" t="s">
        <v>238</v>
      </c>
      <c r="Q2936" s="0" t="s">
        <v>130</v>
      </c>
      <c r="R2936" s="0" t="s">
        <v>141</v>
      </c>
      <c r="S2936" s="14">
        <v>0</v>
      </c>
      <c r="T2936" s="0" t="s">
        <v>361</v>
      </c>
      <c r="U2936" s="0" t="s">
        <v>221</v>
      </c>
      <c r="V2936" s="14" t="s">
        <v>361</v>
      </c>
      <c r="W2936" s="0" t="s">
        <v>223</v>
      </c>
      <c r="X2936" s="14" t="s">
        <v>138</v>
      </c>
      <c r="Y2936" s="0" t="s">
        <v>224</v>
      </c>
      <c r="Z2936" s="14" t="s">
        <v>138</v>
      </c>
      <c r="AA2936" s="0" t="s">
        <v>224</v>
      </c>
      <c r="AB2936" s="14" t="s">
        <v>138</v>
      </c>
      <c r="AC2936" s="0" t="s">
        <v>11</v>
      </c>
      <c r="AD2936" s="0" t="s">
        <v>14</v>
      </c>
      <c r="AE2936" s="0" t="s">
        <v>7914</v>
      </c>
      <c r="AF2936" s="0">
        <v>1</v>
      </c>
      <c r="AG2936" s="0">
        <v>0</v>
      </c>
      <c r="AH2936" s="0" t="s">
        <v>140</v>
      </c>
      <c r="AI2936" s="0" t="s">
        <v>598</v>
      </c>
      <c r="AL2936" s="14"/>
      <c r="AN2936" s="14"/>
      <c r="AQ2936" s="0" t="s">
        <v>130</v>
      </c>
      <c r="AR2936" s="0" t="s">
        <v>130</v>
      </c>
      <c r="AS2936" s="0" t="s">
        <v>130</v>
      </c>
      <c r="AT2936" s="0" t="s">
        <v>130</v>
      </c>
      <c r="AU2936" s="0" t="s">
        <v>130</v>
      </c>
      <c r="AV2936" s="0" t="s">
        <v>130</v>
      </c>
      <c r="AW2936" s="0" t="s">
        <v>141</v>
      </c>
      <c r="AX2936" s="0" t="s">
        <v>130</v>
      </c>
      <c r="AY2936" s="0" t="s">
        <v>130</v>
      </c>
      <c r="AZ2936" s="0" t="s">
        <v>130</v>
      </c>
      <c r="BA2936" s="0" t="s">
        <v>130</v>
      </c>
      <c r="BB2936" s="0" t="s">
        <v>130</v>
      </c>
      <c r="BC2936" s="0" t="s">
        <v>141</v>
      </c>
      <c r="BD2936" s="0" t="s">
        <v>130</v>
      </c>
      <c r="BE2936" s="0" t="s">
        <v>130</v>
      </c>
      <c r="BF2936" s="0" t="s">
        <v>130</v>
      </c>
      <c r="BG2936" s="0" t="s">
        <v>130</v>
      </c>
      <c r="BH2936" s="0" t="s">
        <v>141</v>
      </c>
      <c r="BI2936" s="0" t="s">
        <v>141</v>
      </c>
      <c r="BJ2936" s="0" t="s">
        <v>141</v>
      </c>
      <c r="BK2936" s="0" t="s">
        <v>130</v>
      </c>
      <c r="BL2936" s="0" t="s">
        <v>130</v>
      </c>
      <c r="BM2936" s="0" t="s">
        <v>130</v>
      </c>
      <c r="BN2936" s="0" t="s">
        <v>130</v>
      </c>
      <c r="BO2936" s="0" t="s">
        <v>130</v>
      </c>
      <c r="BP2936" s="0" t="s">
        <v>130</v>
      </c>
      <c r="BQ2936" s="0" t="s">
        <v>130</v>
      </c>
      <c r="BR2936" s="0" t="s">
        <v>130</v>
      </c>
      <c r="BS2936" s="0" t="s">
        <v>130</v>
      </c>
      <c r="BT2936" s="0" t="s">
        <v>130</v>
      </c>
      <c r="BU2936" s="0" t="s">
        <v>130</v>
      </c>
      <c r="BV2936" s="0" t="s">
        <v>141</v>
      </c>
      <c r="BW2936" s="0" t="s">
        <v>141</v>
      </c>
      <c r="BX2936" s="0" t="s">
        <v>130</v>
      </c>
      <c r="BY2936" s="0" t="s">
        <v>130</v>
      </c>
      <c r="BZ2936" s="0" t="s">
        <v>130</v>
      </c>
      <c r="CA2936" s="0" t="s">
        <v>130</v>
      </c>
      <c r="CB2936" s="0" t="s">
        <v>130</v>
      </c>
      <c r="CC2936" s="0" t="s">
        <v>130</v>
      </c>
      <c r="CD2936" s="0" t="s">
        <v>130</v>
      </c>
      <c r="CE2936" s="0" t="s">
        <v>130</v>
      </c>
      <c r="CF2936" s="0" t="s">
        <v>130</v>
      </c>
      <c r="CG2936" s="0" t="s">
        <v>130</v>
      </c>
      <c r="CH2936" s="0" t="s">
        <v>130</v>
      </c>
      <c r="CI2936" s="0" t="s">
        <v>130</v>
      </c>
      <c r="CJ2936" s="0" t="s">
        <v>130</v>
      </c>
      <c r="CK2936" s="0" t="s">
        <v>130</v>
      </c>
      <c r="CL2936" s="0" t="s">
        <v>130</v>
      </c>
      <c r="CM2936" s="0" t="s">
        <v>130</v>
      </c>
      <c r="CN2936" s="0" t="s">
        <v>130</v>
      </c>
      <c r="CO2936" s="0" t="s">
        <v>130</v>
      </c>
      <c r="CP2936" s="0" t="s">
        <v>130</v>
      </c>
      <c r="CQ2936" s="0" t="s">
        <v>130</v>
      </c>
      <c r="CR2936" s="0" t="s">
        <v>130</v>
      </c>
      <c r="CS2936" s="0" t="s">
        <v>130</v>
      </c>
      <c r="CT2936" s="0" t="s">
        <v>7917</v>
      </c>
    </row>
    <row r="2937">
      <c r="A2937" s="14">
        <v>225906</v>
      </c>
      <c r="B2937" s="0" t="s">
        <v>3499</v>
      </c>
      <c r="C2937" s="16">
        <f>HYPERLINK("https://eosportal.federatedhermes.com/companies/Q29tcGFueQppNTg5ODU=", "Valero Energy Corp")</f>
      </c>
      <c r="D2937" s="0" t="s">
        <v>23</v>
      </c>
      <c r="E2937" s="0" t="s">
        <v>746</v>
      </c>
      <c r="F2937" s="16">
        <f>HYPERLINK("https://eosportal.federatedhermes.com/engagements/RW5nYWdlbWVudAppNDA5MDI=", "Improved climate-related financial disclosures")</f>
      </c>
      <c r="G2937" s="14" t="s">
        <v>747</v>
      </c>
      <c r="H2937" s="0" t="s">
        <v>141</v>
      </c>
      <c r="I2937" s="14" t="s">
        <v>191</v>
      </c>
      <c r="J2937" s="0" t="s">
        <v>197</v>
      </c>
      <c r="K2937" s="0" t="s">
        <v>198</v>
      </c>
      <c r="L2937" s="0" t="s">
        <v>199</v>
      </c>
      <c r="M2937" s="0" t="s">
        <v>135</v>
      </c>
      <c r="N2937" s="0" t="s">
        <v>136</v>
      </c>
      <c r="O2937" s="0" t="s">
        <v>542</v>
      </c>
      <c r="Q2937" s="0" t="s">
        <v>141</v>
      </c>
      <c r="R2937" s="0" t="s">
        <v>130</v>
      </c>
      <c r="S2937" s="14">
        <v>1</v>
      </c>
      <c r="T2937" s="0" t="s">
        <v>449</v>
      </c>
      <c r="U2937" s="0" t="s">
        <v>221</v>
      </c>
      <c r="V2937" s="14" t="s">
        <v>449</v>
      </c>
      <c r="W2937" s="0" t="s">
        <v>221</v>
      </c>
      <c r="X2937" s="14" t="s">
        <v>449</v>
      </c>
      <c r="Y2937" s="0" t="s">
        <v>223</v>
      </c>
      <c r="Z2937" s="14" t="s">
        <v>138</v>
      </c>
      <c r="AA2937" s="0" t="s">
        <v>224</v>
      </c>
      <c r="AB2937" s="14" t="s">
        <v>138</v>
      </c>
      <c r="AD2937" s="0" t="s">
        <v>17</v>
      </c>
      <c r="AF2937" s="0">
        <v>0</v>
      </c>
      <c r="AG2937" s="0">
        <v>0</v>
      </c>
      <c r="AH2937" s="0" t="s">
        <v>140</v>
      </c>
      <c r="AI2937" s="0" t="s">
        <v>598</v>
      </c>
      <c r="AK2937" s="0" t="s">
        <v>1386</v>
      </c>
      <c r="AL2937" s="14"/>
      <c r="AN2937" s="14"/>
      <c r="AQ2937" s="0" t="s">
        <v>130</v>
      </c>
      <c r="AR2937" s="0" t="s">
        <v>130</v>
      </c>
      <c r="AS2937" s="0" t="s">
        <v>130</v>
      </c>
      <c r="AT2937" s="0" t="s">
        <v>130</v>
      </c>
      <c r="AU2937" s="0" t="s">
        <v>130</v>
      </c>
      <c r="AV2937" s="0" t="s">
        <v>130</v>
      </c>
      <c r="AW2937" s="0" t="s">
        <v>130</v>
      </c>
      <c r="AX2937" s="0" t="s">
        <v>130</v>
      </c>
      <c r="AY2937" s="0" t="s">
        <v>130</v>
      </c>
      <c r="AZ2937" s="0" t="s">
        <v>130</v>
      </c>
      <c r="BA2937" s="0" t="s">
        <v>130</v>
      </c>
      <c r="BB2937" s="0" t="s">
        <v>141</v>
      </c>
      <c r="BC2937" s="0" t="s">
        <v>130</v>
      </c>
      <c r="BD2937" s="0" t="s">
        <v>130</v>
      </c>
      <c r="BE2937" s="0" t="s">
        <v>130</v>
      </c>
      <c r="BF2937" s="0" t="s">
        <v>130</v>
      </c>
      <c r="BG2937" s="0" t="s">
        <v>130</v>
      </c>
      <c r="BH2937" s="0" t="s">
        <v>130</v>
      </c>
      <c r="BI2937" s="0" t="s">
        <v>130</v>
      </c>
      <c r="BJ2937" s="0" t="s">
        <v>130</v>
      </c>
      <c r="BK2937" s="0" t="s">
        <v>130</v>
      </c>
      <c r="BL2937" s="0" t="s">
        <v>130</v>
      </c>
      <c r="BM2937" s="0" t="s">
        <v>130</v>
      </c>
      <c r="BN2937" s="0" t="s">
        <v>130</v>
      </c>
      <c r="BO2937" s="0" t="s">
        <v>130</v>
      </c>
      <c r="BP2937" s="0" t="s">
        <v>130</v>
      </c>
      <c r="BQ2937" s="0" t="s">
        <v>130</v>
      </c>
      <c r="BR2937" s="0" t="s">
        <v>130</v>
      </c>
      <c r="BS2937" s="0" t="s">
        <v>130</v>
      </c>
      <c r="BT2937" s="0" t="s">
        <v>130</v>
      </c>
      <c r="BU2937" s="0" t="s">
        <v>130</v>
      </c>
      <c r="BV2937" s="0" t="s">
        <v>130</v>
      </c>
      <c r="BW2937" s="0" t="s">
        <v>130</v>
      </c>
      <c r="BX2937" s="0" t="s">
        <v>130</v>
      </c>
      <c r="BY2937" s="0" t="s">
        <v>130</v>
      </c>
      <c r="BZ2937" s="0" t="s">
        <v>130</v>
      </c>
      <c r="CA2937" s="0" t="s">
        <v>130</v>
      </c>
      <c r="CB2937" s="0" t="s">
        <v>130</v>
      </c>
      <c r="CC2937" s="0" t="s">
        <v>130</v>
      </c>
      <c r="CD2937" s="0" t="s">
        <v>130</v>
      </c>
      <c r="CE2937" s="0" t="s">
        <v>130</v>
      </c>
      <c r="CF2937" s="0" t="s">
        <v>130</v>
      </c>
      <c r="CG2937" s="0" t="s">
        <v>130</v>
      </c>
      <c r="CH2937" s="0" t="s">
        <v>130</v>
      </c>
      <c r="CI2937" s="0" t="s">
        <v>130</v>
      </c>
      <c r="CJ2937" s="0" t="s">
        <v>130</v>
      </c>
      <c r="CK2937" s="0" t="s">
        <v>130</v>
      </c>
      <c r="CL2937" s="0" t="s">
        <v>130</v>
      </c>
      <c r="CM2937" s="0" t="s">
        <v>130</v>
      </c>
      <c r="CN2937" s="0" t="s">
        <v>130</v>
      </c>
      <c r="CO2937" s="0" t="s">
        <v>130</v>
      </c>
      <c r="CP2937" s="0" t="s">
        <v>130</v>
      </c>
      <c r="CQ2937" s="0" t="s">
        <v>130</v>
      </c>
      <c r="CR2937" s="0" t="s">
        <v>130</v>
      </c>
      <c r="CS2937" s="0" t="s">
        <v>130</v>
      </c>
      <c r="CT2937" s="0" t="s">
        <v>7918</v>
      </c>
    </row>
    <row r="2938">
      <c r="A2938" s="14">
        <v>28569160</v>
      </c>
      <c r="B2938" s="0" t="s">
        <v>4370</v>
      </c>
      <c r="C2938" s="16">
        <f>HYPERLINK("https://eosportal.federatedhermes.com/companies/Q29tcGFueQppNTg5NDE=", "Uber Technologies Inc")</f>
      </c>
      <c r="D2938" s="0" t="s">
        <v>23</v>
      </c>
      <c r="E2938" s="0" t="s">
        <v>7919</v>
      </c>
      <c r="F2938" s="16">
        <f>HYPERLINK("https://eosportal.federatedhermes.com/engagements/RW5nYWdlbWVudAppNDA5MTU=", "autonomous vehicle (AV) board oversight")</f>
      </c>
      <c r="G2938" s="14" t="s">
        <v>7920</v>
      </c>
      <c r="H2938" s="0" t="s">
        <v>141</v>
      </c>
      <c r="I2938" s="14" t="s">
        <v>131</v>
      </c>
      <c r="J2938" s="0" t="s">
        <v>132</v>
      </c>
      <c r="K2938" s="0" t="s">
        <v>260</v>
      </c>
      <c r="L2938" s="0" t="s">
        <v>261</v>
      </c>
      <c r="M2938" s="0" t="s">
        <v>135</v>
      </c>
      <c r="N2938" s="0" t="s">
        <v>136</v>
      </c>
      <c r="O2938" s="0" t="s">
        <v>425</v>
      </c>
      <c r="Q2938" s="0" t="s">
        <v>141</v>
      </c>
      <c r="R2938" s="0" t="s">
        <v>141</v>
      </c>
      <c r="S2938" s="14">
        <v>1</v>
      </c>
      <c r="T2938" s="0" t="s">
        <v>449</v>
      </c>
      <c r="U2938" s="0" t="s">
        <v>221</v>
      </c>
      <c r="V2938" s="14" t="s">
        <v>449</v>
      </c>
      <c r="W2938" s="0" t="s">
        <v>221</v>
      </c>
      <c r="X2938" s="14" t="s">
        <v>361</v>
      </c>
      <c r="Y2938" s="0" t="s">
        <v>223</v>
      </c>
      <c r="Z2938" s="14" t="s">
        <v>138</v>
      </c>
      <c r="AA2938" s="0" t="s">
        <v>224</v>
      </c>
      <c r="AB2938" s="14" t="s">
        <v>138</v>
      </c>
      <c r="AC2938" s="0" t="s">
        <v>14</v>
      </c>
      <c r="AD2938" s="0" t="s">
        <v>17</v>
      </c>
      <c r="AE2938" s="0" t="s">
        <v>5508</v>
      </c>
      <c r="AF2938" s="0">
        <v>1</v>
      </c>
      <c r="AG2938" s="0">
        <v>0</v>
      </c>
      <c r="AH2938" s="0" t="s">
        <v>140</v>
      </c>
      <c r="AI2938" s="0" t="s">
        <v>598</v>
      </c>
      <c r="AK2938" s="0" t="s">
        <v>2376</v>
      </c>
      <c r="AL2938" s="14"/>
      <c r="AN2938" s="14"/>
      <c r="AQ2938" s="0" t="s">
        <v>130</v>
      </c>
      <c r="AR2938" s="0" t="s">
        <v>130</v>
      </c>
      <c r="AS2938" s="0" t="s">
        <v>130</v>
      </c>
      <c r="AT2938" s="0" t="s">
        <v>130</v>
      </c>
      <c r="AU2938" s="0" t="s">
        <v>130</v>
      </c>
      <c r="AV2938" s="0" t="s">
        <v>130</v>
      </c>
      <c r="AW2938" s="0" t="s">
        <v>130</v>
      </c>
      <c r="AX2938" s="0" t="s">
        <v>130</v>
      </c>
      <c r="AY2938" s="0" t="s">
        <v>130</v>
      </c>
      <c r="AZ2938" s="0" t="s">
        <v>130</v>
      </c>
      <c r="BA2938" s="0" t="s">
        <v>130</v>
      </c>
      <c r="BB2938" s="0" t="s">
        <v>130</v>
      </c>
      <c r="BC2938" s="0" t="s">
        <v>130</v>
      </c>
      <c r="BD2938" s="0" t="s">
        <v>130</v>
      </c>
      <c r="BE2938" s="0" t="s">
        <v>130</v>
      </c>
      <c r="BF2938" s="0" t="s">
        <v>130</v>
      </c>
      <c r="BG2938" s="0" t="s">
        <v>130</v>
      </c>
      <c r="BH2938" s="0" t="s">
        <v>130</v>
      </c>
      <c r="BI2938" s="0" t="s">
        <v>130</v>
      </c>
      <c r="BJ2938" s="0" t="s">
        <v>130</v>
      </c>
      <c r="BK2938" s="0" t="s">
        <v>130</v>
      </c>
      <c r="BL2938" s="0" t="s">
        <v>130</v>
      </c>
      <c r="BM2938" s="0" t="s">
        <v>130</v>
      </c>
      <c r="BN2938" s="0" t="s">
        <v>130</v>
      </c>
      <c r="BO2938" s="0" t="s">
        <v>130</v>
      </c>
      <c r="BP2938" s="0" t="s">
        <v>130</v>
      </c>
      <c r="BQ2938" s="0" t="s">
        <v>130</v>
      </c>
      <c r="BR2938" s="0" t="s">
        <v>130</v>
      </c>
      <c r="BS2938" s="0" t="s">
        <v>130</v>
      </c>
      <c r="BT2938" s="0" t="s">
        <v>130</v>
      </c>
      <c r="BU2938" s="0" t="s">
        <v>130</v>
      </c>
      <c r="BV2938" s="0" t="s">
        <v>130</v>
      </c>
      <c r="BW2938" s="0" t="s">
        <v>130</v>
      </c>
      <c r="BX2938" s="0" t="s">
        <v>130</v>
      </c>
      <c r="BY2938" s="0" t="s">
        <v>130</v>
      </c>
      <c r="BZ2938" s="0" t="s">
        <v>130</v>
      </c>
      <c r="CA2938" s="0" t="s">
        <v>130</v>
      </c>
      <c r="CB2938" s="0" t="s">
        <v>130</v>
      </c>
      <c r="CC2938" s="0" t="s">
        <v>130</v>
      </c>
      <c r="CD2938" s="0" t="s">
        <v>130</v>
      </c>
      <c r="CE2938" s="0" t="s">
        <v>130</v>
      </c>
      <c r="CF2938" s="0" t="s">
        <v>130</v>
      </c>
      <c r="CG2938" s="0" t="s">
        <v>130</v>
      </c>
      <c r="CH2938" s="0" t="s">
        <v>130</v>
      </c>
      <c r="CI2938" s="0" t="s">
        <v>130</v>
      </c>
      <c r="CJ2938" s="0" t="s">
        <v>130</v>
      </c>
      <c r="CK2938" s="0" t="s">
        <v>130</v>
      </c>
      <c r="CL2938" s="0" t="s">
        <v>130</v>
      </c>
      <c r="CM2938" s="0" t="s">
        <v>130</v>
      </c>
      <c r="CN2938" s="0" t="s">
        <v>130</v>
      </c>
      <c r="CO2938" s="0" t="s">
        <v>130</v>
      </c>
      <c r="CP2938" s="0" t="s">
        <v>130</v>
      </c>
      <c r="CQ2938" s="0" t="s">
        <v>130</v>
      </c>
      <c r="CR2938" s="0" t="s">
        <v>130</v>
      </c>
      <c r="CS2938" s="0" t="s">
        <v>130</v>
      </c>
      <c r="CT2938" s="0" t="s">
        <v>7921</v>
      </c>
    </row>
    <row r="2939">
      <c r="A2939" s="14">
        <v>112857</v>
      </c>
      <c r="B2939" s="0" t="s">
        <v>5427</v>
      </c>
      <c r="C2939" s="16">
        <f>HYPERLINK("https://eosportal.federatedhermes.com/companies/Q29tcGFueQppNDYwOTY=", "James Hardie Industries PLC")</f>
      </c>
      <c r="D2939" s="0" t="s">
        <v>25</v>
      </c>
      <c r="E2939" s="0" t="s">
        <v>2999</v>
      </c>
      <c r="F2939" s="16">
        <f>HYPERLINK("https://eosportal.federatedhermes.com/engagements/RW5nYWdlbWVudAppNDA5NDE=", "Shareholder rights")</f>
      </c>
      <c r="G2939" s="14" t="s">
        <v>7922</v>
      </c>
      <c r="H2939" s="0" t="s">
        <v>130</v>
      </c>
      <c r="I2939" s="14" t="s">
        <v>319</v>
      </c>
      <c r="J2939" s="0" t="s">
        <v>145</v>
      </c>
      <c r="K2939" s="0" t="s">
        <v>400</v>
      </c>
      <c r="L2939" s="0" t="s">
        <v>507</v>
      </c>
      <c r="M2939" s="0" t="s">
        <v>378</v>
      </c>
      <c r="N2939" s="0" t="s">
        <v>409</v>
      </c>
      <c r="O2939" s="0" t="s">
        <v>373</v>
      </c>
      <c r="Q2939" s="0" t="s">
        <v>141</v>
      </c>
      <c r="R2939" s="0" t="s">
        <v>138</v>
      </c>
      <c r="S2939" s="14">
        <v>1</v>
      </c>
      <c r="T2939" s="0" t="s">
        <v>361</v>
      </c>
      <c r="U2939" s="0" t="s">
        <v>138</v>
      </c>
      <c r="V2939" s="14" t="s">
        <v>138</v>
      </c>
      <c r="W2939" s="0" t="s">
        <v>138</v>
      </c>
      <c r="X2939" s="14" t="s">
        <v>138</v>
      </c>
      <c r="Y2939" s="0" t="s">
        <v>138</v>
      </c>
      <c r="Z2939" s="14" t="s">
        <v>138</v>
      </c>
      <c r="AA2939" s="0" t="s">
        <v>138</v>
      </c>
      <c r="AB2939" s="14" t="s">
        <v>138</v>
      </c>
      <c r="AD2939" s="0" t="s">
        <v>138</v>
      </c>
      <c r="AF2939" s="0">
        <v>0</v>
      </c>
      <c r="AG2939" s="0">
        <v>0</v>
      </c>
      <c r="AH2939" s="0" t="s">
        <v>140</v>
      </c>
      <c r="AI2939" s="0" t="s">
        <v>138</v>
      </c>
      <c r="AK2939" s="0" t="s">
        <v>2376</v>
      </c>
      <c r="AL2939" s="14"/>
      <c r="AN2939" s="14"/>
      <c r="AQ2939" s="0" t="s">
        <v>130</v>
      </c>
      <c r="AR2939" s="0" t="s">
        <v>130</v>
      </c>
      <c r="AS2939" s="0" t="s">
        <v>130</v>
      </c>
      <c r="AT2939" s="0" t="s">
        <v>130</v>
      </c>
      <c r="AU2939" s="0" t="s">
        <v>130</v>
      </c>
      <c r="AV2939" s="0" t="s">
        <v>130</v>
      </c>
      <c r="AW2939" s="0" t="s">
        <v>130</v>
      </c>
      <c r="AX2939" s="0" t="s">
        <v>130</v>
      </c>
      <c r="AY2939" s="0" t="s">
        <v>130</v>
      </c>
      <c r="AZ2939" s="0" t="s">
        <v>130</v>
      </c>
      <c r="BA2939" s="0" t="s">
        <v>130</v>
      </c>
      <c r="BB2939" s="0" t="s">
        <v>130</v>
      </c>
      <c r="BC2939" s="0" t="s">
        <v>130</v>
      </c>
      <c r="BD2939" s="0" t="s">
        <v>130</v>
      </c>
      <c r="BE2939" s="0" t="s">
        <v>130</v>
      </c>
      <c r="BF2939" s="0" t="s">
        <v>130</v>
      </c>
      <c r="BG2939" s="0" t="s">
        <v>130</v>
      </c>
      <c r="BH2939" s="0" t="s">
        <v>130</v>
      </c>
      <c r="BI2939" s="0" t="s">
        <v>130</v>
      </c>
      <c r="BJ2939" s="0" t="s">
        <v>130</v>
      </c>
      <c r="BK2939" s="0" t="s">
        <v>130</v>
      </c>
      <c r="BL2939" s="0" t="s">
        <v>130</v>
      </c>
      <c r="BM2939" s="0" t="s">
        <v>130</v>
      </c>
      <c r="BN2939" s="0" t="s">
        <v>130</v>
      </c>
      <c r="BO2939" s="0" t="s">
        <v>130</v>
      </c>
      <c r="BP2939" s="0" t="s">
        <v>130</v>
      </c>
      <c r="BQ2939" s="0" t="s">
        <v>130</v>
      </c>
      <c r="BR2939" s="0" t="s">
        <v>130</v>
      </c>
      <c r="BS2939" s="0" t="s">
        <v>130</v>
      </c>
      <c r="BT2939" s="0" t="s">
        <v>130</v>
      </c>
      <c r="BU2939" s="0" t="s">
        <v>130</v>
      </c>
      <c r="BV2939" s="0" t="s">
        <v>130</v>
      </c>
      <c r="BW2939" s="0" t="s">
        <v>130</v>
      </c>
      <c r="BX2939" s="0" t="s">
        <v>130</v>
      </c>
      <c r="BY2939" s="0" t="s">
        <v>130</v>
      </c>
      <c r="BZ2939" s="0" t="s">
        <v>130</v>
      </c>
      <c r="CA2939" s="0" t="s">
        <v>130</v>
      </c>
      <c r="CB2939" s="0" t="s">
        <v>130</v>
      </c>
      <c r="CC2939" s="0" t="s">
        <v>130</v>
      </c>
      <c r="CD2939" s="0" t="s">
        <v>130</v>
      </c>
      <c r="CE2939" s="0" t="s">
        <v>130</v>
      </c>
      <c r="CF2939" s="0" t="s">
        <v>130</v>
      </c>
      <c r="CG2939" s="0" t="s">
        <v>130</v>
      </c>
      <c r="CH2939" s="0" t="s">
        <v>130</v>
      </c>
      <c r="CI2939" s="0" t="s">
        <v>130</v>
      </c>
      <c r="CJ2939" s="0" t="s">
        <v>130</v>
      </c>
      <c r="CK2939" s="0" t="s">
        <v>130</v>
      </c>
      <c r="CL2939" s="0" t="s">
        <v>130</v>
      </c>
      <c r="CM2939" s="0" t="s">
        <v>130</v>
      </c>
      <c r="CN2939" s="0" t="s">
        <v>130</v>
      </c>
      <c r="CO2939" s="0" t="s">
        <v>130</v>
      </c>
      <c r="CP2939" s="0" t="s">
        <v>130</v>
      </c>
      <c r="CQ2939" s="0" t="s">
        <v>130</v>
      </c>
      <c r="CR2939" s="0" t="s">
        <v>130</v>
      </c>
      <c r="CS2939" s="0" t="s">
        <v>130</v>
      </c>
      <c r="CT2939" s="0" t="s">
        <v>7923</v>
      </c>
    </row>
    <row r="2940">
      <c r="A2940" s="14">
        <v>111435</v>
      </c>
      <c r="B2940" s="0" t="s">
        <v>406</v>
      </c>
      <c r="C2940" s="16">
        <f>HYPERLINK("https://eosportal.federatedhermes.com/companies/Q29tcGFueQppNzgyNjk=", "CRH PLC")</f>
      </c>
      <c r="D2940" s="0" t="s">
        <v>25</v>
      </c>
      <c r="E2940" s="0" t="s">
        <v>7924</v>
      </c>
      <c r="F2940" s="16">
        <f>HYPERLINK("https://eosportal.federatedhermes.com/engagements/RW5nYWdlbWVudAppNDA5NDM=", "Corporate Reporting and Audit")</f>
      </c>
      <c r="G2940" s="14" t="s">
        <v>7925</v>
      </c>
      <c r="H2940" s="0" t="s">
        <v>141</v>
      </c>
      <c r="I2940" s="14" t="s">
        <v>191</v>
      </c>
      <c r="J2940" s="0" t="s">
        <v>132</v>
      </c>
      <c r="K2940" s="0" t="s">
        <v>170</v>
      </c>
      <c r="L2940" s="0" t="s">
        <v>310</v>
      </c>
      <c r="M2940" s="0" t="s">
        <v>378</v>
      </c>
      <c r="N2940" s="0" t="s">
        <v>409</v>
      </c>
      <c r="O2940" s="0" t="s">
        <v>373</v>
      </c>
      <c r="Q2940" s="0" t="s">
        <v>141</v>
      </c>
      <c r="R2940" s="0" t="s">
        <v>138</v>
      </c>
      <c r="S2940" s="14">
        <v>2</v>
      </c>
      <c r="T2940" s="0" t="s">
        <v>361</v>
      </c>
      <c r="U2940" s="0" t="s">
        <v>138</v>
      </c>
      <c r="V2940" s="14" t="s">
        <v>138</v>
      </c>
      <c r="W2940" s="0" t="s">
        <v>138</v>
      </c>
      <c r="X2940" s="14" t="s">
        <v>138</v>
      </c>
      <c r="Y2940" s="0" t="s">
        <v>138</v>
      </c>
      <c r="Z2940" s="14" t="s">
        <v>138</v>
      </c>
      <c r="AA2940" s="0" t="s">
        <v>138</v>
      </c>
      <c r="AB2940" s="14" t="s">
        <v>138</v>
      </c>
      <c r="AD2940" s="0" t="s">
        <v>138</v>
      </c>
      <c r="AF2940" s="0">
        <v>0</v>
      </c>
      <c r="AG2940" s="0">
        <v>0</v>
      </c>
      <c r="AH2940" s="0" t="s">
        <v>140</v>
      </c>
      <c r="AI2940" s="0" t="s">
        <v>138</v>
      </c>
      <c r="AK2940" s="0" t="s">
        <v>413</v>
      </c>
      <c r="AL2940" s="14"/>
      <c r="AN2940" s="14"/>
      <c r="AQ2940" s="0" t="s">
        <v>130</v>
      </c>
      <c r="AR2940" s="0" t="s">
        <v>130</v>
      </c>
      <c r="AS2940" s="0" t="s">
        <v>130</v>
      </c>
      <c r="AT2940" s="0" t="s">
        <v>130</v>
      </c>
      <c r="AU2940" s="0" t="s">
        <v>130</v>
      </c>
      <c r="AV2940" s="0" t="s">
        <v>130</v>
      </c>
      <c r="AW2940" s="0" t="s">
        <v>130</v>
      </c>
      <c r="AX2940" s="0" t="s">
        <v>130</v>
      </c>
      <c r="AY2940" s="0" t="s">
        <v>130</v>
      </c>
      <c r="AZ2940" s="0" t="s">
        <v>130</v>
      </c>
      <c r="BA2940" s="0" t="s">
        <v>130</v>
      </c>
      <c r="BB2940" s="0" t="s">
        <v>130</v>
      </c>
      <c r="BC2940" s="0" t="s">
        <v>130</v>
      </c>
      <c r="BD2940" s="0" t="s">
        <v>130</v>
      </c>
      <c r="BE2940" s="0" t="s">
        <v>130</v>
      </c>
      <c r="BF2940" s="0" t="s">
        <v>130</v>
      </c>
      <c r="BG2940" s="0" t="s">
        <v>130</v>
      </c>
      <c r="BH2940" s="0" t="s">
        <v>130</v>
      </c>
      <c r="BI2940" s="0" t="s">
        <v>130</v>
      </c>
      <c r="BJ2940" s="0" t="s">
        <v>130</v>
      </c>
      <c r="BK2940" s="0" t="s">
        <v>130</v>
      </c>
      <c r="BL2940" s="0" t="s">
        <v>130</v>
      </c>
      <c r="BM2940" s="0" t="s">
        <v>130</v>
      </c>
      <c r="BN2940" s="0" t="s">
        <v>130</v>
      </c>
      <c r="BO2940" s="0" t="s">
        <v>130</v>
      </c>
      <c r="BP2940" s="0" t="s">
        <v>130</v>
      </c>
      <c r="BQ2940" s="0" t="s">
        <v>130</v>
      </c>
      <c r="BR2940" s="0" t="s">
        <v>130</v>
      </c>
      <c r="BS2940" s="0" t="s">
        <v>130</v>
      </c>
      <c r="BT2940" s="0" t="s">
        <v>130</v>
      </c>
      <c r="BU2940" s="0" t="s">
        <v>130</v>
      </c>
      <c r="BV2940" s="0" t="s">
        <v>130</v>
      </c>
      <c r="BW2940" s="0" t="s">
        <v>130</v>
      </c>
      <c r="BX2940" s="0" t="s">
        <v>130</v>
      </c>
      <c r="BY2940" s="0" t="s">
        <v>130</v>
      </c>
      <c r="BZ2940" s="0" t="s">
        <v>130</v>
      </c>
      <c r="CA2940" s="0" t="s">
        <v>130</v>
      </c>
      <c r="CB2940" s="0" t="s">
        <v>130</v>
      </c>
      <c r="CC2940" s="0" t="s">
        <v>130</v>
      </c>
      <c r="CD2940" s="0" t="s">
        <v>130</v>
      </c>
      <c r="CE2940" s="0" t="s">
        <v>130</v>
      </c>
      <c r="CF2940" s="0" t="s">
        <v>130</v>
      </c>
      <c r="CG2940" s="0" t="s">
        <v>130</v>
      </c>
      <c r="CH2940" s="0" t="s">
        <v>130</v>
      </c>
      <c r="CI2940" s="0" t="s">
        <v>130</v>
      </c>
      <c r="CJ2940" s="0" t="s">
        <v>130</v>
      </c>
      <c r="CK2940" s="0" t="s">
        <v>130</v>
      </c>
      <c r="CL2940" s="0" t="s">
        <v>130</v>
      </c>
      <c r="CM2940" s="0" t="s">
        <v>130</v>
      </c>
      <c r="CN2940" s="0" t="s">
        <v>130</v>
      </c>
      <c r="CO2940" s="0" t="s">
        <v>130</v>
      </c>
      <c r="CP2940" s="0" t="s">
        <v>130</v>
      </c>
      <c r="CQ2940" s="0" t="s">
        <v>130</v>
      </c>
      <c r="CR2940" s="0" t="s">
        <v>130</v>
      </c>
      <c r="CS2940" s="0" t="s">
        <v>130</v>
      </c>
      <c r="CT2940" s="0" t="s">
        <v>7926</v>
      </c>
    </row>
    <row r="2941">
      <c r="A2941" s="14">
        <v>115649</v>
      </c>
      <c r="B2941" s="0" t="s">
        <v>2571</v>
      </c>
      <c r="C2941" s="16">
        <f>HYPERLINK("https://eosportal.federatedhermes.com/companies/Q29tcGFueQppNTg5MjU=", "Allianz SE")</f>
      </c>
      <c r="D2941" s="0" t="s">
        <v>23</v>
      </c>
      <c r="E2941" s="0" t="s">
        <v>5737</v>
      </c>
      <c r="F2941" s="16">
        <f>HYPERLINK("https://eosportal.federatedhermes.com/engagements/RW5nYWdlbWVudAppNDEzNTc=", "Climate-aligned accounting")</f>
      </c>
      <c r="G2941" s="14" t="s">
        <v>7927</v>
      </c>
      <c r="H2941" s="0" t="s">
        <v>141</v>
      </c>
      <c r="I2941" s="14" t="s">
        <v>131</v>
      </c>
      <c r="J2941" s="0" t="s">
        <v>197</v>
      </c>
      <c r="K2941" s="0" t="s">
        <v>198</v>
      </c>
      <c r="L2941" s="0" t="s">
        <v>199</v>
      </c>
      <c r="M2941" s="0" t="s">
        <v>378</v>
      </c>
      <c r="N2941" s="0" t="s">
        <v>2485</v>
      </c>
      <c r="O2941" s="0" t="s">
        <v>238</v>
      </c>
      <c r="Q2941" s="0" t="s">
        <v>141</v>
      </c>
      <c r="R2941" s="0" t="s">
        <v>141</v>
      </c>
      <c r="S2941" s="14">
        <v>1</v>
      </c>
      <c r="T2941" s="0" t="s">
        <v>361</v>
      </c>
      <c r="U2941" s="0" t="s">
        <v>221</v>
      </c>
      <c r="V2941" s="14" t="s">
        <v>361</v>
      </c>
      <c r="W2941" s="0" t="s">
        <v>221</v>
      </c>
      <c r="X2941" s="14" t="s">
        <v>361</v>
      </c>
      <c r="Y2941" s="0" t="s">
        <v>223</v>
      </c>
      <c r="Z2941" s="14" t="s">
        <v>138</v>
      </c>
      <c r="AA2941" s="0" t="s">
        <v>224</v>
      </c>
      <c r="AB2941" s="14" t="s">
        <v>138</v>
      </c>
      <c r="AC2941" s="0" t="s">
        <v>7928</v>
      </c>
      <c r="AD2941" s="0" t="s">
        <v>17</v>
      </c>
      <c r="AE2941" s="0" t="s">
        <v>7929</v>
      </c>
      <c r="AF2941" s="0">
        <v>2</v>
      </c>
      <c r="AG2941" s="0">
        <v>0</v>
      </c>
      <c r="AH2941" s="0" t="s">
        <v>140</v>
      </c>
      <c r="AI2941" s="0" t="s">
        <v>598</v>
      </c>
      <c r="AK2941" s="0" t="s">
        <v>3042</v>
      </c>
      <c r="AL2941" s="14"/>
      <c r="AN2941" s="14"/>
      <c r="AQ2941" s="0" t="s">
        <v>130</v>
      </c>
      <c r="AR2941" s="0" t="s">
        <v>130</v>
      </c>
      <c r="AS2941" s="0" t="s">
        <v>130</v>
      </c>
      <c r="AT2941" s="0" t="s">
        <v>130</v>
      </c>
      <c r="AU2941" s="0" t="s">
        <v>130</v>
      </c>
      <c r="AV2941" s="0" t="s">
        <v>130</v>
      </c>
      <c r="AW2941" s="0" t="s">
        <v>130</v>
      </c>
      <c r="AX2941" s="0" t="s">
        <v>130</v>
      </c>
      <c r="AY2941" s="0" t="s">
        <v>130</v>
      </c>
      <c r="AZ2941" s="0" t="s">
        <v>130</v>
      </c>
      <c r="BA2941" s="0" t="s">
        <v>130</v>
      </c>
      <c r="BB2941" s="0" t="s">
        <v>141</v>
      </c>
      <c r="BC2941" s="0" t="s">
        <v>141</v>
      </c>
      <c r="BD2941" s="0" t="s">
        <v>130</v>
      </c>
      <c r="BE2941" s="0" t="s">
        <v>130</v>
      </c>
      <c r="BF2941" s="0" t="s">
        <v>130</v>
      </c>
      <c r="BG2941" s="0" t="s">
        <v>130</v>
      </c>
      <c r="BH2941" s="0" t="s">
        <v>130</v>
      </c>
      <c r="BI2941" s="0" t="s">
        <v>130</v>
      </c>
      <c r="BJ2941" s="0" t="s">
        <v>130</v>
      </c>
      <c r="BK2941" s="0" t="s">
        <v>130</v>
      </c>
      <c r="BL2941" s="0" t="s">
        <v>130</v>
      </c>
      <c r="BM2941" s="0" t="s">
        <v>130</v>
      </c>
      <c r="BN2941" s="0" t="s">
        <v>130</v>
      </c>
      <c r="BO2941" s="0" t="s">
        <v>130</v>
      </c>
      <c r="BP2941" s="0" t="s">
        <v>130</v>
      </c>
      <c r="BQ2941" s="0" t="s">
        <v>130</v>
      </c>
      <c r="BR2941" s="0" t="s">
        <v>130</v>
      </c>
      <c r="BS2941" s="0" t="s">
        <v>130</v>
      </c>
      <c r="BT2941" s="0" t="s">
        <v>130</v>
      </c>
      <c r="BU2941" s="0" t="s">
        <v>130</v>
      </c>
      <c r="BV2941" s="0" t="s">
        <v>130</v>
      </c>
      <c r="BW2941" s="0" t="s">
        <v>130</v>
      </c>
      <c r="BX2941" s="0" t="s">
        <v>130</v>
      </c>
      <c r="BY2941" s="0" t="s">
        <v>130</v>
      </c>
      <c r="BZ2941" s="0" t="s">
        <v>130</v>
      </c>
      <c r="CA2941" s="0" t="s">
        <v>130</v>
      </c>
      <c r="CB2941" s="0" t="s">
        <v>130</v>
      </c>
      <c r="CC2941" s="0" t="s">
        <v>130</v>
      </c>
      <c r="CD2941" s="0" t="s">
        <v>130</v>
      </c>
      <c r="CE2941" s="0" t="s">
        <v>130</v>
      </c>
      <c r="CF2941" s="0" t="s">
        <v>130</v>
      </c>
      <c r="CG2941" s="0" t="s">
        <v>130</v>
      </c>
      <c r="CH2941" s="0" t="s">
        <v>130</v>
      </c>
      <c r="CI2941" s="0" t="s">
        <v>130</v>
      </c>
      <c r="CJ2941" s="0" t="s">
        <v>130</v>
      </c>
      <c r="CK2941" s="0" t="s">
        <v>130</v>
      </c>
      <c r="CL2941" s="0" t="s">
        <v>130</v>
      </c>
      <c r="CM2941" s="0" t="s">
        <v>130</v>
      </c>
      <c r="CN2941" s="0" t="s">
        <v>130</v>
      </c>
      <c r="CO2941" s="0" t="s">
        <v>130</v>
      </c>
      <c r="CP2941" s="0" t="s">
        <v>130</v>
      </c>
      <c r="CQ2941" s="0" t="s">
        <v>130</v>
      </c>
      <c r="CR2941" s="0" t="s">
        <v>130</v>
      </c>
      <c r="CS2941" s="0" t="s">
        <v>130</v>
      </c>
      <c r="CT2941" s="0" t="s">
        <v>7930</v>
      </c>
    </row>
    <row r="2942">
      <c r="A2942" s="14">
        <v>115649</v>
      </c>
      <c r="B2942" s="0" t="s">
        <v>2571</v>
      </c>
      <c r="C2942" s="16">
        <f>HYPERLINK("https://eosportal.federatedhermes.com/companies/Q29tcGFueQppNTg5MjU=", "Allianz SE")</f>
      </c>
      <c r="D2942" s="0" t="s">
        <v>23</v>
      </c>
      <c r="E2942" s="0" t="s">
        <v>7931</v>
      </c>
      <c r="F2942" s="16">
        <f>HYPERLINK("https://eosportal.federatedhermes.com/engagements/RW5nYWdlbWVudAppNDEzNTg=", "Public policy engagement")</f>
      </c>
      <c r="G2942" s="14" t="s">
        <v>7932</v>
      </c>
      <c r="H2942" s="0" t="s">
        <v>141</v>
      </c>
      <c r="I2942" s="14" t="s">
        <v>131</v>
      </c>
      <c r="J2942" s="0" t="s">
        <v>197</v>
      </c>
      <c r="K2942" s="0" t="s">
        <v>198</v>
      </c>
      <c r="L2942" s="0" t="s">
        <v>199</v>
      </c>
      <c r="M2942" s="0" t="s">
        <v>378</v>
      </c>
      <c r="N2942" s="0" t="s">
        <v>2485</v>
      </c>
      <c r="O2942" s="0" t="s">
        <v>238</v>
      </c>
      <c r="Q2942" s="0" t="s">
        <v>141</v>
      </c>
      <c r="R2942" s="0" t="s">
        <v>141</v>
      </c>
      <c r="S2942" s="14">
        <v>1</v>
      </c>
      <c r="T2942" s="0" t="s">
        <v>361</v>
      </c>
      <c r="U2942" s="0" t="s">
        <v>221</v>
      </c>
      <c r="V2942" s="14" t="s">
        <v>361</v>
      </c>
      <c r="W2942" s="0" t="s">
        <v>221</v>
      </c>
      <c r="X2942" s="14" t="s">
        <v>361</v>
      </c>
      <c r="Y2942" s="0" t="s">
        <v>223</v>
      </c>
      <c r="Z2942" s="14" t="s">
        <v>138</v>
      </c>
      <c r="AA2942" s="0" t="s">
        <v>224</v>
      </c>
      <c r="AB2942" s="14" t="s">
        <v>138</v>
      </c>
      <c r="AC2942" s="0" t="s">
        <v>7928</v>
      </c>
      <c r="AD2942" s="0" t="s">
        <v>17</v>
      </c>
      <c r="AE2942" s="0" t="s">
        <v>7929</v>
      </c>
      <c r="AF2942" s="0">
        <v>2</v>
      </c>
      <c r="AG2942" s="0">
        <v>0</v>
      </c>
      <c r="AH2942" s="0" t="s">
        <v>140</v>
      </c>
      <c r="AI2942" s="0" t="s">
        <v>598</v>
      </c>
      <c r="AK2942" s="0" t="s">
        <v>3042</v>
      </c>
      <c r="AL2942" s="14"/>
      <c r="AN2942" s="14"/>
      <c r="AQ2942" s="0" t="s">
        <v>130</v>
      </c>
      <c r="AR2942" s="0" t="s">
        <v>130</v>
      </c>
      <c r="AS2942" s="0" t="s">
        <v>130</v>
      </c>
      <c r="AT2942" s="0" t="s">
        <v>130</v>
      </c>
      <c r="AU2942" s="0" t="s">
        <v>130</v>
      </c>
      <c r="AV2942" s="0" t="s">
        <v>130</v>
      </c>
      <c r="AW2942" s="0" t="s">
        <v>130</v>
      </c>
      <c r="AX2942" s="0" t="s">
        <v>130</v>
      </c>
      <c r="AY2942" s="0" t="s">
        <v>130</v>
      </c>
      <c r="AZ2942" s="0" t="s">
        <v>130</v>
      </c>
      <c r="BA2942" s="0" t="s">
        <v>130</v>
      </c>
      <c r="BB2942" s="0" t="s">
        <v>141</v>
      </c>
      <c r="BC2942" s="0" t="s">
        <v>141</v>
      </c>
      <c r="BD2942" s="0" t="s">
        <v>130</v>
      </c>
      <c r="BE2942" s="0" t="s">
        <v>130</v>
      </c>
      <c r="BF2942" s="0" t="s">
        <v>130</v>
      </c>
      <c r="BG2942" s="0" t="s">
        <v>130</v>
      </c>
      <c r="BH2942" s="0" t="s">
        <v>130</v>
      </c>
      <c r="BI2942" s="0" t="s">
        <v>130</v>
      </c>
      <c r="BJ2942" s="0" t="s">
        <v>130</v>
      </c>
      <c r="BK2942" s="0" t="s">
        <v>130</v>
      </c>
      <c r="BL2942" s="0" t="s">
        <v>130</v>
      </c>
      <c r="BM2942" s="0" t="s">
        <v>130</v>
      </c>
      <c r="BN2942" s="0" t="s">
        <v>130</v>
      </c>
      <c r="BO2942" s="0" t="s">
        <v>130</v>
      </c>
      <c r="BP2942" s="0" t="s">
        <v>130</v>
      </c>
      <c r="BQ2942" s="0" t="s">
        <v>130</v>
      </c>
      <c r="BR2942" s="0" t="s">
        <v>130</v>
      </c>
      <c r="BS2942" s="0" t="s">
        <v>130</v>
      </c>
      <c r="BT2942" s="0" t="s">
        <v>130</v>
      </c>
      <c r="BU2942" s="0" t="s">
        <v>130</v>
      </c>
      <c r="BV2942" s="0" t="s">
        <v>130</v>
      </c>
      <c r="BW2942" s="0" t="s">
        <v>130</v>
      </c>
      <c r="BX2942" s="0" t="s">
        <v>130</v>
      </c>
      <c r="BY2942" s="0" t="s">
        <v>130</v>
      </c>
      <c r="BZ2942" s="0" t="s">
        <v>130</v>
      </c>
      <c r="CA2942" s="0" t="s">
        <v>130</v>
      </c>
      <c r="CB2942" s="0" t="s">
        <v>130</v>
      </c>
      <c r="CC2942" s="0" t="s">
        <v>130</v>
      </c>
      <c r="CD2942" s="0" t="s">
        <v>130</v>
      </c>
      <c r="CE2942" s="0" t="s">
        <v>130</v>
      </c>
      <c r="CF2942" s="0" t="s">
        <v>130</v>
      </c>
      <c r="CG2942" s="0" t="s">
        <v>130</v>
      </c>
      <c r="CH2942" s="0" t="s">
        <v>130</v>
      </c>
      <c r="CI2942" s="0" t="s">
        <v>130</v>
      </c>
      <c r="CJ2942" s="0" t="s">
        <v>130</v>
      </c>
      <c r="CK2942" s="0" t="s">
        <v>130</v>
      </c>
      <c r="CL2942" s="0" t="s">
        <v>130</v>
      </c>
      <c r="CM2942" s="0" t="s">
        <v>130</v>
      </c>
      <c r="CN2942" s="0" t="s">
        <v>130</v>
      </c>
      <c r="CO2942" s="0" t="s">
        <v>130</v>
      </c>
      <c r="CP2942" s="0" t="s">
        <v>130</v>
      </c>
      <c r="CQ2942" s="0" t="s">
        <v>130</v>
      </c>
      <c r="CR2942" s="0" t="s">
        <v>130</v>
      </c>
      <c r="CS2942" s="0" t="s">
        <v>130</v>
      </c>
      <c r="CT2942" s="0" t="s">
        <v>7933</v>
      </c>
    </row>
    <row r="2943">
      <c r="A2943" s="14">
        <v>111435</v>
      </c>
      <c r="B2943" s="0" t="s">
        <v>406</v>
      </c>
      <c r="C2943" s="16">
        <f>HYPERLINK("https://eosportal.federatedhermes.com/companies/Q29tcGFueQppNzgyNjk=", "CRH PLC")</f>
      </c>
      <c r="D2943" s="0" t="s">
        <v>23</v>
      </c>
      <c r="E2943" s="0" t="s">
        <v>7934</v>
      </c>
      <c r="F2943" s="16">
        <f>HYPERLINK("https://eosportal.federatedhermes.com/engagements/RW5nYWdlbWVudAppNDEzNTk=", "Due diligence for BMP implementation")</f>
      </c>
      <c r="G2943" s="14" t="s">
        <v>7935</v>
      </c>
      <c r="H2943" s="0" t="s">
        <v>141</v>
      </c>
      <c r="I2943" s="14" t="s">
        <v>191</v>
      </c>
      <c r="J2943" s="0" t="s">
        <v>197</v>
      </c>
      <c r="K2943" s="0" t="s">
        <v>337</v>
      </c>
      <c r="L2943" s="0" t="s">
        <v>576</v>
      </c>
      <c r="M2943" s="0" t="s">
        <v>378</v>
      </c>
      <c r="N2943" s="0" t="s">
        <v>409</v>
      </c>
      <c r="O2943" s="0" t="s">
        <v>373</v>
      </c>
      <c r="Q2943" s="0" t="s">
        <v>141</v>
      </c>
      <c r="R2943" s="0" t="s">
        <v>141</v>
      </c>
      <c r="S2943" s="14">
        <v>1</v>
      </c>
      <c r="T2943" s="0" t="s">
        <v>361</v>
      </c>
      <c r="U2943" s="0" t="s">
        <v>221</v>
      </c>
      <c r="V2943" s="14" t="s">
        <v>361</v>
      </c>
      <c r="W2943" s="0" t="s">
        <v>221</v>
      </c>
      <c r="X2943" s="14" t="s">
        <v>361</v>
      </c>
      <c r="Y2943" s="0" t="s">
        <v>223</v>
      </c>
      <c r="Z2943" s="14" t="s">
        <v>138</v>
      </c>
      <c r="AA2943" s="0" t="s">
        <v>224</v>
      </c>
      <c r="AB2943" s="14" t="s">
        <v>138</v>
      </c>
      <c r="AC2943" s="0" t="s">
        <v>7928</v>
      </c>
      <c r="AD2943" s="0" t="s">
        <v>17</v>
      </c>
      <c r="AE2943" s="0" t="s">
        <v>7929</v>
      </c>
      <c r="AF2943" s="0">
        <v>2</v>
      </c>
      <c r="AG2943" s="0">
        <v>0</v>
      </c>
      <c r="AH2943" s="0" t="s">
        <v>140</v>
      </c>
      <c r="AI2943" s="0" t="s">
        <v>598</v>
      </c>
      <c r="AK2943" s="0" t="s">
        <v>1834</v>
      </c>
      <c r="AL2943" s="14"/>
      <c r="AN2943" s="14"/>
      <c r="AQ2943" s="0" t="s">
        <v>130</v>
      </c>
      <c r="AR2943" s="0" t="s">
        <v>130</v>
      </c>
      <c r="AS2943" s="0" t="s">
        <v>130</v>
      </c>
      <c r="AT2943" s="0" t="s">
        <v>130</v>
      </c>
      <c r="AU2943" s="0" t="s">
        <v>130</v>
      </c>
      <c r="AV2943" s="0" t="s">
        <v>141</v>
      </c>
      <c r="AW2943" s="0" t="s">
        <v>130</v>
      </c>
      <c r="AX2943" s="0" t="s">
        <v>130</v>
      </c>
      <c r="AY2943" s="0" t="s">
        <v>130</v>
      </c>
      <c r="AZ2943" s="0" t="s">
        <v>130</v>
      </c>
      <c r="BA2943" s="0" t="s">
        <v>130</v>
      </c>
      <c r="BB2943" s="0" t="s">
        <v>141</v>
      </c>
      <c r="BC2943" s="0" t="s">
        <v>130</v>
      </c>
      <c r="BD2943" s="0" t="s">
        <v>130</v>
      </c>
      <c r="BE2943" s="0" t="s">
        <v>141</v>
      </c>
      <c r="BF2943" s="0" t="s">
        <v>130</v>
      </c>
      <c r="BG2943" s="0" t="s">
        <v>130</v>
      </c>
      <c r="BH2943" s="0" t="s">
        <v>130</v>
      </c>
      <c r="BI2943" s="0" t="s">
        <v>130</v>
      </c>
      <c r="BJ2943" s="0" t="s">
        <v>130</v>
      </c>
      <c r="BK2943" s="0" t="s">
        <v>130</v>
      </c>
      <c r="BL2943" s="0" t="s">
        <v>130</v>
      </c>
      <c r="BM2943" s="0" t="s">
        <v>130</v>
      </c>
      <c r="BN2943" s="0" t="s">
        <v>130</v>
      </c>
      <c r="BO2943" s="0" t="s">
        <v>130</v>
      </c>
      <c r="BP2943" s="0" t="s">
        <v>130</v>
      </c>
      <c r="BQ2943" s="0" t="s">
        <v>130</v>
      </c>
      <c r="BR2943" s="0" t="s">
        <v>130</v>
      </c>
      <c r="BS2943" s="0" t="s">
        <v>130</v>
      </c>
      <c r="BT2943" s="0" t="s">
        <v>130</v>
      </c>
      <c r="BU2943" s="0" t="s">
        <v>130</v>
      </c>
      <c r="BV2943" s="0" t="s">
        <v>130</v>
      </c>
      <c r="BW2943" s="0" t="s">
        <v>130</v>
      </c>
      <c r="BX2943" s="0" t="s">
        <v>130</v>
      </c>
      <c r="BY2943" s="0" t="s">
        <v>130</v>
      </c>
      <c r="BZ2943" s="0" t="s">
        <v>130</v>
      </c>
      <c r="CA2943" s="0" t="s">
        <v>130</v>
      </c>
      <c r="CB2943" s="0" t="s">
        <v>130</v>
      </c>
      <c r="CC2943" s="0" t="s">
        <v>130</v>
      </c>
      <c r="CD2943" s="0" t="s">
        <v>130</v>
      </c>
      <c r="CE2943" s="0" t="s">
        <v>130</v>
      </c>
      <c r="CF2943" s="0" t="s">
        <v>130</v>
      </c>
      <c r="CG2943" s="0" t="s">
        <v>130</v>
      </c>
      <c r="CH2943" s="0" t="s">
        <v>130</v>
      </c>
      <c r="CI2943" s="0" t="s">
        <v>130</v>
      </c>
      <c r="CJ2943" s="0" t="s">
        <v>130</v>
      </c>
      <c r="CK2943" s="0" t="s">
        <v>130</v>
      </c>
      <c r="CL2943" s="0" t="s">
        <v>130</v>
      </c>
      <c r="CM2943" s="0" t="s">
        <v>130</v>
      </c>
      <c r="CN2943" s="0" t="s">
        <v>130</v>
      </c>
      <c r="CO2943" s="0" t="s">
        <v>130</v>
      </c>
      <c r="CP2943" s="0" t="s">
        <v>130</v>
      </c>
      <c r="CQ2943" s="0" t="s">
        <v>130</v>
      </c>
      <c r="CR2943" s="0" t="s">
        <v>130</v>
      </c>
      <c r="CS2943" s="0" t="s">
        <v>130</v>
      </c>
      <c r="CT2943" s="0" t="s">
        <v>7936</v>
      </c>
    </row>
    <row r="2944">
      <c r="A2944" s="14">
        <v>100061</v>
      </c>
      <c r="B2944" s="0" t="s">
        <v>235</v>
      </c>
      <c r="C2944" s="16">
        <f>HYPERLINK("https://eosportal.federatedhermes.com/companies/Q29tcGFueQppNDgyODA=", "American Express Co")</f>
      </c>
      <c r="D2944" s="0" t="s">
        <v>23</v>
      </c>
      <c r="E2944" s="0" t="s">
        <v>7937</v>
      </c>
      <c r="F2944" s="16">
        <f>HYPERLINK("https://eosportal.federatedhermes.com/engagements/RW5nYWdlbWVudAppNDEzNjE=", "AI and human capital impact")</f>
      </c>
      <c r="G2944" s="14" t="s">
        <v>7810</v>
      </c>
      <c r="H2944" s="0" t="s">
        <v>141</v>
      </c>
      <c r="I2944" s="14" t="s">
        <v>131</v>
      </c>
      <c r="J2944" s="0" t="s">
        <v>153</v>
      </c>
      <c r="K2944" s="0" t="s">
        <v>154</v>
      </c>
      <c r="L2944" s="0" t="s">
        <v>268</v>
      </c>
      <c r="M2944" s="0" t="s">
        <v>135</v>
      </c>
      <c r="N2944" s="0" t="s">
        <v>136</v>
      </c>
      <c r="O2944" s="0" t="s">
        <v>238</v>
      </c>
      <c r="Q2944" s="0" t="s">
        <v>141</v>
      </c>
      <c r="R2944" s="0" t="s">
        <v>141</v>
      </c>
      <c r="S2944" s="14">
        <v>1</v>
      </c>
      <c r="T2944" s="0" t="s">
        <v>361</v>
      </c>
      <c r="U2944" s="0" t="s">
        <v>221</v>
      </c>
      <c r="V2944" s="14" t="s">
        <v>361</v>
      </c>
      <c r="W2944" s="0" t="s">
        <v>221</v>
      </c>
      <c r="X2944" s="14" t="s">
        <v>361</v>
      </c>
      <c r="Y2944" s="0" t="s">
        <v>223</v>
      </c>
      <c r="Z2944" s="14" t="s">
        <v>138</v>
      </c>
      <c r="AA2944" s="0" t="s">
        <v>224</v>
      </c>
      <c r="AB2944" s="14" t="s">
        <v>138</v>
      </c>
      <c r="AC2944" s="0" t="s">
        <v>7928</v>
      </c>
      <c r="AD2944" s="0" t="s">
        <v>17</v>
      </c>
      <c r="AE2944" s="0" t="s">
        <v>7929</v>
      </c>
      <c r="AF2944" s="0">
        <v>2</v>
      </c>
      <c r="AG2944" s="0">
        <v>0</v>
      </c>
      <c r="AH2944" s="0" t="s">
        <v>140</v>
      </c>
      <c r="AI2944" s="0" t="s">
        <v>598</v>
      </c>
      <c r="AK2944" s="0" t="s">
        <v>253</v>
      </c>
      <c r="AL2944" s="14"/>
      <c r="AN2944" s="14"/>
      <c r="AQ2944" s="0" t="s">
        <v>130</v>
      </c>
      <c r="AR2944" s="0" t="s">
        <v>130</v>
      </c>
      <c r="AS2944" s="0" t="s">
        <v>130</v>
      </c>
      <c r="AT2944" s="0" t="s">
        <v>130</v>
      </c>
      <c r="AU2944" s="0" t="s">
        <v>130</v>
      </c>
      <c r="AV2944" s="0" t="s">
        <v>130</v>
      </c>
      <c r="AW2944" s="0" t="s">
        <v>130</v>
      </c>
      <c r="AX2944" s="0" t="s">
        <v>141</v>
      </c>
      <c r="AY2944" s="0" t="s">
        <v>130</v>
      </c>
      <c r="AZ2944" s="0" t="s">
        <v>130</v>
      </c>
      <c r="BA2944" s="0" t="s">
        <v>130</v>
      </c>
      <c r="BB2944" s="0" t="s">
        <v>130</v>
      </c>
      <c r="BC2944" s="0" t="s">
        <v>130</v>
      </c>
      <c r="BD2944" s="0" t="s">
        <v>130</v>
      </c>
      <c r="BE2944" s="0" t="s">
        <v>130</v>
      </c>
      <c r="BF2944" s="0" t="s">
        <v>130</v>
      </c>
      <c r="BG2944" s="0" t="s">
        <v>130</v>
      </c>
      <c r="BH2944" s="0" t="s">
        <v>130</v>
      </c>
      <c r="BI2944" s="0" t="s">
        <v>130</v>
      </c>
      <c r="BJ2944" s="0" t="s">
        <v>130</v>
      </c>
      <c r="BK2944" s="0" t="s">
        <v>130</v>
      </c>
      <c r="BL2944" s="0" t="s">
        <v>130</v>
      </c>
      <c r="BM2944" s="0" t="s">
        <v>130</v>
      </c>
      <c r="BN2944" s="0" t="s">
        <v>130</v>
      </c>
      <c r="BO2944" s="0" t="s">
        <v>130</v>
      </c>
      <c r="BP2944" s="0" t="s">
        <v>130</v>
      </c>
      <c r="BQ2944" s="0" t="s">
        <v>130</v>
      </c>
      <c r="BR2944" s="0" t="s">
        <v>130</v>
      </c>
      <c r="BS2944" s="0" t="s">
        <v>130</v>
      </c>
      <c r="BT2944" s="0" t="s">
        <v>130</v>
      </c>
      <c r="BU2944" s="0" t="s">
        <v>130</v>
      </c>
      <c r="BV2944" s="0" t="s">
        <v>130</v>
      </c>
      <c r="BW2944" s="0" t="s">
        <v>130</v>
      </c>
      <c r="BX2944" s="0" t="s">
        <v>130</v>
      </c>
      <c r="BY2944" s="0" t="s">
        <v>130</v>
      </c>
      <c r="BZ2944" s="0" t="s">
        <v>130</v>
      </c>
      <c r="CA2944" s="0" t="s">
        <v>130</v>
      </c>
      <c r="CB2944" s="0" t="s">
        <v>130</v>
      </c>
      <c r="CC2944" s="0" t="s">
        <v>130</v>
      </c>
      <c r="CD2944" s="0" t="s">
        <v>130</v>
      </c>
      <c r="CE2944" s="0" t="s">
        <v>130</v>
      </c>
      <c r="CF2944" s="0" t="s">
        <v>130</v>
      </c>
      <c r="CG2944" s="0" t="s">
        <v>130</v>
      </c>
      <c r="CH2944" s="0" t="s">
        <v>130</v>
      </c>
      <c r="CI2944" s="0" t="s">
        <v>130</v>
      </c>
      <c r="CJ2944" s="0" t="s">
        <v>130</v>
      </c>
      <c r="CK2944" s="0" t="s">
        <v>141</v>
      </c>
      <c r="CL2944" s="0" t="s">
        <v>130</v>
      </c>
      <c r="CM2944" s="0" t="s">
        <v>130</v>
      </c>
      <c r="CN2944" s="0" t="s">
        <v>130</v>
      </c>
      <c r="CO2944" s="0" t="s">
        <v>130</v>
      </c>
      <c r="CP2944" s="0" t="s">
        <v>130</v>
      </c>
      <c r="CQ2944" s="0" t="s">
        <v>130</v>
      </c>
      <c r="CR2944" s="0" t="s">
        <v>130</v>
      </c>
      <c r="CS2944" s="0" t="s">
        <v>130</v>
      </c>
      <c r="CT2944" s="0" t="s">
        <v>7938</v>
      </c>
    </row>
    <row r="2945">
      <c r="A2945" s="14">
        <v>109965</v>
      </c>
      <c r="B2945" s="0" t="s">
        <v>5265</v>
      </c>
      <c r="C2945" s="16">
        <f>HYPERLINK("https://eosportal.federatedhermes.com/companies/Q29tcGFueQppODIyNjk=", "National Bank of Canada")</f>
      </c>
      <c r="D2945" s="0" t="s">
        <v>23</v>
      </c>
      <c r="E2945" s="0" t="s">
        <v>7939</v>
      </c>
      <c r="F2945" s="16">
        <f>HYPERLINK("https://eosportal.federatedhermes.com/engagements/RW5nYWdlbWVudAppNDEzNjI=", "Methane reduction strategy")</f>
      </c>
      <c r="G2945" s="14" t="s">
        <v>7747</v>
      </c>
      <c r="H2945" s="0" t="s">
        <v>141</v>
      </c>
      <c r="I2945" s="14" t="s">
        <v>131</v>
      </c>
      <c r="J2945" s="0" t="s">
        <v>197</v>
      </c>
      <c r="K2945" s="0" t="s">
        <v>198</v>
      </c>
      <c r="L2945" s="0" t="s">
        <v>216</v>
      </c>
      <c r="M2945" s="0" t="s">
        <v>135</v>
      </c>
      <c r="N2945" s="0" t="s">
        <v>1678</v>
      </c>
      <c r="O2945" s="0" t="s">
        <v>238</v>
      </c>
      <c r="Q2945" s="0" t="s">
        <v>141</v>
      </c>
      <c r="R2945" s="0" t="s">
        <v>130</v>
      </c>
      <c r="S2945" s="14">
        <v>1</v>
      </c>
      <c r="T2945" s="0" t="s">
        <v>4412</v>
      </c>
      <c r="U2945" s="0" t="s">
        <v>221</v>
      </c>
      <c r="V2945" s="14" t="s">
        <v>4412</v>
      </c>
      <c r="W2945" s="0" t="s">
        <v>223</v>
      </c>
      <c r="X2945" s="14" t="s">
        <v>138</v>
      </c>
      <c r="Y2945" s="0" t="s">
        <v>224</v>
      </c>
      <c r="Z2945" s="14" t="s">
        <v>138</v>
      </c>
      <c r="AA2945" s="0" t="s">
        <v>224</v>
      </c>
      <c r="AB2945" s="14" t="s">
        <v>138</v>
      </c>
      <c r="AD2945" s="0" t="s">
        <v>14</v>
      </c>
      <c r="AF2945" s="0">
        <v>0</v>
      </c>
      <c r="AG2945" s="0">
        <v>0</v>
      </c>
      <c r="AH2945" s="0" t="s">
        <v>140</v>
      </c>
      <c r="AI2945" s="0" t="s">
        <v>598</v>
      </c>
      <c r="AK2945" s="0" t="s">
        <v>1984</v>
      </c>
      <c r="AL2945" s="14"/>
      <c r="AN2945" s="14"/>
      <c r="AQ2945" s="0" t="s">
        <v>130</v>
      </c>
      <c r="AR2945" s="0" t="s">
        <v>130</v>
      </c>
      <c r="AS2945" s="0" t="s">
        <v>130</v>
      </c>
      <c r="AT2945" s="0" t="s">
        <v>130</v>
      </c>
      <c r="AU2945" s="0" t="s">
        <v>130</v>
      </c>
      <c r="AV2945" s="0" t="s">
        <v>130</v>
      </c>
      <c r="AW2945" s="0" t="s">
        <v>141</v>
      </c>
      <c r="AX2945" s="0" t="s">
        <v>130</v>
      </c>
      <c r="AY2945" s="0" t="s">
        <v>141</v>
      </c>
      <c r="AZ2945" s="0" t="s">
        <v>130</v>
      </c>
      <c r="BA2945" s="0" t="s">
        <v>130</v>
      </c>
      <c r="BB2945" s="0" t="s">
        <v>130</v>
      </c>
      <c r="BC2945" s="0" t="s">
        <v>141</v>
      </c>
      <c r="BD2945" s="0" t="s">
        <v>130</v>
      </c>
      <c r="BE2945" s="0" t="s">
        <v>130</v>
      </c>
      <c r="BF2945" s="0" t="s">
        <v>130</v>
      </c>
      <c r="BG2945" s="0" t="s">
        <v>130</v>
      </c>
      <c r="BH2945" s="0" t="s">
        <v>141</v>
      </c>
      <c r="BI2945" s="0" t="s">
        <v>141</v>
      </c>
      <c r="BJ2945" s="0" t="s">
        <v>141</v>
      </c>
      <c r="BK2945" s="0" t="s">
        <v>130</v>
      </c>
      <c r="BL2945" s="0" t="s">
        <v>130</v>
      </c>
      <c r="BM2945" s="0" t="s">
        <v>130</v>
      </c>
      <c r="BN2945" s="0" t="s">
        <v>130</v>
      </c>
      <c r="BO2945" s="0" t="s">
        <v>130</v>
      </c>
      <c r="BP2945" s="0" t="s">
        <v>130</v>
      </c>
      <c r="BQ2945" s="0" t="s">
        <v>130</v>
      </c>
      <c r="BR2945" s="0" t="s">
        <v>130</v>
      </c>
      <c r="BS2945" s="0" t="s">
        <v>130</v>
      </c>
      <c r="BT2945" s="0" t="s">
        <v>130</v>
      </c>
      <c r="BU2945" s="0" t="s">
        <v>130</v>
      </c>
      <c r="BV2945" s="0" t="s">
        <v>141</v>
      </c>
      <c r="BW2945" s="0" t="s">
        <v>141</v>
      </c>
      <c r="BX2945" s="0" t="s">
        <v>130</v>
      </c>
      <c r="BY2945" s="0" t="s">
        <v>130</v>
      </c>
      <c r="BZ2945" s="0" t="s">
        <v>130</v>
      </c>
      <c r="CA2945" s="0" t="s">
        <v>130</v>
      </c>
      <c r="CB2945" s="0" t="s">
        <v>130</v>
      </c>
      <c r="CC2945" s="0" t="s">
        <v>130</v>
      </c>
      <c r="CD2945" s="0" t="s">
        <v>130</v>
      </c>
      <c r="CE2945" s="0" t="s">
        <v>130</v>
      </c>
      <c r="CF2945" s="0" t="s">
        <v>130</v>
      </c>
      <c r="CG2945" s="0" t="s">
        <v>130</v>
      </c>
      <c r="CH2945" s="0" t="s">
        <v>130</v>
      </c>
      <c r="CI2945" s="0" t="s">
        <v>130</v>
      </c>
      <c r="CJ2945" s="0" t="s">
        <v>130</v>
      </c>
      <c r="CK2945" s="0" t="s">
        <v>130</v>
      </c>
      <c r="CL2945" s="0" t="s">
        <v>130</v>
      </c>
      <c r="CM2945" s="0" t="s">
        <v>130</v>
      </c>
      <c r="CN2945" s="0" t="s">
        <v>130</v>
      </c>
      <c r="CO2945" s="0" t="s">
        <v>130</v>
      </c>
      <c r="CP2945" s="0" t="s">
        <v>130</v>
      </c>
      <c r="CQ2945" s="0" t="s">
        <v>130</v>
      </c>
      <c r="CR2945" s="0" t="s">
        <v>130</v>
      </c>
      <c r="CS2945" s="0" t="s">
        <v>130</v>
      </c>
      <c r="CT2945" s="0" t="s">
        <v>7940</v>
      </c>
    </row>
    <row r="2946">
      <c r="A2946" s="14">
        <v>109965</v>
      </c>
      <c r="B2946" s="0" t="s">
        <v>5265</v>
      </c>
      <c r="C2946" s="16">
        <f>HYPERLINK("https://eosportal.federatedhermes.com/companies/Q29tcGFueQppODIyNjk=", "National Bank of Canada")</f>
      </c>
      <c r="D2946" s="0" t="s">
        <v>23</v>
      </c>
      <c r="E2946" s="0" t="s">
        <v>7941</v>
      </c>
      <c r="F2946" s="16">
        <f>HYPERLINK("https://eosportal.federatedhermes.com/engagements/RW5nYWdlbWVudAppNDEzNjM=", "Ethical AI Principles and HCM")</f>
      </c>
      <c r="G2946" s="14" t="s">
        <v>7942</v>
      </c>
      <c r="H2946" s="0" t="s">
        <v>141</v>
      </c>
      <c r="I2946" s="14" t="s">
        <v>131</v>
      </c>
      <c r="J2946" s="0" t="s">
        <v>153</v>
      </c>
      <c r="K2946" s="0" t="s">
        <v>243</v>
      </c>
      <c r="L2946" s="0" t="s">
        <v>537</v>
      </c>
      <c r="M2946" s="0" t="s">
        <v>135</v>
      </c>
      <c r="N2946" s="0" t="s">
        <v>1678</v>
      </c>
      <c r="O2946" s="0" t="s">
        <v>238</v>
      </c>
      <c r="Q2946" s="0" t="s">
        <v>141</v>
      </c>
      <c r="R2946" s="0" t="s">
        <v>130</v>
      </c>
      <c r="S2946" s="14">
        <v>1</v>
      </c>
      <c r="T2946" s="0" t="s">
        <v>4412</v>
      </c>
      <c r="U2946" s="0" t="s">
        <v>221</v>
      </c>
      <c r="V2946" s="14" t="s">
        <v>4412</v>
      </c>
      <c r="W2946" s="0" t="s">
        <v>223</v>
      </c>
      <c r="X2946" s="14" t="s">
        <v>138</v>
      </c>
      <c r="Y2946" s="0" t="s">
        <v>224</v>
      </c>
      <c r="Z2946" s="14" t="s">
        <v>138</v>
      </c>
      <c r="AA2946" s="0" t="s">
        <v>224</v>
      </c>
      <c r="AB2946" s="14" t="s">
        <v>138</v>
      </c>
      <c r="AD2946" s="0" t="s">
        <v>14</v>
      </c>
      <c r="AF2946" s="0">
        <v>0</v>
      </c>
      <c r="AG2946" s="0">
        <v>0</v>
      </c>
      <c r="AH2946" s="0" t="s">
        <v>140</v>
      </c>
      <c r="AI2946" s="0" t="s">
        <v>598</v>
      </c>
      <c r="AK2946" s="0" t="s">
        <v>1984</v>
      </c>
      <c r="AL2946" s="14"/>
      <c r="AN2946" s="14"/>
      <c r="AQ2946" s="0" t="s">
        <v>130</v>
      </c>
      <c r="AR2946" s="0" t="s">
        <v>130</v>
      </c>
      <c r="AS2946" s="0" t="s">
        <v>130</v>
      </c>
      <c r="AT2946" s="0" t="s">
        <v>130</v>
      </c>
      <c r="AU2946" s="0" t="s">
        <v>130</v>
      </c>
      <c r="AV2946" s="0" t="s">
        <v>130</v>
      </c>
      <c r="AW2946" s="0" t="s">
        <v>130</v>
      </c>
      <c r="AX2946" s="0" t="s">
        <v>130</v>
      </c>
      <c r="AY2946" s="0" t="s">
        <v>130</v>
      </c>
      <c r="AZ2946" s="0" t="s">
        <v>141</v>
      </c>
      <c r="BA2946" s="0" t="s">
        <v>130</v>
      </c>
      <c r="BB2946" s="0" t="s">
        <v>130</v>
      </c>
      <c r="BC2946" s="0" t="s">
        <v>130</v>
      </c>
      <c r="BD2946" s="0" t="s">
        <v>130</v>
      </c>
      <c r="BE2946" s="0" t="s">
        <v>130</v>
      </c>
      <c r="BF2946" s="0" t="s">
        <v>141</v>
      </c>
      <c r="BG2946" s="0" t="s">
        <v>130</v>
      </c>
      <c r="BH2946" s="0" t="s">
        <v>130</v>
      </c>
      <c r="BI2946" s="0" t="s">
        <v>130</v>
      </c>
      <c r="BJ2946" s="0" t="s">
        <v>130</v>
      </c>
      <c r="BK2946" s="0" t="s">
        <v>130</v>
      </c>
      <c r="BL2946" s="0" t="s">
        <v>130</v>
      </c>
      <c r="BM2946" s="0" t="s">
        <v>130</v>
      </c>
      <c r="BN2946" s="0" t="s">
        <v>130</v>
      </c>
      <c r="BO2946" s="0" t="s">
        <v>130</v>
      </c>
      <c r="BP2946" s="0" t="s">
        <v>130</v>
      </c>
      <c r="BQ2946" s="0" t="s">
        <v>130</v>
      </c>
      <c r="BR2946" s="0" t="s">
        <v>130</v>
      </c>
      <c r="BS2946" s="0" t="s">
        <v>130</v>
      </c>
      <c r="BT2946" s="0" t="s">
        <v>130</v>
      </c>
      <c r="BU2946" s="0" t="s">
        <v>130</v>
      </c>
      <c r="BV2946" s="0" t="s">
        <v>130</v>
      </c>
      <c r="BW2946" s="0" t="s">
        <v>130</v>
      </c>
      <c r="BX2946" s="0" t="s">
        <v>130</v>
      </c>
      <c r="BY2946" s="0" t="s">
        <v>130</v>
      </c>
      <c r="BZ2946" s="0" t="s">
        <v>130</v>
      </c>
      <c r="CA2946" s="0" t="s">
        <v>130</v>
      </c>
      <c r="CB2946" s="0" t="s">
        <v>130</v>
      </c>
      <c r="CC2946" s="0" t="s">
        <v>130</v>
      </c>
      <c r="CD2946" s="0" t="s">
        <v>130</v>
      </c>
      <c r="CE2946" s="0" t="s">
        <v>130</v>
      </c>
      <c r="CF2946" s="0" t="s">
        <v>130</v>
      </c>
      <c r="CG2946" s="0" t="s">
        <v>130</v>
      </c>
      <c r="CH2946" s="0" t="s">
        <v>130</v>
      </c>
      <c r="CI2946" s="0" t="s">
        <v>130</v>
      </c>
      <c r="CJ2946" s="0" t="s">
        <v>130</v>
      </c>
      <c r="CK2946" s="0" t="s">
        <v>130</v>
      </c>
      <c r="CL2946" s="0" t="s">
        <v>130</v>
      </c>
      <c r="CM2946" s="0" t="s">
        <v>130</v>
      </c>
      <c r="CN2946" s="0" t="s">
        <v>130</v>
      </c>
      <c r="CO2946" s="0" t="s">
        <v>130</v>
      </c>
      <c r="CP2946" s="0" t="s">
        <v>130</v>
      </c>
      <c r="CQ2946" s="0" t="s">
        <v>130</v>
      </c>
      <c r="CR2946" s="0" t="s">
        <v>130</v>
      </c>
      <c r="CS2946" s="0" t="s">
        <v>130</v>
      </c>
      <c r="CT2946" s="0" t="s">
        <v>7943</v>
      </c>
    </row>
    <row r="2947">
      <c r="A2947" s="14">
        <v>216204</v>
      </c>
      <c r="B2947" s="0" t="s">
        <v>3364</v>
      </c>
      <c r="C2947" s="16">
        <f>HYPERLINK("https://eosportal.federatedhermes.com/companies/Q29tcGFueQppNjQzODI=", "Centrica PLC")</f>
      </c>
      <c r="D2947" s="0" t="s">
        <v>23</v>
      </c>
      <c r="E2947" s="0" t="s">
        <v>7944</v>
      </c>
      <c r="F2947" s="16">
        <f>HYPERLINK("https://eosportal.federatedhermes.com/engagements/RW5nYWdlbWVudAppNDEzNjU=", "Robust board oversight and monitoring of advocacy plan")</f>
      </c>
      <c r="G2947" s="14" t="s">
        <v>7945</v>
      </c>
      <c r="H2947" s="0" t="s">
        <v>141</v>
      </c>
      <c r="I2947" s="14" t="s">
        <v>191</v>
      </c>
      <c r="J2947" s="0" t="s">
        <v>197</v>
      </c>
      <c r="K2947" s="0" t="s">
        <v>198</v>
      </c>
      <c r="L2947" s="0" t="s">
        <v>199</v>
      </c>
      <c r="M2947" s="0" t="s">
        <v>272</v>
      </c>
      <c r="N2947" s="0" t="s">
        <v>273</v>
      </c>
      <c r="O2947" s="0" t="s">
        <v>192</v>
      </c>
      <c r="Q2947" s="0" t="s">
        <v>141</v>
      </c>
      <c r="R2947" s="0" t="s">
        <v>141</v>
      </c>
      <c r="S2947" s="14">
        <v>1</v>
      </c>
      <c r="T2947" s="0" t="s">
        <v>361</v>
      </c>
      <c r="U2947" s="0" t="s">
        <v>221</v>
      </c>
      <c r="V2947" s="14" t="s">
        <v>361</v>
      </c>
      <c r="W2947" s="0" t="s">
        <v>223</v>
      </c>
      <c r="X2947" s="14" t="s">
        <v>138</v>
      </c>
      <c r="Y2947" s="0" t="s">
        <v>224</v>
      </c>
      <c r="Z2947" s="14" t="s">
        <v>138</v>
      </c>
      <c r="AA2947" s="0" t="s">
        <v>224</v>
      </c>
      <c r="AB2947" s="14" t="s">
        <v>138</v>
      </c>
      <c r="AC2947" s="0" t="s">
        <v>11</v>
      </c>
      <c r="AD2947" s="0" t="s">
        <v>14</v>
      </c>
      <c r="AE2947" s="0" t="s">
        <v>7914</v>
      </c>
      <c r="AF2947" s="0">
        <v>1</v>
      </c>
      <c r="AG2947" s="0">
        <v>0</v>
      </c>
      <c r="AH2947" s="0" t="s">
        <v>140</v>
      </c>
      <c r="AI2947" s="0" t="s">
        <v>598</v>
      </c>
      <c r="AK2947" s="0" t="s">
        <v>2330</v>
      </c>
      <c r="AL2947" s="14"/>
      <c r="AN2947" s="14"/>
      <c r="AQ2947" s="0" t="s">
        <v>130</v>
      </c>
      <c r="AR2947" s="0" t="s">
        <v>130</v>
      </c>
      <c r="AS2947" s="0" t="s">
        <v>130</v>
      </c>
      <c r="AT2947" s="0" t="s">
        <v>130</v>
      </c>
      <c r="AU2947" s="0" t="s">
        <v>130</v>
      </c>
      <c r="AV2947" s="0" t="s">
        <v>130</v>
      </c>
      <c r="AW2947" s="0" t="s">
        <v>130</v>
      </c>
      <c r="AX2947" s="0" t="s">
        <v>130</v>
      </c>
      <c r="AY2947" s="0" t="s">
        <v>130</v>
      </c>
      <c r="AZ2947" s="0" t="s">
        <v>130</v>
      </c>
      <c r="BA2947" s="0" t="s">
        <v>130</v>
      </c>
      <c r="BB2947" s="0" t="s">
        <v>141</v>
      </c>
      <c r="BC2947" s="0" t="s">
        <v>141</v>
      </c>
      <c r="BD2947" s="0" t="s">
        <v>130</v>
      </c>
      <c r="BE2947" s="0" t="s">
        <v>130</v>
      </c>
      <c r="BF2947" s="0" t="s">
        <v>130</v>
      </c>
      <c r="BG2947" s="0" t="s">
        <v>130</v>
      </c>
      <c r="BH2947" s="0" t="s">
        <v>130</v>
      </c>
      <c r="BI2947" s="0" t="s">
        <v>130</v>
      </c>
      <c r="BJ2947" s="0" t="s">
        <v>130</v>
      </c>
      <c r="BK2947" s="0" t="s">
        <v>130</v>
      </c>
      <c r="BL2947" s="0" t="s">
        <v>130</v>
      </c>
      <c r="BM2947" s="0" t="s">
        <v>130</v>
      </c>
      <c r="BN2947" s="0" t="s">
        <v>130</v>
      </c>
      <c r="BO2947" s="0" t="s">
        <v>130</v>
      </c>
      <c r="BP2947" s="0" t="s">
        <v>130</v>
      </c>
      <c r="BQ2947" s="0" t="s">
        <v>130</v>
      </c>
      <c r="BR2947" s="0" t="s">
        <v>130</v>
      </c>
      <c r="BS2947" s="0" t="s">
        <v>130</v>
      </c>
      <c r="BT2947" s="0" t="s">
        <v>130</v>
      </c>
      <c r="BU2947" s="0" t="s">
        <v>130</v>
      </c>
      <c r="BV2947" s="0" t="s">
        <v>130</v>
      </c>
      <c r="BW2947" s="0" t="s">
        <v>130</v>
      </c>
      <c r="BX2947" s="0" t="s">
        <v>130</v>
      </c>
      <c r="BY2947" s="0" t="s">
        <v>130</v>
      </c>
      <c r="BZ2947" s="0" t="s">
        <v>130</v>
      </c>
      <c r="CA2947" s="0" t="s">
        <v>130</v>
      </c>
      <c r="CB2947" s="0" t="s">
        <v>130</v>
      </c>
      <c r="CC2947" s="0" t="s">
        <v>130</v>
      </c>
      <c r="CD2947" s="0" t="s">
        <v>130</v>
      </c>
      <c r="CE2947" s="0" t="s">
        <v>130</v>
      </c>
      <c r="CF2947" s="0" t="s">
        <v>130</v>
      </c>
      <c r="CG2947" s="0" t="s">
        <v>130</v>
      </c>
      <c r="CH2947" s="0" t="s">
        <v>130</v>
      </c>
      <c r="CI2947" s="0" t="s">
        <v>130</v>
      </c>
      <c r="CJ2947" s="0" t="s">
        <v>130</v>
      </c>
      <c r="CK2947" s="0" t="s">
        <v>130</v>
      </c>
      <c r="CL2947" s="0" t="s">
        <v>130</v>
      </c>
      <c r="CM2947" s="0" t="s">
        <v>130</v>
      </c>
      <c r="CN2947" s="0" t="s">
        <v>130</v>
      </c>
      <c r="CO2947" s="0" t="s">
        <v>130</v>
      </c>
      <c r="CP2947" s="0" t="s">
        <v>130</v>
      </c>
      <c r="CQ2947" s="0" t="s">
        <v>130</v>
      </c>
      <c r="CR2947" s="0" t="s">
        <v>130</v>
      </c>
      <c r="CS2947" s="0" t="s">
        <v>130</v>
      </c>
      <c r="CT2947" s="0" t="s">
        <v>7946</v>
      </c>
    </row>
    <row r="2948">
      <c r="A2948" s="14">
        <v>115268</v>
      </c>
      <c r="B2948" s="0" t="s">
        <v>2415</v>
      </c>
      <c r="C2948" s="16">
        <f>HYPERLINK("https://eosportal.federatedhermes.com/companies/Q29tcGFueQppODU4NzM=", "Carrefour SA")</f>
      </c>
      <c r="D2948" s="0" t="s">
        <v>23</v>
      </c>
      <c r="E2948" s="0" t="s">
        <v>7947</v>
      </c>
      <c r="F2948" s="16">
        <f>HYPERLINK("https://eosportal.federatedhermes.com/engagements/RW5nYWdlbWVudAppNDEzNjg=", "Retrospective disclosure of executive pay incentives")</f>
      </c>
      <c r="G2948" s="14" t="s">
        <v>7948</v>
      </c>
      <c r="H2948" s="0" t="s">
        <v>141</v>
      </c>
      <c r="I2948" s="14" t="s">
        <v>131</v>
      </c>
      <c r="J2948" s="0" t="s">
        <v>145</v>
      </c>
      <c r="K2948" s="0" t="s">
        <v>146</v>
      </c>
      <c r="L2948" s="0" t="s">
        <v>147</v>
      </c>
      <c r="M2948" s="0" t="s">
        <v>378</v>
      </c>
      <c r="N2948" s="0" t="s">
        <v>1646</v>
      </c>
      <c r="O2948" s="0" t="s">
        <v>643</v>
      </c>
      <c r="Q2948" s="0" t="s">
        <v>141</v>
      </c>
      <c r="R2948" s="0" t="s">
        <v>130</v>
      </c>
      <c r="S2948" s="14">
        <v>1</v>
      </c>
      <c r="T2948" s="0" t="s">
        <v>4412</v>
      </c>
      <c r="U2948" s="0" t="s">
        <v>221</v>
      </c>
      <c r="V2948" s="14" t="s">
        <v>4412</v>
      </c>
      <c r="W2948" s="0" t="s">
        <v>223</v>
      </c>
      <c r="X2948" s="14" t="s">
        <v>138</v>
      </c>
      <c r="Y2948" s="0" t="s">
        <v>224</v>
      </c>
      <c r="Z2948" s="14" t="s">
        <v>138</v>
      </c>
      <c r="AA2948" s="0" t="s">
        <v>224</v>
      </c>
      <c r="AB2948" s="14" t="s">
        <v>138</v>
      </c>
      <c r="AD2948" s="0" t="s">
        <v>14</v>
      </c>
      <c r="AF2948" s="0">
        <v>0</v>
      </c>
      <c r="AG2948" s="0">
        <v>0</v>
      </c>
      <c r="AH2948" s="0" t="s">
        <v>140</v>
      </c>
      <c r="AI2948" s="0" t="s">
        <v>598</v>
      </c>
      <c r="AK2948" s="0" t="s">
        <v>2658</v>
      </c>
      <c r="AL2948" s="14"/>
      <c r="AN2948" s="14"/>
      <c r="AQ2948" s="0" t="s">
        <v>130</v>
      </c>
      <c r="AR2948" s="0" t="s">
        <v>130</v>
      </c>
      <c r="AS2948" s="0" t="s">
        <v>130</v>
      </c>
      <c r="AT2948" s="0" t="s">
        <v>130</v>
      </c>
      <c r="AU2948" s="0" t="s">
        <v>130</v>
      </c>
      <c r="AV2948" s="0" t="s">
        <v>130</v>
      </c>
      <c r="AW2948" s="0" t="s">
        <v>130</v>
      </c>
      <c r="AX2948" s="0" t="s">
        <v>130</v>
      </c>
      <c r="AY2948" s="0" t="s">
        <v>130</v>
      </c>
      <c r="AZ2948" s="0" t="s">
        <v>130</v>
      </c>
      <c r="BA2948" s="0" t="s">
        <v>130</v>
      </c>
      <c r="BB2948" s="0" t="s">
        <v>130</v>
      </c>
      <c r="BC2948" s="0" t="s">
        <v>130</v>
      </c>
      <c r="BD2948" s="0" t="s">
        <v>130</v>
      </c>
      <c r="BE2948" s="0" t="s">
        <v>130</v>
      </c>
      <c r="BF2948" s="0" t="s">
        <v>130</v>
      </c>
      <c r="BG2948" s="0" t="s">
        <v>130</v>
      </c>
      <c r="BH2948" s="0" t="s">
        <v>130</v>
      </c>
      <c r="BI2948" s="0" t="s">
        <v>130</v>
      </c>
      <c r="BJ2948" s="0" t="s">
        <v>130</v>
      </c>
      <c r="BK2948" s="0" t="s">
        <v>130</v>
      </c>
      <c r="BL2948" s="0" t="s">
        <v>130</v>
      </c>
      <c r="BM2948" s="0" t="s">
        <v>130</v>
      </c>
      <c r="BN2948" s="0" t="s">
        <v>130</v>
      </c>
      <c r="BO2948" s="0" t="s">
        <v>130</v>
      </c>
      <c r="BP2948" s="0" t="s">
        <v>130</v>
      </c>
      <c r="BQ2948" s="0" t="s">
        <v>130</v>
      </c>
      <c r="BR2948" s="0" t="s">
        <v>130</v>
      </c>
      <c r="BS2948" s="0" t="s">
        <v>130</v>
      </c>
      <c r="BT2948" s="0" t="s">
        <v>130</v>
      </c>
      <c r="BU2948" s="0" t="s">
        <v>130</v>
      </c>
      <c r="BV2948" s="0" t="s">
        <v>130</v>
      </c>
      <c r="BW2948" s="0" t="s">
        <v>130</v>
      </c>
      <c r="BX2948" s="0" t="s">
        <v>130</v>
      </c>
      <c r="BY2948" s="0" t="s">
        <v>130</v>
      </c>
      <c r="BZ2948" s="0" t="s">
        <v>130</v>
      </c>
      <c r="CA2948" s="0" t="s">
        <v>130</v>
      </c>
      <c r="CB2948" s="0" t="s">
        <v>130</v>
      </c>
      <c r="CC2948" s="0" t="s">
        <v>130</v>
      </c>
      <c r="CD2948" s="0" t="s">
        <v>130</v>
      </c>
      <c r="CE2948" s="0" t="s">
        <v>130</v>
      </c>
      <c r="CF2948" s="0" t="s">
        <v>130</v>
      </c>
      <c r="CG2948" s="0" t="s">
        <v>130</v>
      </c>
      <c r="CH2948" s="0" t="s">
        <v>130</v>
      </c>
      <c r="CI2948" s="0" t="s">
        <v>130</v>
      </c>
      <c r="CJ2948" s="0" t="s">
        <v>130</v>
      </c>
      <c r="CK2948" s="0" t="s">
        <v>130</v>
      </c>
      <c r="CL2948" s="0" t="s">
        <v>130</v>
      </c>
      <c r="CM2948" s="0" t="s">
        <v>130</v>
      </c>
      <c r="CN2948" s="0" t="s">
        <v>130</v>
      </c>
      <c r="CO2948" s="0" t="s">
        <v>130</v>
      </c>
      <c r="CP2948" s="0" t="s">
        <v>130</v>
      </c>
      <c r="CQ2948" s="0" t="s">
        <v>130</v>
      </c>
      <c r="CR2948" s="0" t="s">
        <v>130</v>
      </c>
      <c r="CS2948" s="0" t="s">
        <v>130</v>
      </c>
      <c r="CT2948" s="0" t="s">
        <v>7949</v>
      </c>
    </row>
    <row r="2949">
      <c r="A2949" s="14">
        <v>176984</v>
      </c>
      <c r="B2949" s="0" t="s">
        <v>3133</v>
      </c>
      <c r="C2949" s="16">
        <f>HYPERLINK("https://eosportal.federatedhermes.com/companies/Q29tcGFueQppNzMzODM=", "Belimo Holding AG")</f>
      </c>
      <c r="D2949" s="0" t="s">
        <v>23</v>
      </c>
      <c r="E2949" s="0" t="s">
        <v>7950</v>
      </c>
      <c r="F2949" s="16">
        <f>HYPERLINK("https://eosportal.federatedhermes.com/engagements/RW5nYWdlbWVudAppNDEzNjk=", "Circular design and retrofit")</f>
      </c>
      <c r="G2949" s="14" t="s">
        <v>7494</v>
      </c>
      <c r="H2949" s="0" t="s">
        <v>130</v>
      </c>
      <c r="I2949" s="14" t="s">
        <v>131</v>
      </c>
      <c r="J2949" s="0" t="s">
        <v>197</v>
      </c>
      <c r="K2949" s="0" t="s">
        <v>348</v>
      </c>
      <c r="L2949" s="0" t="s">
        <v>349</v>
      </c>
      <c r="M2949" s="0" t="s">
        <v>378</v>
      </c>
      <c r="N2949" s="0" t="s">
        <v>1059</v>
      </c>
      <c r="O2949" s="0" t="s">
        <v>176</v>
      </c>
      <c r="Q2949" s="0" t="s">
        <v>141</v>
      </c>
      <c r="R2949" s="0" t="s">
        <v>141</v>
      </c>
      <c r="S2949" s="14">
        <v>1</v>
      </c>
      <c r="T2949" s="0" t="s">
        <v>361</v>
      </c>
      <c r="U2949" s="0" t="s">
        <v>221</v>
      </c>
      <c r="V2949" s="14" t="s">
        <v>361</v>
      </c>
      <c r="W2949" s="0" t="s">
        <v>223</v>
      </c>
      <c r="X2949" s="14" t="s">
        <v>138</v>
      </c>
      <c r="Y2949" s="0" t="s">
        <v>224</v>
      </c>
      <c r="Z2949" s="14" t="s">
        <v>138</v>
      </c>
      <c r="AA2949" s="0" t="s">
        <v>224</v>
      </c>
      <c r="AB2949" s="14" t="s">
        <v>138</v>
      </c>
      <c r="AC2949" s="0" t="s">
        <v>11</v>
      </c>
      <c r="AD2949" s="0" t="s">
        <v>14</v>
      </c>
      <c r="AE2949" s="0" t="s">
        <v>7914</v>
      </c>
      <c r="AF2949" s="0">
        <v>1</v>
      </c>
      <c r="AG2949" s="0">
        <v>0</v>
      </c>
      <c r="AH2949" s="0" t="s">
        <v>140</v>
      </c>
      <c r="AI2949" s="0" t="s">
        <v>598</v>
      </c>
      <c r="AK2949" s="0" t="s">
        <v>226</v>
      </c>
      <c r="AL2949" s="14"/>
      <c r="AN2949" s="14"/>
      <c r="AQ2949" s="0" t="s">
        <v>130</v>
      </c>
      <c r="AR2949" s="0" t="s">
        <v>130</v>
      </c>
      <c r="AS2949" s="0" t="s">
        <v>130</v>
      </c>
      <c r="AT2949" s="0" t="s">
        <v>130</v>
      </c>
      <c r="AU2949" s="0" t="s">
        <v>130</v>
      </c>
      <c r="AV2949" s="0" t="s">
        <v>130</v>
      </c>
      <c r="AW2949" s="0" t="s">
        <v>130</v>
      </c>
      <c r="AX2949" s="0" t="s">
        <v>130</v>
      </c>
      <c r="AY2949" s="0" t="s">
        <v>130</v>
      </c>
      <c r="AZ2949" s="0" t="s">
        <v>130</v>
      </c>
      <c r="BA2949" s="0" t="s">
        <v>130</v>
      </c>
      <c r="BB2949" s="0" t="s">
        <v>141</v>
      </c>
      <c r="BC2949" s="0" t="s">
        <v>130</v>
      </c>
      <c r="BD2949" s="0" t="s">
        <v>130</v>
      </c>
      <c r="BE2949" s="0" t="s">
        <v>130</v>
      </c>
      <c r="BF2949" s="0" t="s">
        <v>130</v>
      </c>
      <c r="BG2949" s="0" t="s">
        <v>130</v>
      </c>
      <c r="BH2949" s="0" t="s">
        <v>130</v>
      </c>
      <c r="BI2949" s="0" t="s">
        <v>130</v>
      </c>
      <c r="BJ2949" s="0" t="s">
        <v>130</v>
      </c>
      <c r="BK2949" s="0" t="s">
        <v>130</v>
      </c>
      <c r="BL2949" s="0" t="s">
        <v>130</v>
      </c>
      <c r="BM2949" s="0" t="s">
        <v>130</v>
      </c>
      <c r="BN2949" s="0" t="s">
        <v>130</v>
      </c>
      <c r="BO2949" s="0" t="s">
        <v>130</v>
      </c>
      <c r="BP2949" s="0" t="s">
        <v>130</v>
      </c>
      <c r="BQ2949" s="0" t="s">
        <v>130</v>
      </c>
      <c r="BR2949" s="0" t="s">
        <v>130</v>
      </c>
      <c r="BS2949" s="0" t="s">
        <v>130</v>
      </c>
      <c r="BT2949" s="0" t="s">
        <v>130</v>
      </c>
      <c r="BU2949" s="0" t="s">
        <v>130</v>
      </c>
      <c r="BV2949" s="0" t="s">
        <v>130</v>
      </c>
      <c r="BW2949" s="0" t="s">
        <v>130</v>
      </c>
      <c r="BX2949" s="0" t="s">
        <v>130</v>
      </c>
      <c r="BY2949" s="0" t="s">
        <v>130</v>
      </c>
      <c r="BZ2949" s="0" t="s">
        <v>130</v>
      </c>
      <c r="CA2949" s="0" t="s">
        <v>130</v>
      </c>
      <c r="CB2949" s="0" t="s">
        <v>130</v>
      </c>
      <c r="CC2949" s="0" t="s">
        <v>130</v>
      </c>
      <c r="CD2949" s="0" t="s">
        <v>141</v>
      </c>
      <c r="CE2949" s="0" t="s">
        <v>130</v>
      </c>
      <c r="CF2949" s="0" t="s">
        <v>130</v>
      </c>
      <c r="CG2949" s="0" t="s">
        <v>130</v>
      </c>
      <c r="CH2949" s="0" t="s">
        <v>130</v>
      </c>
      <c r="CI2949" s="0" t="s">
        <v>130</v>
      </c>
      <c r="CJ2949" s="0" t="s">
        <v>130</v>
      </c>
      <c r="CK2949" s="0" t="s">
        <v>130</v>
      </c>
      <c r="CL2949" s="0" t="s">
        <v>130</v>
      </c>
      <c r="CM2949" s="0" t="s">
        <v>130</v>
      </c>
      <c r="CN2949" s="0" t="s">
        <v>130</v>
      </c>
      <c r="CO2949" s="0" t="s">
        <v>130</v>
      </c>
      <c r="CP2949" s="0" t="s">
        <v>130</v>
      </c>
      <c r="CQ2949" s="0" t="s">
        <v>130</v>
      </c>
      <c r="CR2949" s="0" t="s">
        <v>130</v>
      </c>
      <c r="CS2949" s="0" t="s">
        <v>130</v>
      </c>
      <c r="CT2949" s="0" t="s">
        <v>7951</v>
      </c>
    </row>
    <row r="2950">
      <c r="A2950" s="14">
        <v>114415</v>
      </c>
      <c r="B2950" s="0" t="s">
        <v>2079</v>
      </c>
      <c r="C2950" s="16">
        <f>HYPERLINK("https://eosportal.federatedhermes.com/companies/Q29tcGFueQppNjA0MzU=", "Nippon Yusen KK")</f>
      </c>
      <c r="D2950" s="0" t="s">
        <v>23</v>
      </c>
      <c r="E2950" s="0" t="s">
        <v>7952</v>
      </c>
      <c r="F2950" s="16">
        <f>HYPERLINK("https://eosportal.federatedhermes.com/engagements/RW5nYWdlbWVudAppNDEzNzA=", "Sustainable transport fuels")</f>
      </c>
      <c r="G2950" s="14" t="s">
        <v>7953</v>
      </c>
      <c r="H2950" s="0" t="s">
        <v>141</v>
      </c>
      <c r="I2950" s="14" t="s">
        <v>636</v>
      </c>
      <c r="J2950" s="0" t="s">
        <v>197</v>
      </c>
      <c r="K2950" s="0" t="s">
        <v>198</v>
      </c>
      <c r="L2950" s="0" t="s">
        <v>199</v>
      </c>
      <c r="M2950" s="0" t="s">
        <v>802</v>
      </c>
      <c r="N2950" s="0" t="s">
        <v>952</v>
      </c>
      <c r="O2950" s="0" t="s">
        <v>425</v>
      </c>
      <c r="Q2950" s="0" t="s">
        <v>141</v>
      </c>
      <c r="R2950" s="0" t="s">
        <v>141</v>
      </c>
      <c r="S2950" s="14">
        <v>1</v>
      </c>
      <c r="T2950" s="0" t="s">
        <v>361</v>
      </c>
      <c r="U2950" s="0" t="s">
        <v>221</v>
      </c>
      <c r="V2950" s="14" t="s">
        <v>361</v>
      </c>
      <c r="W2950" s="0" t="s">
        <v>223</v>
      </c>
      <c r="X2950" s="14" t="s">
        <v>138</v>
      </c>
      <c r="Y2950" s="0" t="s">
        <v>224</v>
      </c>
      <c r="Z2950" s="14" t="s">
        <v>138</v>
      </c>
      <c r="AA2950" s="0" t="s">
        <v>224</v>
      </c>
      <c r="AB2950" s="14" t="s">
        <v>138</v>
      </c>
      <c r="AC2950" s="0" t="s">
        <v>11</v>
      </c>
      <c r="AD2950" s="0" t="s">
        <v>14</v>
      </c>
      <c r="AE2950" s="0" t="s">
        <v>7914</v>
      </c>
      <c r="AF2950" s="0">
        <v>1</v>
      </c>
      <c r="AG2950" s="0">
        <v>0</v>
      </c>
      <c r="AH2950" s="0" t="s">
        <v>140</v>
      </c>
      <c r="AI2950" s="0" t="s">
        <v>598</v>
      </c>
      <c r="AK2950" s="0" t="s">
        <v>1439</v>
      </c>
      <c r="AL2950" s="14"/>
      <c r="AN2950" s="14"/>
      <c r="AQ2950" s="0" t="s">
        <v>130</v>
      </c>
      <c r="AR2950" s="0" t="s">
        <v>130</v>
      </c>
      <c r="AS2950" s="0" t="s">
        <v>130</v>
      </c>
      <c r="AT2950" s="0" t="s">
        <v>130</v>
      </c>
      <c r="AU2950" s="0" t="s">
        <v>130</v>
      </c>
      <c r="AV2950" s="0" t="s">
        <v>130</v>
      </c>
      <c r="AW2950" s="0" t="s">
        <v>130</v>
      </c>
      <c r="AX2950" s="0" t="s">
        <v>130</v>
      </c>
      <c r="AY2950" s="0" t="s">
        <v>130</v>
      </c>
      <c r="AZ2950" s="0" t="s">
        <v>130</v>
      </c>
      <c r="BA2950" s="0" t="s">
        <v>130</v>
      </c>
      <c r="BB2950" s="0" t="s">
        <v>141</v>
      </c>
      <c r="BC2950" s="0" t="s">
        <v>141</v>
      </c>
      <c r="BD2950" s="0" t="s">
        <v>130</v>
      </c>
      <c r="BE2950" s="0" t="s">
        <v>130</v>
      </c>
      <c r="BF2950" s="0" t="s">
        <v>130</v>
      </c>
      <c r="BG2950" s="0" t="s">
        <v>130</v>
      </c>
      <c r="BH2950" s="0" t="s">
        <v>130</v>
      </c>
      <c r="BI2950" s="0" t="s">
        <v>130</v>
      </c>
      <c r="BJ2950" s="0" t="s">
        <v>130</v>
      </c>
      <c r="BK2950" s="0" t="s">
        <v>130</v>
      </c>
      <c r="BL2950" s="0" t="s">
        <v>130</v>
      </c>
      <c r="BM2950" s="0" t="s">
        <v>130</v>
      </c>
      <c r="BN2950" s="0" t="s">
        <v>130</v>
      </c>
      <c r="BO2950" s="0" t="s">
        <v>130</v>
      </c>
      <c r="BP2950" s="0" t="s">
        <v>130</v>
      </c>
      <c r="BQ2950" s="0" t="s">
        <v>130</v>
      </c>
      <c r="BR2950" s="0" t="s">
        <v>130</v>
      </c>
      <c r="BS2950" s="0" t="s">
        <v>130</v>
      </c>
      <c r="BT2950" s="0" t="s">
        <v>130</v>
      </c>
      <c r="BU2950" s="0" t="s">
        <v>130</v>
      </c>
      <c r="BV2950" s="0" t="s">
        <v>130</v>
      </c>
      <c r="BW2950" s="0" t="s">
        <v>130</v>
      </c>
      <c r="BX2950" s="0" t="s">
        <v>130</v>
      </c>
      <c r="BY2950" s="0" t="s">
        <v>130</v>
      </c>
      <c r="BZ2950" s="0" t="s">
        <v>130</v>
      </c>
      <c r="CA2950" s="0" t="s">
        <v>130</v>
      </c>
      <c r="CB2950" s="0" t="s">
        <v>130</v>
      </c>
      <c r="CC2950" s="0" t="s">
        <v>130</v>
      </c>
      <c r="CD2950" s="0" t="s">
        <v>130</v>
      </c>
      <c r="CE2950" s="0" t="s">
        <v>130</v>
      </c>
      <c r="CF2950" s="0" t="s">
        <v>130</v>
      </c>
      <c r="CG2950" s="0" t="s">
        <v>130</v>
      </c>
      <c r="CH2950" s="0" t="s">
        <v>130</v>
      </c>
      <c r="CI2950" s="0" t="s">
        <v>130</v>
      </c>
      <c r="CJ2950" s="0" t="s">
        <v>130</v>
      </c>
      <c r="CK2950" s="0" t="s">
        <v>130</v>
      </c>
      <c r="CL2950" s="0" t="s">
        <v>130</v>
      </c>
      <c r="CM2950" s="0" t="s">
        <v>130</v>
      </c>
      <c r="CN2950" s="0" t="s">
        <v>130</v>
      </c>
      <c r="CO2950" s="0" t="s">
        <v>130</v>
      </c>
      <c r="CP2950" s="0" t="s">
        <v>130</v>
      </c>
      <c r="CQ2950" s="0" t="s">
        <v>130</v>
      </c>
      <c r="CR2950" s="0" t="s">
        <v>130</v>
      </c>
      <c r="CS2950" s="0" t="s">
        <v>130</v>
      </c>
      <c r="CT2950" s="0" t="s">
        <v>7954</v>
      </c>
    </row>
    <row r="2951">
      <c r="A2951" s="14">
        <v>114415</v>
      </c>
      <c r="B2951" s="0" t="s">
        <v>2079</v>
      </c>
      <c r="C2951" s="16">
        <f>HYPERLINK("https://eosportal.federatedhermes.com/companies/Q29tcGFueQppNjA0MzU=", "Nippon Yusen KK")</f>
      </c>
      <c r="D2951" s="0" t="s">
        <v>23</v>
      </c>
      <c r="E2951" s="0" t="s">
        <v>1666</v>
      </c>
      <c r="F2951" s="16">
        <f>HYPERLINK("https://eosportal.federatedhermes.com/engagements/RW5nYWdlbWVudAppNDEzNzE=", "Climate lobbying")</f>
      </c>
      <c r="G2951" s="14" t="s">
        <v>7955</v>
      </c>
      <c r="H2951" s="0" t="s">
        <v>141</v>
      </c>
      <c r="I2951" s="14" t="s">
        <v>636</v>
      </c>
      <c r="J2951" s="0" t="s">
        <v>197</v>
      </c>
      <c r="K2951" s="0" t="s">
        <v>198</v>
      </c>
      <c r="L2951" s="0" t="s">
        <v>199</v>
      </c>
      <c r="M2951" s="0" t="s">
        <v>802</v>
      </c>
      <c r="N2951" s="0" t="s">
        <v>952</v>
      </c>
      <c r="O2951" s="0" t="s">
        <v>425</v>
      </c>
      <c r="Q2951" s="0" t="s">
        <v>141</v>
      </c>
      <c r="R2951" s="0" t="s">
        <v>141</v>
      </c>
      <c r="S2951" s="14">
        <v>1</v>
      </c>
      <c r="T2951" s="0" t="s">
        <v>361</v>
      </c>
      <c r="U2951" s="0" t="s">
        <v>221</v>
      </c>
      <c r="V2951" s="14" t="s">
        <v>361</v>
      </c>
      <c r="W2951" s="0" t="s">
        <v>223</v>
      </c>
      <c r="X2951" s="14" t="s">
        <v>138</v>
      </c>
      <c r="Y2951" s="0" t="s">
        <v>224</v>
      </c>
      <c r="Z2951" s="14" t="s">
        <v>138</v>
      </c>
      <c r="AA2951" s="0" t="s">
        <v>224</v>
      </c>
      <c r="AB2951" s="14" t="s">
        <v>138</v>
      </c>
      <c r="AC2951" s="0" t="s">
        <v>11</v>
      </c>
      <c r="AD2951" s="0" t="s">
        <v>14</v>
      </c>
      <c r="AE2951" s="0" t="s">
        <v>7914</v>
      </c>
      <c r="AF2951" s="0">
        <v>1</v>
      </c>
      <c r="AG2951" s="0">
        <v>0</v>
      </c>
      <c r="AH2951" s="0" t="s">
        <v>140</v>
      </c>
      <c r="AI2951" s="0" t="s">
        <v>598</v>
      </c>
      <c r="AK2951" s="0" t="s">
        <v>1439</v>
      </c>
      <c r="AL2951" s="14"/>
      <c r="AN2951" s="14"/>
      <c r="AQ2951" s="0" t="s">
        <v>130</v>
      </c>
      <c r="AR2951" s="0" t="s">
        <v>130</v>
      </c>
      <c r="AS2951" s="0" t="s">
        <v>130</v>
      </c>
      <c r="AT2951" s="0" t="s">
        <v>130</v>
      </c>
      <c r="AU2951" s="0" t="s">
        <v>130</v>
      </c>
      <c r="AV2951" s="0" t="s">
        <v>130</v>
      </c>
      <c r="AW2951" s="0" t="s">
        <v>130</v>
      </c>
      <c r="AX2951" s="0" t="s">
        <v>130</v>
      </c>
      <c r="AY2951" s="0" t="s">
        <v>130</v>
      </c>
      <c r="AZ2951" s="0" t="s">
        <v>130</v>
      </c>
      <c r="BA2951" s="0" t="s">
        <v>130</v>
      </c>
      <c r="BB2951" s="0" t="s">
        <v>141</v>
      </c>
      <c r="BC2951" s="0" t="s">
        <v>141</v>
      </c>
      <c r="BD2951" s="0" t="s">
        <v>130</v>
      </c>
      <c r="BE2951" s="0" t="s">
        <v>130</v>
      </c>
      <c r="BF2951" s="0" t="s">
        <v>130</v>
      </c>
      <c r="BG2951" s="0" t="s">
        <v>130</v>
      </c>
      <c r="BH2951" s="0" t="s">
        <v>130</v>
      </c>
      <c r="BI2951" s="0" t="s">
        <v>130</v>
      </c>
      <c r="BJ2951" s="0" t="s">
        <v>130</v>
      </c>
      <c r="BK2951" s="0" t="s">
        <v>130</v>
      </c>
      <c r="BL2951" s="0" t="s">
        <v>130</v>
      </c>
      <c r="BM2951" s="0" t="s">
        <v>130</v>
      </c>
      <c r="BN2951" s="0" t="s">
        <v>130</v>
      </c>
      <c r="BO2951" s="0" t="s">
        <v>130</v>
      </c>
      <c r="BP2951" s="0" t="s">
        <v>130</v>
      </c>
      <c r="BQ2951" s="0" t="s">
        <v>130</v>
      </c>
      <c r="BR2951" s="0" t="s">
        <v>130</v>
      </c>
      <c r="BS2951" s="0" t="s">
        <v>130</v>
      </c>
      <c r="BT2951" s="0" t="s">
        <v>130</v>
      </c>
      <c r="BU2951" s="0" t="s">
        <v>130</v>
      </c>
      <c r="BV2951" s="0" t="s">
        <v>130</v>
      </c>
      <c r="BW2951" s="0" t="s">
        <v>130</v>
      </c>
      <c r="BX2951" s="0" t="s">
        <v>130</v>
      </c>
      <c r="BY2951" s="0" t="s">
        <v>130</v>
      </c>
      <c r="BZ2951" s="0" t="s">
        <v>130</v>
      </c>
      <c r="CA2951" s="0" t="s">
        <v>130</v>
      </c>
      <c r="CB2951" s="0" t="s">
        <v>130</v>
      </c>
      <c r="CC2951" s="0" t="s">
        <v>130</v>
      </c>
      <c r="CD2951" s="0" t="s">
        <v>130</v>
      </c>
      <c r="CE2951" s="0" t="s">
        <v>130</v>
      </c>
      <c r="CF2951" s="0" t="s">
        <v>130</v>
      </c>
      <c r="CG2951" s="0" t="s">
        <v>130</v>
      </c>
      <c r="CH2951" s="0" t="s">
        <v>130</v>
      </c>
      <c r="CI2951" s="0" t="s">
        <v>130</v>
      </c>
      <c r="CJ2951" s="0" t="s">
        <v>130</v>
      </c>
      <c r="CK2951" s="0" t="s">
        <v>130</v>
      </c>
      <c r="CL2951" s="0" t="s">
        <v>130</v>
      </c>
      <c r="CM2951" s="0" t="s">
        <v>130</v>
      </c>
      <c r="CN2951" s="0" t="s">
        <v>130</v>
      </c>
      <c r="CO2951" s="0" t="s">
        <v>130</v>
      </c>
      <c r="CP2951" s="0" t="s">
        <v>130</v>
      </c>
      <c r="CQ2951" s="0" t="s">
        <v>130</v>
      </c>
      <c r="CR2951" s="0" t="s">
        <v>130</v>
      </c>
      <c r="CS2951" s="0" t="s">
        <v>130</v>
      </c>
      <c r="CT2951" s="0" t="s">
        <v>7956</v>
      </c>
    </row>
    <row r="2952">
      <c r="A2952" s="14">
        <v>7344718</v>
      </c>
      <c r="B2952" s="0" t="s">
        <v>3841</v>
      </c>
      <c r="C2952" s="16">
        <f>HYPERLINK("https://eosportal.federatedhermes.com/companies/Q29tcGFueQppNDU0MTA=", "Chipotle Mexican Grill Inc")</f>
      </c>
      <c r="D2952" s="0" t="s">
        <v>23</v>
      </c>
      <c r="E2952" s="0" t="s">
        <v>6363</v>
      </c>
      <c r="F2952" s="16">
        <f>HYPERLINK("https://eosportal.federatedhermes.com/engagements/RW5nYWdlbWVudAppNDEzNzM=", "Employee Sentiment Reporting")</f>
      </c>
      <c r="G2952" s="14" t="s">
        <v>6364</v>
      </c>
      <c r="H2952" s="0" t="s">
        <v>130</v>
      </c>
      <c r="I2952" s="14" t="s">
        <v>319</v>
      </c>
      <c r="J2952" s="0" t="s">
        <v>153</v>
      </c>
      <c r="K2952" s="0" t="s">
        <v>154</v>
      </c>
      <c r="L2952" s="0" t="s">
        <v>268</v>
      </c>
      <c r="M2952" s="0" t="s">
        <v>135</v>
      </c>
      <c r="N2952" s="0" t="s">
        <v>136</v>
      </c>
      <c r="O2952" s="0" t="s">
        <v>643</v>
      </c>
      <c r="Q2952" s="0" t="s">
        <v>141</v>
      </c>
      <c r="R2952" s="0" t="s">
        <v>141</v>
      </c>
      <c r="S2952" s="14">
        <v>1</v>
      </c>
      <c r="T2952" s="0" t="s">
        <v>361</v>
      </c>
      <c r="U2952" s="0" t="s">
        <v>221</v>
      </c>
      <c r="V2952" s="14" t="s">
        <v>361</v>
      </c>
      <c r="W2952" s="0" t="s">
        <v>223</v>
      </c>
      <c r="X2952" s="14" t="s">
        <v>138</v>
      </c>
      <c r="Y2952" s="0" t="s">
        <v>224</v>
      </c>
      <c r="Z2952" s="14" t="s">
        <v>138</v>
      </c>
      <c r="AA2952" s="0" t="s">
        <v>224</v>
      </c>
      <c r="AB2952" s="14" t="s">
        <v>138</v>
      </c>
      <c r="AC2952" s="0" t="s">
        <v>11</v>
      </c>
      <c r="AD2952" s="0" t="s">
        <v>14</v>
      </c>
      <c r="AE2952" s="0" t="s">
        <v>7914</v>
      </c>
      <c r="AF2952" s="0">
        <v>1</v>
      </c>
      <c r="AG2952" s="0">
        <v>0</v>
      </c>
      <c r="AH2952" s="0" t="s">
        <v>140</v>
      </c>
      <c r="AI2952" s="0" t="s">
        <v>598</v>
      </c>
      <c r="AK2952" s="0" t="s">
        <v>2588</v>
      </c>
      <c r="AL2952" s="14"/>
      <c r="AN2952" s="14"/>
      <c r="AQ2952" s="0" t="s">
        <v>130</v>
      </c>
      <c r="AR2952" s="0" t="s">
        <v>130</v>
      </c>
      <c r="AS2952" s="0" t="s">
        <v>141</v>
      </c>
      <c r="AT2952" s="0" t="s">
        <v>130</v>
      </c>
      <c r="AU2952" s="0" t="s">
        <v>141</v>
      </c>
      <c r="AV2952" s="0" t="s">
        <v>130</v>
      </c>
      <c r="AW2952" s="0" t="s">
        <v>130</v>
      </c>
      <c r="AX2952" s="0" t="s">
        <v>130</v>
      </c>
      <c r="AY2952" s="0" t="s">
        <v>130</v>
      </c>
      <c r="AZ2952" s="0" t="s">
        <v>130</v>
      </c>
      <c r="BA2952" s="0" t="s">
        <v>130</v>
      </c>
      <c r="BB2952" s="0" t="s">
        <v>130</v>
      </c>
      <c r="BC2952" s="0" t="s">
        <v>130</v>
      </c>
      <c r="BD2952" s="0" t="s">
        <v>130</v>
      </c>
      <c r="BE2952" s="0" t="s">
        <v>130</v>
      </c>
      <c r="BF2952" s="0" t="s">
        <v>130</v>
      </c>
      <c r="BG2952" s="0" t="s">
        <v>130</v>
      </c>
      <c r="BH2952" s="0" t="s">
        <v>130</v>
      </c>
      <c r="BI2952" s="0" t="s">
        <v>130</v>
      </c>
      <c r="BJ2952" s="0" t="s">
        <v>130</v>
      </c>
      <c r="BK2952" s="0" t="s">
        <v>130</v>
      </c>
      <c r="BL2952" s="0" t="s">
        <v>130</v>
      </c>
      <c r="BM2952" s="0" t="s">
        <v>130</v>
      </c>
      <c r="BN2952" s="0" t="s">
        <v>130</v>
      </c>
      <c r="BO2952" s="0" t="s">
        <v>130</v>
      </c>
      <c r="BP2952" s="0" t="s">
        <v>130</v>
      </c>
      <c r="BQ2952" s="0" t="s">
        <v>130</v>
      </c>
      <c r="BR2952" s="0" t="s">
        <v>130</v>
      </c>
      <c r="BS2952" s="0" t="s">
        <v>130</v>
      </c>
      <c r="BT2952" s="0" t="s">
        <v>130</v>
      </c>
      <c r="BU2952" s="0" t="s">
        <v>130</v>
      </c>
      <c r="BV2952" s="0" t="s">
        <v>130</v>
      </c>
      <c r="BW2952" s="0" t="s">
        <v>130</v>
      </c>
      <c r="BX2952" s="0" t="s">
        <v>130</v>
      </c>
      <c r="BY2952" s="0" t="s">
        <v>130</v>
      </c>
      <c r="BZ2952" s="0" t="s">
        <v>130</v>
      </c>
      <c r="CA2952" s="0" t="s">
        <v>130</v>
      </c>
      <c r="CB2952" s="0" t="s">
        <v>130</v>
      </c>
      <c r="CC2952" s="0" t="s">
        <v>130</v>
      </c>
      <c r="CD2952" s="0" t="s">
        <v>130</v>
      </c>
      <c r="CE2952" s="0" t="s">
        <v>130</v>
      </c>
      <c r="CF2952" s="0" t="s">
        <v>130</v>
      </c>
      <c r="CG2952" s="0" t="s">
        <v>130</v>
      </c>
      <c r="CH2952" s="0" t="s">
        <v>130</v>
      </c>
      <c r="CI2952" s="0" t="s">
        <v>130</v>
      </c>
      <c r="CJ2952" s="0" t="s">
        <v>130</v>
      </c>
      <c r="CK2952" s="0" t="s">
        <v>141</v>
      </c>
      <c r="CL2952" s="0" t="s">
        <v>130</v>
      </c>
      <c r="CM2952" s="0" t="s">
        <v>130</v>
      </c>
      <c r="CN2952" s="0" t="s">
        <v>130</v>
      </c>
      <c r="CO2952" s="0" t="s">
        <v>130</v>
      </c>
      <c r="CP2952" s="0" t="s">
        <v>130</v>
      </c>
      <c r="CQ2952" s="0" t="s">
        <v>130</v>
      </c>
      <c r="CR2952" s="0" t="s">
        <v>130</v>
      </c>
      <c r="CS2952" s="0" t="s">
        <v>130</v>
      </c>
      <c r="CT2952" s="0" t="s">
        <v>7957</v>
      </c>
    </row>
    <row r="2953">
      <c r="A2953" s="14">
        <v>153693</v>
      </c>
      <c r="B2953" s="0" t="s">
        <v>2920</v>
      </c>
      <c r="C2953" s="16">
        <f>HYPERLINK("https://eosportal.federatedhermes.com/companies/Q29tcGFueQppNDYwMzI=", "Fortescue Ltd")</f>
      </c>
      <c r="D2953" s="0" t="s">
        <v>23</v>
      </c>
      <c r="E2953" s="0" t="s">
        <v>146</v>
      </c>
      <c r="F2953" s="16">
        <f>HYPERLINK("https://eosportal.federatedhermes.com/engagements/RW5nYWdlbWVudAppNDEzODA=", "Executive Remuneration")</f>
      </c>
      <c r="G2953" s="14" t="s">
        <v>7958</v>
      </c>
      <c r="H2953" s="0" t="s">
        <v>130</v>
      </c>
      <c r="I2953" s="14" t="s">
        <v>131</v>
      </c>
      <c r="J2953" s="0" t="s">
        <v>145</v>
      </c>
      <c r="K2953" s="0" t="s">
        <v>146</v>
      </c>
      <c r="L2953" s="0" t="s">
        <v>147</v>
      </c>
      <c r="M2953" s="0" t="s">
        <v>371</v>
      </c>
      <c r="N2953" s="0" t="s">
        <v>372</v>
      </c>
      <c r="O2953" s="0" t="s">
        <v>373</v>
      </c>
      <c r="Q2953" s="0" t="s">
        <v>141</v>
      </c>
      <c r="R2953" s="0" t="s">
        <v>141</v>
      </c>
      <c r="S2953" s="14">
        <v>1</v>
      </c>
      <c r="T2953" s="0" t="s">
        <v>361</v>
      </c>
      <c r="U2953" s="0" t="s">
        <v>221</v>
      </c>
      <c r="V2953" s="14" t="s">
        <v>361</v>
      </c>
      <c r="W2953" s="0" t="s">
        <v>221</v>
      </c>
      <c r="X2953" s="14" t="s">
        <v>361</v>
      </c>
      <c r="Y2953" s="0" t="s">
        <v>221</v>
      </c>
      <c r="Z2953" s="14" t="s">
        <v>361</v>
      </c>
      <c r="AA2953" s="0" t="s">
        <v>223</v>
      </c>
      <c r="AB2953" s="14" t="s">
        <v>138</v>
      </c>
      <c r="AC2953" s="0" t="s">
        <v>7959</v>
      </c>
      <c r="AD2953" s="0" t="s">
        <v>20</v>
      </c>
      <c r="AE2953" s="0" t="s">
        <v>7960</v>
      </c>
      <c r="AF2953" s="0">
        <v>3</v>
      </c>
      <c r="AG2953" s="0">
        <v>0</v>
      </c>
      <c r="AH2953" s="0" t="s">
        <v>140</v>
      </c>
      <c r="AI2953" s="0" t="s">
        <v>598</v>
      </c>
      <c r="AK2953" s="0" t="s">
        <v>2019</v>
      </c>
      <c r="AL2953" s="14"/>
      <c r="AN2953" s="14"/>
      <c r="AQ2953" s="0" t="s">
        <v>130</v>
      </c>
      <c r="AR2953" s="0" t="s">
        <v>130</v>
      </c>
      <c r="AS2953" s="0" t="s">
        <v>130</v>
      </c>
      <c r="AT2953" s="0" t="s">
        <v>130</v>
      </c>
      <c r="AU2953" s="0" t="s">
        <v>130</v>
      </c>
      <c r="AV2953" s="0" t="s">
        <v>130</v>
      </c>
      <c r="AW2953" s="0" t="s">
        <v>130</v>
      </c>
      <c r="AX2953" s="0" t="s">
        <v>130</v>
      </c>
      <c r="AY2953" s="0" t="s">
        <v>130</v>
      </c>
      <c r="AZ2953" s="0" t="s">
        <v>130</v>
      </c>
      <c r="BA2953" s="0" t="s">
        <v>130</v>
      </c>
      <c r="BB2953" s="0" t="s">
        <v>130</v>
      </c>
      <c r="BC2953" s="0" t="s">
        <v>130</v>
      </c>
      <c r="BD2953" s="0" t="s">
        <v>130</v>
      </c>
      <c r="BE2953" s="0" t="s">
        <v>130</v>
      </c>
      <c r="BF2953" s="0" t="s">
        <v>130</v>
      </c>
      <c r="BG2953" s="0" t="s">
        <v>130</v>
      </c>
      <c r="BH2953" s="0" t="s">
        <v>130</v>
      </c>
      <c r="BI2953" s="0" t="s">
        <v>130</v>
      </c>
      <c r="BJ2953" s="0" t="s">
        <v>130</v>
      </c>
      <c r="BK2953" s="0" t="s">
        <v>130</v>
      </c>
      <c r="BL2953" s="0" t="s">
        <v>130</v>
      </c>
      <c r="BM2953" s="0" t="s">
        <v>130</v>
      </c>
      <c r="BN2953" s="0" t="s">
        <v>130</v>
      </c>
      <c r="BO2953" s="0" t="s">
        <v>130</v>
      </c>
      <c r="BP2953" s="0" t="s">
        <v>130</v>
      </c>
      <c r="BQ2953" s="0" t="s">
        <v>130</v>
      </c>
      <c r="BR2953" s="0" t="s">
        <v>130</v>
      </c>
      <c r="BS2953" s="0" t="s">
        <v>130</v>
      </c>
      <c r="BT2953" s="0" t="s">
        <v>130</v>
      </c>
      <c r="BU2953" s="0" t="s">
        <v>130</v>
      </c>
      <c r="BV2953" s="0" t="s">
        <v>130</v>
      </c>
      <c r="BW2953" s="0" t="s">
        <v>130</v>
      </c>
      <c r="BX2953" s="0" t="s">
        <v>130</v>
      </c>
      <c r="BY2953" s="0" t="s">
        <v>130</v>
      </c>
      <c r="BZ2953" s="0" t="s">
        <v>130</v>
      </c>
      <c r="CA2953" s="0" t="s">
        <v>130</v>
      </c>
      <c r="CB2953" s="0" t="s">
        <v>130</v>
      </c>
      <c r="CC2953" s="0" t="s">
        <v>130</v>
      </c>
      <c r="CD2953" s="0" t="s">
        <v>130</v>
      </c>
      <c r="CE2953" s="0" t="s">
        <v>130</v>
      </c>
      <c r="CF2953" s="0" t="s">
        <v>130</v>
      </c>
      <c r="CG2953" s="0" t="s">
        <v>130</v>
      </c>
      <c r="CH2953" s="0" t="s">
        <v>130</v>
      </c>
      <c r="CI2953" s="0" t="s">
        <v>130</v>
      </c>
      <c r="CJ2953" s="0" t="s">
        <v>130</v>
      </c>
      <c r="CK2953" s="0" t="s">
        <v>130</v>
      </c>
      <c r="CL2953" s="0" t="s">
        <v>130</v>
      </c>
      <c r="CM2953" s="0" t="s">
        <v>130</v>
      </c>
      <c r="CN2953" s="0" t="s">
        <v>130</v>
      </c>
      <c r="CO2953" s="0" t="s">
        <v>130</v>
      </c>
      <c r="CP2953" s="0" t="s">
        <v>130</v>
      </c>
      <c r="CQ2953" s="0" t="s">
        <v>130</v>
      </c>
      <c r="CR2953" s="0" t="s">
        <v>130</v>
      </c>
      <c r="CS2953" s="0" t="s">
        <v>130</v>
      </c>
      <c r="CT2953" s="0" t="s">
        <v>7961</v>
      </c>
    </row>
    <row r="2954">
      <c r="A2954" s="14">
        <v>368234</v>
      </c>
      <c r="B2954" s="0" t="s">
        <v>3736</v>
      </c>
      <c r="C2954" s="16">
        <f>HYPERLINK("https://eosportal.federatedhermes.com/companies/Q29tcGFueQppNjc3MzU=", "Advance Auto Parts Inc")</f>
      </c>
      <c r="D2954" s="0" t="s">
        <v>23</v>
      </c>
      <c r="E2954" s="0" t="s">
        <v>6363</v>
      </c>
      <c r="F2954" s="16">
        <f>HYPERLINK("https://eosportal.federatedhermes.com/engagements/RW5nYWdlbWVudAppNDEzODE=", "Employee Sentiment Reporting")</f>
      </c>
      <c r="G2954" s="14" t="s">
        <v>6364</v>
      </c>
      <c r="H2954" s="0" t="s">
        <v>130</v>
      </c>
      <c r="I2954" s="14" t="s">
        <v>131</v>
      </c>
      <c r="J2954" s="0" t="s">
        <v>153</v>
      </c>
      <c r="K2954" s="0" t="s">
        <v>154</v>
      </c>
      <c r="L2954" s="0" t="s">
        <v>268</v>
      </c>
      <c r="M2954" s="0" t="s">
        <v>135</v>
      </c>
      <c r="N2954" s="0" t="s">
        <v>136</v>
      </c>
      <c r="O2954" s="0" t="s">
        <v>643</v>
      </c>
      <c r="Q2954" s="0" t="s">
        <v>141</v>
      </c>
      <c r="R2954" s="0" t="s">
        <v>141</v>
      </c>
      <c r="S2954" s="14">
        <v>1</v>
      </c>
      <c r="T2954" s="0" t="s">
        <v>361</v>
      </c>
      <c r="U2954" s="0" t="s">
        <v>221</v>
      </c>
      <c r="V2954" s="14" t="s">
        <v>361</v>
      </c>
      <c r="W2954" s="0" t="s">
        <v>221</v>
      </c>
      <c r="X2954" s="14" t="s">
        <v>361</v>
      </c>
      <c r="Y2954" s="0" t="s">
        <v>223</v>
      </c>
      <c r="Z2954" s="14" t="s">
        <v>138</v>
      </c>
      <c r="AA2954" s="0" t="s">
        <v>224</v>
      </c>
      <c r="AB2954" s="14" t="s">
        <v>138</v>
      </c>
      <c r="AC2954" s="0" t="s">
        <v>7928</v>
      </c>
      <c r="AD2954" s="0" t="s">
        <v>17</v>
      </c>
      <c r="AE2954" s="0" t="s">
        <v>7929</v>
      </c>
      <c r="AF2954" s="0">
        <v>2</v>
      </c>
      <c r="AG2954" s="0">
        <v>0</v>
      </c>
      <c r="AH2954" s="0" t="s">
        <v>140</v>
      </c>
      <c r="AI2954" s="0" t="s">
        <v>598</v>
      </c>
      <c r="AK2954" s="0" t="s">
        <v>2044</v>
      </c>
      <c r="AL2954" s="14"/>
      <c r="AN2954" s="14"/>
      <c r="AQ2954" s="0" t="s">
        <v>130</v>
      </c>
      <c r="AR2954" s="0" t="s">
        <v>130</v>
      </c>
      <c r="AS2954" s="0" t="s">
        <v>130</v>
      </c>
      <c r="AT2954" s="0" t="s">
        <v>130</v>
      </c>
      <c r="AU2954" s="0" t="s">
        <v>130</v>
      </c>
      <c r="AV2954" s="0" t="s">
        <v>130</v>
      </c>
      <c r="AW2954" s="0" t="s">
        <v>130</v>
      </c>
      <c r="AX2954" s="0" t="s">
        <v>141</v>
      </c>
      <c r="AY2954" s="0" t="s">
        <v>130</v>
      </c>
      <c r="AZ2954" s="0" t="s">
        <v>130</v>
      </c>
      <c r="BA2954" s="0" t="s">
        <v>130</v>
      </c>
      <c r="BB2954" s="0" t="s">
        <v>130</v>
      </c>
      <c r="BC2954" s="0" t="s">
        <v>130</v>
      </c>
      <c r="BD2954" s="0" t="s">
        <v>130</v>
      </c>
      <c r="BE2954" s="0" t="s">
        <v>130</v>
      </c>
      <c r="BF2954" s="0" t="s">
        <v>130</v>
      </c>
      <c r="BG2954" s="0" t="s">
        <v>130</v>
      </c>
      <c r="BH2954" s="0" t="s">
        <v>130</v>
      </c>
      <c r="BI2954" s="0" t="s">
        <v>130</v>
      </c>
      <c r="BJ2954" s="0" t="s">
        <v>130</v>
      </c>
      <c r="BK2954" s="0" t="s">
        <v>130</v>
      </c>
      <c r="BL2954" s="0" t="s">
        <v>130</v>
      </c>
      <c r="BM2954" s="0" t="s">
        <v>130</v>
      </c>
      <c r="BN2954" s="0" t="s">
        <v>130</v>
      </c>
      <c r="BO2954" s="0" t="s">
        <v>130</v>
      </c>
      <c r="BP2954" s="0" t="s">
        <v>130</v>
      </c>
      <c r="BQ2954" s="0" t="s">
        <v>130</v>
      </c>
      <c r="BR2954" s="0" t="s">
        <v>130</v>
      </c>
      <c r="BS2954" s="0" t="s">
        <v>130</v>
      </c>
      <c r="BT2954" s="0" t="s">
        <v>130</v>
      </c>
      <c r="BU2954" s="0" t="s">
        <v>130</v>
      </c>
      <c r="BV2954" s="0" t="s">
        <v>130</v>
      </c>
      <c r="BW2954" s="0" t="s">
        <v>130</v>
      </c>
      <c r="BX2954" s="0" t="s">
        <v>130</v>
      </c>
      <c r="BY2954" s="0" t="s">
        <v>130</v>
      </c>
      <c r="BZ2954" s="0" t="s">
        <v>130</v>
      </c>
      <c r="CA2954" s="0" t="s">
        <v>130</v>
      </c>
      <c r="CB2954" s="0" t="s">
        <v>130</v>
      </c>
      <c r="CC2954" s="0" t="s">
        <v>130</v>
      </c>
      <c r="CD2954" s="0" t="s">
        <v>130</v>
      </c>
      <c r="CE2954" s="0" t="s">
        <v>130</v>
      </c>
      <c r="CF2954" s="0" t="s">
        <v>130</v>
      </c>
      <c r="CG2954" s="0" t="s">
        <v>130</v>
      </c>
      <c r="CH2954" s="0" t="s">
        <v>130</v>
      </c>
      <c r="CI2954" s="0" t="s">
        <v>130</v>
      </c>
      <c r="CJ2954" s="0" t="s">
        <v>130</v>
      </c>
      <c r="CK2954" s="0" t="s">
        <v>141</v>
      </c>
      <c r="CL2954" s="0" t="s">
        <v>130</v>
      </c>
      <c r="CM2954" s="0" t="s">
        <v>130</v>
      </c>
      <c r="CN2954" s="0" t="s">
        <v>130</v>
      </c>
      <c r="CO2954" s="0" t="s">
        <v>130</v>
      </c>
      <c r="CP2954" s="0" t="s">
        <v>130</v>
      </c>
      <c r="CQ2954" s="0" t="s">
        <v>130</v>
      </c>
      <c r="CR2954" s="0" t="s">
        <v>130</v>
      </c>
      <c r="CS2954" s="0" t="s">
        <v>130</v>
      </c>
      <c r="CT2954" s="0" t="s">
        <v>7962</v>
      </c>
    </row>
    <row r="2955">
      <c r="A2955" s="14">
        <v>113129</v>
      </c>
      <c r="B2955" s="0" t="s">
        <v>1219</v>
      </c>
      <c r="C2955" s="16">
        <f>HYPERLINK("https://eosportal.federatedhermes.com/companies/Q29tcGFueQppNDY5NDc=", "Wesfarmers Ltd")</f>
      </c>
      <c r="D2955" s="0" t="s">
        <v>25</v>
      </c>
      <c r="E2955" s="0" t="s">
        <v>441</v>
      </c>
      <c r="F2955" s="16">
        <f>HYPERLINK("https://eosportal.federatedhermes.com/engagements/RW5nYWdlbWVudAppNDEzOTA=", "Auditor tenure")</f>
      </c>
      <c r="G2955" s="14" t="s">
        <v>7963</v>
      </c>
      <c r="H2955" s="0" t="s">
        <v>130</v>
      </c>
      <c r="I2955" s="14" t="s">
        <v>319</v>
      </c>
      <c r="J2955" s="0" t="s">
        <v>132</v>
      </c>
      <c r="K2955" s="0" t="s">
        <v>170</v>
      </c>
      <c r="L2955" s="0" t="s">
        <v>310</v>
      </c>
      <c r="M2955" s="0" t="s">
        <v>371</v>
      </c>
      <c r="N2955" s="0" t="s">
        <v>372</v>
      </c>
      <c r="O2955" s="0" t="s">
        <v>643</v>
      </c>
      <c r="Q2955" s="0" t="s">
        <v>141</v>
      </c>
      <c r="R2955" s="0" t="s">
        <v>138</v>
      </c>
      <c r="S2955" s="14">
        <v>1</v>
      </c>
      <c r="T2955" s="0" t="s">
        <v>361</v>
      </c>
      <c r="U2955" s="0" t="s">
        <v>138</v>
      </c>
      <c r="V2955" s="14" t="s">
        <v>138</v>
      </c>
      <c r="W2955" s="0" t="s">
        <v>138</v>
      </c>
      <c r="X2955" s="14" t="s">
        <v>138</v>
      </c>
      <c r="Y2955" s="0" t="s">
        <v>138</v>
      </c>
      <c r="Z2955" s="14" t="s">
        <v>138</v>
      </c>
      <c r="AA2955" s="0" t="s">
        <v>138</v>
      </c>
      <c r="AB2955" s="14" t="s">
        <v>138</v>
      </c>
      <c r="AD2955" s="0" t="s">
        <v>138</v>
      </c>
      <c r="AF2955" s="0">
        <v>0</v>
      </c>
      <c r="AG2955" s="0">
        <v>0</v>
      </c>
      <c r="AH2955" s="0" t="s">
        <v>140</v>
      </c>
      <c r="AI2955" s="0" t="s">
        <v>138</v>
      </c>
      <c r="AK2955" s="0" t="s">
        <v>1220</v>
      </c>
      <c r="AL2955" s="14"/>
      <c r="AN2955" s="14"/>
      <c r="AQ2955" s="0" t="s">
        <v>130</v>
      </c>
      <c r="AR2955" s="0" t="s">
        <v>130</v>
      </c>
      <c r="AS2955" s="0" t="s">
        <v>130</v>
      </c>
      <c r="AT2955" s="0" t="s">
        <v>130</v>
      </c>
      <c r="AU2955" s="0" t="s">
        <v>130</v>
      </c>
      <c r="AV2955" s="0" t="s">
        <v>130</v>
      </c>
      <c r="AW2955" s="0" t="s">
        <v>130</v>
      </c>
      <c r="AX2955" s="0" t="s">
        <v>130</v>
      </c>
      <c r="AY2955" s="0" t="s">
        <v>130</v>
      </c>
      <c r="AZ2955" s="0" t="s">
        <v>130</v>
      </c>
      <c r="BA2955" s="0" t="s">
        <v>130</v>
      </c>
      <c r="BB2955" s="0" t="s">
        <v>130</v>
      </c>
      <c r="BC2955" s="0" t="s">
        <v>130</v>
      </c>
      <c r="BD2955" s="0" t="s">
        <v>130</v>
      </c>
      <c r="BE2955" s="0" t="s">
        <v>130</v>
      </c>
      <c r="BF2955" s="0" t="s">
        <v>130</v>
      </c>
      <c r="BG2955" s="0" t="s">
        <v>130</v>
      </c>
      <c r="BH2955" s="0" t="s">
        <v>130</v>
      </c>
      <c r="BI2955" s="0" t="s">
        <v>130</v>
      </c>
      <c r="BJ2955" s="0" t="s">
        <v>130</v>
      </c>
      <c r="BK2955" s="0" t="s">
        <v>130</v>
      </c>
      <c r="BL2955" s="0" t="s">
        <v>130</v>
      </c>
      <c r="BM2955" s="0" t="s">
        <v>130</v>
      </c>
      <c r="BN2955" s="0" t="s">
        <v>130</v>
      </c>
      <c r="BO2955" s="0" t="s">
        <v>130</v>
      </c>
      <c r="BP2955" s="0" t="s">
        <v>130</v>
      </c>
      <c r="BQ2955" s="0" t="s">
        <v>130</v>
      </c>
      <c r="BR2955" s="0" t="s">
        <v>130</v>
      </c>
      <c r="BS2955" s="0" t="s">
        <v>130</v>
      </c>
      <c r="BT2955" s="0" t="s">
        <v>130</v>
      </c>
      <c r="BU2955" s="0" t="s">
        <v>130</v>
      </c>
      <c r="BV2955" s="0" t="s">
        <v>130</v>
      </c>
      <c r="BW2955" s="0" t="s">
        <v>130</v>
      </c>
      <c r="BX2955" s="0" t="s">
        <v>130</v>
      </c>
      <c r="BY2955" s="0" t="s">
        <v>130</v>
      </c>
      <c r="BZ2955" s="0" t="s">
        <v>130</v>
      </c>
      <c r="CA2955" s="0" t="s">
        <v>130</v>
      </c>
      <c r="CB2955" s="0" t="s">
        <v>130</v>
      </c>
      <c r="CC2955" s="0" t="s">
        <v>130</v>
      </c>
      <c r="CD2955" s="0" t="s">
        <v>130</v>
      </c>
      <c r="CE2955" s="0" t="s">
        <v>130</v>
      </c>
      <c r="CF2955" s="0" t="s">
        <v>130</v>
      </c>
      <c r="CG2955" s="0" t="s">
        <v>130</v>
      </c>
      <c r="CH2955" s="0" t="s">
        <v>130</v>
      </c>
      <c r="CI2955" s="0" t="s">
        <v>130</v>
      </c>
      <c r="CJ2955" s="0" t="s">
        <v>130</v>
      </c>
      <c r="CK2955" s="0" t="s">
        <v>130</v>
      </c>
      <c r="CL2955" s="0" t="s">
        <v>130</v>
      </c>
      <c r="CM2955" s="0" t="s">
        <v>130</v>
      </c>
      <c r="CN2955" s="0" t="s">
        <v>130</v>
      </c>
      <c r="CO2955" s="0" t="s">
        <v>130</v>
      </c>
      <c r="CP2955" s="0" t="s">
        <v>130</v>
      </c>
      <c r="CQ2955" s="0" t="s">
        <v>130</v>
      </c>
      <c r="CR2955" s="0" t="s">
        <v>130</v>
      </c>
      <c r="CS2955" s="0" t="s">
        <v>130</v>
      </c>
      <c r="CT2955" s="0" t="s">
        <v>7964</v>
      </c>
    </row>
    <row r="2956">
      <c r="A2956" s="14">
        <v>101095</v>
      </c>
      <c r="B2956" s="0" t="s">
        <v>1337</v>
      </c>
      <c r="C2956" s="16">
        <f>HYPERLINK("https://eosportal.federatedhermes.com/companies/Q29tcGFueQppNDk4MzA=", "Novo Nordisk A/S")</f>
      </c>
      <c r="D2956" s="0" t="s">
        <v>25</v>
      </c>
      <c r="E2956" s="0" t="s">
        <v>1034</v>
      </c>
      <c r="F2956" s="16">
        <f>HYPERLINK("https://eosportal.federatedhermes.com/engagements/RW5nYWdlbWVudAppNDEzOTI=", "Board composition")</f>
      </c>
      <c r="G2956" s="14" t="s">
        <v>7965</v>
      </c>
      <c r="H2956" s="0" t="s">
        <v>141</v>
      </c>
      <c r="I2956" s="14" t="s">
        <v>131</v>
      </c>
      <c r="J2956" s="0" t="s">
        <v>145</v>
      </c>
      <c r="K2956" s="0" t="s">
        <v>164</v>
      </c>
      <c r="L2956" s="0" t="s">
        <v>165</v>
      </c>
      <c r="M2956" s="0" t="s">
        <v>378</v>
      </c>
      <c r="N2956" s="0" t="s">
        <v>1339</v>
      </c>
      <c r="O2956" s="0" t="s">
        <v>274</v>
      </c>
      <c r="Q2956" s="0" t="s">
        <v>141</v>
      </c>
      <c r="R2956" s="0" t="s">
        <v>138</v>
      </c>
      <c r="S2956" s="14">
        <v>2</v>
      </c>
      <c r="T2956" s="0" t="s">
        <v>361</v>
      </c>
      <c r="U2956" s="0" t="s">
        <v>138</v>
      </c>
      <c r="V2956" s="14" t="s">
        <v>138</v>
      </c>
      <c r="W2956" s="0" t="s">
        <v>138</v>
      </c>
      <c r="X2956" s="14" t="s">
        <v>138</v>
      </c>
      <c r="Y2956" s="0" t="s">
        <v>138</v>
      </c>
      <c r="Z2956" s="14" t="s">
        <v>138</v>
      </c>
      <c r="AA2956" s="0" t="s">
        <v>138</v>
      </c>
      <c r="AB2956" s="14" t="s">
        <v>138</v>
      </c>
      <c r="AD2956" s="0" t="s">
        <v>138</v>
      </c>
      <c r="AF2956" s="0">
        <v>0</v>
      </c>
      <c r="AG2956" s="0">
        <v>0</v>
      </c>
      <c r="AH2956" s="0" t="s">
        <v>140</v>
      </c>
      <c r="AI2956" s="0" t="s">
        <v>138</v>
      </c>
      <c r="AK2956" s="0" t="s">
        <v>1347</v>
      </c>
      <c r="AL2956" s="14"/>
      <c r="AN2956" s="14"/>
      <c r="AQ2956" s="0" t="s">
        <v>130</v>
      </c>
      <c r="AR2956" s="0" t="s">
        <v>130</v>
      </c>
      <c r="AS2956" s="0" t="s">
        <v>130</v>
      </c>
      <c r="AT2956" s="0" t="s">
        <v>130</v>
      </c>
      <c r="AU2956" s="0" t="s">
        <v>130</v>
      </c>
      <c r="AV2956" s="0" t="s">
        <v>130</v>
      </c>
      <c r="AW2956" s="0" t="s">
        <v>130</v>
      </c>
      <c r="AX2956" s="0" t="s">
        <v>130</v>
      </c>
      <c r="AY2956" s="0" t="s">
        <v>130</v>
      </c>
      <c r="AZ2956" s="0" t="s">
        <v>130</v>
      </c>
      <c r="BA2956" s="0" t="s">
        <v>130</v>
      </c>
      <c r="BB2956" s="0" t="s">
        <v>130</v>
      </c>
      <c r="BC2956" s="0" t="s">
        <v>130</v>
      </c>
      <c r="BD2956" s="0" t="s">
        <v>130</v>
      </c>
      <c r="BE2956" s="0" t="s">
        <v>130</v>
      </c>
      <c r="BF2956" s="0" t="s">
        <v>130</v>
      </c>
      <c r="BG2956" s="0" t="s">
        <v>130</v>
      </c>
      <c r="BH2956" s="0" t="s">
        <v>130</v>
      </c>
      <c r="BI2956" s="0" t="s">
        <v>130</v>
      </c>
      <c r="BJ2956" s="0" t="s">
        <v>130</v>
      </c>
      <c r="BK2956" s="0" t="s">
        <v>130</v>
      </c>
      <c r="BL2956" s="0" t="s">
        <v>130</v>
      </c>
      <c r="BM2956" s="0" t="s">
        <v>130</v>
      </c>
      <c r="BN2956" s="0" t="s">
        <v>130</v>
      </c>
      <c r="BO2956" s="0" t="s">
        <v>130</v>
      </c>
      <c r="BP2956" s="0" t="s">
        <v>130</v>
      </c>
      <c r="BQ2956" s="0" t="s">
        <v>130</v>
      </c>
      <c r="BR2956" s="0" t="s">
        <v>130</v>
      </c>
      <c r="BS2956" s="0" t="s">
        <v>130</v>
      </c>
      <c r="BT2956" s="0" t="s">
        <v>130</v>
      </c>
      <c r="BU2956" s="0" t="s">
        <v>130</v>
      </c>
      <c r="BV2956" s="0" t="s">
        <v>130</v>
      </c>
      <c r="BW2956" s="0" t="s">
        <v>130</v>
      </c>
      <c r="BX2956" s="0" t="s">
        <v>130</v>
      </c>
      <c r="BY2956" s="0" t="s">
        <v>130</v>
      </c>
      <c r="BZ2956" s="0" t="s">
        <v>130</v>
      </c>
      <c r="CA2956" s="0" t="s">
        <v>130</v>
      </c>
      <c r="CB2956" s="0" t="s">
        <v>130</v>
      </c>
      <c r="CC2956" s="0" t="s">
        <v>130</v>
      </c>
      <c r="CD2956" s="0" t="s">
        <v>130</v>
      </c>
      <c r="CE2956" s="0" t="s">
        <v>130</v>
      </c>
      <c r="CF2956" s="0" t="s">
        <v>130</v>
      </c>
      <c r="CG2956" s="0" t="s">
        <v>130</v>
      </c>
      <c r="CH2956" s="0" t="s">
        <v>130</v>
      </c>
      <c r="CI2956" s="0" t="s">
        <v>130</v>
      </c>
      <c r="CJ2956" s="0" t="s">
        <v>130</v>
      </c>
      <c r="CK2956" s="0" t="s">
        <v>130</v>
      </c>
      <c r="CL2956" s="0" t="s">
        <v>130</v>
      </c>
      <c r="CM2956" s="0" t="s">
        <v>130</v>
      </c>
      <c r="CN2956" s="0" t="s">
        <v>130</v>
      </c>
      <c r="CO2956" s="0" t="s">
        <v>130</v>
      </c>
      <c r="CP2956" s="0" t="s">
        <v>130</v>
      </c>
      <c r="CQ2956" s="0" t="s">
        <v>130</v>
      </c>
      <c r="CR2956" s="0" t="s">
        <v>130</v>
      </c>
      <c r="CS2956" s="0" t="s">
        <v>130</v>
      </c>
      <c r="CT2956" s="0" t="s">
        <v>7966</v>
      </c>
    </row>
    <row r="2957">
      <c r="A2957" s="14">
        <v>61417091</v>
      </c>
      <c r="B2957" s="0" t="s">
        <v>4783</v>
      </c>
      <c r="C2957" s="16">
        <f>HYPERLINK("https://eosportal.federatedhermes.com/companies/Q29tcGFueQppNTI5MDc=", "Amcor PLC")</f>
      </c>
      <c r="D2957" s="0" t="s">
        <v>25</v>
      </c>
      <c r="E2957" s="0" t="s">
        <v>7967</v>
      </c>
      <c r="F2957" s="16">
        <f>HYPERLINK("https://eosportal.federatedhermes.com/engagements/RW5nYWdlbWVudAppNDEzOTQ=", "Board composition - overboarding")</f>
      </c>
      <c r="G2957" s="14" t="s">
        <v>7968</v>
      </c>
      <c r="H2957" s="0" t="s">
        <v>130</v>
      </c>
      <c r="I2957" s="14" t="s">
        <v>131</v>
      </c>
      <c r="J2957" s="0" t="s">
        <v>145</v>
      </c>
      <c r="K2957" s="0" t="s">
        <v>164</v>
      </c>
      <c r="L2957" s="0" t="s">
        <v>165</v>
      </c>
      <c r="M2957" s="0" t="s">
        <v>378</v>
      </c>
      <c r="N2957" s="0" t="s">
        <v>1059</v>
      </c>
      <c r="O2957" s="0" t="s">
        <v>373</v>
      </c>
      <c r="Q2957" s="0" t="s">
        <v>141</v>
      </c>
      <c r="R2957" s="0" t="s">
        <v>138</v>
      </c>
      <c r="S2957" s="14">
        <v>1</v>
      </c>
      <c r="T2957" s="0" t="s">
        <v>361</v>
      </c>
      <c r="U2957" s="0" t="s">
        <v>138</v>
      </c>
      <c r="V2957" s="14" t="s">
        <v>138</v>
      </c>
      <c r="W2957" s="0" t="s">
        <v>138</v>
      </c>
      <c r="X2957" s="14" t="s">
        <v>138</v>
      </c>
      <c r="Y2957" s="0" t="s">
        <v>138</v>
      </c>
      <c r="Z2957" s="14" t="s">
        <v>138</v>
      </c>
      <c r="AA2957" s="0" t="s">
        <v>138</v>
      </c>
      <c r="AB2957" s="14" t="s">
        <v>138</v>
      </c>
      <c r="AD2957" s="0" t="s">
        <v>138</v>
      </c>
      <c r="AF2957" s="0">
        <v>0</v>
      </c>
      <c r="AG2957" s="0">
        <v>0</v>
      </c>
      <c r="AH2957" s="0" t="s">
        <v>140</v>
      </c>
      <c r="AI2957" s="0" t="s">
        <v>138</v>
      </c>
      <c r="AK2957" s="0" t="s">
        <v>2019</v>
      </c>
      <c r="AL2957" s="14"/>
      <c r="AN2957" s="14"/>
      <c r="AQ2957" s="0" t="s">
        <v>130</v>
      </c>
      <c r="AR2957" s="0" t="s">
        <v>130</v>
      </c>
      <c r="AS2957" s="0" t="s">
        <v>130</v>
      </c>
      <c r="AT2957" s="0" t="s">
        <v>130</v>
      </c>
      <c r="AU2957" s="0" t="s">
        <v>130</v>
      </c>
      <c r="AV2957" s="0" t="s">
        <v>130</v>
      </c>
      <c r="AW2957" s="0" t="s">
        <v>130</v>
      </c>
      <c r="AX2957" s="0" t="s">
        <v>130</v>
      </c>
      <c r="AY2957" s="0" t="s">
        <v>130</v>
      </c>
      <c r="AZ2957" s="0" t="s">
        <v>130</v>
      </c>
      <c r="BA2957" s="0" t="s">
        <v>130</v>
      </c>
      <c r="BB2957" s="0" t="s">
        <v>130</v>
      </c>
      <c r="BC2957" s="0" t="s">
        <v>130</v>
      </c>
      <c r="BD2957" s="0" t="s">
        <v>130</v>
      </c>
      <c r="BE2957" s="0" t="s">
        <v>130</v>
      </c>
      <c r="BF2957" s="0" t="s">
        <v>130</v>
      </c>
      <c r="BG2957" s="0" t="s">
        <v>130</v>
      </c>
      <c r="BH2957" s="0" t="s">
        <v>130</v>
      </c>
      <c r="BI2957" s="0" t="s">
        <v>130</v>
      </c>
      <c r="BJ2957" s="0" t="s">
        <v>130</v>
      </c>
      <c r="BK2957" s="0" t="s">
        <v>130</v>
      </c>
      <c r="BL2957" s="0" t="s">
        <v>130</v>
      </c>
      <c r="BM2957" s="0" t="s">
        <v>130</v>
      </c>
      <c r="BN2957" s="0" t="s">
        <v>130</v>
      </c>
      <c r="BO2957" s="0" t="s">
        <v>130</v>
      </c>
      <c r="BP2957" s="0" t="s">
        <v>130</v>
      </c>
      <c r="BQ2957" s="0" t="s">
        <v>130</v>
      </c>
      <c r="BR2957" s="0" t="s">
        <v>130</v>
      </c>
      <c r="BS2957" s="0" t="s">
        <v>130</v>
      </c>
      <c r="BT2957" s="0" t="s">
        <v>130</v>
      </c>
      <c r="BU2957" s="0" t="s">
        <v>130</v>
      </c>
      <c r="BV2957" s="0" t="s">
        <v>130</v>
      </c>
      <c r="BW2957" s="0" t="s">
        <v>130</v>
      </c>
      <c r="BX2957" s="0" t="s">
        <v>130</v>
      </c>
      <c r="BY2957" s="0" t="s">
        <v>130</v>
      </c>
      <c r="BZ2957" s="0" t="s">
        <v>130</v>
      </c>
      <c r="CA2957" s="0" t="s">
        <v>130</v>
      </c>
      <c r="CB2957" s="0" t="s">
        <v>130</v>
      </c>
      <c r="CC2957" s="0" t="s">
        <v>130</v>
      </c>
      <c r="CD2957" s="0" t="s">
        <v>130</v>
      </c>
      <c r="CE2957" s="0" t="s">
        <v>130</v>
      </c>
      <c r="CF2957" s="0" t="s">
        <v>130</v>
      </c>
      <c r="CG2957" s="0" t="s">
        <v>130</v>
      </c>
      <c r="CH2957" s="0" t="s">
        <v>130</v>
      </c>
      <c r="CI2957" s="0" t="s">
        <v>130</v>
      </c>
      <c r="CJ2957" s="0" t="s">
        <v>130</v>
      </c>
      <c r="CK2957" s="0" t="s">
        <v>130</v>
      </c>
      <c r="CL2957" s="0" t="s">
        <v>130</v>
      </c>
      <c r="CM2957" s="0" t="s">
        <v>130</v>
      </c>
      <c r="CN2957" s="0" t="s">
        <v>130</v>
      </c>
      <c r="CO2957" s="0" t="s">
        <v>130</v>
      </c>
      <c r="CP2957" s="0" t="s">
        <v>130</v>
      </c>
      <c r="CQ2957" s="0" t="s">
        <v>130</v>
      </c>
      <c r="CR2957" s="0" t="s">
        <v>130</v>
      </c>
      <c r="CS2957" s="0" t="s">
        <v>130</v>
      </c>
      <c r="CT2957" s="0" t="s">
        <v>7969</v>
      </c>
    </row>
    <row r="2958">
      <c r="A2958" s="14">
        <v>101365</v>
      </c>
      <c r="B2958" s="0" t="s">
        <v>1493</v>
      </c>
      <c r="C2958" s="16">
        <f>HYPERLINK("https://eosportal.federatedhermes.com/companies/Q29tcGFueQppNTQ1MjA=", "Sony Group Corp")</f>
      </c>
      <c r="D2958" s="0" t="s">
        <v>25</v>
      </c>
      <c r="E2958" s="0" t="s">
        <v>6121</v>
      </c>
      <c r="F2958" s="16">
        <f>HYPERLINK("https://eosportal.federatedhermes.com/engagements/RW5nYWdlbWVudAppNDEzOTU=", "Artificial intelligence governance")</f>
      </c>
      <c r="G2958" s="14" t="s">
        <v>7970</v>
      </c>
      <c r="H2958" s="0" t="s">
        <v>141</v>
      </c>
      <c r="I2958" s="14" t="s">
        <v>191</v>
      </c>
      <c r="J2958" s="0" t="s">
        <v>153</v>
      </c>
      <c r="K2958" s="0" t="s">
        <v>243</v>
      </c>
      <c r="L2958" s="0" t="s">
        <v>537</v>
      </c>
      <c r="M2958" s="0" t="s">
        <v>802</v>
      </c>
      <c r="N2958" s="0" t="s">
        <v>952</v>
      </c>
      <c r="O2958" s="0" t="s">
        <v>1125</v>
      </c>
      <c r="Q2958" s="0" t="s">
        <v>141</v>
      </c>
      <c r="R2958" s="0" t="s">
        <v>138</v>
      </c>
      <c r="S2958" s="14">
        <v>2</v>
      </c>
      <c r="T2958" s="0" t="s">
        <v>361</v>
      </c>
      <c r="U2958" s="0" t="s">
        <v>138</v>
      </c>
      <c r="V2958" s="14" t="s">
        <v>138</v>
      </c>
      <c r="W2958" s="0" t="s">
        <v>138</v>
      </c>
      <c r="X2958" s="14" t="s">
        <v>138</v>
      </c>
      <c r="Y2958" s="0" t="s">
        <v>138</v>
      </c>
      <c r="Z2958" s="14" t="s">
        <v>138</v>
      </c>
      <c r="AA2958" s="0" t="s">
        <v>138</v>
      </c>
      <c r="AB2958" s="14" t="s">
        <v>138</v>
      </c>
      <c r="AD2958" s="0" t="s">
        <v>138</v>
      </c>
      <c r="AF2958" s="0">
        <v>0</v>
      </c>
      <c r="AG2958" s="0">
        <v>0</v>
      </c>
      <c r="AH2958" s="0" t="s">
        <v>140</v>
      </c>
      <c r="AI2958" s="0" t="s">
        <v>138</v>
      </c>
      <c r="AK2958" s="0" t="s">
        <v>1196</v>
      </c>
      <c r="AL2958" s="14"/>
      <c r="AN2958" s="14"/>
      <c r="AQ2958" s="0" t="s">
        <v>130</v>
      </c>
      <c r="AR2958" s="0" t="s">
        <v>130</v>
      </c>
      <c r="AS2958" s="0" t="s">
        <v>130</v>
      </c>
      <c r="AT2958" s="0" t="s">
        <v>130</v>
      </c>
      <c r="AU2958" s="0" t="s">
        <v>130</v>
      </c>
      <c r="AV2958" s="0" t="s">
        <v>130</v>
      </c>
      <c r="AW2958" s="0" t="s">
        <v>130</v>
      </c>
      <c r="AX2958" s="0" t="s">
        <v>130</v>
      </c>
      <c r="AY2958" s="0" t="s">
        <v>130</v>
      </c>
      <c r="AZ2958" s="0" t="s">
        <v>130</v>
      </c>
      <c r="BA2958" s="0" t="s">
        <v>130</v>
      </c>
      <c r="BB2958" s="0" t="s">
        <v>141</v>
      </c>
      <c r="BC2958" s="0" t="s">
        <v>130</v>
      </c>
      <c r="BD2958" s="0" t="s">
        <v>130</v>
      </c>
      <c r="BE2958" s="0" t="s">
        <v>130</v>
      </c>
      <c r="BF2958" s="0" t="s">
        <v>141</v>
      </c>
      <c r="BG2958" s="0" t="s">
        <v>130</v>
      </c>
      <c r="BH2958" s="0" t="s">
        <v>130</v>
      </c>
      <c r="BI2958" s="0" t="s">
        <v>130</v>
      </c>
      <c r="BJ2958" s="0" t="s">
        <v>130</v>
      </c>
      <c r="BK2958" s="0" t="s">
        <v>130</v>
      </c>
      <c r="BL2958" s="0" t="s">
        <v>130</v>
      </c>
      <c r="BM2958" s="0" t="s">
        <v>130</v>
      </c>
      <c r="BN2958" s="0" t="s">
        <v>130</v>
      </c>
      <c r="BO2958" s="0" t="s">
        <v>130</v>
      </c>
      <c r="BP2958" s="0" t="s">
        <v>130</v>
      </c>
      <c r="BQ2958" s="0" t="s">
        <v>130</v>
      </c>
      <c r="BR2958" s="0" t="s">
        <v>130</v>
      </c>
      <c r="BS2958" s="0" t="s">
        <v>130</v>
      </c>
      <c r="BT2958" s="0" t="s">
        <v>130</v>
      </c>
      <c r="BU2958" s="0" t="s">
        <v>130</v>
      </c>
      <c r="BV2958" s="0" t="s">
        <v>130</v>
      </c>
      <c r="BW2958" s="0" t="s">
        <v>130</v>
      </c>
      <c r="BX2958" s="0" t="s">
        <v>130</v>
      </c>
      <c r="BY2958" s="0" t="s">
        <v>130</v>
      </c>
      <c r="BZ2958" s="0" t="s">
        <v>130</v>
      </c>
      <c r="CA2958" s="0" t="s">
        <v>130</v>
      </c>
      <c r="CB2958" s="0" t="s">
        <v>130</v>
      </c>
      <c r="CC2958" s="0" t="s">
        <v>130</v>
      </c>
      <c r="CD2958" s="0" t="s">
        <v>130</v>
      </c>
      <c r="CE2958" s="0" t="s">
        <v>130</v>
      </c>
      <c r="CF2958" s="0" t="s">
        <v>130</v>
      </c>
      <c r="CG2958" s="0" t="s">
        <v>130</v>
      </c>
      <c r="CH2958" s="0" t="s">
        <v>130</v>
      </c>
      <c r="CI2958" s="0" t="s">
        <v>130</v>
      </c>
      <c r="CJ2958" s="0" t="s">
        <v>130</v>
      </c>
      <c r="CK2958" s="0" t="s">
        <v>130</v>
      </c>
      <c r="CL2958" s="0" t="s">
        <v>130</v>
      </c>
      <c r="CM2958" s="0" t="s">
        <v>130</v>
      </c>
      <c r="CN2958" s="0" t="s">
        <v>130</v>
      </c>
      <c r="CO2958" s="0" t="s">
        <v>130</v>
      </c>
      <c r="CP2958" s="0" t="s">
        <v>130</v>
      </c>
      <c r="CQ2958" s="0" t="s">
        <v>130</v>
      </c>
      <c r="CR2958" s="0" t="s">
        <v>130</v>
      </c>
      <c r="CS2958" s="0" t="s">
        <v>130</v>
      </c>
      <c r="CT2958" s="0" t="s">
        <v>7971</v>
      </c>
    </row>
    <row r="2959">
      <c r="A2959" s="14">
        <v>32348903</v>
      </c>
      <c r="B2959" s="0" t="s">
        <v>4458</v>
      </c>
      <c r="C2959" s="16">
        <f>HYPERLINK("https://eosportal.federatedhermes.com/companies/Q29tcGFueQppNTg5Njk=", "Zoetis Inc")</f>
      </c>
      <c r="D2959" s="0" t="s">
        <v>25</v>
      </c>
      <c r="E2959" s="0" t="s">
        <v>7972</v>
      </c>
      <c r="F2959" s="16">
        <f>HYPERLINK("https://eosportal.federatedhermes.com/engagements/RW5nYWdlbWVudAppNDEzOTY=", "Artificial Intelligence Governance")</f>
      </c>
      <c r="G2959" s="14" t="s">
        <v>7973</v>
      </c>
      <c r="H2959" s="0" t="s">
        <v>141</v>
      </c>
      <c r="I2959" s="14" t="s">
        <v>636</v>
      </c>
      <c r="J2959" s="0" t="s">
        <v>153</v>
      </c>
      <c r="K2959" s="0" t="s">
        <v>243</v>
      </c>
      <c r="L2959" s="0" t="s">
        <v>537</v>
      </c>
      <c r="M2959" s="0" t="s">
        <v>135</v>
      </c>
      <c r="N2959" s="0" t="s">
        <v>136</v>
      </c>
      <c r="O2959" s="0" t="s">
        <v>274</v>
      </c>
      <c r="Q2959" s="0" t="s">
        <v>141</v>
      </c>
      <c r="R2959" s="0" t="s">
        <v>138</v>
      </c>
      <c r="S2959" s="14">
        <v>1</v>
      </c>
      <c r="T2959" s="0" t="s">
        <v>361</v>
      </c>
      <c r="U2959" s="0" t="s">
        <v>138</v>
      </c>
      <c r="V2959" s="14" t="s">
        <v>138</v>
      </c>
      <c r="W2959" s="0" t="s">
        <v>138</v>
      </c>
      <c r="X2959" s="14" t="s">
        <v>138</v>
      </c>
      <c r="Y2959" s="0" t="s">
        <v>138</v>
      </c>
      <c r="Z2959" s="14" t="s">
        <v>138</v>
      </c>
      <c r="AA2959" s="0" t="s">
        <v>138</v>
      </c>
      <c r="AB2959" s="14" t="s">
        <v>138</v>
      </c>
      <c r="AD2959" s="0" t="s">
        <v>138</v>
      </c>
      <c r="AF2959" s="0">
        <v>0</v>
      </c>
      <c r="AG2959" s="0">
        <v>0</v>
      </c>
      <c r="AH2959" s="0" t="s">
        <v>140</v>
      </c>
      <c r="AI2959" s="0" t="s">
        <v>138</v>
      </c>
      <c r="AK2959" s="0" t="s">
        <v>1834</v>
      </c>
      <c r="AL2959" s="14"/>
      <c r="AN2959" s="14"/>
      <c r="AQ2959" s="0" t="s">
        <v>130</v>
      </c>
      <c r="AR2959" s="0" t="s">
        <v>130</v>
      </c>
      <c r="AS2959" s="0" t="s">
        <v>130</v>
      </c>
      <c r="AT2959" s="0" t="s">
        <v>130</v>
      </c>
      <c r="AU2959" s="0" t="s">
        <v>130</v>
      </c>
      <c r="AV2959" s="0" t="s">
        <v>130</v>
      </c>
      <c r="AW2959" s="0" t="s">
        <v>130</v>
      </c>
      <c r="AX2959" s="0" t="s">
        <v>130</v>
      </c>
      <c r="AY2959" s="0" t="s">
        <v>130</v>
      </c>
      <c r="AZ2959" s="0" t="s">
        <v>141</v>
      </c>
      <c r="BA2959" s="0" t="s">
        <v>130</v>
      </c>
      <c r="BB2959" s="0" t="s">
        <v>141</v>
      </c>
      <c r="BC2959" s="0" t="s">
        <v>130</v>
      </c>
      <c r="BD2959" s="0" t="s">
        <v>130</v>
      </c>
      <c r="BE2959" s="0" t="s">
        <v>130</v>
      </c>
      <c r="BF2959" s="0" t="s">
        <v>141</v>
      </c>
      <c r="BG2959" s="0" t="s">
        <v>130</v>
      </c>
      <c r="BH2959" s="0" t="s">
        <v>130</v>
      </c>
      <c r="BI2959" s="0" t="s">
        <v>130</v>
      </c>
      <c r="BJ2959" s="0" t="s">
        <v>130</v>
      </c>
      <c r="BK2959" s="0" t="s">
        <v>130</v>
      </c>
      <c r="BL2959" s="0" t="s">
        <v>130</v>
      </c>
      <c r="BM2959" s="0" t="s">
        <v>130</v>
      </c>
      <c r="BN2959" s="0" t="s">
        <v>130</v>
      </c>
      <c r="BO2959" s="0" t="s">
        <v>130</v>
      </c>
      <c r="BP2959" s="0" t="s">
        <v>130</v>
      </c>
      <c r="BQ2959" s="0" t="s">
        <v>130</v>
      </c>
      <c r="BR2959" s="0" t="s">
        <v>130</v>
      </c>
      <c r="BS2959" s="0" t="s">
        <v>130</v>
      </c>
      <c r="BT2959" s="0" t="s">
        <v>130</v>
      </c>
      <c r="BU2959" s="0" t="s">
        <v>130</v>
      </c>
      <c r="BV2959" s="0" t="s">
        <v>130</v>
      </c>
      <c r="BW2959" s="0" t="s">
        <v>130</v>
      </c>
      <c r="BX2959" s="0" t="s">
        <v>130</v>
      </c>
      <c r="BY2959" s="0" t="s">
        <v>130</v>
      </c>
      <c r="BZ2959" s="0" t="s">
        <v>130</v>
      </c>
      <c r="CA2959" s="0" t="s">
        <v>130</v>
      </c>
      <c r="CB2959" s="0" t="s">
        <v>130</v>
      </c>
      <c r="CC2959" s="0" t="s">
        <v>130</v>
      </c>
      <c r="CD2959" s="0" t="s">
        <v>130</v>
      </c>
      <c r="CE2959" s="0" t="s">
        <v>130</v>
      </c>
      <c r="CF2959" s="0" t="s">
        <v>130</v>
      </c>
      <c r="CG2959" s="0" t="s">
        <v>130</v>
      </c>
      <c r="CH2959" s="0" t="s">
        <v>130</v>
      </c>
      <c r="CI2959" s="0" t="s">
        <v>130</v>
      </c>
      <c r="CJ2959" s="0" t="s">
        <v>130</v>
      </c>
      <c r="CK2959" s="0" t="s">
        <v>130</v>
      </c>
      <c r="CL2959" s="0" t="s">
        <v>130</v>
      </c>
      <c r="CM2959" s="0" t="s">
        <v>130</v>
      </c>
      <c r="CN2959" s="0" t="s">
        <v>130</v>
      </c>
      <c r="CO2959" s="0" t="s">
        <v>130</v>
      </c>
      <c r="CP2959" s="0" t="s">
        <v>130</v>
      </c>
      <c r="CQ2959" s="0" t="s">
        <v>130</v>
      </c>
      <c r="CR2959" s="0" t="s">
        <v>130</v>
      </c>
      <c r="CS2959" s="0" t="s">
        <v>130</v>
      </c>
      <c r="CT2959" s="0" t="s">
        <v>7974</v>
      </c>
    </row>
    <row r="2960">
      <c r="A2960" s="14">
        <v>961642</v>
      </c>
      <c r="B2960" s="0" t="s">
        <v>3509</v>
      </c>
      <c r="C2960" s="16">
        <f>HYPERLINK("https://eosportal.federatedhermes.com/companies/Q29tcGFueQppNjc3NTI=", "Zurich Insurance Group AG")</f>
      </c>
      <c r="D2960" s="0" t="s">
        <v>25</v>
      </c>
      <c r="E2960" s="0" t="s">
        <v>7975</v>
      </c>
      <c r="F2960" s="16">
        <f>HYPERLINK("https://eosportal.federatedhermes.com/engagements/RW5nYWdlbWVudAppNDE0MDE=", "External Validation of Targets")</f>
      </c>
      <c r="G2960" s="14" t="s">
        <v>7976</v>
      </c>
      <c r="H2960" s="0" t="s">
        <v>141</v>
      </c>
      <c r="I2960" s="14" t="s">
        <v>131</v>
      </c>
      <c r="J2960" s="0" t="s">
        <v>197</v>
      </c>
      <c r="K2960" s="0" t="s">
        <v>198</v>
      </c>
      <c r="L2960" s="0" t="s">
        <v>216</v>
      </c>
      <c r="M2960" s="0" t="s">
        <v>378</v>
      </c>
      <c r="N2960" s="0" t="s">
        <v>1059</v>
      </c>
      <c r="O2960" s="0" t="s">
        <v>238</v>
      </c>
      <c r="Q2960" s="0" t="s">
        <v>141</v>
      </c>
      <c r="R2960" s="0" t="s">
        <v>138</v>
      </c>
      <c r="S2960" s="14">
        <v>2</v>
      </c>
      <c r="T2960" s="0" t="s">
        <v>361</v>
      </c>
      <c r="U2960" s="0" t="s">
        <v>138</v>
      </c>
      <c r="V2960" s="14" t="s">
        <v>138</v>
      </c>
      <c r="W2960" s="0" t="s">
        <v>138</v>
      </c>
      <c r="X2960" s="14" t="s">
        <v>138</v>
      </c>
      <c r="Y2960" s="0" t="s">
        <v>138</v>
      </c>
      <c r="Z2960" s="14" t="s">
        <v>138</v>
      </c>
      <c r="AA2960" s="0" t="s">
        <v>138</v>
      </c>
      <c r="AB2960" s="14" t="s">
        <v>138</v>
      </c>
      <c r="AD2960" s="0" t="s">
        <v>138</v>
      </c>
      <c r="AF2960" s="0">
        <v>0</v>
      </c>
      <c r="AG2960" s="0">
        <v>0</v>
      </c>
      <c r="AH2960" s="0" t="s">
        <v>140</v>
      </c>
      <c r="AI2960" s="0" t="s">
        <v>138</v>
      </c>
      <c r="AK2960" s="0" t="s">
        <v>344</v>
      </c>
      <c r="AL2960" s="14"/>
      <c r="AN2960" s="14"/>
      <c r="AQ2960" s="0" t="s">
        <v>130</v>
      </c>
      <c r="AR2960" s="0" t="s">
        <v>130</v>
      </c>
      <c r="AS2960" s="0" t="s">
        <v>130</v>
      </c>
      <c r="AT2960" s="0" t="s">
        <v>130</v>
      </c>
      <c r="AU2960" s="0" t="s">
        <v>130</v>
      </c>
      <c r="AV2960" s="0" t="s">
        <v>130</v>
      </c>
      <c r="AW2960" s="0" t="s">
        <v>141</v>
      </c>
      <c r="AX2960" s="0" t="s">
        <v>130</v>
      </c>
      <c r="AY2960" s="0" t="s">
        <v>130</v>
      </c>
      <c r="AZ2960" s="0" t="s">
        <v>130</v>
      </c>
      <c r="BA2960" s="0" t="s">
        <v>130</v>
      </c>
      <c r="BB2960" s="0" t="s">
        <v>130</v>
      </c>
      <c r="BC2960" s="0" t="s">
        <v>141</v>
      </c>
      <c r="BD2960" s="0" t="s">
        <v>130</v>
      </c>
      <c r="BE2960" s="0" t="s">
        <v>130</v>
      </c>
      <c r="BF2960" s="0" t="s">
        <v>130</v>
      </c>
      <c r="BG2960" s="0" t="s">
        <v>130</v>
      </c>
      <c r="BH2960" s="0" t="s">
        <v>141</v>
      </c>
      <c r="BI2960" s="0" t="s">
        <v>141</v>
      </c>
      <c r="BJ2960" s="0" t="s">
        <v>141</v>
      </c>
      <c r="BK2960" s="0" t="s">
        <v>130</v>
      </c>
      <c r="BL2960" s="0" t="s">
        <v>141</v>
      </c>
      <c r="BM2960" s="0" t="s">
        <v>130</v>
      </c>
      <c r="BN2960" s="0" t="s">
        <v>130</v>
      </c>
      <c r="BO2960" s="0" t="s">
        <v>130</v>
      </c>
      <c r="BP2960" s="0" t="s">
        <v>130</v>
      </c>
      <c r="BQ2960" s="0" t="s">
        <v>130</v>
      </c>
      <c r="BR2960" s="0" t="s">
        <v>130</v>
      </c>
      <c r="BS2960" s="0" t="s">
        <v>130</v>
      </c>
      <c r="BT2960" s="0" t="s">
        <v>130</v>
      </c>
      <c r="BU2960" s="0" t="s">
        <v>130</v>
      </c>
      <c r="BV2960" s="0" t="s">
        <v>141</v>
      </c>
      <c r="BW2960" s="0" t="s">
        <v>141</v>
      </c>
      <c r="BX2960" s="0" t="s">
        <v>130</v>
      </c>
      <c r="BY2960" s="0" t="s">
        <v>130</v>
      </c>
      <c r="BZ2960" s="0" t="s">
        <v>130</v>
      </c>
      <c r="CA2960" s="0" t="s">
        <v>130</v>
      </c>
      <c r="CB2960" s="0" t="s">
        <v>130</v>
      </c>
      <c r="CC2960" s="0" t="s">
        <v>130</v>
      </c>
      <c r="CD2960" s="0" t="s">
        <v>130</v>
      </c>
      <c r="CE2960" s="0" t="s">
        <v>130</v>
      </c>
      <c r="CF2960" s="0" t="s">
        <v>130</v>
      </c>
      <c r="CG2960" s="0" t="s">
        <v>130</v>
      </c>
      <c r="CH2960" s="0" t="s">
        <v>130</v>
      </c>
      <c r="CI2960" s="0" t="s">
        <v>130</v>
      </c>
      <c r="CJ2960" s="0" t="s">
        <v>130</v>
      </c>
      <c r="CK2960" s="0" t="s">
        <v>130</v>
      </c>
      <c r="CL2960" s="0" t="s">
        <v>130</v>
      </c>
      <c r="CM2960" s="0" t="s">
        <v>130</v>
      </c>
      <c r="CN2960" s="0" t="s">
        <v>130</v>
      </c>
      <c r="CO2960" s="0" t="s">
        <v>130</v>
      </c>
      <c r="CP2960" s="0" t="s">
        <v>130</v>
      </c>
      <c r="CQ2960" s="0" t="s">
        <v>130</v>
      </c>
      <c r="CR2960" s="0" t="s">
        <v>130</v>
      </c>
      <c r="CS2960" s="0" t="s">
        <v>130</v>
      </c>
      <c r="CT2960" s="0" t="s">
        <v>7977</v>
      </c>
    </row>
    <row r="2961">
      <c r="A2961" s="14">
        <v>176984</v>
      </c>
      <c r="B2961" s="0" t="s">
        <v>3133</v>
      </c>
      <c r="C2961" s="16">
        <f>HYPERLINK("https://eosportal.federatedhermes.com/companies/Q29tcGFueQppNzMzODM=", "Belimo Holding AG")</f>
      </c>
      <c r="D2961" s="0" t="s">
        <v>25</v>
      </c>
      <c r="E2961" s="0" t="s">
        <v>1881</v>
      </c>
      <c r="F2961" s="16">
        <f>HYPERLINK("https://eosportal.federatedhermes.com/engagements/RW5nYWdlbWVudAppNDE0MDc=", "Decent work")</f>
      </c>
      <c r="G2961" s="14" t="s">
        <v>7978</v>
      </c>
      <c r="H2961" s="0" t="s">
        <v>130</v>
      </c>
      <c r="I2961" s="14" t="s">
        <v>131</v>
      </c>
      <c r="J2961" s="0" t="s">
        <v>153</v>
      </c>
      <c r="K2961" s="0" t="s">
        <v>154</v>
      </c>
      <c r="L2961" s="0" t="s">
        <v>268</v>
      </c>
      <c r="M2961" s="0" t="s">
        <v>378</v>
      </c>
      <c r="N2961" s="0" t="s">
        <v>1059</v>
      </c>
      <c r="O2961" s="0" t="s">
        <v>176</v>
      </c>
      <c r="Q2961" s="0" t="s">
        <v>141</v>
      </c>
      <c r="R2961" s="0" t="s">
        <v>138</v>
      </c>
      <c r="S2961" s="14">
        <v>1</v>
      </c>
      <c r="T2961" s="0" t="s">
        <v>361</v>
      </c>
      <c r="U2961" s="0" t="s">
        <v>138</v>
      </c>
      <c r="V2961" s="14" t="s">
        <v>138</v>
      </c>
      <c r="W2961" s="0" t="s">
        <v>138</v>
      </c>
      <c r="X2961" s="14" t="s">
        <v>138</v>
      </c>
      <c r="Y2961" s="0" t="s">
        <v>138</v>
      </c>
      <c r="Z2961" s="14" t="s">
        <v>138</v>
      </c>
      <c r="AA2961" s="0" t="s">
        <v>138</v>
      </c>
      <c r="AB2961" s="14" t="s">
        <v>138</v>
      </c>
      <c r="AD2961" s="0" t="s">
        <v>138</v>
      </c>
      <c r="AF2961" s="0">
        <v>0</v>
      </c>
      <c r="AG2961" s="0">
        <v>0</v>
      </c>
      <c r="AH2961" s="0" t="s">
        <v>140</v>
      </c>
      <c r="AI2961" s="0" t="s">
        <v>138</v>
      </c>
      <c r="AK2961" s="0" t="s">
        <v>226</v>
      </c>
      <c r="AL2961" s="14"/>
      <c r="AN2961" s="14"/>
      <c r="AQ2961" s="0" t="s">
        <v>130</v>
      </c>
      <c r="AR2961" s="0" t="s">
        <v>130</v>
      </c>
      <c r="AS2961" s="0" t="s">
        <v>130</v>
      </c>
      <c r="AT2961" s="0" t="s">
        <v>141</v>
      </c>
      <c r="AU2961" s="0" t="s">
        <v>130</v>
      </c>
      <c r="AV2961" s="0" t="s">
        <v>130</v>
      </c>
      <c r="AW2961" s="0" t="s">
        <v>130</v>
      </c>
      <c r="AX2961" s="0" t="s">
        <v>141</v>
      </c>
      <c r="AY2961" s="0" t="s">
        <v>130</v>
      </c>
      <c r="AZ2961" s="0" t="s">
        <v>130</v>
      </c>
      <c r="BA2961" s="0" t="s">
        <v>130</v>
      </c>
      <c r="BB2961" s="0" t="s">
        <v>130</v>
      </c>
      <c r="BC2961" s="0" t="s">
        <v>130</v>
      </c>
      <c r="BD2961" s="0" t="s">
        <v>130</v>
      </c>
      <c r="BE2961" s="0" t="s">
        <v>130</v>
      </c>
      <c r="BF2961" s="0" t="s">
        <v>130</v>
      </c>
      <c r="BG2961" s="0" t="s">
        <v>130</v>
      </c>
      <c r="BH2961" s="0" t="s">
        <v>130</v>
      </c>
      <c r="BI2961" s="0" t="s">
        <v>130</v>
      </c>
      <c r="BJ2961" s="0" t="s">
        <v>130</v>
      </c>
      <c r="BK2961" s="0" t="s">
        <v>130</v>
      </c>
      <c r="BL2961" s="0" t="s">
        <v>130</v>
      </c>
      <c r="BM2961" s="0" t="s">
        <v>130</v>
      </c>
      <c r="BN2961" s="0" t="s">
        <v>130</v>
      </c>
      <c r="BO2961" s="0" t="s">
        <v>130</v>
      </c>
      <c r="BP2961" s="0" t="s">
        <v>130</v>
      </c>
      <c r="BQ2961" s="0" t="s">
        <v>130</v>
      </c>
      <c r="BR2961" s="0" t="s">
        <v>130</v>
      </c>
      <c r="BS2961" s="0" t="s">
        <v>130</v>
      </c>
      <c r="BT2961" s="0" t="s">
        <v>130</v>
      </c>
      <c r="BU2961" s="0" t="s">
        <v>130</v>
      </c>
      <c r="BV2961" s="0" t="s">
        <v>130</v>
      </c>
      <c r="BW2961" s="0" t="s">
        <v>130</v>
      </c>
      <c r="BX2961" s="0" t="s">
        <v>130</v>
      </c>
      <c r="BY2961" s="0" t="s">
        <v>130</v>
      </c>
      <c r="BZ2961" s="0" t="s">
        <v>130</v>
      </c>
      <c r="CA2961" s="0" t="s">
        <v>130</v>
      </c>
      <c r="CB2961" s="0" t="s">
        <v>130</v>
      </c>
      <c r="CC2961" s="0" t="s">
        <v>130</v>
      </c>
      <c r="CD2961" s="0" t="s">
        <v>130</v>
      </c>
      <c r="CE2961" s="0" t="s">
        <v>130</v>
      </c>
      <c r="CF2961" s="0" t="s">
        <v>130</v>
      </c>
      <c r="CG2961" s="0" t="s">
        <v>130</v>
      </c>
      <c r="CH2961" s="0" t="s">
        <v>130</v>
      </c>
      <c r="CI2961" s="0" t="s">
        <v>130</v>
      </c>
      <c r="CJ2961" s="0" t="s">
        <v>130</v>
      </c>
      <c r="CK2961" s="0" t="s">
        <v>141</v>
      </c>
      <c r="CL2961" s="0" t="s">
        <v>130</v>
      </c>
      <c r="CM2961" s="0" t="s">
        <v>130</v>
      </c>
      <c r="CN2961" s="0" t="s">
        <v>130</v>
      </c>
      <c r="CO2961" s="0" t="s">
        <v>130</v>
      </c>
      <c r="CP2961" s="0" t="s">
        <v>130</v>
      </c>
      <c r="CQ2961" s="0" t="s">
        <v>130</v>
      </c>
      <c r="CR2961" s="0" t="s">
        <v>130</v>
      </c>
      <c r="CS2961" s="0" t="s">
        <v>130</v>
      </c>
      <c r="CT2961" s="0" t="s">
        <v>7979</v>
      </c>
    </row>
    <row r="2962">
      <c r="A2962" s="14">
        <v>101752</v>
      </c>
      <c r="B2962" s="0" t="s">
        <v>1938</v>
      </c>
      <c r="C2962" s="16">
        <f>HYPERLINK("https://eosportal.federatedhermes.com/companies/Q29tcGFueQppNzM3NzA=", "Oracle Corp")</f>
      </c>
      <c r="D2962" s="0" t="s">
        <v>25</v>
      </c>
      <c r="E2962" s="0" t="s">
        <v>7980</v>
      </c>
      <c r="F2962" s="16">
        <f>HYPERLINK("https://eosportal.federatedhermes.com/engagements/RW5nYWdlbWVudAppNDE0MDg=", "Company and ecosystem risk and resiilence")</f>
      </c>
      <c r="G2962" s="14" t="s">
        <v>7981</v>
      </c>
      <c r="H2962" s="0" t="s">
        <v>141</v>
      </c>
      <c r="I2962" s="14" t="s">
        <v>131</v>
      </c>
      <c r="J2962" s="0" t="s">
        <v>132</v>
      </c>
      <c r="K2962" s="0" t="s">
        <v>260</v>
      </c>
      <c r="L2962" s="0" t="s">
        <v>261</v>
      </c>
      <c r="M2962" s="0" t="s">
        <v>135</v>
      </c>
      <c r="N2962" s="0" t="s">
        <v>136</v>
      </c>
      <c r="O2962" s="0" t="s">
        <v>137</v>
      </c>
      <c r="Q2962" s="0" t="s">
        <v>141</v>
      </c>
      <c r="R2962" s="0" t="s">
        <v>138</v>
      </c>
      <c r="S2962" s="14">
        <v>1</v>
      </c>
      <c r="T2962" s="0" t="s">
        <v>361</v>
      </c>
      <c r="U2962" s="0" t="s">
        <v>138</v>
      </c>
      <c r="V2962" s="14" t="s">
        <v>138</v>
      </c>
      <c r="W2962" s="0" t="s">
        <v>138</v>
      </c>
      <c r="X2962" s="14" t="s">
        <v>138</v>
      </c>
      <c r="Y2962" s="0" t="s">
        <v>138</v>
      </c>
      <c r="Z2962" s="14" t="s">
        <v>138</v>
      </c>
      <c r="AA2962" s="0" t="s">
        <v>138</v>
      </c>
      <c r="AB2962" s="14" t="s">
        <v>138</v>
      </c>
      <c r="AD2962" s="0" t="s">
        <v>138</v>
      </c>
      <c r="AF2962" s="0">
        <v>0</v>
      </c>
      <c r="AG2962" s="0">
        <v>0</v>
      </c>
      <c r="AH2962" s="0" t="s">
        <v>140</v>
      </c>
      <c r="AI2962" s="0" t="s">
        <v>138</v>
      </c>
      <c r="AK2962" s="0" t="s">
        <v>2019</v>
      </c>
      <c r="AL2962" s="14"/>
      <c r="AN2962" s="14"/>
      <c r="AQ2962" s="0" t="s">
        <v>130</v>
      </c>
      <c r="AR2962" s="0" t="s">
        <v>130</v>
      </c>
      <c r="AS2962" s="0" t="s">
        <v>130</v>
      </c>
      <c r="AT2962" s="0" t="s">
        <v>130</v>
      </c>
      <c r="AU2962" s="0" t="s">
        <v>130</v>
      </c>
      <c r="AV2962" s="0" t="s">
        <v>130</v>
      </c>
      <c r="AW2962" s="0" t="s">
        <v>130</v>
      </c>
      <c r="AX2962" s="0" t="s">
        <v>130</v>
      </c>
      <c r="AY2962" s="0" t="s">
        <v>130</v>
      </c>
      <c r="AZ2962" s="0" t="s">
        <v>130</v>
      </c>
      <c r="BA2962" s="0" t="s">
        <v>130</v>
      </c>
      <c r="BB2962" s="0" t="s">
        <v>130</v>
      </c>
      <c r="BC2962" s="0" t="s">
        <v>130</v>
      </c>
      <c r="BD2962" s="0" t="s">
        <v>130</v>
      </c>
      <c r="BE2962" s="0" t="s">
        <v>130</v>
      </c>
      <c r="BF2962" s="0" t="s">
        <v>130</v>
      </c>
      <c r="BG2962" s="0" t="s">
        <v>130</v>
      </c>
      <c r="BH2962" s="0" t="s">
        <v>130</v>
      </c>
      <c r="BI2962" s="0" t="s">
        <v>130</v>
      </c>
      <c r="BJ2962" s="0" t="s">
        <v>130</v>
      </c>
      <c r="BK2962" s="0" t="s">
        <v>130</v>
      </c>
      <c r="BL2962" s="0" t="s">
        <v>130</v>
      </c>
      <c r="BM2962" s="0" t="s">
        <v>130</v>
      </c>
      <c r="BN2962" s="0" t="s">
        <v>130</v>
      </c>
      <c r="BO2962" s="0" t="s">
        <v>130</v>
      </c>
      <c r="BP2962" s="0" t="s">
        <v>130</v>
      </c>
      <c r="BQ2962" s="0" t="s">
        <v>130</v>
      </c>
      <c r="BR2962" s="0" t="s">
        <v>130</v>
      </c>
      <c r="BS2962" s="0" t="s">
        <v>130</v>
      </c>
      <c r="BT2962" s="0" t="s">
        <v>130</v>
      </c>
      <c r="BU2962" s="0" t="s">
        <v>130</v>
      </c>
      <c r="BV2962" s="0" t="s">
        <v>130</v>
      </c>
      <c r="BW2962" s="0" t="s">
        <v>130</v>
      </c>
      <c r="BX2962" s="0" t="s">
        <v>130</v>
      </c>
      <c r="BY2962" s="0" t="s">
        <v>130</v>
      </c>
      <c r="BZ2962" s="0" t="s">
        <v>130</v>
      </c>
      <c r="CA2962" s="0" t="s">
        <v>130</v>
      </c>
      <c r="CB2962" s="0" t="s">
        <v>130</v>
      </c>
      <c r="CC2962" s="0" t="s">
        <v>130</v>
      </c>
      <c r="CD2962" s="0" t="s">
        <v>130</v>
      </c>
      <c r="CE2962" s="0" t="s">
        <v>130</v>
      </c>
      <c r="CF2962" s="0" t="s">
        <v>130</v>
      </c>
      <c r="CG2962" s="0" t="s">
        <v>130</v>
      </c>
      <c r="CH2962" s="0" t="s">
        <v>130</v>
      </c>
      <c r="CI2962" s="0" t="s">
        <v>130</v>
      </c>
      <c r="CJ2962" s="0" t="s">
        <v>130</v>
      </c>
      <c r="CK2962" s="0" t="s">
        <v>130</v>
      </c>
      <c r="CL2962" s="0" t="s">
        <v>130</v>
      </c>
      <c r="CM2962" s="0" t="s">
        <v>130</v>
      </c>
      <c r="CN2962" s="0" t="s">
        <v>130</v>
      </c>
      <c r="CO2962" s="0" t="s">
        <v>130</v>
      </c>
      <c r="CP2962" s="0" t="s">
        <v>130</v>
      </c>
      <c r="CQ2962" s="0" t="s">
        <v>130</v>
      </c>
      <c r="CR2962" s="0" t="s">
        <v>130</v>
      </c>
      <c r="CS2962" s="0" t="s">
        <v>130</v>
      </c>
      <c r="CT2962" s="0" t="s">
        <v>7982</v>
      </c>
    </row>
    <row r="2963">
      <c r="A2963" s="14">
        <v>1084063</v>
      </c>
      <c r="B2963" s="0" t="s">
        <v>7983</v>
      </c>
      <c r="C2963" s="16">
        <f>HYPERLINK("https://eosportal.federatedhermes.com/companies/Q29tcGFueQppNzQ1NDY=", "Medibank Pvt Ltd")</f>
      </c>
      <c r="D2963" s="0" t="s">
        <v>25</v>
      </c>
      <c r="E2963" s="0" t="s">
        <v>968</v>
      </c>
      <c r="F2963" s="16">
        <f>HYPERLINK("https://eosportal.federatedhermes.com/engagements/RW5nYWdlbWVudAppNDE0MDk=", "Board effectiveness")</f>
      </c>
      <c r="G2963" s="14" t="s">
        <v>7984</v>
      </c>
      <c r="H2963" s="0" t="s">
        <v>130</v>
      </c>
      <c r="I2963" s="14" t="s">
        <v>319</v>
      </c>
      <c r="J2963" s="0" t="s">
        <v>145</v>
      </c>
      <c r="K2963" s="0" t="s">
        <v>164</v>
      </c>
      <c r="L2963" s="0" t="s">
        <v>970</v>
      </c>
      <c r="M2963" s="0" t="s">
        <v>371</v>
      </c>
      <c r="N2963" s="0" t="s">
        <v>372</v>
      </c>
      <c r="O2963" s="0" t="s">
        <v>238</v>
      </c>
      <c r="Q2963" s="0" t="s">
        <v>141</v>
      </c>
      <c r="R2963" s="0" t="s">
        <v>138</v>
      </c>
      <c r="S2963" s="14">
        <v>1</v>
      </c>
      <c r="T2963" s="0" t="s">
        <v>361</v>
      </c>
      <c r="U2963" s="0" t="s">
        <v>138</v>
      </c>
      <c r="V2963" s="14" t="s">
        <v>138</v>
      </c>
      <c r="W2963" s="0" t="s">
        <v>138</v>
      </c>
      <c r="X2963" s="14" t="s">
        <v>138</v>
      </c>
      <c r="Y2963" s="0" t="s">
        <v>138</v>
      </c>
      <c r="Z2963" s="14" t="s">
        <v>138</v>
      </c>
      <c r="AA2963" s="0" t="s">
        <v>138</v>
      </c>
      <c r="AB2963" s="14" t="s">
        <v>138</v>
      </c>
      <c r="AD2963" s="0" t="s">
        <v>138</v>
      </c>
      <c r="AF2963" s="0">
        <v>0</v>
      </c>
      <c r="AG2963" s="0">
        <v>0</v>
      </c>
      <c r="AH2963" s="0" t="s">
        <v>140</v>
      </c>
      <c r="AI2963" s="0" t="s">
        <v>138</v>
      </c>
      <c r="AK2963" s="0" t="s">
        <v>2795</v>
      </c>
      <c r="AL2963" s="14"/>
      <c r="AN2963" s="14"/>
      <c r="AQ2963" s="0" t="s">
        <v>130</v>
      </c>
      <c r="AR2963" s="0" t="s">
        <v>130</v>
      </c>
      <c r="AS2963" s="0" t="s">
        <v>130</v>
      </c>
      <c r="AT2963" s="0" t="s">
        <v>130</v>
      </c>
      <c r="AU2963" s="0" t="s">
        <v>130</v>
      </c>
      <c r="AV2963" s="0" t="s">
        <v>130</v>
      </c>
      <c r="AW2963" s="0" t="s">
        <v>130</v>
      </c>
      <c r="AX2963" s="0" t="s">
        <v>130</v>
      </c>
      <c r="AY2963" s="0" t="s">
        <v>130</v>
      </c>
      <c r="AZ2963" s="0" t="s">
        <v>130</v>
      </c>
      <c r="BA2963" s="0" t="s">
        <v>130</v>
      </c>
      <c r="BB2963" s="0" t="s">
        <v>130</v>
      </c>
      <c r="BC2963" s="0" t="s">
        <v>130</v>
      </c>
      <c r="BD2963" s="0" t="s">
        <v>130</v>
      </c>
      <c r="BE2963" s="0" t="s">
        <v>130</v>
      </c>
      <c r="BF2963" s="0" t="s">
        <v>130</v>
      </c>
      <c r="BG2963" s="0" t="s">
        <v>130</v>
      </c>
      <c r="BH2963" s="0" t="s">
        <v>130</v>
      </c>
      <c r="BI2963" s="0" t="s">
        <v>130</v>
      </c>
      <c r="BJ2963" s="0" t="s">
        <v>130</v>
      </c>
      <c r="BK2963" s="0" t="s">
        <v>130</v>
      </c>
      <c r="BL2963" s="0" t="s">
        <v>130</v>
      </c>
      <c r="BM2963" s="0" t="s">
        <v>130</v>
      </c>
      <c r="BN2963" s="0" t="s">
        <v>130</v>
      </c>
      <c r="BO2963" s="0" t="s">
        <v>130</v>
      </c>
      <c r="BP2963" s="0" t="s">
        <v>130</v>
      </c>
      <c r="BQ2963" s="0" t="s">
        <v>130</v>
      </c>
      <c r="BR2963" s="0" t="s">
        <v>130</v>
      </c>
      <c r="BS2963" s="0" t="s">
        <v>130</v>
      </c>
      <c r="BT2963" s="0" t="s">
        <v>130</v>
      </c>
      <c r="BU2963" s="0" t="s">
        <v>130</v>
      </c>
      <c r="BV2963" s="0" t="s">
        <v>130</v>
      </c>
      <c r="BW2963" s="0" t="s">
        <v>130</v>
      </c>
      <c r="BX2963" s="0" t="s">
        <v>130</v>
      </c>
      <c r="BY2963" s="0" t="s">
        <v>130</v>
      </c>
      <c r="BZ2963" s="0" t="s">
        <v>130</v>
      </c>
      <c r="CA2963" s="0" t="s">
        <v>130</v>
      </c>
      <c r="CB2963" s="0" t="s">
        <v>130</v>
      </c>
      <c r="CC2963" s="0" t="s">
        <v>130</v>
      </c>
      <c r="CD2963" s="0" t="s">
        <v>130</v>
      </c>
      <c r="CE2963" s="0" t="s">
        <v>130</v>
      </c>
      <c r="CF2963" s="0" t="s">
        <v>130</v>
      </c>
      <c r="CG2963" s="0" t="s">
        <v>130</v>
      </c>
      <c r="CH2963" s="0" t="s">
        <v>130</v>
      </c>
      <c r="CI2963" s="0" t="s">
        <v>130</v>
      </c>
      <c r="CJ2963" s="0" t="s">
        <v>130</v>
      </c>
      <c r="CK2963" s="0" t="s">
        <v>130</v>
      </c>
      <c r="CL2963" s="0" t="s">
        <v>130</v>
      </c>
      <c r="CM2963" s="0" t="s">
        <v>130</v>
      </c>
      <c r="CN2963" s="0" t="s">
        <v>130</v>
      </c>
      <c r="CO2963" s="0" t="s">
        <v>130</v>
      </c>
      <c r="CP2963" s="0" t="s">
        <v>130</v>
      </c>
      <c r="CQ2963" s="0" t="s">
        <v>130</v>
      </c>
      <c r="CR2963" s="0" t="s">
        <v>130</v>
      </c>
      <c r="CS2963" s="0" t="s">
        <v>130</v>
      </c>
      <c r="CT2963" s="0" t="s">
        <v>7985</v>
      </c>
    </row>
    <row r="2964">
      <c r="A2964" s="14">
        <v>1084063</v>
      </c>
      <c r="B2964" s="0" t="s">
        <v>7983</v>
      </c>
      <c r="C2964" s="16">
        <f>HYPERLINK("https://eosportal.federatedhermes.com/companies/Q29tcGFueQppNzQ1NDY=", "Medibank Pvt Ltd")</f>
      </c>
      <c r="D2964" s="0" t="s">
        <v>25</v>
      </c>
      <c r="E2964" s="0" t="s">
        <v>341</v>
      </c>
      <c r="F2964" s="16">
        <f>HYPERLINK("https://eosportal.federatedhermes.com/engagements/RW5nYWdlbWVudAppNDE0MTA=", "Remuneration")</f>
      </c>
      <c r="G2964" s="14" t="s">
        <v>7986</v>
      </c>
      <c r="H2964" s="0" t="s">
        <v>130</v>
      </c>
      <c r="I2964" s="14" t="s">
        <v>319</v>
      </c>
      <c r="J2964" s="0" t="s">
        <v>145</v>
      </c>
      <c r="K2964" s="0" t="s">
        <v>146</v>
      </c>
      <c r="L2964" s="0" t="s">
        <v>147</v>
      </c>
      <c r="M2964" s="0" t="s">
        <v>371</v>
      </c>
      <c r="N2964" s="0" t="s">
        <v>372</v>
      </c>
      <c r="O2964" s="0" t="s">
        <v>238</v>
      </c>
      <c r="Q2964" s="0" t="s">
        <v>141</v>
      </c>
      <c r="R2964" s="0" t="s">
        <v>138</v>
      </c>
      <c r="S2964" s="14">
        <v>1</v>
      </c>
      <c r="T2964" s="0" t="s">
        <v>361</v>
      </c>
      <c r="U2964" s="0" t="s">
        <v>138</v>
      </c>
      <c r="V2964" s="14" t="s">
        <v>138</v>
      </c>
      <c r="W2964" s="0" t="s">
        <v>138</v>
      </c>
      <c r="X2964" s="14" t="s">
        <v>138</v>
      </c>
      <c r="Y2964" s="0" t="s">
        <v>138</v>
      </c>
      <c r="Z2964" s="14" t="s">
        <v>138</v>
      </c>
      <c r="AA2964" s="0" t="s">
        <v>138</v>
      </c>
      <c r="AB2964" s="14" t="s">
        <v>138</v>
      </c>
      <c r="AD2964" s="0" t="s">
        <v>138</v>
      </c>
      <c r="AF2964" s="0">
        <v>0</v>
      </c>
      <c r="AG2964" s="0">
        <v>0</v>
      </c>
      <c r="AH2964" s="0" t="s">
        <v>140</v>
      </c>
      <c r="AI2964" s="0" t="s">
        <v>138</v>
      </c>
      <c r="AK2964" s="0" t="s">
        <v>2795</v>
      </c>
      <c r="AL2964" s="14"/>
      <c r="AN2964" s="14"/>
      <c r="AQ2964" s="0" t="s">
        <v>130</v>
      </c>
      <c r="AR2964" s="0" t="s">
        <v>130</v>
      </c>
      <c r="AS2964" s="0" t="s">
        <v>130</v>
      </c>
      <c r="AT2964" s="0" t="s">
        <v>130</v>
      </c>
      <c r="AU2964" s="0" t="s">
        <v>130</v>
      </c>
      <c r="AV2964" s="0" t="s">
        <v>130</v>
      </c>
      <c r="AW2964" s="0" t="s">
        <v>130</v>
      </c>
      <c r="AX2964" s="0" t="s">
        <v>130</v>
      </c>
      <c r="AY2964" s="0" t="s">
        <v>130</v>
      </c>
      <c r="AZ2964" s="0" t="s">
        <v>130</v>
      </c>
      <c r="BA2964" s="0" t="s">
        <v>130</v>
      </c>
      <c r="BB2964" s="0" t="s">
        <v>130</v>
      </c>
      <c r="BC2964" s="0" t="s">
        <v>130</v>
      </c>
      <c r="BD2964" s="0" t="s">
        <v>130</v>
      </c>
      <c r="BE2964" s="0" t="s">
        <v>130</v>
      </c>
      <c r="BF2964" s="0" t="s">
        <v>130</v>
      </c>
      <c r="BG2964" s="0" t="s">
        <v>130</v>
      </c>
      <c r="BH2964" s="0" t="s">
        <v>130</v>
      </c>
      <c r="BI2964" s="0" t="s">
        <v>130</v>
      </c>
      <c r="BJ2964" s="0" t="s">
        <v>130</v>
      </c>
      <c r="BK2964" s="0" t="s">
        <v>130</v>
      </c>
      <c r="BL2964" s="0" t="s">
        <v>130</v>
      </c>
      <c r="BM2964" s="0" t="s">
        <v>130</v>
      </c>
      <c r="BN2964" s="0" t="s">
        <v>130</v>
      </c>
      <c r="BO2964" s="0" t="s">
        <v>130</v>
      </c>
      <c r="BP2964" s="0" t="s">
        <v>130</v>
      </c>
      <c r="BQ2964" s="0" t="s">
        <v>130</v>
      </c>
      <c r="BR2964" s="0" t="s">
        <v>130</v>
      </c>
      <c r="BS2964" s="0" t="s">
        <v>130</v>
      </c>
      <c r="BT2964" s="0" t="s">
        <v>130</v>
      </c>
      <c r="BU2964" s="0" t="s">
        <v>130</v>
      </c>
      <c r="BV2964" s="0" t="s">
        <v>130</v>
      </c>
      <c r="BW2964" s="0" t="s">
        <v>130</v>
      </c>
      <c r="BX2964" s="0" t="s">
        <v>130</v>
      </c>
      <c r="BY2964" s="0" t="s">
        <v>130</v>
      </c>
      <c r="BZ2964" s="0" t="s">
        <v>130</v>
      </c>
      <c r="CA2964" s="0" t="s">
        <v>130</v>
      </c>
      <c r="CB2964" s="0" t="s">
        <v>130</v>
      </c>
      <c r="CC2964" s="0" t="s">
        <v>130</v>
      </c>
      <c r="CD2964" s="0" t="s">
        <v>130</v>
      </c>
      <c r="CE2964" s="0" t="s">
        <v>130</v>
      </c>
      <c r="CF2964" s="0" t="s">
        <v>130</v>
      </c>
      <c r="CG2964" s="0" t="s">
        <v>130</v>
      </c>
      <c r="CH2964" s="0" t="s">
        <v>130</v>
      </c>
      <c r="CI2964" s="0" t="s">
        <v>130</v>
      </c>
      <c r="CJ2964" s="0" t="s">
        <v>130</v>
      </c>
      <c r="CK2964" s="0" t="s">
        <v>130</v>
      </c>
      <c r="CL2964" s="0" t="s">
        <v>130</v>
      </c>
      <c r="CM2964" s="0" t="s">
        <v>130</v>
      </c>
      <c r="CN2964" s="0" t="s">
        <v>130</v>
      </c>
      <c r="CO2964" s="0" t="s">
        <v>130</v>
      </c>
      <c r="CP2964" s="0" t="s">
        <v>130</v>
      </c>
      <c r="CQ2964" s="0" t="s">
        <v>130</v>
      </c>
      <c r="CR2964" s="0" t="s">
        <v>130</v>
      </c>
      <c r="CS2964" s="0" t="s">
        <v>130</v>
      </c>
      <c r="CT2964" s="0" t="s">
        <v>7987</v>
      </c>
    </row>
    <row r="2965">
      <c r="A2965" s="14">
        <v>12429623</v>
      </c>
      <c r="B2965" s="0" t="s">
        <v>6515</v>
      </c>
      <c r="C2965" s="16">
        <f>HYPERLINK("https://eosportal.federatedhermes.com/companies/Q29tcGFueQppNzU0ODE=", "MSCI Inc")</f>
      </c>
      <c r="D2965" s="0" t="s">
        <v>25</v>
      </c>
      <c r="E2965" s="0" t="s">
        <v>7988</v>
      </c>
      <c r="F2965" s="16">
        <f>HYPERLINK("https://eosportal.federatedhermes.com/engagements/RW5nYWdlbWVudAppNDE0MTE=", "Physical risk")</f>
      </c>
      <c r="G2965" s="14" t="s">
        <v>7989</v>
      </c>
      <c r="H2965" s="0" t="s">
        <v>130</v>
      </c>
      <c r="I2965" s="14" t="s">
        <v>319</v>
      </c>
      <c r="J2965" s="0" t="s">
        <v>197</v>
      </c>
      <c r="K2965" s="0" t="s">
        <v>198</v>
      </c>
      <c r="L2965" s="0" t="s">
        <v>682</v>
      </c>
      <c r="M2965" s="0" t="s">
        <v>135</v>
      </c>
      <c r="N2965" s="0" t="s">
        <v>136</v>
      </c>
      <c r="O2965" s="0" t="s">
        <v>238</v>
      </c>
      <c r="Q2965" s="0" t="s">
        <v>141</v>
      </c>
      <c r="R2965" s="0" t="s">
        <v>138</v>
      </c>
      <c r="S2965" s="14">
        <v>1</v>
      </c>
      <c r="T2965" s="0" t="s">
        <v>361</v>
      </c>
      <c r="U2965" s="0" t="s">
        <v>138</v>
      </c>
      <c r="V2965" s="14" t="s">
        <v>138</v>
      </c>
      <c r="W2965" s="0" t="s">
        <v>138</v>
      </c>
      <c r="X2965" s="14" t="s">
        <v>138</v>
      </c>
      <c r="Y2965" s="0" t="s">
        <v>138</v>
      </c>
      <c r="Z2965" s="14" t="s">
        <v>138</v>
      </c>
      <c r="AA2965" s="0" t="s">
        <v>138</v>
      </c>
      <c r="AB2965" s="14" t="s">
        <v>138</v>
      </c>
      <c r="AD2965" s="0" t="s">
        <v>138</v>
      </c>
      <c r="AF2965" s="0">
        <v>0</v>
      </c>
      <c r="AG2965" s="0">
        <v>0</v>
      </c>
      <c r="AH2965" s="0" t="s">
        <v>140</v>
      </c>
      <c r="AI2965" s="0" t="s">
        <v>138</v>
      </c>
      <c r="AK2965" s="0" t="s">
        <v>4146</v>
      </c>
      <c r="AL2965" s="14"/>
      <c r="AN2965" s="14"/>
      <c r="AQ2965" s="0" t="s">
        <v>130</v>
      </c>
      <c r="AR2965" s="0" t="s">
        <v>130</v>
      </c>
      <c r="AS2965" s="0" t="s">
        <v>130</v>
      </c>
      <c r="AT2965" s="0" t="s">
        <v>130</v>
      </c>
      <c r="AU2965" s="0" t="s">
        <v>130</v>
      </c>
      <c r="AV2965" s="0" t="s">
        <v>130</v>
      </c>
      <c r="AW2965" s="0" t="s">
        <v>130</v>
      </c>
      <c r="AX2965" s="0" t="s">
        <v>130</v>
      </c>
      <c r="AY2965" s="0" t="s">
        <v>130</v>
      </c>
      <c r="AZ2965" s="0" t="s">
        <v>130</v>
      </c>
      <c r="BA2965" s="0" t="s">
        <v>130</v>
      </c>
      <c r="BB2965" s="0" t="s">
        <v>130</v>
      </c>
      <c r="BC2965" s="0" t="s">
        <v>141</v>
      </c>
      <c r="BD2965" s="0" t="s">
        <v>130</v>
      </c>
      <c r="BE2965" s="0" t="s">
        <v>130</v>
      </c>
      <c r="BF2965" s="0" t="s">
        <v>130</v>
      </c>
      <c r="BG2965" s="0" t="s">
        <v>130</v>
      </c>
      <c r="BH2965" s="0" t="s">
        <v>130</v>
      </c>
      <c r="BI2965" s="0" t="s">
        <v>130</v>
      </c>
      <c r="BJ2965" s="0" t="s">
        <v>130</v>
      </c>
      <c r="BK2965" s="0" t="s">
        <v>130</v>
      </c>
      <c r="BL2965" s="0" t="s">
        <v>130</v>
      </c>
      <c r="BM2965" s="0" t="s">
        <v>130</v>
      </c>
      <c r="BN2965" s="0" t="s">
        <v>130</v>
      </c>
      <c r="BO2965" s="0" t="s">
        <v>130</v>
      </c>
      <c r="BP2965" s="0" t="s">
        <v>130</v>
      </c>
      <c r="BQ2965" s="0" t="s">
        <v>130</v>
      </c>
      <c r="BR2965" s="0" t="s">
        <v>130</v>
      </c>
      <c r="BS2965" s="0" t="s">
        <v>130</v>
      </c>
      <c r="BT2965" s="0" t="s">
        <v>130</v>
      </c>
      <c r="BU2965" s="0" t="s">
        <v>130</v>
      </c>
      <c r="BV2965" s="0" t="s">
        <v>130</v>
      </c>
      <c r="BW2965" s="0" t="s">
        <v>130</v>
      </c>
      <c r="BX2965" s="0" t="s">
        <v>130</v>
      </c>
      <c r="BY2965" s="0" t="s">
        <v>130</v>
      </c>
      <c r="BZ2965" s="0" t="s">
        <v>130</v>
      </c>
      <c r="CA2965" s="0" t="s">
        <v>130</v>
      </c>
      <c r="CB2965" s="0" t="s">
        <v>130</v>
      </c>
      <c r="CC2965" s="0" t="s">
        <v>130</v>
      </c>
      <c r="CD2965" s="0" t="s">
        <v>130</v>
      </c>
      <c r="CE2965" s="0" t="s">
        <v>130</v>
      </c>
      <c r="CF2965" s="0" t="s">
        <v>130</v>
      </c>
      <c r="CG2965" s="0" t="s">
        <v>130</v>
      </c>
      <c r="CH2965" s="0" t="s">
        <v>130</v>
      </c>
      <c r="CI2965" s="0" t="s">
        <v>130</v>
      </c>
      <c r="CJ2965" s="0" t="s">
        <v>130</v>
      </c>
      <c r="CK2965" s="0" t="s">
        <v>130</v>
      </c>
      <c r="CL2965" s="0" t="s">
        <v>130</v>
      </c>
      <c r="CM2965" s="0" t="s">
        <v>130</v>
      </c>
      <c r="CN2965" s="0" t="s">
        <v>130</v>
      </c>
      <c r="CO2965" s="0" t="s">
        <v>130</v>
      </c>
      <c r="CP2965" s="0" t="s">
        <v>130</v>
      </c>
      <c r="CQ2965" s="0" t="s">
        <v>130</v>
      </c>
      <c r="CR2965" s="0" t="s">
        <v>130</v>
      </c>
      <c r="CS2965" s="0" t="s">
        <v>130</v>
      </c>
      <c r="CT2965" s="0" t="s">
        <v>7990</v>
      </c>
    </row>
    <row r="2966">
      <c r="A2966" s="14">
        <v>101639</v>
      </c>
      <c r="B2966" s="0" t="s">
        <v>1867</v>
      </c>
      <c r="C2966" s="16">
        <f>HYPERLINK("https://eosportal.federatedhermes.com/companies/Q29tcGFueQppNzU2NzE=", "West Pharmaceutical Services Inc")</f>
      </c>
      <c r="D2966" s="0" t="s">
        <v>25</v>
      </c>
      <c r="E2966" s="0" t="s">
        <v>7991</v>
      </c>
      <c r="F2966" s="16">
        <f>HYPERLINK("https://eosportal.federatedhermes.com/engagements/RW5nYWdlbWVudAppNDE0MTI=", "AI-related workforce impact")</f>
      </c>
      <c r="G2966" s="14" t="s">
        <v>7992</v>
      </c>
      <c r="H2966" s="0" t="s">
        <v>130</v>
      </c>
      <c r="I2966" s="14" t="s">
        <v>131</v>
      </c>
      <c r="J2966" s="0" t="s">
        <v>153</v>
      </c>
      <c r="K2966" s="0" t="s">
        <v>154</v>
      </c>
      <c r="L2966" s="0" t="s">
        <v>268</v>
      </c>
      <c r="M2966" s="0" t="s">
        <v>135</v>
      </c>
      <c r="N2966" s="0" t="s">
        <v>136</v>
      </c>
      <c r="O2966" s="0" t="s">
        <v>274</v>
      </c>
      <c r="Q2966" s="0" t="s">
        <v>141</v>
      </c>
      <c r="R2966" s="0" t="s">
        <v>138</v>
      </c>
      <c r="S2966" s="14">
        <v>2</v>
      </c>
      <c r="T2966" s="0" t="s">
        <v>361</v>
      </c>
      <c r="U2966" s="0" t="s">
        <v>138</v>
      </c>
      <c r="V2966" s="14" t="s">
        <v>138</v>
      </c>
      <c r="W2966" s="0" t="s">
        <v>138</v>
      </c>
      <c r="X2966" s="14" t="s">
        <v>138</v>
      </c>
      <c r="Y2966" s="0" t="s">
        <v>138</v>
      </c>
      <c r="Z2966" s="14" t="s">
        <v>138</v>
      </c>
      <c r="AA2966" s="0" t="s">
        <v>138</v>
      </c>
      <c r="AB2966" s="14" t="s">
        <v>138</v>
      </c>
      <c r="AD2966" s="0" t="s">
        <v>138</v>
      </c>
      <c r="AF2966" s="0">
        <v>0</v>
      </c>
      <c r="AG2966" s="0">
        <v>0</v>
      </c>
      <c r="AH2966" s="0" t="s">
        <v>140</v>
      </c>
      <c r="AI2966" s="0" t="s">
        <v>138</v>
      </c>
      <c r="AK2966" s="0" t="s">
        <v>587</v>
      </c>
      <c r="AL2966" s="14"/>
      <c r="AN2966" s="14"/>
      <c r="AQ2966" s="0" t="s">
        <v>130</v>
      </c>
      <c r="AR2966" s="0" t="s">
        <v>130</v>
      </c>
      <c r="AS2966" s="0" t="s">
        <v>130</v>
      </c>
      <c r="AT2966" s="0" t="s">
        <v>141</v>
      </c>
      <c r="AU2966" s="0" t="s">
        <v>130</v>
      </c>
      <c r="AV2966" s="0" t="s">
        <v>130</v>
      </c>
      <c r="AW2966" s="0" t="s">
        <v>130</v>
      </c>
      <c r="AX2966" s="0" t="s">
        <v>141</v>
      </c>
      <c r="AY2966" s="0" t="s">
        <v>130</v>
      </c>
      <c r="AZ2966" s="0" t="s">
        <v>130</v>
      </c>
      <c r="BA2966" s="0" t="s">
        <v>130</v>
      </c>
      <c r="BB2966" s="0" t="s">
        <v>130</v>
      </c>
      <c r="BC2966" s="0" t="s">
        <v>130</v>
      </c>
      <c r="BD2966" s="0" t="s">
        <v>130</v>
      </c>
      <c r="BE2966" s="0" t="s">
        <v>130</v>
      </c>
      <c r="BF2966" s="0" t="s">
        <v>130</v>
      </c>
      <c r="BG2966" s="0" t="s">
        <v>130</v>
      </c>
      <c r="BH2966" s="0" t="s">
        <v>130</v>
      </c>
      <c r="BI2966" s="0" t="s">
        <v>130</v>
      </c>
      <c r="BJ2966" s="0" t="s">
        <v>130</v>
      </c>
      <c r="BK2966" s="0" t="s">
        <v>130</v>
      </c>
      <c r="BL2966" s="0" t="s">
        <v>130</v>
      </c>
      <c r="BM2966" s="0" t="s">
        <v>130</v>
      </c>
      <c r="BN2966" s="0" t="s">
        <v>130</v>
      </c>
      <c r="BO2966" s="0" t="s">
        <v>130</v>
      </c>
      <c r="BP2966" s="0" t="s">
        <v>130</v>
      </c>
      <c r="BQ2966" s="0" t="s">
        <v>130</v>
      </c>
      <c r="BR2966" s="0" t="s">
        <v>130</v>
      </c>
      <c r="BS2966" s="0" t="s">
        <v>130</v>
      </c>
      <c r="BT2966" s="0" t="s">
        <v>130</v>
      </c>
      <c r="BU2966" s="0" t="s">
        <v>130</v>
      </c>
      <c r="BV2966" s="0" t="s">
        <v>130</v>
      </c>
      <c r="BW2966" s="0" t="s">
        <v>130</v>
      </c>
      <c r="BX2966" s="0" t="s">
        <v>130</v>
      </c>
      <c r="BY2966" s="0" t="s">
        <v>130</v>
      </c>
      <c r="BZ2966" s="0" t="s">
        <v>130</v>
      </c>
      <c r="CA2966" s="0" t="s">
        <v>130</v>
      </c>
      <c r="CB2966" s="0" t="s">
        <v>130</v>
      </c>
      <c r="CC2966" s="0" t="s">
        <v>130</v>
      </c>
      <c r="CD2966" s="0" t="s">
        <v>130</v>
      </c>
      <c r="CE2966" s="0" t="s">
        <v>130</v>
      </c>
      <c r="CF2966" s="0" t="s">
        <v>130</v>
      </c>
      <c r="CG2966" s="0" t="s">
        <v>130</v>
      </c>
      <c r="CH2966" s="0" t="s">
        <v>130</v>
      </c>
      <c r="CI2966" s="0" t="s">
        <v>130</v>
      </c>
      <c r="CJ2966" s="0" t="s">
        <v>130</v>
      </c>
      <c r="CK2966" s="0" t="s">
        <v>141</v>
      </c>
      <c r="CL2966" s="0" t="s">
        <v>130</v>
      </c>
      <c r="CM2966" s="0" t="s">
        <v>130</v>
      </c>
      <c r="CN2966" s="0" t="s">
        <v>130</v>
      </c>
      <c r="CO2966" s="0" t="s">
        <v>130</v>
      </c>
      <c r="CP2966" s="0" t="s">
        <v>130</v>
      </c>
      <c r="CQ2966" s="0" t="s">
        <v>130</v>
      </c>
      <c r="CR2966" s="0" t="s">
        <v>130</v>
      </c>
      <c r="CS2966" s="0" t="s">
        <v>130</v>
      </c>
      <c r="CT2966" s="0" t="s">
        <v>7993</v>
      </c>
    </row>
    <row r="2967">
      <c r="A2967" s="14">
        <v>101466</v>
      </c>
      <c r="B2967" s="0" t="s">
        <v>1628</v>
      </c>
      <c r="C2967" s="16">
        <f>HYPERLINK("https://eosportal.federatedhermes.com/companies/Q29tcGFueQppNzU3MDQ=", "Thermo Fisher Scientific Inc")</f>
      </c>
      <c r="D2967" s="0" t="s">
        <v>25</v>
      </c>
      <c r="E2967" s="0" t="s">
        <v>2237</v>
      </c>
      <c r="F2967" s="16">
        <f>HYPERLINK("https://eosportal.federatedhermes.com/engagements/RW5nYWdlbWVudAppNDE0MTM=", "Artificial Intelligence")</f>
      </c>
      <c r="G2967" s="14" t="s">
        <v>7994</v>
      </c>
      <c r="H2967" s="0" t="s">
        <v>141</v>
      </c>
      <c r="I2967" s="14" t="s">
        <v>636</v>
      </c>
      <c r="J2967" s="0" t="s">
        <v>153</v>
      </c>
      <c r="K2967" s="0" t="s">
        <v>243</v>
      </c>
      <c r="L2967" s="0" t="s">
        <v>537</v>
      </c>
      <c r="M2967" s="0" t="s">
        <v>135</v>
      </c>
      <c r="N2967" s="0" t="s">
        <v>136</v>
      </c>
      <c r="O2967" s="0" t="s">
        <v>274</v>
      </c>
      <c r="Q2967" s="0" t="s">
        <v>141</v>
      </c>
      <c r="R2967" s="0" t="s">
        <v>138</v>
      </c>
      <c r="S2967" s="14">
        <v>2</v>
      </c>
      <c r="T2967" s="0" t="s">
        <v>361</v>
      </c>
      <c r="U2967" s="0" t="s">
        <v>138</v>
      </c>
      <c r="V2967" s="14" t="s">
        <v>138</v>
      </c>
      <c r="W2967" s="0" t="s">
        <v>138</v>
      </c>
      <c r="X2967" s="14" t="s">
        <v>138</v>
      </c>
      <c r="Y2967" s="0" t="s">
        <v>138</v>
      </c>
      <c r="Z2967" s="14" t="s">
        <v>138</v>
      </c>
      <c r="AA2967" s="0" t="s">
        <v>138</v>
      </c>
      <c r="AB2967" s="14" t="s">
        <v>138</v>
      </c>
      <c r="AD2967" s="0" t="s">
        <v>138</v>
      </c>
      <c r="AF2967" s="0">
        <v>0</v>
      </c>
      <c r="AG2967" s="0">
        <v>0</v>
      </c>
      <c r="AH2967" s="0" t="s">
        <v>140</v>
      </c>
      <c r="AI2967" s="0" t="s">
        <v>138</v>
      </c>
      <c r="AK2967" s="0" t="s">
        <v>233</v>
      </c>
      <c r="AL2967" s="14"/>
      <c r="AN2967" s="14"/>
      <c r="AQ2967" s="0" t="s">
        <v>130</v>
      </c>
      <c r="AR2967" s="0" t="s">
        <v>130</v>
      </c>
      <c r="AS2967" s="0" t="s">
        <v>130</v>
      </c>
      <c r="AT2967" s="0" t="s">
        <v>130</v>
      </c>
      <c r="AU2967" s="0" t="s">
        <v>130</v>
      </c>
      <c r="AV2967" s="0" t="s">
        <v>130</v>
      </c>
      <c r="AW2967" s="0" t="s">
        <v>130</v>
      </c>
      <c r="AX2967" s="0" t="s">
        <v>130</v>
      </c>
      <c r="AY2967" s="0" t="s">
        <v>130</v>
      </c>
      <c r="AZ2967" s="0" t="s">
        <v>141</v>
      </c>
      <c r="BA2967" s="0" t="s">
        <v>130</v>
      </c>
      <c r="BB2967" s="0" t="s">
        <v>141</v>
      </c>
      <c r="BC2967" s="0" t="s">
        <v>130</v>
      </c>
      <c r="BD2967" s="0" t="s">
        <v>130</v>
      </c>
      <c r="BE2967" s="0" t="s">
        <v>130</v>
      </c>
      <c r="BF2967" s="0" t="s">
        <v>141</v>
      </c>
      <c r="BG2967" s="0" t="s">
        <v>130</v>
      </c>
      <c r="BH2967" s="0" t="s">
        <v>130</v>
      </c>
      <c r="BI2967" s="0" t="s">
        <v>130</v>
      </c>
      <c r="BJ2967" s="0" t="s">
        <v>130</v>
      </c>
      <c r="BK2967" s="0" t="s">
        <v>130</v>
      </c>
      <c r="BL2967" s="0" t="s">
        <v>130</v>
      </c>
      <c r="BM2967" s="0" t="s">
        <v>130</v>
      </c>
      <c r="BN2967" s="0" t="s">
        <v>130</v>
      </c>
      <c r="BO2967" s="0" t="s">
        <v>130</v>
      </c>
      <c r="BP2967" s="0" t="s">
        <v>130</v>
      </c>
      <c r="BQ2967" s="0" t="s">
        <v>130</v>
      </c>
      <c r="BR2967" s="0" t="s">
        <v>130</v>
      </c>
      <c r="BS2967" s="0" t="s">
        <v>130</v>
      </c>
      <c r="BT2967" s="0" t="s">
        <v>130</v>
      </c>
      <c r="BU2967" s="0" t="s">
        <v>130</v>
      </c>
      <c r="BV2967" s="0" t="s">
        <v>130</v>
      </c>
      <c r="BW2967" s="0" t="s">
        <v>130</v>
      </c>
      <c r="BX2967" s="0" t="s">
        <v>130</v>
      </c>
      <c r="BY2967" s="0" t="s">
        <v>130</v>
      </c>
      <c r="BZ2967" s="0" t="s">
        <v>130</v>
      </c>
      <c r="CA2967" s="0" t="s">
        <v>130</v>
      </c>
      <c r="CB2967" s="0" t="s">
        <v>130</v>
      </c>
      <c r="CC2967" s="0" t="s">
        <v>130</v>
      </c>
      <c r="CD2967" s="0" t="s">
        <v>130</v>
      </c>
      <c r="CE2967" s="0" t="s">
        <v>130</v>
      </c>
      <c r="CF2967" s="0" t="s">
        <v>130</v>
      </c>
      <c r="CG2967" s="0" t="s">
        <v>130</v>
      </c>
      <c r="CH2967" s="0" t="s">
        <v>130</v>
      </c>
      <c r="CI2967" s="0" t="s">
        <v>130</v>
      </c>
      <c r="CJ2967" s="0" t="s">
        <v>130</v>
      </c>
      <c r="CK2967" s="0" t="s">
        <v>130</v>
      </c>
      <c r="CL2967" s="0" t="s">
        <v>130</v>
      </c>
      <c r="CM2967" s="0" t="s">
        <v>130</v>
      </c>
      <c r="CN2967" s="0" t="s">
        <v>130</v>
      </c>
      <c r="CO2967" s="0" t="s">
        <v>130</v>
      </c>
      <c r="CP2967" s="0" t="s">
        <v>130</v>
      </c>
      <c r="CQ2967" s="0" t="s">
        <v>130</v>
      </c>
      <c r="CR2967" s="0" t="s">
        <v>130</v>
      </c>
      <c r="CS2967" s="0" t="s">
        <v>130</v>
      </c>
      <c r="CT2967" s="0" t="s">
        <v>7995</v>
      </c>
    </row>
    <row r="2968">
      <c r="A2968" s="14">
        <v>183932</v>
      </c>
      <c r="B2968" s="0" t="s">
        <v>3222</v>
      </c>
      <c r="C2968" s="16">
        <f>HYPERLINK("https://eosportal.federatedhermes.com/companies/Q29tcGFueQppNzU5MzI=", "Orsted AS")</f>
      </c>
      <c r="D2968" s="0" t="s">
        <v>25</v>
      </c>
      <c r="E2968" s="0" t="s">
        <v>7996</v>
      </c>
      <c r="F2968" s="16">
        <f>HYPERLINK("https://eosportal.federatedhermes.com/engagements/RW5nYWdlbWVudAppNDE0MTQ=", "Long-term Strategy")</f>
      </c>
      <c r="G2968" s="14" t="s">
        <v>7997</v>
      </c>
      <c r="H2968" s="0" t="s">
        <v>130</v>
      </c>
      <c r="I2968" s="14" t="s">
        <v>131</v>
      </c>
      <c r="J2968" s="0" t="s">
        <v>132</v>
      </c>
      <c r="K2968" s="0" t="s">
        <v>133</v>
      </c>
      <c r="L2968" s="0" t="s">
        <v>160</v>
      </c>
      <c r="M2968" s="0" t="s">
        <v>378</v>
      </c>
      <c r="N2968" s="0" t="s">
        <v>1339</v>
      </c>
      <c r="O2968" s="0" t="s">
        <v>192</v>
      </c>
      <c r="Q2968" s="0" t="s">
        <v>141</v>
      </c>
      <c r="R2968" s="0" t="s">
        <v>138</v>
      </c>
      <c r="S2968" s="14">
        <v>2</v>
      </c>
      <c r="T2968" s="0" t="s">
        <v>361</v>
      </c>
      <c r="U2968" s="0" t="s">
        <v>138</v>
      </c>
      <c r="V2968" s="14" t="s">
        <v>138</v>
      </c>
      <c r="W2968" s="0" t="s">
        <v>138</v>
      </c>
      <c r="X2968" s="14" t="s">
        <v>138</v>
      </c>
      <c r="Y2968" s="0" t="s">
        <v>138</v>
      </c>
      <c r="Z2968" s="14" t="s">
        <v>138</v>
      </c>
      <c r="AA2968" s="0" t="s">
        <v>138</v>
      </c>
      <c r="AB2968" s="14" t="s">
        <v>138</v>
      </c>
      <c r="AD2968" s="0" t="s">
        <v>138</v>
      </c>
      <c r="AF2968" s="0">
        <v>0</v>
      </c>
      <c r="AG2968" s="0">
        <v>0</v>
      </c>
      <c r="AH2968" s="0" t="s">
        <v>140</v>
      </c>
      <c r="AI2968" s="0" t="s">
        <v>138</v>
      </c>
      <c r="AK2968" s="0" t="s">
        <v>3207</v>
      </c>
      <c r="AL2968" s="14"/>
      <c r="AN2968" s="14"/>
      <c r="AQ2968" s="0" t="s">
        <v>130</v>
      </c>
      <c r="AR2968" s="0" t="s">
        <v>130</v>
      </c>
      <c r="AS2968" s="0" t="s">
        <v>130</v>
      </c>
      <c r="AT2968" s="0" t="s">
        <v>130</v>
      </c>
      <c r="AU2968" s="0" t="s">
        <v>130</v>
      </c>
      <c r="AV2968" s="0" t="s">
        <v>130</v>
      </c>
      <c r="AW2968" s="0" t="s">
        <v>130</v>
      </c>
      <c r="AX2968" s="0" t="s">
        <v>130</v>
      </c>
      <c r="AY2968" s="0" t="s">
        <v>141</v>
      </c>
      <c r="AZ2968" s="0" t="s">
        <v>130</v>
      </c>
      <c r="BA2968" s="0" t="s">
        <v>130</v>
      </c>
      <c r="BB2968" s="0" t="s">
        <v>130</v>
      </c>
      <c r="BC2968" s="0" t="s">
        <v>141</v>
      </c>
      <c r="BD2968" s="0" t="s">
        <v>130</v>
      </c>
      <c r="BE2968" s="0" t="s">
        <v>130</v>
      </c>
      <c r="BF2968" s="0" t="s">
        <v>130</v>
      </c>
      <c r="BG2968" s="0" t="s">
        <v>130</v>
      </c>
      <c r="BH2968" s="0" t="s">
        <v>130</v>
      </c>
      <c r="BI2968" s="0" t="s">
        <v>130</v>
      </c>
      <c r="BJ2968" s="0" t="s">
        <v>130</v>
      </c>
      <c r="BK2968" s="0" t="s">
        <v>130</v>
      </c>
      <c r="BL2968" s="0" t="s">
        <v>130</v>
      </c>
      <c r="BM2968" s="0" t="s">
        <v>130</v>
      </c>
      <c r="BN2968" s="0" t="s">
        <v>130</v>
      </c>
      <c r="BO2968" s="0" t="s">
        <v>130</v>
      </c>
      <c r="BP2968" s="0" t="s">
        <v>130</v>
      </c>
      <c r="BQ2968" s="0" t="s">
        <v>130</v>
      </c>
      <c r="BR2968" s="0" t="s">
        <v>130</v>
      </c>
      <c r="BS2968" s="0" t="s">
        <v>130</v>
      </c>
      <c r="BT2968" s="0" t="s">
        <v>130</v>
      </c>
      <c r="BU2968" s="0" t="s">
        <v>130</v>
      </c>
      <c r="BV2968" s="0" t="s">
        <v>130</v>
      </c>
      <c r="BW2968" s="0" t="s">
        <v>130</v>
      </c>
      <c r="BX2968" s="0" t="s">
        <v>130</v>
      </c>
      <c r="BY2968" s="0" t="s">
        <v>130</v>
      </c>
      <c r="BZ2968" s="0" t="s">
        <v>130</v>
      </c>
      <c r="CA2968" s="0" t="s">
        <v>130</v>
      </c>
      <c r="CB2968" s="0" t="s">
        <v>130</v>
      </c>
      <c r="CC2968" s="0" t="s">
        <v>130</v>
      </c>
      <c r="CD2968" s="0" t="s">
        <v>130</v>
      </c>
      <c r="CE2968" s="0" t="s">
        <v>130</v>
      </c>
      <c r="CF2968" s="0" t="s">
        <v>130</v>
      </c>
      <c r="CG2968" s="0" t="s">
        <v>130</v>
      </c>
      <c r="CH2968" s="0" t="s">
        <v>130</v>
      </c>
      <c r="CI2968" s="0" t="s">
        <v>130</v>
      </c>
      <c r="CJ2968" s="0" t="s">
        <v>130</v>
      </c>
      <c r="CK2968" s="0" t="s">
        <v>130</v>
      </c>
      <c r="CL2968" s="0" t="s">
        <v>130</v>
      </c>
      <c r="CM2968" s="0" t="s">
        <v>130</v>
      </c>
      <c r="CN2968" s="0" t="s">
        <v>130</v>
      </c>
      <c r="CO2968" s="0" t="s">
        <v>130</v>
      </c>
      <c r="CP2968" s="0" t="s">
        <v>130</v>
      </c>
      <c r="CQ2968" s="0" t="s">
        <v>130</v>
      </c>
      <c r="CR2968" s="0" t="s">
        <v>130</v>
      </c>
      <c r="CS2968" s="0" t="s">
        <v>130</v>
      </c>
      <c r="CT2968" s="0" t="s">
        <v>7998</v>
      </c>
    </row>
    <row r="2969">
      <c r="A2969" s="14">
        <v>948338</v>
      </c>
      <c r="B2969" s="0" t="s">
        <v>7421</v>
      </c>
      <c r="C2969" s="16">
        <f>HYPERLINK("https://eosportal.federatedhermes.com/companies/Q29tcGFueQppNzk1MTQ=", "Samsung Life Insurance Co Ltd")</f>
      </c>
      <c r="D2969" s="0" t="s">
        <v>25</v>
      </c>
      <c r="E2969" s="0" t="s">
        <v>7999</v>
      </c>
      <c r="F2969" s="16">
        <f>HYPERLINK("https://eosportal.federatedhermes.com/engagements/RW5nYWdlbWVudAppNDE0MTg=", "Accounting treatment of Samsung Electronics shares")</f>
      </c>
      <c r="G2969" s="14" t="s">
        <v>8000</v>
      </c>
      <c r="H2969" s="0" t="s">
        <v>130</v>
      </c>
      <c r="I2969" s="14" t="s">
        <v>131</v>
      </c>
      <c r="J2969" s="0" t="s">
        <v>132</v>
      </c>
      <c r="K2969" s="0" t="s">
        <v>170</v>
      </c>
      <c r="L2969" s="0" t="s">
        <v>310</v>
      </c>
      <c r="M2969" s="0" t="s">
        <v>802</v>
      </c>
      <c r="N2969" s="0" t="s">
        <v>2800</v>
      </c>
      <c r="O2969" s="0" t="s">
        <v>238</v>
      </c>
      <c r="Q2969" s="0" t="s">
        <v>141</v>
      </c>
      <c r="R2969" s="0" t="s">
        <v>138</v>
      </c>
      <c r="S2969" s="14">
        <v>1</v>
      </c>
      <c r="T2969" s="0" t="s">
        <v>361</v>
      </c>
      <c r="U2969" s="0" t="s">
        <v>138</v>
      </c>
      <c r="V2969" s="14" t="s">
        <v>138</v>
      </c>
      <c r="W2969" s="0" t="s">
        <v>138</v>
      </c>
      <c r="X2969" s="14" t="s">
        <v>138</v>
      </c>
      <c r="Y2969" s="0" t="s">
        <v>138</v>
      </c>
      <c r="Z2969" s="14" t="s">
        <v>138</v>
      </c>
      <c r="AA2969" s="0" t="s">
        <v>138</v>
      </c>
      <c r="AB2969" s="14" t="s">
        <v>138</v>
      </c>
      <c r="AD2969" s="0" t="s">
        <v>138</v>
      </c>
      <c r="AF2969" s="0">
        <v>0</v>
      </c>
      <c r="AG2969" s="0">
        <v>0</v>
      </c>
      <c r="AH2969" s="0" t="s">
        <v>140</v>
      </c>
      <c r="AI2969" s="0" t="s">
        <v>138</v>
      </c>
      <c r="AK2969" s="0" t="s">
        <v>413</v>
      </c>
      <c r="AL2969" s="14"/>
      <c r="AN2969" s="14"/>
      <c r="AQ2969" s="0" t="s">
        <v>130</v>
      </c>
      <c r="AR2969" s="0" t="s">
        <v>130</v>
      </c>
      <c r="AS2969" s="0" t="s">
        <v>130</v>
      </c>
      <c r="AT2969" s="0" t="s">
        <v>130</v>
      </c>
      <c r="AU2969" s="0" t="s">
        <v>130</v>
      </c>
      <c r="AV2969" s="0" t="s">
        <v>130</v>
      </c>
      <c r="AW2969" s="0" t="s">
        <v>130</v>
      </c>
      <c r="AX2969" s="0" t="s">
        <v>130</v>
      </c>
      <c r="AY2969" s="0" t="s">
        <v>130</v>
      </c>
      <c r="AZ2969" s="0" t="s">
        <v>130</v>
      </c>
      <c r="BA2969" s="0" t="s">
        <v>130</v>
      </c>
      <c r="BB2969" s="0" t="s">
        <v>130</v>
      </c>
      <c r="BC2969" s="0" t="s">
        <v>130</v>
      </c>
      <c r="BD2969" s="0" t="s">
        <v>130</v>
      </c>
      <c r="BE2969" s="0" t="s">
        <v>130</v>
      </c>
      <c r="BF2969" s="0" t="s">
        <v>130</v>
      </c>
      <c r="BG2969" s="0" t="s">
        <v>130</v>
      </c>
      <c r="BH2969" s="0" t="s">
        <v>130</v>
      </c>
      <c r="BI2969" s="0" t="s">
        <v>130</v>
      </c>
      <c r="BJ2969" s="0" t="s">
        <v>130</v>
      </c>
      <c r="BK2969" s="0" t="s">
        <v>130</v>
      </c>
      <c r="BL2969" s="0" t="s">
        <v>130</v>
      </c>
      <c r="BM2969" s="0" t="s">
        <v>130</v>
      </c>
      <c r="BN2969" s="0" t="s">
        <v>130</v>
      </c>
      <c r="BO2969" s="0" t="s">
        <v>130</v>
      </c>
      <c r="BP2969" s="0" t="s">
        <v>130</v>
      </c>
      <c r="BQ2969" s="0" t="s">
        <v>130</v>
      </c>
      <c r="BR2969" s="0" t="s">
        <v>130</v>
      </c>
      <c r="BS2969" s="0" t="s">
        <v>130</v>
      </c>
      <c r="BT2969" s="0" t="s">
        <v>130</v>
      </c>
      <c r="BU2969" s="0" t="s">
        <v>130</v>
      </c>
      <c r="BV2969" s="0" t="s">
        <v>130</v>
      </c>
      <c r="BW2969" s="0" t="s">
        <v>130</v>
      </c>
      <c r="BX2969" s="0" t="s">
        <v>130</v>
      </c>
      <c r="BY2969" s="0" t="s">
        <v>130</v>
      </c>
      <c r="BZ2969" s="0" t="s">
        <v>130</v>
      </c>
      <c r="CA2969" s="0" t="s">
        <v>130</v>
      </c>
      <c r="CB2969" s="0" t="s">
        <v>130</v>
      </c>
      <c r="CC2969" s="0" t="s">
        <v>130</v>
      </c>
      <c r="CD2969" s="0" t="s">
        <v>130</v>
      </c>
      <c r="CE2969" s="0" t="s">
        <v>130</v>
      </c>
      <c r="CF2969" s="0" t="s">
        <v>130</v>
      </c>
      <c r="CG2969" s="0" t="s">
        <v>130</v>
      </c>
      <c r="CH2969" s="0" t="s">
        <v>130</v>
      </c>
      <c r="CI2969" s="0" t="s">
        <v>130</v>
      </c>
      <c r="CJ2969" s="0" t="s">
        <v>130</v>
      </c>
      <c r="CK2969" s="0" t="s">
        <v>130</v>
      </c>
      <c r="CL2969" s="0" t="s">
        <v>130</v>
      </c>
      <c r="CM2969" s="0" t="s">
        <v>130</v>
      </c>
      <c r="CN2969" s="0" t="s">
        <v>130</v>
      </c>
      <c r="CO2969" s="0" t="s">
        <v>130</v>
      </c>
      <c r="CP2969" s="0" t="s">
        <v>130</v>
      </c>
      <c r="CQ2969" s="0" t="s">
        <v>130</v>
      </c>
      <c r="CR2969" s="0" t="s">
        <v>130</v>
      </c>
      <c r="CS2969" s="0" t="s">
        <v>130</v>
      </c>
      <c r="CT2969" s="0" t="s">
        <v>8001</v>
      </c>
    </row>
    <row r="2970">
      <c r="A2970" s="14">
        <v>69512787</v>
      </c>
      <c r="B2970" s="0" t="s">
        <v>4833</v>
      </c>
      <c r="C2970" s="16">
        <f>HYPERLINK("https://eosportal.federatedhermes.com/companies/Q29tcGFueQppODExMjQ=", "Seagate Technology Holdings PLC")</f>
      </c>
      <c r="D2970" s="0" t="s">
        <v>25</v>
      </c>
      <c r="E2970" s="0" t="s">
        <v>8002</v>
      </c>
      <c r="F2970" s="16">
        <f>HYPERLINK("https://eosportal.federatedhermes.com/engagements/RW5nYWdlbWVudAppNDE0MjI=", "Board effectiveness and LID role")</f>
      </c>
      <c r="G2970" s="14" t="s">
        <v>8003</v>
      </c>
      <c r="H2970" s="0" t="s">
        <v>130</v>
      </c>
      <c r="I2970" s="14" t="s">
        <v>131</v>
      </c>
      <c r="J2970" s="0" t="s">
        <v>145</v>
      </c>
      <c r="K2970" s="0" t="s">
        <v>164</v>
      </c>
      <c r="L2970" s="0" t="s">
        <v>277</v>
      </c>
      <c r="M2970" s="0" t="s">
        <v>135</v>
      </c>
      <c r="N2970" s="0" t="s">
        <v>136</v>
      </c>
      <c r="O2970" s="0" t="s">
        <v>1125</v>
      </c>
      <c r="Q2970" s="0" t="s">
        <v>141</v>
      </c>
      <c r="R2970" s="0" t="s">
        <v>138</v>
      </c>
      <c r="S2970" s="14">
        <v>1</v>
      </c>
      <c r="T2970" s="0" t="s">
        <v>361</v>
      </c>
      <c r="U2970" s="0" t="s">
        <v>138</v>
      </c>
      <c r="V2970" s="14" t="s">
        <v>138</v>
      </c>
      <c r="W2970" s="0" t="s">
        <v>138</v>
      </c>
      <c r="X2970" s="14" t="s">
        <v>138</v>
      </c>
      <c r="Y2970" s="0" t="s">
        <v>138</v>
      </c>
      <c r="Z2970" s="14" t="s">
        <v>138</v>
      </c>
      <c r="AA2970" s="0" t="s">
        <v>138</v>
      </c>
      <c r="AB2970" s="14" t="s">
        <v>138</v>
      </c>
      <c r="AD2970" s="0" t="s">
        <v>138</v>
      </c>
      <c r="AF2970" s="0">
        <v>0</v>
      </c>
      <c r="AG2970" s="0">
        <v>0</v>
      </c>
      <c r="AH2970" s="0" t="s">
        <v>140</v>
      </c>
      <c r="AI2970" s="0" t="s">
        <v>138</v>
      </c>
      <c r="AK2970" s="0" t="s">
        <v>675</v>
      </c>
      <c r="AL2970" s="14"/>
      <c r="AN2970" s="14"/>
      <c r="AQ2970" s="0" t="s">
        <v>130</v>
      </c>
      <c r="AR2970" s="0" t="s">
        <v>130</v>
      </c>
      <c r="AS2970" s="0" t="s">
        <v>130</v>
      </c>
      <c r="AT2970" s="0" t="s">
        <v>130</v>
      </c>
      <c r="AU2970" s="0" t="s">
        <v>130</v>
      </c>
      <c r="AV2970" s="0" t="s">
        <v>130</v>
      </c>
      <c r="AW2970" s="0" t="s">
        <v>130</v>
      </c>
      <c r="AX2970" s="0" t="s">
        <v>130</v>
      </c>
      <c r="AY2970" s="0" t="s">
        <v>130</v>
      </c>
      <c r="AZ2970" s="0" t="s">
        <v>130</v>
      </c>
      <c r="BA2970" s="0" t="s">
        <v>130</v>
      </c>
      <c r="BB2970" s="0" t="s">
        <v>130</v>
      </c>
      <c r="BC2970" s="0" t="s">
        <v>130</v>
      </c>
      <c r="BD2970" s="0" t="s">
        <v>130</v>
      </c>
      <c r="BE2970" s="0" t="s">
        <v>130</v>
      </c>
      <c r="BF2970" s="0" t="s">
        <v>130</v>
      </c>
      <c r="BG2970" s="0" t="s">
        <v>130</v>
      </c>
      <c r="BH2970" s="0" t="s">
        <v>130</v>
      </c>
      <c r="BI2970" s="0" t="s">
        <v>130</v>
      </c>
      <c r="BJ2970" s="0" t="s">
        <v>130</v>
      </c>
      <c r="BK2970" s="0" t="s">
        <v>130</v>
      </c>
      <c r="BL2970" s="0" t="s">
        <v>130</v>
      </c>
      <c r="BM2970" s="0" t="s">
        <v>130</v>
      </c>
      <c r="BN2970" s="0" t="s">
        <v>130</v>
      </c>
      <c r="BO2970" s="0" t="s">
        <v>130</v>
      </c>
      <c r="BP2970" s="0" t="s">
        <v>130</v>
      </c>
      <c r="BQ2970" s="0" t="s">
        <v>130</v>
      </c>
      <c r="BR2970" s="0" t="s">
        <v>130</v>
      </c>
      <c r="BS2970" s="0" t="s">
        <v>130</v>
      </c>
      <c r="BT2970" s="0" t="s">
        <v>130</v>
      </c>
      <c r="BU2970" s="0" t="s">
        <v>130</v>
      </c>
      <c r="BV2970" s="0" t="s">
        <v>130</v>
      </c>
      <c r="BW2970" s="0" t="s">
        <v>130</v>
      </c>
      <c r="BX2970" s="0" t="s">
        <v>130</v>
      </c>
      <c r="BY2970" s="0" t="s">
        <v>130</v>
      </c>
      <c r="BZ2970" s="0" t="s">
        <v>130</v>
      </c>
      <c r="CA2970" s="0" t="s">
        <v>130</v>
      </c>
      <c r="CB2970" s="0" t="s">
        <v>130</v>
      </c>
      <c r="CC2970" s="0" t="s">
        <v>130</v>
      </c>
      <c r="CD2970" s="0" t="s">
        <v>130</v>
      </c>
      <c r="CE2970" s="0" t="s">
        <v>130</v>
      </c>
      <c r="CF2970" s="0" t="s">
        <v>130</v>
      </c>
      <c r="CG2970" s="0" t="s">
        <v>130</v>
      </c>
      <c r="CH2970" s="0" t="s">
        <v>130</v>
      </c>
      <c r="CI2970" s="0" t="s">
        <v>130</v>
      </c>
      <c r="CJ2970" s="0" t="s">
        <v>130</v>
      </c>
      <c r="CK2970" s="0" t="s">
        <v>130</v>
      </c>
      <c r="CL2970" s="0" t="s">
        <v>130</v>
      </c>
      <c r="CM2970" s="0" t="s">
        <v>130</v>
      </c>
      <c r="CN2970" s="0" t="s">
        <v>130</v>
      </c>
      <c r="CO2970" s="0" t="s">
        <v>130</v>
      </c>
      <c r="CP2970" s="0" t="s">
        <v>130</v>
      </c>
      <c r="CQ2970" s="0" t="s">
        <v>130</v>
      </c>
      <c r="CR2970" s="0" t="s">
        <v>130</v>
      </c>
      <c r="CS2970" s="0" t="s">
        <v>130</v>
      </c>
      <c r="CT2970" s="0" t="s">
        <v>8004</v>
      </c>
    </row>
    <row r="2971">
      <c r="A2971" s="14">
        <v>8641755</v>
      </c>
      <c r="B2971" s="0" t="s">
        <v>3917</v>
      </c>
      <c r="C2971" s="16">
        <f>HYPERLINK("https://eosportal.federatedhermes.com/companies/Q29tcGFueQppODI2NzY=", "Yara International ASA")</f>
      </c>
      <c r="D2971" s="0" t="s">
        <v>25</v>
      </c>
      <c r="E2971" s="0" t="s">
        <v>8005</v>
      </c>
      <c r="F2971" s="16">
        <f>HYPERLINK("https://eosportal.federatedhermes.com/engagements/RW5nYWdlbWVudAppNDE0MjM=", "Regenerative and precision agriculture")</f>
      </c>
      <c r="G2971" s="14" t="s">
        <v>8006</v>
      </c>
      <c r="H2971" s="0" t="s">
        <v>141</v>
      </c>
      <c r="I2971" s="14" t="s">
        <v>636</v>
      </c>
      <c r="J2971" s="0" t="s">
        <v>197</v>
      </c>
      <c r="K2971" s="0" t="s">
        <v>337</v>
      </c>
      <c r="L2971" s="0" t="s">
        <v>576</v>
      </c>
      <c r="M2971" s="0" t="s">
        <v>378</v>
      </c>
      <c r="N2971" s="0" t="s">
        <v>3211</v>
      </c>
      <c r="O2971" s="0" t="s">
        <v>706</v>
      </c>
      <c r="Q2971" s="0" t="s">
        <v>141</v>
      </c>
      <c r="R2971" s="0" t="s">
        <v>138</v>
      </c>
      <c r="S2971" s="14">
        <v>2</v>
      </c>
      <c r="T2971" s="0" t="s">
        <v>361</v>
      </c>
      <c r="U2971" s="0" t="s">
        <v>138</v>
      </c>
      <c r="V2971" s="14" t="s">
        <v>138</v>
      </c>
      <c r="W2971" s="0" t="s">
        <v>138</v>
      </c>
      <c r="X2971" s="14" t="s">
        <v>138</v>
      </c>
      <c r="Y2971" s="0" t="s">
        <v>138</v>
      </c>
      <c r="Z2971" s="14" t="s">
        <v>138</v>
      </c>
      <c r="AA2971" s="0" t="s">
        <v>138</v>
      </c>
      <c r="AB2971" s="14" t="s">
        <v>138</v>
      </c>
      <c r="AD2971" s="0" t="s">
        <v>138</v>
      </c>
      <c r="AF2971" s="0">
        <v>0</v>
      </c>
      <c r="AG2971" s="0">
        <v>0</v>
      </c>
      <c r="AH2971" s="0" t="s">
        <v>140</v>
      </c>
      <c r="AI2971" s="0" t="s">
        <v>138</v>
      </c>
      <c r="AK2971" s="0" t="s">
        <v>413</v>
      </c>
      <c r="AL2971" s="14"/>
      <c r="AN2971" s="14"/>
      <c r="AQ2971" s="0" t="s">
        <v>130</v>
      </c>
      <c r="AR2971" s="0" t="s">
        <v>130</v>
      </c>
      <c r="AS2971" s="0" t="s">
        <v>130</v>
      </c>
      <c r="AT2971" s="0" t="s">
        <v>130</v>
      </c>
      <c r="AU2971" s="0" t="s">
        <v>130</v>
      </c>
      <c r="AV2971" s="0" t="s">
        <v>130</v>
      </c>
      <c r="AW2971" s="0" t="s">
        <v>130</v>
      </c>
      <c r="AX2971" s="0" t="s">
        <v>130</v>
      </c>
      <c r="AY2971" s="0" t="s">
        <v>130</v>
      </c>
      <c r="AZ2971" s="0" t="s">
        <v>130</v>
      </c>
      <c r="BA2971" s="0" t="s">
        <v>130</v>
      </c>
      <c r="BB2971" s="0" t="s">
        <v>141</v>
      </c>
      <c r="BC2971" s="0" t="s">
        <v>141</v>
      </c>
      <c r="BD2971" s="0" t="s">
        <v>130</v>
      </c>
      <c r="BE2971" s="0" t="s">
        <v>141</v>
      </c>
      <c r="BF2971" s="0" t="s">
        <v>130</v>
      </c>
      <c r="BG2971" s="0" t="s">
        <v>130</v>
      </c>
      <c r="BH2971" s="0" t="s">
        <v>130</v>
      </c>
      <c r="BI2971" s="0" t="s">
        <v>130</v>
      </c>
      <c r="BJ2971" s="0" t="s">
        <v>130</v>
      </c>
      <c r="BK2971" s="0" t="s">
        <v>130</v>
      </c>
      <c r="BL2971" s="0" t="s">
        <v>130</v>
      </c>
      <c r="BM2971" s="0" t="s">
        <v>130</v>
      </c>
      <c r="BN2971" s="0" t="s">
        <v>130</v>
      </c>
      <c r="BO2971" s="0" t="s">
        <v>130</v>
      </c>
      <c r="BP2971" s="0" t="s">
        <v>130</v>
      </c>
      <c r="BQ2971" s="0" t="s">
        <v>130</v>
      </c>
      <c r="BR2971" s="0" t="s">
        <v>130</v>
      </c>
      <c r="BS2971" s="0" t="s">
        <v>130</v>
      </c>
      <c r="BT2971" s="0" t="s">
        <v>130</v>
      </c>
      <c r="BU2971" s="0" t="s">
        <v>130</v>
      </c>
      <c r="BV2971" s="0" t="s">
        <v>130</v>
      </c>
      <c r="BW2971" s="0" t="s">
        <v>130</v>
      </c>
      <c r="BX2971" s="0" t="s">
        <v>130</v>
      </c>
      <c r="BY2971" s="0" t="s">
        <v>130</v>
      </c>
      <c r="BZ2971" s="0" t="s">
        <v>130</v>
      </c>
      <c r="CA2971" s="0" t="s">
        <v>130</v>
      </c>
      <c r="CB2971" s="0" t="s">
        <v>130</v>
      </c>
      <c r="CC2971" s="0" t="s">
        <v>130</v>
      </c>
      <c r="CD2971" s="0" t="s">
        <v>130</v>
      </c>
      <c r="CE2971" s="0" t="s">
        <v>130</v>
      </c>
      <c r="CF2971" s="0" t="s">
        <v>130</v>
      </c>
      <c r="CG2971" s="0" t="s">
        <v>130</v>
      </c>
      <c r="CH2971" s="0" t="s">
        <v>130</v>
      </c>
      <c r="CI2971" s="0" t="s">
        <v>130</v>
      </c>
      <c r="CJ2971" s="0" t="s">
        <v>130</v>
      </c>
      <c r="CK2971" s="0" t="s">
        <v>130</v>
      </c>
      <c r="CL2971" s="0" t="s">
        <v>130</v>
      </c>
      <c r="CM2971" s="0" t="s">
        <v>130</v>
      </c>
      <c r="CN2971" s="0" t="s">
        <v>130</v>
      </c>
      <c r="CO2971" s="0" t="s">
        <v>130</v>
      </c>
      <c r="CP2971" s="0" t="s">
        <v>130</v>
      </c>
      <c r="CQ2971" s="0" t="s">
        <v>130</v>
      </c>
      <c r="CR2971" s="0" t="s">
        <v>130</v>
      </c>
      <c r="CS2971" s="0" t="s">
        <v>130</v>
      </c>
      <c r="CT2971" s="0" t="s">
        <v>8007</v>
      </c>
    </row>
    <row r="2972">
      <c r="A2972" s="14">
        <v>8641755</v>
      </c>
      <c r="B2972" s="0" t="s">
        <v>3917</v>
      </c>
      <c r="C2972" s="16">
        <f>HYPERLINK("https://eosportal.federatedhermes.com/companies/Q29tcGFueQppODI2NzY=", "Yara International ASA")</f>
      </c>
      <c r="D2972" s="0" t="s">
        <v>25</v>
      </c>
      <c r="E2972" s="0" t="s">
        <v>8008</v>
      </c>
      <c r="F2972" s="16">
        <f>HYPERLINK("https://eosportal.federatedhermes.com/engagements/RW5nYWdlbWVudAppNDE0MjQ=", "Climate and nature aligned lobbying")</f>
      </c>
      <c r="G2972" s="14" t="s">
        <v>8009</v>
      </c>
      <c r="H2972" s="0" t="s">
        <v>141</v>
      </c>
      <c r="I2972" s="14" t="s">
        <v>636</v>
      </c>
      <c r="J2972" s="0" t="s">
        <v>197</v>
      </c>
      <c r="K2972" s="0" t="s">
        <v>198</v>
      </c>
      <c r="L2972" s="0" t="s">
        <v>199</v>
      </c>
      <c r="M2972" s="0" t="s">
        <v>378</v>
      </c>
      <c r="N2972" s="0" t="s">
        <v>3211</v>
      </c>
      <c r="O2972" s="0" t="s">
        <v>706</v>
      </c>
      <c r="Q2972" s="0" t="s">
        <v>141</v>
      </c>
      <c r="R2972" s="0" t="s">
        <v>138</v>
      </c>
      <c r="S2972" s="14">
        <v>2</v>
      </c>
      <c r="T2972" s="0" t="s">
        <v>361</v>
      </c>
      <c r="U2972" s="0" t="s">
        <v>138</v>
      </c>
      <c r="V2972" s="14" t="s">
        <v>138</v>
      </c>
      <c r="W2972" s="0" t="s">
        <v>138</v>
      </c>
      <c r="X2972" s="14" t="s">
        <v>138</v>
      </c>
      <c r="Y2972" s="0" t="s">
        <v>138</v>
      </c>
      <c r="Z2972" s="14" t="s">
        <v>138</v>
      </c>
      <c r="AA2972" s="0" t="s">
        <v>138</v>
      </c>
      <c r="AB2972" s="14" t="s">
        <v>138</v>
      </c>
      <c r="AD2972" s="0" t="s">
        <v>138</v>
      </c>
      <c r="AF2972" s="0">
        <v>0</v>
      </c>
      <c r="AG2972" s="0">
        <v>0</v>
      </c>
      <c r="AH2972" s="0" t="s">
        <v>140</v>
      </c>
      <c r="AI2972" s="0" t="s">
        <v>138</v>
      </c>
      <c r="AK2972" s="0" t="s">
        <v>413</v>
      </c>
      <c r="AL2972" s="14"/>
      <c r="AN2972" s="14"/>
      <c r="AQ2972" s="0" t="s">
        <v>130</v>
      </c>
      <c r="AR2972" s="0" t="s">
        <v>130</v>
      </c>
      <c r="AS2972" s="0" t="s">
        <v>130</v>
      </c>
      <c r="AT2972" s="0" t="s">
        <v>130</v>
      </c>
      <c r="AU2972" s="0" t="s">
        <v>130</v>
      </c>
      <c r="AV2972" s="0" t="s">
        <v>130</v>
      </c>
      <c r="AW2972" s="0" t="s">
        <v>130</v>
      </c>
      <c r="AX2972" s="0" t="s">
        <v>130</v>
      </c>
      <c r="AY2972" s="0" t="s">
        <v>130</v>
      </c>
      <c r="AZ2972" s="0" t="s">
        <v>130</v>
      </c>
      <c r="BA2972" s="0" t="s">
        <v>130</v>
      </c>
      <c r="BB2972" s="0" t="s">
        <v>141</v>
      </c>
      <c r="BC2972" s="0" t="s">
        <v>130</v>
      </c>
      <c r="BD2972" s="0" t="s">
        <v>130</v>
      </c>
      <c r="BE2972" s="0" t="s">
        <v>130</v>
      </c>
      <c r="BF2972" s="0" t="s">
        <v>130</v>
      </c>
      <c r="BG2972" s="0" t="s">
        <v>130</v>
      </c>
      <c r="BH2972" s="0" t="s">
        <v>130</v>
      </c>
      <c r="BI2972" s="0" t="s">
        <v>130</v>
      </c>
      <c r="BJ2972" s="0" t="s">
        <v>130</v>
      </c>
      <c r="BK2972" s="0" t="s">
        <v>130</v>
      </c>
      <c r="BL2972" s="0" t="s">
        <v>130</v>
      </c>
      <c r="BM2972" s="0" t="s">
        <v>130</v>
      </c>
      <c r="BN2972" s="0" t="s">
        <v>130</v>
      </c>
      <c r="BO2972" s="0" t="s">
        <v>130</v>
      </c>
      <c r="BP2972" s="0" t="s">
        <v>130</v>
      </c>
      <c r="BQ2972" s="0" t="s">
        <v>130</v>
      </c>
      <c r="BR2972" s="0" t="s">
        <v>130</v>
      </c>
      <c r="BS2972" s="0" t="s">
        <v>130</v>
      </c>
      <c r="BT2972" s="0" t="s">
        <v>130</v>
      </c>
      <c r="BU2972" s="0" t="s">
        <v>130</v>
      </c>
      <c r="BV2972" s="0" t="s">
        <v>130</v>
      </c>
      <c r="BW2972" s="0" t="s">
        <v>130</v>
      </c>
      <c r="BX2972" s="0" t="s">
        <v>130</v>
      </c>
      <c r="BY2972" s="0" t="s">
        <v>130</v>
      </c>
      <c r="BZ2972" s="0" t="s">
        <v>130</v>
      </c>
      <c r="CA2972" s="0" t="s">
        <v>130</v>
      </c>
      <c r="CB2972" s="0" t="s">
        <v>130</v>
      </c>
      <c r="CC2972" s="0" t="s">
        <v>130</v>
      </c>
      <c r="CD2972" s="0" t="s">
        <v>130</v>
      </c>
      <c r="CE2972" s="0" t="s">
        <v>130</v>
      </c>
      <c r="CF2972" s="0" t="s">
        <v>130</v>
      </c>
      <c r="CG2972" s="0" t="s">
        <v>130</v>
      </c>
      <c r="CH2972" s="0" t="s">
        <v>130</v>
      </c>
      <c r="CI2972" s="0" t="s">
        <v>130</v>
      </c>
      <c r="CJ2972" s="0" t="s">
        <v>130</v>
      </c>
      <c r="CK2972" s="0" t="s">
        <v>130</v>
      </c>
      <c r="CL2972" s="0" t="s">
        <v>130</v>
      </c>
      <c r="CM2972" s="0" t="s">
        <v>130</v>
      </c>
      <c r="CN2972" s="0" t="s">
        <v>130</v>
      </c>
      <c r="CO2972" s="0" t="s">
        <v>130</v>
      </c>
      <c r="CP2972" s="0" t="s">
        <v>130</v>
      </c>
      <c r="CQ2972" s="0" t="s">
        <v>130</v>
      </c>
      <c r="CR2972" s="0" t="s">
        <v>130</v>
      </c>
      <c r="CS2972" s="0" t="s">
        <v>130</v>
      </c>
      <c r="CT2972" s="0" t="s">
        <v>8010</v>
      </c>
    </row>
    <row r="2973">
      <c r="A2973" s="14">
        <v>135887</v>
      </c>
      <c r="B2973" s="0" t="s">
        <v>3036</v>
      </c>
      <c r="C2973" s="16">
        <f>HYPERLINK("https://eosportal.federatedhermes.com/companies/Q29tcGFueQppODQ0ODc=", "Computershare Ltd")</f>
      </c>
      <c r="D2973" s="0" t="s">
        <v>25</v>
      </c>
      <c r="E2973" s="0" t="s">
        <v>8011</v>
      </c>
      <c r="F2973" s="16">
        <f>HYPERLINK("https://eosportal.federatedhermes.com/engagements/RW5nYWdlbWVudAppNDE0MjU=", "Independent audit committee")</f>
      </c>
      <c r="G2973" s="14" t="s">
        <v>8012</v>
      </c>
      <c r="H2973" s="0" t="s">
        <v>130</v>
      </c>
      <c r="I2973" s="14" t="s">
        <v>319</v>
      </c>
      <c r="J2973" s="0" t="s">
        <v>145</v>
      </c>
      <c r="K2973" s="0" t="s">
        <v>164</v>
      </c>
      <c r="L2973" s="0" t="s">
        <v>165</v>
      </c>
      <c r="M2973" s="0" t="s">
        <v>371</v>
      </c>
      <c r="N2973" s="0" t="s">
        <v>372</v>
      </c>
      <c r="O2973" s="0" t="s">
        <v>137</v>
      </c>
      <c r="Q2973" s="0" t="s">
        <v>141</v>
      </c>
      <c r="R2973" s="0" t="s">
        <v>138</v>
      </c>
      <c r="S2973" s="14">
        <v>2</v>
      </c>
      <c r="T2973" s="0" t="s">
        <v>361</v>
      </c>
      <c r="U2973" s="0" t="s">
        <v>138</v>
      </c>
      <c r="V2973" s="14" t="s">
        <v>138</v>
      </c>
      <c r="W2973" s="0" t="s">
        <v>138</v>
      </c>
      <c r="X2973" s="14" t="s">
        <v>138</v>
      </c>
      <c r="Y2973" s="0" t="s">
        <v>138</v>
      </c>
      <c r="Z2973" s="14" t="s">
        <v>138</v>
      </c>
      <c r="AA2973" s="0" t="s">
        <v>138</v>
      </c>
      <c r="AB2973" s="14" t="s">
        <v>138</v>
      </c>
      <c r="AD2973" s="0" t="s">
        <v>138</v>
      </c>
      <c r="AF2973" s="0">
        <v>0</v>
      </c>
      <c r="AG2973" s="0">
        <v>0</v>
      </c>
      <c r="AH2973" s="0" t="s">
        <v>140</v>
      </c>
      <c r="AI2973" s="0" t="s">
        <v>138</v>
      </c>
      <c r="AK2973" s="0" t="s">
        <v>2795</v>
      </c>
      <c r="AL2973" s="14"/>
      <c r="AN2973" s="14"/>
      <c r="AQ2973" s="0" t="s">
        <v>130</v>
      </c>
      <c r="AR2973" s="0" t="s">
        <v>130</v>
      </c>
      <c r="AS2973" s="0" t="s">
        <v>130</v>
      </c>
      <c r="AT2973" s="0" t="s">
        <v>130</v>
      </c>
      <c r="AU2973" s="0" t="s">
        <v>130</v>
      </c>
      <c r="AV2973" s="0" t="s">
        <v>130</v>
      </c>
      <c r="AW2973" s="0" t="s">
        <v>130</v>
      </c>
      <c r="AX2973" s="0" t="s">
        <v>130</v>
      </c>
      <c r="AY2973" s="0" t="s">
        <v>130</v>
      </c>
      <c r="AZ2973" s="0" t="s">
        <v>130</v>
      </c>
      <c r="BA2973" s="0" t="s">
        <v>130</v>
      </c>
      <c r="BB2973" s="0" t="s">
        <v>130</v>
      </c>
      <c r="BC2973" s="0" t="s">
        <v>130</v>
      </c>
      <c r="BD2973" s="0" t="s">
        <v>130</v>
      </c>
      <c r="BE2973" s="0" t="s">
        <v>130</v>
      </c>
      <c r="BF2973" s="0" t="s">
        <v>130</v>
      </c>
      <c r="BG2973" s="0" t="s">
        <v>130</v>
      </c>
      <c r="BH2973" s="0" t="s">
        <v>130</v>
      </c>
      <c r="BI2973" s="0" t="s">
        <v>130</v>
      </c>
      <c r="BJ2973" s="0" t="s">
        <v>130</v>
      </c>
      <c r="BK2973" s="0" t="s">
        <v>130</v>
      </c>
      <c r="BL2973" s="0" t="s">
        <v>130</v>
      </c>
      <c r="BM2973" s="0" t="s">
        <v>130</v>
      </c>
      <c r="BN2973" s="0" t="s">
        <v>130</v>
      </c>
      <c r="BO2973" s="0" t="s">
        <v>130</v>
      </c>
      <c r="BP2973" s="0" t="s">
        <v>130</v>
      </c>
      <c r="BQ2973" s="0" t="s">
        <v>130</v>
      </c>
      <c r="BR2973" s="0" t="s">
        <v>130</v>
      </c>
      <c r="BS2973" s="0" t="s">
        <v>130</v>
      </c>
      <c r="BT2973" s="0" t="s">
        <v>130</v>
      </c>
      <c r="BU2973" s="0" t="s">
        <v>130</v>
      </c>
      <c r="BV2973" s="0" t="s">
        <v>130</v>
      </c>
      <c r="BW2973" s="0" t="s">
        <v>130</v>
      </c>
      <c r="BX2973" s="0" t="s">
        <v>130</v>
      </c>
      <c r="BY2973" s="0" t="s">
        <v>130</v>
      </c>
      <c r="BZ2973" s="0" t="s">
        <v>130</v>
      </c>
      <c r="CA2973" s="0" t="s">
        <v>130</v>
      </c>
      <c r="CB2973" s="0" t="s">
        <v>130</v>
      </c>
      <c r="CC2973" s="0" t="s">
        <v>130</v>
      </c>
      <c r="CD2973" s="0" t="s">
        <v>130</v>
      </c>
      <c r="CE2973" s="0" t="s">
        <v>130</v>
      </c>
      <c r="CF2973" s="0" t="s">
        <v>130</v>
      </c>
      <c r="CG2973" s="0" t="s">
        <v>130</v>
      </c>
      <c r="CH2973" s="0" t="s">
        <v>130</v>
      </c>
      <c r="CI2973" s="0" t="s">
        <v>130</v>
      </c>
      <c r="CJ2973" s="0" t="s">
        <v>130</v>
      </c>
      <c r="CK2973" s="0" t="s">
        <v>130</v>
      </c>
      <c r="CL2973" s="0" t="s">
        <v>130</v>
      </c>
      <c r="CM2973" s="0" t="s">
        <v>130</v>
      </c>
      <c r="CN2973" s="0" t="s">
        <v>130</v>
      </c>
      <c r="CO2973" s="0" t="s">
        <v>130</v>
      </c>
      <c r="CP2973" s="0" t="s">
        <v>130</v>
      </c>
      <c r="CQ2973" s="0" t="s">
        <v>130</v>
      </c>
      <c r="CR2973" s="0" t="s">
        <v>130</v>
      </c>
      <c r="CS2973" s="0" t="s">
        <v>130</v>
      </c>
      <c r="CT2973" s="0" t="s">
        <v>8013</v>
      </c>
    </row>
    <row r="2974">
      <c r="A2974" s="14">
        <v>135887</v>
      </c>
      <c r="B2974" s="0" t="s">
        <v>3036</v>
      </c>
      <c r="C2974" s="16">
        <f>HYPERLINK("https://eosportal.federatedhermes.com/companies/Q29tcGFueQppODQ0ODc=", "Computershare Ltd")</f>
      </c>
      <c r="D2974" s="0" t="s">
        <v>25</v>
      </c>
      <c r="E2974" s="0" t="s">
        <v>1034</v>
      </c>
      <c r="F2974" s="16">
        <f>HYPERLINK("https://eosportal.federatedhermes.com/engagements/RW5nYWdlbWVudAppNDE0MjY=", "Board composition")</f>
      </c>
      <c r="G2974" s="14" t="s">
        <v>8014</v>
      </c>
      <c r="H2974" s="0" t="s">
        <v>130</v>
      </c>
      <c r="I2974" s="14" t="s">
        <v>319</v>
      </c>
      <c r="J2974" s="0" t="s">
        <v>145</v>
      </c>
      <c r="K2974" s="0" t="s">
        <v>164</v>
      </c>
      <c r="L2974" s="0" t="s">
        <v>165</v>
      </c>
      <c r="M2974" s="0" t="s">
        <v>371</v>
      </c>
      <c r="N2974" s="0" t="s">
        <v>372</v>
      </c>
      <c r="O2974" s="0" t="s">
        <v>137</v>
      </c>
      <c r="Q2974" s="0" t="s">
        <v>141</v>
      </c>
      <c r="R2974" s="0" t="s">
        <v>138</v>
      </c>
      <c r="S2974" s="14">
        <v>2</v>
      </c>
      <c r="T2974" s="0" t="s">
        <v>361</v>
      </c>
      <c r="U2974" s="0" t="s">
        <v>138</v>
      </c>
      <c r="V2974" s="14" t="s">
        <v>138</v>
      </c>
      <c r="W2974" s="0" t="s">
        <v>138</v>
      </c>
      <c r="X2974" s="14" t="s">
        <v>138</v>
      </c>
      <c r="Y2974" s="0" t="s">
        <v>138</v>
      </c>
      <c r="Z2974" s="14" t="s">
        <v>138</v>
      </c>
      <c r="AA2974" s="0" t="s">
        <v>138</v>
      </c>
      <c r="AB2974" s="14" t="s">
        <v>138</v>
      </c>
      <c r="AD2974" s="0" t="s">
        <v>138</v>
      </c>
      <c r="AF2974" s="0">
        <v>0</v>
      </c>
      <c r="AG2974" s="0">
        <v>0</v>
      </c>
      <c r="AH2974" s="0" t="s">
        <v>140</v>
      </c>
      <c r="AI2974" s="0" t="s">
        <v>138</v>
      </c>
      <c r="AK2974" s="0" t="s">
        <v>2795</v>
      </c>
      <c r="AL2974" s="14"/>
      <c r="AN2974" s="14"/>
      <c r="AQ2974" s="0" t="s">
        <v>130</v>
      </c>
      <c r="AR2974" s="0" t="s">
        <v>130</v>
      </c>
      <c r="AS2974" s="0" t="s">
        <v>130</v>
      </c>
      <c r="AT2974" s="0" t="s">
        <v>130</v>
      </c>
      <c r="AU2974" s="0" t="s">
        <v>141</v>
      </c>
      <c r="AV2974" s="0" t="s">
        <v>130</v>
      </c>
      <c r="AW2974" s="0" t="s">
        <v>130</v>
      </c>
      <c r="AX2974" s="0" t="s">
        <v>130</v>
      </c>
      <c r="AY2974" s="0" t="s">
        <v>130</v>
      </c>
      <c r="AZ2974" s="0" t="s">
        <v>130</v>
      </c>
      <c r="BA2974" s="0" t="s">
        <v>130</v>
      </c>
      <c r="BB2974" s="0" t="s">
        <v>130</v>
      </c>
      <c r="BC2974" s="0" t="s">
        <v>130</v>
      </c>
      <c r="BD2974" s="0" t="s">
        <v>130</v>
      </c>
      <c r="BE2974" s="0" t="s">
        <v>130</v>
      </c>
      <c r="BF2974" s="0" t="s">
        <v>130</v>
      </c>
      <c r="BG2974" s="0" t="s">
        <v>130</v>
      </c>
      <c r="BH2974" s="0" t="s">
        <v>130</v>
      </c>
      <c r="BI2974" s="0" t="s">
        <v>130</v>
      </c>
      <c r="BJ2974" s="0" t="s">
        <v>130</v>
      </c>
      <c r="BK2974" s="0" t="s">
        <v>130</v>
      </c>
      <c r="BL2974" s="0" t="s">
        <v>130</v>
      </c>
      <c r="BM2974" s="0" t="s">
        <v>130</v>
      </c>
      <c r="BN2974" s="0" t="s">
        <v>130</v>
      </c>
      <c r="BO2974" s="0" t="s">
        <v>130</v>
      </c>
      <c r="BP2974" s="0" t="s">
        <v>130</v>
      </c>
      <c r="BQ2974" s="0" t="s">
        <v>130</v>
      </c>
      <c r="BR2974" s="0" t="s">
        <v>130</v>
      </c>
      <c r="BS2974" s="0" t="s">
        <v>130</v>
      </c>
      <c r="BT2974" s="0" t="s">
        <v>130</v>
      </c>
      <c r="BU2974" s="0" t="s">
        <v>130</v>
      </c>
      <c r="BV2974" s="0" t="s">
        <v>130</v>
      </c>
      <c r="BW2974" s="0" t="s">
        <v>130</v>
      </c>
      <c r="BX2974" s="0" t="s">
        <v>130</v>
      </c>
      <c r="BY2974" s="0" t="s">
        <v>130</v>
      </c>
      <c r="BZ2974" s="0" t="s">
        <v>130</v>
      </c>
      <c r="CA2974" s="0" t="s">
        <v>130</v>
      </c>
      <c r="CB2974" s="0" t="s">
        <v>130</v>
      </c>
      <c r="CC2974" s="0" t="s">
        <v>130</v>
      </c>
      <c r="CD2974" s="0" t="s">
        <v>130</v>
      </c>
      <c r="CE2974" s="0" t="s">
        <v>130</v>
      </c>
      <c r="CF2974" s="0" t="s">
        <v>130</v>
      </c>
      <c r="CG2974" s="0" t="s">
        <v>130</v>
      </c>
      <c r="CH2974" s="0" t="s">
        <v>130</v>
      </c>
      <c r="CI2974" s="0" t="s">
        <v>130</v>
      </c>
      <c r="CJ2974" s="0" t="s">
        <v>130</v>
      </c>
      <c r="CK2974" s="0" t="s">
        <v>130</v>
      </c>
      <c r="CL2974" s="0" t="s">
        <v>130</v>
      </c>
      <c r="CM2974" s="0" t="s">
        <v>130</v>
      </c>
      <c r="CN2974" s="0" t="s">
        <v>130</v>
      </c>
      <c r="CO2974" s="0" t="s">
        <v>130</v>
      </c>
      <c r="CP2974" s="0" t="s">
        <v>130</v>
      </c>
      <c r="CQ2974" s="0" t="s">
        <v>130</v>
      </c>
      <c r="CR2974" s="0" t="s">
        <v>130</v>
      </c>
      <c r="CS2974" s="0" t="s">
        <v>130</v>
      </c>
      <c r="CT2974" s="0" t="s">
        <v>8015</v>
      </c>
    </row>
    <row r="2975">
      <c r="A2975" s="14">
        <v>1747817</v>
      </c>
      <c r="B2975" s="0" t="s">
        <v>3701</v>
      </c>
      <c r="C2975" s="16">
        <f>HYPERLINK("https://eosportal.federatedhermes.com/companies/Q29tcGFueQppNzQ3MjA=", "Axon Enterprise Inc")</f>
      </c>
      <c r="D2975" s="0" t="s">
        <v>25</v>
      </c>
      <c r="E2975" s="0" t="s">
        <v>8016</v>
      </c>
      <c r="F2975" s="16">
        <f>HYPERLINK("https://eosportal.federatedhermes.com/engagements/RW5nYWdlbWVudAppNDE0ODU=", "Ethical AI governance")</f>
      </c>
      <c r="G2975" s="14" t="s">
        <v>8017</v>
      </c>
      <c r="H2975" s="0" t="s">
        <v>130</v>
      </c>
      <c r="I2975" s="14" t="s">
        <v>131</v>
      </c>
      <c r="J2975" s="0" t="s">
        <v>145</v>
      </c>
      <c r="K2975" s="0" t="s">
        <v>164</v>
      </c>
      <c r="L2975" s="0" t="s">
        <v>165</v>
      </c>
      <c r="M2975" s="0" t="s">
        <v>135</v>
      </c>
      <c r="N2975" s="0" t="s">
        <v>136</v>
      </c>
      <c r="O2975" s="0" t="s">
        <v>176</v>
      </c>
      <c r="Q2975" s="0" t="s">
        <v>141</v>
      </c>
      <c r="R2975" s="0" t="s">
        <v>138</v>
      </c>
      <c r="S2975" s="14">
        <v>1</v>
      </c>
      <c r="T2975" s="0" t="s">
        <v>361</v>
      </c>
      <c r="U2975" s="0" t="s">
        <v>138</v>
      </c>
      <c r="V2975" s="14" t="s">
        <v>138</v>
      </c>
      <c r="W2975" s="0" t="s">
        <v>138</v>
      </c>
      <c r="X2975" s="14" t="s">
        <v>138</v>
      </c>
      <c r="Y2975" s="0" t="s">
        <v>138</v>
      </c>
      <c r="Z2975" s="14" t="s">
        <v>138</v>
      </c>
      <c r="AA2975" s="0" t="s">
        <v>138</v>
      </c>
      <c r="AB2975" s="14" t="s">
        <v>138</v>
      </c>
      <c r="AD2975" s="0" t="s">
        <v>138</v>
      </c>
      <c r="AF2975" s="0">
        <v>0</v>
      </c>
      <c r="AG2975" s="0">
        <v>0</v>
      </c>
      <c r="AH2975" s="0" t="s">
        <v>140</v>
      </c>
      <c r="AI2975" s="0" t="s">
        <v>138</v>
      </c>
      <c r="AK2975" s="0" t="s">
        <v>2588</v>
      </c>
      <c r="AL2975" s="14"/>
      <c r="AN2975" s="14"/>
      <c r="AQ2975" s="0" t="s">
        <v>130</v>
      </c>
      <c r="AR2975" s="0" t="s">
        <v>130</v>
      </c>
      <c r="AS2975" s="0" t="s">
        <v>130</v>
      </c>
      <c r="AT2975" s="0" t="s">
        <v>130</v>
      </c>
      <c r="AU2975" s="0" t="s">
        <v>130</v>
      </c>
      <c r="AV2975" s="0" t="s">
        <v>130</v>
      </c>
      <c r="AW2975" s="0" t="s">
        <v>130</v>
      </c>
      <c r="AX2975" s="0" t="s">
        <v>130</v>
      </c>
      <c r="AY2975" s="0" t="s">
        <v>130</v>
      </c>
      <c r="AZ2975" s="0" t="s">
        <v>130</v>
      </c>
      <c r="BA2975" s="0" t="s">
        <v>130</v>
      </c>
      <c r="BB2975" s="0" t="s">
        <v>130</v>
      </c>
      <c r="BC2975" s="0" t="s">
        <v>130</v>
      </c>
      <c r="BD2975" s="0" t="s">
        <v>130</v>
      </c>
      <c r="BE2975" s="0" t="s">
        <v>130</v>
      </c>
      <c r="BF2975" s="0" t="s">
        <v>130</v>
      </c>
      <c r="BG2975" s="0" t="s">
        <v>130</v>
      </c>
      <c r="BH2975" s="0" t="s">
        <v>130</v>
      </c>
      <c r="BI2975" s="0" t="s">
        <v>130</v>
      </c>
      <c r="BJ2975" s="0" t="s">
        <v>130</v>
      </c>
      <c r="BK2975" s="0" t="s">
        <v>130</v>
      </c>
      <c r="BL2975" s="0" t="s">
        <v>130</v>
      </c>
      <c r="BM2975" s="0" t="s">
        <v>130</v>
      </c>
      <c r="BN2975" s="0" t="s">
        <v>130</v>
      </c>
      <c r="BO2975" s="0" t="s">
        <v>130</v>
      </c>
      <c r="BP2975" s="0" t="s">
        <v>130</v>
      </c>
      <c r="BQ2975" s="0" t="s">
        <v>130</v>
      </c>
      <c r="BR2975" s="0" t="s">
        <v>130</v>
      </c>
      <c r="BS2975" s="0" t="s">
        <v>130</v>
      </c>
      <c r="BT2975" s="0" t="s">
        <v>130</v>
      </c>
      <c r="BU2975" s="0" t="s">
        <v>130</v>
      </c>
      <c r="BV2975" s="0" t="s">
        <v>130</v>
      </c>
      <c r="BW2975" s="0" t="s">
        <v>130</v>
      </c>
      <c r="BX2975" s="0" t="s">
        <v>130</v>
      </c>
      <c r="BY2975" s="0" t="s">
        <v>130</v>
      </c>
      <c r="BZ2975" s="0" t="s">
        <v>130</v>
      </c>
      <c r="CA2975" s="0" t="s">
        <v>130</v>
      </c>
      <c r="CB2975" s="0" t="s">
        <v>130</v>
      </c>
      <c r="CC2975" s="0" t="s">
        <v>130</v>
      </c>
      <c r="CD2975" s="0" t="s">
        <v>130</v>
      </c>
      <c r="CE2975" s="0" t="s">
        <v>130</v>
      </c>
      <c r="CF2975" s="0" t="s">
        <v>130</v>
      </c>
      <c r="CG2975" s="0" t="s">
        <v>130</v>
      </c>
      <c r="CH2975" s="0" t="s">
        <v>130</v>
      </c>
      <c r="CI2975" s="0" t="s">
        <v>130</v>
      </c>
      <c r="CJ2975" s="0" t="s">
        <v>130</v>
      </c>
      <c r="CK2975" s="0" t="s">
        <v>130</v>
      </c>
      <c r="CL2975" s="0" t="s">
        <v>130</v>
      </c>
      <c r="CM2975" s="0" t="s">
        <v>130</v>
      </c>
      <c r="CN2975" s="0" t="s">
        <v>130</v>
      </c>
      <c r="CO2975" s="0" t="s">
        <v>130</v>
      </c>
      <c r="CP2975" s="0" t="s">
        <v>130</v>
      </c>
      <c r="CQ2975" s="0" t="s">
        <v>130</v>
      </c>
      <c r="CR2975" s="0" t="s">
        <v>130</v>
      </c>
      <c r="CS2975" s="0" t="s">
        <v>130</v>
      </c>
      <c r="CT2975" s="0" t="s">
        <v>8018</v>
      </c>
    </row>
    <row r="2976">
      <c r="A2976" s="14">
        <v>1747817</v>
      </c>
      <c r="B2976" s="0" t="s">
        <v>3701</v>
      </c>
      <c r="C2976" s="16">
        <f>HYPERLINK("https://eosportal.federatedhermes.com/companies/Q29tcGFueQppNzQ3MjA=", "Axon Enterprise Inc")</f>
      </c>
      <c r="D2976" s="0" t="s">
        <v>25</v>
      </c>
      <c r="E2976" s="0" t="s">
        <v>5954</v>
      </c>
      <c r="F2976" s="16">
        <f>HYPERLINK("https://eosportal.federatedhermes.com/engagements/RW5nYWdlbWVudAppNDE0ODY=", "Product circularity")</f>
      </c>
      <c r="G2976" s="14" t="s">
        <v>8019</v>
      </c>
      <c r="H2976" s="0" t="s">
        <v>130</v>
      </c>
      <c r="I2976" s="14" t="s">
        <v>131</v>
      </c>
      <c r="J2976" s="0" t="s">
        <v>197</v>
      </c>
      <c r="K2976" s="0" t="s">
        <v>348</v>
      </c>
      <c r="L2976" s="0" t="s">
        <v>349</v>
      </c>
      <c r="M2976" s="0" t="s">
        <v>135</v>
      </c>
      <c r="N2976" s="0" t="s">
        <v>136</v>
      </c>
      <c r="O2976" s="0" t="s">
        <v>176</v>
      </c>
      <c r="Q2976" s="0" t="s">
        <v>141</v>
      </c>
      <c r="R2976" s="0" t="s">
        <v>138</v>
      </c>
      <c r="S2976" s="14">
        <v>1</v>
      </c>
      <c r="T2976" s="0" t="s">
        <v>361</v>
      </c>
      <c r="U2976" s="0" t="s">
        <v>138</v>
      </c>
      <c r="V2976" s="14" t="s">
        <v>138</v>
      </c>
      <c r="W2976" s="0" t="s">
        <v>138</v>
      </c>
      <c r="X2976" s="14" t="s">
        <v>138</v>
      </c>
      <c r="Y2976" s="0" t="s">
        <v>138</v>
      </c>
      <c r="Z2976" s="14" t="s">
        <v>138</v>
      </c>
      <c r="AA2976" s="0" t="s">
        <v>138</v>
      </c>
      <c r="AB2976" s="14" t="s">
        <v>138</v>
      </c>
      <c r="AD2976" s="0" t="s">
        <v>138</v>
      </c>
      <c r="AF2976" s="0">
        <v>0</v>
      </c>
      <c r="AG2976" s="0">
        <v>0</v>
      </c>
      <c r="AH2976" s="0" t="s">
        <v>140</v>
      </c>
      <c r="AI2976" s="0" t="s">
        <v>138</v>
      </c>
      <c r="AK2976" s="0" t="s">
        <v>2588</v>
      </c>
      <c r="AL2976" s="14"/>
      <c r="AN2976" s="14"/>
      <c r="AQ2976" s="0" t="s">
        <v>130</v>
      </c>
      <c r="AR2976" s="0" t="s">
        <v>130</v>
      </c>
      <c r="AS2976" s="0" t="s">
        <v>130</v>
      </c>
      <c r="AT2976" s="0" t="s">
        <v>130</v>
      </c>
      <c r="AU2976" s="0" t="s">
        <v>130</v>
      </c>
      <c r="AV2976" s="0" t="s">
        <v>130</v>
      </c>
      <c r="AW2976" s="0" t="s">
        <v>130</v>
      </c>
      <c r="AX2976" s="0" t="s">
        <v>130</v>
      </c>
      <c r="AY2976" s="0" t="s">
        <v>130</v>
      </c>
      <c r="AZ2976" s="0" t="s">
        <v>130</v>
      </c>
      <c r="BA2976" s="0" t="s">
        <v>130</v>
      </c>
      <c r="BB2976" s="0" t="s">
        <v>141</v>
      </c>
      <c r="BC2976" s="0" t="s">
        <v>130</v>
      </c>
      <c r="BD2976" s="0" t="s">
        <v>130</v>
      </c>
      <c r="BE2976" s="0" t="s">
        <v>130</v>
      </c>
      <c r="BF2976" s="0" t="s">
        <v>130</v>
      </c>
      <c r="BG2976" s="0" t="s">
        <v>130</v>
      </c>
      <c r="BH2976" s="0" t="s">
        <v>130</v>
      </c>
      <c r="BI2976" s="0" t="s">
        <v>130</v>
      </c>
      <c r="BJ2976" s="0" t="s">
        <v>130</v>
      </c>
      <c r="BK2976" s="0" t="s">
        <v>130</v>
      </c>
      <c r="BL2976" s="0" t="s">
        <v>130</v>
      </c>
      <c r="BM2976" s="0" t="s">
        <v>130</v>
      </c>
      <c r="BN2976" s="0" t="s">
        <v>130</v>
      </c>
      <c r="BO2976" s="0" t="s">
        <v>130</v>
      </c>
      <c r="BP2976" s="0" t="s">
        <v>130</v>
      </c>
      <c r="BQ2976" s="0" t="s">
        <v>130</v>
      </c>
      <c r="BR2976" s="0" t="s">
        <v>130</v>
      </c>
      <c r="BS2976" s="0" t="s">
        <v>130</v>
      </c>
      <c r="BT2976" s="0" t="s">
        <v>130</v>
      </c>
      <c r="BU2976" s="0" t="s">
        <v>130</v>
      </c>
      <c r="BV2976" s="0" t="s">
        <v>130</v>
      </c>
      <c r="BW2976" s="0" t="s">
        <v>130</v>
      </c>
      <c r="BX2976" s="0" t="s">
        <v>130</v>
      </c>
      <c r="BY2976" s="0" t="s">
        <v>130</v>
      </c>
      <c r="BZ2976" s="0" t="s">
        <v>130</v>
      </c>
      <c r="CA2976" s="0" t="s">
        <v>130</v>
      </c>
      <c r="CB2976" s="0" t="s">
        <v>130</v>
      </c>
      <c r="CC2976" s="0" t="s">
        <v>130</v>
      </c>
      <c r="CD2976" s="0" t="s">
        <v>141</v>
      </c>
      <c r="CE2976" s="0" t="s">
        <v>130</v>
      </c>
      <c r="CF2976" s="0" t="s">
        <v>130</v>
      </c>
      <c r="CG2976" s="0" t="s">
        <v>130</v>
      </c>
      <c r="CH2976" s="0" t="s">
        <v>130</v>
      </c>
      <c r="CI2976" s="0" t="s">
        <v>130</v>
      </c>
      <c r="CJ2976" s="0" t="s">
        <v>130</v>
      </c>
      <c r="CK2976" s="0" t="s">
        <v>130</v>
      </c>
      <c r="CL2976" s="0" t="s">
        <v>130</v>
      </c>
      <c r="CM2976" s="0" t="s">
        <v>130</v>
      </c>
      <c r="CN2976" s="0" t="s">
        <v>130</v>
      </c>
      <c r="CO2976" s="0" t="s">
        <v>130</v>
      </c>
      <c r="CP2976" s="0" t="s">
        <v>130</v>
      </c>
      <c r="CQ2976" s="0" t="s">
        <v>130</v>
      </c>
      <c r="CR2976" s="0" t="s">
        <v>130</v>
      </c>
      <c r="CS2976" s="0" t="s">
        <v>130</v>
      </c>
      <c r="CT2976" s="0" t="s">
        <v>8020</v>
      </c>
    </row>
    <row r="2977">
      <c r="A2977" s="14">
        <v>180580</v>
      </c>
      <c r="B2977" s="0" t="s">
        <v>3186</v>
      </c>
      <c r="C2977" s="16">
        <f>HYPERLINK("https://eosportal.federatedhermes.com/companies/Q29tcGFueQppNzYyOTM=", "Novartis AG")</f>
      </c>
      <c r="D2977" s="0" t="s">
        <v>25</v>
      </c>
      <c r="E2977" s="0" t="s">
        <v>8021</v>
      </c>
      <c r="F2977" s="16">
        <f>HYPERLINK("https://eosportal.federatedhermes.com/engagements/RW5nYWdlbWVudAppNDE0ODc=", "Company culture and organisation")</f>
      </c>
      <c r="G2977" s="14" t="s">
        <v>8022</v>
      </c>
      <c r="H2977" s="0" t="s">
        <v>141</v>
      </c>
      <c r="I2977" s="14" t="s">
        <v>636</v>
      </c>
      <c r="J2977" s="0" t="s">
        <v>153</v>
      </c>
      <c r="K2977" s="0" t="s">
        <v>154</v>
      </c>
      <c r="L2977" s="0" t="s">
        <v>268</v>
      </c>
      <c r="M2977" s="0" t="s">
        <v>378</v>
      </c>
      <c r="N2977" s="0" t="s">
        <v>1059</v>
      </c>
      <c r="O2977" s="0" t="s">
        <v>274</v>
      </c>
      <c r="Q2977" s="0" t="s">
        <v>141</v>
      </c>
      <c r="R2977" s="0" t="s">
        <v>138</v>
      </c>
      <c r="S2977" s="14">
        <v>1</v>
      </c>
      <c r="T2977" s="0" t="s">
        <v>361</v>
      </c>
      <c r="U2977" s="0" t="s">
        <v>138</v>
      </c>
      <c r="V2977" s="14" t="s">
        <v>138</v>
      </c>
      <c r="W2977" s="0" t="s">
        <v>138</v>
      </c>
      <c r="X2977" s="14" t="s">
        <v>138</v>
      </c>
      <c r="Y2977" s="0" t="s">
        <v>138</v>
      </c>
      <c r="Z2977" s="14" t="s">
        <v>138</v>
      </c>
      <c r="AA2977" s="0" t="s">
        <v>138</v>
      </c>
      <c r="AB2977" s="14" t="s">
        <v>138</v>
      </c>
      <c r="AD2977" s="0" t="s">
        <v>138</v>
      </c>
      <c r="AF2977" s="0">
        <v>0</v>
      </c>
      <c r="AG2977" s="0">
        <v>0</v>
      </c>
      <c r="AH2977" s="0" t="s">
        <v>140</v>
      </c>
      <c r="AI2977" s="0" t="s">
        <v>138</v>
      </c>
      <c r="AK2977" s="0" t="s">
        <v>3207</v>
      </c>
      <c r="AL2977" s="14"/>
      <c r="AN2977" s="14"/>
      <c r="AQ2977" s="0" t="s">
        <v>130</v>
      </c>
      <c r="AR2977" s="0" t="s">
        <v>130</v>
      </c>
      <c r="AS2977" s="0" t="s">
        <v>130</v>
      </c>
      <c r="AT2977" s="0" t="s">
        <v>130</v>
      </c>
      <c r="AU2977" s="0" t="s">
        <v>130</v>
      </c>
      <c r="AV2977" s="0" t="s">
        <v>130</v>
      </c>
      <c r="AW2977" s="0" t="s">
        <v>130</v>
      </c>
      <c r="AX2977" s="0" t="s">
        <v>141</v>
      </c>
      <c r="AY2977" s="0" t="s">
        <v>130</v>
      </c>
      <c r="AZ2977" s="0" t="s">
        <v>130</v>
      </c>
      <c r="BA2977" s="0" t="s">
        <v>130</v>
      </c>
      <c r="BB2977" s="0" t="s">
        <v>130</v>
      </c>
      <c r="BC2977" s="0" t="s">
        <v>130</v>
      </c>
      <c r="BD2977" s="0" t="s">
        <v>130</v>
      </c>
      <c r="BE2977" s="0" t="s">
        <v>130</v>
      </c>
      <c r="BF2977" s="0" t="s">
        <v>130</v>
      </c>
      <c r="BG2977" s="0" t="s">
        <v>130</v>
      </c>
      <c r="BH2977" s="0" t="s">
        <v>130</v>
      </c>
      <c r="BI2977" s="0" t="s">
        <v>130</v>
      </c>
      <c r="BJ2977" s="0" t="s">
        <v>130</v>
      </c>
      <c r="BK2977" s="0" t="s">
        <v>130</v>
      </c>
      <c r="BL2977" s="0" t="s">
        <v>130</v>
      </c>
      <c r="BM2977" s="0" t="s">
        <v>130</v>
      </c>
      <c r="BN2977" s="0" t="s">
        <v>130</v>
      </c>
      <c r="BO2977" s="0" t="s">
        <v>130</v>
      </c>
      <c r="BP2977" s="0" t="s">
        <v>130</v>
      </c>
      <c r="BQ2977" s="0" t="s">
        <v>130</v>
      </c>
      <c r="BR2977" s="0" t="s">
        <v>130</v>
      </c>
      <c r="BS2977" s="0" t="s">
        <v>130</v>
      </c>
      <c r="BT2977" s="0" t="s">
        <v>130</v>
      </c>
      <c r="BU2977" s="0" t="s">
        <v>130</v>
      </c>
      <c r="BV2977" s="0" t="s">
        <v>130</v>
      </c>
      <c r="BW2977" s="0" t="s">
        <v>130</v>
      </c>
      <c r="BX2977" s="0" t="s">
        <v>130</v>
      </c>
      <c r="BY2977" s="0" t="s">
        <v>130</v>
      </c>
      <c r="BZ2977" s="0" t="s">
        <v>130</v>
      </c>
      <c r="CA2977" s="0" t="s">
        <v>130</v>
      </c>
      <c r="CB2977" s="0" t="s">
        <v>130</v>
      </c>
      <c r="CC2977" s="0" t="s">
        <v>130</v>
      </c>
      <c r="CD2977" s="0" t="s">
        <v>130</v>
      </c>
      <c r="CE2977" s="0" t="s">
        <v>130</v>
      </c>
      <c r="CF2977" s="0" t="s">
        <v>130</v>
      </c>
      <c r="CG2977" s="0" t="s">
        <v>130</v>
      </c>
      <c r="CH2977" s="0" t="s">
        <v>130</v>
      </c>
      <c r="CI2977" s="0" t="s">
        <v>130</v>
      </c>
      <c r="CJ2977" s="0" t="s">
        <v>130</v>
      </c>
      <c r="CK2977" s="0" t="s">
        <v>141</v>
      </c>
      <c r="CL2977" s="0" t="s">
        <v>130</v>
      </c>
      <c r="CM2977" s="0" t="s">
        <v>130</v>
      </c>
      <c r="CN2977" s="0" t="s">
        <v>130</v>
      </c>
      <c r="CO2977" s="0" t="s">
        <v>130</v>
      </c>
      <c r="CP2977" s="0" t="s">
        <v>130</v>
      </c>
      <c r="CQ2977" s="0" t="s">
        <v>130</v>
      </c>
      <c r="CR2977" s="0" t="s">
        <v>130</v>
      </c>
      <c r="CS2977" s="0" t="s">
        <v>130</v>
      </c>
      <c r="CT2977" s="0" t="s">
        <v>8023</v>
      </c>
    </row>
    <row r="2978">
      <c r="A2978" s="14">
        <v>101095</v>
      </c>
      <c r="B2978" s="0" t="s">
        <v>1337</v>
      </c>
      <c r="C2978" s="16">
        <f>HYPERLINK("https://eosportal.federatedhermes.com/companies/Q29tcGFueQppNDk4MzA=", "Novo Nordisk A/S")</f>
      </c>
      <c r="D2978" s="0" t="s">
        <v>23</v>
      </c>
      <c r="E2978" s="0" t="s">
        <v>8024</v>
      </c>
      <c r="F2978" s="16">
        <f>HYPERLINK("https://eosportal.federatedhermes.com/engagements/RW5nYWdlbWVudAppNDE1MDA=", "Access and affordability reporting")</f>
      </c>
      <c r="G2978" s="14" t="s">
        <v>8025</v>
      </c>
      <c r="H2978" s="0" t="s">
        <v>141</v>
      </c>
      <c r="I2978" s="14" t="s">
        <v>131</v>
      </c>
      <c r="J2978" s="0" t="s">
        <v>153</v>
      </c>
      <c r="K2978" s="0" t="s">
        <v>243</v>
      </c>
      <c r="L2978" s="0" t="s">
        <v>292</v>
      </c>
      <c r="M2978" s="0" t="s">
        <v>378</v>
      </c>
      <c r="N2978" s="0" t="s">
        <v>1339</v>
      </c>
      <c r="O2978" s="0" t="s">
        <v>274</v>
      </c>
      <c r="Q2978" s="0" t="s">
        <v>130</v>
      </c>
      <c r="R2978" s="0" t="s">
        <v>130</v>
      </c>
      <c r="S2978" s="14">
        <v>0</v>
      </c>
      <c r="T2978" s="0" t="s">
        <v>449</v>
      </c>
      <c r="U2978" s="0" t="s">
        <v>221</v>
      </c>
      <c r="V2978" s="14" t="s">
        <v>449</v>
      </c>
      <c r="W2978" s="0" t="s">
        <v>223</v>
      </c>
      <c r="X2978" s="14" t="s">
        <v>138</v>
      </c>
      <c r="Y2978" s="0" t="s">
        <v>224</v>
      </c>
      <c r="Z2978" s="14" t="s">
        <v>138</v>
      </c>
      <c r="AA2978" s="0" t="s">
        <v>224</v>
      </c>
      <c r="AB2978" s="14" t="s">
        <v>138</v>
      </c>
      <c r="AD2978" s="0" t="s">
        <v>14</v>
      </c>
      <c r="AF2978" s="0">
        <v>0</v>
      </c>
      <c r="AG2978" s="0">
        <v>0</v>
      </c>
      <c r="AH2978" s="0" t="s">
        <v>140</v>
      </c>
      <c r="AI2978" s="0" t="s">
        <v>598</v>
      </c>
      <c r="AL2978" s="14"/>
      <c r="AN2978" s="14"/>
      <c r="AQ2978" s="0" t="s">
        <v>130</v>
      </c>
      <c r="AR2978" s="0" t="s">
        <v>130</v>
      </c>
      <c r="AS2978" s="0" t="s">
        <v>141</v>
      </c>
      <c r="AT2978" s="0" t="s">
        <v>130</v>
      </c>
      <c r="AU2978" s="0" t="s">
        <v>130</v>
      </c>
      <c r="AV2978" s="0" t="s">
        <v>130</v>
      </c>
      <c r="AW2978" s="0" t="s">
        <v>130</v>
      </c>
      <c r="AX2978" s="0" t="s">
        <v>130</v>
      </c>
      <c r="AY2978" s="0" t="s">
        <v>130</v>
      </c>
      <c r="AZ2978" s="0" t="s">
        <v>130</v>
      </c>
      <c r="BA2978" s="0" t="s">
        <v>130</v>
      </c>
      <c r="BB2978" s="0" t="s">
        <v>130</v>
      </c>
      <c r="BC2978" s="0" t="s">
        <v>130</v>
      </c>
      <c r="BD2978" s="0" t="s">
        <v>130</v>
      </c>
      <c r="BE2978" s="0" t="s">
        <v>130</v>
      </c>
      <c r="BF2978" s="0" t="s">
        <v>130</v>
      </c>
      <c r="BG2978" s="0" t="s">
        <v>130</v>
      </c>
      <c r="BH2978" s="0" t="s">
        <v>130</v>
      </c>
      <c r="BI2978" s="0" t="s">
        <v>130</v>
      </c>
      <c r="BJ2978" s="0" t="s">
        <v>130</v>
      </c>
      <c r="BK2978" s="0" t="s">
        <v>130</v>
      </c>
      <c r="BL2978" s="0" t="s">
        <v>130</v>
      </c>
      <c r="BM2978" s="0" t="s">
        <v>130</v>
      </c>
      <c r="BN2978" s="0" t="s">
        <v>130</v>
      </c>
      <c r="BO2978" s="0" t="s">
        <v>130</v>
      </c>
      <c r="BP2978" s="0" t="s">
        <v>130</v>
      </c>
      <c r="BQ2978" s="0" t="s">
        <v>130</v>
      </c>
      <c r="BR2978" s="0" t="s">
        <v>130</v>
      </c>
      <c r="BS2978" s="0" t="s">
        <v>130</v>
      </c>
      <c r="BT2978" s="0" t="s">
        <v>130</v>
      </c>
      <c r="BU2978" s="0" t="s">
        <v>130</v>
      </c>
      <c r="BV2978" s="0" t="s">
        <v>130</v>
      </c>
      <c r="BW2978" s="0" t="s">
        <v>130</v>
      </c>
      <c r="BX2978" s="0" t="s">
        <v>130</v>
      </c>
      <c r="BY2978" s="0" t="s">
        <v>130</v>
      </c>
      <c r="BZ2978" s="0" t="s">
        <v>130</v>
      </c>
      <c r="CA2978" s="0" t="s">
        <v>130</v>
      </c>
      <c r="CB2978" s="0" t="s">
        <v>130</v>
      </c>
      <c r="CC2978" s="0" t="s">
        <v>130</v>
      </c>
      <c r="CD2978" s="0" t="s">
        <v>130</v>
      </c>
      <c r="CE2978" s="0" t="s">
        <v>130</v>
      </c>
      <c r="CF2978" s="0" t="s">
        <v>130</v>
      </c>
      <c r="CG2978" s="0" t="s">
        <v>130</v>
      </c>
      <c r="CH2978" s="0" t="s">
        <v>130</v>
      </c>
      <c r="CI2978" s="0" t="s">
        <v>130</v>
      </c>
      <c r="CJ2978" s="0" t="s">
        <v>130</v>
      </c>
      <c r="CK2978" s="0" t="s">
        <v>130</v>
      </c>
      <c r="CL2978" s="0" t="s">
        <v>130</v>
      </c>
      <c r="CM2978" s="0" t="s">
        <v>130</v>
      </c>
      <c r="CN2978" s="0" t="s">
        <v>130</v>
      </c>
      <c r="CO2978" s="0" t="s">
        <v>130</v>
      </c>
      <c r="CP2978" s="0" t="s">
        <v>130</v>
      </c>
      <c r="CQ2978" s="0" t="s">
        <v>130</v>
      </c>
      <c r="CR2978" s="0" t="s">
        <v>130</v>
      </c>
      <c r="CS2978" s="0" t="s">
        <v>130</v>
      </c>
      <c r="CT2978" s="0" t="s">
        <v>8026</v>
      </c>
    </row>
    <row r="2979">
      <c r="A2979" s="14">
        <v>219229</v>
      </c>
      <c r="B2979" s="0" t="s">
        <v>3419</v>
      </c>
      <c r="C2979" s="16">
        <f>HYPERLINK("https://eosportal.federatedhermes.com/companies/Q29tcGFueQppNjE5Mjc=", "Localiza Rent a Car SA")</f>
      </c>
      <c r="D2979" s="0" t="s">
        <v>25</v>
      </c>
      <c r="E2979" s="0" t="s">
        <v>8027</v>
      </c>
      <c r="F2979" s="16">
        <f>HYPERLINK("https://eosportal.federatedhermes.com/engagements/RW5nYWdlbWVudAppNDE1MTA=", "Water strategy")</f>
      </c>
      <c r="G2979" s="14" t="s">
        <v>8028</v>
      </c>
      <c r="H2979" s="0" t="s">
        <v>130</v>
      </c>
      <c r="I2979" s="14" t="s">
        <v>131</v>
      </c>
      <c r="J2979" s="0" t="s">
        <v>197</v>
      </c>
      <c r="K2979" s="0" t="s">
        <v>337</v>
      </c>
      <c r="L2979" s="0" t="s">
        <v>338</v>
      </c>
      <c r="M2979" s="0" t="s">
        <v>2807</v>
      </c>
      <c r="N2979" s="0" t="s">
        <v>3041</v>
      </c>
      <c r="O2979" s="0" t="s">
        <v>425</v>
      </c>
      <c r="Q2979" s="0" t="s">
        <v>141</v>
      </c>
      <c r="R2979" s="0" t="s">
        <v>138</v>
      </c>
      <c r="S2979" s="14">
        <v>1</v>
      </c>
      <c r="T2979" s="0" t="s">
        <v>361</v>
      </c>
      <c r="U2979" s="0" t="s">
        <v>138</v>
      </c>
      <c r="V2979" s="14" t="s">
        <v>138</v>
      </c>
      <c r="W2979" s="0" t="s">
        <v>138</v>
      </c>
      <c r="X2979" s="14" t="s">
        <v>138</v>
      </c>
      <c r="Y2979" s="0" t="s">
        <v>138</v>
      </c>
      <c r="Z2979" s="14" t="s">
        <v>138</v>
      </c>
      <c r="AA2979" s="0" t="s">
        <v>138</v>
      </c>
      <c r="AB2979" s="14" t="s">
        <v>138</v>
      </c>
      <c r="AD2979" s="0" t="s">
        <v>138</v>
      </c>
      <c r="AF2979" s="0">
        <v>0</v>
      </c>
      <c r="AG2979" s="0">
        <v>0</v>
      </c>
      <c r="AH2979" s="0" t="s">
        <v>140</v>
      </c>
      <c r="AI2979" s="0" t="s">
        <v>138</v>
      </c>
      <c r="AK2979" s="0" t="s">
        <v>714</v>
      </c>
      <c r="AL2979" s="14"/>
      <c r="AN2979" s="14"/>
      <c r="AQ2979" s="0" t="s">
        <v>130</v>
      </c>
      <c r="AR2979" s="0" t="s">
        <v>130</v>
      </c>
      <c r="AS2979" s="0" t="s">
        <v>130</v>
      </c>
      <c r="AT2979" s="0" t="s">
        <v>130</v>
      </c>
      <c r="AU2979" s="0" t="s">
        <v>130</v>
      </c>
      <c r="AV2979" s="0" t="s">
        <v>141</v>
      </c>
      <c r="AW2979" s="0" t="s">
        <v>130</v>
      </c>
      <c r="AX2979" s="0" t="s">
        <v>130</v>
      </c>
      <c r="AY2979" s="0" t="s">
        <v>130</v>
      </c>
      <c r="AZ2979" s="0" t="s">
        <v>130</v>
      </c>
      <c r="BA2979" s="0" t="s">
        <v>130</v>
      </c>
      <c r="BB2979" s="0" t="s">
        <v>130</v>
      </c>
      <c r="BC2979" s="0" t="s">
        <v>130</v>
      </c>
      <c r="BD2979" s="0" t="s">
        <v>130</v>
      </c>
      <c r="BE2979" s="0" t="s">
        <v>130</v>
      </c>
      <c r="BF2979" s="0" t="s">
        <v>130</v>
      </c>
      <c r="BG2979" s="0" t="s">
        <v>130</v>
      </c>
      <c r="BH2979" s="0" t="s">
        <v>130</v>
      </c>
      <c r="BI2979" s="0" t="s">
        <v>130</v>
      </c>
      <c r="BJ2979" s="0" t="s">
        <v>130</v>
      </c>
      <c r="BK2979" s="0" t="s">
        <v>130</v>
      </c>
      <c r="BL2979" s="0" t="s">
        <v>130</v>
      </c>
      <c r="BM2979" s="0" t="s">
        <v>130</v>
      </c>
      <c r="BN2979" s="0" t="s">
        <v>130</v>
      </c>
      <c r="BO2979" s="0" t="s">
        <v>130</v>
      </c>
      <c r="BP2979" s="0" t="s">
        <v>130</v>
      </c>
      <c r="BQ2979" s="0" t="s">
        <v>130</v>
      </c>
      <c r="BR2979" s="0" t="s">
        <v>130</v>
      </c>
      <c r="BS2979" s="0" t="s">
        <v>130</v>
      </c>
      <c r="BT2979" s="0" t="s">
        <v>130</v>
      </c>
      <c r="BU2979" s="0" t="s">
        <v>130</v>
      </c>
      <c r="BV2979" s="0" t="s">
        <v>130</v>
      </c>
      <c r="BW2979" s="0" t="s">
        <v>130</v>
      </c>
      <c r="BX2979" s="0" t="s">
        <v>141</v>
      </c>
      <c r="BY2979" s="0" t="s">
        <v>130</v>
      </c>
      <c r="BZ2979" s="0" t="s">
        <v>130</v>
      </c>
      <c r="CA2979" s="0" t="s">
        <v>130</v>
      </c>
      <c r="CB2979" s="0" t="s">
        <v>130</v>
      </c>
      <c r="CC2979" s="0" t="s">
        <v>130</v>
      </c>
      <c r="CD2979" s="0" t="s">
        <v>130</v>
      </c>
      <c r="CE2979" s="0" t="s">
        <v>130</v>
      </c>
      <c r="CF2979" s="0" t="s">
        <v>130</v>
      </c>
      <c r="CG2979" s="0" t="s">
        <v>130</v>
      </c>
      <c r="CH2979" s="0" t="s">
        <v>130</v>
      </c>
      <c r="CI2979" s="0" t="s">
        <v>130</v>
      </c>
      <c r="CJ2979" s="0" t="s">
        <v>130</v>
      </c>
      <c r="CK2979" s="0" t="s">
        <v>130</v>
      </c>
      <c r="CL2979" s="0" t="s">
        <v>130</v>
      </c>
      <c r="CM2979" s="0" t="s">
        <v>130</v>
      </c>
      <c r="CN2979" s="0" t="s">
        <v>130</v>
      </c>
      <c r="CO2979" s="0" t="s">
        <v>130</v>
      </c>
      <c r="CP2979" s="0" t="s">
        <v>130</v>
      </c>
      <c r="CQ2979" s="0" t="s">
        <v>130</v>
      </c>
      <c r="CR2979" s="0" t="s">
        <v>130</v>
      </c>
      <c r="CS2979" s="0" t="s">
        <v>130</v>
      </c>
      <c r="CT2979" s="0" t="s">
        <v>8029</v>
      </c>
    </row>
    <row r="2980">
      <c r="A2980" s="14">
        <v>115691</v>
      </c>
      <c r="B2980" s="0" t="s">
        <v>2482</v>
      </c>
      <c r="C2980" s="16">
        <f>HYPERLINK("https://eosportal.federatedhermes.com/companies/Q29tcGFueQppNjc3MzA=", "Deutsche Bank AG")</f>
      </c>
      <c r="D2980" s="0" t="s">
        <v>25</v>
      </c>
      <c r="E2980" s="0" t="s">
        <v>2237</v>
      </c>
      <c r="F2980" s="16">
        <f>HYPERLINK("https://eosportal.federatedhermes.com/engagements/RW5nYWdlbWVudAppNDE1MTE=", "Artificial Intelligence")</f>
      </c>
      <c r="G2980" s="14" t="s">
        <v>8030</v>
      </c>
      <c r="H2980" s="0" t="s">
        <v>141</v>
      </c>
      <c r="I2980" s="14" t="s">
        <v>191</v>
      </c>
      <c r="J2980" s="0" t="s">
        <v>153</v>
      </c>
      <c r="K2980" s="0" t="s">
        <v>243</v>
      </c>
      <c r="L2980" s="0" t="s">
        <v>537</v>
      </c>
      <c r="M2980" s="0" t="s">
        <v>378</v>
      </c>
      <c r="N2980" s="0" t="s">
        <v>2485</v>
      </c>
      <c r="O2980" s="0" t="s">
        <v>238</v>
      </c>
      <c r="Q2980" s="0" t="s">
        <v>141</v>
      </c>
      <c r="R2980" s="0" t="s">
        <v>138</v>
      </c>
      <c r="S2980" s="14">
        <v>1</v>
      </c>
      <c r="T2980" s="0" t="s">
        <v>361</v>
      </c>
      <c r="U2980" s="0" t="s">
        <v>138</v>
      </c>
      <c r="V2980" s="14" t="s">
        <v>138</v>
      </c>
      <c r="W2980" s="0" t="s">
        <v>138</v>
      </c>
      <c r="X2980" s="14" t="s">
        <v>138</v>
      </c>
      <c r="Y2980" s="0" t="s">
        <v>138</v>
      </c>
      <c r="Z2980" s="14" t="s">
        <v>138</v>
      </c>
      <c r="AA2980" s="0" t="s">
        <v>138</v>
      </c>
      <c r="AB2980" s="14" t="s">
        <v>138</v>
      </c>
      <c r="AD2980" s="0" t="s">
        <v>138</v>
      </c>
      <c r="AF2980" s="0">
        <v>0</v>
      </c>
      <c r="AG2980" s="0">
        <v>0</v>
      </c>
      <c r="AH2980" s="0" t="s">
        <v>140</v>
      </c>
      <c r="AI2980" s="0" t="s">
        <v>138</v>
      </c>
      <c r="AK2980" s="0" t="s">
        <v>714</v>
      </c>
      <c r="AL2980" s="14"/>
      <c r="AN2980" s="14"/>
      <c r="AQ2980" s="0" t="s">
        <v>130</v>
      </c>
      <c r="AR2980" s="0" t="s">
        <v>130</v>
      </c>
      <c r="AS2980" s="0" t="s">
        <v>130</v>
      </c>
      <c r="AT2980" s="0" t="s">
        <v>130</v>
      </c>
      <c r="AU2980" s="0" t="s">
        <v>130</v>
      </c>
      <c r="AV2980" s="0" t="s">
        <v>130</v>
      </c>
      <c r="AW2980" s="0" t="s">
        <v>130</v>
      </c>
      <c r="AX2980" s="0" t="s">
        <v>130</v>
      </c>
      <c r="AY2980" s="0" t="s">
        <v>130</v>
      </c>
      <c r="AZ2980" s="0" t="s">
        <v>130</v>
      </c>
      <c r="BA2980" s="0" t="s">
        <v>130</v>
      </c>
      <c r="BB2980" s="0" t="s">
        <v>130</v>
      </c>
      <c r="BC2980" s="0" t="s">
        <v>130</v>
      </c>
      <c r="BD2980" s="0" t="s">
        <v>130</v>
      </c>
      <c r="BE2980" s="0" t="s">
        <v>130</v>
      </c>
      <c r="BF2980" s="0" t="s">
        <v>141</v>
      </c>
      <c r="BG2980" s="0" t="s">
        <v>130</v>
      </c>
      <c r="BH2980" s="0" t="s">
        <v>130</v>
      </c>
      <c r="BI2980" s="0" t="s">
        <v>130</v>
      </c>
      <c r="BJ2980" s="0" t="s">
        <v>130</v>
      </c>
      <c r="BK2980" s="0" t="s">
        <v>130</v>
      </c>
      <c r="BL2980" s="0" t="s">
        <v>130</v>
      </c>
      <c r="BM2980" s="0" t="s">
        <v>130</v>
      </c>
      <c r="BN2980" s="0" t="s">
        <v>130</v>
      </c>
      <c r="BO2980" s="0" t="s">
        <v>130</v>
      </c>
      <c r="BP2980" s="0" t="s">
        <v>130</v>
      </c>
      <c r="BQ2980" s="0" t="s">
        <v>130</v>
      </c>
      <c r="BR2980" s="0" t="s">
        <v>130</v>
      </c>
      <c r="BS2980" s="0" t="s">
        <v>130</v>
      </c>
      <c r="BT2980" s="0" t="s">
        <v>130</v>
      </c>
      <c r="BU2980" s="0" t="s">
        <v>130</v>
      </c>
      <c r="BV2980" s="0" t="s">
        <v>130</v>
      </c>
      <c r="BW2980" s="0" t="s">
        <v>130</v>
      </c>
      <c r="BX2980" s="0" t="s">
        <v>130</v>
      </c>
      <c r="BY2980" s="0" t="s">
        <v>130</v>
      </c>
      <c r="BZ2980" s="0" t="s">
        <v>130</v>
      </c>
      <c r="CA2980" s="0" t="s">
        <v>130</v>
      </c>
      <c r="CB2980" s="0" t="s">
        <v>130</v>
      </c>
      <c r="CC2980" s="0" t="s">
        <v>130</v>
      </c>
      <c r="CD2980" s="0" t="s">
        <v>130</v>
      </c>
      <c r="CE2980" s="0" t="s">
        <v>130</v>
      </c>
      <c r="CF2980" s="0" t="s">
        <v>130</v>
      </c>
      <c r="CG2980" s="0" t="s">
        <v>130</v>
      </c>
      <c r="CH2980" s="0" t="s">
        <v>130</v>
      </c>
      <c r="CI2980" s="0" t="s">
        <v>130</v>
      </c>
      <c r="CJ2980" s="0" t="s">
        <v>130</v>
      </c>
      <c r="CK2980" s="0" t="s">
        <v>130</v>
      </c>
      <c r="CL2980" s="0" t="s">
        <v>130</v>
      </c>
      <c r="CM2980" s="0" t="s">
        <v>130</v>
      </c>
      <c r="CN2980" s="0" t="s">
        <v>130</v>
      </c>
      <c r="CO2980" s="0" t="s">
        <v>130</v>
      </c>
      <c r="CP2980" s="0" t="s">
        <v>130</v>
      </c>
      <c r="CQ2980" s="0" t="s">
        <v>130</v>
      </c>
      <c r="CR2980" s="0" t="s">
        <v>130</v>
      </c>
      <c r="CS2980" s="0" t="s">
        <v>130</v>
      </c>
      <c r="CT2980" s="0" t="s">
        <v>8031</v>
      </c>
    </row>
    <row r="2981">
      <c r="A2981" s="14">
        <v>9010165</v>
      </c>
      <c r="B2981" s="0" t="s">
        <v>3957</v>
      </c>
      <c r="C2981" s="16">
        <f>HYPERLINK("https://eosportal.federatedhermes.com/companies/Q29tcGFueQppNTg5NDg=", "Baidu Inc")</f>
      </c>
      <c r="D2981" s="0" t="s">
        <v>23</v>
      </c>
      <c r="E2981" s="0" t="s">
        <v>8032</v>
      </c>
      <c r="F2981" s="16">
        <f>HYPERLINK("https://eosportal.federatedhermes.com/engagements/RW5nYWdlbWVudAppNDE1MzI=", "Just AI Transition")</f>
      </c>
      <c r="G2981" s="14" t="s">
        <v>8033</v>
      </c>
      <c r="H2981" s="0" t="s">
        <v>141</v>
      </c>
      <c r="I2981" s="14" t="s">
        <v>131</v>
      </c>
      <c r="J2981" s="0" t="s">
        <v>153</v>
      </c>
      <c r="K2981" s="0" t="s">
        <v>243</v>
      </c>
      <c r="L2981" s="0" t="s">
        <v>537</v>
      </c>
      <c r="M2981" s="0" t="s">
        <v>2807</v>
      </c>
      <c r="N2981" s="0" t="s">
        <v>3272</v>
      </c>
      <c r="O2981" s="0" t="s">
        <v>137</v>
      </c>
      <c r="Q2981" s="0" t="s">
        <v>141</v>
      </c>
      <c r="R2981" s="0" t="s">
        <v>130</v>
      </c>
      <c r="S2981" s="14">
        <v>1</v>
      </c>
      <c r="T2981" s="0" t="s">
        <v>2842</v>
      </c>
      <c r="U2981" s="0" t="s">
        <v>221</v>
      </c>
      <c r="V2981" s="14" t="s">
        <v>2842</v>
      </c>
      <c r="W2981" s="0" t="s">
        <v>221</v>
      </c>
      <c r="X2981" s="14" t="s">
        <v>2842</v>
      </c>
      <c r="Y2981" s="0" t="s">
        <v>221</v>
      </c>
      <c r="Z2981" s="14" t="s">
        <v>4412</v>
      </c>
      <c r="AA2981" s="0" t="s">
        <v>223</v>
      </c>
      <c r="AB2981" s="14" t="s">
        <v>138</v>
      </c>
      <c r="AD2981" s="0" t="s">
        <v>20</v>
      </c>
      <c r="AF2981" s="0">
        <v>0</v>
      </c>
      <c r="AG2981" s="0">
        <v>0</v>
      </c>
      <c r="AH2981" s="0" t="s">
        <v>140</v>
      </c>
      <c r="AI2981" s="0" t="s">
        <v>598</v>
      </c>
      <c r="AK2981" s="0" t="s">
        <v>584</v>
      </c>
      <c r="AL2981" s="14"/>
      <c r="AN2981" s="14"/>
      <c r="AQ2981" s="0" t="s">
        <v>130</v>
      </c>
      <c r="AR2981" s="0" t="s">
        <v>130</v>
      </c>
      <c r="AS2981" s="0" t="s">
        <v>130</v>
      </c>
      <c r="AT2981" s="0" t="s">
        <v>130</v>
      </c>
      <c r="AU2981" s="0" t="s">
        <v>130</v>
      </c>
      <c r="AV2981" s="0" t="s">
        <v>130</v>
      </c>
      <c r="AW2981" s="0" t="s">
        <v>130</v>
      </c>
      <c r="AX2981" s="0" t="s">
        <v>130</v>
      </c>
      <c r="AY2981" s="0" t="s">
        <v>130</v>
      </c>
      <c r="AZ2981" s="0" t="s">
        <v>130</v>
      </c>
      <c r="BA2981" s="0" t="s">
        <v>130</v>
      </c>
      <c r="BB2981" s="0" t="s">
        <v>130</v>
      </c>
      <c r="BC2981" s="0" t="s">
        <v>130</v>
      </c>
      <c r="BD2981" s="0" t="s">
        <v>130</v>
      </c>
      <c r="BE2981" s="0" t="s">
        <v>130</v>
      </c>
      <c r="BF2981" s="0" t="s">
        <v>141</v>
      </c>
      <c r="BG2981" s="0" t="s">
        <v>130</v>
      </c>
      <c r="BH2981" s="0" t="s">
        <v>130</v>
      </c>
      <c r="BI2981" s="0" t="s">
        <v>130</v>
      </c>
      <c r="BJ2981" s="0" t="s">
        <v>130</v>
      </c>
      <c r="BK2981" s="0" t="s">
        <v>130</v>
      </c>
      <c r="BL2981" s="0" t="s">
        <v>130</v>
      </c>
      <c r="BM2981" s="0" t="s">
        <v>130</v>
      </c>
      <c r="BN2981" s="0" t="s">
        <v>130</v>
      </c>
      <c r="BO2981" s="0" t="s">
        <v>130</v>
      </c>
      <c r="BP2981" s="0" t="s">
        <v>130</v>
      </c>
      <c r="BQ2981" s="0" t="s">
        <v>130</v>
      </c>
      <c r="BR2981" s="0" t="s">
        <v>130</v>
      </c>
      <c r="BS2981" s="0" t="s">
        <v>130</v>
      </c>
      <c r="BT2981" s="0" t="s">
        <v>130</v>
      </c>
      <c r="BU2981" s="0" t="s">
        <v>130</v>
      </c>
      <c r="BV2981" s="0" t="s">
        <v>130</v>
      </c>
      <c r="BW2981" s="0" t="s">
        <v>130</v>
      </c>
      <c r="BX2981" s="0" t="s">
        <v>130</v>
      </c>
      <c r="BY2981" s="0" t="s">
        <v>130</v>
      </c>
      <c r="BZ2981" s="0" t="s">
        <v>130</v>
      </c>
      <c r="CA2981" s="0" t="s">
        <v>130</v>
      </c>
      <c r="CB2981" s="0" t="s">
        <v>130</v>
      </c>
      <c r="CC2981" s="0" t="s">
        <v>130</v>
      </c>
      <c r="CD2981" s="0" t="s">
        <v>130</v>
      </c>
      <c r="CE2981" s="0" t="s">
        <v>130</v>
      </c>
      <c r="CF2981" s="0" t="s">
        <v>130</v>
      </c>
      <c r="CG2981" s="0" t="s">
        <v>130</v>
      </c>
      <c r="CH2981" s="0" t="s">
        <v>130</v>
      </c>
      <c r="CI2981" s="0" t="s">
        <v>130</v>
      </c>
      <c r="CJ2981" s="0" t="s">
        <v>130</v>
      </c>
      <c r="CK2981" s="0" t="s">
        <v>130</v>
      </c>
      <c r="CL2981" s="0" t="s">
        <v>130</v>
      </c>
      <c r="CM2981" s="0" t="s">
        <v>130</v>
      </c>
      <c r="CN2981" s="0" t="s">
        <v>130</v>
      </c>
      <c r="CO2981" s="0" t="s">
        <v>130</v>
      </c>
      <c r="CP2981" s="0" t="s">
        <v>130</v>
      </c>
      <c r="CQ2981" s="0" t="s">
        <v>130</v>
      </c>
      <c r="CR2981" s="0" t="s">
        <v>130</v>
      </c>
      <c r="CS2981" s="0" t="s">
        <v>130</v>
      </c>
      <c r="CT2981" s="0" t="s">
        <v>8034</v>
      </c>
    </row>
    <row r="2982">
      <c r="A2982" s="14">
        <v>130467</v>
      </c>
      <c r="B2982" s="0" t="s">
        <v>8035</v>
      </c>
      <c r="C2982" s="16">
        <f>HYPERLINK("https://eosportal.federatedhermes.com/companies/Q29tcGFueQppNDk3MDU=", "FirstRand Ltd")</f>
      </c>
      <c r="D2982" s="0" t="s">
        <v>25</v>
      </c>
      <c r="E2982" s="0" t="s">
        <v>341</v>
      </c>
      <c r="F2982" s="16">
        <f>HYPERLINK("https://eosportal.federatedhermes.com/engagements/RW5nYWdlbWVudAppNDE1Mzg=", "Remuneration")</f>
      </c>
      <c r="G2982" s="14" t="s">
        <v>8036</v>
      </c>
      <c r="H2982" s="0" t="s">
        <v>130</v>
      </c>
      <c r="I2982" s="14" t="s">
        <v>131</v>
      </c>
      <c r="J2982" s="0" t="s">
        <v>145</v>
      </c>
      <c r="K2982" s="0" t="s">
        <v>146</v>
      </c>
      <c r="L2982" s="0" t="s">
        <v>147</v>
      </c>
      <c r="M2982" s="0" t="s">
        <v>2807</v>
      </c>
      <c r="N2982" s="0" t="s">
        <v>8037</v>
      </c>
      <c r="O2982" s="0" t="s">
        <v>238</v>
      </c>
      <c r="Q2982" s="0" t="s">
        <v>141</v>
      </c>
      <c r="R2982" s="0" t="s">
        <v>138</v>
      </c>
      <c r="S2982" s="14">
        <v>1</v>
      </c>
      <c r="T2982" s="0" t="s">
        <v>361</v>
      </c>
      <c r="U2982" s="0" t="s">
        <v>138</v>
      </c>
      <c r="V2982" s="14" t="s">
        <v>138</v>
      </c>
      <c r="W2982" s="0" t="s">
        <v>138</v>
      </c>
      <c r="X2982" s="14" t="s">
        <v>138</v>
      </c>
      <c r="Y2982" s="0" t="s">
        <v>138</v>
      </c>
      <c r="Z2982" s="14" t="s">
        <v>138</v>
      </c>
      <c r="AA2982" s="0" t="s">
        <v>138</v>
      </c>
      <c r="AB2982" s="14" t="s">
        <v>138</v>
      </c>
      <c r="AD2982" s="0" t="s">
        <v>138</v>
      </c>
      <c r="AF2982" s="0">
        <v>0</v>
      </c>
      <c r="AG2982" s="0">
        <v>0</v>
      </c>
      <c r="AH2982" s="0" t="s">
        <v>140</v>
      </c>
      <c r="AI2982" s="0" t="s">
        <v>138</v>
      </c>
      <c r="AK2982" s="0" t="s">
        <v>2523</v>
      </c>
      <c r="AL2982" s="14"/>
      <c r="AN2982" s="14"/>
      <c r="AQ2982" s="0" t="s">
        <v>130</v>
      </c>
      <c r="AR2982" s="0" t="s">
        <v>130</v>
      </c>
      <c r="AS2982" s="0" t="s">
        <v>130</v>
      </c>
      <c r="AT2982" s="0" t="s">
        <v>130</v>
      </c>
      <c r="AU2982" s="0" t="s">
        <v>130</v>
      </c>
      <c r="AV2982" s="0" t="s">
        <v>130</v>
      </c>
      <c r="AW2982" s="0" t="s">
        <v>130</v>
      </c>
      <c r="AX2982" s="0" t="s">
        <v>130</v>
      </c>
      <c r="AY2982" s="0" t="s">
        <v>130</v>
      </c>
      <c r="AZ2982" s="0" t="s">
        <v>130</v>
      </c>
      <c r="BA2982" s="0" t="s">
        <v>130</v>
      </c>
      <c r="BB2982" s="0" t="s">
        <v>130</v>
      </c>
      <c r="BC2982" s="0" t="s">
        <v>130</v>
      </c>
      <c r="BD2982" s="0" t="s">
        <v>130</v>
      </c>
      <c r="BE2982" s="0" t="s">
        <v>130</v>
      </c>
      <c r="BF2982" s="0" t="s">
        <v>130</v>
      </c>
      <c r="BG2982" s="0" t="s">
        <v>130</v>
      </c>
      <c r="BH2982" s="0" t="s">
        <v>130</v>
      </c>
      <c r="BI2982" s="0" t="s">
        <v>130</v>
      </c>
      <c r="BJ2982" s="0" t="s">
        <v>130</v>
      </c>
      <c r="BK2982" s="0" t="s">
        <v>130</v>
      </c>
      <c r="BL2982" s="0" t="s">
        <v>130</v>
      </c>
      <c r="BM2982" s="0" t="s">
        <v>130</v>
      </c>
      <c r="BN2982" s="0" t="s">
        <v>130</v>
      </c>
      <c r="BO2982" s="0" t="s">
        <v>130</v>
      </c>
      <c r="BP2982" s="0" t="s">
        <v>130</v>
      </c>
      <c r="BQ2982" s="0" t="s">
        <v>130</v>
      </c>
      <c r="BR2982" s="0" t="s">
        <v>130</v>
      </c>
      <c r="BS2982" s="0" t="s">
        <v>130</v>
      </c>
      <c r="BT2982" s="0" t="s">
        <v>130</v>
      </c>
      <c r="BU2982" s="0" t="s">
        <v>130</v>
      </c>
      <c r="BV2982" s="0" t="s">
        <v>130</v>
      </c>
      <c r="BW2982" s="0" t="s">
        <v>130</v>
      </c>
      <c r="BX2982" s="0" t="s">
        <v>130</v>
      </c>
      <c r="BY2982" s="0" t="s">
        <v>130</v>
      </c>
      <c r="BZ2982" s="0" t="s">
        <v>130</v>
      </c>
      <c r="CA2982" s="0" t="s">
        <v>130</v>
      </c>
      <c r="CB2982" s="0" t="s">
        <v>130</v>
      </c>
      <c r="CC2982" s="0" t="s">
        <v>130</v>
      </c>
      <c r="CD2982" s="0" t="s">
        <v>130</v>
      </c>
      <c r="CE2982" s="0" t="s">
        <v>130</v>
      </c>
      <c r="CF2982" s="0" t="s">
        <v>130</v>
      </c>
      <c r="CG2982" s="0" t="s">
        <v>130</v>
      </c>
      <c r="CH2982" s="0" t="s">
        <v>130</v>
      </c>
      <c r="CI2982" s="0" t="s">
        <v>130</v>
      </c>
      <c r="CJ2982" s="0" t="s">
        <v>130</v>
      </c>
      <c r="CK2982" s="0" t="s">
        <v>130</v>
      </c>
      <c r="CL2982" s="0" t="s">
        <v>130</v>
      </c>
      <c r="CM2982" s="0" t="s">
        <v>130</v>
      </c>
      <c r="CN2982" s="0" t="s">
        <v>130</v>
      </c>
      <c r="CO2982" s="0" t="s">
        <v>130</v>
      </c>
      <c r="CP2982" s="0" t="s">
        <v>130</v>
      </c>
      <c r="CQ2982" s="0" t="s">
        <v>130</v>
      </c>
      <c r="CR2982" s="0" t="s">
        <v>130</v>
      </c>
      <c r="CS2982" s="0" t="s">
        <v>130</v>
      </c>
      <c r="CT2982" s="0" t="s">
        <v>8038</v>
      </c>
    </row>
    <row r="2983">
      <c r="A2983" s="14">
        <v>169367</v>
      </c>
      <c r="B2983" s="0" t="s">
        <v>3021</v>
      </c>
      <c r="C2983" s="16">
        <f>HYPERLINK("https://eosportal.federatedhermes.com/companies/Q29tcGFueQppNjE5MDI=", "HDFC Bank Ltd")</f>
      </c>
      <c r="D2983" s="0" t="s">
        <v>23</v>
      </c>
      <c r="E2983" s="0" t="s">
        <v>8039</v>
      </c>
      <c r="F2983" s="16">
        <f>HYPERLINK("https://eosportal.federatedhermes.com/engagements/RW5nYWdlbWVudAppNDE1NTA=", "Access to independent directors")</f>
      </c>
      <c r="G2983" s="14" t="s">
        <v>8040</v>
      </c>
      <c r="H2983" s="0" t="s">
        <v>141</v>
      </c>
      <c r="I2983" s="14" t="s">
        <v>131</v>
      </c>
      <c r="J2983" s="0" t="s">
        <v>145</v>
      </c>
      <c r="K2983" s="0" t="s">
        <v>400</v>
      </c>
      <c r="L2983" s="0" t="s">
        <v>401</v>
      </c>
      <c r="M2983" s="0" t="s">
        <v>2807</v>
      </c>
      <c r="N2983" s="0" t="s">
        <v>2969</v>
      </c>
      <c r="O2983" s="0" t="s">
        <v>238</v>
      </c>
      <c r="Q2983" s="0" t="s">
        <v>141</v>
      </c>
      <c r="R2983" s="0" t="s">
        <v>141</v>
      </c>
      <c r="S2983" s="14">
        <v>2</v>
      </c>
      <c r="T2983" s="0" t="s">
        <v>361</v>
      </c>
      <c r="U2983" s="0" t="s">
        <v>221</v>
      </c>
      <c r="V2983" s="14" t="s">
        <v>361</v>
      </c>
      <c r="W2983" s="0" t="s">
        <v>223</v>
      </c>
      <c r="X2983" s="14" t="s">
        <v>138</v>
      </c>
      <c r="Y2983" s="0" t="s">
        <v>224</v>
      </c>
      <c r="Z2983" s="14" t="s">
        <v>138</v>
      </c>
      <c r="AA2983" s="0" t="s">
        <v>224</v>
      </c>
      <c r="AB2983" s="14" t="s">
        <v>138</v>
      </c>
      <c r="AC2983" s="0" t="s">
        <v>11</v>
      </c>
      <c r="AD2983" s="0" t="s">
        <v>14</v>
      </c>
      <c r="AE2983" s="0" t="s">
        <v>7914</v>
      </c>
      <c r="AF2983" s="0">
        <v>1</v>
      </c>
      <c r="AG2983" s="0">
        <v>0</v>
      </c>
      <c r="AH2983" s="0" t="s">
        <v>140</v>
      </c>
      <c r="AI2983" s="0" t="s">
        <v>598</v>
      </c>
      <c r="AK2983" s="0" t="s">
        <v>2290</v>
      </c>
      <c r="AL2983" s="14"/>
      <c r="AN2983" s="14"/>
      <c r="AQ2983" s="0" t="s">
        <v>130</v>
      </c>
      <c r="AR2983" s="0" t="s">
        <v>130</v>
      </c>
      <c r="AS2983" s="0" t="s">
        <v>130</v>
      </c>
      <c r="AT2983" s="0" t="s">
        <v>130</v>
      </c>
      <c r="AU2983" s="0" t="s">
        <v>130</v>
      </c>
      <c r="AV2983" s="0" t="s">
        <v>130</v>
      </c>
      <c r="AW2983" s="0" t="s">
        <v>130</v>
      </c>
      <c r="AX2983" s="0" t="s">
        <v>130</v>
      </c>
      <c r="AY2983" s="0" t="s">
        <v>130</v>
      </c>
      <c r="AZ2983" s="0" t="s">
        <v>130</v>
      </c>
      <c r="BA2983" s="0" t="s">
        <v>130</v>
      </c>
      <c r="BB2983" s="0" t="s">
        <v>130</v>
      </c>
      <c r="BC2983" s="0" t="s">
        <v>130</v>
      </c>
      <c r="BD2983" s="0" t="s">
        <v>130</v>
      </c>
      <c r="BE2983" s="0" t="s">
        <v>130</v>
      </c>
      <c r="BF2983" s="0" t="s">
        <v>130</v>
      </c>
      <c r="BG2983" s="0" t="s">
        <v>130</v>
      </c>
      <c r="BH2983" s="0" t="s">
        <v>130</v>
      </c>
      <c r="BI2983" s="0" t="s">
        <v>130</v>
      </c>
      <c r="BJ2983" s="0" t="s">
        <v>130</v>
      </c>
      <c r="BK2983" s="0" t="s">
        <v>130</v>
      </c>
      <c r="BL2983" s="0" t="s">
        <v>130</v>
      </c>
      <c r="BM2983" s="0" t="s">
        <v>130</v>
      </c>
      <c r="BN2983" s="0" t="s">
        <v>130</v>
      </c>
      <c r="BO2983" s="0" t="s">
        <v>130</v>
      </c>
      <c r="BP2983" s="0" t="s">
        <v>130</v>
      </c>
      <c r="BQ2983" s="0" t="s">
        <v>130</v>
      </c>
      <c r="BR2983" s="0" t="s">
        <v>130</v>
      </c>
      <c r="BS2983" s="0" t="s">
        <v>130</v>
      </c>
      <c r="BT2983" s="0" t="s">
        <v>130</v>
      </c>
      <c r="BU2983" s="0" t="s">
        <v>130</v>
      </c>
      <c r="BV2983" s="0" t="s">
        <v>130</v>
      </c>
      <c r="BW2983" s="0" t="s">
        <v>130</v>
      </c>
      <c r="BX2983" s="0" t="s">
        <v>130</v>
      </c>
      <c r="BY2983" s="0" t="s">
        <v>130</v>
      </c>
      <c r="BZ2983" s="0" t="s">
        <v>130</v>
      </c>
      <c r="CA2983" s="0" t="s">
        <v>130</v>
      </c>
      <c r="CB2983" s="0" t="s">
        <v>130</v>
      </c>
      <c r="CC2983" s="0" t="s">
        <v>130</v>
      </c>
      <c r="CD2983" s="0" t="s">
        <v>130</v>
      </c>
      <c r="CE2983" s="0" t="s">
        <v>130</v>
      </c>
      <c r="CF2983" s="0" t="s">
        <v>130</v>
      </c>
      <c r="CG2983" s="0" t="s">
        <v>130</v>
      </c>
      <c r="CH2983" s="0" t="s">
        <v>130</v>
      </c>
      <c r="CI2983" s="0" t="s">
        <v>130</v>
      </c>
      <c r="CJ2983" s="0" t="s">
        <v>130</v>
      </c>
      <c r="CK2983" s="0" t="s">
        <v>130</v>
      </c>
      <c r="CL2983" s="0" t="s">
        <v>130</v>
      </c>
      <c r="CM2983" s="0" t="s">
        <v>130</v>
      </c>
      <c r="CN2983" s="0" t="s">
        <v>130</v>
      </c>
      <c r="CO2983" s="0" t="s">
        <v>130</v>
      </c>
      <c r="CP2983" s="0" t="s">
        <v>130</v>
      </c>
      <c r="CQ2983" s="0" t="s">
        <v>130</v>
      </c>
      <c r="CR2983" s="0" t="s">
        <v>130</v>
      </c>
      <c r="CS2983" s="0" t="s">
        <v>130</v>
      </c>
      <c r="CT2983" s="0" t="s">
        <v>8041</v>
      </c>
    </row>
    <row r="2984">
      <c r="A2984" s="14">
        <v>130467</v>
      </c>
      <c r="B2984" s="0" t="s">
        <v>8035</v>
      </c>
      <c r="C2984" s="16">
        <f>HYPERLINK("https://eosportal.federatedhermes.com/companies/Q29tcGFueQppNDk3MDU=", "FirstRand Ltd")</f>
      </c>
      <c r="D2984" s="0" t="s">
        <v>25</v>
      </c>
      <c r="E2984" s="0" t="s">
        <v>8042</v>
      </c>
      <c r="F2984" s="16">
        <f>HYPERLINK("https://eosportal.federatedhermes.com/engagements/RW5nYWdlbWVudAppNDE1NTQ=", "Emission reductions reporting and targets")</f>
      </c>
      <c r="G2984" s="14" t="s">
        <v>8043</v>
      </c>
      <c r="H2984" s="0" t="s">
        <v>130</v>
      </c>
      <c r="I2984" s="14" t="s">
        <v>131</v>
      </c>
      <c r="J2984" s="0" t="s">
        <v>197</v>
      </c>
      <c r="K2984" s="0" t="s">
        <v>198</v>
      </c>
      <c r="L2984" s="0" t="s">
        <v>216</v>
      </c>
      <c r="M2984" s="0" t="s">
        <v>2807</v>
      </c>
      <c r="N2984" s="0" t="s">
        <v>8037</v>
      </c>
      <c r="O2984" s="0" t="s">
        <v>238</v>
      </c>
      <c r="Q2984" s="0" t="s">
        <v>141</v>
      </c>
      <c r="R2984" s="0" t="s">
        <v>138</v>
      </c>
      <c r="S2984" s="14">
        <v>1</v>
      </c>
      <c r="T2984" s="0" t="s">
        <v>361</v>
      </c>
      <c r="U2984" s="0" t="s">
        <v>138</v>
      </c>
      <c r="V2984" s="14" t="s">
        <v>138</v>
      </c>
      <c r="W2984" s="0" t="s">
        <v>138</v>
      </c>
      <c r="X2984" s="14" t="s">
        <v>138</v>
      </c>
      <c r="Y2984" s="0" t="s">
        <v>138</v>
      </c>
      <c r="Z2984" s="14" t="s">
        <v>138</v>
      </c>
      <c r="AA2984" s="0" t="s">
        <v>138</v>
      </c>
      <c r="AB2984" s="14" t="s">
        <v>138</v>
      </c>
      <c r="AD2984" s="0" t="s">
        <v>138</v>
      </c>
      <c r="AF2984" s="0">
        <v>0</v>
      </c>
      <c r="AG2984" s="0">
        <v>0</v>
      </c>
      <c r="AH2984" s="0" t="s">
        <v>140</v>
      </c>
      <c r="AI2984" s="0" t="s">
        <v>138</v>
      </c>
      <c r="AK2984" s="0" t="s">
        <v>2523</v>
      </c>
      <c r="AL2984" s="14"/>
      <c r="AN2984" s="14"/>
      <c r="AQ2984" s="0" t="s">
        <v>130</v>
      </c>
      <c r="AR2984" s="0" t="s">
        <v>130</v>
      </c>
      <c r="AS2984" s="0" t="s">
        <v>130</v>
      </c>
      <c r="AT2984" s="0" t="s">
        <v>130</v>
      </c>
      <c r="AU2984" s="0" t="s">
        <v>130</v>
      </c>
      <c r="AV2984" s="0" t="s">
        <v>130</v>
      </c>
      <c r="AW2984" s="0" t="s">
        <v>130</v>
      </c>
      <c r="AX2984" s="0" t="s">
        <v>130</v>
      </c>
      <c r="AY2984" s="0" t="s">
        <v>130</v>
      </c>
      <c r="AZ2984" s="0" t="s">
        <v>130</v>
      </c>
      <c r="BA2984" s="0" t="s">
        <v>130</v>
      </c>
      <c r="BB2984" s="0" t="s">
        <v>130</v>
      </c>
      <c r="BC2984" s="0" t="s">
        <v>141</v>
      </c>
      <c r="BD2984" s="0" t="s">
        <v>130</v>
      </c>
      <c r="BE2984" s="0" t="s">
        <v>130</v>
      </c>
      <c r="BF2984" s="0" t="s">
        <v>130</v>
      </c>
      <c r="BG2984" s="0" t="s">
        <v>130</v>
      </c>
      <c r="BH2984" s="0" t="s">
        <v>141</v>
      </c>
      <c r="BI2984" s="0" t="s">
        <v>141</v>
      </c>
      <c r="BJ2984" s="0" t="s">
        <v>141</v>
      </c>
      <c r="BK2984" s="0" t="s">
        <v>130</v>
      </c>
      <c r="BL2984" s="0" t="s">
        <v>130</v>
      </c>
      <c r="BM2984" s="0" t="s">
        <v>130</v>
      </c>
      <c r="BN2984" s="0" t="s">
        <v>130</v>
      </c>
      <c r="BO2984" s="0" t="s">
        <v>130</v>
      </c>
      <c r="BP2984" s="0" t="s">
        <v>130</v>
      </c>
      <c r="BQ2984" s="0" t="s">
        <v>130</v>
      </c>
      <c r="BR2984" s="0" t="s">
        <v>130</v>
      </c>
      <c r="BS2984" s="0" t="s">
        <v>130</v>
      </c>
      <c r="BT2984" s="0" t="s">
        <v>130</v>
      </c>
      <c r="BU2984" s="0" t="s">
        <v>130</v>
      </c>
      <c r="BV2984" s="0" t="s">
        <v>141</v>
      </c>
      <c r="BW2984" s="0" t="s">
        <v>141</v>
      </c>
      <c r="BX2984" s="0" t="s">
        <v>130</v>
      </c>
      <c r="BY2984" s="0" t="s">
        <v>130</v>
      </c>
      <c r="BZ2984" s="0" t="s">
        <v>130</v>
      </c>
      <c r="CA2984" s="0" t="s">
        <v>130</v>
      </c>
      <c r="CB2984" s="0" t="s">
        <v>130</v>
      </c>
      <c r="CC2984" s="0" t="s">
        <v>130</v>
      </c>
      <c r="CD2984" s="0" t="s">
        <v>130</v>
      </c>
      <c r="CE2984" s="0" t="s">
        <v>130</v>
      </c>
      <c r="CF2984" s="0" t="s">
        <v>130</v>
      </c>
      <c r="CG2984" s="0" t="s">
        <v>130</v>
      </c>
      <c r="CH2984" s="0" t="s">
        <v>130</v>
      </c>
      <c r="CI2984" s="0" t="s">
        <v>130</v>
      </c>
      <c r="CJ2984" s="0" t="s">
        <v>130</v>
      </c>
      <c r="CK2984" s="0" t="s">
        <v>130</v>
      </c>
      <c r="CL2984" s="0" t="s">
        <v>130</v>
      </c>
      <c r="CM2984" s="0" t="s">
        <v>130</v>
      </c>
      <c r="CN2984" s="0" t="s">
        <v>130</v>
      </c>
      <c r="CO2984" s="0" t="s">
        <v>130</v>
      </c>
      <c r="CP2984" s="0" t="s">
        <v>130</v>
      </c>
      <c r="CQ2984" s="0" t="s">
        <v>130</v>
      </c>
      <c r="CR2984" s="0" t="s">
        <v>130</v>
      </c>
      <c r="CS2984" s="0" t="s">
        <v>130</v>
      </c>
      <c r="CT2984" s="0" t="s">
        <v>8044</v>
      </c>
    </row>
    <row r="2985">
      <c r="A2985" s="14">
        <v>174545</v>
      </c>
      <c r="B2985" s="0" t="s">
        <v>3121</v>
      </c>
      <c r="C2985" s="16">
        <f>HYPERLINK("https://eosportal.federatedhermes.com/companies/Q29tcGFueQppNjA1MzA=", "Infosys Ltd")</f>
      </c>
      <c r="D2985" s="0" t="s">
        <v>25</v>
      </c>
      <c r="E2985" s="0" t="s">
        <v>8045</v>
      </c>
      <c r="F2985" s="16">
        <f>HYPERLINK("https://eosportal.federatedhermes.com/engagements/RW5nYWdlbWVudAppNDE1NTU=", "Impact of AI on workforce")</f>
      </c>
      <c r="G2985" s="14" t="s">
        <v>8046</v>
      </c>
      <c r="H2985" s="0" t="s">
        <v>130</v>
      </c>
      <c r="I2985" s="14" t="s">
        <v>131</v>
      </c>
      <c r="J2985" s="0" t="s">
        <v>153</v>
      </c>
      <c r="K2985" s="0" t="s">
        <v>154</v>
      </c>
      <c r="L2985" s="0" t="s">
        <v>268</v>
      </c>
      <c r="M2985" s="0" t="s">
        <v>2807</v>
      </c>
      <c r="N2985" s="0" t="s">
        <v>2969</v>
      </c>
      <c r="O2985" s="0" t="s">
        <v>137</v>
      </c>
      <c r="Q2985" s="0" t="s">
        <v>141</v>
      </c>
      <c r="R2985" s="0" t="s">
        <v>138</v>
      </c>
      <c r="S2985" s="14">
        <v>1</v>
      </c>
      <c r="T2985" s="0" t="s">
        <v>361</v>
      </c>
      <c r="U2985" s="0" t="s">
        <v>138</v>
      </c>
      <c r="V2985" s="14" t="s">
        <v>138</v>
      </c>
      <c r="W2985" s="0" t="s">
        <v>138</v>
      </c>
      <c r="X2985" s="14" t="s">
        <v>138</v>
      </c>
      <c r="Y2985" s="0" t="s">
        <v>138</v>
      </c>
      <c r="Z2985" s="14" t="s">
        <v>138</v>
      </c>
      <c r="AA2985" s="0" t="s">
        <v>138</v>
      </c>
      <c r="AB2985" s="14" t="s">
        <v>138</v>
      </c>
      <c r="AD2985" s="0" t="s">
        <v>138</v>
      </c>
      <c r="AF2985" s="0">
        <v>0</v>
      </c>
      <c r="AG2985" s="0">
        <v>0</v>
      </c>
      <c r="AH2985" s="0" t="s">
        <v>140</v>
      </c>
      <c r="AI2985" s="0" t="s">
        <v>138</v>
      </c>
      <c r="AK2985" s="0" t="s">
        <v>3207</v>
      </c>
      <c r="AL2985" s="14"/>
      <c r="AN2985" s="14"/>
      <c r="AQ2985" s="0" t="s">
        <v>130</v>
      </c>
      <c r="AR2985" s="0" t="s">
        <v>130</v>
      </c>
      <c r="AS2985" s="0" t="s">
        <v>130</v>
      </c>
      <c r="AT2985" s="0" t="s">
        <v>130</v>
      </c>
      <c r="AU2985" s="0" t="s">
        <v>130</v>
      </c>
      <c r="AV2985" s="0" t="s">
        <v>130</v>
      </c>
      <c r="AW2985" s="0" t="s">
        <v>130</v>
      </c>
      <c r="AX2985" s="0" t="s">
        <v>141</v>
      </c>
      <c r="AY2985" s="0" t="s">
        <v>130</v>
      </c>
      <c r="AZ2985" s="0" t="s">
        <v>130</v>
      </c>
      <c r="BA2985" s="0" t="s">
        <v>130</v>
      </c>
      <c r="BB2985" s="0" t="s">
        <v>130</v>
      </c>
      <c r="BC2985" s="0" t="s">
        <v>130</v>
      </c>
      <c r="BD2985" s="0" t="s">
        <v>130</v>
      </c>
      <c r="BE2985" s="0" t="s">
        <v>130</v>
      </c>
      <c r="BF2985" s="0" t="s">
        <v>130</v>
      </c>
      <c r="BG2985" s="0" t="s">
        <v>130</v>
      </c>
      <c r="BH2985" s="0" t="s">
        <v>130</v>
      </c>
      <c r="BI2985" s="0" t="s">
        <v>130</v>
      </c>
      <c r="BJ2985" s="0" t="s">
        <v>130</v>
      </c>
      <c r="BK2985" s="0" t="s">
        <v>130</v>
      </c>
      <c r="BL2985" s="0" t="s">
        <v>130</v>
      </c>
      <c r="BM2985" s="0" t="s">
        <v>130</v>
      </c>
      <c r="BN2985" s="0" t="s">
        <v>130</v>
      </c>
      <c r="BO2985" s="0" t="s">
        <v>130</v>
      </c>
      <c r="BP2985" s="0" t="s">
        <v>130</v>
      </c>
      <c r="BQ2985" s="0" t="s">
        <v>130</v>
      </c>
      <c r="BR2985" s="0" t="s">
        <v>130</v>
      </c>
      <c r="BS2985" s="0" t="s">
        <v>130</v>
      </c>
      <c r="BT2985" s="0" t="s">
        <v>130</v>
      </c>
      <c r="BU2985" s="0" t="s">
        <v>130</v>
      </c>
      <c r="BV2985" s="0" t="s">
        <v>130</v>
      </c>
      <c r="BW2985" s="0" t="s">
        <v>130</v>
      </c>
      <c r="BX2985" s="0" t="s">
        <v>130</v>
      </c>
      <c r="BY2985" s="0" t="s">
        <v>130</v>
      </c>
      <c r="BZ2985" s="0" t="s">
        <v>130</v>
      </c>
      <c r="CA2985" s="0" t="s">
        <v>130</v>
      </c>
      <c r="CB2985" s="0" t="s">
        <v>130</v>
      </c>
      <c r="CC2985" s="0" t="s">
        <v>130</v>
      </c>
      <c r="CD2985" s="0" t="s">
        <v>130</v>
      </c>
      <c r="CE2985" s="0" t="s">
        <v>130</v>
      </c>
      <c r="CF2985" s="0" t="s">
        <v>130</v>
      </c>
      <c r="CG2985" s="0" t="s">
        <v>130</v>
      </c>
      <c r="CH2985" s="0" t="s">
        <v>130</v>
      </c>
      <c r="CI2985" s="0" t="s">
        <v>130</v>
      </c>
      <c r="CJ2985" s="0" t="s">
        <v>130</v>
      </c>
      <c r="CK2985" s="0" t="s">
        <v>141</v>
      </c>
      <c r="CL2985" s="0" t="s">
        <v>130</v>
      </c>
      <c r="CM2985" s="0" t="s">
        <v>130</v>
      </c>
      <c r="CN2985" s="0" t="s">
        <v>130</v>
      </c>
      <c r="CO2985" s="0" t="s">
        <v>130</v>
      </c>
      <c r="CP2985" s="0" t="s">
        <v>130</v>
      </c>
      <c r="CQ2985" s="0" t="s">
        <v>130</v>
      </c>
      <c r="CR2985" s="0" t="s">
        <v>130</v>
      </c>
      <c r="CS2985" s="0" t="s">
        <v>130</v>
      </c>
      <c r="CT2985" s="0" t="s">
        <v>8047</v>
      </c>
    </row>
    <row r="2986">
      <c r="A2986" s="14">
        <v>169367</v>
      </c>
      <c r="B2986" s="0" t="s">
        <v>3021</v>
      </c>
      <c r="C2986" s="16">
        <f>HYPERLINK("https://eosportal.federatedhermes.com/companies/Q29tcGFueQppNjE5MDI=", "HDFC Bank Ltd")</f>
      </c>
      <c r="D2986" s="0" t="s">
        <v>25</v>
      </c>
      <c r="E2986" s="0" t="s">
        <v>7605</v>
      </c>
      <c r="F2986" s="16">
        <f>HYPERLINK("https://eosportal.federatedhermes.com/engagements/RW5nYWdlbWVudAppNDE1NTg=", "Strengthening cyber security and data privacy")</f>
      </c>
      <c r="G2986" s="14" t="s">
        <v>8048</v>
      </c>
      <c r="H2986" s="0" t="s">
        <v>141</v>
      </c>
      <c r="I2986" s="14" t="s">
        <v>131</v>
      </c>
      <c r="J2986" s="0" t="s">
        <v>132</v>
      </c>
      <c r="K2986" s="0" t="s">
        <v>260</v>
      </c>
      <c r="L2986" s="0" t="s">
        <v>743</v>
      </c>
      <c r="M2986" s="0" t="s">
        <v>2807</v>
      </c>
      <c r="N2986" s="0" t="s">
        <v>2969</v>
      </c>
      <c r="O2986" s="0" t="s">
        <v>238</v>
      </c>
      <c r="Q2986" s="0" t="s">
        <v>141</v>
      </c>
      <c r="R2986" s="0" t="s">
        <v>138</v>
      </c>
      <c r="S2986" s="14">
        <v>2</v>
      </c>
      <c r="T2986" s="0" t="s">
        <v>361</v>
      </c>
      <c r="U2986" s="0" t="s">
        <v>138</v>
      </c>
      <c r="V2986" s="14" t="s">
        <v>138</v>
      </c>
      <c r="W2986" s="0" t="s">
        <v>138</v>
      </c>
      <c r="X2986" s="14" t="s">
        <v>138</v>
      </c>
      <c r="Y2986" s="0" t="s">
        <v>138</v>
      </c>
      <c r="Z2986" s="14" t="s">
        <v>138</v>
      </c>
      <c r="AA2986" s="0" t="s">
        <v>138</v>
      </c>
      <c r="AB2986" s="14" t="s">
        <v>138</v>
      </c>
      <c r="AD2986" s="0" t="s">
        <v>138</v>
      </c>
      <c r="AF2986" s="0">
        <v>0</v>
      </c>
      <c r="AG2986" s="0">
        <v>0</v>
      </c>
      <c r="AH2986" s="0" t="s">
        <v>140</v>
      </c>
      <c r="AI2986" s="0" t="s">
        <v>138</v>
      </c>
      <c r="AK2986" s="0" t="s">
        <v>2290</v>
      </c>
      <c r="AL2986" s="14"/>
      <c r="AN2986" s="14"/>
      <c r="AQ2986" s="0" t="s">
        <v>130</v>
      </c>
      <c r="AR2986" s="0" t="s">
        <v>130</v>
      </c>
      <c r="AS2986" s="0" t="s">
        <v>130</v>
      </c>
      <c r="AT2986" s="0" t="s">
        <v>130</v>
      </c>
      <c r="AU2986" s="0" t="s">
        <v>130</v>
      </c>
      <c r="AV2986" s="0" t="s">
        <v>130</v>
      </c>
      <c r="AW2986" s="0" t="s">
        <v>130</v>
      </c>
      <c r="AX2986" s="0" t="s">
        <v>130</v>
      </c>
      <c r="AY2986" s="0" t="s">
        <v>130</v>
      </c>
      <c r="AZ2986" s="0" t="s">
        <v>130</v>
      </c>
      <c r="BA2986" s="0" t="s">
        <v>130</v>
      </c>
      <c r="BB2986" s="0" t="s">
        <v>130</v>
      </c>
      <c r="BC2986" s="0" t="s">
        <v>130</v>
      </c>
      <c r="BD2986" s="0" t="s">
        <v>130</v>
      </c>
      <c r="BE2986" s="0" t="s">
        <v>130</v>
      </c>
      <c r="BF2986" s="0" t="s">
        <v>130</v>
      </c>
      <c r="BG2986" s="0" t="s">
        <v>130</v>
      </c>
      <c r="BH2986" s="0" t="s">
        <v>130</v>
      </c>
      <c r="BI2986" s="0" t="s">
        <v>130</v>
      </c>
      <c r="BJ2986" s="0" t="s">
        <v>130</v>
      </c>
      <c r="BK2986" s="0" t="s">
        <v>130</v>
      </c>
      <c r="BL2986" s="0" t="s">
        <v>130</v>
      </c>
      <c r="BM2986" s="0" t="s">
        <v>130</v>
      </c>
      <c r="BN2986" s="0" t="s">
        <v>130</v>
      </c>
      <c r="BO2986" s="0" t="s">
        <v>130</v>
      </c>
      <c r="BP2986" s="0" t="s">
        <v>130</v>
      </c>
      <c r="BQ2986" s="0" t="s">
        <v>130</v>
      </c>
      <c r="BR2986" s="0" t="s">
        <v>130</v>
      </c>
      <c r="BS2986" s="0" t="s">
        <v>130</v>
      </c>
      <c r="BT2986" s="0" t="s">
        <v>130</v>
      </c>
      <c r="BU2986" s="0" t="s">
        <v>130</v>
      </c>
      <c r="BV2986" s="0" t="s">
        <v>130</v>
      </c>
      <c r="BW2986" s="0" t="s">
        <v>130</v>
      </c>
      <c r="BX2986" s="0" t="s">
        <v>130</v>
      </c>
      <c r="BY2986" s="0" t="s">
        <v>130</v>
      </c>
      <c r="BZ2986" s="0" t="s">
        <v>130</v>
      </c>
      <c r="CA2986" s="0" t="s">
        <v>130</v>
      </c>
      <c r="CB2986" s="0" t="s">
        <v>130</v>
      </c>
      <c r="CC2986" s="0" t="s">
        <v>130</v>
      </c>
      <c r="CD2986" s="0" t="s">
        <v>130</v>
      </c>
      <c r="CE2986" s="0" t="s">
        <v>130</v>
      </c>
      <c r="CF2986" s="0" t="s">
        <v>130</v>
      </c>
      <c r="CG2986" s="0" t="s">
        <v>130</v>
      </c>
      <c r="CH2986" s="0" t="s">
        <v>130</v>
      </c>
      <c r="CI2986" s="0" t="s">
        <v>130</v>
      </c>
      <c r="CJ2986" s="0" t="s">
        <v>130</v>
      </c>
      <c r="CK2986" s="0" t="s">
        <v>130</v>
      </c>
      <c r="CL2986" s="0" t="s">
        <v>130</v>
      </c>
      <c r="CM2986" s="0" t="s">
        <v>130</v>
      </c>
      <c r="CN2986" s="0" t="s">
        <v>130</v>
      </c>
      <c r="CO2986" s="0" t="s">
        <v>130</v>
      </c>
      <c r="CP2986" s="0" t="s">
        <v>130</v>
      </c>
      <c r="CQ2986" s="0" t="s">
        <v>130</v>
      </c>
      <c r="CR2986" s="0" t="s">
        <v>130</v>
      </c>
      <c r="CS2986" s="0" t="s">
        <v>130</v>
      </c>
      <c r="CT2986" s="0" t="s">
        <v>8049</v>
      </c>
    </row>
    <row r="2987">
      <c r="A2987" s="14">
        <v>42602315</v>
      </c>
      <c r="B2987" s="0" t="s">
        <v>4587</v>
      </c>
      <c r="C2987" s="16">
        <f>HYPERLINK("https://eosportal.federatedhermes.com/companies/Q29tcGFueQppNDc0MzI=", "Hewlett Packard Enterprise Co")</f>
      </c>
      <c r="D2987" s="0" t="s">
        <v>23</v>
      </c>
      <c r="E2987" s="0" t="s">
        <v>8050</v>
      </c>
      <c r="F2987" s="16">
        <f>HYPERLINK("https://eosportal.federatedhermes.com/engagements/RW5nYWdlbWVudAppNDE2MDk=", "AI and Energy Demand")</f>
      </c>
      <c r="G2987" s="14" t="s">
        <v>8051</v>
      </c>
      <c r="H2987" s="0" t="s">
        <v>130</v>
      </c>
      <c r="I2987" s="14" t="s">
        <v>131</v>
      </c>
      <c r="J2987" s="0" t="s">
        <v>197</v>
      </c>
      <c r="K2987" s="0" t="s">
        <v>198</v>
      </c>
      <c r="L2987" s="0" t="s">
        <v>220</v>
      </c>
      <c r="M2987" s="0" t="s">
        <v>135</v>
      </c>
      <c r="N2987" s="0" t="s">
        <v>136</v>
      </c>
      <c r="O2987" s="0" t="s">
        <v>1125</v>
      </c>
      <c r="Q2987" s="0" t="s">
        <v>130</v>
      </c>
      <c r="R2987" s="0" t="s">
        <v>141</v>
      </c>
      <c r="S2987" s="14">
        <v>0</v>
      </c>
      <c r="T2987" s="0" t="s">
        <v>361</v>
      </c>
      <c r="U2987" s="0" t="s">
        <v>221</v>
      </c>
      <c r="V2987" s="14" t="s">
        <v>361</v>
      </c>
      <c r="W2987" s="0" t="s">
        <v>223</v>
      </c>
      <c r="X2987" s="14" t="s">
        <v>138</v>
      </c>
      <c r="Y2987" s="0" t="s">
        <v>224</v>
      </c>
      <c r="Z2987" s="14" t="s">
        <v>138</v>
      </c>
      <c r="AA2987" s="0" t="s">
        <v>224</v>
      </c>
      <c r="AB2987" s="14" t="s">
        <v>138</v>
      </c>
      <c r="AC2987" s="0" t="s">
        <v>11</v>
      </c>
      <c r="AD2987" s="0" t="s">
        <v>14</v>
      </c>
      <c r="AE2987" s="0" t="s">
        <v>7914</v>
      </c>
      <c r="AF2987" s="0">
        <v>1</v>
      </c>
      <c r="AG2987" s="0">
        <v>0</v>
      </c>
      <c r="AH2987" s="0" t="s">
        <v>140</v>
      </c>
      <c r="AI2987" s="0" t="s">
        <v>598</v>
      </c>
      <c r="AL2987" s="14"/>
      <c r="AN2987" s="14"/>
      <c r="AQ2987" s="0" t="s">
        <v>130</v>
      </c>
      <c r="AR2987" s="0" t="s">
        <v>130</v>
      </c>
      <c r="AS2987" s="0" t="s">
        <v>130</v>
      </c>
      <c r="AT2987" s="0" t="s">
        <v>130</v>
      </c>
      <c r="AU2987" s="0" t="s">
        <v>130</v>
      </c>
      <c r="AV2987" s="0" t="s">
        <v>130</v>
      </c>
      <c r="AW2987" s="0" t="s">
        <v>141</v>
      </c>
      <c r="AX2987" s="0" t="s">
        <v>130</v>
      </c>
      <c r="AY2987" s="0" t="s">
        <v>141</v>
      </c>
      <c r="AZ2987" s="0" t="s">
        <v>130</v>
      </c>
      <c r="BA2987" s="0" t="s">
        <v>130</v>
      </c>
      <c r="BB2987" s="0" t="s">
        <v>130</v>
      </c>
      <c r="BC2987" s="0" t="s">
        <v>141</v>
      </c>
      <c r="BD2987" s="0" t="s">
        <v>130</v>
      </c>
      <c r="BE2987" s="0" t="s">
        <v>130</v>
      </c>
      <c r="BF2987" s="0" t="s">
        <v>130</v>
      </c>
      <c r="BG2987" s="0" t="s">
        <v>130</v>
      </c>
      <c r="BH2987" s="0" t="s">
        <v>130</v>
      </c>
      <c r="BI2987" s="0" t="s">
        <v>130</v>
      </c>
      <c r="BJ2987" s="0" t="s">
        <v>130</v>
      </c>
      <c r="BK2987" s="0" t="s">
        <v>130</v>
      </c>
      <c r="BL2987" s="0" t="s">
        <v>130</v>
      </c>
      <c r="BM2987" s="0" t="s">
        <v>130</v>
      </c>
      <c r="BN2987" s="0" t="s">
        <v>130</v>
      </c>
      <c r="BO2987" s="0" t="s">
        <v>130</v>
      </c>
      <c r="BP2987" s="0" t="s">
        <v>130</v>
      </c>
      <c r="BQ2987" s="0" t="s">
        <v>130</v>
      </c>
      <c r="BR2987" s="0" t="s">
        <v>130</v>
      </c>
      <c r="BS2987" s="0" t="s">
        <v>130</v>
      </c>
      <c r="BT2987" s="0" t="s">
        <v>130</v>
      </c>
      <c r="BU2987" s="0" t="s">
        <v>130</v>
      </c>
      <c r="BV2987" s="0" t="s">
        <v>130</v>
      </c>
      <c r="BW2987" s="0" t="s">
        <v>130</v>
      </c>
      <c r="BX2987" s="0" t="s">
        <v>130</v>
      </c>
      <c r="BY2987" s="0" t="s">
        <v>130</v>
      </c>
      <c r="BZ2987" s="0" t="s">
        <v>130</v>
      </c>
      <c r="CA2987" s="0" t="s">
        <v>130</v>
      </c>
      <c r="CB2987" s="0" t="s">
        <v>130</v>
      </c>
      <c r="CC2987" s="0" t="s">
        <v>130</v>
      </c>
      <c r="CD2987" s="0" t="s">
        <v>130</v>
      </c>
      <c r="CE2987" s="0" t="s">
        <v>130</v>
      </c>
      <c r="CF2987" s="0" t="s">
        <v>130</v>
      </c>
      <c r="CG2987" s="0" t="s">
        <v>130</v>
      </c>
      <c r="CH2987" s="0" t="s">
        <v>130</v>
      </c>
      <c r="CI2987" s="0" t="s">
        <v>130</v>
      </c>
      <c r="CJ2987" s="0" t="s">
        <v>130</v>
      </c>
      <c r="CK2987" s="0" t="s">
        <v>130</v>
      </c>
      <c r="CL2987" s="0" t="s">
        <v>130</v>
      </c>
      <c r="CM2987" s="0" t="s">
        <v>130</v>
      </c>
      <c r="CN2987" s="0" t="s">
        <v>130</v>
      </c>
      <c r="CO2987" s="0" t="s">
        <v>130</v>
      </c>
      <c r="CP2987" s="0" t="s">
        <v>130</v>
      </c>
      <c r="CQ2987" s="0" t="s">
        <v>130</v>
      </c>
      <c r="CR2987" s="0" t="s">
        <v>130</v>
      </c>
      <c r="CS2987" s="0" t="s">
        <v>130</v>
      </c>
      <c r="CT2987" s="0" t="s">
        <v>8052</v>
      </c>
    </row>
    <row r="2988">
      <c r="A2988" s="14">
        <v>60401289</v>
      </c>
      <c r="B2988" s="0" t="s">
        <v>4753</v>
      </c>
      <c r="C2988" s="16">
        <f>HYPERLINK("https://eosportal.federatedhermes.com/companies/Q29tcGFueQppNjc4MzU=", "Cigna Group/The")</f>
      </c>
      <c r="D2988" s="0" t="s">
        <v>25</v>
      </c>
      <c r="E2988" s="0" t="s">
        <v>2237</v>
      </c>
      <c r="F2988" s="16">
        <f>HYPERLINK("https://eosportal.federatedhermes.com/engagements/RW5nYWdlbWVudAppNDE2MTc=", "Artificial Intelligence")</f>
      </c>
      <c r="G2988" s="14" t="s">
        <v>8053</v>
      </c>
      <c r="H2988" s="0" t="s">
        <v>130</v>
      </c>
      <c r="I2988" s="14" t="s">
        <v>319</v>
      </c>
      <c r="J2988" s="0" t="s">
        <v>153</v>
      </c>
      <c r="K2988" s="0" t="s">
        <v>243</v>
      </c>
      <c r="L2988" s="0" t="s">
        <v>537</v>
      </c>
      <c r="M2988" s="0" t="s">
        <v>135</v>
      </c>
      <c r="N2988" s="0" t="s">
        <v>136</v>
      </c>
      <c r="O2988" s="0" t="s">
        <v>274</v>
      </c>
      <c r="Q2988" s="0" t="s">
        <v>141</v>
      </c>
      <c r="R2988" s="0" t="s">
        <v>138</v>
      </c>
      <c r="S2988" s="14">
        <v>1</v>
      </c>
      <c r="T2988" s="0" t="s">
        <v>361</v>
      </c>
      <c r="U2988" s="0" t="s">
        <v>138</v>
      </c>
      <c r="V2988" s="14" t="s">
        <v>138</v>
      </c>
      <c r="W2988" s="0" t="s">
        <v>138</v>
      </c>
      <c r="X2988" s="14" t="s">
        <v>138</v>
      </c>
      <c r="Y2988" s="0" t="s">
        <v>138</v>
      </c>
      <c r="Z2988" s="14" t="s">
        <v>138</v>
      </c>
      <c r="AA2988" s="0" t="s">
        <v>138</v>
      </c>
      <c r="AB2988" s="14" t="s">
        <v>138</v>
      </c>
      <c r="AD2988" s="0" t="s">
        <v>138</v>
      </c>
      <c r="AF2988" s="0">
        <v>0</v>
      </c>
      <c r="AG2988" s="0">
        <v>0</v>
      </c>
      <c r="AH2988" s="0" t="s">
        <v>140</v>
      </c>
      <c r="AI2988" s="0" t="s">
        <v>138</v>
      </c>
      <c r="AK2988" s="0" t="s">
        <v>1289</v>
      </c>
      <c r="AL2988" s="14"/>
      <c r="AN2988" s="14"/>
      <c r="AQ2988" s="0" t="s">
        <v>130</v>
      </c>
      <c r="AR2988" s="0" t="s">
        <v>130</v>
      </c>
      <c r="AS2988" s="0" t="s">
        <v>130</v>
      </c>
      <c r="AT2988" s="0" t="s">
        <v>130</v>
      </c>
      <c r="AU2988" s="0" t="s">
        <v>130</v>
      </c>
      <c r="AV2988" s="0" t="s">
        <v>130</v>
      </c>
      <c r="AW2988" s="0" t="s">
        <v>130</v>
      </c>
      <c r="AX2988" s="0" t="s">
        <v>130</v>
      </c>
      <c r="AY2988" s="0" t="s">
        <v>130</v>
      </c>
      <c r="AZ2988" s="0" t="s">
        <v>141</v>
      </c>
      <c r="BA2988" s="0" t="s">
        <v>130</v>
      </c>
      <c r="BB2988" s="0" t="s">
        <v>141</v>
      </c>
      <c r="BC2988" s="0" t="s">
        <v>130</v>
      </c>
      <c r="BD2988" s="0" t="s">
        <v>130</v>
      </c>
      <c r="BE2988" s="0" t="s">
        <v>130</v>
      </c>
      <c r="BF2988" s="0" t="s">
        <v>130</v>
      </c>
      <c r="BG2988" s="0" t="s">
        <v>130</v>
      </c>
      <c r="BH2988" s="0" t="s">
        <v>130</v>
      </c>
      <c r="BI2988" s="0" t="s">
        <v>130</v>
      </c>
      <c r="BJ2988" s="0" t="s">
        <v>130</v>
      </c>
      <c r="BK2988" s="0" t="s">
        <v>130</v>
      </c>
      <c r="BL2988" s="0" t="s">
        <v>130</v>
      </c>
      <c r="BM2988" s="0" t="s">
        <v>130</v>
      </c>
      <c r="BN2988" s="0" t="s">
        <v>130</v>
      </c>
      <c r="BO2988" s="0" t="s">
        <v>130</v>
      </c>
      <c r="BP2988" s="0" t="s">
        <v>130</v>
      </c>
      <c r="BQ2988" s="0" t="s">
        <v>130</v>
      </c>
      <c r="BR2988" s="0" t="s">
        <v>130</v>
      </c>
      <c r="BS2988" s="0" t="s">
        <v>130</v>
      </c>
      <c r="BT2988" s="0" t="s">
        <v>130</v>
      </c>
      <c r="BU2988" s="0" t="s">
        <v>130</v>
      </c>
      <c r="BV2988" s="0" t="s">
        <v>130</v>
      </c>
      <c r="BW2988" s="0" t="s">
        <v>130</v>
      </c>
      <c r="BX2988" s="0" t="s">
        <v>130</v>
      </c>
      <c r="BY2988" s="0" t="s">
        <v>130</v>
      </c>
      <c r="BZ2988" s="0" t="s">
        <v>130</v>
      </c>
      <c r="CA2988" s="0" t="s">
        <v>130</v>
      </c>
      <c r="CB2988" s="0" t="s">
        <v>130</v>
      </c>
      <c r="CC2988" s="0" t="s">
        <v>130</v>
      </c>
      <c r="CD2988" s="0" t="s">
        <v>130</v>
      </c>
      <c r="CE2988" s="0" t="s">
        <v>130</v>
      </c>
      <c r="CF2988" s="0" t="s">
        <v>130</v>
      </c>
      <c r="CG2988" s="0" t="s">
        <v>130</v>
      </c>
      <c r="CH2988" s="0" t="s">
        <v>130</v>
      </c>
      <c r="CI2988" s="0" t="s">
        <v>130</v>
      </c>
      <c r="CJ2988" s="0" t="s">
        <v>130</v>
      </c>
      <c r="CK2988" s="0" t="s">
        <v>130</v>
      </c>
      <c r="CL2988" s="0" t="s">
        <v>130</v>
      </c>
      <c r="CM2988" s="0" t="s">
        <v>130</v>
      </c>
      <c r="CN2988" s="0" t="s">
        <v>130</v>
      </c>
      <c r="CO2988" s="0" t="s">
        <v>130</v>
      </c>
      <c r="CP2988" s="0" t="s">
        <v>130</v>
      </c>
      <c r="CQ2988" s="0" t="s">
        <v>130</v>
      </c>
      <c r="CR2988" s="0" t="s">
        <v>130</v>
      </c>
      <c r="CS2988" s="0" t="s">
        <v>130</v>
      </c>
      <c r="CT2988" s="0" t="s">
        <v>8054</v>
      </c>
    </row>
    <row r="2989">
      <c r="A2989" s="14">
        <v>9337540</v>
      </c>
      <c r="B2989" s="0" t="s">
        <v>4044</v>
      </c>
      <c r="C2989" s="16">
        <f>HYPERLINK("https://eosportal.federatedhermes.com/companies/Q29tcGFueQppNjg3OTI=", "Expedia Group Inc")</f>
      </c>
      <c r="D2989" s="0" t="s">
        <v>25</v>
      </c>
      <c r="E2989" s="0" t="s">
        <v>2237</v>
      </c>
      <c r="F2989" s="16">
        <f>HYPERLINK("https://eosportal.federatedhermes.com/engagements/RW5nYWdlbWVudAppNDE2MTk=", "Artificial Intelligence")</f>
      </c>
      <c r="G2989" s="14" t="s">
        <v>8055</v>
      </c>
      <c r="H2989" s="0" t="s">
        <v>141</v>
      </c>
      <c r="I2989" s="14" t="s">
        <v>131</v>
      </c>
      <c r="J2989" s="0" t="s">
        <v>153</v>
      </c>
      <c r="K2989" s="0" t="s">
        <v>243</v>
      </c>
      <c r="L2989" s="0" t="s">
        <v>537</v>
      </c>
      <c r="M2989" s="0" t="s">
        <v>135</v>
      </c>
      <c r="N2989" s="0" t="s">
        <v>136</v>
      </c>
      <c r="O2989" s="0" t="s">
        <v>643</v>
      </c>
      <c r="Q2989" s="0" t="s">
        <v>141</v>
      </c>
      <c r="R2989" s="0" t="s">
        <v>138</v>
      </c>
      <c r="S2989" s="14">
        <v>1</v>
      </c>
      <c r="T2989" s="0" t="s">
        <v>361</v>
      </c>
      <c r="U2989" s="0" t="s">
        <v>138</v>
      </c>
      <c r="V2989" s="14" t="s">
        <v>138</v>
      </c>
      <c r="W2989" s="0" t="s">
        <v>138</v>
      </c>
      <c r="X2989" s="14" t="s">
        <v>138</v>
      </c>
      <c r="Y2989" s="0" t="s">
        <v>138</v>
      </c>
      <c r="Z2989" s="14" t="s">
        <v>138</v>
      </c>
      <c r="AA2989" s="0" t="s">
        <v>138</v>
      </c>
      <c r="AB2989" s="14" t="s">
        <v>138</v>
      </c>
      <c r="AD2989" s="0" t="s">
        <v>138</v>
      </c>
      <c r="AF2989" s="0">
        <v>0</v>
      </c>
      <c r="AG2989" s="0">
        <v>0</v>
      </c>
      <c r="AH2989" s="0" t="s">
        <v>140</v>
      </c>
      <c r="AI2989" s="0" t="s">
        <v>138</v>
      </c>
      <c r="AK2989" s="0" t="s">
        <v>3207</v>
      </c>
      <c r="AL2989" s="14"/>
      <c r="AN2989" s="14"/>
      <c r="AQ2989" s="0" t="s">
        <v>130</v>
      </c>
      <c r="AR2989" s="0" t="s">
        <v>130</v>
      </c>
      <c r="AS2989" s="0" t="s">
        <v>130</v>
      </c>
      <c r="AT2989" s="0" t="s">
        <v>130</v>
      </c>
      <c r="AU2989" s="0" t="s">
        <v>130</v>
      </c>
      <c r="AV2989" s="0" t="s">
        <v>130</v>
      </c>
      <c r="AW2989" s="0" t="s">
        <v>130</v>
      </c>
      <c r="AX2989" s="0" t="s">
        <v>130</v>
      </c>
      <c r="AY2989" s="0" t="s">
        <v>130</v>
      </c>
      <c r="AZ2989" s="0" t="s">
        <v>141</v>
      </c>
      <c r="BA2989" s="0" t="s">
        <v>130</v>
      </c>
      <c r="BB2989" s="0" t="s">
        <v>141</v>
      </c>
      <c r="BC2989" s="0" t="s">
        <v>130</v>
      </c>
      <c r="BD2989" s="0" t="s">
        <v>130</v>
      </c>
      <c r="BE2989" s="0" t="s">
        <v>130</v>
      </c>
      <c r="BF2989" s="0" t="s">
        <v>130</v>
      </c>
      <c r="BG2989" s="0" t="s">
        <v>130</v>
      </c>
      <c r="BH2989" s="0" t="s">
        <v>130</v>
      </c>
      <c r="BI2989" s="0" t="s">
        <v>130</v>
      </c>
      <c r="BJ2989" s="0" t="s">
        <v>130</v>
      </c>
      <c r="BK2989" s="0" t="s">
        <v>130</v>
      </c>
      <c r="BL2989" s="0" t="s">
        <v>130</v>
      </c>
      <c r="BM2989" s="0" t="s">
        <v>130</v>
      </c>
      <c r="BN2989" s="0" t="s">
        <v>130</v>
      </c>
      <c r="BO2989" s="0" t="s">
        <v>130</v>
      </c>
      <c r="BP2989" s="0" t="s">
        <v>130</v>
      </c>
      <c r="BQ2989" s="0" t="s">
        <v>130</v>
      </c>
      <c r="BR2989" s="0" t="s">
        <v>130</v>
      </c>
      <c r="BS2989" s="0" t="s">
        <v>130</v>
      </c>
      <c r="BT2989" s="0" t="s">
        <v>130</v>
      </c>
      <c r="BU2989" s="0" t="s">
        <v>130</v>
      </c>
      <c r="BV2989" s="0" t="s">
        <v>130</v>
      </c>
      <c r="BW2989" s="0" t="s">
        <v>130</v>
      </c>
      <c r="BX2989" s="0" t="s">
        <v>130</v>
      </c>
      <c r="BY2989" s="0" t="s">
        <v>130</v>
      </c>
      <c r="BZ2989" s="0" t="s">
        <v>130</v>
      </c>
      <c r="CA2989" s="0" t="s">
        <v>130</v>
      </c>
      <c r="CB2989" s="0" t="s">
        <v>130</v>
      </c>
      <c r="CC2989" s="0" t="s">
        <v>130</v>
      </c>
      <c r="CD2989" s="0" t="s">
        <v>130</v>
      </c>
      <c r="CE2989" s="0" t="s">
        <v>130</v>
      </c>
      <c r="CF2989" s="0" t="s">
        <v>130</v>
      </c>
      <c r="CG2989" s="0" t="s">
        <v>130</v>
      </c>
      <c r="CH2989" s="0" t="s">
        <v>130</v>
      </c>
      <c r="CI2989" s="0" t="s">
        <v>130</v>
      </c>
      <c r="CJ2989" s="0" t="s">
        <v>130</v>
      </c>
      <c r="CK2989" s="0" t="s">
        <v>130</v>
      </c>
      <c r="CL2989" s="0" t="s">
        <v>130</v>
      </c>
      <c r="CM2989" s="0" t="s">
        <v>130</v>
      </c>
      <c r="CN2989" s="0" t="s">
        <v>130</v>
      </c>
      <c r="CO2989" s="0" t="s">
        <v>130</v>
      </c>
      <c r="CP2989" s="0" t="s">
        <v>130</v>
      </c>
      <c r="CQ2989" s="0" t="s">
        <v>130</v>
      </c>
      <c r="CR2989" s="0" t="s">
        <v>130</v>
      </c>
      <c r="CS2989" s="0" t="s">
        <v>130</v>
      </c>
      <c r="CT2989" s="0" t="s">
        <v>8056</v>
      </c>
    </row>
    <row r="2990">
      <c r="A2990" s="14">
        <v>70940270</v>
      </c>
      <c r="B2990" s="0" t="s">
        <v>4590</v>
      </c>
      <c r="C2990" s="16">
        <f>HYPERLINK("https://eosportal.federatedhermes.com/companies/Q29tcGFueQppODU0MTY=", "Linde PLC")</f>
      </c>
      <c r="D2990" s="0" t="s">
        <v>25</v>
      </c>
      <c r="E2990" s="0" t="s">
        <v>7991</v>
      </c>
      <c r="F2990" s="16">
        <f>HYPERLINK("https://eosportal.federatedhermes.com/engagements/RW5nYWdlbWVudAppNDE2MjU=", "AI-related workforce impact")</f>
      </c>
      <c r="G2990" s="14" t="s">
        <v>8057</v>
      </c>
      <c r="H2990" s="0" t="s">
        <v>141</v>
      </c>
      <c r="I2990" s="14" t="s">
        <v>191</v>
      </c>
      <c r="J2990" s="0" t="s">
        <v>153</v>
      </c>
      <c r="K2990" s="0" t="s">
        <v>154</v>
      </c>
      <c r="L2990" s="0" t="s">
        <v>268</v>
      </c>
      <c r="M2990" s="0" t="s">
        <v>135</v>
      </c>
      <c r="N2990" s="0" t="s">
        <v>136</v>
      </c>
      <c r="O2990" s="0" t="s">
        <v>706</v>
      </c>
      <c r="Q2990" s="0" t="s">
        <v>141</v>
      </c>
      <c r="R2990" s="0" t="s">
        <v>138</v>
      </c>
      <c r="S2990" s="14">
        <v>1</v>
      </c>
      <c r="T2990" s="0" t="s">
        <v>361</v>
      </c>
      <c r="U2990" s="0" t="s">
        <v>138</v>
      </c>
      <c r="V2990" s="14" t="s">
        <v>138</v>
      </c>
      <c r="W2990" s="0" t="s">
        <v>138</v>
      </c>
      <c r="X2990" s="14" t="s">
        <v>138</v>
      </c>
      <c r="Y2990" s="0" t="s">
        <v>138</v>
      </c>
      <c r="Z2990" s="14" t="s">
        <v>138</v>
      </c>
      <c r="AA2990" s="0" t="s">
        <v>138</v>
      </c>
      <c r="AB2990" s="14" t="s">
        <v>138</v>
      </c>
      <c r="AD2990" s="0" t="s">
        <v>138</v>
      </c>
      <c r="AF2990" s="0">
        <v>0</v>
      </c>
      <c r="AG2990" s="0">
        <v>0</v>
      </c>
      <c r="AH2990" s="0" t="s">
        <v>140</v>
      </c>
      <c r="AI2990" s="0" t="s">
        <v>138</v>
      </c>
      <c r="AK2990" s="0" t="s">
        <v>2290</v>
      </c>
      <c r="AL2990" s="14"/>
      <c r="AN2990" s="14"/>
      <c r="AQ2990" s="0" t="s">
        <v>130</v>
      </c>
      <c r="AR2990" s="0" t="s">
        <v>130</v>
      </c>
      <c r="AS2990" s="0" t="s">
        <v>130</v>
      </c>
      <c r="AT2990" s="0" t="s">
        <v>141</v>
      </c>
      <c r="AU2990" s="0" t="s">
        <v>130</v>
      </c>
      <c r="AV2990" s="0" t="s">
        <v>130</v>
      </c>
      <c r="AW2990" s="0" t="s">
        <v>130</v>
      </c>
      <c r="AX2990" s="0" t="s">
        <v>141</v>
      </c>
      <c r="AY2990" s="0" t="s">
        <v>130</v>
      </c>
      <c r="AZ2990" s="0" t="s">
        <v>130</v>
      </c>
      <c r="BA2990" s="0" t="s">
        <v>130</v>
      </c>
      <c r="BB2990" s="0" t="s">
        <v>130</v>
      </c>
      <c r="BC2990" s="0" t="s">
        <v>130</v>
      </c>
      <c r="BD2990" s="0" t="s">
        <v>130</v>
      </c>
      <c r="BE2990" s="0" t="s">
        <v>130</v>
      </c>
      <c r="BF2990" s="0" t="s">
        <v>130</v>
      </c>
      <c r="BG2990" s="0" t="s">
        <v>130</v>
      </c>
      <c r="BH2990" s="0" t="s">
        <v>130</v>
      </c>
      <c r="BI2990" s="0" t="s">
        <v>130</v>
      </c>
      <c r="BJ2990" s="0" t="s">
        <v>130</v>
      </c>
      <c r="BK2990" s="0" t="s">
        <v>130</v>
      </c>
      <c r="BL2990" s="0" t="s">
        <v>130</v>
      </c>
      <c r="BM2990" s="0" t="s">
        <v>130</v>
      </c>
      <c r="BN2990" s="0" t="s">
        <v>130</v>
      </c>
      <c r="BO2990" s="0" t="s">
        <v>130</v>
      </c>
      <c r="BP2990" s="0" t="s">
        <v>130</v>
      </c>
      <c r="BQ2990" s="0" t="s">
        <v>130</v>
      </c>
      <c r="BR2990" s="0" t="s">
        <v>130</v>
      </c>
      <c r="BS2990" s="0" t="s">
        <v>130</v>
      </c>
      <c r="BT2990" s="0" t="s">
        <v>130</v>
      </c>
      <c r="BU2990" s="0" t="s">
        <v>130</v>
      </c>
      <c r="BV2990" s="0" t="s">
        <v>130</v>
      </c>
      <c r="BW2990" s="0" t="s">
        <v>130</v>
      </c>
      <c r="BX2990" s="0" t="s">
        <v>130</v>
      </c>
      <c r="BY2990" s="0" t="s">
        <v>130</v>
      </c>
      <c r="BZ2990" s="0" t="s">
        <v>130</v>
      </c>
      <c r="CA2990" s="0" t="s">
        <v>130</v>
      </c>
      <c r="CB2990" s="0" t="s">
        <v>130</v>
      </c>
      <c r="CC2990" s="0" t="s">
        <v>130</v>
      </c>
      <c r="CD2990" s="0" t="s">
        <v>130</v>
      </c>
      <c r="CE2990" s="0" t="s">
        <v>130</v>
      </c>
      <c r="CF2990" s="0" t="s">
        <v>130</v>
      </c>
      <c r="CG2990" s="0" t="s">
        <v>130</v>
      </c>
      <c r="CH2990" s="0" t="s">
        <v>130</v>
      </c>
      <c r="CI2990" s="0" t="s">
        <v>130</v>
      </c>
      <c r="CJ2990" s="0" t="s">
        <v>130</v>
      </c>
      <c r="CK2990" s="0" t="s">
        <v>141</v>
      </c>
      <c r="CL2990" s="0" t="s">
        <v>130</v>
      </c>
      <c r="CM2990" s="0" t="s">
        <v>130</v>
      </c>
      <c r="CN2990" s="0" t="s">
        <v>130</v>
      </c>
      <c r="CO2990" s="0" t="s">
        <v>130</v>
      </c>
      <c r="CP2990" s="0" t="s">
        <v>130</v>
      </c>
      <c r="CQ2990" s="0" t="s">
        <v>130</v>
      </c>
      <c r="CR2990" s="0" t="s">
        <v>130</v>
      </c>
      <c r="CS2990" s="0" t="s">
        <v>130</v>
      </c>
      <c r="CT2990" s="0" t="s">
        <v>8058</v>
      </c>
    </row>
    <row r="2991">
      <c r="A2991" s="14">
        <v>328683</v>
      </c>
      <c r="B2991" s="0" t="s">
        <v>3664</v>
      </c>
      <c r="C2991" s="16">
        <f>HYPERLINK("https://eosportal.federatedhermes.com/companies/Q29tcGFueQppNTg5MjI=", "Mercedes-Benz Group AG")</f>
      </c>
      <c r="D2991" s="0" t="s">
        <v>25</v>
      </c>
      <c r="E2991" s="0" t="s">
        <v>7795</v>
      </c>
      <c r="F2991" s="16">
        <f>HYPERLINK("https://eosportal.federatedhermes.com/engagements/RW5nYWdlbWVudAppNDE2MzY=", "Cybersecurity")</f>
      </c>
      <c r="G2991" s="14" t="s">
        <v>8059</v>
      </c>
      <c r="H2991" s="0" t="s">
        <v>141</v>
      </c>
      <c r="I2991" s="14" t="s">
        <v>1645</v>
      </c>
      <c r="J2991" s="0" t="s">
        <v>132</v>
      </c>
      <c r="K2991" s="0" t="s">
        <v>260</v>
      </c>
      <c r="L2991" s="0" t="s">
        <v>743</v>
      </c>
      <c r="M2991" s="0" t="s">
        <v>378</v>
      </c>
      <c r="N2991" s="0" t="s">
        <v>2485</v>
      </c>
      <c r="O2991" s="0" t="s">
        <v>425</v>
      </c>
      <c r="Q2991" s="0" t="s">
        <v>141</v>
      </c>
      <c r="R2991" s="0" t="s">
        <v>138</v>
      </c>
      <c r="S2991" s="14">
        <v>1</v>
      </c>
      <c r="T2991" s="0" t="s">
        <v>361</v>
      </c>
      <c r="U2991" s="0" t="s">
        <v>138</v>
      </c>
      <c r="V2991" s="14" t="s">
        <v>138</v>
      </c>
      <c r="W2991" s="0" t="s">
        <v>138</v>
      </c>
      <c r="X2991" s="14" t="s">
        <v>138</v>
      </c>
      <c r="Y2991" s="0" t="s">
        <v>138</v>
      </c>
      <c r="Z2991" s="14" t="s">
        <v>138</v>
      </c>
      <c r="AA2991" s="0" t="s">
        <v>138</v>
      </c>
      <c r="AB2991" s="14" t="s">
        <v>138</v>
      </c>
      <c r="AD2991" s="0" t="s">
        <v>138</v>
      </c>
      <c r="AF2991" s="0">
        <v>0</v>
      </c>
      <c r="AG2991" s="0">
        <v>0</v>
      </c>
      <c r="AH2991" s="0" t="s">
        <v>140</v>
      </c>
      <c r="AI2991" s="0" t="s">
        <v>138</v>
      </c>
      <c r="AK2991" s="0" t="s">
        <v>2523</v>
      </c>
      <c r="AL2991" s="14"/>
      <c r="AN2991" s="14"/>
      <c r="AQ2991" s="0" t="s">
        <v>130</v>
      </c>
      <c r="AR2991" s="0" t="s">
        <v>130</v>
      </c>
      <c r="AS2991" s="0" t="s">
        <v>130</v>
      </c>
      <c r="AT2991" s="0" t="s">
        <v>130</v>
      </c>
      <c r="AU2991" s="0" t="s">
        <v>130</v>
      </c>
      <c r="AV2991" s="0" t="s">
        <v>130</v>
      </c>
      <c r="AW2991" s="0" t="s">
        <v>130</v>
      </c>
      <c r="AX2991" s="0" t="s">
        <v>130</v>
      </c>
      <c r="AY2991" s="0" t="s">
        <v>130</v>
      </c>
      <c r="AZ2991" s="0" t="s">
        <v>130</v>
      </c>
      <c r="BA2991" s="0" t="s">
        <v>130</v>
      </c>
      <c r="BB2991" s="0" t="s">
        <v>130</v>
      </c>
      <c r="BC2991" s="0" t="s">
        <v>130</v>
      </c>
      <c r="BD2991" s="0" t="s">
        <v>130</v>
      </c>
      <c r="BE2991" s="0" t="s">
        <v>130</v>
      </c>
      <c r="BF2991" s="0" t="s">
        <v>130</v>
      </c>
      <c r="BG2991" s="0" t="s">
        <v>130</v>
      </c>
      <c r="BH2991" s="0" t="s">
        <v>130</v>
      </c>
      <c r="BI2991" s="0" t="s">
        <v>130</v>
      </c>
      <c r="BJ2991" s="0" t="s">
        <v>130</v>
      </c>
      <c r="BK2991" s="0" t="s">
        <v>130</v>
      </c>
      <c r="BL2991" s="0" t="s">
        <v>130</v>
      </c>
      <c r="BM2991" s="0" t="s">
        <v>130</v>
      </c>
      <c r="BN2991" s="0" t="s">
        <v>130</v>
      </c>
      <c r="BO2991" s="0" t="s">
        <v>130</v>
      </c>
      <c r="BP2991" s="0" t="s">
        <v>130</v>
      </c>
      <c r="BQ2991" s="0" t="s">
        <v>130</v>
      </c>
      <c r="BR2991" s="0" t="s">
        <v>130</v>
      </c>
      <c r="BS2991" s="0" t="s">
        <v>130</v>
      </c>
      <c r="BT2991" s="0" t="s">
        <v>130</v>
      </c>
      <c r="BU2991" s="0" t="s">
        <v>130</v>
      </c>
      <c r="BV2991" s="0" t="s">
        <v>130</v>
      </c>
      <c r="BW2991" s="0" t="s">
        <v>130</v>
      </c>
      <c r="BX2991" s="0" t="s">
        <v>130</v>
      </c>
      <c r="BY2991" s="0" t="s">
        <v>130</v>
      </c>
      <c r="BZ2991" s="0" t="s">
        <v>130</v>
      </c>
      <c r="CA2991" s="0" t="s">
        <v>130</v>
      </c>
      <c r="CB2991" s="0" t="s">
        <v>130</v>
      </c>
      <c r="CC2991" s="0" t="s">
        <v>130</v>
      </c>
      <c r="CD2991" s="0" t="s">
        <v>130</v>
      </c>
      <c r="CE2991" s="0" t="s">
        <v>130</v>
      </c>
      <c r="CF2991" s="0" t="s">
        <v>130</v>
      </c>
      <c r="CG2991" s="0" t="s">
        <v>130</v>
      </c>
      <c r="CH2991" s="0" t="s">
        <v>130</v>
      </c>
      <c r="CI2991" s="0" t="s">
        <v>130</v>
      </c>
      <c r="CJ2991" s="0" t="s">
        <v>130</v>
      </c>
      <c r="CK2991" s="0" t="s">
        <v>130</v>
      </c>
      <c r="CL2991" s="0" t="s">
        <v>130</v>
      </c>
      <c r="CM2991" s="0" t="s">
        <v>130</v>
      </c>
      <c r="CN2991" s="0" t="s">
        <v>130</v>
      </c>
      <c r="CO2991" s="0" t="s">
        <v>130</v>
      </c>
      <c r="CP2991" s="0" t="s">
        <v>130</v>
      </c>
      <c r="CQ2991" s="0" t="s">
        <v>130</v>
      </c>
      <c r="CR2991" s="0" t="s">
        <v>130</v>
      </c>
      <c r="CS2991" s="0" t="s">
        <v>130</v>
      </c>
      <c r="CT2991" s="0" t="s">
        <v>8060</v>
      </c>
    </row>
    <row r="2992">
      <c r="A2992" s="14">
        <v>328683</v>
      </c>
      <c r="B2992" s="0" t="s">
        <v>3664</v>
      </c>
      <c r="C2992" s="16">
        <f>HYPERLINK("https://eosportal.federatedhermes.com/companies/Q29tcGFueQppNTg5MjI=", "Mercedes-Benz Group AG")</f>
      </c>
      <c r="D2992" s="0" t="s">
        <v>25</v>
      </c>
      <c r="E2992" s="0" t="s">
        <v>8061</v>
      </c>
      <c r="F2992" s="16">
        <f>HYPERLINK("https://eosportal.federatedhermes.com/engagements/RW5nYWdlbWVudAppNDE2Mzc=", "Management board gender diversity")</f>
      </c>
      <c r="G2992" s="14" t="s">
        <v>8062</v>
      </c>
      <c r="H2992" s="0" t="s">
        <v>141</v>
      </c>
      <c r="I2992" s="14" t="s">
        <v>1645</v>
      </c>
      <c r="J2992" s="0" t="s">
        <v>153</v>
      </c>
      <c r="K2992" s="0" t="s">
        <v>154</v>
      </c>
      <c r="L2992" s="0" t="s">
        <v>268</v>
      </c>
      <c r="M2992" s="0" t="s">
        <v>378</v>
      </c>
      <c r="N2992" s="0" t="s">
        <v>2485</v>
      </c>
      <c r="O2992" s="0" t="s">
        <v>425</v>
      </c>
      <c r="Q2992" s="0" t="s">
        <v>141</v>
      </c>
      <c r="R2992" s="0" t="s">
        <v>138</v>
      </c>
      <c r="S2992" s="14">
        <v>1</v>
      </c>
      <c r="T2992" s="0" t="s">
        <v>361</v>
      </c>
      <c r="U2992" s="0" t="s">
        <v>138</v>
      </c>
      <c r="V2992" s="14" t="s">
        <v>138</v>
      </c>
      <c r="W2992" s="0" t="s">
        <v>138</v>
      </c>
      <c r="X2992" s="14" t="s">
        <v>138</v>
      </c>
      <c r="Y2992" s="0" t="s">
        <v>138</v>
      </c>
      <c r="Z2992" s="14" t="s">
        <v>138</v>
      </c>
      <c r="AA2992" s="0" t="s">
        <v>138</v>
      </c>
      <c r="AB2992" s="14" t="s">
        <v>138</v>
      </c>
      <c r="AD2992" s="0" t="s">
        <v>138</v>
      </c>
      <c r="AF2992" s="0">
        <v>0</v>
      </c>
      <c r="AG2992" s="0">
        <v>0</v>
      </c>
      <c r="AH2992" s="0" t="s">
        <v>140</v>
      </c>
      <c r="AI2992" s="0" t="s">
        <v>138</v>
      </c>
      <c r="AK2992" s="0" t="s">
        <v>2523</v>
      </c>
      <c r="AL2992" s="14"/>
      <c r="AN2992" s="14"/>
      <c r="AQ2992" s="0" t="s">
        <v>130</v>
      </c>
      <c r="AR2992" s="0" t="s">
        <v>130</v>
      </c>
      <c r="AS2992" s="0" t="s">
        <v>130</v>
      </c>
      <c r="AT2992" s="0" t="s">
        <v>130</v>
      </c>
      <c r="AU2992" s="0" t="s">
        <v>141</v>
      </c>
      <c r="AV2992" s="0" t="s">
        <v>130</v>
      </c>
      <c r="AW2992" s="0" t="s">
        <v>130</v>
      </c>
      <c r="AX2992" s="0" t="s">
        <v>130</v>
      </c>
      <c r="AY2992" s="0" t="s">
        <v>130</v>
      </c>
      <c r="AZ2992" s="0" t="s">
        <v>130</v>
      </c>
      <c r="BA2992" s="0" t="s">
        <v>130</v>
      </c>
      <c r="BB2992" s="0" t="s">
        <v>130</v>
      </c>
      <c r="BC2992" s="0" t="s">
        <v>130</v>
      </c>
      <c r="BD2992" s="0" t="s">
        <v>130</v>
      </c>
      <c r="BE2992" s="0" t="s">
        <v>130</v>
      </c>
      <c r="BF2992" s="0" t="s">
        <v>130</v>
      </c>
      <c r="BG2992" s="0" t="s">
        <v>130</v>
      </c>
      <c r="BH2992" s="0" t="s">
        <v>130</v>
      </c>
      <c r="BI2992" s="0" t="s">
        <v>130</v>
      </c>
      <c r="BJ2992" s="0" t="s">
        <v>130</v>
      </c>
      <c r="BK2992" s="0" t="s">
        <v>130</v>
      </c>
      <c r="BL2992" s="0" t="s">
        <v>130</v>
      </c>
      <c r="BM2992" s="0" t="s">
        <v>130</v>
      </c>
      <c r="BN2992" s="0" t="s">
        <v>130</v>
      </c>
      <c r="BO2992" s="0" t="s">
        <v>130</v>
      </c>
      <c r="BP2992" s="0" t="s">
        <v>130</v>
      </c>
      <c r="BQ2992" s="0" t="s">
        <v>130</v>
      </c>
      <c r="BR2992" s="0" t="s">
        <v>130</v>
      </c>
      <c r="BS2992" s="0" t="s">
        <v>130</v>
      </c>
      <c r="BT2992" s="0" t="s">
        <v>130</v>
      </c>
      <c r="BU2992" s="0" t="s">
        <v>130</v>
      </c>
      <c r="BV2992" s="0" t="s">
        <v>130</v>
      </c>
      <c r="BW2992" s="0" t="s">
        <v>130</v>
      </c>
      <c r="BX2992" s="0" t="s">
        <v>130</v>
      </c>
      <c r="BY2992" s="0" t="s">
        <v>130</v>
      </c>
      <c r="BZ2992" s="0" t="s">
        <v>130</v>
      </c>
      <c r="CA2992" s="0" t="s">
        <v>130</v>
      </c>
      <c r="CB2992" s="0" t="s">
        <v>130</v>
      </c>
      <c r="CC2992" s="0" t="s">
        <v>130</v>
      </c>
      <c r="CD2992" s="0" t="s">
        <v>130</v>
      </c>
      <c r="CE2992" s="0" t="s">
        <v>130</v>
      </c>
      <c r="CF2992" s="0" t="s">
        <v>130</v>
      </c>
      <c r="CG2992" s="0" t="s">
        <v>130</v>
      </c>
      <c r="CH2992" s="0" t="s">
        <v>130</v>
      </c>
      <c r="CI2992" s="0" t="s">
        <v>130</v>
      </c>
      <c r="CJ2992" s="0" t="s">
        <v>130</v>
      </c>
      <c r="CK2992" s="0" t="s">
        <v>141</v>
      </c>
      <c r="CL2992" s="0" t="s">
        <v>130</v>
      </c>
      <c r="CM2992" s="0" t="s">
        <v>130</v>
      </c>
      <c r="CN2992" s="0" t="s">
        <v>130</v>
      </c>
      <c r="CO2992" s="0" t="s">
        <v>130</v>
      </c>
      <c r="CP2992" s="0" t="s">
        <v>130</v>
      </c>
      <c r="CQ2992" s="0" t="s">
        <v>130</v>
      </c>
      <c r="CR2992" s="0" t="s">
        <v>130</v>
      </c>
      <c r="CS2992" s="0" t="s">
        <v>130</v>
      </c>
      <c r="CT2992" s="0" t="s">
        <v>8063</v>
      </c>
    </row>
    <row r="2993">
      <c r="A2993" s="14">
        <v>59907412</v>
      </c>
      <c r="B2993" s="0" t="s">
        <v>4708</v>
      </c>
      <c r="C2993" s="16">
        <f>HYPERLINK("https://eosportal.federatedhermes.com/companies/Q29tcGFueQppNTg5NjM=", "Broadcom Inc")</f>
      </c>
      <c r="D2993" s="0" t="s">
        <v>25</v>
      </c>
      <c r="E2993" s="0" t="s">
        <v>7991</v>
      </c>
      <c r="F2993" s="16">
        <f>HYPERLINK("https://eosportal.federatedhermes.com/engagements/RW5nYWdlbWVudAppNDE2Mzg=", "AI-related workforce impact")</f>
      </c>
      <c r="G2993" s="14" t="s">
        <v>8064</v>
      </c>
      <c r="H2993" s="0" t="s">
        <v>141</v>
      </c>
      <c r="I2993" s="14" t="s">
        <v>131</v>
      </c>
      <c r="J2993" s="0" t="s">
        <v>153</v>
      </c>
      <c r="K2993" s="0" t="s">
        <v>154</v>
      </c>
      <c r="L2993" s="0" t="s">
        <v>268</v>
      </c>
      <c r="M2993" s="0" t="s">
        <v>135</v>
      </c>
      <c r="N2993" s="0" t="s">
        <v>136</v>
      </c>
      <c r="O2993" s="0" t="s">
        <v>1125</v>
      </c>
      <c r="Q2993" s="0" t="s">
        <v>141</v>
      </c>
      <c r="R2993" s="0" t="s">
        <v>138</v>
      </c>
      <c r="S2993" s="14">
        <v>1</v>
      </c>
      <c r="T2993" s="0" t="s">
        <v>361</v>
      </c>
      <c r="U2993" s="0" t="s">
        <v>138</v>
      </c>
      <c r="V2993" s="14" t="s">
        <v>138</v>
      </c>
      <c r="W2993" s="0" t="s">
        <v>138</v>
      </c>
      <c r="X2993" s="14" t="s">
        <v>138</v>
      </c>
      <c r="Y2993" s="0" t="s">
        <v>138</v>
      </c>
      <c r="Z2993" s="14" t="s">
        <v>138</v>
      </c>
      <c r="AA2993" s="0" t="s">
        <v>138</v>
      </c>
      <c r="AB2993" s="14" t="s">
        <v>138</v>
      </c>
      <c r="AD2993" s="0" t="s">
        <v>138</v>
      </c>
      <c r="AF2993" s="0">
        <v>0</v>
      </c>
      <c r="AG2993" s="0">
        <v>0</v>
      </c>
      <c r="AH2993" s="0" t="s">
        <v>140</v>
      </c>
      <c r="AI2993" s="0" t="s">
        <v>138</v>
      </c>
      <c r="AK2993" s="0" t="s">
        <v>2588</v>
      </c>
      <c r="AL2993" s="14"/>
      <c r="AN2993" s="14"/>
      <c r="AQ2993" s="0" t="s">
        <v>130</v>
      </c>
      <c r="AR2993" s="0" t="s">
        <v>130</v>
      </c>
      <c r="AS2993" s="0" t="s">
        <v>130</v>
      </c>
      <c r="AT2993" s="0" t="s">
        <v>141</v>
      </c>
      <c r="AU2993" s="0" t="s">
        <v>130</v>
      </c>
      <c r="AV2993" s="0" t="s">
        <v>130</v>
      </c>
      <c r="AW2993" s="0" t="s">
        <v>130</v>
      </c>
      <c r="AX2993" s="0" t="s">
        <v>141</v>
      </c>
      <c r="AY2993" s="0" t="s">
        <v>130</v>
      </c>
      <c r="AZ2993" s="0" t="s">
        <v>130</v>
      </c>
      <c r="BA2993" s="0" t="s">
        <v>130</v>
      </c>
      <c r="BB2993" s="0" t="s">
        <v>130</v>
      </c>
      <c r="BC2993" s="0" t="s">
        <v>130</v>
      </c>
      <c r="BD2993" s="0" t="s">
        <v>130</v>
      </c>
      <c r="BE2993" s="0" t="s">
        <v>130</v>
      </c>
      <c r="BF2993" s="0" t="s">
        <v>130</v>
      </c>
      <c r="BG2993" s="0" t="s">
        <v>130</v>
      </c>
      <c r="BH2993" s="0" t="s">
        <v>130</v>
      </c>
      <c r="BI2993" s="0" t="s">
        <v>130</v>
      </c>
      <c r="BJ2993" s="0" t="s">
        <v>130</v>
      </c>
      <c r="BK2993" s="0" t="s">
        <v>130</v>
      </c>
      <c r="BL2993" s="0" t="s">
        <v>130</v>
      </c>
      <c r="BM2993" s="0" t="s">
        <v>130</v>
      </c>
      <c r="BN2993" s="0" t="s">
        <v>130</v>
      </c>
      <c r="BO2993" s="0" t="s">
        <v>130</v>
      </c>
      <c r="BP2993" s="0" t="s">
        <v>130</v>
      </c>
      <c r="BQ2993" s="0" t="s">
        <v>130</v>
      </c>
      <c r="BR2993" s="0" t="s">
        <v>130</v>
      </c>
      <c r="BS2993" s="0" t="s">
        <v>130</v>
      </c>
      <c r="BT2993" s="0" t="s">
        <v>130</v>
      </c>
      <c r="BU2993" s="0" t="s">
        <v>130</v>
      </c>
      <c r="BV2993" s="0" t="s">
        <v>130</v>
      </c>
      <c r="BW2993" s="0" t="s">
        <v>130</v>
      </c>
      <c r="BX2993" s="0" t="s">
        <v>130</v>
      </c>
      <c r="BY2993" s="0" t="s">
        <v>130</v>
      </c>
      <c r="BZ2993" s="0" t="s">
        <v>130</v>
      </c>
      <c r="CA2993" s="0" t="s">
        <v>130</v>
      </c>
      <c r="CB2993" s="0" t="s">
        <v>130</v>
      </c>
      <c r="CC2993" s="0" t="s">
        <v>130</v>
      </c>
      <c r="CD2993" s="0" t="s">
        <v>130</v>
      </c>
      <c r="CE2993" s="0" t="s">
        <v>130</v>
      </c>
      <c r="CF2993" s="0" t="s">
        <v>130</v>
      </c>
      <c r="CG2993" s="0" t="s">
        <v>130</v>
      </c>
      <c r="CH2993" s="0" t="s">
        <v>130</v>
      </c>
      <c r="CI2993" s="0" t="s">
        <v>130</v>
      </c>
      <c r="CJ2993" s="0" t="s">
        <v>130</v>
      </c>
      <c r="CK2993" s="0" t="s">
        <v>141</v>
      </c>
      <c r="CL2993" s="0" t="s">
        <v>130</v>
      </c>
      <c r="CM2993" s="0" t="s">
        <v>130</v>
      </c>
      <c r="CN2993" s="0" t="s">
        <v>130</v>
      </c>
      <c r="CO2993" s="0" t="s">
        <v>130</v>
      </c>
      <c r="CP2993" s="0" t="s">
        <v>130</v>
      </c>
      <c r="CQ2993" s="0" t="s">
        <v>130</v>
      </c>
      <c r="CR2993" s="0" t="s">
        <v>130</v>
      </c>
      <c r="CS2993" s="0" t="s">
        <v>130</v>
      </c>
      <c r="CT2993" s="0" t="s">
        <v>8065</v>
      </c>
    </row>
    <row r="2994">
      <c r="A2994" s="14">
        <v>115643</v>
      </c>
      <c r="B2994" s="0" t="s">
        <v>2552</v>
      </c>
      <c r="C2994" s="16">
        <f>HYPERLINK("https://eosportal.federatedhermes.com/companies/Q29tcGFueQppNjk2MzA=", "Koninklijke Ahold Delhaize NV")</f>
      </c>
      <c r="D2994" s="0" t="s">
        <v>25</v>
      </c>
      <c r="E2994" s="0" t="s">
        <v>8066</v>
      </c>
      <c r="F2994" s="16">
        <f>HYPERLINK("https://eosportal.federatedhermes.com/engagements/RW5nYWdlbWVudAppNDE2NDQ=", "AI risk and opportunities")</f>
      </c>
      <c r="G2994" s="14" t="s">
        <v>8067</v>
      </c>
      <c r="H2994" s="0" t="s">
        <v>141</v>
      </c>
      <c r="I2994" s="14" t="s">
        <v>1645</v>
      </c>
      <c r="J2994" s="0" t="s">
        <v>153</v>
      </c>
      <c r="K2994" s="0" t="s">
        <v>243</v>
      </c>
      <c r="L2994" s="0" t="s">
        <v>537</v>
      </c>
      <c r="M2994" s="0" t="s">
        <v>378</v>
      </c>
      <c r="N2994" s="0" t="s">
        <v>2554</v>
      </c>
      <c r="O2994" s="0" t="s">
        <v>643</v>
      </c>
      <c r="Q2994" s="0" t="s">
        <v>141</v>
      </c>
      <c r="R2994" s="0" t="s">
        <v>138</v>
      </c>
      <c r="S2994" s="14">
        <v>1</v>
      </c>
      <c r="T2994" s="0" t="s">
        <v>361</v>
      </c>
      <c r="U2994" s="0" t="s">
        <v>138</v>
      </c>
      <c r="V2994" s="14" t="s">
        <v>138</v>
      </c>
      <c r="W2994" s="0" t="s">
        <v>138</v>
      </c>
      <c r="X2994" s="14" t="s">
        <v>138</v>
      </c>
      <c r="Y2994" s="0" t="s">
        <v>138</v>
      </c>
      <c r="Z2994" s="14" t="s">
        <v>138</v>
      </c>
      <c r="AA2994" s="0" t="s">
        <v>138</v>
      </c>
      <c r="AB2994" s="14" t="s">
        <v>138</v>
      </c>
      <c r="AD2994" s="0" t="s">
        <v>138</v>
      </c>
      <c r="AF2994" s="0">
        <v>0</v>
      </c>
      <c r="AG2994" s="0">
        <v>0</v>
      </c>
      <c r="AH2994" s="0" t="s">
        <v>140</v>
      </c>
      <c r="AI2994" s="0" t="s">
        <v>138</v>
      </c>
      <c r="AK2994" s="0" t="s">
        <v>2290</v>
      </c>
      <c r="AL2994" s="14"/>
      <c r="AN2994" s="14"/>
      <c r="AQ2994" s="0" t="s">
        <v>130</v>
      </c>
      <c r="AR2994" s="0" t="s">
        <v>130</v>
      </c>
      <c r="AS2994" s="0" t="s">
        <v>130</v>
      </c>
      <c r="AT2994" s="0" t="s">
        <v>130</v>
      </c>
      <c r="AU2994" s="0" t="s">
        <v>130</v>
      </c>
      <c r="AV2994" s="0" t="s">
        <v>130</v>
      </c>
      <c r="AW2994" s="0" t="s">
        <v>130</v>
      </c>
      <c r="AX2994" s="0" t="s">
        <v>130</v>
      </c>
      <c r="AY2994" s="0" t="s">
        <v>130</v>
      </c>
      <c r="AZ2994" s="0" t="s">
        <v>130</v>
      </c>
      <c r="BA2994" s="0" t="s">
        <v>130</v>
      </c>
      <c r="BB2994" s="0" t="s">
        <v>130</v>
      </c>
      <c r="BC2994" s="0" t="s">
        <v>130</v>
      </c>
      <c r="BD2994" s="0" t="s">
        <v>130</v>
      </c>
      <c r="BE2994" s="0" t="s">
        <v>130</v>
      </c>
      <c r="BF2994" s="0" t="s">
        <v>141</v>
      </c>
      <c r="BG2994" s="0" t="s">
        <v>130</v>
      </c>
      <c r="BH2994" s="0" t="s">
        <v>130</v>
      </c>
      <c r="BI2994" s="0" t="s">
        <v>130</v>
      </c>
      <c r="BJ2994" s="0" t="s">
        <v>130</v>
      </c>
      <c r="BK2994" s="0" t="s">
        <v>130</v>
      </c>
      <c r="BL2994" s="0" t="s">
        <v>130</v>
      </c>
      <c r="BM2994" s="0" t="s">
        <v>130</v>
      </c>
      <c r="BN2994" s="0" t="s">
        <v>130</v>
      </c>
      <c r="BO2994" s="0" t="s">
        <v>130</v>
      </c>
      <c r="BP2994" s="0" t="s">
        <v>130</v>
      </c>
      <c r="BQ2994" s="0" t="s">
        <v>130</v>
      </c>
      <c r="BR2994" s="0" t="s">
        <v>130</v>
      </c>
      <c r="BS2994" s="0" t="s">
        <v>130</v>
      </c>
      <c r="BT2994" s="0" t="s">
        <v>130</v>
      </c>
      <c r="BU2994" s="0" t="s">
        <v>130</v>
      </c>
      <c r="BV2994" s="0" t="s">
        <v>130</v>
      </c>
      <c r="BW2994" s="0" t="s">
        <v>130</v>
      </c>
      <c r="BX2994" s="0" t="s">
        <v>130</v>
      </c>
      <c r="BY2994" s="0" t="s">
        <v>130</v>
      </c>
      <c r="BZ2994" s="0" t="s">
        <v>130</v>
      </c>
      <c r="CA2994" s="0" t="s">
        <v>130</v>
      </c>
      <c r="CB2994" s="0" t="s">
        <v>130</v>
      </c>
      <c r="CC2994" s="0" t="s">
        <v>130</v>
      </c>
      <c r="CD2994" s="0" t="s">
        <v>130</v>
      </c>
      <c r="CE2994" s="0" t="s">
        <v>130</v>
      </c>
      <c r="CF2994" s="0" t="s">
        <v>130</v>
      </c>
      <c r="CG2994" s="0" t="s">
        <v>130</v>
      </c>
      <c r="CH2994" s="0" t="s">
        <v>130</v>
      </c>
      <c r="CI2994" s="0" t="s">
        <v>130</v>
      </c>
      <c r="CJ2994" s="0" t="s">
        <v>130</v>
      </c>
      <c r="CK2994" s="0" t="s">
        <v>130</v>
      </c>
      <c r="CL2994" s="0" t="s">
        <v>130</v>
      </c>
      <c r="CM2994" s="0" t="s">
        <v>130</v>
      </c>
      <c r="CN2994" s="0" t="s">
        <v>130</v>
      </c>
      <c r="CO2994" s="0" t="s">
        <v>130</v>
      </c>
      <c r="CP2994" s="0" t="s">
        <v>130</v>
      </c>
      <c r="CQ2994" s="0" t="s">
        <v>130</v>
      </c>
      <c r="CR2994" s="0" t="s">
        <v>130</v>
      </c>
      <c r="CS2994" s="0" t="s">
        <v>130</v>
      </c>
      <c r="CT2994" s="0" t="s">
        <v>8068</v>
      </c>
    </row>
    <row r="2995">
      <c r="A2995" s="14">
        <v>173487</v>
      </c>
      <c r="B2995" s="0" t="s">
        <v>3104</v>
      </c>
      <c r="C2995" s="16">
        <f>HYPERLINK("https://eosportal.federatedhermes.com/companies/Q29tcGFueQppNzQwNjA=", "Bank Rakyat Indonesia Persero Tbk PT")</f>
      </c>
      <c r="D2995" s="0" t="s">
        <v>25</v>
      </c>
      <c r="E2995" s="0" t="s">
        <v>7991</v>
      </c>
      <c r="F2995" s="16">
        <f>HYPERLINK("https://eosportal.federatedhermes.com/engagements/RW5nYWdlbWVudAppNDE2NDU=", "AI-related workforce impact")</f>
      </c>
      <c r="G2995" s="14" t="s">
        <v>7992</v>
      </c>
      <c r="H2995" s="0" t="s">
        <v>130</v>
      </c>
      <c r="I2995" s="14" t="s">
        <v>131</v>
      </c>
      <c r="J2995" s="0" t="s">
        <v>153</v>
      </c>
      <c r="K2995" s="0" t="s">
        <v>154</v>
      </c>
      <c r="L2995" s="0" t="s">
        <v>268</v>
      </c>
      <c r="M2995" s="0" t="s">
        <v>2807</v>
      </c>
      <c r="N2995" s="0" t="s">
        <v>2826</v>
      </c>
      <c r="O2995" s="0" t="s">
        <v>238</v>
      </c>
      <c r="Q2995" s="0" t="s">
        <v>141</v>
      </c>
      <c r="R2995" s="0" t="s">
        <v>138</v>
      </c>
      <c r="S2995" s="14">
        <v>1</v>
      </c>
      <c r="T2995" s="0" t="s">
        <v>361</v>
      </c>
      <c r="U2995" s="0" t="s">
        <v>138</v>
      </c>
      <c r="V2995" s="14" t="s">
        <v>138</v>
      </c>
      <c r="W2995" s="0" t="s">
        <v>138</v>
      </c>
      <c r="X2995" s="14" t="s">
        <v>138</v>
      </c>
      <c r="Y2995" s="0" t="s">
        <v>138</v>
      </c>
      <c r="Z2995" s="14" t="s">
        <v>138</v>
      </c>
      <c r="AA2995" s="0" t="s">
        <v>138</v>
      </c>
      <c r="AB2995" s="14" t="s">
        <v>138</v>
      </c>
      <c r="AD2995" s="0" t="s">
        <v>138</v>
      </c>
      <c r="AF2995" s="0">
        <v>0</v>
      </c>
      <c r="AG2995" s="0">
        <v>0</v>
      </c>
      <c r="AH2995" s="0" t="s">
        <v>140</v>
      </c>
      <c r="AI2995" s="0" t="s">
        <v>138</v>
      </c>
      <c r="AK2995" s="0" t="s">
        <v>2588</v>
      </c>
      <c r="AL2995" s="14"/>
      <c r="AN2995" s="14"/>
      <c r="AQ2995" s="0" t="s">
        <v>130</v>
      </c>
      <c r="AR2995" s="0" t="s">
        <v>130</v>
      </c>
      <c r="AS2995" s="0" t="s">
        <v>130</v>
      </c>
      <c r="AT2995" s="0" t="s">
        <v>141</v>
      </c>
      <c r="AU2995" s="0" t="s">
        <v>130</v>
      </c>
      <c r="AV2995" s="0" t="s">
        <v>130</v>
      </c>
      <c r="AW2995" s="0" t="s">
        <v>130</v>
      </c>
      <c r="AX2995" s="0" t="s">
        <v>141</v>
      </c>
      <c r="AY2995" s="0" t="s">
        <v>130</v>
      </c>
      <c r="AZ2995" s="0" t="s">
        <v>130</v>
      </c>
      <c r="BA2995" s="0" t="s">
        <v>130</v>
      </c>
      <c r="BB2995" s="0" t="s">
        <v>130</v>
      </c>
      <c r="BC2995" s="0" t="s">
        <v>130</v>
      </c>
      <c r="BD2995" s="0" t="s">
        <v>130</v>
      </c>
      <c r="BE2995" s="0" t="s">
        <v>130</v>
      </c>
      <c r="BF2995" s="0" t="s">
        <v>130</v>
      </c>
      <c r="BG2995" s="0" t="s">
        <v>130</v>
      </c>
      <c r="BH2995" s="0" t="s">
        <v>130</v>
      </c>
      <c r="BI2995" s="0" t="s">
        <v>130</v>
      </c>
      <c r="BJ2995" s="0" t="s">
        <v>130</v>
      </c>
      <c r="BK2995" s="0" t="s">
        <v>130</v>
      </c>
      <c r="BL2995" s="0" t="s">
        <v>130</v>
      </c>
      <c r="BM2995" s="0" t="s">
        <v>130</v>
      </c>
      <c r="BN2995" s="0" t="s">
        <v>130</v>
      </c>
      <c r="BO2995" s="0" t="s">
        <v>130</v>
      </c>
      <c r="BP2995" s="0" t="s">
        <v>130</v>
      </c>
      <c r="BQ2995" s="0" t="s">
        <v>130</v>
      </c>
      <c r="BR2995" s="0" t="s">
        <v>130</v>
      </c>
      <c r="BS2995" s="0" t="s">
        <v>130</v>
      </c>
      <c r="BT2995" s="0" t="s">
        <v>130</v>
      </c>
      <c r="BU2995" s="0" t="s">
        <v>130</v>
      </c>
      <c r="BV2995" s="0" t="s">
        <v>130</v>
      </c>
      <c r="BW2995" s="0" t="s">
        <v>130</v>
      </c>
      <c r="BX2995" s="0" t="s">
        <v>130</v>
      </c>
      <c r="BY2995" s="0" t="s">
        <v>130</v>
      </c>
      <c r="BZ2995" s="0" t="s">
        <v>130</v>
      </c>
      <c r="CA2995" s="0" t="s">
        <v>130</v>
      </c>
      <c r="CB2995" s="0" t="s">
        <v>130</v>
      </c>
      <c r="CC2995" s="0" t="s">
        <v>130</v>
      </c>
      <c r="CD2995" s="0" t="s">
        <v>130</v>
      </c>
      <c r="CE2995" s="0" t="s">
        <v>130</v>
      </c>
      <c r="CF2995" s="0" t="s">
        <v>130</v>
      </c>
      <c r="CG2995" s="0" t="s">
        <v>130</v>
      </c>
      <c r="CH2995" s="0" t="s">
        <v>130</v>
      </c>
      <c r="CI2995" s="0" t="s">
        <v>130</v>
      </c>
      <c r="CJ2995" s="0" t="s">
        <v>130</v>
      </c>
      <c r="CK2995" s="0" t="s">
        <v>141</v>
      </c>
      <c r="CL2995" s="0" t="s">
        <v>130</v>
      </c>
      <c r="CM2995" s="0" t="s">
        <v>130</v>
      </c>
      <c r="CN2995" s="0" t="s">
        <v>130</v>
      </c>
      <c r="CO2995" s="0" t="s">
        <v>130</v>
      </c>
      <c r="CP2995" s="0" t="s">
        <v>130</v>
      </c>
      <c r="CQ2995" s="0" t="s">
        <v>130</v>
      </c>
      <c r="CR2995" s="0" t="s">
        <v>130</v>
      </c>
      <c r="CS2995" s="0" t="s">
        <v>130</v>
      </c>
      <c r="CT2995" s="0" t="s">
        <v>8069</v>
      </c>
    </row>
    <row r="2996">
      <c r="A2996" s="14">
        <v>1747817</v>
      </c>
      <c r="B2996" s="0" t="s">
        <v>3701</v>
      </c>
      <c r="C2996" s="16">
        <f>HYPERLINK("https://eosportal.federatedhermes.com/companies/Q29tcGFueQppNzQ3MjA=", "Axon Enterprise Inc")</f>
      </c>
      <c r="D2996" s="0" t="s">
        <v>25</v>
      </c>
      <c r="E2996" s="0" t="s">
        <v>7991</v>
      </c>
      <c r="F2996" s="16">
        <f>HYPERLINK("https://eosportal.federatedhermes.com/engagements/RW5nYWdlbWVudAppNDE2NDY=", "AI-related workforce impact")</f>
      </c>
      <c r="G2996" s="14" t="s">
        <v>7992</v>
      </c>
      <c r="H2996" s="0" t="s">
        <v>130</v>
      </c>
      <c r="I2996" s="14" t="s">
        <v>131</v>
      </c>
      <c r="J2996" s="0" t="s">
        <v>153</v>
      </c>
      <c r="K2996" s="0" t="s">
        <v>154</v>
      </c>
      <c r="L2996" s="0" t="s">
        <v>268</v>
      </c>
      <c r="M2996" s="0" t="s">
        <v>135</v>
      </c>
      <c r="N2996" s="0" t="s">
        <v>136</v>
      </c>
      <c r="O2996" s="0" t="s">
        <v>176</v>
      </c>
      <c r="Q2996" s="0" t="s">
        <v>141</v>
      </c>
      <c r="R2996" s="0" t="s">
        <v>138</v>
      </c>
      <c r="S2996" s="14">
        <v>1</v>
      </c>
      <c r="T2996" s="0" t="s">
        <v>361</v>
      </c>
      <c r="U2996" s="0" t="s">
        <v>138</v>
      </c>
      <c r="V2996" s="14" t="s">
        <v>138</v>
      </c>
      <c r="W2996" s="0" t="s">
        <v>138</v>
      </c>
      <c r="X2996" s="14" t="s">
        <v>138</v>
      </c>
      <c r="Y2996" s="0" t="s">
        <v>138</v>
      </c>
      <c r="Z2996" s="14" t="s">
        <v>138</v>
      </c>
      <c r="AA2996" s="0" t="s">
        <v>138</v>
      </c>
      <c r="AB2996" s="14" t="s">
        <v>138</v>
      </c>
      <c r="AD2996" s="0" t="s">
        <v>138</v>
      </c>
      <c r="AF2996" s="0">
        <v>0</v>
      </c>
      <c r="AG2996" s="0">
        <v>0</v>
      </c>
      <c r="AH2996" s="0" t="s">
        <v>140</v>
      </c>
      <c r="AI2996" s="0" t="s">
        <v>138</v>
      </c>
      <c r="AK2996" s="0" t="s">
        <v>2588</v>
      </c>
      <c r="AL2996" s="14"/>
      <c r="AN2996" s="14"/>
      <c r="AQ2996" s="0" t="s">
        <v>130</v>
      </c>
      <c r="AR2996" s="0" t="s">
        <v>130</v>
      </c>
      <c r="AS2996" s="0" t="s">
        <v>130</v>
      </c>
      <c r="AT2996" s="0" t="s">
        <v>141</v>
      </c>
      <c r="AU2996" s="0" t="s">
        <v>130</v>
      </c>
      <c r="AV2996" s="0" t="s">
        <v>130</v>
      </c>
      <c r="AW2996" s="0" t="s">
        <v>130</v>
      </c>
      <c r="AX2996" s="0" t="s">
        <v>141</v>
      </c>
      <c r="AY2996" s="0" t="s">
        <v>130</v>
      </c>
      <c r="AZ2996" s="0" t="s">
        <v>130</v>
      </c>
      <c r="BA2996" s="0" t="s">
        <v>130</v>
      </c>
      <c r="BB2996" s="0" t="s">
        <v>130</v>
      </c>
      <c r="BC2996" s="0" t="s">
        <v>130</v>
      </c>
      <c r="BD2996" s="0" t="s">
        <v>130</v>
      </c>
      <c r="BE2996" s="0" t="s">
        <v>130</v>
      </c>
      <c r="BF2996" s="0" t="s">
        <v>130</v>
      </c>
      <c r="BG2996" s="0" t="s">
        <v>130</v>
      </c>
      <c r="BH2996" s="0" t="s">
        <v>130</v>
      </c>
      <c r="BI2996" s="0" t="s">
        <v>130</v>
      </c>
      <c r="BJ2996" s="0" t="s">
        <v>130</v>
      </c>
      <c r="BK2996" s="0" t="s">
        <v>130</v>
      </c>
      <c r="BL2996" s="0" t="s">
        <v>130</v>
      </c>
      <c r="BM2996" s="0" t="s">
        <v>130</v>
      </c>
      <c r="BN2996" s="0" t="s">
        <v>130</v>
      </c>
      <c r="BO2996" s="0" t="s">
        <v>130</v>
      </c>
      <c r="BP2996" s="0" t="s">
        <v>130</v>
      </c>
      <c r="BQ2996" s="0" t="s">
        <v>130</v>
      </c>
      <c r="BR2996" s="0" t="s">
        <v>130</v>
      </c>
      <c r="BS2996" s="0" t="s">
        <v>130</v>
      </c>
      <c r="BT2996" s="0" t="s">
        <v>130</v>
      </c>
      <c r="BU2996" s="0" t="s">
        <v>130</v>
      </c>
      <c r="BV2996" s="0" t="s">
        <v>130</v>
      </c>
      <c r="BW2996" s="0" t="s">
        <v>130</v>
      </c>
      <c r="BX2996" s="0" t="s">
        <v>130</v>
      </c>
      <c r="BY2996" s="0" t="s">
        <v>130</v>
      </c>
      <c r="BZ2996" s="0" t="s">
        <v>130</v>
      </c>
      <c r="CA2996" s="0" t="s">
        <v>130</v>
      </c>
      <c r="CB2996" s="0" t="s">
        <v>130</v>
      </c>
      <c r="CC2996" s="0" t="s">
        <v>130</v>
      </c>
      <c r="CD2996" s="0" t="s">
        <v>130</v>
      </c>
      <c r="CE2996" s="0" t="s">
        <v>130</v>
      </c>
      <c r="CF2996" s="0" t="s">
        <v>130</v>
      </c>
      <c r="CG2996" s="0" t="s">
        <v>130</v>
      </c>
      <c r="CH2996" s="0" t="s">
        <v>130</v>
      </c>
      <c r="CI2996" s="0" t="s">
        <v>130</v>
      </c>
      <c r="CJ2996" s="0" t="s">
        <v>130</v>
      </c>
      <c r="CK2996" s="0" t="s">
        <v>141</v>
      </c>
      <c r="CL2996" s="0" t="s">
        <v>130</v>
      </c>
      <c r="CM2996" s="0" t="s">
        <v>130</v>
      </c>
      <c r="CN2996" s="0" t="s">
        <v>130</v>
      </c>
      <c r="CO2996" s="0" t="s">
        <v>130</v>
      </c>
      <c r="CP2996" s="0" t="s">
        <v>130</v>
      </c>
      <c r="CQ2996" s="0" t="s">
        <v>130</v>
      </c>
      <c r="CR2996" s="0" t="s">
        <v>130</v>
      </c>
      <c r="CS2996" s="0" t="s">
        <v>130</v>
      </c>
      <c r="CT2996" s="0" t="s">
        <v>8070</v>
      </c>
    </row>
    <row r="2997">
      <c r="A2997" s="14">
        <v>58244711</v>
      </c>
      <c r="B2997" s="0" t="s">
        <v>4639</v>
      </c>
      <c r="C2997" s="16">
        <f>HYPERLINK("https://eosportal.federatedhermes.com/companies/Q29tcGFueQppNzU2NjQ=", "ASE Technology Holding Co Ltd")</f>
      </c>
      <c r="D2997" s="0" t="s">
        <v>25</v>
      </c>
      <c r="E2997" s="0" t="s">
        <v>7991</v>
      </c>
      <c r="F2997" s="16">
        <f>HYPERLINK("https://eosportal.federatedhermes.com/engagements/RW5nYWdlbWVudAppNDE2NDc=", "AI-related workforce impact")</f>
      </c>
      <c r="G2997" s="14" t="s">
        <v>7992</v>
      </c>
      <c r="H2997" s="0" t="s">
        <v>130</v>
      </c>
      <c r="I2997" s="14" t="s">
        <v>131</v>
      </c>
      <c r="J2997" s="0" t="s">
        <v>153</v>
      </c>
      <c r="K2997" s="0" t="s">
        <v>154</v>
      </c>
      <c r="L2997" s="0" t="s">
        <v>268</v>
      </c>
      <c r="M2997" s="0" t="s">
        <v>802</v>
      </c>
      <c r="N2997" s="0" t="s">
        <v>2941</v>
      </c>
      <c r="O2997" s="0" t="s">
        <v>1125</v>
      </c>
      <c r="Q2997" s="0" t="s">
        <v>141</v>
      </c>
      <c r="R2997" s="0" t="s">
        <v>138</v>
      </c>
      <c r="S2997" s="14">
        <v>1</v>
      </c>
      <c r="T2997" s="0" t="s">
        <v>361</v>
      </c>
      <c r="U2997" s="0" t="s">
        <v>138</v>
      </c>
      <c r="V2997" s="14" t="s">
        <v>138</v>
      </c>
      <c r="W2997" s="0" t="s">
        <v>138</v>
      </c>
      <c r="X2997" s="14" t="s">
        <v>138</v>
      </c>
      <c r="Y2997" s="0" t="s">
        <v>138</v>
      </c>
      <c r="Z2997" s="14" t="s">
        <v>138</v>
      </c>
      <c r="AA2997" s="0" t="s">
        <v>138</v>
      </c>
      <c r="AB2997" s="14" t="s">
        <v>138</v>
      </c>
      <c r="AD2997" s="0" t="s">
        <v>138</v>
      </c>
      <c r="AF2997" s="0">
        <v>0</v>
      </c>
      <c r="AG2997" s="0">
        <v>0</v>
      </c>
      <c r="AH2997" s="0" t="s">
        <v>140</v>
      </c>
      <c r="AI2997" s="0" t="s">
        <v>138</v>
      </c>
      <c r="AK2997" s="0" t="s">
        <v>2588</v>
      </c>
      <c r="AL2997" s="14"/>
      <c r="AN2997" s="14"/>
      <c r="AQ2997" s="0" t="s">
        <v>130</v>
      </c>
      <c r="AR2997" s="0" t="s">
        <v>130</v>
      </c>
      <c r="AS2997" s="0" t="s">
        <v>130</v>
      </c>
      <c r="AT2997" s="0" t="s">
        <v>141</v>
      </c>
      <c r="AU2997" s="0" t="s">
        <v>130</v>
      </c>
      <c r="AV2997" s="0" t="s">
        <v>130</v>
      </c>
      <c r="AW2997" s="0" t="s">
        <v>130</v>
      </c>
      <c r="AX2997" s="0" t="s">
        <v>141</v>
      </c>
      <c r="AY2997" s="0" t="s">
        <v>130</v>
      </c>
      <c r="AZ2997" s="0" t="s">
        <v>130</v>
      </c>
      <c r="BA2997" s="0" t="s">
        <v>130</v>
      </c>
      <c r="BB2997" s="0" t="s">
        <v>130</v>
      </c>
      <c r="BC2997" s="0" t="s">
        <v>130</v>
      </c>
      <c r="BD2997" s="0" t="s">
        <v>130</v>
      </c>
      <c r="BE2997" s="0" t="s">
        <v>130</v>
      </c>
      <c r="BF2997" s="0" t="s">
        <v>130</v>
      </c>
      <c r="BG2997" s="0" t="s">
        <v>130</v>
      </c>
      <c r="BH2997" s="0" t="s">
        <v>130</v>
      </c>
      <c r="BI2997" s="0" t="s">
        <v>130</v>
      </c>
      <c r="BJ2997" s="0" t="s">
        <v>130</v>
      </c>
      <c r="BK2997" s="0" t="s">
        <v>130</v>
      </c>
      <c r="BL2997" s="0" t="s">
        <v>130</v>
      </c>
      <c r="BM2997" s="0" t="s">
        <v>130</v>
      </c>
      <c r="BN2997" s="0" t="s">
        <v>130</v>
      </c>
      <c r="BO2997" s="0" t="s">
        <v>130</v>
      </c>
      <c r="BP2997" s="0" t="s">
        <v>130</v>
      </c>
      <c r="BQ2997" s="0" t="s">
        <v>130</v>
      </c>
      <c r="BR2997" s="0" t="s">
        <v>130</v>
      </c>
      <c r="BS2997" s="0" t="s">
        <v>130</v>
      </c>
      <c r="BT2997" s="0" t="s">
        <v>130</v>
      </c>
      <c r="BU2997" s="0" t="s">
        <v>130</v>
      </c>
      <c r="BV2997" s="0" t="s">
        <v>130</v>
      </c>
      <c r="BW2997" s="0" t="s">
        <v>130</v>
      </c>
      <c r="BX2997" s="0" t="s">
        <v>130</v>
      </c>
      <c r="BY2997" s="0" t="s">
        <v>130</v>
      </c>
      <c r="BZ2997" s="0" t="s">
        <v>130</v>
      </c>
      <c r="CA2997" s="0" t="s">
        <v>130</v>
      </c>
      <c r="CB2997" s="0" t="s">
        <v>130</v>
      </c>
      <c r="CC2997" s="0" t="s">
        <v>130</v>
      </c>
      <c r="CD2997" s="0" t="s">
        <v>130</v>
      </c>
      <c r="CE2997" s="0" t="s">
        <v>130</v>
      </c>
      <c r="CF2997" s="0" t="s">
        <v>130</v>
      </c>
      <c r="CG2997" s="0" t="s">
        <v>130</v>
      </c>
      <c r="CH2997" s="0" t="s">
        <v>130</v>
      </c>
      <c r="CI2997" s="0" t="s">
        <v>130</v>
      </c>
      <c r="CJ2997" s="0" t="s">
        <v>130</v>
      </c>
      <c r="CK2997" s="0" t="s">
        <v>141</v>
      </c>
      <c r="CL2997" s="0" t="s">
        <v>130</v>
      </c>
      <c r="CM2997" s="0" t="s">
        <v>130</v>
      </c>
      <c r="CN2997" s="0" t="s">
        <v>130</v>
      </c>
      <c r="CO2997" s="0" t="s">
        <v>130</v>
      </c>
      <c r="CP2997" s="0" t="s">
        <v>130</v>
      </c>
      <c r="CQ2997" s="0" t="s">
        <v>130</v>
      </c>
      <c r="CR2997" s="0" t="s">
        <v>130</v>
      </c>
      <c r="CS2997" s="0" t="s">
        <v>130</v>
      </c>
      <c r="CT2997" s="0" t="s">
        <v>8071</v>
      </c>
    </row>
    <row r="2998">
      <c r="A2998" s="14">
        <v>163205</v>
      </c>
      <c r="B2998" s="0" t="s">
        <v>2981</v>
      </c>
      <c r="C2998" s="16">
        <f>HYPERLINK("https://eosportal.federatedhermes.com/companies/Q29tcGFueQppNzcyNzM=", "ASML Holding NV")</f>
      </c>
      <c r="D2998" s="0" t="s">
        <v>25</v>
      </c>
      <c r="E2998" s="0" t="s">
        <v>7991</v>
      </c>
      <c r="F2998" s="16">
        <f>HYPERLINK("https://eosportal.federatedhermes.com/engagements/RW5nYWdlbWVudAppNDE2NDk=", "AI-related workforce impact")</f>
      </c>
      <c r="G2998" s="14" t="s">
        <v>7992</v>
      </c>
      <c r="H2998" s="0" t="s">
        <v>130</v>
      </c>
      <c r="I2998" s="14" t="s">
        <v>319</v>
      </c>
      <c r="J2998" s="0" t="s">
        <v>153</v>
      </c>
      <c r="K2998" s="0" t="s">
        <v>154</v>
      </c>
      <c r="L2998" s="0" t="s">
        <v>268</v>
      </c>
      <c r="M2998" s="0" t="s">
        <v>378</v>
      </c>
      <c r="N2998" s="0" t="s">
        <v>2554</v>
      </c>
      <c r="O2998" s="0" t="s">
        <v>1125</v>
      </c>
      <c r="Q2998" s="0" t="s">
        <v>141</v>
      </c>
      <c r="R2998" s="0" t="s">
        <v>138</v>
      </c>
      <c r="S2998" s="14">
        <v>2</v>
      </c>
      <c r="T2998" s="0" t="s">
        <v>361</v>
      </c>
      <c r="U2998" s="0" t="s">
        <v>138</v>
      </c>
      <c r="V2998" s="14" t="s">
        <v>138</v>
      </c>
      <c r="W2998" s="0" t="s">
        <v>138</v>
      </c>
      <c r="X2998" s="14" t="s">
        <v>138</v>
      </c>
      <c r="Y2998" s="0" t="s">
        <v>138</v>
      </c>
      <c r="Z2998" s="14" t="s">
        <v>138</v>
      </c>
      <c r="AA2998" s="0" t="s">
        <v>138</v>
      </c>
      <c r="AB2998" s="14" t="s">
        <v>138</v>
      </c>
      <c r="AD2998" s="0" t="s">
        <v>138</v>
      </c>
      <c r="AF2998" s="0">
        <v>0</v>
      </c>
      <c r="AG2998" s="0">
        <v>0</v>
      </c>
      <c r="AH2998" s="0" t="s">
        <v>140</v>
      </c>
      <c r="AI2998" s="0" t="s">
        <v>138</v>
      </c>
      <c r="AK2998" s="0" t="s">
        <v>2976</v>
      </c>
      <c r="AL2998" s="14"/>
      <c r="AN2998" s="14"/>
      <c r="AQ2998" s="0" t="s">
        <v>130</v>
      </c>
      <c r="AR2998" s="0" t="s">
        <v>130</v>
      </c>
      <c r="AS2998" s="0" t="s">
        <v>130</v>
      </c>
      <c r="AT2998" s="0" t="s">
        <v>141</v>
      </c>
      <c r="AU2998" s="0" t="s">
        <v>130</v>
      </c>
      <c r="AV2998" s="0" t="s">
        <v>130</v>
      </c>
      <c r="AW2998" s="0" t="s">
        <v>130</v>
      </c>
      <c r="AX2998" s="0" t="s">
        <v>141</v>
      </c>
      <c r="AY2998" s="0" t="s">
        <v>130</v>
      </c>
      <c r="AZ2998" s="0" t="s">
        <v>130</v>
      </c>
      <c r="BA2998" s="0" t="s">
        <v>130</v>
      </c>
      <c r="BB2998" s="0" t="s">
        <v>130</v>
      </c>
      <c r="BC2998" s="0" t="s">
        <v>130</v>
      </c>
      <c r="BD2998" s="0" t="s">
        <v>130</v>
      </c>
      <c r="BE2998" s="0" t="s">
        <v>130</v>
      </c>
      <c r="BF2998" s="0" t="s">
        <v>130</v>
      </c>
      <c r="BG2998" s="0" t="s">
        <v>130</v>
      </c>
      <c r="BH2998" s="0" t="s">
        <v>130</v>
      </c>
      <c r="BI2998" s="0" t="s">
        <v>130</v>
      </c>
      <c r="BJ2998" s="0" t="s">
        <v>130</v>
      </c>
      <c r="BK2998" s="0" t="s">
        <v>130</v>
      </c>
      <c r="BL2998" s="0" t="s">
        <v>130</v>
      </c>
      <c r="BM2998" s="0" t="s">
        <v>130</v>
      </c>
      <c r="BN2998" s="0" t="s">
        <v>130</v>
      </c>
      <c r="BO2998" s="0" t="s">
        <v>130</v>
      </c>
      <c r="BP2998" s="0" t="s">
        <v>130</v>
      </c>
      <c r="BQ2998" s="0" t="s">
        <v>130</v>
      </c>
      <c r="BR2998" s="0" t="s">
        <v>130</v>
      </c>
      <c r="BS2998" s="0" t="s">
        <v>130</v>
      </c>
      <c r="BT2998" s="0" t="s">
        <v>130</v>
      </c>
      <c r="BU2998" s="0" t="s">
        <v>130</v>
      </c>
      <c r="BV2998" s="0" t="s">
        <v>130</v>
      </c>
      <c r="BW2998" s="0" t="s">
        <v>130</v>
      </c>
      <c r="BX2998" s="0" t="s">
        <v>130</v>
      </c>
      <c r="BY2998" s="0" t="s">
        <v>130</v>
      </c>
      <c r="BZ2998" s="0" t="s">
        <v>130</v>
      </c>
      <c r="CA2998" s="0" t="s">
        <v>130</v>
      </c>
      <c r="CB2998" s="0" t="s">
        <v>130</v>
      </c>
      <c r="CC2998" s="0" t="s">
        <v>130</v>
      </c>
      <c r="CD2998" s="0" t="s">
        <v>130</v>
      </c>
      <c r="CE2998" s="0" t="s">
        <v>130</v>
      </c>
      <c r="CF2998" s="0" t="s">
        <v>130</v>
      </c>
      <c r="CG2998" s="0" t="s">
        <v>130</v>
      </c>
      <c r="CH2998" s="0" t="s">
        <v>130</v>
      </c>
      <c r="CI2998" s="0" t="s">
        <v>130</v>
      </c>
      <c r="CJ2998" s="0" t="s">
        <v>130</v>
      </c>
      <c r="CK2998" s="0" t="s">
        <v>141</v>
      </c>
      <c r="CL2998" s="0" t="s">
        <v>130</v>
      </c>
      <c r="CM2998" s="0" t="s">
        <v>130</v>
      </c>
      <c r="CN2998" s="0" t="s">
        <v>130</v>
      </c>
      <c r="CO2998" s="0" t="s">
        <v>130</v>
      </c>
      <c r="CP2998" s="0" t="s">
        <v>130</v>
      </c>
      <c r="CQ2998" s="0" t="s">
        <v>130</v>
      </c>
      <c r="CR2998" s="0" t="s">
        <v>130</v>
      </c>
      <c r="CS2998" s="0" t="s">
        <v>130</v>
      </c>
      <c r="CT2998" s="0" t="s">
        <v>8072</v>
      </c>
    </row>
    <row r="2999">
      <c r="A2999" s="14">
        <v>102435</v>
      </c>
      <c r="B2999" s="0" t="s">
        <v>2031</v>
      </c>
      <c r="C2999" s="16">
        <f>HYPERLINK("https://eosportal.federatedhermes.com/companies/Q29tcGFueQppNzkzOTg=", "Bio-Rad Laboratories Inc")</f>
      </c>
      <c r="D2999" s="0" t="s">
        <v>25</v>
      </c>
      <c r="E2999" s="0" t="s">
        <v>7991</v>
      </c>
      <c r="F2999" s="16">
        <f>HYPERLINK("https://eosportal.federatedhermes.com/engagements/RW5nYWdlbWVudAppNDE2NTM=", "AI-related workforce impact")</f>
      </c>
      <c r="G2999" s="14" t="s">
        <v>7992</v>
      </c>
      <c r="H2999" s="0" t="s">
        <v>130</v>
      </c>
      <c r="I2999" s="14" t="s">
        <v>319</v>
      </c>
      <c r="J2999" s="0" t="s">
        <v>153</v>
      </c>
      <c r="K2999" s="0" t="s">
        <v>154</v>
      </c>
      <c r="L2999" s="0" t="s">
        <v>268</v>
      </c>
      <c r="M2999" s="0" t="s">
        <v>135</v>
      </c>
      <c r="N2999" s="0" t="s">
        <v>136</v>
      </c>
      <c r="O2999" s="0" t="s">
        <v>274</v>
      </c>
      <c r="Q2999" s="0" t="s">
        <v>141</v>
      </c>
      <c r="R2999" s="0" t="s">
        <v>138</v>
      </c>
      <c r="S2999" s="14">
        <v>1</v>
      </c>
      <c r="T2999" s="0" t="s">
        <v>361</v>
      </c>
      <c r="U2999" s="0" t="s">
        <v>138</v>
      </c>
      <c r="V2999" s="14" t="s">
        <v>138</v>
      </c>
      <c r="W2999" s="0" t="s">
        <v>138</v>
      </c>
      <c r="X2999" s="14" t="s">
        <v>138</v>
      </c>
      <c r="Y2999" s="0" t="s">
        <v>138</v>
      </c>
      <c r="Z2999" s="14" t="s">
        <v>138</v>
      </c>
      <c r="AA2999" s="0" t="s">
        <v>138</v>
      </c>
      <c r="AB2999" s="14" t="s">
        <v>138</v>
      </c>
      <c r="AD2999" s="0" t="s">
        <v>138</v>
      </c>
      <c r="AF2999" s="0">
        <v>0</v>
      </c>
      <c r="AG2999" s="0">
        <v>0</v>
      </c>
      <c r="AH2999" s="0" t="s">
        <v>140</v>
      </c>
      <c r="AI2999" s="0" t="s">
        <v>138</v>
      </c>
      <c r="AK2999" s="0" t="s">
        <v>2588</v>
      </c>
      <c r="AL2999" s="14"/>
      <c r="AN2999" s="14"/>
      <c r="AQ2999" s="0" t="s">
        <v>130</v>
      </c>
      <c r="AR2999" s="0" t="s">
        <v>130</v>
      </c>
      <c r="AS2999" s="0" t="s">
        <v>130</v>
      </c>
      <c r="AT2999" s="0" t="s">
        <v>141</v>
      </c>
      <c r="AU2999" s="0" t="s">
        <v>130</v>
      </c>
      <c r="AV2999" s="0" t="s">
        <v>130</v>
      </c>
      <c r="AW2999" s="0" t="s">
        <v>130</v>
      </c>
      <c r="AX2999" s="0" t="s">
        <v>141</v>
      </c>
      <c r="AY2999" s="0" t="s">
        <v>130</v>
      </c>
      <c r="AZ2999" s="0" t="s">
        <v>130</v>
      </c>
      <c r="BA2999" s="0" t="s">
        <v>130</v>
      </c>
      <c r="BB2999" s="0" t="s">
        <v>130</v>
      </c>
      <c r="BC2999" s="0" t="s">
        <v>130</v>
      </c>
      <c r="BD2999" s="0" t="s">
        <v>130</v>
      </c>
      <c r="BE2999" s="0" t="s">
        <v>130</v>
      </c>
      <c r="BF2999" s="0" t="s">
        <v>130</v>
      </c>
      <c r="BG2999" s="0" t="s">
        <v>130</v>
      </c>
      <c r="BH2999" s="0" t="s">
        <v>130</v>
      </c>
      <c r="BI2999" s="0" t="s">
        <v>130</v>
      </c>
      <c r="BJ2999" s="0" t="s">
        <v>130</v>
      </c>
      <c r="BK2999" s="0" t="s">
        <v>130</v>
      </c>
      <c r="BL2999" s="0" t="s">
        <v>130</v>
      </c>
      <c r="BM2999" s="0" t="s">
        <v>130</v>
      </c>
      <c r="BN2999" s="0" t="s">
        <v>130</v>
      </c>
      <c r="BO2999" s="0" t="s">
        <v>130</v>
      </c>
      <c r="BP2999" s="0" t="s">
        <v>130</v>
      </c>
      <c r="BQ2999" s="0" t="s">
        <v>130</v>
      </c>
      <c r="BR2999" s="0" t="s">
        <v>130</v>
      </c>
      <c r="BS2999" s="0" t="s">
        <v>130</v>
      </c>
      <c r="BT2999" s="0" t="s">
        <v>130</v>
      </c>
      <c r="BU2999" s="0" t="s">
        <v>130</v>
      </c>
      <c r="BV2999" s="0" t="s">
        <v>130</v>
      </c>
      <c r="BW2999" s="0" t="s">
        <v>130</v>
      </c>
      <c r="BX2999" s="0" t="s">
        <v>130</v>
      </c>
      <c r="BY2999" s="0" t="s">
        <v>130</v>
      </c>
      <c r="BZ2999" s="0" t="s">
        <v>130</v>
      </c>
      <c r="CA2999" s="0" t="s">
        <v>130</v>
      </c>
      <c r="CB2999" s="0" t="s">
        <v>130</v>
      </c>
      <c r="CC2999" s="0" t="s">
        <v>130</v>
      </c>
      <c r="CD2999" s="0" t="s">
        <v>130</v>
      </c>
      <c r="CE2999" s="0" t="s">
        <v>130</v>
      </c>
      <c r="CF2999" s="0" t="s">
        <v>130</v>
      </c>
      <c r="CG2999" s="0" t="s">
        <v>130</v>
      </c>
      <c r="CH2999" s="0" t="s">
        <v>130</v>
      </c>
      <c r="CI2999" s="0" t="s">
        <v>130</v>
      </c>
      <c r="CJ2999" s="0" t="s">
        <v>130</v>
      </c>
      <c r="CK2999" s="0" t="s">
        <v>141</v>
      </c>
      <c r="CL2999" s="0" t="s">
        <v>130</v>
      </c>
      <c r="CM2999" s="0" t="s">
        <v>130</v>
      </c>
      <c r="CN2999" s="0" t="s">
        <v>130</v>
      </c>
      <c r="CO2999" s="0" t="s">
        <v>130</v>
      </c>
      <c r="CP2999" s="0" t="s">
        <v>130</v>
      </c>
      <c r="CQ2999" s="0" t="s">
        <v>130</v>
      </c>
      <c r="CR2999" s="0" t="s">
        <v>130</v>
      </c>
      <c r="CS2999" s="0" t="s">
        <v>130</v>
      </c>
      <c r="CT2999" s="0" t="s">
        <v>8073</v>
      </c>
    </row>
    <row r="3000">
      <c r="A3000" s="14">
        <v>18154628</v>
      </c>
      <c r="B3000" s="0" t="s">
        <v>4393</v>
      </c>
      <c r="C3000" s="16">
        <f>HYPERLINK("https://eosportal.federatedhermes.com/companies/Q29tcGFueQppODUyMTU=", "AIA Group Ltd")</f>
      </c>
      <c r="D3000" s="0" t="s">
        <v>25</v>
      </c>
      <c r="E3000" s="0" t="s">
        <v>7991</v>
      </c>
      <c r="F3000" s="16">
        <f>HYPERLINK("https://eosportal.federatedhermes.com/engagements/RW5nYWdlbWVudAppNDE2NTc=", "AI-related workforce impact")</f>
      </c>
      <c r="G3000" s="14" t="s">
        <v>8064</v>
      </c>
      <c r="H3000" s="0" t="s">
        <v>141</v>
      </c>
      <c r="I3000" s="14" t="s">
        <v>131</v>
      </c>
      <c r="J3000" s="0" t="s">
        <v>153</v>
      </c>
      <c r="K3000" s="0" t="s">
        <v>154</v>
      </c>
      <c r="L3000" s="0" t="s">
        <v>268</v>
      </c>
      <c r="M3000" s="0" t="s">
        <v>802</v>
      </c>
      <c r="N3000" s="0" t="s">
        <v>803</v>
      </c>
      <c r="O3000" s="0" t="s">
        <v>238</v>
      </c>
      <c r="Q3000" s="0" t="s">
        <v>141</v>
      </c>
      <c r="R3000" s="0" t="s">
        <v>138</v>
      </c>
      <c r="S3000" s="14">
        <v>1</v>
      </c>
      <c r="T3000" s="0" t="s">
        <v>361</v>
      </c>
      <c r="U3000" s="0" t="s">
        <v>138</v>
      </c>
      <c r="V3000" s="14" t="s">
        <v>138</v>
      </c>
      <c r="W3000" s="0" t="s">
        <v>138</v>
      </c>
      <c r="X3000" s="14" t="s">
        <v>138</v>
      </c>
      <c r="Y3000" s="0" t="s">
        <v>138</v>
      </c>
      <c r="Z3000" s="14" t="s">
        <v>138</v>
      </c>
      <c r="AA3000" s="0" t="s">
        <v>138</v>
      </c>
      <c r="AB3000" s="14" t="s">
        <v>138</v>
      </c>
      <c r="AD3000" s="0" t="s">
        <v>138</v>
      </c>
      <c r="AF3000" s="0">
        <v>0</v>
      </c>
      <c r="AG3000" s="0">
        <v>0</v>
      </c>
      <c r="AH3000" s="0" t="s">
        <v>140</v>
      </c>
      <c r="AI3000" s="0" t="s">
        <v>138</v>
      </c>
      <c r="AK3000" s="0" t="s">
        <v>2588</v>
      </c>
      <c r="AL3000" s="14"/>
      <c r="AN3000" s="14"/>
      <c r="AQ3000" s="0" t="s">
        <v>130</v>
      </c>
      <c r="AR3000" s="0" t="s">
        <v>130</v>
      </c>
      <c r="AS3000" s="0" t="s">
        <v>130</v>
      </c>
      <c r="AT3000" s="0" t="s">
        <v>141</v>
      </c>
      <c r="AU3000" s="0" t="s">
        <v>130</v>
      </c>
      <c r="AV3000" s="0" t="s">
        <v>130</v>
      </c>
      <c r="AW3000" s="0" t="s">
        <v>130</v>
      </c>
      <c r="AX3000" s="0" t="s">
        <v>141</v>
      </c>
      <c r="AY3000" s="0" t="s">
        <v>130</v>
      </c>
      <c r="AZ3000" s="0" t="s">
        <v>130</v>
      </c>
      <c r="BA3000" s="0" t="s">
        <v>130</v>
      </c>
      <c r="BB3000" s="0" t="s">
        <v>130</v>
      </c>
      <c r="BC3000" s="0" t="s">
        <v>130</v>
      </c>
      <c r="BD3000" s="0" t="s">
        <v>130</v>
      </c>
      <c r="BE3000" s="0" t="s">
        <v>130</v>
      </c>
      <c r="BF3000" s="0" t="s">
        <v>130</v>
      </c>
      <c r="BG3000" s="0" t="s">
        <v>130</v>
      </c>
      <c r="BH3000" s="0" t="s">
        <v>130</v>
      </c>
      <c r="BI3000" s="0" t="s">
        <v>130</v>
      </c>
      <c r="BJ3000" s="0" t="s">
        <v>130</v>
      </c>
      <c r="BK3000" s="0" t="s">
        <v>130</v>
      </c>
      <c r="BL3000" s="0" t="s">
        <v>130</v>
      </c>
      <c r="BM3000" s="0" t="s">
        <v>130</v>
      </c>
      <c r="BN3000" s="0" t="s">
        <v>130</v>
      </c>
      <c r="BO3000" s="0" t="s">
        <v>130</v>
      </c>
      <c r="BP3000" s="0" t="s">
        <v>130</v>
      </c>
      <c r="BQ3000" s="0" t="s">
        <v>130</v>
      </c>
      <c r="BR3000" s="0" t="s">
        <v>130</v>
      </c>
      <c r="BS3000" s="0" t="s">
        <v>130</v>
      </c>
      <c r="BT3000" s="0" t="s">
        <v>130</v>
      </c>
      <c r="BU3000" s="0" t="s">
        <v>130</v>
      </c>
      <c r="BV3000" s="0" t="s">
        <v>130</v>
      </c>
      <c r="BW3000" s="0" t="s">
        <v>130</v>
      </c>
      <c r="BX3000" s="0" t="s">
        <v>130</v>
      </c>
      <c r="BY3000" s="0" t="s">
        <v>130</v>
      </c>
      <c r="BZ3000" s="0" t="s">
        <v>130</v>
      </c>
      <c r="CA3000" s="0" t="s">
        <v>130</v>
      </c>
      <c r="CB3000" s="0" t="s">
        <v>130</v>
      </c>
      <c r="CC3000" s="0" t="s">
        <v>130</v>
      </c>
      <c r="CD3000" s="0" t="s">
        <v>130</v>
      </c>
      <c r="CE3000" s="0" t="s">
        <v>130</v>
      </c>
      <c r="CF3000" s="0" t="s">
        <v>130</v>
      </c>
      <c r="CG3000" s="0" t="s">
        <v>130</v>
      </c>
      <c r="CH3000" s="0" t="s">
        <v>130</v>
      </c>
      <c r="CI3000" s="0" t="s">
        <v>130</v>
      </c>
      <c r="CJ3000" s="0" t="s">
        <v>130</v>
      </c>
      <c r="CK3000" s="0" t="s">
        <v>141</v>
      </c>
      <c r="CL3000" s="0" t="s">
        <v>130</v>
      </c>
      <c r="CM3000" s="0" t="s">
        <v>130</v>
      </c>
      <c r="CN3000" s="0" t="s">
        <v>130</v>
      </c>
      <c r="CO3000" s="0" t="s">
        <v>130</v>
      </c>
      <c r="CP3000" s="0" t="s">
        <v>130</v>
      </c>
      <c r="CQ3000" s="0" t="s">
        <v>130</v>
      </c>
      <c r="CR3000" s="0" t="s">
        <v>130</v>
      </c>
      <c r="CS3000" s="0" t="s">
        <v>130</v>
      </c>
      <c r="CT3000" s="0" t="s">
        <v>8074</v>
      </c>
    </row>
    <row r="3001">
      <c r="A3001" s="14">
        <v>59907412</v>
      </c>
      <c r="B3001" s="0" t="s">
        <v>4708</v>
      </c>
      <c r="C3001" s="16">
        <f>HYPERLINK("https://eosportal.federatedhermes.com/companies/Q29tcGFueQppNTg5NjM=", "Broadcom Inc")</f>
      </c>
      <c r="D3001" s="0" t="s">
        <v>25</v>
      </c>
      <c r="E3001" s="0" t="s">
        <v>8075</v>
      </c>
      <c r="F3001" s="16">
        <f>HYPERLINK("https://eosportal.federatedhermes.com/engagements/RW5nYWdlbWVudAppNDE2Njc=", "Employee Satisfaction")</f>
      </c>
      <c r="G3001" s="14" t="s">
        <v>8076</v>
      </c>
      <c r="H3001" s="0" t="s">
        <v>141</v>
      </c>
      <c r="I3001" s="14" t="s">
        <v>131</v>
      </c>
      <c r="J3001" s="0" t="s">
        <v>153</v>
      </c>
      <c r="K3001" s="0" t="s">
        <v>154</v>
      </c>
      <c r="L3001" s="0" t="s">
        <v>268</v>
      </c>
      <c r="M3001" s="0" t="s">
        <v>135</v>
      </c>
      <c r="N3001" s="0" t="s">
        <v>136</v>
      </c>
      <c r="O3001" s="0" t="s">
        <v>1125</v>
      </c>
      <c r="Q3001" s="0" t="s">
        <v>141</v>
      </c>
      <c r="R3001" s="0" t="s">
        <v>138</v>
      </c>
      <c r="S3001" s="14">
        <v>1</v>
      </c>
      <c r="T3001" s="0" t="s">
        <v>361</v>
      </c>
      <c r="U3001" s="0" t="s">
        <v>138</v>
      </c>
      <c r="V3001" s="14" t="s">
        <v>138</v>
      </c>
      <c r="W3001" s="0" t="s">
        <v>138</v>
      </c>
      <c r="X3001" s="14" t="s">
        <v>138</v>
      </c>
      <c r="Y3001" s="0" t="s">
        <v>138</v>
      </c>
      <c r="Z3001" s="14" t="s">
        <v>138</v>
      </c>
      <c r="AA3001" s="0" t="s">
        <v>138</v>
      </c>
      <c r="AB3001" s="14" t="s">
        <v>138</v>
      </c>
      <c r="AD3001" s="0" t="s">
        <v>138</v>
      </c>
      <c r="AF3001" s="0">
        <v>0</v>
      </c>
      <c r="AG3001" s="0">
        <v>0</v>
      </c>
      <c r="AH3001" s="0" t="s">
        <v>140</v>
      </c>
      <c r="AI3001" s="0" t="s">
        <v>138</v>
      </c>
      <c r="AK3001" s="0" t="s">
        <v>1834</v>
      </c>
      <c r="AL3001" s="14"/>
      <c r="AN3001" s="14"/>
      <c r="AQ3001" s="0" t="s">
        <v>130</v>
      </c>
      <c r="AR3001" s="0" t="s">
        <v>130</v>
      </c>
      <c r="AS3001" s="0" t="s">
        <v>141</v>
      </c>
      <c r="AT3001" s="0" t="s">
        <v>141</v>
      </c>
      <c r="AU3001" s="0" t="s">
        <v>141</v>
      </c>
      <c r="AV3001" s="0" t="s">
        <v>130</v>
      </c>
      <c r="AW3001" s="0" t="s">
        <v>130</v>
      </c>
      <c r="AX3001" s="0" t="s">
        <v>141</v>
      </c>
      <c r="AY3001" s="0" t="s">
        <v>130</v>
      </c>
      <c r="AZ3001" s="0" t="s">
        <v>141</v>
      </c>
      <c r="BA3001" s="0" t="s">
        <v>130</v>
      </c>
      <c r="BB3001" s="0" t="s">
        <v>130</v>
      </c>
      <c r="BC3001" s="0" t="s">
        <v>130</v>
      </c>
      <c r="BD3001" s="0" t="s">
        <v>130</v>
      </c>
      <c r="BE3001" s="0" t="s">
        <v>130</v>
      </c>
      <c r="BF3001" s="0" t="s">
        <v>141</v>
      </c>
      <c r="BG3001" s="0" t="s">
        <v>130</v>
      </c>
      <c r="BH3001" s="0" t="s">
        <v>130</v>
      </c>
      <c r="BI3001" s="0" t="s">
        <v>130</v>
      </c>
      <c r="BJ3001" s="0" t="s">
        <v>130</v>
      </c>
      <c r="BK3001" s="0" t="s">
        <v>130</v>
      </c>
      <c r="BL3001" s="0" t="s">
        <v>130</v>
      </c>
      <c r="BM3001" s="0" t="s">
        <v>130</v>
      </c>
      <c r="BN3001" s="0" t="s">
        <v>130</v>
      </c>
      <c r="BO3001" s="0" t="s">
        <v>130</v>
      </c>
      <c r="BP3001" s="0" t="s">
        <v>130</v>
      </c>
      <c r="BQ3001" s="0" t="s">
        <v>130</v>
      </c>
      <c r="BR3001" s="0" t="s">
        <v>130</v>
      </c>
      <c r="BS3001" s="0" t="s">
        <v>130</v>
      </c>
      <c r="BT3001" s="0" t="s">
        <v>130</v>
      </c>
      <c r="BU3001" s="0" t="s">
        <v>130</v>
      </c>
      <c r="BV3001" s="0" t="s">
        <v>130</v>
      </c>
      <c r="BW3001" s="0" t="s">
        <v>130</v>
      </c>
      <c r="BX3001" s="0" t="s">
        <v>130</v>
      </c>
      <c r="BY3001" s="0" t="s">
        <v>130</v>
      </c>
      <c r="BZ3001" s="0" t="s">
        <v>130</v>
      </c>
      <c r="CA3001" s="0" t="s">
        <v>130</v>
      </c>
      <c r="CB3001" s="0" t="s">
        <v>130</v>
      </c>
      <c r="CC3001" s="0" t="s">
        <v>130</v>
      </c>
      <c r="CD3001" s="0" t="s">
        <v>130</v>
      </c>
      <c r="CE3001" s="0" t="s">
        <v>130</v>
      </c>
      <c r="CF3001" s="0" t="s">
        <v>130</v>
      </c>
      <c r="CG3001" s="0" t="s">
        <v>130</v>
      </c>
      <c r="CH3001" s="0" t="s">
        <v>130</v>
      </c>
      <c r="CI3001" s="0" t="s">
        <v>130</v>
      </c>
      <c r="CJ3001" s="0" t="s">
        <v>130</v>
      </c>
      <c r="CK3001" s="0" t="s">
        <v>141</v>
      </c>
      <c r="CL3001" s="0" t="s">
        <v>130</v>
      </c>
      <c r="CM3001" s="0" t="s">
        <v>130</v>
      </c>
      <c r="CN3001" s="0" t="s">
        <v>130</v>
      </c>
      <c r="CO3001" s="0" t="s">
        <v>130</v>
      </c>
      <c r="CP3001" s="0" t="s">
        <v>130</v>
      </c>
      <c r="CQ3001" s="0" t="s">
        <v>130</v>
      </c>
      <c r="CR3001" s="0" t="s">
        <v>130</v>
      </c>
      <c r="CS3001" s="0" t="s">
        <v>130</v>
      </c>
      <c r="CT3001" s="0" t="s">
        <v>8077</v>
      </c>
    </row>
    <row r="3002">
      <c r="A3002" s="14">
        <v>59907412</v>
      </c>
      <c r="B3002" s="0" t="s">
        <v>4708</v>
      </c>
      <c r="C3002" s="16">
        <f>HYPERLINK("https://eosportal.federatedhermes.com/companies/Q29tcGFueQppNTg5NjM=", "Broadcom Inc")</f>
      </c>
      <c r="D3002" s="0" t="s">
        <v>25</v>
      </c>
      <c r="E3002" s="0" t="s">
        <v>8078</v>
      </c>
      <c r="F3002" s="16">
        <f>HYPERLINK("https://eosportal.federatedhermes.com/engagements/RW5nYWdlbWVudAppNDE2Njg=", "Supply Chain Labour Rights")</f>
      </c>
      <c r="G3002" s="14" t="s">
        <v>8079</v>
      </c>
      <c r="H3002" s="0" t="s">
        <v>141</v>
      </c>
      <c r="I3002" s="14" t="s">
        <v>131</v>
      </c>
      <c r="J3002" s="0" t="s">
        <v>153</v>
      </c>
      <c r="K3002" s="0" t="s">
        <v>243</v>
      </c>
      <c r="L3002" s="0" t="s">
        <v>244</v>
      </c>
      <c r="M3002" s="0" t="s">
        <v>135</v>
      </c>
      <c r="N3002" s="0" t="s">
        <v>136</v>
      </c>
      <c r="O3002" s="0" t="s">
        <v>1125</v>
      </c>
      <c r="Q3002" s="0" t="s">
        <v>141</v>
      </c>
      <c r="R3002" s="0" t="s">
        <v>138</v>
      </c>
      <c r="S3002" s="14">
        <v>1</v>
      </c>
      <c r="T3002" s="0" t="s">
        <v>361</v>
      </c>
      <c r="U3002" s="0" t="s">
        <v>138</v>
      </c>
      <c r="V3002" s="14" t="s">
        <v>138</v>
      </c>
      <c r="W3002" s="0" t="s">
        <v>138</v>
      </c>
      <c r="X3002" s="14" t="s">
        <v>138</v>
      </c>
      <c r="Y3002" s="0" t="s">
        <v>138</v>
      </c>
      <c r="Z3002" s="14" t="s">
        <v>138</v>
      </c>
      <c r="AA3002" s="0" t="s">
        <v>138</v>
      </c>
      <c r="AB3002" s="14" t="s">
        <v>138</v>
      </c>
      <c r="AD3002" s="0" t="s">
        <v>138</v>
      </c>
      <c r="AF3002" s="0">
        <v>0</v>
      </c>
      <c r="AG3002" s="0">
        <v>0</v>
      </c>
      <c r="AH3002" s="0" t="s">
        <v>140</v>
      </c>
      <c r="AI3002" s="0" t="s">
        <v>138</v>
      </c>
      <c r="AK3002" s="0" t="s">
        <v>1834</v>
      </c>
      <c r="AL3002" s="14"/>
      <c r="AN3002" s="14"/>
      <c r="AQ3002" s="0" t="s">
        <v>130</v>
      </c>
      <c r="AR3002" s="0" t="s">
        <v>130</v>
      </c>
      <c r="AS3002" s="0" t="s">
        <v>130</v>
      </c>
      <c r="AT3002" s="0" t="s">
        <v>130</v>
      </c>
      <c r="AU3002" s="0" t="s">
        <v>141</v>
      </c>
      <c r="AV3002" s="0" t="s">
        <v>130</v>
      </c>
      <c r="AW3002" s="0" t="s">
        <v>130</v>
      </c>
      <c r="AX3002" s="0" t="s">
        <v>141</v>
      </c>
      <c r="AY3002" s="0" t="s">
        <v>130</v>
      </c>
      <c r="AZ3002" s="0" t="s">
        <v>130</v>
      </c>
      <c r="BA3002" s="0" t="s">
        <v>130</v>
      </c>
      <c r="BB3002" s="0" t="s">
        <v>130</v>
      </c>
      <c r="BC3002" s="0" t="s">
        <v>130</v>
      </c>
      <c r="BD3002" s="0" t="s">
        <v>130</v>
      </c>
      <c r="BE3002" s="0" t="s">
        <v>130</v>
      </c>
      <c r="BF3002" s="0" t="s">
        <v>130</v>
      </c>
      <c r="BG3002" s="0" t="s">
        <v>130</v>
      </c>
      <c r="BH3002" s="0" t="s">
        <v>130</v>
      </c>
      <c r="BI3002" s="0" t="s">
        <v>130</v>
      </c>
      <c r="BJ3002" s="0" t="s">
        <v>130</v>
      </c>
      <c r="BK3002" s="0" t="s">
        <v>130</v>
      </c>
      <c r="BL3002" s="0" t="s">
        <v>130</v>
      </c>
      <c r="BM3002" s="0" t="s">
        <v>130</v>
      </c>
      <c r="BN3002" s="0" t="s">
        <v>130</v>
      </c>
      <c r="BO3002" s="0" t="s">
        <v>130</v>
      </c>
      <c r="BP3002" s="0" t="s">
        <v>130</v>
      </c>
      <c r="BQ3002" s="0" t="s">
        <v>130</v>
      </c>
      <c r="BR3002" s="0" t="s">
        <v>130</v>
      </c>
      <c r="BS3002" s="0" t="s">
        <v>130</v>
      </c>
      <c r="BT3002" s="0" t="s">
        <v>130</v>
      </c>
      <c r="BU3002" s="0" t="s">
        <v>130</v>
      </c>
      <c r="BV3002" s="0" t="s">
        <v>130</v>
      </c>
      <c r="BW3002" s="0" t="s">
        <v>130</v>
      </c>
      <c r="BX3002" s="0" t="s">
        <v>130</v>
      </c>
      <c r="BY3002" s="0" t="s">
        <v>130</v>
      </c>
      <c r="BZ3002" s="0" t="s">
        <v>130</v>
      </c>
      <c r="CA3002" s="0" t="s">
        <v>130</v>
      </c>
      <c r="CB3002" s="0" t="s">
        <v>130</v>
      </c>
      <c r="CC3002" s="0" t="s">
        <v>130</v>
      </c>
      <c r="CD3002" s="0" t="s">
        <v>130</v>
      </c>
      <c r="CE3002" s="0" t="s">
        <v>130</v>
      </c>
      <c r="CF3002" s="0" t="s">
        <v>130</v>
      </c>
      <c r="CG3002" s="0" t="s">
        <v>130</v>
      </c>
      <c r="CH3002" s="0" t="s">
        <v>130</v>
      </c>
      <c r="CI3002" s="0" t="s">
        <v>130</v>
      </c>
      <c r="CJ3002" s="0" t="s">
        <v>130</v>
      </c>
      <c r="CK3002" s="0" t="s">
        <v>130</v>
      </c>
      <c r="CL3002" s="0" t="s">
        <v>130</v>
      </c>
      <c r="CM3002" s="0" t="s">
        <v>130</v>
      </c>
      <c r="CN3002" s="0" t="s">
        <v>130</v>
      </c>
      <c r="CO3002" s="0" t="s">
        <v>130</v>
      </c>
      <c r="CP3002" s="0" t="s">
        <v>130</v>
      </c>
      <c r="CQ3002" s="0" t="s">
        <v>130</v>
      </c>
      <c r="CR3002" s="0" t="s">
        <v>130</v>
      </c>
      <c r="CS3002" s="0" t="s">
        <v>130</v>
      </c>
      <c r="CT3002" s="0" t="s">
        <v>8080</v>
      </c>
    </row>
    <row r="3003">
      <c r="A3003" s="14">
        <v>59907412</v>
      </c>
      <c r="B3003" s="0" t="s">
        <v>4708</v>
      </c>
      <c r="C3003" s="16">
        <f>HYPERLINK("https://eosportal.federatedhermes.com/companies/Q29tcGFueQppNTg5NjM=", "Broadcom Inc")</f>
      </c>
      <c r="D3003" s="0" t="s">
        <v>25</v>
      </c>
      <c r="E3003" s="0" t="s">
        <v>8081</v>
      </c>
      <c r="F3003" s="16">
        <f>HYPERLINK("https://eosportal.federatedhermes.com/engagements/RW5nYWdlbWVudAppNDE2Njk=", "Methane in AI value chain")</f>
      </c>
      <c r="G3003" s="14" t="s">
        <v>8082</v>
      </c>
      <c r="H3003" s="0" t="s">
        <v>141</v>
      </c>
      <c r="I3003" s="14" t="s">
        <v>131</v>
      </c>
      <c r="J3003" s="0" t="s">
        <v>197</v>
      </c>
      <c r="K3003" s="0" t="s">
        <v>198</v>
      </c>
      <c r="L3003" s="0" t="s">
        <v>216</v>
      </c>
      <c r="M3003" s="0" t="s">
        <v>135</v>
      </c>
      <c r="N3003" s="0" t="s">
        <v>136</v>
      </c>
      <c r="O3003" s="0" t="s">
        <v>1125</v>
      </c>
      <c r="Q3003" s="0" t="s">
        <v>141</v>
      </c>
      <c r="R3003" s="0" t="s">
        <v>138</v>
      </c>
      <c r="S3003" s="14">
        <v>1</v>
      </c>
      <c r="T3003" s="0" t="s">
        <v>361</v>
      </c>
      <c r="U3003" s="0" t="s">
        <v>138</v>
      </c>
      <c r="V3003" s="14" t="s">
        <v>138</v>
      </c>
      <c r="W3003" s="0" t="s">
        <v>138</v>
      </c>
      <c r="X3003" s="14" t="s">
        <v>138</v>
      </c>
      <c r="Y3003" s="0" t="s">
        <v>138</v>
      </c>
      <c r="Z3003" s="14" t="s">
        <v>138</v>
      </c>
      <c r="AA3003" s="0" t="s">
        <v>138</v>
      </c>
      <c r="AB3003" s="14" t="s">
        <v>138</v>
      </c>
      <c r="AD3003" s="0" t="s">
        <v>138</v>
      </c>
      <c r="AF3003" s="0">
        <v>0</v>
      </c>
      <c r="AG3003" s="0">
        <v>0</v>
      </c>
      <c r="AH3003" s="0" t="s">
        <v>140</v>
      </c>
      <c r="AI3003" s="0" t="s">
        <v>138</v>
      </c>
      <c r="AK3003" s="0" t="s">
        <v>1834</v>
      </c>
      <c r="AL3003" s="14"/>
      <c r="AN3003" s="14"/>
      <c r="AQ3003" s="0" t="s">
        <v>130</v>
      </c>
      <c r="AR3003" s="0" t="s">
        <v>130</v>
      </c>
      <c r="AS3003" s="0" t="s">
        <v>130</v>
      </c>
      <c r="AT3003" s="0" t="s">
        <v>130</v>
      </c>
      <c r="AU3003" s="0" t="s">
        <v>130</v>
      </c>
      <c r="AV3003" s="0" t="s">
        <v>130</v>
      </c>
      <c r="AW3003" s="0" t="s">
        <v>141</v>
      </c>
      <c r="AX3003" s="0" t="s">
        <v>130</v>
      </c>
      <c r="AY3003" s="0" t="s">
        <v>141</v>
      </c>
      <c r="AZ3003" s="0" t="s">
        <v>130</v>
      </c>
      <c r="BA3003" s="0" t="s">
        <v>130</v>
      </c>
      <c r="BB3003" s="0" t="s">
        <v>130</v>
      </c>
      <c r="BC3003" s="0" t="s">
        <v>141</v>
      </c>
      <c r="BD3003" s="0" t="s">
        <v>130</v>
      </c>
      <c r="BE3003" s="0" t="s">
        <v>130</v>
      </c>
      <c r="BF3003" s="0" t="s">
        <v>130</v>
      </c>
      <c r="BG3003" s="0" t="s">
        <v>130</v>
      </c>
      <c r="BH3003" s="0" t="s">
        <v>141</v>
      </c>
      <c r="BI3003" s="0" t="s">
        <v>141</v>
      </c>
      <c r="BJ3003" s="0" t="s">
        <v>141</v>
      </c>
      <c r="BK3003" s="0" t="s">
        <v>130</v>
      </c>
      <c r="BL3003" s="0" t="s">
        <v>130</v>
      </c>
      <c r="BM3003" s="0" t="s">
        <v>130</v>
      </c>
      <c r="BN3003" s="0" t="s">
        <v>130</v>
      </c>
      <c r="BO3003" s="0" t="s">
        <v>130</v>
      </c>
      <c r="BP3003" s="0" t="s">
        <v>130</v>
      </c>
      <c r="BQ3003" s="0" t="s">
        <v>130</v>
      </c>
      <c r="BR3003" s="0" t="s">
        <v>130</v>
      </c>
      <c r="BS3003" s="0" t="s">
        <v>130</v>
      </c>
      <c r="BT3003" s="0" t="s">
        <v>130</v>
      </c>
      <c r="BU3003" s="0" t="s">
        <v>130</v>
      </c>
      <c r="BV3003" s="0" t="s">
        <v>141</v>
      </c>
      <c r="BW3003" s="0" t="s">
        <v>141</v>
      </c>
      <c r="BX3003" s="0" t="s">
        <v>130</v>
      </c>
      <c r="BY3003" s="0" t="s">
        <v>130</v>
      </c>
      <c r="BZ3003" s="0" t="s">
        <v>130</v>
      </c>
      <c r="CA3003" s="0" t="s">
        <v>130</v>
      </c>
      <c r="CB3003" s="0" t="s">
        <v>130</v>
      </c>
      <c r="CC3003" s="0" t="s">
        <v>130</v>
      </c>
      <c r="CD3003" s="0" t="s">
        <v>130</v>
      </c>
      <c r="CE3003" s="0" t="s">
        <v>130</v>
      </c>
      <c r="CF3003" s="0" t="s">
        <v>130</v>
      </c>
      <c r="CG3003" s="0" t="s">
        <v>130</v>
      </c>
      <c r="CH3003" s="0" t="s">
        <v>130</v>
      </c>
      <c r="CI3003" s="0" t="s">
        <v>130</v>
      </c>
      <c r="CJ3003" s="0" t="s">
        <v>130</v>
      </c>
      <c r="CK3003" s="0" t="s">
        <v>130</v>
      </c>
      <c r="CL3003" s="0" t="s">
        <v>130</v>
      </c>
      <c r="CM3003" s="0" t="s">
        <v>130</v>
      </c>
      <c r="CN3003" s="0" t="s">
        <v>130</v>
      </c>
      <c r="CO3003" s="0" t="s">
        <v>130</v>
      </c>
      <c r="CP3003" s="0" t="s">
        <v>130</v>
      </c>
      <c r="CQ3003" s="0" t="s">
        <v>130</v>
      </c>
      <c r="CR3003" s="0" t="s">
        <v>130</v>
      </c>
      <c r="CS3003" s="0" t="s">
        <v>130</v>
      </c>
      <c r="CT3003" s="0" t="s">
        <v>8083</v>
      </c>
    </row>
    <row r="3004">
      <c r="A3004" s="14">
        <v>59907412</v>
      </c>
      <c r="B3004" s="0" t="s">
        <v>4708</v>
      </c>
      <c r="C3004" s="16">
        <f>HYPERLINK("https://eosportal.federatedhermes.com/companies/Q29tcGFueQppNTg5NjM=", "Broadcom Inc")</f>
      </c>
      <c r="D3004" s="0" t="s">
        <v>25</v>
      </c>
      <c r="E3004" s="0" t="s">
        <v>7874</v>
      </c>
      <c r="F3004" s="16">
        <f>HYPERLINK("https://eosportal.federatedhermes.com/engagements/RW5nYWdlbWVudAppNDE2NzE=", "Energy Efficiency Ratings for Chips")</f>
      </c>
      <c r="G3004" s="14" t="s">
        <v>8084</v>
      </c>
      <c r="H3004" s="0" t="s">
        <v>141</v>
      </c>
      <c r="I3004" s="14" t="s">
        <v>131</v>
      </c>
      <c r="J3004" s="0" t="s">
        <v>197</v>
      </c>
      <c r="K3004" s="0" t="s">
        <v>198</v>
      </c>
      <c r="L3004" s="0" t="s">
        <v>220</v>
      </c>
      <c r="M3004" s="0" t="s">
        <v>135</v>
      </c>
      <c r="N3004" s="0" t="s">
        <v>136</v>
      </c>
      <c r="O3004" s="0" t="s">
        <v>1125</v>
      </c>
      <c r="Q3004" s="0" t="s">
        <v>141</v>
      </c>
      <c r="R3004" s="0" t="s">
        <v>138</v>
      </c>
      <c r="S3004" s="14">
        <v>1</v>
      </c>
      <c r="T3004" s="0" t="s">
        <v>361</v>
      </c>
      <c r="U3004" s="0" t="s">
        <v>138</v>
      </c>
      <c r="V3004" s="14" t="s">
        <v>138</v>
      </c>
      <c r="W3004" s="0" t="s">
        <v>138</v>
      </c>
      <c r="X3004" s="14" t="s">
        <v>138</v>
      </c>
      <c r="Y3004" s="0" t="s">
        <v>138</v>
      </c>
      <c r="Z3004" s="14" t="s">
        <v>138</v>
      </c>
      <c r="AA3004" s="0" t="s">
        <v>138</v>
      </c>
      <c r="AB3004" s="14" t="s">
        <v>138</v>
      </c>
      <c r="AD3004" s="0" t="s">
        <v>138</v>
      </c>
      <c r="AF3004" s="0">
        <v>0</v>
      </c>
      <c r="AG3004" s="0">
        <v>0</v>
      </c>
      <c r="AH3004" s="0" t="s">
        <v>140</v>
      </c>
      <c r="AI3004" s="0" t="s">
        <v>138</v>
      </c>
      <c r="AK3004" s="0" t="s">
        <v>1834</v>
      </c>
      <c r="AL3004" s="14"/>
      <c r="AN3004" s="14"/>
      <c r="AQ3004" s="0" t="s">
        <v>130</v>
      </c>
      <c r="AR3004" s="0" t="s">
        <v>130</v>
      </c>
      <c r="AS3004" s="0" t="s">
        <v>130</v>
      </c>
      <c r="AT3004" s="0" t="s">
        <v>130</v>
      </c>
      <c r="AU3004" s="0" t="s">
        <v>130</v>
      </c>
      <c r="AV3004" s="0" t="s">
        <v>130</v>
      </c>
      <c r="AW3004" s="0" t="s">
        <v>141</v>
      </c>
      <c r="AX3004" s="0" t="s">
        <v>130</v>
      </c>
      <c r="AY3004" s="0" t="s">
        <v>141</v>
      </c>
      <c r="AZ3004" s="0" t="s">
        <v>130</v>
      </c>
      <c r="BA3004" s="0" t="s">
        <v>130</v>
      </c>
      <c r="BB3004" s="0" t="s">
        <v>130</v>
      </c>
      <c r="BC3004" s="0" t="s">
        <v>141</v>
      </c>
      <c r="BD3004" s="0" t="s">
        <v>130</v>
      </c>
      <c r="BE3004" s="0" t="s">
        <v>130</v>
      </c>
      <c r="BF3004" s="0" t="s">
        <v>130</v>
      </c>
      <c r="BG3004" s="0" t="s">
        <v>130</v>
      </c>
      <c r="BH3004" s="0" t="s">
        <v>130</v>
      </c>
      <c r="BI3004" s="0" t="s">
        <v>130</v>
      </c>
      <c r="BJ3004" s="0" t="s">
        <v>130</v>
      </c>
      <c r="BK3004" s="0" t="s">
        <v>130</v>
      </c>
      <c r="BL3004" s="0" t="s">
        <v>130</v>
      </c>
      <c r="BM3004" s="0" t="s">
        <v>130</v>
      </c>
      <c r="BN3004" s="0" t="s">
        <v>130</v>
      </c>
      <c r="BO3004" s="0" t="s">
        <v>130</v>
      </c>
      <c r="BP3004" s="0" t="s">
        <v>130</v>
      </c>
      <c r="BQ3004" s="0" t="s">
        <v>130</v>
      </c>
      <c r="BR3004" s="0" t="s">
        <v>130</v>
      </c>
      <c r="BS3004" s="0" t="s">
        <v>130</v>
      </c>
      <c r="BT3004" s="0" t="s">
        <v>130</v>
      </c>
      <c r="BU3004" s="0" t="s">
        <v>130</v>
      </c>
      <c r="BV3004" s="0" t="s">
        <v>130</v>
      </c>
      <c r="BW3004" s="0" t="s">
        <v>130</v>
      </c>
      <c r="BX3004" s="0" t="s">
        <v>130</v>
      </c>
      <c r="BY3004" s="0" t="s">
        <v>130</v>
      </c>
      <c r="BZ3004" s="0" t="s">
        <v>130</v>
      </c>
      <c r="CA3004" s="0" t="s">
        <v>130</v>
      </c>
      <c r="CB3004" s="0" t="s">
        <v>130</v>
      </c>
      <c r="CC3004" s="0" t="s">
        <v>130</v>
      </c>
      <c r="CD3004" s="0" t="s">
        <v>130</v>
      </c>
      <c r="CE3004" s="0" t="s">
        <v>130</v>
      </c>
      <c r="CF3004" s="0" t="s">
        <v>130</v>
      </c>
      <c r="CG3004" s="0" t="s">
        <v>130</v>
      </c>
      <c r="CH3004" s="0" t="s">
        <v>130</v>
      </c>
      <c r="CI3004" s="0" t="s">
        <v>130</v>
      </c>
      <c r="CJ3004" s="0" t="s">
        <v>130</v>
      </c>
      <c r="CK3004" s="0" t="s">
        <v>130</v>
      </c>
      <c r="CL3004" s="0" t="s">
        <v>130</v>
      </c>
      <c r="CM3004" s="0" t="s">
        <v>130</v>
      </c>
      <c r="CN3004" s="0" t="s">
        <v>130</v>
      </c>
      <c r="CO3004" s="0" t="s">
        <v>130</v>
      </c>
      <c r="CP3004" s="0" t="s">
        <v>130</v>
      </c>
      <c r="CQ3004" s="0" t="s">
        <v>130</v>
      </c>
      <c r="CR3004" s="0" t="s">
        <v>130</v>
      </c>
      <c r="CS3004" s="0" t="s">
        <v>130</v>
      </c>
      <c r="CT3004" s="0" t="s">
        <v>8085</v>
      </c>
    </row>
    <row r="3005">
      <c r="A3005" s="14">
        <v>111124</v>
      </c>
      <c r="B3005" s="0" t="s">
        <v>316</v>
      </c>
      <c r="C3005" s="16">
        <f>HYPERLINK("https://eosportal.federatedhermes.com/companies/Q29tcGFueQppNzY3MDM=", "Ashtead Group PLC")</f>
      </c>
      <c r="D3005" s="0" t="s">
        <v>25</v>
      </c>
      <c r="E3005" s="0" t="s">
        <v>6617</v>
      </c>
      <c r="F3005" s="16">
        <f>HYPERLINK("https://eosportal.federatedhermes.com/engagements/RW5nYWdlbWVudAppNDE2NzU=", "Climate aligned accounting")</f>
      </c>
      <c r="G3005" s="14" t="s">
        <v>8086</v>
      </c>
      <c r="H3005" s="0" t="s">
        <v>130</v>
      </c>
      <c r="I3005" s="14" t="s">
        <v>319</v>
      </c>
      <c r="J3005" s="0" t="s">
        <v>197</v>
      </c>
      <c r="K3005" s="0" t="s">
        <v>198</v>
      </c>
      <c r="L3005" s="0" t="s">
        <v>199</v>
      </c>
      <c r="M3005" s="0" t="s">
        <v>272</v>
      </c>
      <c r="N3005" s="0" t="s">
        <v>273</v>
      </c>
      <c r="O3005" s="0" t="s">
        <v>176</v>
      </c>
      <c r="Q3005" s="0" t="s">
        <v>141</v>
      </c>
      <c r="R3005" s="0" t="s">
        <v>138</v>
      </c>
      <c r="S3005" s="14">
        <v>1</v>
      </c>
      <c r="T3005" s="0" t="s">
        <v>361</v>
      </c>
      <c r="U3005" s="0" t="s">
        <v>138</v>
      </c>
      <c r="V3005" s="14" t="s">
        <v>138</v>
      </c>
      <c r="W3005" s="0" t="s">
        <v>138</v>
      </c>
      <c r="X3005" s="14" t="s">
        <v>138</v>
      </c>
      <c r="Y3005" s="0" t="s">
        <v>138</v>
      </c>
      <c r="Z3005" s="14" t="s">
        <v>138</v>
      </c>
      <c r="AA3005" s="0" t="s">
        <v>138</v>
      </c>
      <c r="AB3005" s="14" t="s">
        <v>138</v>
      </c>
      <c r="AD3005" s="0" t="s">
        <v>138</v>
      </c>
      <c r="AF3005" s="0">
        <v>0</v>
      </c>
      <c r="AG3005" s="0">
        <v>0</v>
      </c>
      <c r="AH3005" s="0" t="s">
        <v>140</v>
      </c>
      <c r="AI3005" s="0" t="s">
        <v>138</v>
      </c>
      <c r="AK3005" s="0" t="s">
        <v>436</v>
      </c>
      <c r="AL3005" s="14"/>
      <c r="AN3005" s="14"/>
      <c r="AQ3005" s="0" t="s">
        <v>130</v>
      </c>
      <c r="AR3005" s="0" t="s">
        <v>130</v>
      </c>
      <c r="AS3005" s="0" t="s">
        <v>130</v>
      </c>
      <c r="AT3005" s="0" t="s">
        <v>130</v>
      </c>
      <c r="AU3005" s="0" t="s">
        <v>130</v>
      </c>
      <c r="AV3005" s="0" t="s">
        <v>130</v>
      </c>
      <c r="AW3005" s="0" t="s">
        <v>130</v>
      </c>
      <c r="AX3005" s="0" t="s">
        <v>130</v>
      </c>
      <c r="AY3005" s="0" t="s">
        <v>130</v>
      </c>
      <c r="AZ3005" s="0" t="s">
        <v>130</v>
      </c>
      <c r="BA3005" s="0" t="s">
        <v>130</v>
      </c>
      <c r="BB3005" s="0" t="s">
        <v>130</v>
      </c>
      <c r="BC3005" s="0" t="s">
        <v>141</v>
      </c>
      <c r="BD3005" s="0" t="s">
        <v>130</v>
      </c>
      <c r="BE3005" s="0" t="s">
        <v>130</v>
      </c>
      <c r="BF3005" s="0" t="s">
        <v>130</v>
      </c>
      <c r="BG3005" s="0" t="s">
        <v>130</v>
      </c>
      <c r="BH3005" s="0" t="s">
        <v>130</v>
      </c>
      <c r="BI3005" s="0" t="s">
        <v>130</v>
      </c>
      <c r="BJ3005" s="0" t="s">
        <v>130</v>
      </c>
      <c r="BK3005" s="0" t="s">
        <v>130</v>
      </c>
      <c r="BL3005" s="0" t="s">
        <v>130</v>
      </c>
      <c r="BM3005" s="0" t="s">
        <v>130</v>
      </c>
      <c r="BN3005" s="0" t="s">
        <v>130</v>
      </c>
      <c r="BO3005" s="0" t="s">
        <v>130</v>
      </c>
      <c r="BP3005" s="0" t="s">
        <v>130</v>
      </c>
      <c r="BQ3005" s="0" t="s">
        <v>130</v>
      </c>
      <c r="BR3005" s="0" t="s">
        <v>130</v>
      </c>
      <c r="BS3005" s="0" t="s">
        <v>130</v>
      </c>
      <c r="BT3005" s="0" t="s">
        <v>130</v>
      </c>
      <c r="BU3005" s="0" t="s">
        <v>130</v>
      </c>
      <c r="BV3005" s="0" t="s">
        <v>130</v>
      </c>
      <c r="BW3005" s="0" t="s">
        <v>130</v>
      </c>
      <c r="BX3005" s="0" t="s">
        <v>130</v>
      </c>
      <c r="BY3005" s="0" t="s">
        <v>130</v>
      </c>
      <c r="BZ3005" s="0" t="s">
        <v>130</v>
      </c>
      <c r="CA3005" s="0" t="s">
        <v>130</v>
      </c>
      <c r="CB3005" s="0" t="s">
        <v>130</v>
      </c>
      <c r="CC3005" s="0" t="s">
        <v>130</v>
      </c>
      <c r="CD3005" s="0" t="s">
        <v>130</v>
      </c>
      <c r="CE3005" s="0" t="s">
        <v>130</v>
      </c>
      <c r="CF3005" s="0" t="s">
        <v>130</v>
      </c>
      <c r="CG3005" s="0" t="s">
        <v>130</v>
      </c>
      <c r="CH3005" s="0" t="s">
        <v>130</v>
      </c>
      <c r="CI3005" s="0" t="s">
        <v>130</v>
      </c>
      <c r="CJ3005" s="0" t="s">
        <v>130</v>
      </c>
      <c r="CK3005" s="0" t="s">
        <v>130</v>
      </c>
      <c r="CL3005" s="0" t="s">
        <v>130</v>
      </c>
      <c r="CM3005" s="0" t="s">
        <v>130</v>
      </c>
      <c r="CN3005" s="0" t="s">
        <v>130</v>
      </c>
      <c r="CO3005" s="0" t="s">
        <v>130</v>
      </c>
      <c r="CP3005" s="0" t="s">
        <v>130</v>
      </c>
      <c r="CQ3005" s="0" t="s">
        <v>130</v>
      </c>
      <c r="CR3005" s="0" t="s">
        <v>130</v>
      </c>
      <c r="CS3005" s="0" t="s">
        <v>130</v>
      </c>
      <c r="CT3005" s="0" t="s">
        <v>8087</v>
      </c>
    </row>
    <row r="3006">
      <c r="A3006" s="14">
        <v>100787</v>
      </c>
      <c r="B3006" s="0" t="s">
        <v>1050</v>
      </c>
      <c r="C3006" s="16">
        <f>HYPERLINK("https://eosportal.federatedhermes.com/companies/Q29tcGFueQppODU5MzI=", "Trane Technologies plc")</f>
      </c>
      <c r="D3006" s="0" t="s">
        <v>25</v>
      </c>
      <c r="E3006" s="0" t="s">
        <v>7991</v>
      </c>
      <c r="F3006" s="16">
        <f>HYPERLINK("https://eosportal.federatedhermes.com/engagements/RW5nYWdlbWVudAppNDE2ODM=", "AI-related workforce impact")</f>
      </c>
      <c r="G3006" s="14" t="s">
        <v>7992</v>
      </c>
      <c r="H3006" s="0" t="s">
        <v>141</v>
      </c>
      <c r="I3006" s="14" t="s">
        <v>131</v>
      </c>
      <c r="J3006" s="0" t="s">
        <v>153</v>
      </c>
      <c r="K3006" s="0" t="s">
        <v>154</v>
      </c>
      <c r="L3006" s="0" t="s">
        <v>268</v>
      </c>
      <c r="M3006" s="0" t="s">
        <v>378</v>
      </c>
      <c r="N3006" s="0" t="s">
        <v>409</v>
      </c>
      <c r="O3006" s="0" t="s">
        <v>176</v>
      </c>
      <c r="Q3006" s="0" t="s">
        <v>141</v>
      </c>
      <c r="R3006" s="0" t="s">
        <v>138</v>
      </c>
      <c r="S3006" s="14">
        <v>1</v>
      </c>
      <c r="T3006" s="0" t="s">
        <v>361</v>
      </c>
      <c r="U3006" s="0" t="s">
        <v>138</v>
      </c>
      <c r="V3006" s="14" t="s">
        <v>138</v>
      </c>
      <c r="W3006" s="0" t="s">
        <v>138</v>
      </c>
      <c r="X3006" s="14" t="s">
        <v>138</v>
      </c>
      <c r="Y3006" s="0" t="s">
        <v>138</v>
      </c>
      <c r="Z3006" s="14" t="s">
        <v>138</v>
      </c>
      <c r="AA3006" s="0" t="s">
        <v>138</v>
      </c>
      <c r="AB3006" s="14" t="s">
        <v>138</v>
      </c>
      <c r="AD3006" s="0" t="s">
        <v>138</v>
      </c>
      <c r="AF3006" s="0">
        <v>0</v>
      </c>
      <c r="AG3006" s="0">
        <v>0</v>
      </c>
      <c r="AH3006" s="0" t="s">
        <v>140</v>
      </c>
      <c r="AI3006" s="0" t="s">
        <v>138</v>
      </c>
      <c r="AK3006" s="0" t="s">
        <v>436</v>
      </c>
      <c r="AL3006" s="14"/>
      <c r="AN3006" s="14"/>
      <c r="AQ3006" s="0" t="s">
        <v>130</v>
      </c>
      <c r="AR3006" s="0" t="s">
        <v>130</v>
      </c>
      <c r="AS3006" s="0" t="s">
        <v>130</v>
      </c>
      <c r="AT3006" s="0" t="s">
        <v>141</v>
      </c>
      <c r="AU3006" s="0" t="s">
        <v>130</v>
      </c>
      <c r="AV3006" s="0" t="s">
        <v>130</v>
      </c>
      <c r="AW3006" s="0" t="s">
        <v>130</v>
      </c>
      <c r="AX3006" s="0" t="s">
        <v>141</v>
      </c>
      <c r="AY3006" s="0" t="s">
        <v>130</v>
      </c>
      <c r="AZ3006" s="0" t="s">
        <v>130</v>
      </c>
      <c r="BA3006" s="0" t="s">
        <v>130</v>
      </c>
      <c r="BB3006" s="0" t="s">
        <v>130</v>
      </c>
      <c r="BC3006" s="0" t="s">
        <v>130</v>
      </c>
      <c r="BD3006" s="0" t="s">
        <v>130</v>
      </c>
      <c r="BE3006" s="0" t="s">
        <v>130</v>
      </c>
      <c r="BF3006" s="0" t="s">
        <v>130</v>
      </c>
      <c r="BG3006" s="0" t="s">
        <v>130</v>
      </c>
      <c r="BH3006" s="0" t="s">
        <v>130</v>
      </c>
      <c r="BI3006" s="0" t="s">
        <v>130</v>
      </c>
      <c r="BJ3006" s="0" t="s">
        <v>130</v>
      </c>
      <c r="BK3006" s="0" t="s">
        <v>130</v>
      </c>
      <c r="BL3006" s="0" t="s">
        <v>130</v>
      </c>
      <c r="BM3006" s="0" t="s">
        <v>130</v>
      </c>
      <c r="BN3006" s="0" t="s">
        <v>130</v>
      </c>
      <c r="BO3006" s="0" t="s">
        <v>130</v>
      </c>
      <c r="BP3006" s="0" t="s">
        <v>130</v>
      </c>
      <c r="BQ3006" s="0" t="s">
        <v>130</v>
      </c>
      <c r="BR3006" s="0" t="s">
        <v>130</v>
      </c>
      <c r="BS3006" s="0" t="s">
        <v>130</v>
      </c>
      <c r="BT3006" s="0" t="s">
        <v>130</v>
      </c>
      <c r="BU3006" s="0" t="s">
        <v>130</v>
      </c>
      <c r="BV3006" s="0" t="s">
        <v>130</v>
      </c>
      <c r="BW3006" s="0" t="s">
        <v>130</v>
      </c>
      <c r="BX3006" s="0" t="s">
        <v>130</v>
      </c>
      <c r="BY3006" s="0" t="s">
        <v>130</v>
      </c>
      <c r="BZ3006" s="0" t="s">
        <v>130</v>
      </c>
      <c r="CA3006" s="0" t="s">
        <v>130</v>
      </c>
      <c r="CB3006" s="0" t="s">
        <v>130</v>
      </c>
      <c r="CC3006" s="0" t="s">
        <v>130</v>
      </c>
      <c r="CD3006" s="0" t="s">
        <v>130</v>
      </c>
      <c r="CE3006" s="0" t="s">
        <v>130</v>
      </c>
      <c r="CF3006" s="0" t="s">
        <v>130</v>
      </c>
      <c r="CG3006" s="0" t="s">
        <v>130</v>
      </c>
      <c r="CH3006" s="0" t="s">
        <v>130</v>
      </c>
      <c r="CI3006" s="0" t="s">
        <v>130</v>
      </c>
      <c r="CJ3006" s="0" t="s">
        <v>130</v>
      </c>
      <c r="CK3006" s="0" t="s">
        <v>141</v>
      </c>
      <c r="CL3006" s="0" t="s">
        <v>130</v>
      </c>
      <c r="CM3006" s="0" t="s">
        <v>130</v>
      </c>
      <c r="CN3006" s="0" t="s">
        <v>130</v>
      </c>
      <c r="CO3006" s="0" t="s">
        <v>130</v>
      </c>
      <c r="CP3006" s="0" t="s">
        <v>130</v>
      </c>
      <c r="CQ3006" s="0" t="s">
        <v>130</v>
      </c>
      <c r="CR3006" s="0" t="s">
        <v>130</v>
      </c>
      <c r="CS3006" s="0" t="s">
        <v>130</v>
      </c>
      <c r="CT3006" s="0" t="s">
        <v>8088</v>
      </c>
    </row>
    <row r="3007">
      <c r="A3007" s="14">
        <v>115505</v>
      </c>
      <c r="B3007" s="0" t="s">
        <v>2425</v>
      </c>
      <c r="C3007" s="16">
        <f>HYPERLINK("https://eosportal.federatedhermes.com/companies/Q29tcGFueQppNTg5NTA=", "Vinci SA")</f>
      </c>
      <c r="D3007" s="0" t="s">
        <v>25</v>
      </c>
      <c r="E3007" s="0" t="s">
        <v>6533</v>
      </c>
      <c r="F3007" s="16">
        <f>HYPERLINK("https://eosportal.federatedhermes.com/engagements/RW5nYWdlbWVudAppNDE2OTQ=", "Climate aligned accounting and audit")</f>
      </c>
      <c r="G3007" s="14" t="s">
        <v>8089</v>
      </c>
      <c r="H3007" s="0" t="s">
        <v>141</v>
      </c>
      <c r="I3007" s="14" t="s">
        <v>191</v>
      </c>
      <c r="J3007" s="0" t="s">
        <v>197</v>
      </c>
      <c r="K3007" s="0" t="s">
        <v>198</v>
      </c>
      <c r="L3007" s="0" t="s">
        <v>199</v>
      </c>
      <c r="M3007" s="0" t="s">
        <v>378</v>
      </c>
      <c r="N3007" s="0" t="s">
        <v>1646</v>
      </c>
      <c r="O3007" s="0" t="s">
        <v>176</v>
      </c>
      <c r="Q3007" s="0" t="s">
        <v>141</v>
      </c>
      <c r="R3007" s="0" t="s">
        <v>138</v>
      </c>
      <c r="S3007" s="14">
        <v>1</v>
      </c>
      <c r="T3007" s="0" t="s">
        <v>361</v>
      </c>
      <c r="U3007" s="0" t="s">
        <v>138</v>
      </c>
      <c r="V3007" s="14" t="s">
        <v>138</v>
      </c>
      <c r="W3007" s="0" t="s">
        <v>138</v>
      </c>
      <c r="X3007" s="14" t="s">
        <v>138</v>
      </c>
      <c r="Y3007" s="0" t="s">
        <v>138</v>
      </c>
      <c r="Z3007" s="14" t="s">
        <v>138</v>
      </c>
      <c r="AA3007" s="0" t="s">
        <v>138</v>
      </c>
      <c r="AB3007" s="14" t="s">
        <v>138</v>
      </c>
      <c r="AD3007" s="0" t="s">
        <v>138</v>
      </c>
      <c r="AF3007" s="0">
        <v>0</v>
      </c>
      <c r="AG3007" s="0">
        <v>0</v>
      </c>
      <c r="AH3007" s="0" t="s">
        <v>140</v>
      </c>
      <c r="AI3007" s="0" t="s">
        <v>138</v>
      </c>
      <c r="AK3007" s="0" t="s">
        <v>436</v>
      </c>
      <c r="AL3007" s="14"/>
      <c r="AN3007" s="14"/>
      <c r="AQ3007" s="0" t="s">
        <v>130</v>
      </c>
      <c r="AR3007" s="0" t="s">
        <v>130</v>
      </c>
      <c r="AS3007" s="0" t="s">
        <v>130</v>
      </c>
      <c r="AT3007" s="0" t="s">
        <v>130</v>
      </c>
      <c r="AU3007" s="0" t="s">
        <v>130</v>
      </c>
      <c r="AV3007" s="0" t="s">
        <v>130</v>
      </c>
      <c r="AW3007" s="0" t="s">
        <v>130</v>
      </c>
      <c r="AX3007" s="0" t="s">
        <v>130</v>
      </c>
      <c r="AY3007" s="0" t="s">
        <v>130</v>
      </c>
      <c r="AZ3007" s="0" t="s">
        <v>130</v>
      </c>
      <c r="BA3007" s="0" t="s">
        <v>130</v>
      </c>
      <c r="BB3007" s="0" t="s">
        <v>130</v>
      </c>
      <c r="BC3007" s="0" t="s">
        <v>141</v>
      </c>
      <c r="BD3007" s="0" t="s">
        <v>130</v>
      </c>
      <c r="BE3007" s="0" t="s">
        <v>130</v>
      </c>
      <c r="BF3007" s="0" t="s">
        <v>130</v>
      </c>
      <c r="BG3007" s="0" t="s">
        <v>130</v>
      </c>
      <c r="BH3007" s="0" t="s">
        <v>130</v>
      </c>
      <c r="BI3007" s="0" t="s">
        <v>130</v>
      </c>
      <c r="BJ3007" s="0" t="s">
        <v>130</v>
      </c>
      <c r="BK3007" s="0" t="s">
        <v>130</v>
      </c>
      <c r="BL3007" s="0" t="s">
        <v>130</v>
      </c>
      <c r="BM3007" s="0" t="s">
        <v>130</v>
      </c>
      <c r="BN3007" s="0" t="s">
        <v>130</v>
      </c>
      <c r="BO3007" s="0" t="s">
        <v>130</v>
      </c>
      <c r="BP3007" s="0" t="s">
        <v>130</v>
      </c>
      <c r="BQ3007" s="0" t="s">
        <v>130</v>
      </c>
      <c r="BR3007" s="0" t="s">
        <v>130</v>
      </c>
      <c r="BS3007" s="0" t="s">
        <v>130</v>
      </c>
      <c r="BT3007" s="0" t="s">
        <v>130</v>
      </c>
      <c r="BU3007" s="0" t="s">
        <v>130</v>
      </c>
      <c r="BV3007" s="0" t="s">
        <v>130</v>
      </c>
      <c r="BW3007" s="0" t="s">
        <v>130</v>
      </c>
      <c r="BX3007" s="0" t="s">
        <v>130</v>
      </c>
      <c r="BY3007" s="0" t="s">
        <v>130</v>
      </c>
      <c r="BZ3007" s="0" t="s">
        <v>130</v>
      </c>
      <c r="CA3007" s="0" t="s">
        <v>130</v>
      </c>
      <c r="CB3007" s="0" t="s">
        <v>130</v>
      </c>
      <c r="CC3007" s="0" t="s">
        <v>130</v>
      </c>
      <c r="CD3007" s="0" t="s">
        <v>130</v>
      </c>
      <c r="CE3007" s="0" t="s">
        <v>130</v>
      </c>
      <c r="CF3007" s="0" t="s">
        <v>130</v>
      </c>
      <c r="CG3007" s="0" t="s">
        <v>130</v>
      </c>
      <c r="CH3007" s="0" t="s">
        <v>130</v>
      </c>
      <c r="CI3007" s="0" t="s">
        <v>130</v>
      </c>
      <c r="CJ3007" s="0" t="s">
        <v>130</v>
      </c>
      <c r="CK3007" s="0" t="s">
        <v>130</v>
      </c>
      <c r="CL3007" s="0" t="s">
        <v>130</v>
      </c>
      <c r="CM3007" s="0" t="s">
        <v>130</v>
      </c>
      <c r="CN3007" s="0" t="s">
        <v>130</v>
      </c>
      <c r="CO3007" s="0" t="s">
        <v>130</v>
      </c>
      <c r="CP3007" s="0" t="s">
        <v>130</v>
      </c>
      <c r="CQ3007" s="0" t="s">
        <v>130</v>
      </c>
      <c r="CR3007" s="0" t="s">
        <v>130</v>
      </c>
      <c r="CS3007" s="0" t="s">
        <v>130</v>
      </c>
      <c r="CT3007" s="0" t="s">
        <v>8090</v>
      </c>
    </row>
    <row r="3008">
      <c r="A3008" s="14">
        <v>100438</v>
      </c>
      <c r="B3008" s="0" t="s">
        <v>573</v>
      </c>
      <c r="C3008" s="16">
        <f>HYPERLINK("https://eosportal.federatedhermes.com/companies/Q29tcGFueQppNjQzODk=", "Deere &amp; Co")</f>
      </c>
      <c r="D3008" s="0" t="s">
        <v>25</v>
      </c>
      <c r="E3008" s="0" t="s">
        <v>7991</v>
      </c>
      <c r="F3008" s="16">
        <f>HYPERLINK("https://eosportal.federatedhermes.com/engagements/RW5nYWdlbWVudAppNDE2OTg=", "AI-related workforce impact")</f>
      </c>
      <c r="G3008" s="14" t="s">
        <v>8091</v>
      </c>
      <c r="H3008" s="0" t="s">
        <v>141</v>
      </c>
      <c r="I3008" s="14" t="s">
        <v>191</v>
      </c>
      <c r="J3008" s="0" t="s">
        <v>153</v>
      </c>
      <c r="K3008" s="0" t="s">
        <v>154</v>
      </c>
      <c r="L3008" s="0" t="s">
        <v>268</v>
      </c>
      <c r="M3008" s="0" t="s">
        <v>135</v>
      </c>
      <c r="N3008" s="0" t="s">
        <v>136</v>
      </c>
      <c r="O3008" s="0" t="s">
        <v>176</v>
      </c>
      <c r="Q3008" s="0" t="s">
        <v>141</v>
      </c>
      <c r="R3008" s="0" t="s">
        <v>138</v>
      </c>
      <c r="S3008" s="14">
        <v>2</v>
      </c>
      <c r="T3008" s="0" t="s">
        <v>361</v>
      </c>
      <c r="U3008" s="0" t="s">
        <v>138</v>
      </c>
      <c r="V3008" s="14" t="s">
        <v>138</v>
      </c>
      <c r="W3008" s="0" t="s">
        <v>138</v>
      </c>
      <c r="X3008" s="14" t="s">
        <v>138</v>
      </c>
      <c r="Y3008" s="0" t="s">
        <v>138</v>
      </c>
      <c r="Z3008" s="14" t="s">
        <v>138</v>
      </c>
      <c r="AA3008" s="0" t="s">
        <v>138</v>
      </c>
      <c r="AB3008" s="14" t="s">
        <v>138</v>
      </c>
      <c r="AD3008" s="0" t="s">
        <v>138</v>
      </c>
      <c r="AF3008" s="0">
        <v>0</v>
      </c>
      <c r="AG3008" s="0">
        <v>0</v>
      </c>
      <c r="AH3008" s="0" t="s">
        <v>140</v>
      </c>
      <c r="AI3008" s="0" t="s">
        <v>138</v>
      </c>
      <c r="AK3008" s="0" t="s">
        <v>584</v>
      </c>
      <c r="AL3008" s="14"/>
      <c r="AN3008" s="14"/>
      <c r="AQ3008" s="0" t="s">
        <v>130</v>
      </c>
      <c r="AR3008" s="0" t="s">
        <v>130</v>
      </c>
      <c r="AS3008" s="0" t="s">
        <v>130</v>
      </c>
      <c r="AT3008" s="0" t="s">
        <v>141</v>
      </c>
      <c r="AU3008" s="0" t="s">
        <v>130</v>
      </c>
      <c r="AV3008" s="0" t="s">
        <v>130</v>
      </c>
      <c r="AW3008" s="0" t="s">
        <v>130</v>
      </c>
      <c r="AX3008" s="0" t="s">
        <v>141</v>
      </c>
      <c r="AY3008" s="0" t="s">
        <v>130</v>
      </c>
      <c r="AZ3008" s="0" t="s">
        <v>130</v>
      </c>
      <c r="BA3008" s="0" t="s">
        <v>130</v>
      </c>
      <c r="BB3008" s="0" t="s">
        <v>130</v>
      </c>
      <c r="BC3008" s="0" t="s">
        <v>130</v>
      </c>
      <c r="BD3008" s="0" t="s">
        <v>130</v>
      </c>
      <c r="BE3008" s="0" t="s">
        <v>130</v>
      </c>
      <c r="BF3008" s="0" t="s">
        <v>130</v>
      </c>
      <c r="BG3008" s="0" t="s">
        <v>130</v>
      </c>
      <c r="BH3008" s="0" t="s">
        <v>130</v>
      </c>
      <c r="BI3008" s="0" t="s">
        <v>130</v>
      </c>
      <c r="BJ3008" s="0" t="s">
        <v>130</v>
      </c>
      <c r="BK3008" s="0" t="s">
        <v>130</v>
      </c>
      <c r="BL3008" s="0" t="s">
        <v>130</v>
      </c>
      <c r="BM3008" s="0" t="s">
        <v>130</v>
      </c>
      <c r="BN3008" s="0" t="s">
        <v>130</v>
      </c>
      <c r="BO3008" s="0" t="s">
        <v>130</v>
      </c>
      <c r="BP3008" s="0" t="s">
        <v>130</v>
      </c>
      <c r="BQ3008" s="0" t="s">
        <v>130</v>
      </c>
      <c r="BR3008" s="0" t="s">
        <v>130</v>
      </c>
      <c r="BS3008" s="0" t="s">
        <v>130</v>
      </c>
      <c r="BT3008" s="0" t="s">
        <v>130</v>
      </c>
      <c r="BU3008" s="0" t="s">
        <v>130</v>
      </c>
      <c r="BV3008" s="0" t="s">
        <v>130</v>
      </c>
      <c r="BW3008" s="0" t="s">
        <v>130</v>
      </c>
      <c r="BX3008" s="0" t="s">
        <v>130</v>
      </c>
      <c r="BY3008" s="0" t="s">
        <v>130</v>
      </c>
      <c r="BZ3008" s="0" t="s">
        <v>130</v>
      </c>
      <c r="CA3008" s="0" t="s">
        <v>130</v>
      </c>
      <c r="CB3008" s="0" t="s">
        <v>130</v>
      </c>
      <c r="CC3008" s="0" t="s">
        <v>130</v>
      </c>
      <c r="CD3008" s="0" t="s">
        <v>130</v>
      </c>
      <c r="CE3008" s="0" t="s">
        <v>130</v>
      </c>
      <c r="CF3008" s="0" t="s">
        <v>130</v>
      </c>
      <c r="CG3008" s="0" t="s">
        <v>130</v>
      </c>
      <c r="CH3008" s="0" t="s">
        <v>130</v>
      </c>
      <c r="CI3008" s="0" t="s">
        <v>130</v>
      </c>
      <c r="CJ3008" s="0" t="s">
        <v>130</v>
      </c>
      <c r="CK3008" s="0" t="s">
        <v>141</v>
      </c>
      <c r="CL3008" s="0" t="s">
        <v>130</v>
      </c>
      <c r="CM3008" s="0" t="s">
        <v>130</v>
      </c>
      <c r="CN3008" s="0" t="s">
        <v>130</v>
      </c>
      <c r="CO3008" s="0" t="s">
        <v>130</v>
      </c>
      <c r="CP3008" s="0" t="s">
        <v>130</v>
      </c>
      <c r="CQ3008" s="0" t="s">
        <v>130</v>
      </c>
      <c r="CR3008" s="0" t="s">
        <v>130</v>
      </c>
      <c r="CS3008" s="0" t="s">
        <v>130</v>
      </c>
      <c r="CT3008" s="0" t="s">
        <v>8092</v>
      </c>
    </row>
    <row r="3009">
      <c r="A3009" s="14">
        <v>1475463</v>
      </c>
      <c r="B3009" s="0" t="s">
        <v>3694</v>
      </c>
      <c r="C3009" s="16">
        <f>HYPERLINK("https://eosportal.federatedhermes.com/companies/Q29tcGFueQppODU4OTA=", "Experian PLC")</f>
      </c>
      <c r="D3009" s="0" t="s">
        <v>25</v>
      </c>
      <c r="E3009" s="0" t="s">
        <v>8093</v>
      </c>
      <c r="F3009" s="16">
        <f>HYPERLINK("https://eosportal.federatedhermes.com/engagements/RW5nYWdlbWVudAppNDE3MDk=", "AI-related workforce impacts")</f>
      </c>
      <c r="G3009" s="14" t="s">
        <v>8094</v>
      </c>
      <c r="H3009" s="0" t="s">
        <v>130</v>
      </c>
      <c r="I3009" s="14" t="s">
        <v>319</v>
      </c>
      <c r="J3009" s="0" t="s">
        <v>153</v>
      </c>
      <c r="K3009" s="0" t="s">
        <v>154</v>
      </c>
      <c r="L3009" s="0" t="s">
        <v>268</v>
      </c>
      <c r="M3009" s="0" t="s">
        <v>378</v>
      </c>
      <c r="N3009" s="0" t="s">
        <v>409</v>
      </c>
      <c r="O3009" s="0" t="s">
        <v>176</v>
      </c>
      <c r="Q3009" s="0" t="s">
        <v>141</v>
      </c>
      <c r="R3009" s="0" t="s">
        <v>138</v>
      </c>
      <c r="S3009" s="14">
        <v>2</v>
      </c>
      <c r="T3009" s="0" t="s">
        <v>361</v>
      </c>
      <c r="U3009" s="0" t="s">
        <v>138</v>
      </c>
      <c r="V3009" s="14" t="s">
        <v>138</v>
      </c>
      <c r="W3009" s="0" t="s">
        <v>138</v>
      </c>
      <c r="X3009" s="14" t="s">
        <v>138</v>
      </c>
      <c r="Y3009" s="0" t="s">
        <v>138</v>
      </c>
      <c r="Z3009" s="14" t="s">
        <v>138</v>
      </c>
      <c r="AA3009" s="0" t="s">
        <v>138</v>
      </c>
      <c r="AB3009" s="14" t="s">
        <v>138</v>
      </c>
      <c r="AD3009" s="0" t="s">
        <v>138</v>
      </c>
      <c r="AF3009" s="0">
        <v>0</v>
      </c>
      <c r="AG3009" s="0">
        <v>0</v>
      </c>
      <c r="AH3009" s="0" t="s">
        <v>140</v>
      </c>
      <c r="AI3009" s="0" t="s">
        <v>138</v>
      </c>
      <c r="AK3009" s="0" t="s">
        <v>436</v>
      </c>
      <c r="AL3009" s="14"/>
      <c r="AN3009" s="14"/>
      <c r="AQ3009" s="0" t="s">
        <v>130</v>
      </c>
      <c r="AR3009" s="0" t="s">
        <v>130</v>
      </c>
      <c r="AS3009" s="0" t="s">
        <v>130</v>
      </c>
      <c r="AT3009" s="0" t="s">
        <v>141</v>
      </c>
      <c r="AU3009" s="0" t="s">
        <v>130</v>
      </c>
      <c r="AV3009" s="0" t="s">
        <v>130</v>
      </c>
      <c r="AW3009" s="0" t="s">
        <v>130</v>
      </c>
      <c r="AX3009" s="0" t="s">
        <v>141</v>
      </c>
      <c r="AY3009" s="0" t="s">
        <v>130</v>
      </c>
      <c r="AZ3009" s="0" t="s">
        <v>130</v>
      </c>
      <c r="BA3009" s="0" t="s">
        <v>130</v>
      </c>
      <c r="BB3009" s="0" t="s">
        <v>130</v>
      </c>
      <c r="BC3009" s="0" t="s">
        <v>130</v>
      </c>
      <c r="BD3009" s="0" t="s">
        <v>130</v>
      </c>
      <c r="BE3009" s="0" t="s">
        <v>130</v>
      </c>
      <c r="BF3009" s="0" t="s">
        <v>130</v>
      </c>
      <c r="BG3009" s="0" t="s">
        <v>130</v>
      </c>
      <c r="BH3009" s="0" t="s">
        <v>130</v>
      </c>
      <c r="BI3009" s="0" t="s">
        <v>130</v>
      </c>
      <c r="BJ3009" s="0" t="s">
        <v>130</v>
      </c>
      <c r="BK3009" s="0" t="s">
        <v>130</v>
      </c>
      <c r="BL3009" s="0" t="s">
        <v>130</v>
      </c>
      <c r="BM3009" s="0" t="s">
        <v>130</v>
      </c>
      <c r="BN3009" s="0" t="s">
        <v>130</v>
      </c>
      <c r="BO3009" s="0" t="s">
        <v>130</v>
      </c>
      <c r="BP3009" s="0" t="s">
        <v>130</v>
      </c>
      <c r="BQ3009" s="0" t="s">
        <v>130</v>
      </c>
      <c r="BR3009" s="0" t="s">
        <v>130</v>
      </c>
      <c r="BS3009" s="0" t="s">
        <v>130</v>
      </c>
      <c r="BT3009" s="0" t="s">
        <v>130</v>
      </c>
      <c r="BU3009" s="0" t="s">
        <v>130</v>
      </c>
      <c r="BV3009" s="0" t="s">
        <v>130</v>
      </c>
      <c r="BW3009" s="0" t="s">
        <v>130</v>
      </c>
      <c r="BX3009" s="0" t="s">
        <v>130</v>
      </c>
      <c r="BY3009" s="0" t="s">
        <v>130</v>
      </c>
      <c r="BZ3009" s="0" t="s">
        <v>130</v>
      </c>
      <c r="CA3009" s="0" t="s">
        <v>130</v>
      </c>
      <c r="CB3009" s="0" t="s">
        <v>130</v>
      </c>
      <c r="CC3009" s="0" t="s">
        <v>130</v>
      </c>
      <c r="CD3009" s="0" t="s">
        <v>130</v>
      </c>
      <c r="CE3009" s="0" t="s">
        <v>130</v>
      </c>
      <c r="CF3009" s="0" t="s">
        <v>130</v>
      </c>
      <c r="CG3009" s="0" t="s">
        <v>130</v>
      </c>
      <c r="CH3009" s="0" t="s">
        <v>130</v>
      </c>
      <c r="CI3009" s="0" t="s">
        <v>130</v>
      </c>
      <c r="CJ3009" s="0" t="s">
        <v>130</v>
      </c>
      <c r="CK3009" s="0" t="s">
        <v>141</v>
      </c>
      <c r="CL3009" s="0" t="s">
        <v>130</v>
      </c>
      <c r="CM3009" s="0" t="s">
        <v>130</v>
      </c>
      <c r="CN3009" s="0" t="s">
        <v>130</v>
      </c>
      <c r="CO3009" s="0" t="s">
        <v>130</v>
      </c>
      <c r="CP3009" s="0" t="s">
        <v>130</v>
      </c>
      <c r="CQ3009" s="0" t="s">
        <v>130</v>
      </c>
      <c r="CR3009" s="0" t="s">
        <v>130</v>
      </c>
      <c r="CS3009" s="0" t="s">
        <v>130</v>
      </c>
      <c r="CT3009" s="0" t="s">
        <v>8095</v>
      </c>
    </row>
    <row r="3010">
      <c r="A3010" s="14">
        <v>100358</v>
      </c>
      <c r="B3010" s="0" t="s">
        <v>641</v>
      </c>
      <c r="C3010" s="16">
        <f>HYPERLINK("https://eosportal.federatedhermes.com/companies/Q29tcGFueQppNDgyOTI=", "Coles Group Ltd")</f>
      </c>
      <c r="D3010" s="0" t="s">
        <v>25</v>
      </c>
      <c r="E3010" s="0" t="s">
        <v>8096</v>
      </c>
      <c r="F3010" s="16">
        <f>HYPERLINK("https://eosportal.federatedhermes.com/engagements/RW5nYWdlbWVudAppNDE3NDM=", "Seafood sourcing policy")</f>
      </c>
      <c r="G3010" s="14" t="s">
        <v>8097</v>
      </c>
      <c r="H3010" s="0" t="s">
        <v>130</v>
      </c>
      <c r="I3010" s="14" t="s">
        <v>319</v>
      </c>
      <c r="J3010" s="0" t="s">
        <v>197</v>
      </c>
      <c r="K3010" s="0" t="s">
        <v>337</v>
      </c>
      <c r="L3010" s="0" t="s">
        <v>338</v>
      </c>
      <c r="M3010" s="0" t="s">
        <v>371</v>
      </c>
      <c r="N3010" s="0" t="s">
        <v>372</v>
      </c>
      <c r="O3010" s="0" t="s">
        <v>643</v>
      </c>
      <c r="Q3010" s="0" t="s">
        <v>141</v>
      </c>
      <c r="R3010" s="0" t="s">
        <v>138</v>
      </c>
      <c r="S3010" s="14">
        <v>1</v>
      </c>
      <c r="T3010" s="0" t="s">
        <v>361</v>
      </c>
      <c r="U3010" s="0" t="s">
        <v>138</v>
      </c>
      <c r="V3010" s="14" t="s">
        <v>138</v>
      </c>
      <c r="W3010" s="0" t="s">
        <v>138</v>
      </c>
      <c r="X3010" s="14" t="s">
        <v>138</v>
      </c>
      <c r="Y3010" s="0" t="s">
        <v>138</v>
      </c>
      <c r="Z3010" s="14" t="s">
        <v>138</v>
      </c>
      <c r="AA3010" s="0" t="s">
        <v>138</v>
      </c>
      <c r="AB3010" s="14" t="s">
        <v>138</v>
      </c>
      <c r="AD3010" s="0" t="s">
        <v>138</v>
      </c>
      <c r="AF3010" s="0">
        <v>0</v>
      </c>
      <c r="AG3010" s="0">
        <v>0</v>
      </c>
      <c r="AH3010" s="0" t="s">
        <v>140</v>
      </c>
      <c r="AI3010" s="0" t="s">
        <v>138</v>
      </c>
      <c r="AK3010" s="0" t="s">
        <v>253</v>
      </c>
      <c r="AL3010" s="14"/>
      <c r="AN3010" s="14"/>
      <c r="AQ3010" s="0" t="s">
        <v>130</v>
      </c>
      <c r="AR3010" s="0" t="s">
        <v>141</v>
      </c>
      <c r="AS3010" s="0" t="s">
        <v>130</v>
      </c>
      <c r="AT3010" s="0" t="s">
        <v>130</v>
      </c>
      <c r="AU3010" s="0" t="s">
        <v>130</v>
      </c>
      <c r="AV3010" s="0" t="s">
        <v>130</v>
      </c>
      <c r="AW3010" s="0" t="s">
        <v>130</v>
      </c>
      <c r="AX3010" s="0" t="s">
        <v>130</v>
      </c>
      <c r="AY3010" s="0" t="s">
        <v>130</v>
      </c>
      <c r="AZ3010" s="0" t="s">
        <v>130</v>
      </c>
      <c r="BA3010" s="0" t="s">
        <v>130</v>
      </c>
      <c r="BB3010" s="0" t="s">
        <v>130</v>
      </c>
      <c r="BC3010" s="0" t="s">
        <v>130</v>
      </c>
      <c r="BD3010" s="0" t="s">
        <v>130</v>
      </c>
      <c r="BE3010" s="0" t="s">
        <v>130</v>
      </c>
      <c r="BF3010" s="0" t="s">
        <v>130</v>
      </c>
      <c r="BG3010" s="0" t="s">
        <v>130</v>
      </c>
      <c r="BH3010" s="0" t="s">
        <v>130</v>
      </c>
      <c r="BI3010" s="0" t="s">
        <v>130</v>
      </c>
      <c r="BJ3010" s="0" t="s">
        <v>130</v>
      </c>
      <c r="BK3010" s="0" t="s">
        <v>130</v>
      </c>
      <c r="BL3010" s="0" t="s">
        <v>130</v>
      </c>
      <c r="BM3010" s="0" t="s">
        <v>130</v>
      </c>
      <c r="BN3010" s="0" t="s">
        <v>130</v>
      </c>
      <c r="BO3010" s="0" t="s">
        <v>130</v>
      </c>
      <c r="BP3010" s="0" t="s">
        <v>130</v>
      </c>
      <c r="BQ3010" s="0" t="s">
        <v>130</v>
      </c>
      <c r="BR3010" s="0" t="s">
        <v>130</v>
      </c>
      <c r="BS3010" s="0" t="s">
        <v>130</v>
      </c>
      <c r="BT3010" s="0" t="s">
        <v>130</v>
      </c>
      <c r="BU3010" s="0" t="s">
        <v>130</v>
      </c>
      <c r="BV3010" s="0" t="s">
        <v>130</v>
      </c>
      <c r="BW3010" s="0" t="s">
        <v>130</v>
      </c>
      <c r="BX3010" s="0" t="s">
        <v>141</v>
      </c>
      <c r="BY3010" s="0" t="s">
        <v>130</v>
      </c>
      <c r="BZ3010" s="0" t="s">
        <v>130</v>
      </c>
      <c r="CA3010" s="0" t="s">
        <v>130</v>
      </c>
      <c r="CB3010" s="0" t="s">
        <v>130</v>
      </c>
      <c r="CC3010" s="0" t="s">
        <v>130</v>
      </c>
      <c r="CD3010" s="0" t="s">
        <v>130</v>
      </c>
      <c r="CE3010" s="0" t="s">
        <v>130</v>
      </c>
      <c r="CF3010" s="0" t="s">
        <v>130</v>
      </c>
      <c r="CG3010" s="0" t="s">
        <v>130</v>
      </c>
      <c r="CH3010" s="0" t="s">
        <v>130</v>
      </c>
      <c r="CI3010" s="0" t="s">
        <v>130</v>
      </c>
      <c r="CJ3010" s="0" t="s">
        <v>130</v>
      </c>
      <c r="CK3010" s="0" t="s">
        <v>130</v>
      </c>
      <c r="CL3010" s="0" t="s">
        <v>130</v>
      </c>
      <c r="CM3010" s="0" t="s">
        <v>130</v>
      </c>
      <c r="CN3010" s="0" t="s">
        <v>130</v>
      </c>
      <c r="CO3010" s="0" t="s">
        <v>130</v>
      </c>
      <c r="CP3010" s="0" t="s">
        <v>130</v>
      </c>
      <c r="CQ3010" s="0" t="s">
        <v>130</v>
      </c>
      <c r="CR3010" s="0" t="s">
        <v>130</v>
      </c>
      <c r="CS3010" s="0" t="s">
        <v>130</v>
      </c>
      <c r="CT3010" s="0" t="s">
        <v>8098</v>
      </c>
    </row>
    <row r="3011">
      <c r="A3011" s="14">
        <v>113148</v>
      </c>
      <c r="B3011" s="0" t="s">
        <v>1270</v>
      </c>
      <c r="C3011" s="16">
        <f>HYPERLINK("https://eosportal.federatedhermes.com/companies/Q29tcGFueQppNTIyNjI=", "Woolworths Group Ltd")</f>
      </c>
      <c r="D3011" s="0" t="s">
        <v>25</v>
      </c>
      <c r="E3011" s="0" t="s">
        <v>8099</v>
      </c>
      <c r="F3011" s="16">
        <f>HYPERLINK("https://eosportal.federatedhermes.com/engagements/RW5nYWdlbWVudAppNDE3NDQ=", "Seafood sourcing")</f>
      </c>
      <c r="G3011" s="14" t="s">
        <v>8100</v>
      </c>
      <c r="H3011" s="0" t="s">
        <v>130</v>
      </c>
      <c r="I3011" s="14" t="s">
        <v>319</v>
      </c>
      <c r="J3011" s="0" t="s">
        <v>197</v>
      </c>
      <c r="K3011" s="0" t="s">
        <v>337</v>
      </c>
      <c r="L3011" s="0" t="s">
        <v>338</v>
      </c>
      <c r="M3011" s="0" t="s">
        <v>371</v>
      </c>
      <c r="N3011" s="0" t="s">
        <v>372</v>
      </c>
      <c r="O3011" s="0" t="s">
        <v>643</v>
      </c>
      <c r="Q3011" s="0" t="s">
        <v>141</v>
      </c>
      <c r="R3011" s="0" t="s">
        <v>138</v>
      </c>
      <c r="S3011" s="14">
        <v>1</v>
      </c>
      <c r="T3011" s="0" t="s">
        <v>361</v>
      </c>
      <c r="U3011" s="0" t="s">
        <v>138</v>
      </c>
      <c r="V3011" s="14" t="s">
        <v>138</v>
      </c>
      <c r="W3011" s="0" t="s">
        <v>138</v>
      </c>
      <c r="X3011" s="14" t="s">
        <v>138</v>
      </c>
      <c r="Y3011" s="0" t="s">
        <v>138</v>
      </c>
      <c r="Z3011" s="14" t="s">
        <v>138</v>
      </c>
      <c r="AA3011" s="0" t="s">
        <v>138</v>
      </c>
      <c r="AB3011" s="14" t="s">
        <v>138</v>
      </c>
      <c r="AD3011" s="0" t="s">
        <v>138</v>
      </c>
      <c r="AF3011" s="0">
        <v>0</v>
      </c>
      <c r="AG3011" s="0">
        <v>0</v>
      </c>
      <c r="AH3011" s="0" t="s">
        <v>140</v>
      </c>
      <c r="AI3011" s="0" t="s">
        <v>138</v>
      </c>
      <c r="AK3011" s="0" t="s">
        <v>2330</v>
      </c>
      <c r="AL3011" s="14"/>
      <c r="AN3011" s="14"/>
      <c r="AQ3011" s="0" t="s">
        <v>130</v>
      </c>
      <c r="AR3011" s="0" t="s">
        <v>141</v>
      </c>
      <c r="AS3011" s="0" t="s">
        <v>130</v>
      </c>
      <c r="AT3011" s="0" t="s">
        <v>130</v>
      </c>
      <c r="AU3011" s="0" t="s">
        <v>130</v>
      </c>
      <c r="AV3011" s="0" t="s">
        <v>130</v>
      </c>
      <c r="AW3011" s="0" t="s">
        <v>130</v>
      </c>
      <c r="AX3011" s="0" t="s">
        <v>130</v>
      </c>
      <c r="AY3011" s="0" t="s">
        <v>130</v>
      </c>
      <c r="AZ3011" s="0" t="s">
        <v>130</v>
      </c>
      <c r="BA3011" s="0" t="s">
        <v>130</v>
      </c>
      <c r="BB3011" s="0" t="s">
        <v>130</v>
      </c>
      <c r="BC3011" s="0" t="s">
        <v>130</v>
      </c>
      <c r="BD3011" s="0" t="s">
        <v>130</v>
      </c>
      <c r="BE3011" s="0" t="s">
        <v>130</v>
      </c>
      <c r="BF3011" s="0" t="s">
        <v>130</v>
      </c>
      <c r="BG3011" s="0" t="s">
        <v>130</v>
      </c>
      <c r="BH3011" s="0" t="s">
        <v>130</v>
      </c>
      <c r="BI3011" s="0" t="s">
        <v>130</v>
      </c>
      <c r="BJ3011" s="0" t="s">
        <v>130</v>
      </c>
      <c r="BK3011" s="0" t="s">
        <v>130</v>
      </c>
      <c r="BL3011" s="0" t="s">
        <v>130</v>
      </c>
      <c r="BM3011" s="0" t="s">
        <v>130</v>
      </c>
      <c r="BN3011" s="0" t="s">
        <v>130</v>
      </c>
      <c r="BO3011" s="0" t="s">
        <v>130</v>
      </c>
      <c r="BP3011" s="0" t="s">
        <v>130</v>
      </c>
      <c r="BQ3011" s="0" t="s">
        <v>130</v>
      </c>
      <c r="BR3011" s="0" t="s">
        <v>130</v>
      </c>
      <c r="BS3011" s="0" t="s">
        <v>130</v>
      </c>
      <c r="BT3011" s="0" t="s">
        <v>130</v>
      </c>
      <c r="BU3011" s="0" t="s">
        <v>130</v>
      </c>
      <c r="BV3011" s="0" t="s">
        <v>130</v>
      </c>
      <c r="BW3011" s="0" t="s">
        <v>130</v>
      </c>
      <c r="BX3011" s="0" t="s">
        <v>141</v>
      </c>
      <c r="BY3011" s="0" t="s">
        <v>130</v>
      </c>
      <c r="BZ3011" s="0" t="s">
        <v>130</v>
      </c>
      <c r="CA3011" s="0" t="s">
        <v>130</v>
      </c>
      <c r="CB3011" s="0" t="s">
        <v>130</v>
      </c>
      <c r="CC3011" s="0" t="s">
        <v>130</v>
      </c>
      <c r="CD3011" s="0" t="s">
        <v>130</v>
      </c>
      <c r="CE3011" s="0" t="s">
        <v>130</v>
      </c>
      <c r="CF3011" s="0" t="s">
        <v>130</v>
      </c>
      <c r="CG3011" s="0" t="s">
        <v>130</v>
      </c>
      <c r="CH3011" s="0" t="s">
        <v>130</v>
      </c>
      <c r="CI3011" s="0" t="s">
        <v>130</v>
      </c>
      <c r="CJ3011" s="0" t="s">
        <v>130</v>
      </c>
      <c r="CK3011" s="0" t="s">
        <v>130</v>
      </c>
      <c r="CL3011" s="0" t="s">
        <v>130</v>
      </c>
      <c r="CM3011" s="0" t="s">
        <v>130</v>
      </c>
      <c r="CN3011" s="0" t="s">
        <v>130</v>
      </c>
      <c r="CO3011" s="0" t="s">
        <v>130</v>
      </c>
      <c r="CP3011" s="0" t="s">
        <v>130</v>
      </c>
      <c r="CQ3011" s="0" t="s">
        <v>130</v>
      </c>
      <c r="CR3011" s="0" t="s">
        <v>130</v>
      </c>
      <c r="CS3011" s="0" t="s">
        <v>130</v>
      </c>
      <c r="CT3011" s="0" t="s">
        <v>8101</v>
      </c>
    </row>
    <row r="3012">
      <c r="A3012" s="14">
        <v>113148</v>
      </c>
      <c r="B3012" s="0" t="s">
        <v>1270</v>
      </c>
      <c r="C3012" s="16">
        <f>HYPERLINK("https://eosportal.federatedhermes.com/companies/Q29tcGFueQppNTIyNjI=", "Woolworths Group Ltd")</f>
      </c>
      <c r="D3012" s="0" t="s">
        <v>25</v>
      </c>
      <c r="E3012" s="0" t="s">
        <v>5080</v>
      </c>
      <c r="F3012" s="16">
        <f>HYPERLINK("https://eosportal.federatedhermes.com/engagements/RW5nYWdlbWVudAppNDE3NDU=", "Deforestation")</f>
      </c>
      <c r="G3012" s="14" t="s">
        <v>8102</v>
      </c>
      <c r="H3012" s="0" t="s">
        <v>130</v>
      </c>
      <c r="I3012" s="14" t="s">
        <v>319</v>
      </c>
      <c r="J3012" s="0" t="s">
        <v>197</v>
      </c>
      <c r="K3012" s="0" t="s">
        <v>337</v>
      </c>
      <c r="L3012" s="0" t="s">
        <v>576</v>
      </c>
      <c r="M3012" s="0" t="s">
        <v>371</v>
      </c>
      <c r="N3012" s="0" t="s">
        <v>372</v>
      </c>
      <c r="O3012" s="0" t="s">
        <v>643</v>
      </c>
      <c r="Q3012" s="0" t="s">
        <v>141</v>
      </c>
      <c r="R3012" s="0" t="s">
        <v>138</v>
      </c>
      <c r="S3012" s="14">
        <v>1</v>
      </c>
      <c r="T3012" s="0" t="s">
        <v>361</v>
      </c>
      <c r="U3012" s="0" t="s">
        <v>138</v>
      </c>
      <c r="V3012" s="14" t="s">
        <v>138</v>
      </c>
      <c r="W3012" s="0" t="s">
        <v>138</v>
      </c>
      <c r="X3012" s="14" t="s">
        <v>138</v>
      </c>
      <c r="Y3012" s="0" t="s">
        <v>138</v>
      </c>
      <c r="Z3012" s="14" t="s">
        <v>138</v>
      </c>
      <c r="AA3012" s="0" t="s">
        <v>138</v>
      </c>
      <c r="AB3012" s="14" t="s">
        <v>138</v>
      </c>
      <c r="AD3012" s="0" t="s">
        <v>138</v>
      </c>
      <c r="AF3012" s="0">
        <v>0</v>
      </c>
      <c r="AG3012" s="0">
        <v>0</v>
      </c>
      <c r="AH3012" s="0" t="s">
        <v>140</v>
      </c>
      <c r="AI3012" s="0" t="s">
        <v>138</v>
      </c>
      <c r="AK3012" s="0" t="s">
        <v>2330</v>
      </c>
      <c r="AL3012" s="14"/>
      <c r="AN3012" s="14"/>
      <c r="AQ3012" s="0" t="s">
        <v>130</v>
      </c>
      <c r="AR3012" s="0" t="s">
        <v>130</v>
      </c>
      <c r="AS3012" s="0" t="s">
        <v>130</v>
      </c>
      <c r="AT3012" s="0" t="s">
        <v>130</v>
      </c>
      <c r="AU3012" s="0" t="s">
        <v>130</v>
      </c>
      <c r="AV3012" s="0" t="s">
        <v>130</v>
      </c>
      <c r="AW3012" s="0" t="s">
        <v>130</v>
      </c>
      <c r="AX3012" s="0" t="s">
        <v>130</v>
      </c>
      <c r="AY3012" s="0" t="s">
        <v>130</v>
      </c>
      <c r="AZ3012" s="0" t="s">
        <v>130</v>
      </c>
      <c r="BA3012" s="0" t="s">
        <v>130</v>
      </c>
      <c r="BB3012" s="0" t="s">
        <v>141</v>
      </c>
      <c r="BC3012" s="0" t="s">
        <v>130</v>
      </c>
      <c r="BD3012" s="0" t="s">
        <v>130</v>
      </c>
      <c r="BE3012" s="0" t="s">
        <v>141</v>
      </c>
      <c r="BF3012" s="0" t="s">
        <v>130</v>
      </c>
      <c r="BG3012" s="0" t="s">
        <v>130</v>
      </c>
      <c r="BH3012" s="0" t="s">
        <v>130</v>
      </c>
      <c r="BI3012" s="0" t="s">
        <v>130</v>
      </c>
      <c r="BJ3012" s="0" t="s">
        <v>130</v>
      </c>
      <c r="BK3012" s="0" t="s">
        <v>130</v>
      </c>
      <c r="BL3012" s="0" t="s">
        <v>130</v>
      </c>
      <c r="BM3012" s="0" t="s">
        <v>130</v>
      </c>
      <c r="BN3012" s="0" t="s">
        <v>130</v>
      </c>
      <c r="BO3012" s="0" t="s">
        <v>130</v>
      </c>
      <c r="BP3012" s="0" t="s">
        <v>130</v>
      </c>
      <c r="BQ3012" s="0" t="s">
        <v>130</v>
      </c>
      <c r="BR3012" s="0" t="s">
        <v>130</v>
      </c>
      <c r="BS3012" s="0" t="s">
        <v>130</v>
      </c>
      <c r="BT3012" s="0" t="s">
        <v>130</v>
      </c>
      <c r="BU3012" s="0" t="s">
        <v>130</v>
      </c>
      <c r="BV3012" s="0" t="s">
        <v>130</v>
      </c>
      <c r="BW3012" s="0" t="s">
        <v>130</v>
      </c>
      <c r="BX3012" s="0" t="s">
        <v>130</v>
      </c>
      <c r="BY3012" s="0" t="s">
        <v>130</v>
      </c>
      <c r="BZ3012" s="0" t="s">
        <v>130</v>
      </c>
      <c r="CA3012" s="0" t="s">
        <v>130</v>
      </c>
      <c r="CB3012" s="0" t="s">
        <v>130</v>
      </c>
      <c r="CC3012" s="0" t="s">
        <v>130</v>
      </c>
      <c r="CD3012" s="0" t="s">
        <v>130</v>
      </c>
      <c r="CE3012" s="0" t="s">
        <v>130</v>
      </c>
      <c r="CF3012" s="0" t="s">
        <v>130</v>
      </c>
      <c r="CG3012" s="0" t="s">
        <v>130</v>
      </c>
      <c r="CH3012" s="0" t="s">
        <v>130</v>
      </c>
      <c r="CI3012" s="0" t="s">
        <v>130</v>
      </c>
      <c r="CJ3012" s="0" t="s">
        <v>130</v>
      </c>
      <c r="CK3012" s="0" t="s">
        <v>130</v>
      </c>
      <c r="CL3012" s="0" t="s">
        <v>130</v>
      </c>
      <c r="CM3012" s="0" t="s">
        <v>130</v>
      </c>
      <c r="CN3012" s="0" t="s">
        <v>130</v>
      </c>
      <c r="CO3012" s="0" t="s">
        <v>130</v>
      </c>
      <c r="CP3012" s="0" t="s">
        <v>130</v>
      </c>
      <c r="CQ3012" s="0" t="s">
        <v>130</v>
      </c>
      <c r="CR3012" s="0" t="s">
        <v>130</v>
      </c>
      <c r="CS3012" s="0" t="s">
        <v>130</v>
      </c>
      <c r="CT3012" s="0" t="s">
        <v>8103</v>
      </c>
    </row>
    <row r="3013">
      <c r="A3013" s="14">
        <v>176795</v>
      </c>
      <c r="B3013" s="0" t="s">
        <v>3127</v>
      </c>
      <c r="C3013" s="16">
        <f>HYPERLINK("https://eosportal.federatedhermes.com/companies/Q29tcGFueQppNjA1NzI=", "Merck KGaA")</f>
      </c>
      <c r="D3013" s="0" t="s">
        <v>25</v>
      </c>
      <c r="E3013" s="0" t="s">
        <v>8104</v>
      </c>
      <c r="F3013" s="16">
        <f>HYPERLINK("https://eosportal.federatedhermes.com/engagements/RW5nYWdlbWVudAppNDE3NDk=", "Hazardous Chemicals Management")</f>
      </c>
      <c r="G3013" s="14" t="s">
        <v>8105</v>
      </c>
      <c r="H3013" s="0" t="s">
        <v>130</v>
      </c>
      <c r="I3013" s="14" t="s">
        <v>319</v>
      </c>
      <c r="J3013" s="0" t="s">
        <v>197</v>
      </c>
      <c r="K3013" s="0" t="s">
        <v>348</v>
      </c>
      <c r="L3013" s="0" t="s">
        <v>650</v>
      </c>
      <c r="M3013" s="0" t="s">
        <v>378</v>
      </c>
      <c r="N3013" s="0" t="s">
        <v>2485</v>
      </c>
      <c r="O3013" s="0" t="s">
        <v>274</v>
      </c>
      <c r="Q3013" s="0" t="s">
        <v>141</v>
      </c>
      <c r="R3013" s="0" t="s">
        <v>138</v>
      </c>
      <c r="S3013" s="14">
        <v>1</v>
      </c>
      <c r="T3013" s="0" t="s">
        <v>361</v>
      </c>
      <c r="U3013" s="0" t="s">
        <v>138</v>
      </c>
      <c r="V3013" s="14" t="s">
        <v>138</v>
      </c>
      <c r="W3013" s="0" t="s">
        <v>138</v>
      </c>
      <c r="X3013" s="14" t="s">
        <v>138</v>
      </c>
      <c r="Y3013" s="0" t="s">
        <v>138</v>
      </c>
      <c r="Z3013" s="14" t="s">
        <v>138</v>
      </c>
      <c r="AA3013" s="0" t="s">
        <v>138</v>
      </c>
      <c r="AB3013" s="14" t="s">
        <v>138</v>
      </c>
      <c r="AD3013" s="0" t="s">
        <v>138</v>
      </c>
      <c r="AF3013" s="0">
        <v>0</v>
      </c>
      <c r="AG3013" s="0">
        <v>0</v>
      </c>
      <c r="AH3013" s="0" t="s">
        <v>140</v>
      </c>
      <c r="AI3013" s="0" t="s">
        <v>138</v>
      </c>
      <c r="AK3013" s="0" t="s">
        <v>714</v>
      </c>
      <c r="AL3013" s="14"/>
      <c r="AN3013" s="14"/>
      <c r="AQ3013" s="0" t="s">
        <v>130</v>
      </c>
      <c r="AR3013" s="0" t="s">
        <v>130</v>
      </c>
      <c r="AS3013" s="0" t="s">
        <v>141</v>
      </c>
      <c r="AT3013" s="0" t="s">
        <v>130</v>
      </c>
      <c r="AU3013" s="0" t="s">
        <v>130</v>
      </c>
      <c r="AV3013" s="0" t="s">
        <v>141</v>
      </c>
      <c r="AW3013" s="0" t="s">
        <v>130</v>
      </c>
      <c r="AX3013" s="0" t="s">
        <v>130</v>
      </c>
      <c r="AY3013" s="0" t="s">
        <v>130</v>
      </c>
      <c r="AZ3013" s="0" t="s">
        <v>130</v>
      </c>
      <c r="BA3013" s="0" t="s">
        <v>141</v>
      </c>
      <c r="BB3013" s="0" t="s">
        <v>141</v>
      </c>
      <c r="BC3013" s="0" t="s">
        <v>130</v>
      </c>
      <c r="BD3013" s="0" t="s">
        <v>141</v>
      </c>
      <c r="BE3013" s="0" t="s">
        <v>130</v>
      </c>
      <c r="BF3013" s="0" t="s">
        <v>130</v>
      </c>
      <c r="BG3013" s="0" t="s">
        <v>130</v>
      </c>
      <c r="BH3013" s="0" t="s">
        <v>130</v>
      </c>
      <c r="BI3013" s="0" t="s">
        <v>130</v>
      </c>
      <c r="BJ3013" s="0" t="s">
        <v>130</v>
      </c>
      <c r="BK3013" s="0" t="s">
        <v>130</v>
      </c>
      <c r="BL3013" s="0" t="s">
        <v>130</v>
      </c>
      <c r="BM3013" s="0" t="s">
        <v>130</v>
      </c>
      <c r="BN3013" s="0" t="s">
        <v>130</v>
      </c>
      <c r="BO3013" s="0" t="s">
        <v>130</v>
      </c>
      <c r="BP3013" s="0" t="s">
        <v>130</v>
      </c>
      <c r="BQ3013" s="0" t="s">
        <v>130</v>
      </c>
      <c r="BR3013" s="0" t="s">
        <v>130</v>
      </c>
      <c r="BS3013" s="0" t="s">
        <v>130</v>
      </c>
      <c r="BT3013" s="0" t="s">
        <v>130</v>
      </c>
      <c r="BU3013" s="0" t="s">
        <v>130</v>
      </c>
      <c r="BV3013" s="0" t="s">
        <v>130</v>
      </c>
      <c r="BW3013" s="0" t="s">
        <v>130</v>
      </c>
      <c r="BX3013" s="0" t="s">
        <v>130</v>
      </c>
      <c r="BY3013" s="0" t="s">
        <v>130</v>
      </c>
      <c r="BZ3013" s="0" t="s">
        <v>130</v>
      </c>
      <c r="CA3013" s="0" t="s">
        <v>130</v>
      </c>
      <c r="CB3013" s="0" t="s">
        <v>130</v>
      </c>
      <c r="CC3013" s="0" t="s">
        <v>130</v>
      </c>
      <c r="CD3013" s="0" t="s">
        <v>130</v>
      </c>
      <c r="CE3013" s="0" t="s">
        <v>130</v>
      </c>
      <c r="CF3013" s="0" t="s">
        <v>130</v>
      </c>
      <c r="CG3013" s="0" t="s">
        <v>130</v>
      </c>
      <c r="CH3013" s="0" t="s">
        <v>130</v>
      </c>
      <c r="CI3013" s="0" t="s">
        <v>130</v>
      </c>
      <c r="CJ3013" s="0" t="s">
        <v>130</v>
      </c>
      <c r="CK3013" s="0" t="s">
        <v>130</v>
      </c>
      <c r="CL3013" s="0" t="s">
        <v>130</v>
      </c>
      <c r="CM3013" s="0" t="s">
        <v>130</v>
      </c>
      <c r="CN3013" s="0" t="s">
        <v>130</v>
      </c>
      <c r="CO3013" s="0" t="s">
        <v>130</v>
      </c>
      <c r="CP3013" s="0" t="s">
        <v>130</v>
      </c>
      <c r="CQ3013" s="0" t="s">
        <v>130</v>
      </c>
      <c r="CR3013" s="0" t="s">
        <v>130</v>
      </c>
      <c r="CS3013" s="0" t="s">
        <v>130</v>
      </c>
      <c r="CT3013" s="0" t="s">
        <v>8106</v>
      </c>
    </row>
    <row r="3014">
      <c r="A3014" s="14">
        <v>359172</v>
      </c>
      <c r="B3014" s="0" t="s">
        <v>3759</v>
      </c>
      <c r="C3014" s="16">
        <f>HYPERLINK("https://eosportal.federatedhermes.com/companies/Q29tcGFueQppNjY5NTc=", "Moody's Corp")</f>
      </c>
      <c r="D3014" s="0" t="s">
        <v>25</v>
      </c>
      <c r="E3014" s="0" t="s">
        <v>8107</v>
      </c>
      <c r="F3014" s="16">
        <f>HYPERLINK("https://eosportal.federatedhermes.com/engagements/RW5nYWdlbWVudAppNDE3NTM=", "Natural capital credit ratings")</f>
      </c>
      <c r="G3014" s="14" t="s">
        <v>8108</v>
      </c>
      <c r="H3014" s="0" t="s">
        <v>130</v>
      </c>
      <c r="I3014" s="14" t="s">
        <v>319</v>
      </c>
      <c r="J3014" s="0" t="s">
        <v>197</v>
      </c>
      <c r="K3014" s="0" t="s">
        <v>337</v>
      </c>
      <c r="L3014" s="0" t="s">
        <v>576</v>
      </c>
      <c r="M3014" s="0" t="s">
        <v>135</v>
      </c>
      <c r="N3014" s="0" t="s">
        <v>136</v>
      </c>
      <c r="O3014" s="0" t="s">
        <v>238</v>
      </c>
      <c r="Q3014" s="0" t="s">
        <v>141</v>
      </c>
      <c r="R3014" s="0" t="s">
        <v>138</v>
      </c>
      <c r="S3014" s="14">
        <v>1</v>
      </c>
      <c r="T3014" s="0" t="s">
        <v>361</v>
      </c>
      <c r="U3014" s="0" t="s">
        <v>138</v>
      </c>
      <c r="V3014" s="14" t="s">
        <v>138</v>
      </c>
      <c r="W3014" s="0" t="s">
        <v>138</v>
      </c>
      <c r="X3014" s="14" t="s">
        <v>138</v>
      </c>
      <c r="Y3014" s="0" t="s">
        <v>138</v>
      </c>
      <c r="Z3014" s="14" t="s">
        <v>138</v>
      </c>
      <c r="AA3014" s="0" t="s">
        <v>138</v>
      </c>
      <c r="AB3014" s="14" t="s">
        <v>138</v>
      </c>
      <c r="AD3014" s="0" t="s">
        <v>138</v>
      </c>
      <c r="AF3014" s="0">
        <v>0</v>
      </c>
      <c r="AG3014" s="0">
        <v>0</v>
      </c>
      <c r="AH3014" s="0" t="s">
        <v>140</v>
      </c>
      <c r="AI3014" s="0" t="s">
        <v>138</v>
      </c>
      <c r="AK3014" s="0" t="s">
        <v>413</v>
      </c>
      <c r="AL3014" s="14"/>
      <c r="AN3014" s="14"/>
      <c r="AQ3014" s="0" t="s">
        <v>130</v>
      </c>
      <c r="AR3014" s="0" t="s">
        <v>141</v>
      </c>
      <c r="AS3014" s="0" t="s">
        <v>130</v>
      </c>
      <c r="AT3014" s="0" t="s">
        <v>130</v>
      </c>
      <c r="AU3014" s="0" t="s">
        <v>130</v>
      </c>
      <c r="AV3014" s="0" t="s">
        <v>141</v>
      </c>
      <c r="AW3014" s="0" t="s">
        <v>130</v>
      </c>
      <c r="AX3014" s="0" t="s">
        <v>130</v>
      </c>
      <c r="AY3014" s="0" t="s">
        <v>130</v>
      </c>
      <c r="AZ3014" s="0" t="s">
        <v>130</v>
      </c>
      <c r="BA3014" s="0" t="s">
        <v>141</v>
      </c>
      <c r="BB3014" s="0" t="s">
        <v>141</v>
      </c>
      <c r="BC3014" s="0" t="s">
        <v>141</v>
      </c>
      <c r="BD3014" s="0" t="s">
        <v>141</v>
      </c>
      <c r="BE3014" s="0" t="s">
        <v>141</v>
      </c>
      <c r="BF3014" s="0" t="s">
        <v>130</v>
      </c>
      <c r="BG3014" s="0" t="s">
        <v>130</v>
      </c>
      <c r="BH3014" s="0" t="s">
        <v>130</v>
      </c>
      <c r="BI3014" s="0" t="s">
        <v>130</v>
      </c>
      <c r="BJ3014" s="0" t="s">
        <v>130</v>
      </c>
      <c r="BK3014" s="0" t="s">
        <v>130</v>
      </c>
      <c r="BL3014" s="0" t="s">
        <v>130</v>
      </c>
      <c r="BM3014" s="0" t="s">
        <v>130</v>
      </c>
      <c r="BN3014" s="0" t="s">
        <v>130</v>
      </c>
      <c r="BO3014" s="0" t="s">
        <v>130</v>
      </c>
      <c r="BP3014" s="0" t="s">
        <v>130</v>
      </c>
      <c r="BQ3014" s="0" t="s">
        <v>130</v>
      </c>
      <c r="BR3014" s="0" t="s">
        <v>130</v>
      </c>
      <c r="BS3014" s="0" t="s">
        <v>130</v>
      </c>
      <c r="BT3014" s="0" t="s">
        <v>130</v>
      </c>
      <c r="BU3014" s="0" t="s">
        <v>130</v>
      </c>
      <c r="BV3014" s="0" t="s">
        <v>130</v>
      </c>
      <c r="BW3014" s="0" t="s">
        <v>130</v>
      </c>
      <c r="BX3014" s="0" t="s">
        <v>130</v>
      </c>
      <c r="BY3014" s="0" t="s">
        <v>130</v>
      </c>
      <c r="BZ3014" s="0" t="s">
        <v>130</v>
      </c>
      <c r="CA3014" s="0" t="s">
        <v>130</v>
      </c>
      <c r="CB3014" s="0" t="s">
        <v>130</v>
      </c>
      <c r="CC3014" s="0" t="s">
        <v>130</v>
      </c>
      <c r="CD3014" s="0" t="s">
        <v>130</v>
      </c>
      <c r="CE3014" s="0" t="s">
        <v>130</v>
      </c>
      <c r="CF3014" s="0" t="s">
        <v>130</v>
      </c>
      <c r="CG3014" s="0" t="s">
        <v>130</v>
      </c>
      <c r="CH3014" s="0" t="s">
        <v>130</v>
      </c>
      <c r="CI3014" s="0" t="s">
        <v>130</v>
      </c>
      <c r="CJ3014" s="0" t="s">
        <v>130</v>
      </c>
      <c r="CK3014" s="0" t="s">
        <v>130</v>
      </c>
      <c r="CL3014" s="0" t="s">
        <v>130</v>
      </c>
      <c r="CM3014" s="0" t="s">
        <v>130</v>
      </c>
      <c r="CN3014" s="0" t="s">
        <v>130</v>
      </c>
      <c r="CO3014" s="0" t="s">
        <v>130</v>
      </c>
      <c r="CP3014" s="0" t="s">
        <v>130</v>
      </c>
      <c r="CQ3014" s="0" t="s">
        <v>130</v>
      </c>
      <c r="CR3014" s="0" t="s">
        <v>130</v>
      </c>
      <c r="CS3014" s="0" t="s">
        <v>130</v>
      </c>
      <c r="CT3014" s="0" t="s">
        <v>8109</v>
      </c>
    </row>
    <row r="3015">
      <c r="A3015" s="14">
        <v>50856480</v>
      </c>
      <c r="B3015" s="0" t="s">
        <v>4515</v>
      </c>
      <c r="C3015" s="16">
        <f>HYPERLINK("https://eosportal.federatedhermes.com/companies/Q29tcGFueQppNDk3NzA=", "Anheuser-Busch InBev SA/NV")</f>
      </c>
      <c r="D3015" s="0" t="s">
        <v>23</v>
      </c>
      <c r="E3015" s="0" t="s">
        <v>1394</v>
      </c>
      <c r="F3015" s="16">
        <f>HYPERLINK("https://eosportal.federatedhermes.com/engagements/RW5nYWdlbWVudAppNDE3NjE=", "Biodiversity impact and dependence assessment")</f>
      </c>
      <c r="G3015" s="14" t="s">
        <v>8110</v>
      </c>
      <c r="H3015" s="0" t="s">
        <v>141</v>
      </c>
      <c r="I3015" s="14" t="s">
        <v>131</v>
      </c>
      <c r="J3015" s="0" t="s">
        <v>197</v>
      </c>
      <c r="K3015" s="0" t="s">
        <v>337</v>
      </c>
      <c r="L3015" s="0" t="s">
        <v>576</v>
      </c>
      <c r="M3015" s="0" t="s">
        <v>378</v>
      </c>
      <c r="N3015" s="0" t="s">
        <v>4518</v>
      </c>
      <c r="O3015" s="0" t="s">
        <v>332</v>
      </c>
      <c r="Q3015" s="0" t="s">
        <v>141</v>
      </c>
      <c r="R3015" s="0" t="s">
        <v>141</v>
      </c>
      <c r="S3015" s="14">
        <v>1</v>
      </c>
      <c r="T3015" s="0" t="s">
        <v>361</v>
      </c>
      <c r="U3015" s="0" t="s">
        <v>221</v>
      </c>
      <c r="V3015" s="14" t="s">
        <v>361</v>
      </c>
      <c r="W3015" s="0" t="s">
        <v>221</v>
      </c>
      <c r="X3015" s="14" t="s">
        <v>361</v>
      </c>
      <c r="Y3015" s="0" t="s">
        <v>223</v>
      </c>
      <c r="Z3015" s="14" t="s">
        <v>138</v>
      </c>
      <c r="AA3015" s="0" t="s">
        <v>224</v>
      </c>
      <c r="AB3015" s="14" t="s">
        <v>138</v>
      </c>
      <c r="AC3015" s="0" t="s">
        <v>7928</v>
      </c>
      <c r="AD3015" s="0" t="s">
        <v>17</v>
      </c>
      <c r="AE3015" s="0" t="s">
        <v>7929</v>
      </c>
      <c r="AF3015" s="0">
        <v>2</v>
      </c>
      <c r="AG3015" s="0">
        <v>0</v>
      </c>
      <c r="AH3015" s="0" t="s">
        <v>140</v>
      </c>
      <c r="AI3015" s="0" t="s">
        <v>598</v>
      </c>
      <c r="AK3015" s="0" t="s">
        <v>3042</v>
      </c>
      <c r="AL3015" s="14"/>
      <c r="AN3015" s="14"/>
      <c r="AQ3015" s="0" t="s">
        <v>130</v>
      </c>
      <c r="AR3015" s="0" t="s">
        <v>130</v>
      </c>
      <c r="AS3015" s="0" t="s">
        <v>130</v>
      </c>
      <c r="AT3015" s="0" t="s">
        <v>130</v>
      </c>
      <c r="AU3015" s="0" t="s">
        <v>130</v>
      </c>
      <c r="AV3015" s="0" t="s">
        <v>141</v>
      </c>
      <c r="AW3015" s="0" t="s">
        <v>130</v>
      </c>
      <c r="AX3015" s="0" t="s">
        <v>130</v>
      </c>
      <c r="AY3015" s="0" t="s">
        <v>130</v>
      </c>
      <c r="AZ3015" s="0" t="s">
        <v>130</v>
      </c>
      <c r="BA3015" s="0" t="s">
        <v>130</v>
      </c>
      <c r="BB3015" s="0" t="s">
        <v>141</v>
      </c>
      <c r="BC3015" s="0" t="s">
        <v>141</v>
      </c>
      <c r="BD3015" s="0" t="s">
        <v>130</v>
      </c>
      <c r="BE3015" s="0" t="s">
        <v>141</v>
      </c>
      <c r="BF3015" s="0" t="s">
        <v>130</v>
      </c>
      <c r="BG3015" s="0" t="s">
        <v>130</v>
      </c>
      <c r="BH3015" s="0" t="s">
        <v>130</v>
      </c>
      <c r="BI3015" s="0" t="s">
        <v>130</v>
      </c>
      <c r="BJ3015" s="0" t="s">
        <v>130</v>
      </c>
      <c r="BK3015" s="0" t="s">
        <v>130</v>
      </c>
      <c r="BL3015" s="0" t="s">
        <v>130</v>
      </c>
      <c r="BM3015" s="0" t="s">
        <v>130</v>
      </c>
      <c r="BN3015" s="0" t="s">
        <v>130</v>
      </c>
      <c r="BO3015" s="0" t="s">
        <v>130</v>
      </c>
      <c r="BP3015" s="0" t="s">
        <v>130</v>
      </c>
      <c r="BQ3015" s="0" t="s">
        <v>130</v>
      </c>
      <c r="BR3015" s="0" t="s">
        <v>130</v>
      </c>
      <c r="BS3015" s="0" t="s">
        <v>130</v>
      </c>
      <c r="BT3015" s="0" t="s">
        <v>130</v>
      </c>
      <c r="BU3015" s="0" t="s">
        <v>130</v>
      </c>
      <c r="BV3015" s="0" t="s">
        <v>130</v>
      </c>
      <c r="BW3015" s="0" t="s">
        <v>130</v>
      </c>
      <c r="BX3015" s="0" t="s">
        <v>130</v>
      </c>
      <c r="BY3015" s="0" t="s">
        <v>130</v>
      </c>
      <c r="BZ3015" s="0" t="s">
        <v>130</v>
      </c>
      <c r="CA3015" s="0" t="s">
        <v>130</v>
      </c>
      <c r="CB3015" s="0" t="s">
        <v>130</v>
      </c>
      <c r="CC3015" s="0" t="s">
        <v>130</v>
      </c>
      <c r="CD3015" s="0" t="s">
        <v>130</v>
      </c>
      <c r="CE3015" s="0" t="s">
        <v>130</v>
      </c>
      <c r="CF3015" s="0" t="s">
        <v>130</v>
      </c>
      <c r="CG3015" s="0" t="s">
        <v>130</v>
      </c>
      <c r="CH3015" s="0" t="s">
        <v>130</v>
      </c>
      <c r="CI3015" s="0" t="s">
        <v>130</v>
      </c>
      <c r="CJ3015" s="0" t="s">
        <v>130</v>
      </c>
      <c r="CK3015" s="0" t="s">
        <v>130</v>
      </c>
      <c r="CL3015" s="0" t="s">
        <v>130</v>
      </c>
      <c r="CM3015" s="0" t="s">
        <v>130</v>
      </c>
      <c r="CN3015" s="0" t="s">
        <v>130</v>
      </c>
      <c r="CO3015" s="0" t="s">
        <v>130</v>
      </c>
      <c r="CP3015" s="0" t="s">
        <v>130</v>
      </c>
      <c r="CQ3015" s="0" t="s">
        <v>130</v>
      </c>
      <c r="CR3015" s="0" t="s">
        <v>130</v>
      </c>
      <c r="CS3015" s="0" t="s">
        <v>130</v>
      </c>
      <c r="CT3015" s="0" t="s">
        <v>8111</v>
      </c>
    </row>
    <row r="3016">
      <c r="A3016" s="14">
        <v>199455</v>
      </c>
      <c r="B3016" s="0" t="s">
        <v>3318</v>
      </c>
      <c r="C3016" s="16">
        <f>HYPERLINK("https://eosportal.federatedhermes.com/companies/Q29tcGFueQppNzQwNTY=", "Glencore PLC")</f>
      </c>
      <c r="D3016" s="0" t="s">
        <v>25</v>
      </c>
      <c r="E3016" s="0" t="s">
        <v>8112</v>
      </c>
      <c r="F3016" s="16">
        <f>HYPERLINK("https://eosportal.federatedhermes.com/engagements/RW5nYWdlbWVudAppNDE3NzM=", "Share Buyback Governance")</f>
      </c>
      <c r="G3016" s="14" t="s">
        <v>8113</v>
      </c>
      <c r="H3016" s="0" t="s">
        <v>141</v>
      </c>
      <c r="I3016" s="14" t="s">
        <v>191</v>
      </c>
      <c r="J3016" s="0" t="s">
        <v>145</v>
      </c>
      <c r="K3016" s="0" t="s">
        <v>400</v>
      </c>
      <c r="L3016" s="0" t="s">
        <v>401</v>
      </c>
      <c r="M3016" s="0" t="s">
        <v>378</v>
      </c>
      <c r="N3016" s="0" t="s">
        <v>1059</v>
      </c>
      <c r="O3016" s="0" t="s">
        <v>373</v>
      </c>
      <c r="Q3016" s="0" t="s">
        <v>130</v>
      </c>
      <c r="R3016" s="0" t="s">
        <v>138</v>
      </c>
      <c r="S3016" s="14">
        <v>0</v>
      </c>
      <c r="T3016" s="0" t="s">
        <v>361</v>
      </c>
      <c r="U3016" s="0" t="s">
        <v>138</v>
      </c>
      <c r="V3016" s="14" t="s">
        <v>138</v>
      </c>
      <c r="W3016" s="0" t="s">
        <v>138</v>
      </c>
      <c r="X3016" s="14" t="s">
        <v>138</v>
      </c>
      <c r="Y3016" s="0" t="s">
        <v>138</v>
      </c>
      <c r="Z3016" s="14" t="s">
        <v>138</v>
      </c>
      <c r="AA3016" s="0" t="s">
        <v>138</v>
      </c>
      <c r="AB3016" s="14" t="s">
        <v>138</v>
      </c>
      <c r="AD3016" s="0" t="s">
        <v>138</v>
      </c>
      <c r="AF3016" s="0">
        <v>0</v>
      </c>
      <c r="AG3016" s="0">
        <v>0</v>
      </c>
      <c r="AH3016" s="0" t="s">
        <v>140</v>
      </c>
      <c r="AI3016" s="0" t="s">
        <v>138</v>
      </c>
      <c r="AL3016" s="14"/>
      <c r="AN3016" s="14"/>
      <c r="AQ3016" s="0" t="s">
        <v>130</v>
      </c>
      <c r="AR3016" s="0" t="s">
        <v>130</v>
      </c>
      <c r="AS3016" s="0" t="s">
        <v>130</v>
      </c>
      <c r="AT3016" s="0" t="s">
        <v>130</v>
      </c>
      <c r="AU3016" s="0" t="s">
        <v>130</v>
      </c>
      <c r="AV3016" s="0" t="s">
        <v>130</v>
      </c>
      <c r="AW3016" s="0" t="s">
        <v>130</v>
      </c>
      <c r="AX3016" s="0" t="s">
        <v>130</v>
      </c>
      <c r="AY3016" s="0" t="s">
        <v>130</v>
      </c>
      <c r="AZ3016" s="0" t="s">
        <v>130</v>
      </c>
      <c r="BA3016" s="0" t="s">
        <v>130</v>
      </c>
      <c r="BB3016" s="0" t="s">
        <v>130</v>
      </c>
      <c r="BC3016" s="0" t="s">
        <v>130</v>
      </c>
      <c r="BD3016" s="0" t="s">
        <v>130</v>
      </c>
      <c r="BE3016" s="0" t="s">
        <v>130</v>
      </c>
      <c r="BF3016" s="0" t="s">
        <v>130</v>
      </c>
      <c r="BG3016" s="0" t="s">
        <v>130</v>
      </c>
      <c r="BH3016" s="0" t="s">
        <v>130</v>
      </c>
      <c r="BI3016" s="0" t="s">
        <v>130</v>
      </c>
      <c r="BJ3016" s="0" t="s">
        <v>130</v>
      </c>
      <c r="BK3016" s="0" t="s">
        <v>130</v>
      </c>
      <c r="BL3016" s="0" t="s">
        <v>130</v>
      </c>
      <c r="BM3016" s="0" t="s">
        <v>130</v>
      </c>
      <c r="BN3016" s="0" t="s">
        <v>130</v>
      </c>
      <c r="BO3016" s="0" t="s">
        <v>130</v>
      </c>
      <c r="BP3016" s="0" t="s">
        <v>130</v>
      </c>
      <c r="BQ3016" s="0" t="s">
        <v>130</v>
      </c>
      <c r="BR3016" s="0" t="s">
        <v>130</v>
      </c>
      <c r="BS3016" s="0" t="s">
        <v>130</v>
      </c>
      <c r="BT3016" s="0" t="s">
        <v>130</v>
      </c>
      <c r="BU3016" s="0" t="s">
        <v>130</v>
      </c>
      <c r="BV3016" s="0" t="s">
        <v>130</v>
      </c>
      <c r="BW3016" s="0" t="s">
        <v>130</v>
      </c>
      <c r="BX3016" s="0" t="s">
        <v>130</v>
      </c>
      <c r="BY3016" s="0" t="s">
        <v>130</v>
      </c>
      <c r="BZ3016" s="0" t="s">
        <v>130</v>
      </c>
      <c r="CA3016" s="0" t="s">
        <v>130</v>
      </c>
      <c r="CB3016" s="0" t="s">
        <v>130</v>
      </c>
      <c r="CC3016" s="0" t="s">
        <v>130</v>
      </c>
      <c r="CD3016" s="0" t="s">
        <v>130</v>
      </c>
      <c r="CE3016" s="0" t="s">
        <v>130</v>
      </c>
      <c r="CF3016" s="0" t="s">
        <v>130</v>
      </c>
      <c r="CG3016" s="0" t="s">
        <v>130</v>
      </c>
      <c r="CH3016" s="0" t="s">
        <v>130</v>
      </c>
      <c r="CI3016" s="0" t="s">
        <v>130</v>
      </c>
      <c r="CJ3016" s="0" t="s">
        <v>130</v>
      </c>
      <c r="CK3016" s="0" t="s">
        <v>130</v>
      </c>
      <c r="CL3016" s="0" t="s">
        <v>130</v>
      </c>
      <c r="CM3016" s="0" t="s">
        <v>130</v>
      </c>
      <c r="CN3016" s="0" t="s">
        <v>130</v>
      </c>
      <c r="CO3016" s="0" t="s">
        <v>130</v>
      </c>
      <c r="CP3016" s="0" t="s">
        <v>130</v>
      </c>
      <c r="CQ3016" s="0" t="s">
        <v>130</v>
      </c>
      <c r="CR3016" s="0" t="s">
        <v>130</v>
      </c>
      <c r="CS3016" s="0" t="s">
        <v>130</v>
      </c>
      <c r="CT3016" s="0" t="s">
        <v>8114</v>
      </c>
    </row>
    <row r="3017">
      <c r="A3017" s="14">
        <v>116563</v>
      </c>
      <c r="B3017" s="0" t="s">
        <v>2780</v>
      </c>
      <c r="C3017" s="16">
        <f>HYPERLINK("https://eosportal.federatedhermes.com/companies/Q29tcGFueQppNzU2NjU=", "Techtronic Industries Co Ltd")</f>
      </c>
      <c r="D3017" s="0" t="s">
        <v>23</v>
      </c>
      <c r="E3017" s="0" t="s">
        <v>8115</v>
      </c>
      <c r="F3017" s="16">
        <f>HYPERLINK("https://eosportal.federatedhermes.com/engagements/RW5nYWdlbWVudAppNDE3ODU=", "Shareholder return policy")</f>
      </c>
      <c r="G3017" s="14" t="s">
        <v>8116</v>
      </c>
      <c r="H3017" s="0" t="s">
        <v>130</v>
      </c>
      <c r="I3017" s="14" t="s">
        <v>131</v>
      </c>
      <c r="J3017" s="0" t="s">
        <v>132</v>
      </c>
      <c r="K3017" s="0" t="s">
        <v>133</v>
      </c>
      <c r="L3017" s="0" t="s">
        <v>753</v>
      </c>
      <c r="M3017" s="0" t="s">
        <v>802</v>
      </c>
      <c r="N3017" s="0" t="s">
        <v>803</v>
      </c>
      <c r="O3017" s="0" t="s">
        <v>176</v>
      </c>
      <c r="Q3017" s="0" t="s">
        <v>141</v>
      </c>
      <c r="R3017" s="0" t="s">
        <v>130</v>
      </c>
      <c r="S3017" s="14">
        <v>1</v>
      </c>
      <c r="T3017" s="0" t="s">
        <v>2428</v>
      </c>
      <c r="U3017" s="0" t="s">
        <v>221</v>
      </c>
      <c r="V3017" s="14" t="s">
        <v>2428</v>
      </c>
      <c r="W3017" s="0" t="s">
        <v>221</v>
      </c>
      <c r="X3017" s="14" t="s">
        <v>2428</v>
      </c>
      <c r="Y3017" s="0" t="s">
        <v>223</v>
      </c>
      <c r="Z3017" s="14" t="s">
        <v>138</v>
      </c>
      <c r="AA3017" s="0" t="s">
        <v>224</v>
      </c>
      <c r="AB3017" s="14" t="s">
        <v>138</v>
      </c>
      <c r="AD3017" s="0" t="s">
        <v>17</v>
      </c>
      <c r="AF3017" s="0">
        <v>0</v>
      </c>
      <c r="AG3017" s="0">
        <v>0</v>
      </c>
      <c r="AH3017" s="0" t="s">
        <v>140</v>
      </c>
      <c r="AI3017" s="0" t="s">
        <v>598</v>
      </c>
      <c r="AK3017" s="0" t="s">
        <v>2529</v>
      </c>
      <c r="AL3017" s="14"/>
      <c r="AN3017" s="14"/>
      <c r="AQ3017" s="0" t="s">
        <v>130</v>
      </c>
      <c r="AR3017" s="0" t="s">
        <v>130</v>
      </c>
      <c r="AS3017" s="0" t="s">
        <v>130</v>
      </c>
      <c r="AT3017" s="0" t="s">
        <v>130</v>
      </c>
      <c r="AU3017" s="0" t="s">
        <v>130</v>
      </c>
      <c r="AV3017" s="0" t="s">
        <v>130</v>
      </c>
      <c r="AW3017" s="0" t="s">
        <v>130</v>
      </c>
      <c r="AX3017" s="0" t="s">
        <v>130</v>
      </c>
      <c r="AY3017" s="0" t="s">
        <v>130</v>
      </c>
      <c r="AZ3017" s="0" t="s">
        <v>130</v>
      </c>
      <c r="BA3017" s="0" t="s">
        <v>130</v>
      </c>
      <c r="BB3017" s="0" t="s">
        <v>130</v>
      </c>
      <c r="BC3017" s="0" t="s">
        <v>130</v>
      </c>
      <c r="BD3017" s="0" t="s">
        <v>130</v>
      </c>
      <c r="BE3017" s="0" t="s">
        <v>130</v>
      </c>
      <c r="BF3017" s="0" t="s">
        <v>130</v>
      </c>
      <c r="BG3017" s="0" t="s">
        <v>130</v>
      </c>
      <c r="BH3017" s="0" t="s">
        <v>130</v>
      </c>
      <c r="BI3017" s="0" t="s">
        <v>130</v>
      </c>
      <c r="BJ3017" s="0" t="s">
        <v>130</v>
      </c>
      <c r="BK3017" s="0" t="s">
        <v>130</v>
      </c>
      <c r="BL3017" s="0" t="s">
        <v>130</v>
      </c>
      <c r="BM3017" s="0" t="s">
        <v>130</v>
      </c>
      <c r="BN3017" s="0" t="s">
        <v>130</v>
      </c>
      <c r="BO3017" s="0" t="s">
        <v>130</v>
      </c>
      <c r="BP3017" s="0" t="s">
        <v>130</v>
      </c>
      <c r="BQ3017" s="0" t="s">
        <v>130</v>
      </c>
      <c r="BR3017" s="0" t="s">
        <v>130</v>
      </c>
      <c r="BS3017" s="0" t="s">
        <v>130</v>
      </c>
      <c r="BT3017" s="0" t="s">
        <v>130</v>
      </c>
      <c r="BU3017" s="0" t="s">
        <v>130</v>
      </c>
      <c r="BV3017" s="0" t="s">
        <v>130</v>
      </c>
      <c r="BW3017" s="0" t="s">
        <v>130</v>
      </c>
      <c r="BX3017" s="0" t="s">
        <v>130</v>
      </c>
      <c r="BY3017" s="0" t="s">
        <v>130</v>
      </c>
      <c r="BZ3017" s="0" t="s">
        <v>130</v>
      </c>
      <c r="CA3017" s="0" t="s">
        <v>130</v>
      </c>
      <c r="CB3017" s="0" t="s">
        <v>130</v>
      </c>
      <c r="CC3017" s="0" t="s">
        <v>130</v>
      </c>
      <c r="CD3017" s="0" t="s">
        <v>130</v>
      </c>
      <c r="CE3017" s="0" t="s">
        <v>130</v>
      </c>
      <c r="CF3017" s="0" t="s">
        <v>130</v>
      </c>
      <c r="CG3017" s="0" t="s">
        <v>130</v>
      </c>
      <c r="CH3017" s="0" t="s">
        <v>130</v>
      </c>
      <c r="CI3017" s="0" t="s">
        <v>130</v>
      </c>
      <c r="CJ3017" s="0" t="s">
        <v>130</v>
      </c>
      <c r="CK3017" s="0" t="s">
        <v>130</v>
      </c>
      <c r="CL3017" s="0" t="s">
        <v>130</v>
      </c>
      <c r="CM3017" s="0" t="s">
        <v>130</v>
      </c>
      <c r="CN3017" s="0" t="s">
        <v>130</v>
      </c>
      <c r="CO3017" s="0" t="s">
        <v>130</v>
      </c>
      <c r="CP3017" s="0" t="s">
        <v>130</v>
      </c>
      <c r="CQ3017" s="0" t="s">
        <v>130</v>
      </c>
      <c r="CR3017" s="0" t="s">
        <v>130</v>
      </c>
      <c r="CS3017" s="0" t="s">
        <v>130</v>
      </c>
      <c r="CT3017" s="0" t="s">
        <v>8117</v>
      </c>
    </row>
    <row r="3018">
      <c r="A3018" s="14">
        <v>825197</v>
      </c>
      <c r="B3018" s="0" t="s">
        <v>3349</v>
      </c>
      <c r="C3018" s="16">
        <f>HYPERLINK("https://eosportal.federatedhermes.com/companies/Q29tcGFueQppNTU3NDQ=", "ABB Ltd")</f>
      </c>
      <c r="D3018" s="0" t="s">
        <v>25</v>
      </c>
      <c r="E3018" s="0" t="s">
        <v>6533</v>
      </c>
      <c r="F3018" s="16">
        <f>HYPERLINK("https://eosportal.federatedhermes.com/engagements/RW5nYWdlbWVudAppNDE3OTQ=", "Climate aligned accounting and audit")</f>
      </c>
      <c r="G3018" s="14" t="s">
        <v>8118</v>
      </c>
      <c r="H3018" s="0" t="s">
        <v>141</v>
      </c>
      <c r="I3018" s="14" t="s">
        <v>191</v>
      </c>
      <c r="J3018" s="0" t="s">
        <v>197</v>
      </c>
      <c r="K3018" s="0" t="s">
        <v>198</v>
      </c>
      <c r="L3018" s="0" t="s">
        <v>199</v>
      </c>
      <c r="M3018" s="0" t="s">
        <v>378</v>
      </c>
      <c r="N3018" s="0" t="s">
        <v>1059</v>
      </c>
      <c r="O3018" s="0" t="s">
        <v>176</v>
      </c>
      <c r="Q3018" s="0" t="s">
        <v>141</v>
      </c>
      <c r="R3018" s="0" t="s">
        <v>138</v>
      </c>
      <c r="S3018" s="14">
        <v>1</v>
      </c>
      <c r="T3018" s="0" t="s">
        <v>361</v>
      </c>
      <c r="U3018" s="0" t="s">
        <v>138</v>
      </c>
      <c r="V3018" s="14" t="s">
        <v>138</v>
      </c>
      <c r="W3018" s="0" t="s">
        <v>138</v>
      </c>
      <c r="X3018" s="14" t="s">
        <v>138</v>
      </c>
      <c r="Y3018" s="0" t="s">
        <v>138</v>
      </c>
      <c r="Z3018" s="14" t="s">
        <v>138</v>
      </c>
      <c r="AA3018" s="0" t="s">
        <v>138</v>
      </c>
      <c r="AB3018" s="14" t="s">
        <v>138</v>
      </c>
      <c r="AD3018" s="0" t="s">
        <v>138</v>
      </c>
      <c r="AF3018" s="0">
        <v>0</v>
      </c>
      <c r="AG3018" s="0">
        <v>0</v>
      </c>
      <c r="AH3018" s="0" t="s">
        <v>140</v>
      </c>
      <c r="AI3018" s="0" t="s">
        <v>138</v>
      </c>
      <c r="AK3018" s="0" t="s">
        <v>2569</v>
      </c>
      <c r="AL3018" s="14"/>
      <c r="AN3018" s="14"/>
      <c r="AQ3018" s="0" t="s">
        <v>130</v>
      </c>
      <c r="AR3018" s="0" t="s">
        <v>130</v>
      </c>
      <c r="AS3018" s="0" t="s">
        <v>130</v>
      </c>
      <c r="AT3018" s="0" t="s">
        <v>130</v>
      </c>
      <c r="AU3018" s="0" t="s">
        <v>130</v>
      </c>
      <c r="AV3018" s="0" t="s">
        <v>130</v>
      </c>
      <c r="AW3018" s="0" t="s">
        <v>130</v>
      </c>
      <c r="AX3018" s="0" t="s">
        <v>130</v>
      </c>
      <c r="AY3018" s="0" t="s">
        <v>130</v>
      </c>
      <c r="AZ3018" s="0" t="s">
        <v>130</v>
      </c>
      <c r="BA3018" s="0" t="s">
        <v>130</v>
      </c>
      <c r="BB3018" s="0" t="s">
        <v>130</v>
      </c>
      <c r="BC3018" s="0" t="s">
        <v>141</v>
      </c>
      <c r="BD3018" s="0" t="s">
        <v>130</v>
      </c>
      <c r="BE3018" s="0" t="s">
        <v>130</v>
      </c>
      <c r="BF3018" s="0" t="s">
        <v>130</v>
      </c>
      <c r="BG3018" s="0" t="s">
        <v>130</v>
      </c>
      <c r="BH3018" s="0" t="s">
        <v>130</v>
      </c>
      <c r="BI3018" s="0" t="s">
        <v>130</v>
      </c>
      <c r="BJ3018" s="0" t="s">
        <v>130</v>
      </c>
      <c r="BK3018" s="0" t="s">
        <v>130</v>
      </c>
      <c r="BL3018" s="0" t="s">
        <v>130</v>
      </c>
      <c r="BM3018" s="0" t="s">
        <v>130</v>
      </c>
      <c r="BN3018" s="0" t="s">
        <v>130</v>
      </c>
      <c r="BO3018" s="0" t="s">
        <v>130</v>
      </c>
      <c r="BP3018" s="0" t="s">
        <v>130</v>
      </c>
      <c r="BQ3018" s="0" t="s">
        <v>130</v>
      </c>
      <c r="BR3018" s="0" t="s">
        <v>130</v>
      </c>
      <c r="BS3018" s="0" t="s">
        <v>130</v>
      </c>
      <c r="BT3018" s="0" t="s">
        <v>130</v>
      </c>
      <c r="BU3018" s="0" t="s">
        <v>130</v>
      </c>
      <c r="BV3018" s="0" t="s">
        <v>130</v>
      </c>
      <c r="BW3018" s="0" t="s">
        <v>130</v>
      </c>
      <c r="BX3018" s="0" t="s">
        <v>130</v>
      </c>
      <c r="BY3018" s="0" t="s">
        <v>130</v>
      </c>
      <c r="BZ3018" s="0" t="s">
        <v>130</v>
      </c>
      <c r="CA3018" s="0" t="s">
        <v>130</v>
      </c>
      <c r="CB3018" s="0" t="s">
        <v>130</v>
      </c>
      <c r="CC3018" s="0" t="s">
        <v>130</v>
      </c>
      <c r="CD3018" s="0" t="s">
        <v>130</v>
      </c>
      <c r="CE3018" s="0" t="s">
        <v>130</v>
      </c>
      <c r="CF3018" s="0" t="s">
        <v>130</v>
      </c>
      <c r="CG3018" s="0" t="s">
        <v>130</v>
      </c>
      <c r="CH3018" s="0" t="s">
        <v>130</v>
      </c>
      <c r="CI3018" s="0" t="s">
        <v>130</v>
      </c>
      <c r="CJ3018" s="0" t="s">
        <v>130</v>
      </c>
      <c r="CK3018" s="0" t="s">
        <v>130</v>
      </c>
      <c r="CL3018" s="0" t="s">
        <v>130</v>
      </c>
      <c r="CM3018" s="0" t="s">
        <v>130</v>
      </c>
      <c r="CN3018" s="0" t="s">
        <v>130</v>
      </c>
      <c r="CO3018" s="0" t="s">
        <v>130</v>
      </c>
      <c r="CP3018" s="0" t="s">
        <v>130</v>
      </c>
      <c r="CQ3018" s="0" t="s">
        <v>130</v>
      </c>
      <c r="CR3018" s="0" t="s">
        <v>130</v>
      </c>
      <c r="CS3018" s="0" t="s">
        <v>130</v>
      </c>
      <c r="CT3018" s="0" t="s">
        <v>8119</v>
      </c>
    </row>
    <row r="3019">
      <c r="A3019" s="14">
        <v>58890738</v>
      </c>
      <c r="B3019" s="0" t="s">
        <v>4704</v>
      </c>
      <c r="C3019" s="16">
        <f>HYPERLINK("https://eosportal.federatedhermes.com/companies/Q29tcGFueQppNjE1MTM=", "Epiroc AB")</f>
      </c>
      <c r="D3019" s="0" t="s">
        <v>25</v>
      </c>
      <c r="E3019" s="0" t="s">
        <v>7991</v>
      </c>
      <c r="F3019" s="16">
        <f>HYPERLINK("https://eosportal.federatedhermes.com/engagements/RW5nYWdlbWVudAppNDE3OTU=", "AI-related workforce impact")</f>
      </c>
      <c r="G3019" s="14" t="s">
        <v>8091</v>
      </c>
      <c r="H3019" s="0" t="s">
        <v>130</v>
      </c>
      <c r="I3019" s="14" t="s">
        <v>131</v>
      </c>
      <c r="J3019" s="0" t="s">
        <v>153</v>
      </c>
      <c r="K3019" s="0" t="s">
        <v>154</v>
      </c>
      <c r="L3019" s="0" t="s">
        <v>268</v>
      </c>
      <c r="M3019" s="0" t="s">
        <v>378</v>
      </c>
      <c r="N3019" s="0" t="s">
        <v>4706</v>
      </c>
      <c r="O3019" s="0" t="s">
        <v>425</v>
      </c>
      <c r="Q3019" s="0" t="s">
        <v>141</v>
      </c>
      <c r="R3019" s="0" t="s">
        <v>138</v>
      </c>
      <c r="S3019" s="14">
        <v>1</v>
      </c>
      <c r="T3019" s="0" t="s">
        <v>361</v>
      </c>
      <c r="U3019" s="0" t="s">
        <v>138</v>
      </c>
      <c r="V3019" s="14" t="s">
        <v>138</v>
      </c>
      <c r="W3019" s="0" t="s">
        <v>138</v>
      </c>
      <c r="X3019" s="14" t="s">
        <v>138</v>
      </c>
      <c r="Y3019" s="0" t="s">
        <v>138</v>
      </c>
      <c r="Z3019" s="14" t="s">
        <v>138</v>
      </c>
      <c r="AA3019" s="0" t="s">
        <v>138</v>
      </c>
      <c r="AB3019" s="14" t="s">
        <v>138</v>
      </c>
      <c r="AD3019" s="0" t="s">
        <v>138</v>
      </c>
      <c r="AF3019" s="0">
        <v>0</v>
      </c>
      <c r="AG3019" s="0">
        <v>0</v>
      </c>
      <c r="AH3019" s="0" t="s">
        <v>140</v>
      </c>
      <c r="AI3019" s="0" t="s">
        <v>138</v>
      </c>
      <c r="AK3019" s="0" t="s">
        <v>2588</v>
      </c>
      <c r="AL3019" s="14"/>
      <c r="AN3019" s="14"/>
      <c r="AQ3019" s="0" t="s">
        <v>130</v>
      </c>
      <c r="AR3019" s="0" t="s">
        <v>130</v>
      </c>
      <c r="AS3019" s="0" t="s">
        <v>130</v>
      </c>
      <c r="AT3019" s="0" t="s">
        <v>141</v>
      </c>
      <c r="AU3019" s="0" t="s">
        <v>130</v>
      </c>
      <c r="AV3019" s="0" t="s">
        <v>130</v>
      </c>
      <c r="AW3019" s="0" t="s">
        <v>130</v>
      </c>
      <c r="AX3019" s="0" t="s">
        <v>141</v>
      </c>
      <c r="AY3019" s="0" t="s">
        <v>130</v>
      </c>
      <c r="AZ3019" s="0" t="s">
        <v>130</v>
      </c>
      <c r="BA3019" s="0" t="s">
        <v>130</v>
      </c>
      <c r="BB3019" s="0" t="s">
        <v>130</v>
      </c>
      <c r="BC3019" s="0" t="s">
        <v>130</v>
      </c>
      <c r="BD3019" s="0" t="s">
        <v>130</v>
      </c>
      <c r="BE3019" s="0" t="s">
        <v>130</v>
      </c>
      <c r="BF3019" s="0" t="s">
        <v>130</v>
      </c>
      <c r="BG3019" s="0" t="s">
        <v>130</v>
      </c>
      <c r="BH3019" s="0" t="s">
        <v>130</v>
      </c>
      <c r="BI3019" s="0" t="s">
        <v>130</v>
      </c>
      <c r="BJ3019" s="0" t="s">
        <v>130</v>
      </c>
      <c r="BK3019" s="0" t="s">
        <v>130</v>
      </c>
      <c r="BL3019" s="0" t="s">
        <v>130</v>
      </c>
      <c r="BM3019" s="0" t="s">
        <v>130</v>
      </c>
      <c r="BN3019" s="0" t="s">
        <v>130</v>
      </c>
      <c r="BO3019" s="0" t="s">
        <v>130</v>
      </c>
      <c r="BP3019" s="0" t="s">
        <v>130</v>
      </c>
      <c r="BQ3019" s="0" t="s">
        <v>130</v>
      </c>
      <c r="BR3019" s="0" t="s">
        <v>130</v>
      </c>
      <c r="BS3019" s="0" t="s">
        <v>130</v>
      </c>
      <c r="BT3019" s="0" t="s">
        <v>130</v>
      </c>
      <c r="BU3019" s="0" t="s">
        <v>130</v>
      </c>
      <c r="BV3019" s="0" t="s">
        <v>130</v>
      </c>
      <c r="BW3019" s="0" t="s">
        <v>130</v>
      </c>
      <c r="BX3019" s="0" t="s">
        <v>130</v>
      </c>
      <c r="BY3019" s="0" t="s">
        <v>130</v>
      </c>
      <c r="BZ3019" s="0" t="s">
        <v>130</v>
      </c>
      <c r="CA3019" s="0" t="s">
        <v>130</v>
      </c>
      <c r="CB3019" s="0" t="s">
        <v>130</v>
      </c>
      <c r="CC3019" s="0" t="s">
        <v>130</v>
      </c>
      <c r="CD3019" s="0" t="s">
        <v>130</v>
      </c>
      <c r="CE3019" s="0" t="s">
        <v>130</v>
      </c>
      <c r="CF3019" s="0" t="s">
        <v>130</v>
      </c>
      <c r="CG3019" s="0" t="s">
        <v>130</v>
      </c>
      <c r="CH3019" s="0" t="s">
        <v>130</v>
      </c>
      <c r="CI3019" s="0" t="s">
        <v>130</v>
      </c>
      <c r="CJ3019" s="0" t="s">
        <v>130</v>
      </c>
      <c r="CK3019" s="0" t="s">
        <v>141</v>
      </c>
      <c r="CL3019" s="0" t="s">
        <v>130</v>
      </c>
      <c r="CM3019" s="0" t="s">
        <v>130</v>
      </c>
      <c r="CN3019" s="0" t="s">
        <v>130</v>
      </c>
      <c r="CO3019" s="0" t="s">
        <v>130</v>
      </c>
      <c r="CP3019" s="0" t="s">
        <v>130</v>
      </c>
      <c r="CQ3019" s="0" t="s">
        <v>130</v>
      </c>
      <c r="CR3019" s="0" t="s">
        <v>130</v>
      </c>
      <c r="CS3019" s="0" t="s">
        <v>130</v>
      </c>
      <c r="CT3019" s="0" t="s">
        <v>8120</v>
      </c>
    </row>
    <row r="3020">
      <c r="A3020" s="14">
        <v>27186779</v>
      </c>
      <c r="B3020" s="0" t="s">
        <v>4330</v>
      </c>
      <c r="C3020" s="16">
        <f>HYPERLINK("https://eosportal.federatedhermes.com/companies/Q29tcGFueQppODI1ODQ=", "Shopify Inc")</f>
      </c>
      <c r="D3020" s="0" t="s">
        <v>25</v>
      </c>
      <c r="E3020" s="0" t="s">
        <v>8121</v>
      </c>
      <c r="F3020" s="16">
        <f>HYPERLINK("https://eosportal.federatedhermes.com/engagements/RW5nYWdlbWVudAppNDE4MDc=", "HCM Practices")</f>
      </c>
      <c r="G3020" s="14" t="s">
        <v>8122</v>
      </c>
      <c r="H3020" s="0" t="s">
        <v>130</v>
      </c>
      <c r="I3020" s="14" t="s">
        <v>319</v>
      </c>
      <c r="J3020" s="0" t="s">
        <v>153</v>
      </c>
      <c r="K3020" s="0" t="s">
        <v>154</v>
      </c>
      <c r="L3020" s="0" t="s">
        <v>268</v>
      </c>
      <c r="M3020" s="0" t="s">
        <v>135</v>
      </c>
      <c r="N3020" s="0" t="s">
        <v>1678</v>
      </c>
      <c r="O3020" s="0" t="s">
        <v>137</v>
      </c>
      <c r="Q3020" s="0" t="s">
        <v>141</v>
      </c>
      <c r="R3020" s="0" t="s">
        <v>138</v>
      </c>
      <c r="S3020" s="14">
        <v>2</v>
      </c>
      <c r="T3020" s="0" t="s">
        <v>361</v>
      </c>
      <c r="U3020" s="0" t="s">
        <v>138</v>
      </c>
      <c r="V3020" s="14" t="s">
        <v>138</v>
      </c>
      <c r="W3020" s="0" t="s">
        <v>138</v>
      </c>
      <c r="X3020" s="14" t="s">
        <v>138</v>
      </c>
      <c r="Y3020" s="0" t="s">
        <v>138</v>
      </c>
      <c r="Z3020" s="14" t="s">
        <v>138</v>
      </c>
      <c r="AA3020" s="0" t="s">
        <v>138</v>
      </c>
      <c r="AB3020" s="14" t="s">
        <v>138</v>
      </c>
      <c r="AD3020" s="0" t="s">
        <v>138</v>
      </c>
      <c r="AF3020" s="0">
        <v>0</v>
      </c>
      <c r="AG3020" s="0">
        <v>0</v>
      </c>
      <c r="AH3020" s="0" t="s">
        <v>140</v>
      </c>
      <c r="AI3020" s="0" t="s">
        <v>138</v>
      </c>
      <c r="AK3020" s="0" t="s">
        <v>587</v>
      </c>
      <c r="AL3020" s="14"/>
      <c r="AN3020" s="14"/>
      <c r="AQ3020" s="0" t="s">
        <v>130</v>
      </c>
      <c r="AR3020" s="0" t="s">
        <v>130</v>
      </c>
      <c r="AS3020" s="0" t="s">
        <v>141</v>
      </c>
      <c r="AT3020" s="0" t="s">
        <v>141</v>
      </c>
      <c r="AU3020" s="0" t="s">
        <v>141</v>
      </c>
      <c r="AV3020" s="0" t="s">
        <v>130</v>
      </c>
      <c r="AW3020" s="0" t="s">
        <v>130</v>
      </c>
      <c r="AX3020" s="0" t="s">
        <v>141</v>
      </c>
      <c r="AY3020" s="0" t="s">
        <v>130</v>
      </c>
      <c r="AZ3020" s="0" t="s">
        <v>141</v>
      </c>
      <c r="BA3020" s="0" t="s">
        <v>130</v>
      </c>
      <c r="BB3020" s="0" t="s">
        <v>130</v>
      </c>
      <c r="BC3020" s="0" t="s">
        <v>130</v>
      </c>
      <c r="BD3020" s="0" t="s">
        <v>130</v>
      </c>
      <c r="BE3020" s="0" t="s">
        <v>130</v>
      </c>
      <c r="BF3020" s="0" t="s">
        <v>141</v>
      </c>
      <c r="BG3020" s="0" t="s">
        <v>130</v>
      </c>
      <c r="BH3020" s="0" t="s">
        <v>130</v>
      </c>
      <c r="BI3020" s="0" t="s">
        <v>130</v>
      </c>
      <c r="BJ3020" s="0" t="s">
        <v>130</v>
      </c>
      <c r="BK3020" s="0" t="s">
        <v>130</v>
      </c>
      <c r="BL3020" s="0" t="s">
        <v>130</v>
      </c>
      <c r="BM3020" s="0" t="s">
        <v>130</v>
      </c>
      <c r="BN3020" s="0" t="s">
        <v>130</v>
      </c>
      <c r="BO3020" s="0" t="s">
        <v>130</v>
      </c>
      <c r="BP3020" s="0" t="s">
        <v>130</v>
      </c>
      <c r="BQ3020" s="0" t="s">
        <v>130</v>
      </c>
      <c r="BR3020" s="0" t="s">
        <v>130</v>
      </c>
      <c r="BS3020" s="0" t="s">
        <v>130</v>
      </c>
      <c r="BT3020" s="0" t="s">
        <v>130</v>
      </c>
      <c r="BU3020" s="0" t="s">
        <v>130</v>
      </c>
      <c r="BV3020" s="0" t="s">
        <v>130</v>
      </c>
      <c r="BW3020" s="0" t="s">
        <v>130</v>
      </c>
      <c r="BX3020" s="0" t="s">
        <v>130</v>
      </c>
      <c r="BY3020" s="0" t="s">
        <v>130</v>
      </c>
      <c r="BZ3020" s="0" t="s">
        <v>130</v>
      </c>
      <c r="CA3020" s="0" t="s">
        <v>130</v>
      </c>
      <c r="CB3020" s="0" t="s">
        <v>130</v>
      </c>
      <c r="CC3020" s="0" t="s">
        <v>130</v>
      </c>
      <c r="CD3020" s="0" t="s">
        <v>130</v>
      </c>
      <c r="CE3020" s="0" t="s">
        <v>130</v>
      </c>
      <c r="CF3020" s="0" t="s">
        <v>130</v>
      </c>
      <c r="CG3020" s="0" t="s">
        <v>130</v>
      </c>
      <c r="CH3020" s="0" t="s">
        <v>130</v>
      </c>
      <c r="CI3020" s="0" t="s">
        <v>130</v>
      </c>
      <c r="CJ3020" s="0" t="s">
        <v>130</v>
      </c>
      <c r="CK3020" s="0" t="s">
        <v>141</v>
      </c>
      <c r="CL3020" s="0" t="s">
        <v>130</v>
      </c>
      <c r="CM3020" s="0" t="s">
        <v>130</v>
      </c>
      <c r="CN3020" s="0" t="s">
        <v>130</v>
      </c>
      <c r="CO3020" s="0" t="s">
        <v>130</v>
      </c>
      <c r="CP3020" s="0" t="s">
        <v>130</v>
      </c>
      <c r="CQ3020" s="0" t="s">
        <v>130</v>
      </c>
      <c r="CR3020" s="0" t="s">
        <v>130</v>
      </c>
      <c r="CS3020" s="0" t="s">
        <v>130</v>
      </c>
      <c r="CT3020" s="0" t="s">
        <v>8123</v>
      </c>
    </row>
    <row r="3021">
      <c r="A3021" s="14">
        <v>21445200</v>
      </c>
      <c r="B3021" s="0" t="s">
        <v>4467</v>
      </c>
      <c r="C3021" s="16">
        <f>HYPERLINK("https://eosportal.federatedhermes.com/companies/Q29tcGFueQppNzM3NjM=", "HCA Healthcare Inc")</f>
      </c>
      <c r="D3021" s="0" t="s">
        <v>25</v>
      </c>
      <c r="E3021" s="0" t="s">
        <v>7991</v>
      </c>
      <c r="F3021" s="16">
        <f>HYPERLINK("https://eosportal.federatedhermes.com/engagements/RW5nYWdlbWVudAppNDE4MTk=", "AI-related workforce impact")</f>
      </c>
      <c r="G3021" s="14" t="s">
        <v>8091</v>
      </c>
      <c r="H3021" s="0" t="s">
        <v>141</v>
      </c>
      <c r="I3021" s="14" t="s">
        <v>131</v>
      </c>
      <c r="J3021" s="0" t="s">
        <v>153</v>
      </c>
      <c r="K3021" s="0" t="s">
        <v>154</v>
      </c>
      <c r="L3021" s="0" t="s">
        <v>268</v>
      </c>
      <c r="M3021" s="0" t="s">
        <v>135</v>
      </c>
      <c r="N3021" s="0" t="s">
        <v>136</v>
      </c>
      <c r="O3021" s="0" t="s">
        <v>274</v>
      </c>
      <c r="Q3021" s="0" t="s">
        <v>141</v>
      </c>
      <c r="R3021" s="0" t="s">
        <v>138</v>
      </c>
      <c r="S3021" s="14">
        <v>1</v>
      </c>
      <c r="T3021" s="0" t="s">
        <v>361</v>
      </c>
      <c r="U3021" s="0" t="s">
        <v>138</v>
      </c>
      <c r="V3021" s="14" t="s">
        <v>138</v>
      </c>
      <c r="W3021" s="0" t="s">
        <v>138</v>
      </c>
      <c r="X3021" s="14" t="s">
        <v>138</v>
      </c>
      <c r="Y3021" s="0" t="s">
        <v>138</v>
      </c>
      <c r="Z3021" s="14" t="s">
        <v>138</v>
      </c>
      <c r="AA3021" s="0" t="s">
        <v>138</v>
      </c>
      <c r="AB3021" s="14" t="s">
        <v>138</v>
      </c>
      <c r="AD3021" s="0" t="s">
        <v>138</v>
      </c>
      <c r="AF3021" s="0">
        <v>0</v>
      </c>
      <c r="AG3021" s="0">
        <v>0</v>
      </c>
      <c r="AH3021" s="0" t="s">
        <v>140</v>
      </c>
      <c r="AI3021" s="0" t="s">
        <v>138</v>
      </c>
      <c r="AK3021" s="0" t="s">
        <v>233</v>
      </c>
      <c r="AL3021" s="14"/>
      <c r="AN3021" s="14"/>
      <c r="AQ3021" s="0" t="s">
        <v>130</v>
      </c>
      <c r="AR3021" s="0" t="s">
        <v>130</v>
      </c>
      <c r="AS3021" s="0" t="s">
        <v>130</v>
      </c>
      <c r="AT3021" s="0" t="s">
        <v>141</v>
      </c>
      <c r="AU3021" s="0" t="s">
        <v>130</v>
      </c>
      <c r="AV3021" s="0" t="s">
        <v>130</v>
      </c>
      <c r="AW3021" s="0" t="s">
        <v>130</v>
      </c>
      <c r="AX3021" s="0" t="s">
        <v>141</v>
      </c>
      <c r="AY3021" s="0" t="s">
        <v>130</v>
      </c>
      <c r="AZ3021" s="0" t="s">
        <v>130</v>
      </c>
      <c r="BA3021" s="0" t="s">
        <v>130</v>
      </c>
      <c r="BB3021" s="0" t="s">
        <v>130</v>
      </c>
      <c r="BC3021" s="0" t="s">
        <v>130</v>
      </c>
      <c r="BD3021" s="0" t="s">
        <v>130</v>
      </c>
      <c r="BE3021" s="0" t="s">
        <v>130</v>
      </c>
      <c r="BF3021" s="0" t="s">
        <v>130</v>
      </c>
      <c r="BG3021" s="0" t="s">
        <v>130</v>
      </c>
      <c r="BH3021" s="0" t="s">
        <v>130</v>
      </c>
      <c r="BI3021" s="0" t="s">
        <v>130</v>
      </c>
      <c r="BJ3021" s="0" t="s">
        <v>130</v>
      </c>
      <c r="BK3021" s="0" t="s">
        <v>130</v>
      </c>
      <c r="BL3021" s="0" t="s">
        <v>130</v>
      </c>
      <c r="BM3021" s="0" t="s">
        <v>130</v>
      </c>
      <c r="BN3021" s="0" t="s">
        <v>130</v>
      </c>
      <c r="BO3021" s="0" t="s">
        <v>130</v>
      </c>
      <c r="BP3021" s="0" t="s">
        <v>130</v>
      </c>
      <c r="BQ3021" s="0" t="s">
        <v>130</v>
      </c>
      <c r="BR3021" s="0" t="s">
        <v>130</v>
      </c>
      <c r="BS3021" s="0" t="s">
        <v>130</v>
      </c>
      <c r="BT3021" s="0" t="s">
        <v>130</v>
      </c>
      <c r="BU3021" s="0" t="s">
        <v>130</v>
      </c>
      <c r="BV3021" s="0" t="s">
        <v>130</v>
      </c>
      <c r="BW3021" s="0" t="s">
        <v>130</v>
      </c>
      <c r="BX3021" s="0" t="s">
        <v>130</v>
      </c>
      <c r="BY3021" s="0" t="s">
        <v>130</v>
      </c>
      <c r="BZ3021" s="0" t="s">
        <v>130</v>
      </c>
      <c r="CA3021" s="0" t="s">
        <v>130</v>
      </c>
      <c r="CB3021" s="0" t="s">
        <v>130</v>
      </c>
      <c r="CC3021" s="0" t="s">
        <v>130</v>
      </c>
      <c r="CD3021" s="0" t="s">
        <v>130</v>
      </c>
      <c r="CE3021" s="0" t="s">
        <v>130</v>
      </c>
      <c r="CF3021" s="0" t="s">
        <v>130</v>
      </c>
      <c r="CG3021" s="0" t="s">
        <v>130</v>
      </c>
      <c r="CH3021" s="0" t="s">
        <v>130</v>
      </c>
      <c r="CI3021" s="0" t="s">
        <v>130</v>
      </c>
      <c r="CJ3021" s="0" t="s">
        <v>130</v>
      </c>
      <c r="CK3021" s="0" t="s">
        <v>141</v>
      </c>
      <c r="CL3021" s="0" t="s">
        <v>130</v>
      </c>
      <c r="CM3021" s="0" t="s">
        <v>130</v>
      </c>
      <c r="CN3021" s="0" t="s">
        <v>130</v>
      </c>
      <c r="CO3021" s="0" t="s">
        <v>130</v>
      </c>
      <c r="CP3021" s="0" t="s">
        <v>130</v>
      </c>
      <c r="CQ3021" s="0" t="s">
        <v>130</v>
      </c>
      <c r="CR3021" s="0" t="s">
        <v>130</v>
      </c>
      <c r="CS3021" s="0" t="s">
        <v>130</v>
      </c>
      <c r="CT3021" s="0" t="s">
        <v>8124</v>
      </c>
    </row>
    <row r="3022">
      <c r="A3022" s="14">
        <v>239787</v>
      </c>
      <c r="B3022" s="0" t="s">
        <v>3523</v>
      </c>
      <c r="C3022" s="16">
        <f>HYPERLINK("https://eosportal.federatedhermes.com/companies/Q29tcGFueQppODU4NzI=", "Eurofins Scientific SE")</f>
      </c>
      <c r="D3022" s="0" t="s">
        <v>23</v>
      </c>
      <c r="E3022" s="0" t="s">
        <v>8125</v>
      </c>
      <c r="F3022" s="16">
        <f>HYPERLINK("https://eosportal.federatedhermes.com/engagements/RW5nYWdlbWVudAppNDE4Mjc=", "Enhanced circularity disclosures")</f>
      </c>
      <c r="G3022" s="14" t="s">
        <v>8126</v>
      </c>
      <c r="H3022" s="0" t="s">
        <v>130</v>
      </c>
      <c r="I3022" s="14" t="s">
        <v>131</v>
      </c>
      <c r="J3022" s="0" t="s">
        <v>197</v>
      </c>
      <c r="K3022" s="0" t="s">
        <v>348</v>
      </c>
      <c r="L3022" s="0" t="s">
        <v>349</v>
      </c>
      <c r="M3022" s="0" t="s">
        <v>378</v>
      </c>
      <c r="N3022" s="0" t="s">
        <v>3435</v>
      </c>
      <c r="O3022" s="0" t="s">
        <v>274</v>
      </c>
      <c r="Q3022" s="0" t="s">
        <v>141</v>
      </c>
      <c r="R3022" s="0" t="s">
        <v>141</v>
      </c>
      <c r="S3022" s="14">
        <v>1</v>
      </c>
      <c r="T3022" s="0" t="s">
        <v>361</v>
      </c>
      <c r="U3022" s="0" t="s">
        <v>221</v>
      </c>
      <c r="V3022" s="14" t="s">
        <v>361</v>
      </c>
      <c r="W3022" s="0" t="s">
        <v>223</v>
      </c>
      <c r="X3022" s="14" t="s">
        <v>138</v>
      </c>
      <c r="Y3022" s="0" t="s">
        <v>224</v>
      </c>
      <c r="Z3022" s="14" t="s">
        <v>138</v>
      </c>
      <c r="AA3022" s="0" t="s">
        <v>224</v>
      </c>
      <c r="AB3022" s="14" t="s">
        <v>138</v>
      </c>
      <c r="AC3022" s="0" t="s">
        <v>11</v>
      </c>
      <c r="AD3022" s="0" t="s">
        <v>14</v>
      </c>
      <c r="AE3022" s="0" t="s">
        <v>7914</v>
      </c>
      <c r="AF3022" s="0">
        <v>1</v>
      </c>
      <c r="AG3022" s="0">
        <v>0</v>
      </c>
      <c r="AH3022" s="0" t="s">
        <v>140</v>
      </c>
      <c r="AI3022" s="0" t="s">
        <v>598</v>
      </c>
      <c r="AK3022" s="0" t="s">
        <v>2290</v>
      </c>
      <c r="AL3022" s="14"/>
      <c r="AN3022" s="14"/>
      <c r="AQ3022" s="0" t="s">
        <v>130</v>
      </c>
      <c r="AR3022" s="0" t="s">
        <v>130</v>
      </c>
      <c r="AS3022" s="0" t="s">
        <v>130</v>
      </c>
      <c r="AT3022" s="0" t="s">
        <v>130</v>
      </c>
      <c r="AU3022" s="0" t="s">
        <v>130</v>
      </c>
      <c r="AV3022" s="0" t="s">
        <v>130</v>
      </c>
      <c r="AW3022" s="0" t="s">
        <v>130</v>
      </c>
      <c r="AX3022" s="0" t="s">
        <v>130</v>
      </c>
      <c r="AY3022" s="0" t="s">
        <v>130</v>
      </c>
      <c r="AZ3022" s="0" t="s">
        <v>130</v>
      </c>
      <c r="BA3022" s="0" t="s">
        <v>130</v>
      </c>
      <c r="BB3022" s="0" t="s">
        <v>141</v>
      </c>
      <c r="BC3022" s="0" t="s">
        <v>130</v>
      </c>
      <c r="BD3022" s="0" t="s">
        <v>130</v>
      </c>
      <c r="BE3022" s="0" t="s">
        <v>130</v>
      </c>
      <c r="BF3022" s="0" t="s">
        <v>130</v>
      </c>
      <c r="BG3022" s="0" t="s">
        <v>130</v>
      </c>
      <c r="BH3022" s="0" t="s">
        <v>130</v>
      </c>
      <c r="BI3022" s="0" t="s">
        <v>130</v>
      </c>
      <c r="BJ3022" s="0" t="s">
        <v>130</v>
      </c>
      <c r="BK3022" s="0" t="s">
        <v>130</v>
      </c>
      <c r="BL3022" s="0" t="s">
        <v>130</v>
      </c>
      <c r="BM3022" s="0" t="s">
        <v>130</v>
      </c>
      <c r="BN3022" s="0" t="s">
        <v>130</v>
      </c>
      <c r="BO3022" s="0" t="s">
        <v>130</v>
      </c>
      <c r="BP3022" s="0" t="s">
        <v>130</v>
      </c>
      <c r="BQ3022" s="0" t="s">
        <v>130</v>
      </c>
      <c r="BR3022" s="0" t="s">
        <v>130</v>
      </c>
      <c r="BS3022" s="0" t="s">
        <v>130</v>
      </c>
      <c r="BT3022" s="0" t="s">
        <v>130</v>
      </c>
      <c r="BU3022" s="0" t="s">
        <v>130</v>
      </c>
      <c r="BV3022" s="0" t="s">
        <v>130</v>
      </c>
      <c r="BW3022" s="0" t="s">
        <v>130</v>
      </c>
      <c r="BX3022" s="0" t="s">
        <v>130</v>
      </c>
      <c r="BY3022" s="0" t="s">
        <v>130</v>
      </c>
      <c r="BZ3022" s="0" t="s">
        <v>130</v>
      </c>
      <c r="CA3022" s="0" t="s">
        <v>130</v>
      </c>
      <c r="CB3022" s="0" t="s">
        <v>130</v>
      </c>
      <c r="CC3022" s="0" t="s">
        <v>130</v>
      </c>
      <c r="CD3022" s="0" t="s">
        <v>141</v>
      </c>
      <c r="CE3022" s="0" t="s">
        <v>130</v>
      </c>
      <c r="CF3022" s="0" t="s">
        <v>130</v>
      </c>
      <c r="CG3022" s="0" t="s">
        <v>130</v>
      </c>
      <c r="CH3022" s="0" t="s">
        <v>130</v>
      </c>
      <c r="CI3022" s="0" t="s">
        <v>130</v>
      </c>
      <c r="CJ3022" s="0" t="s">
        <v>130</v>
      </c>
      <c r="CK3022" s="0" t="s">
        <v>130</v>
      </c>
      <c r="CL3022" s="0" t="s">
        <v>130</v>
      </c>
      <c r="CM3022" s="0" t="s">
        <v>130</v>
      </c>
      <c r="CN3022" s="0" t="s">
        <v>130</v>
      </c>
      <c r="CO3022" s="0" t="s">
        <v>130</v>
      </c>
      <c r="CP3022" s="0" t="s">
        <v>130</v>
      </c>
      <c r="CQ3022" s="0" t="s">
        <v>130</v>
      </c>
      <c r="CR3022" s="0" t="s">
        <v>130</v>
      </c>
      <c r="CS3022" s="0" t="s">
        <v>130</v>
      </c>
      <c r="CT3022" s="0" t="s">
        <v>8127</v>
      </c>
    </row>
    <row r="3023">
      <c r="A3023" s="14">
        <v>186830</v>
      </c>
      <c r="B3023" s="0" t="s">
        <v>3247</v>
      </c>
      <c r="C3023" s="16">
        <f>HYPERLINK("https://eosportal.federatedhermes.com/companies/Q29tcGFueQppNjc3NTE=", "Banco BTG Pactual SA")</f>
      </c>
      <c r="D3023" s="0" t="s">
        <v>23</v>
      </c>
      <c r="E3023" s="0" t="s">
        <v>8128</v>
      </c>
      <c r="F3023" s="16">
        <f>HYPERLINK("https://eosportal.federatedhermes.com/engagements/RW5nYWdlbWVudAppNDE4Mjg=", "Enhance reporting and strategy with metrics")</f>
      </c>
      <c r="G3023" s="14" t="s">
        <v>8129</v>
      </c>
      <c r="H3023" s="0" t="s">
        <v>130</v>
      </c>
      <c r="I3023" s="14" t="s">
        <v>131</v>
      </c>
      <c r="J3023" s="0" t="s">
        <v>197</v>
      </c>
      <c r="K3023" s="0" t="s">
        <v>198</v>
      </c>
      <c r="L3023" s="0" t="s">
        <v>199</v>
      </c>
      <c r="M3023" s="0" t="s">
        <v>2807</v>
      </c>
      <c r="N3023" s="0" t="s">
        <v>3041</v>
      </c>
      <c r="O3023" s="0" t="s">
        <v>238</v>
      </c>
      <c r="Q3023" s="0" t="s">
        <v>141</v>
      </c>
      <c r="R3023" s="0" t="s">
        <v>141</v>
      </c>
      <c r="S3023" s="14">
        <v>1</v>
      </c>
      <c r="T3023" s="0" t="s">
        <v>361</v>
      </c>
      <c r="U3023" s="0" t="s">
        <v>221</v>
      </c>
      <c r="V3023" s="14" t="s">
        <v>361</v>
      </c>
      <c r="W3023" s="0" t="s">
        <v>221</v>
      </c>
      <c r="X3023" s="14" t="s">
        <v>361</v>
      </c>
      <c r="Y3023" s="0" t="s">
        <v>223</v>
      </c>
      <c r="Z3023" s="14" t="s">
        <v>138</v>
      </c>
      <c r="AA3023" s="0" t="s">
        <v>224</v>
      </c>
      <c r="AB3023" s="14" t="s">
        <v>138</v>
      </c>
      <c r="AC3023" s="0" t="s">
        <v>7928</v>
      </c>
      <c r="AD3023" s="0" t="s">
        <v>17</v>
      </c>
      <c r="AE3023" s="0" t="s">
        <v>7929</v>
      </c>
      <c r="AF3023" s="0">
        <v>2</v>
      </c>
      <c r="AG3023" s="0">
        <v>0</v>
      </c>
      <c r="AH3023" s="0" t="s">
        <v>140</v>
      </c>
      <c r="AI3023" s="0" t="s">
        <v>598</v>
      </c>
      <c r="AK3023" s="0" t="s">
        <v>1853</v>
      </c>
      <c r="AL3023" s="14"/>
      <c r="AN3023" s="14"/>
      <c r="AQ3023" s="0" t="s">
        <v>130</v>
      </c>
      <c r="AR3023" s="0" t="s">
        <v>130</v>
      </c>
      <c r="AS3023" s="0" t="s">
        <v>130</v>
      </c>
      <c r="AT3023" s="0" t="s">
        <v>130</v>
      </c>
      <c r="AU3023" s="0" t="s">
        <v>130</v>
      </c>
      <c r="AV3023" s="0" t="s">
        <v>130</v>
      </c>
      <c r="AW3023" s="0" t="s">
        <v>130</v>
      </c>
      <c r="AX3023" s="0" t="s">
        <v>130</v>
      </c>
      <c r="AY3023" s="0" t="s">
        <v>130</v>
      </c>
      <c r="AZ3023" s="0" t="s">
        <v>130</v>
      </c>
      <c r="BA3023" s="0" t="s">
        <v>130</v>
      </c>
      <c r="BB3023" s="0" t="s">
        <v>141</v>
      </c>
      <c r="BC3023" s="0" t="s">
        <v>141</v>
      </c>
      <c r="BD3023" s="0" t="s">
        <v>130</v>
      </c>
      <c r="BE3023" s="0" t="s">
        <v>130</v>
      </c>
      <c r="BF3023" s="0" t="s">
        <v>130</v>
      </c>
      <c r="BG3023" s="0" t="s">
        <v>130</v>
      </c>
      <c r="BH3023" s="0" t="s">
        <v>130</v>
      </c>
      <c r="BI3023" s="0" t="s">
        <v>130</v>
      </c>
      <c r="BJ3023" s="0" t="s">
        <v>130</v>
      </c>
      <c r="BK3023" s="0" t="s">
        <v>130</v>
      </c>
      <c r="BL3023" s="0" t="s">
        <v>130</v>
      </c>
      <c r="BM3023" s="0" t="s">
        <v>130</v>
      </c>
      <c r="BN3023" s="0" t="s">
        <v>130</v>
      </c>
      <c r="BO3023" s="0" t="s">
        <v>130</v>
      </c>
      <c r="BP3023" s="0" t="s">
        <v>130</v>
      </c>
      <c r="BQ3023" s="0" t="s">
        <v>130</v>
      </c>
      <c r="BR3023" s="0" t="s">
        <v>130</v>
      </c>
      <c r="BS3023" s="0" t="s">
        <v>130</v>
      </c>
      <c r="BT3023" s="0" t="s">
        <v>130</v>
      </c>
      <c r="BU3023" s="0" t="s">
        <v>130</v>
      </c>
      <c r="BV3023" s="0" t="s">
        <v>130</v>
      </c>
      <c r="BW3023" s="0" t="s">
        <v>130</v>
      </c>
      <c r="BX3023" s="0" t="s">
        <v>130</v>
      </c>
      <c r="BY3023" s="0" t="s">
        <v>130</v>
      </c>
      <c r="BZ3023" s="0" t="s">
        <v>130</v>
      </c>
      <c r="CA3023" s="0" t="s">
        <v>130</v>
      </c>
      <c r="CB3023" s="0" t="s">
        <v>130</v>
      </c>
      <c r="CC3023" s="0" t="s">
        <v>130</v>
      </c>
      <c r="CD3023" s="0" t="s">
        <v>130</v>
      </c>
      <c r="CE3023" s="0" t="s">
        <v>130</v>
      </c>
      <c r="CF3023" s="0" t="s">
        <v>130</v>
      </c>
      <c r="CG3023" s="0" t="s">
        <v>130</v>
      </c>
      <c r="CH3023" s="0" t="s">
        <v>130</v>
      </c>
      <c r="CI3023" s="0" t="s">
        <v>130</v>
      </c>
      <c r="CJ3023" s="0" t="s">
        <v>130</v>
      </c>
      <c r="CK3023" s="0" t="s">
        <v>130</v>
      </c>
      <c r="CL3023" s="0" t="s">
        <v>130</v>
      </c>
      <c r="CM3023" s="0" t="s">
        <v>130</v>
      </c>
      <c r="CN3023" s="0" t="s">
        <v>130</v>
      </c>
      <c r="CO3023" s="0" t="s">
        <v>130</v>
      </c>
      <c r="CP3023" s="0" t="s">
        <v>130</v>
      </c>
      <c r="CQ3023" s="0" t="s">
        <v>130</v>
      </c>
      <c r="CR3023" s="0" t="s">
        <v>130</v>
      </c>
      <c r="CS3023" s="0" t="s">
        <v>130</v>
      </c>
      <c r="CT3023" s="0" t="s">
        <v>8130</v>
      </c>
    </row>
    <row r="3024">
      <c r="A3024" s="14">
        <v>328455</v>
      </c>
      <c r="B3024" s="0" t="s">
        <v>3655</v>
      </c>
      <c r="C3024" s="16">
        <f>HYPERLINK("https://eosportal.federatedhermes.com/companies/Q29tcGFueQppNjc3Mjk=", "Fortum OYJ")</f>
      </c>
      <c r="D3024" s="0" t="s">
        <v>25</v>
      </c>
      <c r="E3024" s="0" t="s">
        <v>5987</v>
      </c>
      <c r="F3024" s="16">
        <f>HYPERLINK("https://eosportal.federatedhermes.com/engagements/RW5nYWdlbWVudAppNDE4MzU=", "Physical climate risk")</f>
      </c>
      <c r="G3024" s="14" t="s">
        <v>8131</v>
      </c>
      <c r="H3024" s="0" t="s">
        <v>130</v>
      </c>
      <c r="I3024" s="14" t="s">
        <v>319</v>
      </c>
      <c r="J3024" s="0" t="s">
        <v>197</v>
      </c>
      <c r="K3024" s="0" t="s">
        <v>198</v>
      </c>
      <c r="L3024" s="0" t="s">
        <v>682</v>
      </c>
      <c r="M3024" s="0" t="s">
        <v>378</v>
      </c>
      <c r="N3024" s="0" t="s">
        <v>3657</v>
      </c>
      <c r="O3024" s="0" t="s">
        <v>192</v>
      </c>
      <c r="Q3024" s="0" t="s">
        <v>141</v>
      </c>
      <c r="R3024" s="0" t="s">
        <v>138</v>
      </c>
      <c r="S3024" s="14">
        <v>1</v>
      </c>
      <c r="T3024" s="0" t="s">
        <v>361</v>
      </c>
      <c r="U3024" s="0" t="s">
        <v>138</v>
      </c>
      <c r="V3024" s="14" t="s">
        <v>138</v>
      </c>
      <c r="W3024" s="0" t="s">
        <v>138</v>
      </c>
      <c r="X3024" s="14" t="s">
        <v>138</v>
      </c>
      <c r="Y3024" s="0" t="s">
        <v>138</v>
      </c>
      <c r="Z3024" s="14" t="s">
        <v>138</v>
      </c>
      <c r="AA3024" s="0" t="s">
        <v>138</v>
      </c>
      <c r="AB3024" s="14" t="s">
        <v>138</v>
      </c>
      <c r="AD3024" s="0" t="s">
        <v>138</v>
      </c>
      <c r="AF3024" s="0">
        <v>0</v>
      </c>
      <c r="AG3024" s="0">
        <v>0</v>
      </c>
      <c r="AH3024" s="0" t="s">
        <v>140</v>
      </c>
      <c r="AI3024" s="0" t="s">
        <v>138</v>
      </c>
      <c r="AK3024" s="0" t="s">
        <v>847</v>
      </c>
      <c r="AL3024" s="14"/>
      <c r="AN3024" s="14"/>
      <c r="AQ3024" s="0" t="s">
        <v>130</v>
      </c>
      <c r="AR3024" s="0" t="s">
        <v>130</v>
      </c>
      <c r="AS3024" s="0" t="s">
        <v>130</v>
      </c>
      <c r="AT3024" s="0" t="s">
        <v>130</v>
      </c>
      <c r="AU3024" s="0" t="s">
        <v>130</v>
      </c>
      <c r="AV3024" s="0" t="s">
        <v>130</v>
      </c>
      <c r="AW3024" s="0" t="s">
        <v>130</v>
      </c>
      <c r="AX3024" s="0" t="s">
        <v>130</v>
      </c>
      <c r="AY3024" s="0" t="s">
        <v>130</v>
      </c>
      <c r="AZ3024" s="0" t="s">
        <v>130</v>
      </c>
      <c r="BA3024" s="0" t="s">
        <v>130</v>
      </c>
      <c r="BB3024" s="0" t="s">
        <v>130</v>
      </c>
      <c r="BC3024" s="0" t="s">
        <v>141</v>
      </c>
      <c r="BD3024" s="0" t="s">
        <v>130</v>
      </c>
      <c r="BE3024" s="0" t="s">
        <v>130</v>
      </c>
      <c r="BF3024" s="0" t="s">
        <v>130</v>
      </c>
      <c r="BG3024" s="0" t="s">
        <v>130</v>
      </c>
      <c r="BH3024" s="0" t="s">
        <v>130</v>
      </c>
      <c r="BI3024" s="0" t="s">
        <v>130</v>
      </c>
      <c r="BJ3024" s="0" t="s">
        <v>130</v>
      </c>
      <c r="BK3024" s="0" t="s">
        <v>130</v>
      </c>
      <c r="BL3024" s="0" t="s">
        <v>130</v>
      </c>
      <c r="BM3024" s="0" t="s">
        <v>130</v>
      </c>
      <c r="BN3024" s="0" t="s">
        <v>130</v>
      </c>
      <c r="BO3024" s="0" t="s">
        <v>130</v>
      </c>
      <c r="BP3024" s="0" t="s">
        <v>130</v>
      </c>
      <c r="BQ3024" s="0" t="s">
        <v>130</v>
      </c>
      <c r="BR3024" s="0" t="s">
        <v>130</v>
      </c>
      <c r="BS3024" s="0" t="s">
        <v>130</v>
      </c>
      <c r="BT3024" s="0" t="s">
        <v>130</v>
      </c>
      <c r="BU3024" s="0" t="s">
        <v>130</v>
      </c>
      <c r="BV3024" s="0" t="s">
        <v>130</v>
      </c>
      <c r="BW3024" s="0" t="s">
        <v>130</v>
      </c>
      <c r="BX3024" s="0" t="s">
        <v>130</v>
      </c>
      <c r="BY3024" s="0" t="s">
        <v>130</v>
      </c>
      <c r="BZ3024" s="0" t="s">
        <v>130</v>
      </c>
      <c r="CA3024" s="0" t="s">
        <v>130</v>
      </c>
      <c r="CB3024" s="0" t="s">
        <v>130</v>
      </c>
      <c r="CC3024" s="0" t="s">
        <v>130</v>
      </c>
      <c r="CD3024" s="0" t="s">
        <v>130</v>
      </c>
      <c r="CE3024" s="0" t="s">
        <v>130</v>
      </c>
      <c r="CF3024" s="0" t="s">
        <v>130</v>
      </c>
      <c r="CG3024" s="0" t="s">
        <v>130</v>
      </c>
      <c r="CH3024" s="0" t="s">
        <v>130</v>
      </c>
      <c r="CI3024" s="0" t="s">
        <v>130</v>
      </c>
      <c r="CJ3024" s="0" t="s">
        <v>130</v>
      </c>
      <c r="CK3024" s="0" t="s">
        <v>130</v>
      </c>
      <c r="CL3024" s="0" t="s">
        <v>130</v>
      </c>
      <c r="CM3024" s="0" t="s">
        <v>130</v>
      </c>
      <c r="CN3024" s="0" t="s">
        <v>130</v>
      </c>
      <c r="CO3024" s="0" t="s">
        <v>130</v>
      </c>
      <c r="CP3024" s="0" t="s">
        <v>130</v>
      </c>
      <c r="CQ3024" s="0" t="s">
        <v>130</v>
      </c>
      <c r="CR3024" s="0" t="s">
        <v>130</v>
      </c>
      <c r="CS3024" s="0" t="s">
        <v>130</v>
      </c>
      <c r="CT3024" s="0" t="s">
        <v>8132</v>
      </c>
    </row>
    <row r="3025">
      <c r="A3025" s="14">
        <v>239787</v>
      </c>
      <c r="B3025" s="0" t="s">
        <v>3523</v>
      </c>
      <c r="C3025" s="16">
        <f>HYPERLINK("https://eosportal.federatedhermes.com/companies/Q29tcGFueQppODU4NzI=", "Eurofins Scientific SE")</f>
      </c>
      <c r="D3025" s="0" t="s">
        <v>25</v>
      </c>
      <c r="E3025" s="0" t="s">
        <v>5234</v>
      </c>
      <c r="F3025" s="16">
        <f>HYPERLINK("https://eosportal.federatedhermes.com/engagements/RW5nYWdlbWVudAppNDE4NDM=", "Antimicrobial resistance")</f>
      </c>
      <c r="G3025" s="14" t="s">
        <v>8133</v>
      </c>
      <c r="H3025" s="0" t="s">
        <v>130</v>
      </c>
      <c r="I3025" s="14" t="s">
        <v>131</v>
      </c>
      <c r="J3025" s="0" t="s">
        <v>132</v>
      </c>
      <c r="K3025" s="0" t="s">
        <v>260</v>
      </c>
      <c r="L3025" s="0" t="s">
        <v>261</v>
      </c>
      <c r="M3025" s="0" t="s">
        <v>378</v>
      </c>
      <c r="N3025" s="0" t="s">
        <v>3435</v>
      </c>
      <c r="O3025" s="0" t="s">
        <v>274</v>
      </c>
      <c r="Q3025" s="0" t="s">
        <v>141</v>
      </c>
      <c r="R3025" s="0" t="s">
        <v>138</v>
      </c>
      <c r="S3025" s="14">
        <v>1</v>
      </c>
      <c r="T3025" s="0" t="s">
        <v>361</v>
      </c>
      <c r="U3025" s="0" t="s">
        <v>138</v>
      </c>
      <c r="V3025" s="14" t="s">
        <v>138</v>
      </c>
      <c r="W3025" s="0" t="s">
        <v>138</v>
      </c>
      <c r="X3025" s="14" t="s">
        <v>138</v>
      </c>
      <c r="Y3025" s="0" t="s">
        <v>138</v>
      </c>
      <c r="Z3025" s="14" t="s">
        <v>138</v>
      </c>
      <c r="AA3025" s="0" t="s">
        <v>138</v>
      </c>
      <c r="AB3025" s="14" t="s">
        <v>138</v>
      </c>
      <c r="AD3025" s="0" t="s">
        <v>138</v>
      </c>
      <c r="AF3025" s="0">
        <v>0</v>
      </c>
      <c r="AG3025" s="0">
        <v>0</v>
      </c>
      <c r="AH3025" s="0" t="s">
        <v>140</v>
      </c>
      <c r="AI3025" s="0" t="s">
        <v>138</v>
      </c>
      <c r="AK3025" s="0" t="s">
        <v>2290</v>
      </c>
      <c r="AL3025" s="14"/>
      <c r="AN3025" s="14"/>
      <c r="AQ3025" s="0" t="s">
        <v>130</v>
      </c>
      <c r="AR3025" s="0" t="s">
        <v>130</v>
      </c>
      <c r="AS3025" s="0" t="s">
        <v>130</v>
      </c>
      <c r="AT3025" s="0" t="s">
        <v>130</v>
      </c>
      <c r="AU3025" s="0" t="s">
        <v>130</v>
      </c>
      <c r="AV3025" s="0" t="s">
        <v>130</v>
      </c>
      <c r="AW3025" s="0" t="s">
        <v>130</v>
      </c>
      <c r="AX3025" s="0" t="s">
        <v>130</v>
      </c>
      <c r="AY3025" s="0" t="s">
        <v>130</v>
      </c>
      <c r="AZ3025" s="0" t="s">
        <v>130</v>
      </c>
      <c r="BA3025" s="0" t="s">
        <v>130</v>
      </c>
      <c r="BB3025" s="0" t="s">
        <v>130</v>
      </c>
      <c r="BC3025" s="0" t="s">
        <v>130</v>
      </c>
      <c r="BD3025" s="0" t="s">
        <v>130</v>
      </c>
      <c r="BE3025" s="0" t="s">
        <v>130</v>
      </c>
      <c r="BF3025" s="0" t="s">
        <v>130</v>
      </c>
      <c r="BG3025" s="0" t="s">
        <v>130</v>
      </c>
      <c r="BH3025" s="0" t="s">
        <v>130</v>
      </c>
      <c r="BI3025" s="0" t="s">
        <v>130</v>
      </c>
      <c r="BJ3025" s="0" t="s">
        <v>130</v>
      </c>
      <c r="BK3025" s="0" t="s">
        <v>130</v>
      </c>
      <c r="BL3025" s="0" t="s">
        <v>130</v>
      </c>
      <c r="BM3025" s="0" t="s">
        <v>130</v>
      </c>
      <c r="BN3025" s="0" t="s">
        <v>130</v>
      </c>
      <c r="BO3025" s="0" t="s">
        <v>130</v>
      </c>
      <c r="BP3025" s="0" t="s">
        <v>130</v>
      </c>
      <c r="BQ3025" s="0" t="s">
        <v>130</v>
      </c>
      <c r="BR3025" s="0" t="s">
        <v>130</v>
      </c>
      <c r="BS3025" s="0" t="s">
        <v>130</v>
      </c>
      <c r="BT3025" s="0" t="s">
        <v>130</v>
      </c>
      <c r="BU3025" s="0" t="s">
        <v>130</v>
      </c>
      <c r="BV3025" s="0" t="s">
        <v>130</v>
      </c>
      <c r="BW3025" s="0" t="s">
        <v>130</v>
      </c>
      <c r="BX3025" s="0" t="s">
        <v>130</v>
      </c>
      <c r="BY3025" s="0" t="s">
        <v>130</v>
      </c>
      <c r="BZ3025" s="0" t="s">
        <v>130</v>
      </c>
      <c r="CA3025" s="0" t="s">
        <v>130</v>
      </c>
      <c r="CB3025" s="0" t="s">
        <v>130</v>
      </c>
      <c r="CC3025" s="0" t="s">
        <v>130</v>
      </c>
      <c r="CD3025" s="0" t="s">
        <v>130</v>
      </c>
      <c r="CE3025" s="0" t="s">
        <v>130</v>
      </c>
      <c r="CF3025" s="0" t="s">
        <v>130</v>
      </c>
      <c r="CG3025" s="0" t="s">
        <v>130</v>
      </c>
      <c r="CH3025" s="0" t="s">
        <v>130</v>
      </c>
      <c r="CI3025" s="0" t="s">
        <v>130</v>
      </c>
      <c r="CJ3025" s="0" t="s">
        <v>130</v>
      </c>
      <c r="CK3025" s="0" t="s">
        <v>130</v>
      </c>
      <c r="CL3025" s="0" t="s">
        <v>130</v>
      </c>
      <c r="CM3025" s="0" t="s">
        <v>130</v>
      </c>
      <c r="CN3025" s="0" t="s">
        <v>130</v>
      </c>
      <c r="CO3025" s="0" t="s">
        <v>130</v>
      </c>
      <c r="CP3025" s="0" t="s">
        <v>130</v>
      </c>
      <c r="CQ3025" s="0" t="s">
        <v>130</v>
      </c>
      <c r="CR3025" s="0" t="s">
        <v>130</v>
      </c>
      <c r="CS3025" s="0" t="s">
        <v>130</v>
      </c>
      <c r="CT3025" s="0" t="s">
        <v>8134</v>
      </c>
    </row>
    <row r="3026">
      <c r="A3026" s="14">
        <v>117312</v>
      </c>
      <c r="B3026" s="0" t="s">
        <v>2853</v>
      </c>
      <c r="C3026" s="16">
        <f>HYPERLINK("https://eosportal.federatedhermes.com/companies/Q29tcGFueQppNDc1NDI=", "Royal Caribbean Cruises Ltd")</f>
      </c>
      <c r="D3026" s="0" t="s">
        <v>23</v>
      </c>
      <c r="E3026" s="0" t="s">
        <v>842</v>
      </c>
      <c r="F3026" s="16">
        <f>HYPERLINK("https://eosportal.federatedhermes.com/engagements/RW5nYWdlbWVudAppNDE4NzU=", "Reporting of progress against strategy")</f>
      </c>
      <c r="G3026" s="14" t="s">
        <v>8135</v>
      </c>
      <c r="H3026" s="0" t="s">
        <v>130</v>
      </c>
      <c r="I3026" s="14" t="s">
        <v>131</v>
      </c>
      <c r="J3026" s="0" t="s">
        <v>197</v>
      </c>
      <c r="K3026" s="0" t="s">
        <v>198</v>
      </c>
      <c r="L3026" s="0" t="s">
        <v>220</v>
      </c>
      <c r="M3026" s="0" t="s">
        <v>135</v>
      </c>
      <c r="N3026" s="0" t="s">
        <v>136</v>
      </c>
      <c r="O3026" s="0" t="s">
        <v>643</v>
      </c>
      <c r="Q3026" s="0" t="s">
        <v>141</v>
      </c>
      <c r="R3026" s="0" t="s">
        <v>141</v>
      </c>
      <c r="S3026" s="14">
        <v>1</v>
      </c>
      <c r="T3026" s="0" t="s">
        <v>361</v>
      </c>
      <c r="U3026" s="0" t="s">
        <v>221</v>
      </c>
      <c r="V3026" s="14" t="s">
        <v>361</v>
      </c>
      <c r="W3026" s="0" t="s">
        <v>221</v>
      </c>
      <c r="X3026" s="14" t="s">
        <v>361</v>
      </c>
      <c r="Y3026" s="0" t="s">
        <v>223</v>
      </c>
      <c r="Z3026" s="14" t="s">
        <v>138</v>
      </c>
      <c r="AA3026" s="0" t="s">
        <v>224</v>
      </c>
      <c r="AB3026" s="14" t="s">
        <v>138</v>
      </c>
      <c r="AC3026" s="0" t="s">
        <v>7928</v>
      </c>
      <c r="AD3026" s="0" t="s">
        <v>17</v>
      </c>
      <c r="AE3026" s="0" t="s">
        <v>7929</v>
      </c>
      <c r="AF3026" s="0">
        <v>2</v>
      </c>
      <c r="AG3026" s="0">
        <v>0</v>
      </c>
      <c r="AH3026" s="0" t="s">
        <v>140</v>
      </c>
      <c r="AI3026" s="0" t="s">
        <v>598</v>
      </c>
      <c r="AK3026" s="0" t="s">
        <v>1950</v>
      </c>
      <c r="AL3026" s="14"/>
      <c r="AN3026" s="14"/>
      <c r="AQ3026" s="0" t="s">
        <v>130</v>
      </c>
      <c r="AR3026" s="0" t="s">
        <v>130</v>
      </c>
      <c r="AS3026" s="0" t="s">
        <v>130</v>
      </c>
      <c r="AT3026" s="0" t="s">
        <v>130</v>
      </c>
      <c r="AU3026" s="0" t="s">
        <v>130</v>
      </c>
      <c r="AV3026" s="0" t="s">
        <v>130</v>
      </c>
      <c r="AW3026" s="0" t="s">
        <v>141</v>
      </c>
      <c r="AX3026" s="0" t="s">
        <v>130</v>
      </c>
      <c r="AY3026" s="0" t="s">
        <v>141</v>
      </c>
      <c r="AZ3026" s="0" t="s">
        <v>130</v>
      </c>
      <c r="BA3026" s="0" t="s">
        <v>130</v>
      </c>
      <c r="BB3026" s="0" t="s">
        <v>130</v>
      </c>
      <c r="BC3026" s="0" t="s">
        <v>141</v>
      </c>
      <c r="BD3026" s="0" t="s">
        <v>130</v>
      </c>
      <c r="BE3026" s="0" t="s">
        <v>130</v>
      </c>
      <c r="BF3026" s="0" t="s">
        <v>130</v>
      </c>
      <c r="BG3026" s="0" t="s">
        <v>130</v>
      </c>
      <c r="BH3026" s="0" t="s">
        <v>130</v>
      </c>
      <c r="BI3026" s="0" t="s">
        <v>130</v>
      </c>
      <c r="BJ3026" s="0" t="s">
        <v>130</v>
      </c>
      <c r="BK3026" s="0" t="s">
        <v>130</v>
      </c>
      <c r="BL3026" s="0" t="s">
        <v>130</v>
      </c>
      <c r="BM3026" s="0" t="s">
        <v>130</v>
      </c>
      <c r="BN3026" s="0" t="s">
        <v>130</v>
      </c>
      <c r="BO3026" s="0" t="s">
        <v>130</v>
      </c>
      <c r="BP3026" s="0" t="s">
        <v>130</v>
      </c>
      <c r="BQ3026" s="0" t="s">
        <v>130</v>
      </c>
      <c r="BR3026" s="0" t="s">
        <v>130</v>
      </c>
      <c r="BS3026" s="0" t="s">
        <v>130</v>
      </c>
      <c r="BT3026" s="0" t="s">
        <v>130</v>
      </c>
      <c r="BU3026" s="0" t="s">
        <v>130</v>
      </c>
      <c r="BV3026" s="0" t="s">
        <v>130</v>
      </c>
      <c r="BW3026" s="0" t="s">
        <v>130</v>
      </c>
      <c r="BX3026" s="0" t="s">
        <v>130</v>
      </c>
      <c r="BY3026" s="0" t="s">
        <v>130</v>
      </c>
      <c r="BZ3026" s="0" t="s">
        <v>130</v>
      </c>
      <c r="CA3026" s="0" t="s">
        <v>130</v>
      </c>
      <c r="CB3026" s="0" t="s">
        <v>130</v>
      </c>
      <c r="CC3026" s="0" t="s">
        <v>130</v>
      </c>
      <c r="CD3026" s="0" t="s">
        <v>130</v>
      </c>
      <c r="CE3026" s="0" t="s">
        <v>130</v>
      </c>
      <c r="CF3026" s="0" t="s">
        <v>130</v>
      </c>
      <c r="CG3026" s="0" t="s">
        <v>130</v>
      </c>
      <c r="CH3026" s="0" t="s">
        <v>130</v>
      </c>
      <c r="CI3026" s="0" t="s">
        <v>130</v>
      </c>
      <c r="CJ3026" s="0" t="s">
        <v>130</v>
      </c>
      <c r="CK3026" s="0" t="s">
        <v>130</v>
      </c>
      <c r="CL3026" s="0" t="s">
        <v>130</v>
      </c>
      <c r="CM3026" s="0" t="s">
        <v>130</v>
      </c>
      <c r="CN3026" s="0" t="s">
        <v>130</v>
      </c>
      <c r="CO3026" s="0" t="s">
        <v>130</v>
      </c>
      <c r="CP3026" s="0" t="s">
        <v>130</v>
      </c>
      <c r="CQ3026" s="0" t="s">
        <v>130</v>
      </c>
      <c r="CR3026" s="0" t="s">
        <v>130</v>
      </c>
      <c r="CS3026" s="0" t="s">
        <v>130</v>
      </c>
      <c r="CT3026" s="0" t="s">
        <v>8136</v>
      </c>
    </row>
    <row r="3027">
      <c r="A3027" s="14">
        <v>305366</v>
      </c>
      <c r="B3027" s="0" t="s">
        <v>3558</v>
      </c>
      <c r="C3027" s="16">
        <f>HYPERLINK("https://eosportal.federatedhermes.com/companies/Q29tcGFueQppODQ0MTc=", "Quanta Services Inc")</f>
      </c>
      <c r="D3027" s="0" t="s">
        <v>23</v>
      </c>
      <c r="E3027" s="0" t="s">
        <v>228</v>
      </c>
      <c r="F3027" s="16">
        <f>HYPERLINK("https://eosportal.federatedhermes.com/engagements/RW5nYWdlbWVudAppNDE4Nzc=", "Climate strategy")</f>
      </c>
      <c r="G3027" s="14" t="s">
        <v>477</v>
      </c>
      <c r="H3027" s="0" t="s">
        <v>130</v>
      </c>
      <c r="I3027" s="14" t="s">
        <v>131</v>
      </c>
      <c r="J3027" s="0" t="s">
        <v>197</v>
      </c>
      <c r="K3027" s="0" t="s">
        <v>198</v>
      </c>
      <c r="L3027" s="0" t="s">
        <v>220</v>
      </c>
      <c r="M3027" s="0" t="s">
        <v>135</v>
      </c>
      <c r="N3027" s="0" t="s">
        <v>136</v>
      </c>
      <c r="O3027" s="0" t="s">
        <v>176</v>
      </c>
      <c r="Q3027" s="0" t="s">
        <v>141</v>
      </c>
      <c r="R3027" s="0" t="s">
        <v>141</v>
      </c>
      <c r="S3027" s="14">
        <v>1</v>
      </c>
      <c r="T3027" s="0" t="s">
        <v>449</v>
      </c>
      <c r="U3027" s="0" t="s">
        <v>221</v>
      </c>
      <c r="V3027" s="14" t="s">
        <v>449</v>
      </c>
      <c r="W3027" s="0" t="s">
        <v>221</v>
      </c>
      <c r="X3027" s="14" t="s">
        <v>361</v>
      </c>
      <c r="Y3027" s="0" t="s">
        <v>223</v>
      </c>
      <c r="Z3027" s="14" t="s">
        <v>138</v>
      </c>
      <c r="AA3027" s="0" t="s">
        <v>224</v>
      </c>
      <c r="AB3027" s="14" t="s">
        <v>138</v>
      </c>
      <c r="AC3027" s="0" t="s">
        <v>14</v>
      </c>
      <c r="AD3027" s="0" t="s">
        <v>17</v>
      </c>
      <c r="AE3027" s="0" t="s">
        <v>5508</v>
      </c>
      <c r="AF3027" s="0">
        <v>1</v>
      </c>
      <c r="AG3027" s="0">
        <v>0</v>
      </c>
      <c r="AH3027" s="0" t="s">
        <v>140</v>
      </c>
      <c r="AI3027" s="0" t="s">
        <v>598</v>
      </c>
      <c r="AK3027" s="0" t="s">
        <v>587</v>
      </c>
      <c r="AL3027" s="14"/>
      <c r="AN3027" s="14"/>
      <c r="AQ3027" s="0" t="s">
        <v>130</v>
      </c>
      <c r="AR3027" s="0" t="s">
        <v>130</v>
      </c>
      <c r="AS3027" s="0" t="s">
        <v>130</v>
      </c>
      <c r="AT3027" s="0" t="s">
        <v>130</v>
      </c>
      <c r="AU3027" s="0" t="s">
        <v>130</v>
      </c>
      <c r="AV3027" s="0" t="s">
        <v>130</v>
      </c>
      <c r="AW3027" s="0" t="s">
        <v>141</v>
      </c>
      <c r="AX3027" s="0" t="s">
        <v>130</v>
      </c>
      <c r="AY3027" s="0" t="s">
        <v>141</v>
      </c>
      <c r="AZ3027" s="0" t="s">
        <v>130</v>
      </c>
      <c r="BA3027" s="0" t="s">
        <v>130</v>
      </c>
      <c r="BB3027" s="0" t="s">
        <v>130</v>
      </c>
      <c r="BC3027" s="0" t="s">
        <v>141</v>
      </c>
      <c r="BD3027" s="0" t="s">
        <v>130</v>
      </c>
      <c r="BE3027" s="0" t="s">
        <v>130</v>
      </c>
      <c r="BF3027" s="0" t="s">
        <v>130</v>
      </c>
      <c r="BG3027" s="0" t="s">
        <v>130</v>
      </c>
      <c r="BH3027" s="0" t="s">
        <v>130</v>
      </c>
      <c r="BI3027" s="0" t="s">
        <v>130</v>
      </c>
      <c r="BJ3027" s="0" t="s">
        <v>130</v>
      </c>
      <c r="BK3027" s="0" t="s">
        <v>130</v>
      </c>
      <c r="BL3027" s="0" t="s">
        <v>130</v>
      </c>
      <c r="BM3027" s="0" t="s">
        <v>130</v>
      </c>
      <c r="BN3027" s="0" t="s">
        <v>130</v>
      </c>
      <c r="BO3027" s="0" t="s">
        <v>130</v>
      </c>
      <c r="BP3027" s="0" t="s">
        <v>130</v>
      </c>
      <c r="BQ3027" s="0" t="s">
        <v>130</v>
      </c>
      <c r="BR3027" s="0" t="s">
        <v>130</v>
      </c>
      <c r="BS3027" s="0" t="s">
        <v>130</v>
      </c>
      <c r="BT3027" s="0" t="s">
        <v>130</v>
      </c>
      <c r="BU3027" s="0" t="s">
        <v>130</v>
      </c>
      <c r="BV3027" s="0" t="s">
        <v>130</v>
      </c>
      <c r="BW3027" s="0" t="s">
        <v>130</v>
      </c>
      <c r="BX3027" s="0" t="s">
        <v>130</v>
      </c>
      <c r="BY3027" s="0" t="s">
        <v>130</v>
      </c>
      <c r="BZ3027" s="0" t="s">
        <v>130</v>
      </c>
      <c r="CA3027" s="0" t="s">
        <v>130</v>
      </c>
      <c r="CB3027" s="0" t="s">
        <v>130</v>
      </c>
      <c r="CC3027" s="0" t="s">
        <v>130</v>
      </c>
      <c r="CD3027" s="0" t="s">
        <v>130</v>
      </c>
      <c r="CE3027" s="0" t="s">
        <v>130</v>
      </c>
      <c r="CF3027" s="0" t="s">
        <v>130</v>
      </c>
      <c r="CG3027" s="0" t="s">
        <v>130</v>
      </c>
      <c r="CH3027" s="0" t="s">
        <v>130</v>
      </c>
      <c r="CI3027" s="0" t="s">
        <v>130</v>
      </c>
      <c r="CJ3027" s="0" t="s">
        <v>130</v>
      </c>
      <c r="CK3027" s="0" t="s">
        <v>130</v>
      </c>
      <c r="CL3027" s="0" t="s">
        <v>130</v>
      </c>
      <c r="CM3027" s="0" t="s">
        <v>130</v>
      </c>
      <c r="CN3027" s="0" t="s">
        <v>130</v>
      </c>
      <c r="CO3027" s="0" t="s">
        <v>130</v>
      </c>
      <c r="CP3027" s="0" t="s">
        <v>130</v>
      </c>
      <c r="CQ3027" s="0" t="s">
        <v>130</v>
      </c>
      <c r="CR3027" s="0" t="s">
        <v>130</v>
      </c>
      <c r="CS3027" s="0" t="s">
        <v>130</v>
      </c>
      <c r="CT3027" s="0" t="s">
        <v>8137</v>
      </c>
    </row>
    <row r="3028">
      <c r="A3028" s="14">
        <v>100602</v>
      </c>
      <c r="B3028" s="0" t="s">
        <v>827</v>
      </c>
      <c r="C3028" s="16">
        <f>HYPERLINK("https://eosportal.federatedhermes.com/companies/Q29tcGFueQppNTQxNzY=", "Ford Motor Co")</f>
      </c>
      <c r="D3028" s="0" t="s">
        <v>25</v>
      </c>
      <c r="E3028" s="0" t="s">
        <v>7991</v>
      </c>
      <c r="F3028" s="16">
        <f>HYPERLINK("https://eosportal.federatedhermes.com/engagements/RW5nYWdlbWVudAppNDE4ODE=", "AI-related workforce impact")</f>
      </c>
      <c r="G3028" s="14" t="s">
        <v>8138</v>
      </c>
      <c r="H3028" s="0" t="s">
        <v>141</v>
      </c>
      <c r="I3028" s="14" t="s">
        <v>191</v>
      </c>
      <c r="J3028" s="0" t="s">
        <v>153</v>
      </c>
      <c r="K3028" s="0" t="s">
        <v>154</v>
      </c>
      <c r="L3028" s="0" t="s">
        <v>268</v>
      </c>
      <c r="M3028" s="0" t="s">
        <v>135</v>
      </c>
      <c r="N3028" s="0" t="s">
        <v>136</v>
      </c>
      <c r="O3028" s="0" t="s">
        <v>425</v>
      </c>
      <c r="Q3028" s="0" t="s">
        <v>141</v>
      </c>
      <c r="R3028" s="0" t="s">
        <v>138</v>
      </c>
      <c r="S3028" s="14">
        <v>1</v>
      </c>
      <c r="T3028" s="0" t="s">
        <v>361</v>
      </c>
      <c r="U3028" s="0" t="s">
        <v>138</v>
      </c>
      <c r="V3028" s="14" t="s">
        <v>138</v>
      </c>
      <c r="W3028" s="0" t="s">
        <v>138</v>
      </c>
      <c r="X3028" s="14" t="s">
        <v>138</v>
      </c>
      <c r="Y3028" s="0" t="s">
        <v>138</v>
      </c>
      <c r="Z3028" s="14" t="s">
        <v>138</v>
      </c>
      <c r="AA3028" s="0" t="s">
        <v>138</v>
      </c>
      <c r="AB3028" s="14" t="s">
        <v>138</v>
      </c>
      <c r="AD3028" s="0" t="s">
        <v>138</v>
      </c>
      <c r="AF3028" s="0">
        <v>0</v>
      </c>
      <c r="AG3028" s="0">
        <v>0</v>
      </c>
      <c r="AH3028" s="0" t="s">
        <v>140</v>
      </c>
      <c r="AI3028" s="0" t="s">
        <v>138</v>
      </c>
      <c r="AK3028" s="0" t="s">
        <v>847</v>
      </c>
      <c r="AL3028" s="14"/>
      <c r="AN3028" s="14"/>
      <c r="AQ3028" s="0" t="s">
        <v>130</v>
      </c>
      <c r="AR3028" s="0" t="s">
        <v>130</v>
      </c>
      <c r="AS3028" s="0" t="s">
        <v>130</v>
      </c>
      <c r="AT3028" s="0" t="s">
        <v>141</v>
      </c>
      <c r="AU3028" s="0" t="s">
        <v>130</v>
      </c>
      <c r="AV3028" s="0" t="s">
        <v>130</v>
      </c>
      <c r="AW3028" s="0" t="s">
        <v>130</v>
      </c>
      <c r="AX3028" s="0" t="s">
        <v>141</v>
      </c>
      <c r="AY3028" s="0" t="s">
        <v>130</v>
      </c>
      <c r="AZ3028" s="0" t="s">
        <v>130</v>
      </c>
      <c r="BA3028" s="0" t="s">
        <v>130</v>
      </c>
      <c r="BB3028" s="0" t="s">
        <v>130</v>
      </c>
      <c r="BC3028" s="0" t="s">
        <v>130</v>
      </c>
      <c r="BD3028" s="0" t="s">
        <v>130</v>
      </c>
      <c r="BE3028" s="0" t="s">
        <v>130</v>
      </c>
      <c r="BF3028" s="0" t="s">
        <v>130</v>
      </c>
      <c r="BG3028" s="0" t="s">
        <v>130</v>
      </c>
      <c r="BH3028" s="0" t="s">
        <v>130</v>
      </c>
      <c r="BI3028" s="0" t="s">
        <v>130</v>
      </c>
      <c r="BJ3028" s="0" t="s">
        <v>130</v>
      </c>
      <c r="BK3028" s="0" t="s">
        <v>130</v>
      </c>
      <c r="BL3028" s="0" t="s">
        <v>130</v>
      </c>
      <c r="BM3028" s="0" t="s">
        <v>130</v>
      </c>
      <c r="BN3028" s="0" t="s">
        <v>130</v>
      </c>
      <c r="BO3028" s="0" t="s">
        <v>130</v>
      </c>
      <c r="BP3028" s="0" t="s">
        <v>130</v>
      </c>
      <c r="BQ3028" s="0" t="s">
        <v>130</v>
      </c>
      <c r="BR3028" s="0" t="s">
        <v>130</v>
      </c>
      <c r="BS3028" s="0" t="s">
        <v>130</v>
      </c>
      <c r="BT3028" s="0" t="s">
        <v>130</v>
      </c>
      <c r="BU3028" s="0" t="s">
        <v>130</v>
      </c>
      <c r="BV3028" s="0" t="s">
        <v>130</v>
      </c>
      <c r="BW3028" s="0" t="s">
        <v>130</v>
      </c>
      <c r="BX3028" s="0" t="s">
        <v>130</v>
      </c>
      <c r="BY3028" s="0" t="s">
        <v>130</v>
      </c>
      <c r="BZ3028" s="0" t="s">
        <v>130</v>
      </c>
      <c r="CA3028" s="0" t="s">
        <v>130</v>
      </c>
      <c r="CB3028" s="0" t="s">
        <v>130</v>
      </c>
      <c r="CC3028" s="0" t="s">
        <v>130</v>
      </c>
      <c r="CD3028" s="0" t="s">
        <v>130</v>
      </c>
      <c r="CE3028" s="0" t="s">
        <v>130</v>
      </c>
      <c r="CF3028" s="0" t="s">
        <v>130</v>
      </c>
      <c r="CG3028" s="0" t="s">
        <v>130</v>
      </c>
      <c r="CH3028" s="0" t="s">
        <v>130</v>
      </c>
      <c r="CI3028" s="0" t="s">
        <v>130</v>
      </c>
      <c r="CJ3028" s="0" t="s">
        <v>130</v>
      </c>
      <c r="CK3028" s="0" t="s">
        <v>141</v>
      </c>
      <c r="CL3028" s="0" t="s">
        <v>130</v>
      </c>
      <c r="CM3028" s="0" t="s">
        <v>130</v>
      </c>
      <c r="CN3028" s="0" t="s">
        <v>130</v>
      </c>
      <c r="CO3028" s="0" t="s">
        <v>130</v>
      </c>
      <c r="CP3028" s="0" t="s">
        <v>130</v>
      </c>
      <c r="CQ3028" s="0" t="s">
        <v>130</v>
      </c>
      <c r="CR3028" s="0" t="s">
        <v>130</v>
      </c>
      <c r="CS3028" s="0" t="s">
        <v>130</v>
      </c>
      <c r="CT3028" s="0" t="s">
        <v>8139</v>
      </c>
    </row>
    <row r="3029">
      <c r="A3029" s="14">
        <v>153737</v>
      </c>
      <c r="B3029" s="0" t="s">
        <v>2939</v>
      </c>
      <c r="C3029" s="16">
        <f>HYPERLINK("https://eosportal.federatedhermes.com/companies/Q29tcGFueQppNDc5OTI=", "Taiwan Semiconductor Manufacturing Co Ltd")</f>
      </c>
      <c r="D3029" s="0" t="s">
        <v>25</v>
      </c>
      <c r="E3029" s="0" t="s">
        <v>8140</v>
      </c>
      <c r="F3029" s="16">
        <f>HYPERLINK("https://eosportal.federatedhermes.com/engagements/RW5nYWdlbWVudAppNDE5MDU=", "Phase out of all PFAS from the manufacturing process")</f>
      </c>
      <c r="G3029" s="14" t="s">
        <v>8141</v>
      </c>
      <c r="H3029" s="0" t="s">
        <v>141</v>
      </c>
      <c r="I3029" s="14" t="s">
        <v>131</v>
      </c>
      <c r="J3029" s="0" t="s">
        <v>197</v>
      </c>
      <c r="K3029" s="0" t="s">
        <v>348</v>
      </c>
      <c r="L3029" s="0" t="s">
        <v>650</v>
      </c>
      <c r="M3029" s="0" t="s">
        <v>802</v>
      </c>
      <c r="N3029" s="0" t="s">
        <v>2941</v>
      </c>
      <c r="O3029" s="0" t="s">
        <v>1125</v>
      </c>
      <c r="Q3029" s="0" t="s">
        <v>141</v>
      </c>
      <c r="R3029" s="0" t="s">
        <v>138</v>
      </c>
      <c r="S3029" s="14">
        <v>1</v>
      </c>
      <c r="T3029" s="0" t="s">
        <v>361</v>
      </c>
      <c r="U3029" s="0" t="s">
        <v>138</v>
      </c>
      <c r="V3029" s="14" t="s">
        <v>138</v>
      </c>
      <c r="W3029" s="0" t="s">
        <v>138</v>
      </c>
      <c r="X3029" s="14" t="s">
        <v>138</v>
      </c>
      <c r="Y3029" s="0" t="s">
        <v>138</v>
      </c>
      <c r="Z3029" s="14" t="s">
        <v>138</v>
      </c>
      <c r="AA3029" s="0" t="s">
        <v>138</v>
      </c>
      <c r="AB3029" s="14" t="s">
        <v>138</v>
      </c>
      <c r="AD3029" s="0" t="s">
        <v>138</v>
      </c>
      <c r="AF3029" s="0">
        <v>0</v>
      </c>
      <c r="AG3029" s="0">
        <v>0</v>
      </c>
      <c r="AH3029" s="0" t="s">
        <v>140</v>
      </c>
      <c r="AI3029" s="0" t="s">
        <v>138</v>
      </c>
      <c r="AK3029" s="0" t="s">
        <v>587</v>
      </c>
      <c r="AL3029" s="14"/>
      <c r="AN3029" s="14"/>
      <c r="AQ3029" s="0" t="s">
        <v>130</v>
      </c>
      <c r="AR3029" s="0" t="s">
        <v>130</v>
      </c>
      <c r="AS3029" s="0" t="s">
        <v>141</v>
      </c>
      <c r="AT3029" s="0" t="s">
        <v>130</v>
      </c>
      <c r="AU3029" s="0" t="s">
        <v>130</v>
      </c>
      <c r="AV3029" s="0" t="s">
        <v>130</v>
      </c>
      <c r="AW3029" s="0" t="s">
        <v>130</v>
      </c>
      <c r="AX3029" s="0" t="s">
        <v>130</v>
      </c>
      <c r="AY3029" s="0" t="s">
        <v>130</v>
      </c>
      <c r="AZ3029" s="0" t="s">
        <v>130</v>
      </c>
      <c r="BA3029" s="0" t="s">
        <v>130</v>
      </c>
      <c r="BB3029" s="0" t="s">
        <v>130</v>
      </c>
      <c r="BC3029" s="0" t="s">
        <v>130</v>
      </c>
      <c r="BD3029" s="0" t="s">
        <v>141</v>
      </c>
      <c r="BE3029" s="0" t="s">
        <v>130</v>
      </c>
      <c r="BF3029" s="0" t="s">
        <v>130</v>
      </c>
      <c r="BG3029" s="0" t="s">
        <v>130</v>
      </c>
      <c r="BH3029" s="0" t="s">
        <v>130</v>
      </c>
      <c r="BI3029" s="0" t="s">
        <v>130</v>
      </c>
      <c r="BJ3029" s="0" t="s">
        <v>130</v>
      </c>
      <c r="BK3029" s="0" t="s">
        <v>130</v>
      </c>
      <c r="BL3029" s="0" t="s">
        <v>130</v>
      </c>
      <c r="BM3029" s="0" t="s">
        <v>130</v>
      </c>
      <c r="BN3029" s="0" t="s">
        <v>141</v>
      </c>
      <c r="BO3029" s="0" t="s">
        <v>130</v>
      </c>
      <c r="BP3029" s="0" t="s">
        <v>130</v>
      </c>
      <c r="BQ3029" s="0" t="s">
        <v>130</v>
      </c>
      <c r="BR3029" s="0" t="s">
        <v>130</v>
      </c>
      <c r="BS3029" s="0" t="s">
        <v>130</v>
      </c>
      <c r="BT3029" s="0" t="s">
        <v>130</v>
      </c>
      <c r="BU3029" s="0" t="s">
        <v>130</v>
      </c>
      <c r="BV3029" s="0" t="s">
        <v>130</v>
      </c>
      <c r="BW3029" s="0" t="s">
        <v>130</v>
      </c>
      <c r="BX3029" s="0" t="s">
        <v>130</v>
      </c>
      <c r="BY3029" s="0" t="s">
        <v>130</v>
      </c>
      <c r="BZ3029" s="0" t="s">
        <v>130</v>
      </c>
      <c r="CA3029" s="0" t="s">
        <v>130</v>
      </c>
      <c r="CB3029" s="0" t="s">
        <v>130</v>
      </c>
      <c r="CC3029" s="0" t="s">
        <v>130</v>
      </c>
      <c r="CD3029" s="0" t="s">
        <v>130</v>
      </c>
      <c r="CE3029" s="0" t="s">
        <v>130</v>
      </c>
      <c r="CF3029" s="0" t="s">
        <v>130</v>
      </c>
      <c r="CG3029" s="0" t="s">
        <v>130</v>
      </c>
      <c r="CH3029" s="0" t="s">
        <v>130</v>
      </c>
      <c r="CI3029" s="0" t="s">
        <v>130</v>
      </c>
      <c r="CJ3029" s="0" t="s">
        <v>130</v>
      </c>
      <c r="CK3029" s="0" t="s">
        <v>130</v>
      </c>
      <c r="CL3029" s="0" t="s">
        <v>130</v>
      </c>
      <c r="CM3029" s="0" t="s">
        <v>130</v>
      </c>
      <c r="CN3029" s="0" t="s">
        <v>130</v>
      </c>
      <c r="CO3029" s="0" t="s">
        <v>130</v>
      </c>
      <c r="CP3029" s="0" t="s">
        <v>130</v>
      </c>
      <c r="CQ3029" s="0" t="s">
        <v>130</v>
      </c>
      <c r="CR3029" s="0" t="s">
        <v>130</v>
      </c>
      <c r="CS3029" s="0" t="s">
        <v>130</v>
      </c>
      <c r="CT3029" s="0" t="s">
        <v>8142</v>
      </c>
    </row>
    <row r="3030">
      <c r="A3030" s="14">
        <v>61564243</v>
      </c>
      <c r="B3030" s="0" t="s">
        <v>4788</v>
      </c>
      <c r="C3030" s="16">
        <f>HYPERLINK("https://eosportal.federatedhermes.com/companies/Q29tcGFueQppNTIxNzk=", "Nordea Bank Abp")</f>
      </c>
      <c r="D3030" s="0" t="s">
        <v>25</v>
      </c>
      <c r="E3030" s="0" t="s">
        <v>7991</v>
      </c>
      <c r="F3030" s="16">
        <f>HYPERLINK("https://eosportal.federatedhermes.com/engagements/RW5nYWdlbWVudAppNDE5MDc=", "AI-related workforce impact")</f>
      </c>
      <c r="G3030" s="14" t="s">
        <v>7992</v>
      </c>
      <c r="H3030" s="0" t="s">
        <v>141</v>
      </c>
      <c r="I3030" s="14" t="s">
        <v>131</v>
      </c>
      <c r="J3030" s="0" t="s">
        <v>153</v>
      </c>
      <c r="K3030" s="0" t="s">
        <v>154</v>
      </c>
      <c r="L3030" s="0" t="s">
        <v>268</v>
      </c>
      <c r="M3030" s="0" t="s">
        <v>378</v>
      </c>
      <c r="N3030" s="0" t="s">
        <v>3657</v>
      </c>
      <c r="O3030" s="0" t="s">
        <v>238</v>
      </c>
      <c r="Q3030" s="0" t="s">
        <v>141</v>
      </c>
      <c r="R3030" s="0" t="s">
        <v>138</v>
      </c>
      <c r="S3030" s="14">
        <v>1</v>
      </c>
      <c r="T3030" s="0" t="s">
        <v>361</v>
      </c>
      <c r="U3030" s="0" t="s">
        <v>138</v>
      </c>
      <c r="V3030" s="14" t="s">
        <v>138</v>
      </c>
      <c r="W3030" s="0" t="s">
        <v>138</v>
      </c>
      <c r="X3030" s="14" t="s">
        <v>138</v>
      </c>
      <c r="Y3030" s="0" t="s">
        <v>138</v>
      </c>
      <c r="Z3030" s="14" t="s">
        <v>138</v>
      </c>
      <c r="AA3030" s="0" t="s">
        <v>138</v>
      </c>
      <c r="AB3030" s="14" t="s">
        <v>138</v>
      </c>
      <c r="AD3030" s="0" t="s">
        <v>138</v>
      </c>
      <c r="AF3030" s="0">
        <v>0</v>
      </c>
      <c r="AG3030" s="0">
        <v>0</v>
      </c>
      <c r="AH3030" s="0" t="s">
        <v>140</v>
      </c>
      <c r="AI3030" s="0" t="s">
        <v>138</v>
      </c>
      <c r="AK3030" s="0" t="s">
        <v>1470</v>
      </c>
      <c r="AL3030" s="14"/>
      <c r="AN3030" s="14"/>
      <c r="AQ3030" s="0" t="s">
        <v>130</v>
      </c>
      <c r="AR3030" s="0" t="s">
        <v>130</v>
      </c>
      <c r="AS3030" s="0" t="s">
        <v>130</v>
      </c>
      <c r="AT3030" s="0" t="s">
        <v>141</v>
      </c>
      <c r="AU3030" s="0" t="s">
        <v>130</v>
      </c>
      <c r="AV3030" s="0" t="s">
        <v>130</v>
      </c>
      <c r="AW3030" s="0" t="s">
        <v>130</v>
      </c>
      <c r="AX3030" s="0" t="s">
        <v>141</v>
      </c>
      <c r="AY3030" s="0" t="s">
        <v>130</v>
      </c>
      <c r="AZ3030" s="0" t="s">
        <v>130</v>
      </c>
      <c r="BA3030" s="0" t="s">
        <v>130</v>
      </c>
      <c r="BB3030" s="0" t="s">
        <v>130</v>
      </c>
      <c r="BC3030" s="0" t="s">
        <v>130</v>
      </c>
      <c r="BD3030" s="0" t="s">
        <v>130</v>
      </c>
      <c r="BE3030" s="0" t="s">
        <v>130</v>
      </c>
      <c r="BF3030" s="0" t="s">
        <v>130</v>
      </c>
      <c r="BG3030" s="0" t="s">
        <v>130</v>
      </c>
      <c r="BH3030" s="0" t="s">
        <v>130</v>
      </c>
      <c r="BI3030" s="0" t="s">
        <v>130</v>
      </c>
      <c r="BJ3030" s="0" t="s">
        <v>130</v>
      </c>
      <c r="BK3030" s="0" t="s">
        <v>130</v>
      </c>
      <c r="BL3030" s="0" t="s">
        <v>130</v>
      </c>
      <c r="BM3030" s="0" t="s">
        <v>130</v>
      </c>
      <c r="BN3030" s="0" t="s">
        <v>130</v>
      </c>
      <c r="BO3030" s="0" t="s">
        <v>130</v>
      </c>
      <c r="BP3030" s="0" t="s">
        <v>130</v>
      </c>
      <c r="BQ3030" s="0" t="s">
        <v>130</v>
      </c>
      <c r="BR3030" s="0" t="s">
        <v>130</v>
      </c>
      <c r="BS3030" s="0" t="s">
        <v>130</v>
      </c>
      <c r="BT3030" s="0" t="s">
        <v>130</v>
      </c>
      <c r="BU3030" s="0" t="s">
        <v>130</v>
      </c>
      <c r="BV3030" s="0" t="s">
        <v>130</v>
      </c>
      <c r="BW3030" s="0" t="s">
        <v>130</v>
      </c>
      <c r="BX3030" s="0" t="s">
        <v>130</v>
      </c>
      <c r="BY3030" s="0" t="s">
        <v>130</v>
      </c>
      <c r="BZ3030" s="0" t="s">
        <v>130</v>
      </c>
      <c r="CA3030" s="0" t="s">
        <v>130</v>
      </c>
      <c r="CB3030" s="0" t="s">
        <v>130</v>
      </c>
      <c r="CC3030" s="0" t="s">
        <v>130</v>
      </c>
      <c r="CD3030" s="0" t="s">
        <v>130</v>
      </c>
      <c r="CE3030" s="0" t="s">
        <v>130</v>
      </c>
      <c r="CF3030" s="0" t="s">
        <v>130</v>
      </c>
      <c r="CG3030" s="0" t="s">
        <v>130</v>
      </c>
      <c r="CH3030" s="0" t="s">
        <v>130</v>
      </c>
      <c r="CI3030" s="0" t="s">
        <v>130</v>
      </c>
      <c r="CJ3030" s="0" t="s">
        <v>130</v>
      </c>
      <c r="CK3030" s="0" t="s">
        <v>141</v>
      </c>
      <c r="CL3030" s="0" t="s">
        <v>130</v>
      </c>
      <c r="CM3030" s="0" t="s">
        <v>130</v>
      </c>
      <c r="CN3030" s="0" t="s">
        <v>130</v>
      </c>
      <c r="CO3030" s="0" t="s">
        <v>130</v>
      </c>
      <c r="CP3030" s="0" t="s">
        <v>130</v>
      </c>
      <c r="CQ3030" s="0" t="s">
        <v>130</v>
      </c>
      <c r="CR3030" s="0" t="s">
        <v>130</v>
      </c>
      <c r="CS3030" s="0" t="s">
        <v>130</v>
      </c>
      <c r="CT3030" s="0" t="s">
        <v>8143</v>
      </c>
    </row>
    <row r="3031">
      <c r="A3031" s="14">
        <v>154858</v>
      </c>
      <c r="B3031" s="0" t="s">
        <v>8144</v>
      </c>
      <c r="C3031" s="16">
        <f>HYPERLINK("https://eosportal.federatedhermes.com/companies/Q29tcGFueQppNjg3OTE=", "China Resources Beer Holdings Co Ltd")</f>
      </c>
      <c r="D3031" s="0" t="s">
        <v>23</v>
      </c>
      <c r="E3031" s="0" t="s">
        <v>8145</v>
      </c>
      <c r="F3031" s="16">
        <f>HYPERLINK("https://eosportal.federatedhermes.com/engagements/RW5nYWdlbWVudAppNDE5MTg=", "Water intensity")</f>
      </c>
      <c r="G3031" s="14" t="s">
        <v>8146</v>
      </c>
      <c r="H3031" s="0" t="s">
        <v>130</v>
      </c>
      <c r="I3031" s="14" t="s">
        <v>319</v>
      </c>
      <c r="J3031" s="0" t="s">
        <v>197</v>
      </c>
      <c r="K3031" s="0" t="s">
        <v>198</v>
      </c>
      <c r="L3031" s="0" t="s">
        <v>682</v>
      </c>
      <c r="M3031" s="0" t="s">
        <v>802</v>
      </c>
      <c r="N3031" s="0" t="s">
        <v>803</v>
      </c>
      <c r="O3031" s="0" t="s">
        <v>332</v>
      </c>
      <c r="Q3031" s="0" t="s">
        <v>130</v>
      </c>
      <c r="R3031" s="0" t="s">
        <v>141</v>
      </c>
      <c r="S3031" s="14">
        <v>0</v>
      </c>
      <c r="T3031" s="0" t="s">
        <v>361</v>
      </c>
      <c r="U3031" s="0" t="s">
        <v>221</v>
      </c>
      <c r="V3031" s="14" t="s">
        <v>361</v>
      </c>
      <c r="W3031" s="0" t="s">
        <v>221</v>
      </c>
      <c r="X3031" s="14" t="s">
        <v>361</v>
      </c>
      <c r="Y3031" s="0" t="s">
        <v>223</v>
      </c>
      <c r="Z3031" s="14" t="s">
        <v>138</v>
      </c>
      <c r="AA3031" s="0" t="s">
        <v>224</v>
      </c>
      <c r="AB3031" s="14" t="s">
        <v>138</v>
      </c>
      <c r="AC3031" s="0" t="s">
        <v>7928</v>
      </c>
      <c r="AD3031" s="0" t="s">
        <v>17</v>
      </c>
      <c r="AE3031" s="0" t="s">
        <v>7929</v>
      </c>
      <c r="AF3031" s="0">
        <v>2</v>
      </c>
      <c r="AG3031" s="0">
        <v>0</v>
      </c>
      <c r="AH3031" s="0" t="s">
        <v>140</v>
      </c>
      <c r="AI3031" s="0" t="s">
        <v>598</v>
      </c>
      <c r="AL3031" s="14"/>
      <c r="AN3031" s="14"/>
      <c r="AQ3031" s="0" t="s">
        <v>130</v>
      </c>
      <c r="AR3031" s="0" t="s">
        <v>130</v>
      </c>
      <c r="AS3031" s="0" t="s">
        <v>130</v>
      </c>
      <c r="AT3031" s="0" t="s">
        <v>130</v>
      </c>
      <c r="AU3031" s="0" t="s">
        <v>130</v>
      </c>
      <c r="AV3031" s="0" t="s">
        <v>130</v>
      </c>
      <c r="AW3031" s="0" t="s">
        <v>130</v>
      </c>
      <c r="AX3031" s="0" t="s">
        <v>130</v>
      </c>
      <c r="AY3031" s="0" t="s">
        <v>130</v>
      </c>
      <c r="AZ3031" s="0" t="s">
        <v>130</v>
      </c>
      <c r="BA3031" s="0" t="s">
        <v>130</v>
      </c>
      <c r="BB3031" s="0" t="s">
        <v>130</v>
      </c>
      <c r="BC3031" s="0" t="s">
        <v>141</v>
      </c>
      <c r="BD3031" s="0" t="s">
        <v>130</v>
      </c>
      <c r="BE3031" s="0" t="s">
        <v>130</v>
      </c>
      <c r="BF3031" s="0" t="s">
        <v>130</v>
      </c>
      <c r="BG3031" s="0" t="s">
        <v>130</v>
      </c>
      <c r="BH3031" s="0" t="s">
        <v>130</v>
      </c>
      <c r="BI3031" s="0" t="s">
        <v>130</v>
      </c>
      <c r="BJ3031" s="0" t="s">
        <v>130</v>
      </c>
      <c r="BK3031" s="0" t="s">
        <v>130</v>
      </c>
      <c r="BL3031" s="0" t="s">
        <v>130</v>
      </c>
      <c r="BM3031" s="0" t="s">
        <v>130</v>
      </c>
      <c r="BN3031" s="0" t="s">
        <v>130</v>
      </c>
      <c r="BO3031" s="0" t="s">
        <v>130</v>
      </c>
      <c r="BP3031" s="0" t="s">
        <v>130</v>
      </c>
      <c r="BQ3031" s="0" t="s">
        <v>130</v>
      </c>
      <c r="BR3031" s="0" t="s">
        <v>130</v>
      </c>
      <c r="BS3031" s="0" t="s">
        <v>130</v>
      </c>
      <c r="BT3031" s="0" t="s">
        <v>130</v>
      </c>
      <c r="BU3031" s="0" t="s">
        <v>130</v>
      </c>
      <c r="BV3031" s="0" t="s">
        <v>130</v>
      </c>
      <c r="BW3031" s="0" t="s">
        <v>130</v>
      </c>
      <c r="BX3031" s="0" t="s">
        <v>130</v>
      </c>
      <c r="BY3031" s="0" t="s">
        <v>130</v>
      </c>
      <c r="BZ3031" s="0" t="s">
        <v>130</v>
      </c>
      <c r="CA3031" s="0" t="s">
        <v>130</v>
      </c>
      <c r="CB3031" s="0" t="s">
        <v>130</v>
      </c>
      <c r="CC3031" s="0" t="s">
        <v>130</v>
      </c>
      <c r="CD3031" s="0" t="s">
        <v>130</v>
      </c>
      <c r="CE3031" s="0" t="s">
        <v>130</v>
      </c>
      <c r="CF3031" s="0" t="s">
        <v>130</v>
      </c>
      <c r="CG3031" s="0" t="s">
        <v>130</v>
      </c>
      <c r="CH3031" s="0" t="s">
        <v>130</v>
      </c>
      <c r="CI3031" s="0" t="s">
        <v>130</v>
      </c>
      <c r="CJ3031" s="0" t="s">
        <v>130</v>
      </c>
      <c r="CK3031" s="0" t="s">
        <v>130</v>
      </c>
      <c r="CL3031" s="0" t="s">
        <v>130</v>
      </c>
      <c r="CM3031" s="0" t="s">
        <v>130</v>
      </c>
      <c r="CN3031" s="0" t="s">
        <v>130</v>
      </c>
      <c r="CO3031" s="0" t="s">
        <v>130</v>
      </c>
      <c r="CP3031" s="0" t="s">
        <v>130</v>
      </c>
      <c r="CQ3031" s="0" t="s">
        <v>130</v>
      </c>
      <c r="CR3031" s="0" t="s">
        <v>130</v>
      </c>
      <c r="CS3031" s="0" t="s">
        <v>130</v>
      </c>
      <c r="CT3031" s="0" t="s">
        <v>8147</v>
      </c>
    </row>
    <row r="3032">
      <c r="A3032" s="14">
        <v>154858</v>
      </c>
      <c r="B3032" s="0" t="s">
        <v>8144</v>
      </c>
      <c r="C3032" s="16">
        <f>HYPERLINK("https://eosportal.federatedhermes.com/companies/Q29tcGFueQppNjg3OTE=", "China Resources Beer Holdings Co Ltd")</f>
      </c>
      <c r="D3032" s="0" t="s">
        <v>23</v>
      </c>
      <c r="E3032" s="0" t="s">
        <v>8148</v>
      </c>
      <c r="F3032" s="16">
        <f>HYPERLINK("https://eosportal.federatedhermes.com/engagements/RW5nYWdlbWVudAppNDE5MTk=", "Emissions reduction")</f>
      </c>
      <c r="G3032" s="14" t="s">
        <v>8149</v>
      </c>
      <c r="H3032" s="0" t="s">
        <v>130</v>
      </c>
      <c r="I3032" s="14" t="s">
        <v>319</v>
      </c>
      <c r="J3032" s="0" t="s">
        <v>197</v>
      </c>
      <c r="K3032" s="0" t="s">
        <v>198</v>
      </c>
      <c r="L3032" s="0" t="s">
        <v>216</v>
      </c>
      <c r="M3032" s="0" t="s">
        <v>802</v>
      </c>
      <c r="N3032" s="0" t="s">
        <v>803</v>
      </c>
      <c r="O3032" s="0" t="s">
        <v>332</v>
      </c>
      <c r="Q3032" s="0" t="s">
        <v>130</v>
      </c>
      <c r="R3032" s="0" t="s">
        <v>141</v>
      </c>
      <c r="S3032" s="14">
        <v>0</v>
      </c>
      <c r="T3032" s="0" t="s">
        <v>361</v>
      </c>
      <c r="U3032" s="0" t="s">
        <v>221</v>
      </c>
      <c r="V3032" s="14" t="s">
        <v>361</v>
      </c>
      <c r="W3032" s="0" t="s">
        <v>221</v>
      </c>
      <c r="X3032" s="14" t="s">
        <v>361</v>
      </c>
      <c r="Y3032" s="0" t="s">
        <v>223</v>
      </c>
      <c r="Z3032" s="14" t="s">
        <v>138</v>
      </c>
      <c r="AA3032" s="0" t="s">
        <v>224</v>
      </c>
      <c r="AB3032" s="14" t="s">
        <v>138</v>
      </c>
      <c r="AC3032" s="0" t="s">
        <v>7928</v>
      </c>
      <c r="AD3032" s="0" t="s">
        <v>17</v>
      </c>
      <c r="AE3032" s="0" t="s">
        <v>7929</v>
      </c>
      <c r="AF3032" s="0">
        <v>2</v>
      </c>
      <c r="AG3032" s="0">
        <v>0</v>
      </c>
      <c r="AH3032" s="0" t="s">
        <v>140</v>
      </c>
      <c r="AI3032" s="0" t="s">
        <v>598</v>
      </c>
      <c r="AL3032" s="14"/>
      <c r="AN3032" s="14"/>
      <c r="AQ3032" s="0" t="s">
        <v>130</v>
      </c>
      <c r="AR3032" s="0" t="s">
        <v>130</v>
      </c>
      <c r="AS3032" s="0" t="s">
        <v>130</v>
      </c>
      <c r="AT3032" s="0" t="s">
        <v>130</v>
      </c>
      <c r="AU3032" s="0" t="s">
        <v>130</v>
      </c>
      <c r="AV3032" s="0" t="s">
        <v>130</v>
      </c>
      <c r="AW3032" s="0" t="s">
        <v>141</v>
      </c>
      <c r="AX3032" s="0" t="s">
        <v>130</v>
      </c>
      <c r="AY3032" s="0" t="s">
        <v>130</v>
      </c>
      <c r="AZ3032" s="0" t="s">
        <v>130</v>
      </c>
      <c r="BA3032" s="0" t="s">
        <v>130</v>
      </c>
      <c r="BB3032" s="0" t="s">
        <v>130</v>
      </c>
      <c r="BC3032" s="0" t="s">
        <v>141</v>
      </c>
      <c r="BD3032" s="0" t="s">
        <v>130</v>
      </c>
      <c r="BE3032" s="0" t="s">
        <v>130</v>
      </c>
      <c r="BF3032" s="0" t="s">
        <v>130</v>
      </c>
      <c r="BG3032" s="0" t="s">
        <v>130</v>
      </c>
      <c r="BH3032" s="0" t="s">
        <v>141</v>
      </c>
      <c r="BI3032" s="0" t="s">
        <v>141</v>
      </c>
      <c r="BJ3032" s="0" t="s">
        <v>141</v>
      </c>
      <c r="BK3032" s="0" t="s">
        <v>130</v>
      </c>
      <c r="BL3032" s="0" t="s">
        <v>130</v>
      </c>
      <c r="BM3032" s="0" t="s">
        <v>130</v>
      </c>
      <c r="BN3032" s="0" t="s">
        <v>130</v>
      </c>
      <c r="BO3032" s="0" t="s">
        <v>130</v>
      </c>
      <c r="BP3032" s="0" t="s">
        <v>130</v>
      </c>
      <c r="BQ3032" s="0" t="s">
        <v>130</v>
      </c>
      <c r="BR3032" s="0" t="s">
        <v>130</v>
      </c>
      <c r="BS3032" s="0" t="s">
        <v>130</v>
      </c>
      <c r="BT3032" s="0" t="s">
        <v>130</v>
      </c>
      <c r="BU3032" s="0" t="s">
        <v>130</v>
      </c>
      <c r="BV3032" s="0" t="s">
        <v>141</v>
      </c>
      <c r="BW3032" s="0" t="s">
        <v>141</v>
      </c>
      <c r="BX3032" s="0" t="s">
        <v>130</v>
      </c>
      <c r="BY3032" s="0" t="s">
        <v>130</v>
      </c>
      <c r="BZ3032" s="0" t="s">
        <v>130</v>
      </c>
      <c r="CA3032" s="0" t="s">
        <v>130</v>
      </c>
      <c r="CB3032" s="0" t="s">
        <v>130</v>
      </c>
      <c r="CC3032" s="0" t="s">
        <v>130</v>
      </c>
      <c r="CD3032" s="0" t="s">
        <v>130</v>
      </c>
      <c r="CE3032" s="0" t="s">
        <v>130</v>
      </c>
      <c r="CF3032" s="0" t="s">
        <v>130</v>
      </c>
      <c r="CG3032" s="0" t="s">
        <v>130</v>
      </c>
      <c r="CH3032" s="0" t="s">
        <v>130</v>
      </c>
      <c r="CI3032" s="0" t="s">
        <v>130</v>
      </c>
      <c r="CJ3032" s="0" t="s">
        <v>130</v>
      </c>
      <c r="CK3032" s="0" t="s">
        <v>130</v>
      </c>
      <c r="CL3032" s="0" t="s">
        <v>130</v>
      </c>
      <c r="CM3032" s="0" t="s">
        <v>130</v>
      </c>
      <c r="CN3032" s="0" t="s">
        <v>130</v>
      </c>
      <c r="CO3032" s="0" t="s">
        <v>130</v>
      </c>
      <c r="CP3032" s="0" t="s">
        <v>130</v>
      </c>
      <c r="CQ3032" s="0" t="s">
        <v>130</v>
      </c>
      <c r="CR3032" s="0" t="s">
        <v>130</v>
      </c>
      <c r="CS3032" s="0" t="s">
        <v>130</v>
      </c>
      <c r="CT3032" s="0" t="s">
        <v>8150</v>
      </c>
    </row>
    <row r="3033">
      <c r="A3033" s="14">
        <v>216952</v>
      </c>
      <c r="B3033" s="0" t="s">
        <v>3384</v>
      </c>
      <c r="C3033" s="16">
        <f>HYPERLINK("https://eosportal.federatedhermes.com/companies/Q29tcGFueQppNjc3MjM=", "Amazon.com Inc")</f>
      </c>
      <c r="D3033" s="0" t="s">
        <v>23</v>
      </c>
      <c r="E3033" s="0" t="s">
        <v>5005</v>
      </c>
      <c r="F3033" s="16">
        <f>HYPERLINK("https://eosportal.federatedhermes.com/engagements/RW5nYWdlbWVudAppNDE5MjA=", "Environmental impacts of data centres")</f>
      </c>
      <c r="G3033" s="14" t="s">
        <v>8151</v>
      </c>
      <c r="H3033" s="0" t="s">
        <v>141</v>
      </c>
      <c r="I3033" s="14" t="s">
        <v>191</v>
      </c>
      <c r="J3033" s="0" t="s">
        <v>197</v>
      </c>
      <c r="K3033" s="0" t="s">
        <v>198</v>
      </c>
      <c r="L3033" s="0" t="s">
        <v>199</v>
      </c>
      <c r="M3033" s="0" t="s">
        <v>135</v>
      </c>
      <c r="N3033" s="0" t="s">
        <v>136</v>
      </c>
      <c r="O3033" s="0" t="s">
        <v>643</v>
      </c>
      <c r="Q3033" s="0" t="s">
        <v>130</v>
      </c>
      <c r="R3033" s="0" t="s">
        <v>130</v>
      </c>
      <c r="S3033" s="14">
        <v>0</v>
      </c>
      <c r="T3033" s="0" t="s">
        <v>2428</v>
      </c>
      <c r="U3033" s="0" t="s">
        <v>221</v>
      </c>
      <c r="V3033" s="14" t="s">
        <v>2428</v>
      </c>
      <c r="W3033" s="0" t="s">
        <v>223</v>
      </c>
      <c r="X3033" s="14" t="s">
        <v>138</v>
      </c>
      <c r="Y3033" s="0" t="s">
        <v>224</v>
      </c>
      <c r="Z3033" s="14" t="s">
        <v>138</v>
      </c>
      <c r="AA3033" s="0" t="s">
        <v>224</v>
      </c>
      <c r="AB3033" s="14" t="s">
        <v>138</v>
      </c>
      <c r="AD3033" s="0" t="s">
        <v>14</v>
      </c>
      <c r="AF3033" s="0">
        <v>0</v>
      </c>
      <c r="AG3033" s="0">
        <v>0</v>
      </c>
      <c r="AH3033" s="0" t="s">
        <v>140</v>
      </c>
      <c r="AI3033" s="0" t="s">
        <v>479</v>
      </c>
      <c r="AL3033" s="14"/>
      <c r="AN3033" s="14"/>
      <c r="AQ3033" s="0" t="s">
        <v>130</v>
      </c>
      <c r="AR3033" s="0" t="s">
        <v>130</v>
      </c>
      <c r="AS3033" s="0" t="s">
        <v>130</v>
      </c>
      <c r="AT3033" s="0" t="s">
        <v>130</v>
      </c>
      <c r="AU3033" s="0" t="s">
        <v>130</v>
      </c>
      <c r="AV3033" s="0" t="s">
        <v>130</v>
      </c>
      <c r="AW3033" s="0" t="s">
        <v>130</v>
      </c>
      <c r="AX3033" s="0" t="s">
        <v>130</v>
      </c>
      <c r="AY3033" s="0" t="s">
        <v>130</v>
      </c>
      <c r="AZ3033" s="0" t="s">
        <v>130</v>
      </c>
      <c r="BA3033" s="0" t="s">
        <v>130</v>
      </c>
      <c r="BB3033" s="0" t="s">
        <v>141</v>
      </c>
      <c r="BC3033" s="0" t="s">
        <v>141</v>
      </c>
      <c r="BD3033" s="0" t="s">
        <v>130</v>
      </c>
      <c r="BE3033" s="0" t="s">
        <v>130</v>
      </c>
      <c r="BF3033" s="0" t="s">
        <v>130</v>
      </c>
      <c r="BG3033" s="0" t="s">
        <v>130</v>
      </c>
      <c r="BH3033" s="0" t="s">
        <v>130</v>
      </c>
      <c r="BI3033" s="0" t="s">
        <v>130</v>
      </c>
      <c r="BJ3033" s="0" t="s">
        <v>130</v>
      </c>
      <c r="BK3033" s="0" t="s">
        <v>130</v>
      </c>
      <c r="BL3033" s="0" t="s">
        <v>130</v>
      </c>
      <c r="BM3033" s="0" t="s">
        <v>130</v>
      </c>
      <c r="BN3033" s="0" t="s">
        <v>130</v>
      </c>
      <c r="BO3033" s="0" t="s">
        <v>130</v>
      </c>
      <c r="BP3033" s="0" t="s">
        <v>130</v>
      </c>
      <c r="BQ3033" s="0" t="s">
        <v>130</v>
      </c>
      <c r="BR3033" s="0" t="s">
        <v>130</v>
      </c>
      <c r="BS3033" s="0" t="s">
        <v>130</v>
      </c>
      <c r="BT3033" s="0" t="s">
        <v>130</v>
      </c>
      <c r="BU3033" s="0" t="s">
        <v>130</v>
      </c>
      <c r="BV3033" s="0" t="s">
        <v>130</v>
      </c>
      <c r="BW3033" s="0" t="s">
        <v>130</v>
      </c>
      <c r="BX3033" s="0" t="s">
        <v>130</v>
      </c>
      <c r="BY3033" s="0" t="s">
        <v>130</v>
      </c>
      <c r="BZ3033" s="0" t="s">
        <v>130</v>
      </c>
      <c r="CA3033" s="0" t="s">
        <v>130</v>
      </c>
      <c r="CB3033" s="0" t="s">
        <v>130</v>
      </c>
      <c r="CC3033" s="0" t="s">
        <v>130</v>
      </c>
      <c r="CD3033" s="0" t="s">
        <v>130</v>
      </c>
      <c r="CE3033" s="0" t="s">
        <v>130</v>
      </c>
      <c r="CF3033" s="0" t="s">
        <v>130</v>
      </c>
      <c r="CG3033" s="0" t="s">
        <v>130</v>
      </c>
      <c r="CH3033" s="0" t="s">
        <v>130</v>
      </c>
      <c r="CI3033" s="0" t="s">
        <v>130</v>
      </c>
      <c r="CJ3033" s="0" t="s">
        <v>130</v>
      </c>
      <c r="CK3033" s="0" t="s">
        <v>130</v>
      </c>
      <c r="CL3033" s="0" t="s">
        <v>130</v>
      </c>
      <c r="CM3033" s="0" t="s">
        <v>130</v>
      </c>
      <c r="CN3033" s="0" t="s">
        <v>130</v>
      </c>
      <c r="CO3033" s="0" t="s">
        <v>130</v>
      </c>
      <c r="CP3033" s="0" t="s">
        <v>130</v>
      </c>
      <c r="CQ3033" s="0" t="s">
        <v>130</v>
      </c>
      <c r="CR3033" s="0" t="s">
        <v>130</v>
      </c>
      <c r="CS3033" s="0" t="s">
        <v>130</v>
      </c>
      <c r="CT3033" s="0" t="s">
        <v>8152</v>
      </c>
    </row>
    <row r="3034">
      <c r="A3034" s="14">
        <v>216952</v>
      </c>
      <c r="B3034" s="0" t="s">
        <v>3384</v>
      </c>
      <c r="C3034" s="16">
        <f>HYPERLINK("https://eosportal.federatedhermes.com/companies/Q29tcGFueQppNjc3MjM=", "Amazon.com Inc")</f>
      </c>
      <c r="D3034" s="0" t="s">
        <v>23</v>
      </c>
      <c r="E3034" s="0" t="s">
        <v>8153</v>
      </c>
      <c r="F3034" s="16">
        <f>HYPERLINK("https://eosportal.federatedhermes.com/engagements/RW5nYWdlbWVudAppNDE5MjE=", "Independent board evaluation")</f>
      </c>
      <c r="G3034" s="14" t="s">
        <v>8154</v>
      </c>
      <c r="H3034" s="0" t="s">
        <v>141</v>
      </c>
      <c r="I3034" s="14" t="s">
        <v>191</v>
      </c>
      <c r="J3034" s="0" t="s">
        <v>145</v>
      </c>
      <c r="K3034" s="0" t="s">
        <v>164</v>
      </c>
      <c r="L3034" s="0" t="s">
        <v>970</v>
      </c>
      <c r="M3034" s="0" t="s">
        <v>135</v>
      </c>
      <c r="N3034" s="0" t="s">
        <v>136</v>
      </c>
      <c r="O3034" s="0" t="s">
        <v>643</v>
      </c>
      <c r="Q3034" s="0" t="s">
        <v>130</v>
      </c>
      <c r="R3034" s="0" t="s">
        <v>130</v>
      </c>
      <c r="S3034" s="14">
        <v>0</v>
      </c>
      <c r="T3034" s="0" t="s">
        <v>4412</v>
      </c>
      <c r="U3034" s="0" t="s">
        <v>221</v>
      </c>
      <c r="V3034" s="14" t="s">
        <v>4412</v>
      </c>
      <c r="W3034" s="0" t="s">
        <v>223</v>
      </c>
      <c r="X3034" s="14" t="s">
        <v>138</v>
      </c>
      <c r="Y3034" s="0" t="s">
        <v>224</v>
      </c>
      <c r="Z3034" s="14" t="s">
        <v>138</v>
      </c>
      <c r="AA3034" s="0" t="s">
        <v>224</v>
      </c>
      <c r="AB3034" s="14" t="s">
        <v>138</v>
      </c>
      <c r="AD3034" s="0" t="s">
        <v>14</v>
      </c>
      <c r="AF3034" s="0">
        <v>0</v>
      </c>
      <c r="AG3034" s="0">
        <v>0</v>
      </c>
      <c r="AH3034" s="0" t="s">
        <v>140</v>
      </c>
      <c r="AI3034" s="0" t="s">
        <v>598</v>
      </c>
      <c r="AL3034" s="14"/>
      <c r="AN3034" s="14"/>
      <c r="AQ3034" s="0" t="s">
        <v>130</v>
      </c>
      <c r="AR3034" s="0" t="s">
        <v>130</v>
      </c>
      <c r="AS3034" s="0" t="s">
        <v>130</v>
      </c>
      <c r="AT3034" s="0" t="s">
        <v>130</v>
      </c>
      <c r="AU3034" s="0" t="s">
        <v>130</v>
      </c>
      <c r="AV3034" s="0" t="s">
        <v>130</v>
      </c>
      <c r="AW3034" s="0" t="s">
        <v>130</v>
      </c>
      <c r="AX3034" s="0" t="s">
        <v>130</v>
      </c>
      <c r="AY3034" s="0" t="s">
        <v>130</v>
      </c>
      <c r="AZ3034" s="0" t="s">
        <v>130</v>
      </c>
      <c r="BA3034" s="0" t="s">
        <v>130</v>
      </c>
      <c r="BB3034" s="0" t="s">
        <v>130</v>
      </c>
      <c r="BC3034" s="0" t="s">
        <v>130</v>
      </c>
      <c r="BD3034" s="0" t="s">
        <v>130</v>
      </c>
      <c r="BE3034" s="0" t="s">
        <v>130</v>
      </c>
      <c r="BF3034" s="0" t="s">
        <v>130</v>
      </c>
      <c r="BG3034" s="0" t="s">
        <v>130</v>
      </c>
      <c r="BH3034" s="0" t="s">
        <v>130</v>
      </c>
      <c r="BI3034" s="0" t="s">
        <v>130</v>
      </c>
      <c r="BJ3034" s="0" t="s">
        <v>130</v>
      </c>
      <c r="BK3034" s="0" t="s">
        <v>130</v>
      </c>
      <c r="BL3034" s="0" t="s">
        <v>130</v>
      </c>
      <c r="BM3034" s="0" t="s">
        <v>130</v>
      </c>
      <c r="BN3034" s="0" t="s">
        <v>130</v>
      </c>
      <c r="BO3034" s="0" t="s">
        <v>130</v>
      </c>
      <c r="BP3034" s="0" t="s">
        <v>130</v>
      </c>
      <c r="BQ3034" s="0" t="s">
        <v>130</v>
      </c>
      <c r="BR3034" s="0" t="s">
        <v>130</v>
      </c>
      <c r="BS3034" s="0" t="s">
        <v>130</v>
      </c>
      <c r="BT3034" s="0" t="s">
        <v>130</v>
      </c>
      <c r="BU3034" s="0" t="s">
        <v>130</v>
      </c>
      <c r="BV3034" s="0" t="s">
        <v>130</v>
      </c>
      <c r="BW3034" s="0" t="s">
        <v>130</v>
      </c>
      <c r="BX3034" s="0" t="s">
        <v>130</v>
      </c>
      <c r="BY3034" s="0" t="s">
        <v>130</v>
      </c>
      <c r="BZ3034" s="0" t="s">
        <v>130</v>
      </c>
      <c r="CA3034" s="0" t="s">
        <v>130</v>
      </c>
      <c r="CB3034" s="0" t="s">
        <v>130</v>
      </c>
      <c r="CC3034" s="0" t="s">
        <v>130</v>
      </c>
      <c r="CD3034" s="0" t="s">
        <v>130</v>
      </c>
      <c r="CE3034" s="0" t="s">
        <v>130</v>
      </c>
      <c r="CF3034" s="0" t="s">
        <v>130</v>
      </c>
      <c r="CG3034" s="0" t="s">
        <v>130</v>
      </c>
      <c r="CH3034" s="0" t="s">
        <v>130</v>
      </c>
      <c r="CI3034" s="0" t="s">
        <v>130</v>
      </c>
      <c r="CJ3034" s="0" t="s">
        <v>130</v>
      </c>
      <c r="CK3034" s="0" t="s">
        <v>130</v>
      </c>
      <c r="CL3034" s="0" t="s">
        <v>130</v>
      </c>
      <c r="CM3034" s="0" t="s">
        <v>130</v>
      </c>
      <c r="CN3034" s="0" t="s">
        <v>130</v>
      </c>
      <c r="CO3034" s="0" t="s">
        <v>130</v>
      </c>
      <c r="CP3034" s="0" t="s">
        <v>130</v>
      </c>
      <c r="CQ3034" s="0" t="s">
        <v>130</v>
      </c>
      <c r="CR3034" s="0" t="s">
        <v>130</v>
      </c>
      <c r="CS3034" s="0" t="s">
        <v>130</v>
      </c>
      <c r="CT3034" s="0" t="s">
        <v>8155</v>
      </c>
    </row>
    <row r="3035">
      <c r="A3035" s="14">
        <v>173055</v>
      </c>
      <c r="B3035" s="0" t="s">
        <v>3098</v>
      </c>
      <c r="C3035" s="16">
        <f>HYPERLINK("https://eosportal.federatedhermes.com/companies/Q29tcGFueQppNzI2OTc=", "WEG SA")</f>
      </c>
      <c r="D3035" s="0" t="s">
        <v>25</v>
      </c>
      <c r="E3035" s="0" t="s">
        <v>8156</v>
      </c>
      <c r="F3035" s="16">
        <f>HYPERLINK("https://eosportal.federatedhermes.com/engagements/RW5nYWdlbWVudAppNDE5Mjk=", "AI-related human capital impacts")</f>
      </c>
      <c r="G3035" s="14" t="s">
        <v>8091</v>
      </c>
      <c r="H3035" s="0" t="s">
        <v>130</v>
      </c>
      <c r="I3035" s="14" t="s">
        <v>131</v>
      </c>
      <c r="J3035" s="0" t="s">
        <v>153</v>
      </c>
      <c r="K3035" s="0" t="s">
        <v>154</v>
      </c>
      <c r="L3035" s="0" t="s">
        <v>268</v>
      </c>
      <c r="M3035" s="0" t="s">
        <v>2807</v>
      </c>
      <c r="N3035" s="0" t="s">
        <v>3041</v>
      </c>
      <c r="O3035" s="0" t="s">
        <v>176</v>
      </c>
      <c r="Q3035" s="0" t="s">
        <v>141</v>
      </c>
      <c r="R3035" s="0" t="s">
        <v>138</v>
      </c>
      <c r="S3035" s="14">
        <v>3</v>
      </c>
      <c r="T3035" s="0" t="s">
        <v>361</v>
      </c>
      <c r="U3035" s="0" t="s">
        <v>138</v>
      </c>
      <c r="V3035" s="14" t="s">
        <v>138</v>
      </c>
      <c r="W3035" s="0" t="s">
        <v>138</v>
      </c>
      <c r="X3035" s="14" t="s">
        <v>138</v>
      </c>
      <c r="Y3035" s="0" t="s">
        <v>138</v>
      </c>
      <c r="Z3035" s="14" t="s">
        <v>138</v>
      </c>
      <c r="AA3035" s="0" t="s">
        <v>138</v>
      </c>
      <c r="AB3035" s="14" t="s">
        <v>138</v>
      </c>
      <c r="AD3035" s="0" t="s">
        <v>138</v>
      </c>
      <c r="AF3035" s="0">
        <v>0</v>
      </c>
      <c r="AG3035" s="0">
        <v>0</v>
      </c>
      <c r="AH3035" s="0" t="s">
        <v>140</v>
      </c>
      <c r="AI3035" s="0" t="s">
        <v>138</v>
      </c>
      <c r="AK3035" s="0" t="s">
        <v>3584</v>
      </c>
      <c r="AL3035" s="14"/>
      <c r="AN3035" s="14"/>
      <c r="AQ3035" s="0" t="s">
        <v>130</v>
      </c>
      <c r="AR3035" s="0" t="s">
        <v>130</v>
      </c>
      <c r="AS3035" s="0" t="s">
        <v>130</v>
      </c>
      <c r="AT3035" s="0" t="s">
        <v>141</v>
      </c>
      <c r="AU3035" s="0" t="s">
        <v>130</v>
      </c>
      <c r="AV3035" s="0" t="s">
        <v>130</v>
      </c>
      <c r="AW3035" s="0" t="s">
        <v>130</v>
      </c>
      <c r="AX3035" s="0" t="s">
        <v>141</v>
      </c>
      <c r="AY3035" s="0" t="s">
        <v>130</v>
      </c>
      <c r="AZ3035" s="0" t="s">
        <v>130</v>
      </c>
      <c r="BA3035" s="0" t="s">
        <v>130</v>
      </c>
      <c r="BB3035" s="0" t="s">
        <v>130</v>
      </c>
      <c r="BC3035" s="0" t="s">
        <v>130</v>
      </c>
      <c r="BD3035" s="0" t="s">
        <v>130</v>
      </c>
      <c r="BE3035" s="0" t="s">
        <v>130</v>
      </c>
      <c r="BF3035" s="0" t="s">
        <v>130</v>
      </c>
      <c r="BG3035" s="0" t="s">
        <v>130</v>
      </c>
      <c r="BH3035" s="0" t="s">
        <v>130</v>
      </c>
      <c r="BI3035" s="0" t="s">
        <v>130</v>
      </c>
      <c r="BJ3035" s="0" t="s">
        <v>130</v>
      </c>
      <c r="BK3035" s="0" t="s">
        <v>130</v>
      </c>
      <c r="BL3035" s="0" t="s">
        <v>130</v>
      </c>
      <c r="BM3035" s="0" t="s">
        <v>130</v>
      </c>
      <c r="BN3035" s="0" t="s">
        <v>130</v>
      </c>
      <c r="BO3035" s="0" t="s">
        <v>130</v>
      </c>
      <c r="BP3035" s="0" t="s">
        <v>130</v>
      </c>
      <c r="BQ3035" s="0" t="s">
        <v>130</v>
      </c>
      <c r="BR3035" s="0" t="s">
        <v>130</v>
      </c>
      <c r="BS3035" s="0" t="s">
        <v>130</v>
      </c>
      <c r="BT3035" s="0" t="s">
        <v>130</v>
      </c>
      <c r="BU3035" s="0" t="s">
        <v>130</v>
      </c>
      <c r="BV3035" s="0" t="s">
        <v>130</v>
      </c>
      <c r="BW3035" s="0" t="s">
        <v>130</v>
      </c>
      <c r="BX3035" s="0" t="s">
        <v>130</v>
      </c>
      <c r="BY3035" s="0" t="s">
        <v>130</v>
      </c>
      <c r="BZ3035" s="0" t="s">
        <v>130</v>
      </c>
      <c r="CA3035" s="0" t="s">
        <v>130</v>
      </c>
      <c r="CB3035" s="0" t="s">
        <v>130</v>
      </c>
      <c r="CC3035" s="0" t="s">
        <v>130</v>
      </c>
      <c r="CD3035" s="0" t="s">
        <v>130</v>
      </c>
      <c r="CE3035" s="0" t="s">
        <v>130</v>
      </c>
      <c r="CF3035" s="0" t="s">
        <v>130</v>
      </c>
      <c r="CG3035" s="0" t="s">
        <v>130</v>
      </c>
      <c r="CH3035" s="0" t="s">
        <v>130</v>
      </c>
      <c r="CI3035" s="0" t="s">
        <v>130</v>
      </c>
      <c r="CJ3035" s="0" t="s">
        <v>130</v>
      </c>
      <c r="CK3035" s="0" t="s">
        <v>141</v>
      </c>
      <c r="CL3035" s="0" t="s">
        <v>130</v>
      </c>
      <c r="CM3035" s="0" t="s">
        <v>130</v>
      </c>
      <c r="CN3035" s="0" t="s">
        <v>130</v>
      </c>
      <c r="CO3035" s="0" t="s">
        <v>130</v>
      </c>
      <c r="CP3035" s="0" t="s">
        <v>130</v>
      </c>
      <c r="CQ3035" s="0" t="s">
        <v>130</v>
      </c>
      <c r="CR3035" s="0" t="s">
        <v>130</v>
      </c>
      <c r="CS3035" s="0" t="s">
        <v>130</v>
      </c>
      <c r="CT3035" s="0" t="s">
        <v>8157</v>
      </c>
    </row>
    <row r="3036">
      <c r="A3036" s="14">
        <v>108620</v>
      </c>
      <c r="B3036" s="0" t="s">
        <v>2194</v>
      </c>
      <c r="C3036" s="16">
        <f>HYPERLINK("https://eosportal.federatedhermes.com/companies/Q29tcGFueQppNzU3MjE=", "Canadian Imperial Bank of Commerce")</f>
      </c>
      <c r="D3036" s="0" t="s">
        <v>23</v>
      </c>
      <c r="E3036" s="0" t="s">
        <v>1859</v>
      </c>
      <c r="F3036" s="16">
        <f>HYPERLINK("https://eosportal.federatedhermes.com/engagements/RW5nYWdlbWVudAppNDE5MzY=", "Governance oversight of industry associations")</f>
      </c>
      <c r="G3036" s="14" t="s">
        <v>4545</v>
      </c>
      <c r="H3036" s="0" t="s">
        <v>141</v>
      </c>
      <c r="I3036" s="14" t="s">
        <v>191</v>
      </c>
      <c r="J3036" s="0" t="s">
        <v>197</v>
      </c>
      <c r="K3036" s="0" t="s">
        <v>198</v>
      </c>
      <c r="L3036" s="0" t="s">
        <v>199</v>
      </c>
      <c r="M3036" s="0" t="s">
        <v>135</v>
      </c>
      <c r="N3036" s="0" t="s">
        <v>1678</v>
      </c>
      <c r="O3036" s="0" t="s">
        <v>238</v>
      </c>
      <c r="Q3036" s="0" t="s">
        <v>130</v>
      </c>
      <c r="R3036" s="0" t="s">
        <v>130</v>
      </c>
      <c r="S3036" s="14">
        <v>0</v>
      </c>
      <c r="T3036" s="0" t="s">
        <v>449</v>
      </c>
      <c r="U3036" s="0" t="s">
        <v>221</v>
      </c>
      <c r="V3036" s="14" t="s">
        <v>449</v>
      </c>
      <c r="W3036" s="0" t="s">
        <v>223</v>
      </c>
      <c r="X3036" s="14" t="s">
        <v>138</v>
      </c>
      <c r="Y3036" s="0" t="s">
        <v>224</v>
      </c>
      <c r="Z3036" s="14" t="s">
        <v>138</v>
      </c>
      <c r="AA3036" s="0" t="s">
        <v>224</v>
      </c>
      <c r="AB3036" s="14" t="s">
        <v>138</v>
      </c>
      <c r="AD3036" s="0" t="s">
        <v>14</v>
      </c>
      <c r="AF3036" s="0">
        <v>0</v>
      </c>
      <c r="AG3036" s="0">
        <v>0</v>
      </c>
      <c r="AH3036" s="0" t="s">
        <v>140</v>
      </c>
      <c r="AI3036" s="0" t="s">
        <v>598</v>
      </c>
      <c r="AL3036" s="14"/>
      <c r="AN3036" s="14"/>
      <c r="AQ3036" s="0" t="s">
        <v>130</v>
      </c>
      <c r="AR3036" s="0" t="s">
        <v>130</v>
      </c>
      <c r="AS3036" s="0" t="s">
        <v>130</v>
      </c>
      <c r="AT3036" s="0" t="s">
        <v>130</v>
      </c>
      <c r="AU3036" s="0" t="s">
        <v>130</v>
      </c>
      <c r="AV3036" s="0" t="s">
        <v>130</v>
      </c>
      <c r="AW3036" s="0" t="s">
        <v>130</v>
      </c>
      <c r="AX3036" s="0" t="s">
        <v>130</v>
      </c>
      <c r="AY3036" s="0" t="s">
        <v>130</v>
      </c>
      <c r="AZ3036" s="0" t="s">
        <v>130</v>
      </c>
      <c r="BA3036" s="0" t="s">
        <v>130</v>
      </c>
      <c r="BB3036" s="0" t="s">
        <v>141</v>
      </c>
      <c r="BC3036" s="0" t="s">
        <v>130</v>
      </c>
      <c r="BD3036" s="0" t="s">
        <v>130</v>
      </c>
      <c r="BE3036" s="0" t="s">
        <v>130</v>
      </c>
      <c r="BF3036" s="0" t="s">
        <v>130</v>
      </c>
      <c r="BG3036" s="0" t="s">
        <v>130</v>
      </c>
      <c r="BH3036" s="0" t="s">
        <v>130</v>
      </c>
      <c r="BI3036" s="0" t="s">
        <v>130</v>
      </c>
      <c r="BJ3036" s="0" t="s">
        <v>130</v>
      </c>
      <c r="BK3036" s="0" t="s">
        <v>130</v>
      </c>
      <c r="BL3036" s="0" t="s">
        <v>130</v>
      </c>
      <c r="BM3036" s="0" t="s">
        <v>130</v>
      </c>
      <c r="BN3036" s="0" t="s">
        <v>130</v>
      </c>
      <c r="BO3036" s="0" t="s">
        <v>130</v>
      </c>
      <c r="BP3036" s="0" t="s">
        <v>130</v>
      </c>
      <c r="BQ3036" s="0" t="s">
        <v>130</v>
      </c>
      <c r="BR3036" s="0" t="s">
        <v>130</v>
      </c>
      <c r="BS3036" s="0" t="s">
        <v>130</v>
      </c>
      <c r="BT3036" s="0" t="s">
        <v>130</v>
      </c>
      <c r="BU3036" s="0" t="s">
        <v>130</v>
      </c>
      <c r="BV3036" s="0" t="s">
        <v>130</v>
      </c>
      <c r="BW3036" s="0" t="s">
        <v>130</v>
      </c>
      <c r="BX3036" s="0" t="s">
        <v>130</v>
      </c>
      <c r="BY3036" s="0" t="s">
        <v>130</v>
      </c>
      <c r="BZ3036" s="0" t="s">
        <v>130</v>
      </c>
      <c r="CA3036" s="0" t="s">
        <v>130</v>
      </c>
      <c r="CB3036" s="0" t="s">
        <v>130</v>
      </c>
      <c r="CC3036" s="0" t="s">
        <v>130</v>
      </c>
      <c r="CD3036" s="0" t="s">
        <v>130</v>
      </c>
      <c r="CE3036" s="0" t="s">
        <v>130</v>
      </c>
      <c r="CF3036" s="0" t="s">
        <v>130</v>
      </c>
      <c r="CG3036" s="0" t="s">
        <v>130</v>
      </c>
      <c r="CH3036" s="0" t="s">
        <v>130</v>
      </c>
      <c r="CI3036" s="0" t="s">
        <v>130</v>
      </c>
      <c r="CJ3036" s="0" t="s">
        <v>130</v>
      </c>
      <c r="CK3036" s="0" t="s">
        <v>130</v>
      </c>
      <c r="CL3036" s="0" t="s">
        <v>130</v>
      </c>
      <c r="CM3036" s="0" t="s">
        <v>130</v>
      </c>
      <c r="CN3036" s="0" t="s">
        <v>130</v>
      </c>
      <c r="CO3036" s="0" t="s">
        <v>130</v>
      </c>
      <c r="CP3036" s="0" t="s">
        <v>130</v>
      </c>
      <c r="CQ3036" s="0" t="s">
        <v>130</v>
      </c>
      <c r="CR3036" s="0" t="s">
        <v>130</v>
      </c>
      <c r="CS3036" s="0" t="s">
        <v>130</v>
      </c>
      <c r="CT3036" s="0" t="s">
        <v>8158</v>
      </c>
    </row>
    <row r="3037">
      <c r="A3037" s="14">
        <v>364913</v>
      </c>
      <c r="B3037" s="0" t="s">
        <v>3725</v>
      </c>
      <c r="C3037" s="16">
        <f>HYPERLINK("https://eosportal.federatedhermes.com/companies/Q29tcGFueQppNzQwNjQ=", "Centene Corp")</f>
      </c>
      <c r="D3037" s="0" t="s">
        <v>23</v>
      </c>
      <c r="E3037" s="0" t="s">
        <v>8159</v>
      </c>
      <c r="F3037" s="16">
        <f>HYPERLINK("https://eosportal.federatedhermes.com/engagements/RW5nYWdlbWVudAppNDE5Mzg=", "Artificial Intelligence Principles")</f>
      </c>
      <c r="G3037" s="14" t="s">
        <v>8160</v>
      </c>
      <c r="H3037" s="0" t="s">
        <v>130</v>
      </c>
      <c r="I3037" s="14" t="s">
        <v>319</v>
      </c>
      <c r="J3037" s="0" t="s">
        <v>153</v>
      </c>
      <c r="K3037" s="0" t="s">
        <v>243</v>
      </c>
      <c r="L3037" s="0" t="s">
        <v>537</v>
      </c>
      <c r="M3037" s="0" t="s">
        <v>135</v>
      </c>
      <c r="N3037" s="0" t="s">
        <v>136</v>
      </c>
      <c r="O3037" s="0" t="s">
        <v>274</v>
      </c>
      <c r="Q3037" s="0" t="s">
        <v>141</v>
      </c>
      <c r="R3037" s="0" t="s">
        <v>141</v>
      </c>
      <c r="S3037" s="14">
        <v>1</v>
      </c>
      <c r="T3037" s="0" t="s">
        <v>361</v>
      </c>
      <c r="U3037" s="0" t="s">
        <v>221</v>
      </c>
      <c r="V3037" s="14" t="s">
        <v>361</v>
      </c>
      <c r="W3037" s="0" t="s">
        <v>223</v>
      </c>
      <c r="X3037" s="14" t="s">
        <v>138</v>
      </c>
      <c r="Y3037" s="0" t="s">
        <v>224</v>
      </c>
      <c r="Z3037" s="14" t="s">
        <v>138</v>
      </c>
      <c r="AA3037" s="0" t="s">
        <v>224</v>
      </c>
      <c r="AB3037" s="14" t="s">
        <v>138</v>
      </c>
      <c r="AC3037" s="0" t="s">
        <v>11</v>
      </c>
      <c r="AD3037" s="0" t="s">
        <v>14</v>
      </c>
      <c r="AE3037" s="0" t="s">
        <v>7914</v>
      </c>
      <c r="AF3037" s="0">
        <v>1</v>
      </c>
      <c r="AG3037" s="0">
        <v>0</v>
      </c>
      <c r="AH3037" s="0" t="s">
        <v>140</v>
      </c>
      <c r="AI3037" s="0" t="s">
        <v>598</v>
      </c>
      <c r="AK3037" s="0" t="s">
        <v>233</v>
      </c>
      <c r="AL3037" s="14"/>
      <c r="AN3037" s="14"/>
      <c r="AQ3037" s="0" t="s">
        <v>130</v>
      </c>
      <c r="AR3037" s="0" t="s">
        <v>130</v>
      </c>
      <c r="AS3037" s="0" t="s">
        <v>130</v>
      </c>
      <c r="AT3037" s="0" t="s">
        <v>130</v>
      </c>
      <c r="AU3037" s="0" t="s">
        <v>130</v>
      </c>
      <c r="AV3037" s="0" t="s">
        <v>130</v>
      </c>
      <c r="AW3037" s="0" t="s">
        <v>130</v>
      </c>
      <c r="AX3037" s="0" t="s">
        <v>130</v>
      </c>
      <c r="AY3037" s="0" t="s">
        <v>130</v>
      </c>
      <c r="AZ3037" s="0" t="s">
        <v>141</v>
      </c>
      <c r="BA3037" s="0" t="s">
        <v>130</v>
      </c>
      <c r="BB3037" s="0" t="s">
        <v>141</v>
      </c>
      <c r="BC3037" s="0" t="s">
        <v>130</v>
      </c>
      <c r="BD3037" s="0" t="s">
        <v>130</v>
      </c>
      <c r="BE3037" s="0" t="s">
        <v>130</v>
      </c>
      <c r="BF3037" s="0" t="s">
        <v>141</v>
      </c>
      <c r="BG3037" s="0" t="s">
        <v>130</v>
      </c>
      <c r="BH3037" s="0" t="s">
        <v>130</v>
      </c>
      <c r="BI3037" s="0" t="s">
        <v>130</v>
      </c>
      <c r="BJ3037" s="0" t="s">
        <v>130</v>
      </c>
      <c r="BK3037" s="0" t="s">
        <v>130</v>
      </c>
      <c r="BL3037" s="0" t="s">
        <v>130</v>
      </c>
      <c r="BM3037" s="0" t="s">
        <v>130</v>
      </c>
      <c r="BN3037" s="0" t="s">
        <v>130</v>
      </c>
      <c r="BO3037" s="0" t="s">
        <v>130</v>
      </c>
      <c r="BP3037" s="0" t="s">
        <v>130</v>
      </c>
      <c r="BQ3037" s="0" t="s">
        <v>130</v>
      </c>
      <c r="BR3037" s="0" t="s">
        <v>130</v>
      </c>
      <c r="BS3037" s="0" t="s">
        <v>130</v>
      </c>
      <c r="BT3037" s="0" t="s">
        <v>130</v>
      </c>
      <c r="BU3037" s="0" t="s">
        <v>130</v>
      </c>
      <c r="BV3037" s="0" t="s">
        <v>130</v>
      </c>
      <c r="BW3037" s="0" t="s">
        <v>130</v>
      </c>
      <c r="BX3037" s="0" t="s">
        <v>130</v>
      </c>
      <c r="BY3037" s="0" t="s">
        <v>130</v>
      </c>
      <c r="BZ3037" s="0" t="s">
        <v>130</v>
      </c>
      <c r="CA3037" s="0" t="s">
        <v>130</v>
      </c>
      <c r="CB3037" s="0" t="s">
        <v>130</v>
      </c>
      <c r="CC3037" s="0" t="s">
        <v>130</v>
      </c>
      <c r="CD3037" s="0" t="s">
        <v>130</v>
      </c>
      <c r="CE3037" s="0" t="s">
        <v>130</v>
      </c>
      <c r="CF3037" s="0" t="s">
        <v>130</v>
      </c>
      <c r="CG3037" s="0" t="s">
        <v>130</v>
      </c>
      <c r="CH3037" s="0" t="s">
        <v>130</v>
      </c>
      <c r="CI3037" s="0" t="s">
        <v>130</v>
      </c>
      <c r="CJ3037" s="0" t="s">
        <v>130</v>
      </c>
      <c r="CK3037" s="0" t="s">
        <v>130</v>
      </c>
      <c r="CL3037" s="0" t="s">
        <v>130</v>
      </c>
      <c r="CM3037" s="0" t="s">
        <v>130</v>
      </c>
      <c r="CN3037" s="0" t="s">
        <v>130</v>
      </c>
      <c r="CO3037" s="0" t="s">
        <v>130</v>
      </c>
      <c r="CP3037" s="0" t="s">
        <v>130</v>
      </c>
      <c r="CQ3037" s="0" t="s">
        <v>130</v>
      </c>
      <c r="CR3037" s="0" t="s">
        <v>130</v>
      </c>
      <c r="CS3037" s="0" t="s">
        <v>130</v>
      </c>
      <c r="CT3037" s="0" t="s">
        <v>8161</v>
      </c>
    </row>
    <row r="3038">
      <c r="A3038" s="14">
        <v>23743170</v>
      </c>
      <c r="B3038" s="0" t="s">
        <v>4183</v>
      </c>
      <c r="C3038" s="16">
        <f>HYPERLINK("https://eosportal.federatedhermes.com/companies/Q29tcGFueQppNjY5NjY=", "Xylem Inc/NY")</f>
      </c>
      <c r="D3038" s="0" t="s">
        <v>25</v>
      </c>
      <c r="E3038" s="0" t="s">
        <v>8162</v>
      </c>
      <c r="F3038" s="16">
        <f>HYPERLINK("https://eosportal.federatedhermes.com/engagements/RW5nYWdlbWVudAppNDE5NjE=", "Enterprise AI workforce impact")</f>
      </c>
      <c r="G3038" s="14" t="s">
        <v>8091</v>
      </c>
      <c r="H3038" s="0" t="s">
        <v>130</v>
      </c>
      <c r="I3038" s="14" t="s">
        <v>319</v>
      </c>
      <c r="J3038" s="0" t="s">
        <v>153</v>
      </c>
      <c r="K3038" s="0" t="s">
        <v>154</v>
      </c>
      <c r="L3038" s="0" t="s">
        <v>268</v>
      </c>
      <c r="M3038" s="0" t="s">
        <v>135</v>
      </c>
      <c r="N3038" s="0" t="s">
        <v>136</v>
      </c>
      <c r="O3038" s="0" t="s">
        <v>176</v>
      </c>
      <c r="Q3038" s="0" t="s">
        <v>141</v>
      </c>
      <c r="R3038" s="0" t="s">
        <v>138</v>
      </c>
      <c r="S3038" s="14">
        <v>1</v>
      </c>
      <c r="T3038" s="0" t="s">
        <v>361</v>
      </c>
      <c r="U3038" s="0" t="s">
        <v>138</v>
      </c>
      <c r="V3038" s="14" t="s">
        <v>138</v>
      </c>
      <c r="W3038" s="0" t="s">
        <v>138</v>
      </c>
      <c r="X3038" s="14" t="s">
        <v>138</v>
      </c>
      <c r="Y3038" s="0" t="s">
        <v>138</v>
      </c>
      <c r="Z3038" s="14" t="s">
        <v>138</v>
      </c>
      <c r="AA3038" s="0" t="s">
        <v>138</v>
      </c>
      <c r="AB3038" s="14" t="s">
        <v>138</v>
      </c>
      <c r="AD3038" s="0" t="s">
        <v>138</v>
      </c>
      <c r="AF3038" s="0">
        <v>0</v>
      </c>
      <c r="AG3038" s="0">
        <v>0</v>
      </c>
      <c r="AH3038" s="0" t="s">
        <v>140</v>
      </c>
      <c r="AI3038" s="0" t="s">
        <v>138</v>
      </c>
      <c r="AK3038" s="0" t="s">
        <v>2588</v>
      </c>
      <c r="AL3038" s="14"/>
      <c r="AN3038" s="14"/>
      <c r="AQ3038" s="0" t="s">
        <v>130</v>
      </c>
      <c r="AR3038" s="0" t="s">
        <v>130</v>
      </c>
      <c r="AS3038" s="0" t="s">
        <v>130</v>
      </c>
      <c r="AT3038" s="0" t="s">
        <v>141</v>
      </c>
      <c r="AU3038" s="0" t="s">
        <v>130</v>
      </c>
      <c r="AV3038" s="0" t="s">
        <v>130</v>
      </c>
      <c r="AW3038" s="0" t="s">
        <v>130</v>
      </c>
      <c r="AX3038" s="0" t="s">
        <v>141</v>
      </c>
      <c r="AY3038" s="0" t="s">
        <v>130</v>
      </c>
      <c r="AZ3038" s="0" t="s">
        <v>130</v>
      </c>
      <c r="BA3038" s="0" t="s">
        <v>130</v>
      </c>
      <c r="BB3038" s="0" t="s">
        <v>130</v>
      </c>
      <c r="BC3038" s="0" t="s">
        <v>130</v>
      </c>
      <c r="BD3038" s="0" t="s">
        <v>130</v>
      </c>
      <c r="BE3038" s="0" t="s">
        <v>130</v>
      </c>
      <c r="BF3038" s="0" t="s">
        <v>130</v>
      </c>
      <c r="BG3038" s="0" t="s">
        <v>130</v>
      </c>
      <c r="BH3038" s="0" t="s">
        <v>130</v>
      </c>
      <c r="BI3038" s="0" t="s">
        <v>130</v>
      </c>
      <c r="BJ3038" s="0" t="s">
        <v>130</v>
      </c>
      <c r="BK3038" s="0" t="s">
        <v>130</v>
      </c>
      <c r="BL3038" s="0" t="s">
        <v>130</v>
      </c>
      <c r="BM3038" s="0" t="s">
        <v>130</v>
      </c>
      <c r="BN3038" s="0" t="s">
        <v>130</v>
      </c>
      <c r="BO3038" s="0" t="s">
        <v>130</v>
      </c>
      <c r="BP3038" s="0" t="s">
        <v>130</v>
      </c>
      <c r="BQ3038" s="0" t="s">
        <v>130</v>
      </c>
      <c r="BR3038" s="0" t="s">
        <v>130</v>
      </c>
      <c r="BS3038" s="0" t="s">
        <v>130</v>
      </c>
      <c r="BT3038" s="0" t="s">
        <v>130</v>
      </c>
      <c r="BU3038" s="0" t="s">
        <v>130</v>
      </c>
      <c r="BV3038" s="0" t="s">
        <v>130</v>
      </c>
      <c r="BW3038" s="0" t="s">
        <v>130</v>
      </c>
      <c r="BX3038" s="0" t="s">
        <v>130</v>
      </c>
      <c r="BY3038" s="0" t="s">
        <v>130</v>
      </c>
      <c r="BZ3038" s="0" t="s">
        <v>130</v>
      </c>
      <c r="CA3038" s="0" t="s">
        <v>130</v>
      </c>
      <c r="CB3038" s="0" t="s">
        <v>130</v>
      </c>
      <c r="CC3038" s="0" t="s">
        <v>130</v>
      </c>
      <c r="CD3038" s="0" t="s">
        <v>130</v>
      </c>
      <c r="CE3038" s="0" t="s">
        <v>130</v>
      </c>
      <c r="CF3038" s="0" t="s">
        <v>130</v>
      </c>
      <c r="CG3038" s="0" t="s">
        <v>130</v>
      </c>
      <c r="CH3038" s="0" t="s">
        <v>130</v>
      </c>
      <c r="CI3038" s="0" t="s">
        <v>130</v>
      </c>
      <c r="CJ3038" s="0" t="s">
        <v>130</v>
      </c>
      <c r="CK3038" s="0" t="s">
        <v>141</v>
      </c>
      <c r="CL3038" s="0" t="s">
        <v>130</v>
      </c>
      <c r="CM3038" s="0" t="s">
        <v>130</v>
      </c>
      <c r="CN3038" s="0" t="s">
        <v>130</v>
      </c>
      <c r="CO3038" s="0" t="s">
        <v>130</v>
      </c>
      <c r="CP3038" s="0" t="s">
        <v>130</v>
      </c>
      <c r="CQ3038" s="0" t="s">
        <v>130</v>
      </c>
      <c r="CR3038" s="0" t="s">
        <v>130</v>
      </c>
      <c r="CS3038" s="0" t="s">
        <v>130</v>
      </c>
      <c r="CT3038" s="0" t="s">
        <v>8163</v>
      </c>
    </row>
    <row r="3039">
      <c r="A3039" s="14">
        <v>100731</v>
      </c>
      <c r="B3039" s="0" t="s">
        <v>925</v>
      </c>
      <c r="C3039" s="16">
        <f>HYPERLINK("https://eosportal.federatedhermes.com/companies/Q29tcGFueQppODUyMjc=", "Hershey Co/The")</f>
      </c>
      <c r="D3039" s="0" t="s">
        <v>25</v>
      </c>
      <c r="E3039" s="0" t="s">
        <v>8164</v>
      </c>
      <c r="F3039" s="16">
        <f>HYPERLINK("https://eosportal.federatedhermes.com/engagements/RW5nYWdlbWVudAppNDE5NjQ=", "Living Wage Gap Assessment")</f>
      </c>
      <c r="G3039" s="14" t="s">
        <v>8165</v>
      </c>
      <c r="H3039" s="0" t="s">
        <v>130</v>
      </c>
      <c r="I3039" s="14" t="s">
        <v>319</v>
      </c>
      <c r="J3039" s="0" t="s">
        <v>153</v>
      </c>
      <c r="K3039" s="0" t="s">
        <v>243</v>
      </c>
      <c r="L3039" s="0" t="s">
        <v>244</v>
      </c>
      <c r="M3039" s="0" t="s">
        <v>135</v>
      </c>
      <c r="N3039" s="0" t="s">
        <v>136</v>
      </c>
      <c r="O3039" s="0" t="s">
        <v>332</v>
      </c>
      <c r="Q3039" s="0" t="s">
        <v>141</v>
      </c>
      <c r="R3039" s="0" t="s">
        <v>138</v>
      </c>
      <c r="S3039" s="14">
        <v>1</v>
      </c>
      <c r="T3039" s="0" t="s">
        <v>361</v>
      </c>
      <c r="U3039" s="0" t="s">
        <v>138</v>
      </c>
      <c r="V3039" s="14" t="s">
        <v>138</v>
      </c>
      <c r="W3039" s="0" t="s">
        <v>138</v>
      </c>
      <c r="X3039" s="14" t="s">
        <v>138</v>
      </c>
      <c r="Y3039" s="0" t="s">
        <v>138</v>
      </c>
      <c r="Z3039" s="14" t="s">
        <v>138</v>
      </c>
      <c r="AA3039" s="0" t="s">
        <v>138</v>
      </c>
      <c r="AB3039" s="14" t="s">
        <v>138</v>
      </c>
      <c r="AD3039" s="0" t="s">
        <v>138</v>
      </c>
      <c r="AF3039" s="0">
        <v>0</v>
      </c>
      <c r="AG3039" s="0">
        <v>0</v>
      </c>
      <c r="AH3039" s="0" t="s">
        <v>140</v>
      </c>
      <c r="AI3039" s="0" t="s">
        <v>138</v>
      </c>
      <c r="AK3039" s="0" t="s">
        <v>2741</v>
      </c>
      <c r="AL3039" s="14"/>
      <c r="AN3039" s="14"/>
      <c r="AQ3039" s="0" t="s">
        <v>130</v>
      </c>
      <c r="AR3039" s="0" t="s">
        <v>130</v>
      </c>
      <c r="AS3039" s="0" t="s">
        <v>130</v>
      </c>
      <c r="AT3039" s="0" t="s">
        <v>130</v>
      </c>
      <c r="AU3039" s="0" t="s">
        <v>130</v>
      </c>
      <c r="AV3039" s="0" t="s">
        <v>130</v>
      </c>
      <c r="AW3039" s="0" t="s">
        <v>130</v>
      </c>
      <c r="AX3039" s="0" t="s">
        <v>141</v>
      </c>
      <c r="AY3039" s="0" t="s">
        <v>130</v>
      </c>
      <c r="AZ3039" s="0" t="s">
        <v>130</v>
      </c>
      <c r="BA3039" s="0" t="s">
        <v>130</v>
      </c>
      <c r="BB3039" s="0" t="s">
        <v>130</v>
      </c>
      <c r="BC3039" s="0" t="s">
        <v>130</v>
      </c>
      <c r="BD3039" s="0" t="s">
        <v>130</v>
      </c>
      <c r="BE3039" s="0" t="s">
        <v>130</v>
      </c>
      <c r="BF3039" s="0" t="s">
        <v>130</v>
      </c>
      <c r="BG3039" s="0" t="s">
        <v>130</v>
      </c>
      <c r="BH3039" s="0" t="s">
        <v>130</v>
      </c>
      <c r="BI3039" s="0" t="s">
        <v>130</v>
      </c>
      <c r="BJ3039" s="0" t="s">
        <v>130</v>
      </c>
      <c r="BK3039" s="0" t="s">
        <v>130</v>
      </c>
      <c r="BL3039" s="0" t="s">
        <v>130</v>
      </c>
      <c r="BM3039" s="0" t="s">
        <v>130</v>
      </c>
      <c r="BN3039" s="0" t="s">
        <v>130</v>
      </c>
      <c r="BO3039" s="0" t="s">
        <v>130</v>
      </c>
      <c r="BP3039" s="0" t="s">
        <v>130</v>
      </c>
      <c r="BQ3039" s="0" t="s">
        <v>130</v>
      </c>
      <c r="BR3039" s="0" t="s">
        <v>130</v>
      </c>
      <c r="BS3039" s="0" t="s">
        <v>130</v>
      </c>
      <c r="BT3039" s="0" t="s">
        <v>130</v>
      </c>
      <c r="BU3039" s="0" t="s">
        <v>130</v>
      </c>
      <c r="BV3039" s="0" t="s">
        <v>130</v>
      </c>
      <c r="BW3039" s="0" t="s">
        <v>130</v>
      </c>
      <c r="BX3039" s="0" t="s">
        <v>130</v>
      </c>
      <c r="BY3039" s="0" t="s">
        <v>130</v>
      </c>
      <c r="BZ3039" s="0" t="s">
        <v>130</v>
      </c>
      <c r="CA3039" s="0" t="s">
        <v>130</v>
      </c>
      <c r="CB3039" s="0" t="s">
        <v>130</v>
      </c>
      <c r="CC3039" s="0" t="s">
        <v>130</v>
      </c>
      <c r="CD3039" s="0" t="s">
        <v>130</v>
      </c>
      <c r="CE3039" s="0" t="s">
        <v>130</v>
      </c>
      <c r="CF3039" s="0" t="s">
        <v>130</v>
      </c>
      <c r="CG3039" s="0" t="s">
        <v>130</v>
      </c>
      <c r="CH3039" s="0" t="s">
        <v>130</v>
      </c>
      <c r="CI3039" s="0" t="s">
        <v>130</v>
      </c>
      <c r="CJ3039" s="0" t="s">
        <v>130</v>
      </c>
      <c r="CK3039" s="0" t="s">
        <v>130</v>
      </c>
      <c r="CL3039" s="0" t="s">
        <v>130</v>
      </c>
      <c r="CM3039" s="0" t="s">
        <v>130</v>
      </c>
      <c r="CN3039" s="0" t="s">
        <v>130</v>
      </c>
      <c r="CO3039" s="0" t="s">
        <v>130</v>
      </c>
      <c r="CP3039" s="0" t="s">
        <v>130</v>
      </c>
      <c r="CQ3039" s="0" t="s">
        <v>130</v>
      </c>
      <c r="CR3039" s="0" t="s">
        <v>130</v>
      </c>
      <c r="CS3039" s="0" t="s">
        <v>130</v>
      </c>
      <c r="CT3039" s="0" t="s">
        <v>8166</v>
      </c>
    </row>
    <row r="3040">
      <c r="A3040" s="14">
        <v>100731</v>
      </c>
      <c r="B3040" s="0" t="s">
        <v>925</v>
      </c>
      <c r="C3040" s="16">
        <f>HYPERLINK("https://eosportal.federatedhermes.com/companies/Q29tcGFueQppODUyMjc=", "Hershey Co/The")</f>
      </c>
      <c r="D3040" s="0" t="s">
        <v>25</v>
      </c>
      <c r="E3040" s="0" t="s">
        <v>8167</v>
      </c>
      <c r="F3040" s="16">
        <f>HYPERLINK("https://eosportal.federatedhermes.com/engagements/RW5nYWdlbWVudAppNDE5NjU=", "Establish Regenerative Agriculture Target")</f>
      </c>
      <c r="G3040" s="14" t="s">
        <v>8168</v>
      </c>
      <c r="H3040" s="0" t="s">
        <v>130</v>
      </c>
      <c r="I3040" s="14" t="s">
        <v>319</v>
      </c>
      <c r="J3040" s="0" t="s">
        <v>197</v>
      </c>
      <c r="K3040" s="0" t="s">
        <v>337</v>
      </c>
      <c r="L3040" s="0" t="s">
        <v>576</v>
      </c>
      <c r="M3040" s="0" t="s">
        <v>135</v>
      </c>
      <c r="N3040" s="0" t="s">
        <v>136</v>
      </c>
      <c r="O3040" s="0" t="s">
        <v>332</v>
      </c>
      <c r="Q3040" s="0" t="s">
        <v>141</v>
      </c>
      <c r="R3040" s="0" t="s">
        <v>138</v>
      </c>
      <c r="S3040" s="14">
        <v>1</v>
      </c>
      <c r="T3040" s="0" t="s">
        <v>361</v>
      </c>
      <c r="U3040" s="0" t="s">
        <v>138</v>
      </c>
      <c r="V3040" s="14" t="s">
        <v>138</v>
      </c>
      <c r="W3040" s="0" t="s">
        <v>138</v>
      </c>
      <c r="X3040" s="14" t="s">
        <v>138</v>
      </c>
      <c r="Y3040" s="0" t="s">
        <v>138</v>
      </c>
      <c r="Z3040" s="14" t="s">
        <v>138</v>
      </c>
      <c r="AA3040" s="0" t="s">
        <v>138</v>
      </c>
      <c r="AB3040" s="14" t="s">
        <v>138</v>
      </c>
      <c r="AD3040" s="0" t="s">
        <v>138</v>
      </c>
      <c r="AF3040" s="0">
        <v>0</v>
      </c>
      <c r="AG3040" s="0">
        <v>0</v>
      </c>
      <c r="AH3040" s="0" t="s">
        <v>140</v>
      </c>
      <c r="AI3040" s="0" t="s">
        <v>138</v>
      </c>
      <c r="AK3040" s="0" t="s">
        <v>2741</v>
      </c>
      <c r="AL3040" s="14"/>
      <c r="AN3040" s="14"/>
      <c r="AQ3040" s="0" t="s">
        <v>130</v>
      </c>
      <c r="AR3040" s="0" t="s">
        <v>141</v>
      </c>
      <c r="AS3040" s="0" t="s">
        <v>130</v>
      </c>
      <c r="AT3040" s="0" t="s">
        <v>130</v>
      </c>
      <c r="AU3040" s="0" t="s">
        <v>130</v>
      </c>
      <c r="AV3040" s="0" t="s">
        <v>130</v>
      </c>
      <c r="AW3040" s="0" t="s">
        <v>130</v>
      </c>
      <c r="AX3040" s="0" t="s">
        <v>130</v>
      </c>
      <c r="AY3040" s="0" t="s">
        <v>130</v>
      </c>
      <c r="AZ3040" s="0" t="s">
        <v>130</v>
      </c>
      <c r="BA3040" s="0" t="s">
        <v>130</v>
      </c>
      <c r="BB3040" s="0" t="s">
        <v>141</v>
      </c>
      <c r="BC3040" s="0" t="s">
        <v>130</v>
      </c>
      <c r="BD3040" s="0" t="s">
        <v>130</v>
      </c>
      <c r="BE3040" s="0" t="s">
        <v>141</v>
      </c>
      <c r="BF3040" s="0" t="s">
        <v>130</v>
      </c>
      <c r="BG3040" s="0" t="s">
        <v>130</v>
      </c>
      <c r="BH3040" s="0" t="s">
        <v>130</v>
      </c>
      <c r="BI3040" s="0" t="s">
        <v>130</v>
      </c>
      <c r="BJ3040" s="0" t="s">
        <v>130</v>
      </c>
      <c r="BK3040" s="0" t="s">
        <v>130</v>
      </c>
      <c r="BL3040" s="0" t="s">
        <v>130</v>
      </c>
      <c r="BM3040" s="0" t="s">
        <v>130</v>
      </c>
      <c r="BN3040" s="0" t="s">
        <v>130</v>
      </c>
      <c r="BO3040" s="0" t="s">
        <v>130</v>
      </c>
      <c r="BP3040" s="0" t="s">
        <v>130</v>
      </c>
      <c r="BQ3040" s="0" t="s">
        <v>130</v>
      </c>
      <c r="BR3040" s="0" t="s">
        <v>130</v>
      </c>
      <c r="BS3040" s="0" t="s">
        <v>130</v>
      </c>
      <c r="BT3040" s="0" t="s">
        <v>130</v>
      </c>
      <c r="BU3040" s="0" t="s">
        <v>130</v>
      </c>
      <c r="BV3040" s="0" t="s">
        <v>130</v>
      </c>
      <c r="BW3040" s="0" t="s">
        <v>130</v>
      </c>
      <c r="BX3040" s="0" t="s">
        <v>130</v>
      </c>
      <c r="BY3040" s="0" t="s">
        <v>130</v>
      </c>
      <c r="BZ3040" s="0" t="s">
        <v>130</v>
      </c>
      <c r="CA3040" s="0" t="s">
        <v>130</v>
      </c>
      <c r="CB3040" s="0" t="s">
        <v>130</v>
      </c>
      <c r="CC3040" s="0" t="s">
        <v>130</v>
      </c>
      <c r="CD3040" s="0" t="s">
        <v>130</v>
      </c>
      <c r="CE3040" s="0" t="s">
        <v>130</v>
      </c>
      <c r="CF3040" s="0" t="s">
        <v>130</v>
      </c>
      <c r="CG3040" s="0" t="s">
        <v>130</v>
      </c>
      <c r="CH3040" s="0" t="s">
        <v>130</v>
      </c>
      <c r="CI3040" s="0" t="s">
        <v>130</v>
      </c>
      <c r="CJ3040" s="0" t="s">
        <v>130</v>
      </c>
      <c r="CK3040" s="0" t="s">
        <v>130</v>
      </c>
      <c r="CL3040" s="0" t="s">
        <v>130</v>
      </c>
      <c r="CM3040" s="0" t="s">
        <v>130</v>
      </c>
      <c r="CN3040" s="0" t="s">
        <v>130</v>
      </c>
      <c r="CO3040" s="0" t="s">
        <v>130</v>
      </c>
      <c r="CP3040" s="0" t="s">
        <v>130</v>
      </c>
      <c r="CQ3040" s="0" t="s">
        <v>130</v>
      </c>
      <c r="CR3040" s="0" t="s">
        <v>130</v>
      </c>
      <c r="CS3040" s="0" t="s">
        <v>130</v>
      </c>
      <c r="CT3040" s="0" t="s">
        <v>8169</v>
      </c>
    </row>
    <row r="3041">
      <c r="A3041" s="14">
        <v>100731</v>
      </c>
      <c r="B3041" s="0" t="s">
        <v>925</v>
      </c>
      <c r="C3041" s="16">
        <f>HYPERLINK("https://eosportal.federatedhermes.com/companies/Q29tcGFueQppODUyMjc=", "Hershey Co/The")</f>
      </c>
      <c r="D3041" s="0" t="s">
        <v>25</v>
      </c>
      <c r="E3041" s="0" t="s">
        <v>8170</v>
      </c>
      <c r="F3041" s="16">
        <f>HYPERLINK("https://eosportal.federatedhermes.com/engagements/RW5nYWdlbWVudAppNDE5NjY=", "Implement deforestation and conversion-free strategy")</f>
      </c>
      <c r="G3041" s="14" t="s">
        <v>8171</v>
      </c>
      <c r="H3041" s="0" t="s">
        <v>130</v>
      </c>
      <c r="I3041" s="14" t="s">
        <v>319</v>
      </c>
      <c r="J3041" s="0" t="s">
        <v>197</v>
      </c>
      <c r="K3041" s="0" t="s">
        <v>337</v>
      </c>
      <c r="L3041" s="0" t="s">
        <v>576</v>
      </c>
      <c r="M3041" s="0" t="s">
        <v>135</v>
      </c>
      <c r="N3041" s="0" t="s">
        <v>136</v>
      </c>
      <c r="O3041" s="0" t="s">
        <v>332</v>
      </c>
      <c r="Q3041" s="0" t="s">
        <v>141</v>
      </c>
      <c r="R3041" s="0" t="s">
        <v>138</v>
      </c>
      <c r="S3041" s="14">
        <v>1</v>
      </c>
      <c r="T3041" s="0" t="s">
        <v>361</v>
      </c>
      <c r="U3041" s="0" t="s">
        <v>138</v>
      </c>
      <c r="V3041" s="14" t="s">
        <v>138</v>
      </c>
      <c r="W3041" s="0" t="s">
        <v>138</v>
      </c>
      <c r="X3041" s="14" t="s">
        <v>138</v>
      </c>
      <c r="Y3041" s="0" t="s">
        <v>138</v>
      </c>
      <c r="Z3041" s="14" t="s">
        <v>138</v>
      </c>
      <c r="AA3041" s="0" t="s">
        <v>138</v>
      </c>
      <c r="AB3041" s="14" t="s">
        <v>138</v>
      </c>
      <c r="AD3041" s="0" t="s">
        <v>138</v>
      </c>
      <c r="AF3041" s="0">
        <v>0</v>
      </c>
      <c r="AG3041" s="0">
        <v>0</v>
      </c>
      <c r="AH3041" s="0" t="s">
        <v>140</v>
      </c>
      <c r="AI3041" s="0" t="s">
        <v>138</v>
      </c>
      <c r="AK3041" s="0" t="s">
        <v>300</v>
      </c>
      <c r="AL3041" s="14"/>
      <c r="AN3041" s="14"/>
      <c r="AQ3041" s="0" t="s">
        <v>130</v>
      </c>
      <c r="AR3041" s="0" t="s">
        <v>141</v>
      </c>
      <c r="AS3041" s="0" t="s">
        <v>130</v>
      </c>
      <c r="AT3041" s="0" t="s">
        <v>130</v>
      </c>
      <c r="AU3041" s="0" t="s">
        <v>130</v>
      </c>
      <c r="AV3041" s="0" t="s">
        <v>130</v>
      </c>
      <c r="AW3041" s="0" t="s">
        <v>130</v>
      </c>
      <c r="AX3041" s="0" t="s">
        <v>130</v>
      </c>
      <c r="AY3041" s="0" t="s">
        <v>130</v>
      </c>
      <c r="AZ3041" s="0" t="s">
        <v>130</v>
      </c>
      <c r="BA3041" s="0" t="s">
        <v>130</v>
      </c>
      <c r="BB3041" s="0" t="s">
        <v>141</v>
      </c>
      <c r="BC3041" s="0" t="s">
        <v>130</v>
      </c>
      <c r="BD3041" s="0" t="s">
        <v>130</v>
      </c>
      <c r="BE3041" s="0" t="s">
        <v>141</v>
      </c>
      <c r="BF3041" s="0" t="s">
        <v>130</v>
      </c>
      <c r="BG3041" s="0" t="s">
        <v>130</v>
      </c>
      <c r="BH3041" s="0" t="s">
        <v>130</v>
      </c>
      <c r="BI3041" s="0" t="s">
        <v>130</v>
      </c>
      <c r="BJ3041" s="0" t="s">
        <v>130</v>
      </c>
      <c r="BK3041" s="0" t="s">
        <v>130</v>
      </c>
      <c r="BL3041" s="0" t="s">
        <v>130</v>
      </c>
      <c r="BM3041" s="0" t="s">
        <v>130</v>
      </c>
      <c r="BN3041" s="0" t="s">
        <v>130</v>
      </c>
      <c r="BO3041" s="0" t="s">
        <v>130</v>
      </c>
      <c r="BP3041" s="0" t="s">
        <v>130</v>
      </c>
      <c r="BQ3041" s="0" t="s">
        <v>130</v>
      </c>
      <c r="BR3041" s="0" t="s">
        <v>130</v>
      </c>
      <c r="BS3041" s="0" t="s">
        <v>130</v>
      </c>
      <c r="BT3041" s="0" t="s">
        <v>130</v>
      </c>
      <c r="BU3041" s="0" t="s">
        <v>130</v>
      </c>
      <c r="BV3041" s="0" t="s">
        <v>130</v>
      </c>
      <c r="BW3041" s="0" t="s">
        <v>130</v>
      </c>
      <c r="BX3041" s="0" t="s">
        <v>130</v>
      </c>
      <c r="BY3041" s="0" t="s">
        <v>130</v>
      </c>
      <c r="BZ3041" s="0" t="s">
        <v>130</v>
      </c>
      <c r="CA3041" s="0" t="s">
        <v>130</v>
      </c>
      <c r="CB3041" s="0" t="s">
        <v>130</v>
      </c>
      <c r="CC3041" s="0" t="s">
        <v>130</v>
      </c>
      <c r="CD3041" s="0" t="s">
        <v>130</v>
      </c>
      <c r="CE3041" s="0" t="s">
        <v>130</v>
      </c>
      <c r="CF3041" s="0" t="s">
        <v>130</v>
      </c>
      <c r="CG3041" s="0" t="s">
        <v>130</v>
      </c>
      <c r="CH3041" s="0" t="s">
        <v>130</v>
      </c>
      <c r="CI3041" s="0" t="s">
        <v>130</v>
      </c>
      <c r="CJ3041" s="0" t="s">
        <v>130</v>
      </c>
      <c r="CK3041" s="0" t="s">
        <v>130</v>
      </c>
      <c r="CL3041" s="0" t="s">
        <v>130</v>
      </c>
      <c r="CM3041" s="0" t="s">
        <v>130</v>
      </c>
      <c r="CN3041" s="0" t="s">
        <v>130</v>
      </c>
      <c r="CO3041" s="0" t="s">
        <v>130</v>
      </c>
      <c r="CP3041" s="0" t="s">
        <v>130</v>
      </c>
      <c r="CQ3041" s="0" t="s">
        <v>130</v>
      </c>
      <c r="CR3041" s="0" t="s">
        <v>130</v>
      </c>
      <c r="CS3041" s="0" t="s">
        <v>130</v>
      </c>
      <c r="CT3041" s="0" t="s">
        <v>8172</v>
      </c>
    </row>
    <row r="3042">
      <c r="A3042" s="14">
        <v>173055</v>
      </c>
      <c r="B3042" s="0" t="s">
        <v>3098</v>
      </c>
      <c r="C3042" s="16">
        <f>HYPERLINK("https://eosportal.federatedhermes.com/companies/Q29tcGFueQppNzI2OTc=", "WEG SA")</f>
      </c>
      <c r="D3042" s="0" t="s">
        <v>25</v>
      </c>
      <c r="E3042" s="0" t="s">
        <v>8162</v>
      </c>
      <c r="F3042" s="16">
        <f>HYPERLINK("https://eosportal.federatedhermes.com/engagements/RW5nYWdlbWVudAppNDE5NzU=", "Enterprise AI workforce impact")</f>
      </c>
      <c r="G3042" s="14" t="s">
        <v>8091</v>
      </c>
      <c r="H3042" s="0" t="s">
        <v>130</v>
      </c>
      <c r="I3042" s="14" t="s">
        <v>131</v>
      </c>
      <c r="J3042" s="0" t="s">
        <v>153</v>
      </c>
      <c r="K3042" s="0" t="s">
        <v>154</v>
      </c>
      <c r="L3042" s="0" t="s">
        <v>268</v>
      </c>
      <c r="M3042" s="0" t="s">
        <v>2807</v>
      </c>
      <c r="N3042" s="0" t="s">
        <v>3041</v>
      </c>
      <c r="O3042" s="0" t="s">
        <v>176</v>
      </c>
      <c r="Q3042" s="0" t="s">
        <v>141</v>
      </c>
      <c r="R3042" s="0" t="s">
        <v>138</v>
      </c>
      <c r="S3042" s="14">
        <v>1</v>
      </c>
      <c r="T3042" s="0" t="s">
        <v>361</v>
      </c>
      <c r="U3042" s="0" t="s">
        <v>138</v>
      </c>
      <c r="V3042" s="14" t="s">
        <v>138</v>
      </c>
      <c r="W3042" s="0" t="s">
        <v>138</v>
      </c>
      <c r="X3042" s="14" t="s">
        <v>138</v>
      </c>
      <c r="Y3042" s="0" t="s">
        <v>138</v>
      </c>
      <c r="Z3042" s="14" t="s">
        <v>138</v>
      </c>
      <c r="AA3042" s="0" t="s">
        <v>138</v>
      </c>
      <c r="AB3042" s="14" t="s">
        <v>138</v>
      </c>
      <c r="AD3042" s="0" t="s">
        <v>138</v>
      </c>
      <c r="AF3042" s="0">
        <v>0</v>
      </c>
      <c r="AG3042" s="0">
        <v>0</v>
      </c>
      <c r="AH3042" s="0" t="s">
        <v>140</v>
      </c>
      <c r="AI3042" s="0" t="s">
        <v>138</v>
      </c>
      <c r="AK3042" s="0" t="s">
        <v>3996</v>
      </c>
      <c r="AL3042" s="14"/>
      <c r="AN3042" s="14"/>
      <c r="AQ3042" s="0" t="s">
        <v>130</v>
      </c>
      <c r="AR3042" s="0" t="s">
        <v>130</v>
      </c>
      <c r="AS3042" s="0" t="s">
        <v>130</v>
      </c>
      <c r="AT3042" s="0" t="s">
        <v>141</v>
      </c>
      <c r="AU3042" s="0" t="s">
        <v>130</v>
      </c>
      <c r="AV3042" s="0" t="s">
        <v>130</v>
      </c>
      <c r="AW3042" s="0" t="s">
        <v>130</v>
      </c>
      <c r="AX3042" s="0" t="s">
        <v>141</v>
      </c>
      <c r="AY3042" s="0" t="s">
        <v>130</v>
      </c>
      <c r="AZ3042" s="0" t="s">
        <v>130</v>
      </c>
      <c r="BA3042" s="0" t="s">
        <v>130</v>
      </c>
      <c r="BB3042" s="0" t="s">
        <v>130</v>
      </c>
      <c r="BC3042" s="0" t="s">
        <v>130</v>
      </c>
      <c r="BD3042" s="0" t="s">
        <v>130</v>
      </c>
      <c r="BE3042" s="0" t="s">
        <v>130</v>
      </c>
      <c r="BF3042" s="0" t="s">
        <v>130</v>
      </c>
      <c r="BG3042" s="0" t="s">
        <v>130</v>
      </c>
      <c r="BH3042" s="0" t="s">
        <v>130</v>
      </c>
      <c r="BI3042" s="0" t="s">
        <v>130</v>
      </c>
      <c r="BJ3042" s="0" t="s">
        <v>130</v>
      </c>
      <c r="BK3042" s="0" t="s">
        <v>130</v>
      </c>
      <c r="BL3042" s="0" t="s">
        <v>130</v>
      </c>
      <c r="BM3042" s="0" t="s">
        <v>130</v>
      </c>
      <c r="BN3042" s="0" t="s">
        <v>130</v>
      </c>
      <c r="BO3042" s="0" t="s">
        <v>130</v>
      </c>
      <c r="BP3042" s="0" t="s">
        <v>130</v>
      </c>
      <c r="BQ3042" s="0" t="s">
        <v>130</v>
      </c>
      <c r="BR3042" s="0" t="s">
        <v>130</v>
      </c>
      <c r="BS3042" s="0" t="s">
        <v>130</v>
      </c>
      <c r="BT3042" s="0" t="s">
        <v>130</v>
      </c>
      <c r="BU3042" s="0" t="s">
        <v>130</v>
      </c>
      <c r="BV3042" s="0" t="s">
        <v>130</v>
      </c>
      <c r="BW3042" s="0" t="s">
        <v>130</v>
      </c>
      <c r="BX3042" s="0" t="s">
        <v>130</v>
      </c>
      <c r="BY3042" s="0" t="s">
        <v>130</v>
      </c>
      <c r="BZ3042" s="0" t="s">
        <v>130</v>
      </c>
      <c r="CA3042" s="0" t="s">
        <v>130</v>
      </c>
      <c r="CB3042" s="0" t="s">
        <v>130</v>
      </c>
      <c r="CC3042" s="0" t="s">
        <v>130</v>
      </c>
      <c r="CD3042" s="0" t="s">
        <v>130</v>
      </c>
      <c r="CE3042" s="0" t="s">
        <v>130</v>
      </c>
      <c r="CF3042" s="0" t="s">
        <v>130</v>
      </c>
      <c r="CG3042" s="0" t="s">
        <v>130</v>
      </c>
      <c r="CH3042" s="0" t="s">
        <v>130</v>
      </c>
      <c r="CI3042" s="0" t="s">
        <v>130</v>
      </c>
      <c r="CJ3042" s="0" t="s">
        <v>130</v>
      </c>
      <c r="CK3042" s="0" t="s">
        <v>141</v>
      </c>
      <c r="CL3042" s="0" t="s">
        <v>130</v>
      </c>
      <c r="CM3042" s="0" t="s">
        <v>130</v>
      </c>
      <c r="CN3042" s="0" t="s">
        <v>130</v>
      </c>
      <c r="CO3042" s="0" t="s">
        <v>130</v>
      </c>
      <c r="CP3042" s="0" t="s">
        <v>130</v>
      </c>
      <c r="CQ3042" s="0" t="s">
        <v>130</v>
      </c>
      <c r="CR3042" s="0" t="s">
        <v>130</v>
      </c>
      <c r="CS3042" s="0" t="s">
        <v>130</v>
      </c>
      <c r="CT3042" s="0" t="s">
        <v>8173</v>
      </c>
    </row>
    <row r="3043">
      <c r="A3043" s="14">
        <v>27186779</v>
      </c>
      <c r="B3043" s="0" t="s">
        <v>4330</v>
      </c>
      <c r="C3043" s="16">
        <f>HYPERLINK("https://eosportal.federatedhermes.com/companies/Q29tcGFueQppODI1ODQ=", "Shopify Inc")</f>
      </c>
      <c r="D3043" s="0" t="s">
        <v>25</v>
      </c>
      <c r="E3043" s="0" t="s">
        <v>8162</v>
      </c>
      <c r="F3043" s="16">
        <f>HYPERLINK("https://eosportal.federatedhermes.com/engagements/RW5nYWdlbWVudAppNDE5NzY=", "Enterprise AI workforce impact")</f>
      </c>
      <c r="G3043" s="14" t="s">
        <v>8091</v>
      </c>
      <c r="H3043" s="0" t="s">
        <v>130</v>
      </c>
      <c r="I3043" s="14" t="s">
        <v>319</v>
      </c>
      <c r="J3043" s="0" t="s">
        <v>153</v>
      </c>
      <c r="K3043" s="0" t="s">
        <v>154</v>
      </c>
      <c r="L3043" s="0" t="s">
        <v>268</v>
      </c>
      <c r="M3043" s="0" t="s">
        <v>135</v>
      </c>
      <c r="N3043" s="0" t="s">
        <v>1678</v>
      </c>
      <c r="O3043" s="0" t="s">
        <v>137</v>
      </c>
      <c r="Q3043" s="0" t="s">
        <v>141</v>
      </c>
      <c r="R3043" s="0" t="s">
        <v>138</v>
      </c>
      <c r="S3043" s="14">
        <v>1</v>
      </c>
      <c r="T3043" s="0" t="s">
        <v>361</v>
      </c>
      <c r="U3043" s="0" t="s">
        <v>138</v>
      </c>
      <c r="V3043" s="14" t="s">
        <v>138</v>
      </c>
      <c r="W3043" s="0" t="s">
        <v>138</v>
      </c>
      <c r="X3043" s="14" t="s">
        <v>138</v>
      </c>
      <c r="Y3043" s="0" t="s">
        <v>138</v>
      </c>
      <c r="Z3043" s="14" t="s">
        <v>138</v>
      </c>
      <c r="AA3043" s="0" t="s">
        <v>138</v>
      </c>
      <c r="AB3043" s="14" t="s">
        <v>138</v>
      </c>
      <c r="AD3043" s="0" t="s">
        <v>138</v>
      </c>
      <c r="AF3043" s="0">
        <v>0</v>
      </c>
      <c r="AG3043" s="0">
        <v>0</v>
      </c>
      <c r="AH3043" s="0" t="s">
        <v>140</v>
      </c>
      <c r="AI3043" s="0" t="s">
        <v>138</v>
      </c>
      <c r="AK3043" s="0" t="s">
        <v>2588</v>
      </c>
      <c r="AL3043" s="14"/>
      <c r="AN3043" s="14"/>
      <c r="AQ3043" s="0" t="s">
        <v>130</v>
      </c>
      <c r="AR3043" s="0" t="s">
        <v>130</v>
      </c>
      <c r="AS3043" s="0" t="s">
        <v>130</v>
      </c>
      <c r="AT3043" s="0" t="s">
        <v>141</v>
      </c>
      <c r="AU3043" s="0" t="s">
        <v>130</v>
      </c>
      <c r="AV3043" s="0" t="s">
        <v>130</v>
      </c>
      <c r="AW3043" s="0" t="s">
        <v>130</v>
      </c>
      <c r="AX3043" s="0" t="s">
        <v>141</v>
      </c>
      <c r="AY3043" s="0" t="s">
        <v>130</v>
      </c>
      <c r="AZ3043" s="0" t="s">
        <v>130</v>
      </c>
      <c r="BA3043" s="0" t="s">
        <v>130</v>
      </c>
      <c r="BB3043" s="0" t="s">
        <v>130</v>
      </c>
      <c r="BC3043" s="0" t="s">
        <v>130</v>
      </c>
      <c r="BD3043" s="0" t="s">
        <v>130</v>
      </c>
      <c r="BE3043" s="0" t="s">
        <v>130</v>
      </c>
      <c r="BF3043" s="0" t="s">
        <v>130</v>
      </c>
      <c r="BG3043" s="0" t="s">
        <v>130</v>
      </c>
      <c r="BH3043" s="0" t="s">
        <v>130</v>
      </c>
      <c r="BI3043" s="0" t="s">
        <v>130</v>
      </c>
      <c r="BJ3043" s="0" t="s">
        <v>130</v>
      </c>
      <c r="BK3043" s="0" t="s">
        <v>130</v>
      </c>
      <c r="BL3043" s="0" t="s">
        <v>130</v>
      </c>
      <c r="BM3043" s="0" t="s">
        <v>130</v>
      </c>
      <c r="BN3043" s="0" t="s">
        <v>130</v>
      </c>
      <c r="BO3043" s="0" t="s">
        <v>130</v>
      </c>
      <c r="BP3043" s="0" t="s">
        <v>130</v>
      </c>
      <c r="BQ3043" s="0" t="s">
        <v>130</v>
      </c>
      <c r="BR3043" s="0" t="s">
        <v>130</v>
      </c>
      <c r="BS3043" s="0" t="s">
        <v>130</v>
      </c>
      <c r="BT3043" s="0" t="s">
        <v>130</v>
      </c>
      <c r="BU3043" s="0" t="s">
        <v>130</v>
      </c>
      <c r="BV3043" s="0" t="s">
        <v>130</v>
      </c>
      <c r="BW3043" s="0" t="s">
        <v>130</v>
      </c>
      <c r="BX3043" s="0" t="s">
        <v>130</v>
      </c>
      <c r="BY3043" s="0" t="s">
        <v>130</v>
      </c>
      <c r="BZ3043" s="0" t="s">
        <v>130</v>
      </c>
      <c r="CA3043" s="0" t="s">
        <v>130</v>
      </c>
      <c r="CB3043" s="0" t="s">
        <v>130</v>
      </c>
      <c r="CC3043" s="0" t="s">
        <v>130</v>
      </c>
      <c r="CD3043" s="0" t="s">
        <v>130</v>
      </c>
      <c r="CE3043" s="0" t="s">
        <v>130</v>
      </c>
      <c r="CF3043" s="0" t="s">
        <v>130</v>
      </c>
      <c r="CG3043" s="0" t="s">
        <v>130</v>
      </c>
      <c r="CH3043" s="0" t="s">
        <v>130</v>
      </c>
      <c r="CI3043" s="0" t="s">
        <v>130</v>
      </c>
      <c r="CJ3043" s="0" t="s">
        <v>130</v>
      </c>
      <c r="CK3043" s="0" t="s">
        <v>141</v>
      </c>
      <c r="CL3043" s="0" t="s">
        <v>130</v>
      </c>
      <c r="CM3043" s="0" t="s">
        <v>130</v>
      </c>
      <c r="CN3043" s="0" t="s">
        <v>130</v>
      </c>
      <c r="CO3043" s="0" t="s">
        <v>130</v>
      </c>
      <c r="CP3043" s="0" t="s">
        <v>130</v>
      </c>
      <c r="CQ3043" s="0" t="s">
        <v>130</v>
      </c>
      <c r="CR3043" s="0" t="s">
        <v>130</v>
      </c>
      <c r="CS3043" s="0" t="s">
        <v>130</v>
      </c>
      <c r="CT3043" s="0" t="s">
        <v>8174</v>
      </c>
    </row>
    <row r="3044">
      <c r="A3044" s="14">
        <v>116563</v>
      </c>
      <c r="B3044" s="0" t="s">
        <v>2780</v>
      </c>
      <c r="C3044" s="16">
        <f>HYPERLINK("https://eosportal.federatedhermes.com/companies/Q29tcGFueQppNzU2NjU=", "Techtronic Industries Co Ltd")</f>
      </c>
      <c r="D3044" s="0" t="s">
        <v>25</v>
      </c>
      <c r="E3044" s="0" t="s">
        <v>8162</v>
      </c>
      <c r="F3044" s="16">
        <f>HYPERLINK("https://eosportal.federatedhermes.com/engagements/RW5nYWdlbWVudAppNDE5Nzc=", "Enterprise AI workforce impact")</f>
      </c>
      <c r="G3044" s="14" t="s">
        <v>8091</v>
      </c>
      <c r="H3044" s="0" t="s">
        <v>130</v>
      </c>
      <c r="I3044" s="14" t="s">
        <v>131</v>
      </c>
      <c r="J3044" s="0" t="s">
        <v>153</v>
      </c>
      <c r="K3044" s="0" t="s">
        <v>154</v>
      </c>
      <c r="L3044" s="0" t="s">
        <v>268</v>
      </c>
      <c r="M3044" s="0" t="s">
        <v>802</v>
      </c>
      <c r="N3044" s="0" t="s">
        <v>803</v>
      </c>
      <c r="O3044" s="0" t="s">
        <v>176</v>
      </c>
      <c r="Q3044" s="0" t="s">
        <v>141</v>
      </c>
      <c r="R3044" s="0" t="s">
        <v>138</v>
      </c>
      <c r="S3044" s="14">
        <v>1</v>
      </c>
      <c r="T3044" s="0" t="s">
        <v>361</v>
      </c>
      <c r="U3044" s="0" t="s">
        <v>138</v>
      </c>
      <c r="V3044" s="14" t="s">
        <v>138</v>
      </c>
      <c r="W3044" s="0" t="s">
        <v>138</v>
      </c>
      <c r="X3044" s="14" t="s">
        <v>138</v>
      </c>
      <c r="Y3044" s="0" t="s">
        <v>138</v>
      </c>
      <c r="Z3044" s="14" t="s">
        <v>138</v>
      </c>
      <c r="AA3044" s="0" t="s">
        <v>138</v>
      </c>
      <c r="AB3044" s="14" t="s">
        <v>138</v>
      </c>
      <c r="AD3044" s="0" t="s">
        <v>138</v>
      </c>
      <c r="AF3044" s="0">
        <v>0</v>
      </c>
      <c r="AG3044" s="0">
        <v>0</v>
      </c>
      <c r="AH3044" s="0" t="s">
        <v>140</v>
      </c>
      <c r="AI3044" s="0" t="s">
        <v>138</v>
      </c>
      <c r="AK3044" s="0" t="s">
        <v>2588</v>
      </c>
      <c r="AL3044" s="14"/>
      <c r="AN3044" s="14"/>
      <c r="AQ3044" s="0" t="s">
        <v>130</v>
      </c>
      <c r="AR3044" s="0" t="s">
        <v>130</v>
      </c>
      <c r="AS3044" s="0" t="s">
        <v>130</v>
      </c>
      <c r="AT3044" s="0" t="s">
        <v>141</v>
      </c>
      <c r="AU3044" s="0" t="s">
        <v>130</v>
      </c>
      <c r="AV3044" s="0" t="s">
        <v>130</v>
      </c>
      <c r="AW3044" s="0" t="s">
        <v>130</v>
      </c>
      <c r="AX3044" s="0" t="s">
        <v>141</v>
      </c>
      <c r="AY3044" s="0" t="s">
        <v>130</v>
      </c>
      <c r="AZ3044" s="0" t="s">
        <v>130</v>
      </c>
      <c r="BA3044" s="0" t="s">
        <v>130</v>
      </c>
      <c r="BB3044" s="0" t="s">
        <v>130</v>
      </c>
      <c r="BC3044" s="0" t="s">
        <v>130</v>
      </c>
      <c r="BD3044" s="0" t="s">
        <v>130</v>
      </c>
      <c r="BE3044" s="0" t="s">
        <v>130</v>
      </c>
      <c r="BF3044" s="0" t="s">
        <v>130</v>
      </c>
      <c r="BG3044" s="0" t="s">
        <v>130</v>
      </c>
      <c r="BH3044" s="0" t="s">
        <v>130</v>
      </c>
      <c r="BI3044" s="0" t="s">
        <v>130</v>
      </c>
      <c r="BJ3044" s="0" t="s">
        <v>130</v>
      </c>
      <c r="BK3044" s="0" t="s">
        <v>130</v>
      </c>
      <c r="BL3044" s="0" t="s">
        <v>130</v>
      </c>
      <c r="BM3044" s="0" t="s">
        <v>130</v>
      </c>
      <c r="BN3044" s="0" t="s">
        <v>130</v>
      </c>
      <c r="BO3044" s="0" t="s">
        <v>130</v>
      </c>
      <c r="BP3044" s="0" t="s">
        <v>130</v>
      </c>
      <c r="BQ3044" s="0" t="s">
        <v>130</v>
      </c>
      <c r="BR3044" s="0" t="s">
        <v>130</v>
      </c>
      <c r="BS3044" s="0" t="s">
        <v>130</v>
      </c>
      <c r="BT3044" s="0" t="s">
        <v>130</v>
      </c>
      <c r="BU3044" s="0" t="s">
        <v>130</v>
      </c>
      <c r="BV3044" s="0" t="s">
        <v>130</v>
      </c>
      <c r="BW3044" s="0" t="s">
        <v>130</v>
      </c>
      <c r="BX3044" s="0" t="s">
        <v>130</v>
      </c>
      <c r="BY3044" s="0" t="s">
        <v>130</v>
      </c>
      <c r="BZ3044" s="0" t="s">
        <v>130</v>
      </c>
      <c r="CA3044" s="0" t="s">
        <v>130</v>
      </c>
      <c r="CB3044" s="0" t="s">
        <v>130</v>
      </c>
      <c r="CC3044" s="0" t="s">
        <v>130</v>
      </c>
      <c r="CD3044" s="0" t="s">
        <v>130</v>
      </c>
      <c r="CE3044" s="0" t="s">
        <v>130</v>
      </c>
      <c r="CF3044" s="0" t="s">
        <v>130</v>
      </c>
      <c r="CG3044" s="0" t="s">
        <v>130</v>
      </c>
      <c r="CH3044" s="0" t="s">
        <v>130</v>
      </c>
      <c r="CI3044" s="0" t="s">
        <v>130</v>
      </c>
      <c r="CJ3044" s="0" t="s">
        <v>130</v>
      </c>
      <c r="CK3044" s="0" t="s">
        <v>141</v>
      </c>
      <c r="CL3044" s="0" t="s">
        <v>130</v>
      </c>
      <c r="CM3044" s="0" t="s">
        <v>130</v>
      </c>
      <c r="CN3044" s="0" t="s">
        <v>130</v>
      </c>
      <c r="CO3044" s="0" t="s">
        <v>130</v>
      </c>
      <c r="CP3044" s="0" t="s">
        <v>130</v>
      </c>
      <c r="CQ3044" s="0" t="s">
        <v>130</v>
      </c>
      <c r="CR3044" s="0" t="s">
        <v>130</v>
      </c>
      <c r="CS3044" s="0" t="s">
        <v>130</v>
      </c>
      <c r="CT3044" s="0" t="s">
        <v>8175</v>
      </c>
    </row>
    <row r="3045">
      <c r="A3045" s="14">
        <v>24815130</v>
      </c>
      <c r="B3045" s="0" t="s">
        <v>4314</v>
      </c>
      <c r="C3045" s="16">
        <f>HYPERLINK("https://eosportal.federatedhermes.com/companies/Q29tcGFueQppNjMzMjY=", "IQVIA Holdings Inc")</f>
      </c>
      <c r="D3045" s="0" t="s">
        <v>25</v>
      </c>
      <c r="E3045" s="0" t="s">
        <v>7991</v>
      </c>
      <c r="F3045" s="16">
        <f>HYPERLINK("https://eosportal.federatedhermes.com/engagements/RW5nYWdlbWVudAppNDE5ODE=", "AI-related workforce impact")</f>
      </c>
      <c r="G3045" s="14" t="s">
        <v>8091</v>
      </c>
      <c r="H3045" s="0" t="s">
        <v>130</v>
      </c>
      <c r="I3045" s="14" t="s">
        <v>131</v>
      </c>
      <c r="J3045" s="0" t="s">
        <v>153</v>
      </c>
      <c r="K3045" s="0" t="s">
        <v>154</v>
      </c>
      <c r="L3045" s="0" t="s">
        <v>268</v>
      </c>
      <c r="M3045" s="0" t="s">
        <v>135</v>
      </c>
      <c r="N3045" s="0" t="s">
        <v>136</v>
      </c>
      <c r="O3045" s="0" t="s">
        <v>274</v>
      </c>
      <c r="Q3045" s="0" t="s">
        <v>141</v>
      </c>
      <c r="R3045" s="0" t="s">
        <v>138</v>
      </c>
      <c r="S3045" s="14">
        <v>1</v>
      </c>
      <c r="T3045" s="0" t="s">
        <v>361</v>
      </c>
      <c r="U3045" s="0" t="s">
        <v>138</v>
      </c>
      <c r="V3045" s="14" t="s">
        <v>138</v>
      </c>
      <c r="W3045" s="0" t="s">
        <v>138</v>
      </c>
      <c r="X3045" s="14" t="s">
        <v>138</v>
      </c>
      <c r="Y3045" s="0" t="s">
        <v>138</v>
      </c>
      <c r="Z3045" s="14" t="s">
        <v>138</v>
      </c>
      <c r="AA3045" s="0" t="s">
        <v>138</v>
      </c>
      <c r="AB3045" s="14" t="s">
        <v>138</v>
      </c>
      <c r="AD3045" s="0" t="s">
        <v>138</v>
      </c>
      <c r="AF3045" s="0">
        <v>0</v>
      </c>
      <c r="AG3045" s="0">
        <v>0</v>
      </c>
      <c r="AH3045" s="0" t="s">
        <v>140</v>
      </c>
      <c r="AI3045" s="0" t="s">
        <v>138</v>
      </c>
      <c r="AK3045" s="0" t="s">
        <v>2588</v>
      </c>
      <c r="AL3045" s="14"/>
      <c r="AN3045" s="14"/>
      <c r="AQ3045" s="0" t="s">
        <v>130</v>
      </c>
      <c r="AR3045" s="0" t="s">
        <v>130</v>
      </c>
      <c r="AS3045" s="0" t="s">
        <v>130</v>
      </c>
      <c r="AT3045" s="0" t="s">
        <v>141</v>
      </c>
      <c r="AU3045" s="0" t="s">
        <v>130</v>
      </c>
      <c r="AV3045" s="0" t="s">
        <v>130</v>
      </c>
      <c r="AW3045" s="0" t="s">
        <v>130</v>
      </c>
      <c r="AX3045" s="0" t="s">
        <v>141</v>
      </c>
      <c r="AY3045" s="0" t="s">
        <v>130</v>
      </c>
      <c r="AZ3045" s="0" t="s">
        <v>130</v>
      </c>
      <c r="BA3045" s="0" t="s">
        <v>130</v>
      </c>
      <c r="BB3045" s="0" t="s">
        <v>130</v>
      </c>
      <c r="BC3045" s="0" t="s">
        <v>130</v>
      </c>
      <c r="BD3045" s="0" t="s">
        <v>130</v>
      </c>
      <c r="BE3045" s="0" t="s">
        <v>130</v>
      </c>
      <c r="BF3045" s="0" t="s">
        <v>130</v>
      </c>
      <c r="BG3045" s="0" t="s">
        <v>130</v>
      </c>
      <c r="BH3045" s="0" t="s">
        <v>130</v>
      </c>
      <c r="BI3045" s="0" t="s">
        <v>130</v>
      </c>
      <c r="BJ3045" s="0" t="s">
        <v>130</v>
      </c>
      <c r="BK3045" s="0" t="s">
        <v>130</v>
      </c>
      <c r="BL3045" s="0" t="s">
        <v>130</v>
      </c>
      <c r="BM3045" s="0" t="s">
        <v>130</v>
      </c>
      <c r="BN3045" s="0" t="s">
        <v>130</v>
      </c>
      <c r="BO3045" s="0" t="s">
        <v>130</v>
      </c>
      <c r="BP3045" s="0" t="s">
        <v>130</v>
      </c>
      <c r="BQ3045" s="0" t="s">
        <v>130</v>
      </c>
      <c r="BR3045" s="0" t="s">
        <v>130</v>
      </c>
      <c r="BS3045" s="0" t="s">
        <v>130</v>
      </c>
      <c r="BT3045" s="0" t="s">
        <v>130</v>
      </c>
      <c r="BU3045" s="0" t="s">
        <v>130</v>
      </c>
      <c r="BV3045" s="0" t="s">
        <v>130</v>
      </c>
      <c r="BW3045" s="0" t="s">
        <v>130</v>
      </c>
      <c r="BX3045" s="0" t="s">
        <v>130</v>
      </c>
      <c r="BY3045" s="0" t="s">
        <v>130</v>
      </c>
      <c r="BZ3045" s="0" t="s">
        <v>130</v>
      </c>
      <c r="CA3045" s="0" t="s">
        <v>130</v>
      </c>
      <c r="CB3045" s="0" t="s">
        <v>130</v>
      </c>
      <c r="CC3045" s="0" t="s">
        <v>130</v>
      </c>
      <c r="CD3045" s="0" t="s">
        <v>130</v>
      </c>
      <c r="CE3045" s="0" t="s">
        <v>130</v>
      </c>
      <c r="CF3045" s="0" t="s">
        <v>130</v>
      </c>
      <c r="CG3045" s="0" t="s">
        <v>130</v>
      </c>
      <c r="CH3045" s="0" t="s">
        <v>130</v>
      </c>
      <c r="CI3045" s="0" t="s">
        <v>130</v>
      </c>
      <c r="CJ3045" s="0" t="s">
        <v>130</v>
      </c>
      <c r="CK3045" s="0" t="s">
        <v>141</v>
      </c>
      <c r="CL3045" s="0" t="s">
        <v>130</v>
      </c>
      <c r="CM3045" s="0" t="s">
        <v>130</v>
      </c>
      <c r="CN3045" s="0" t="s">
        <v>130</v>
      </c>
      <c r="CO3045" s="0" t="s">
        <v>130</v>
      </c>
      <c r="CP3045" s="0" t="s">
        <v>130</v>
      </c>
      <c r="CQ3045" s="0" t="s">
        <v>130</v>
      </c>
      <c r="CR3045" s="0" t="s">
        <v>130</v>
      </c>
      <c r="CS3045" s="0" t="s">
        <v>130</v>
      </c>
      <c r="CT3045" s="0" t="s">
        <v>8176</v>
      </c>
    </row>
    <row r="3046">
      <c r="A3046" s="14">
        <v>100532</v>
      </c>
      <c r="B3046" s="0" t="s">
        <v>724</v>
      </c>
      <c r="C3046" s="16">
        <f>HYPERLINK("https://eosportal.federatedhermes.com/companies/Q29tcGFueQppNTQ1MDU=", "Entergy Corp")</f>
      </c>
      <c r="D3046" s="0" t="s">
        <v>25</v>
      </c>
      <c r="E3046" s="0" t="s">
        <v>8177</v>
      </c>
      <c r="F3046" s="16">
        <f>HYPERLINK("https://eosportal.federatedhermes.com/engagements/RW5nYWdlbWVudAppNDE5ODI=", "AI-related environmental/social opportunities and risks")</f>
      </c>
      <c r="G3046" s="14" t="s">
        <v>8178</v>
      </c>
      <c r="H3046" s="0" t="s">
        <v>141</v>
      </c>
      <c r="I3046" s="14" t="s">
        <v>636</v>
      </c>
      <c r="J3046" s="0" t="s">
        <v>197</v>
      </c>
      <c r="K3046" s="0" t="s">
        <v>198</v>
      </c>
      <c r="L3046" s="0" t="s">
        <v>220</v>
      </c>
      <c r="M3046" s="0" t="s">
        <v>135</v>
      </c>
      <c r="N3046" s="0" t="s">
        <v>136</v>
      </c>
      <c r="O3046" s="0" t="s">
        <v>192</v>
      </c>
      <c r="Q3046" s="0" t="s">
        <v>141</v>
      </c>
      <c r="R3046" s="0" t="s">
        <v>138</v>
      </c>
      <c r="S3046" s="14">
        <v>1</v>
      </c>
      <c r="T3046" s="0" t="s">
        <v>361</v>
      </c>
      <c r="U3046" s="0" t="s">
        <v>138</v>
      </c>
      <c r="V3046" s="14" t="s">
        <v>138</v>
      </c>
      <c r="W3046" s="0" t="s">
        <v>138</v>
      </c>
      <c r="X3046" s="14" t="s">
        <v>138</v>
      </c>
      <c r="Y3046" s="0" t="s">
        <v>138</v>
      </c>
      <c r="Z3046" s="14" t="s">
        <v>138</v>
      </c>
      <c r="AA3046" s="0" t="s">
        <v>138</v>
      </c>
      <c r="AB3046" s="14" t="s">
        <v>138</v>
      </c>
      <c r="AD3046" s="0" t="s">
        <v>138</v>
      </c>
      <c r="AF3046" s="0">
        <v>0</v>
      </c>
      <c r="AG3046" s="0">
        <v>0</v>
      </c>
      <c r="AH3046" s="0" t="s">
        <v>140</v>
      </c>
      <c r="AI3046" s="0" t="s">
        <v>138</v>
      </c>
      <c r="AK3046" s="0" t="s">
        <v>749</v>
      </c>
      <c r="AL3046" s="14"/>
      <c r="AN3046" s="14"/>
      <c r="AQ3046" s="0" t="s">
        <v>130</v>
      </c>
      <c r="AR3046" s="0" t="s">
        <v>130</v>
      </c>
      <c r="AS3046" s="0" t="s">
        <v>130</v>
      </c>
      <c r="AT3046" s="0" t="s">
        <v>130</v>
      </c>
      <c r="AU3046" s="0" t="s">
        <v>130</v>
      </c>
      <c r="AV3046" s="0" t="s">
        <v>130</v>
      </c>
      <c r="AW3046" s="0" t="s">
        <v>141</v>
      </c>
      <c r="AX3046" s="0" t="s">
        <v>130</v>
      </c>
      <c r="AY3046" s="0" t="s">
        <v>130</v>
      </c>
      <c r="AZ3046" s="0" t="s">
        <v>130</v>
      </c>
      <c r="BA3046" s="0" t="s">
        <v>130</v>
      </c>
      <c r="BB3046" s="0" t="s">
        <v>130</v>
      </c>
      <c r="BC3046" s="0" t="s">
        <v>130</v>
      </c>
      <c r="BD3046" s="0" t="s">
        <v>130</v>
      </c>
      <c r="BE3046" s="0" t="s">
        <v>130</v>
      </c>
      <c r="BF3046" s="0" t="s">
        <v>130</v>
      </c>
      <c r="BG3046" s="0" t="s">
        <v>130</v>
      </c>
      <c r="BH3046" s="0" t="s">
        <v>130</v>
      </c>
      <c r="BI3046" s="0" t="s">
        <v>130</v>
      </c>
      <c r="BJ3046" s="0" t="s">
        <v>130</v>
      </c>
      <c r="BK3046" s="0" t="s">
        <v>130</v>
      </c>
      <c r="BL3046" s="0" t="s">
        <v>130</v>
      </c>
      <c r="BM3046" s="0" t="s">
        <v>130</v>
      </c>
      <c r="BN3046" s="0" t="s">
        <v>130</v>
      </c>
      <c r="BO3046" s="0" t="s">
        <v>130</v>
      </c>
      <c r="BP3046" s="0" t="s">
        <v>130</v>
      </c>
      <c r="BQ3046" s="0" t="s">
        <v>130</v>
      </c>
      <c r="BR3046" s="0" t="s">
        <v>130</v>
      </c>
      <c r="BS3046" s="0" t="s">
        <v>130</v>
      </c>
      <c r="BT3046" s="0" t="s">
        <v>130</v>
      </c>
      <c r="BU3046" s="0" t="s">
        <v>130</v>
      </c>
      <c r="BV3046" s="0" t="s">
        <v>130</v>
      </c>
      <c r="BW3046" s="0" t="s">
        <v>130</v>
      </c>
      <c r="BX3046" s="0" t="s">
        <v>130</v>
      </c>
      <c r="BY3046" s="0" t="s">
        <v>130</v>
      </c>
      <c r="BZ3046" s="0" t="s">
        <v>130</v>
      </c>
      <c r="CA3046" s="0" t="s">
        <v>130</v>
      </c>
      <c r="CB3046" s="0" t="s">
        <v>130</v>
      </c>
      <c r="CC3046" s="0" t="s">
        <v>130</v>
      </c>
      <c r="CD3046" s="0" t="s">
        <v>130</v>
      </c>
      <c r="CE3046" s="0" t="s">
        <v>130</v>
      </c>
      <c r="CF3046" s="0" t="s">
        <v>130</v>
      </c>
      <c r="CG3046" s="0" t="s">
        <v>130</v>
      </c>
      <c r="CH3046" s="0" t="s">
        <v>130</v>
      </c>
      <c r="CI3046" s="0" t="s">
        <v>130</v>
      </c>
      <c r="CJ3046" s="0" t="s">
        <v>130</v>
      </c>
      <c r="CK3046" s="0" t="s">
        <v>130</v>
      </c>
      <c r="CL3046" s="0" t="s">
        <v>130</v>
      </c>
      <c r="CM3046" s="0" t="s">
        <v>130</v>
      </c>
      <c r="CN3046" s="0" t="s">
        <v>130</v>
      </c>
      <c r="CO3046" s="0" t="s">
        <v>130</v>
      </c>
      <c r="CP3046" s="0" t="s">
        <v>130</v>
      </c>
      <c r="CQ3046" s="0" t="s">
        <v>130</v>
      </c>
      <c r="CR3046" s="0" t="s">
        <v>130</v>
      </c>
      <c r="CS3046" s="0" t="s">
        <v>130</v>
      </c>
      <c r="CT3046" s="0" t="s">
        <v>8179</v>
      </c>
    </row>
    <row r="3047">
      <c r="A3047" s="14">
        <v>156276</v>
      </c>
      <c r="B3047" s="0" t="s">
        <v>4955</v>
      </c>
      <c r="C3047" s="16">
        <f>HYPERLINK("https://eosportal.federatedhermes.com/companies/Q29tcGFueQppNTY2Njc=", "Lonza Group AG")</f>
      </c>
      <c r="D3047" s="0" t="s">
        <v>25</v>
      </c>
      <c r="E3047" s="0" t="s">
        <v>7991</v>
      </c>
      <c r="F3047" s="16">
        <f>HYPERLINK("https://eosportal.federatedhermes.com/engagements/RW5nYWdlbWVudAppNDE5ODQ=", "AI-related workforce impact")</f>
      </c>
      <c r="G3047" s="14" t="s">
        <v>8091</v>
      </c>
      <c r="H3047" s="0" t="s">
        <v>130</v>
      </c>
      <c r="I3047" s="14" t="s">
        <v>319</v>
      </c>
      <c r="J3047" s="0" t="s">
        <v>153</v>
      </c>
      <c r="K3047" s="0" t="s">
        <v>154</v>
      </c>
      <c r="L3047" s="0" t="s">
        <v>268</v>
      </c>
      <c r="M3047" s="0" t="s">
        <v>378</v>
      </c>
      <c r="N3047" s="0" t="s">
        <v>1059</v>
      </c>
      <c r="O3047" s="0" t="s">
        <v>274</v>
      </c>
      <c r="Q3047" s="0" t="s">
        <v>141</v>
      </c>
      <c r="R3047" s="0" t="s">
        <v>138</v>
      </c>
      <c r="S3047" s="14">
        <v>1</v>
      </c>
      <c r="T3047" s="0" t="s">
        <v>361</v>
      </c>
      <c r="U3047" s="0" t="s">
        <v>138</v>
      </c>
      <c r="V3047" s="14" t="s">
        <v>138</v>
      </c>
      <c r="W3047" s="0" t="s">
        <v>138</v>
      </c>
      <c r="X3047" s="14" t="s">
        <v>138</v>
      </c>
      <c r="Y3047" s="0" t="s">
        <v>138</v>
      </c>
      <c r="Z3047" s="14" t="s">
        <v>138</v>
      </c>
      <c r="AA3047" s="0" t="s">
        <v>138</v>
      </c>
      <c r="AB3047" s="14" t="s">
        <v>138</v>
      </c>
      <c r="AD3047" s="0" t="s">
        <v>138</v>
      </c>
      <c r="AF3047" s="0">
        <v>0</v>
      </c>
      <c r="AG3047" s="0">
        <v>0</v>
      </c>
      <c r="AH3047" s="0" t="s">
        <v>140</v>
      </c>
      <c r="AI3047" s="0" t="s">
        <v>138</v>
      </c>
      <c r="AK3047" s="0" t="s">
        <v>2588</v>
      </c>
      <c r="AL3047" s="14"/>
      <c r="AN3047" s="14"/>
      <c r="AQ3047" s="0" t="s">
        <v>130</v>
      </c>
      <c r="AR3047" s="0" t="s">
        <v>130</v>
      </c>
      <c r="AS3047" s="0" t="s">
        <v>130</v>
      </c>
      <c r="AT3047" s="0" t="s">
        <v>141</v>
      </c>
      <c r="AU3047" s="0" t="s">
        <v>130</v>
      </c>
      <c r="AV3047" s="0" t="s">
        <v>130</v>
      </c>
      <c r="AW3047" s="0" t="s">
        <v>130</v>
      </c>
      <c r="AX3047" s="0" t="s">
        <v>141</v>
      </c>
      <c r="AY3047" s="0" t="s">
        <v>130</v>
      </c>
      <c r="AZ3047" s="0" t="s">
        <v>130</v>
      </c>
      <c r="BA3047" s="0" t="s">
        <v>130</v>
      </c>
      <c r="BB3047" s="0" t="s">
        <v>130</v>
      </c>
      <c r="BC3047" s="0" t="s">
        <v>130</v>
      </c>
      <c r="BD3047" s="0" t="s">
        <v>130</v>
      </c>
      <c r="BE3047" s="0" t="s">
        <v>130</v>
      </c>
      <c r="BF3047" s="0" t="s">
        <v>130</v>
      </c>
      <c r="BG3047" s="0" t="s">
        <v>130</v>
      </c>
      <c r="BH3047" s="0" t="s">
        <v>130</v>
      </c>
      <c r="BI3047" s="0" t="s">
        <v>130</v>
      </c>
      <c r="BJ3047" s="0" t="s">
        <v>130</v>
      </c>
      <c r="BK3047" s="0" t="s">
        <v>130</v>
      </c>
      <c r="BL3047" s="0" t="s">
        <v>130</v>
      </c>
      <c r="BM3047" s="0" t="s">
        <v>130</v>
      </c>
      <c r="BN3047" s="0" t="s">
        <v>130</v>
      </c>
      <c r="BO3047" s="0" t="s">
        <v>130</v>
      </c>
      <c r="BP3047" s="0" t="s">
        <v>130</v>
      </c>
      <c r="BQ3047" s="0" t="s">
        <v>130</v>
      </c>
      <c r="BR3047" s="0" t="s">
        <v>130</v>
      </c>
      <c r="BS3047" s="0" t="s">
        <v>130</v>
      </c>
      <c r="BT3047" s="0" t="s">
        <v>130</v>
      </c>
      <c r="BU3047" s="0" t="s">
        <v>130</v>
      </c>
      <c r="BV3047" s="0" t="s">
        <v>130</v>
      </c>
      <c r="BW3047" s="0" t="s">
        <v>130</v>
      </c>
      <c r="BX3047" s="0" t="s">
        <v>130</v>
      </c>
      <c r="BY3047" s="0" t="s">
        <v>130</v>
      </c>
      <c r="BZ3047" s="0" t="s">
        <v>130</v>
      </c>
      <c r="CA3047" s="0" t="s">
        <v>130</v>
      </c>
      <c r="CB3047" s="0" t="s">
        <v>130</v>
      </c>
      <c r="CC3047" s="0" t="s">
        <v>130</v>
      </c>
      <c r="CD3047" s="0" t="s">
        <v>130</v>
      </c>
      <c r="CE3047" s="0" t="s">
        <v>130</v>
      </c>
      <c r="CF3047" s="0" t="s">
        <v>130</v>
      </c>
      <c r="CG3047" s="0" t="s">
        <v>130</v>
      </c>
      <c r="CH3047" s="0" t="s">
        <v>130</v>
      </c>
      <c r="CI3047" s="0" t="s">
        <v>130</v>
      </c>
      <c r="CJ3047" s="0" t="s">
        <v>130</v>
      </c>
      <c r="CK3047" s="0" t="s">
        <v>141</v>
      </c>
      <c r="CL3047" s="0" t="s">
        <v>130</v>
      </c>
      <c r="CM3047" s="0" t="s">
        <v>130</v>
      </c>
      <c r="CN3047" s="0" t="s">
        <v>130</v>
      </c>
      <c r="CO3047" s="0" t="s">
        <v>130</v>
      </c>
      <c r="CP3047" s="0" t="s">
        <v>130</v>
      </c>
      <c r="CQ3047" s="0" t="s">
        <v>130</v>
      </c>
      <c r="CR3047" s="0" t="s">
        <v>130</v>
      </c>
      <c r="CS3047" s="0" t="s">
        <v>130</v>
      </c>
      <c r="CT3047" s="0" t="s">
        <v>8180</v>
      </c>
    </row>
    <row r="3048">
      <c r="A3048" s="14">
        <v>101522</v>
      </c>
      <c r="B3048" s="0" t="s">
        <v>7672</v>
      </c>
      <c r="C3048" s="16">
        <f>HYPERLINK("https://eosportal.federatedhermes.com/companies/Q29tcGFueQppNjI0MjQ=", "Tyler Technologies Inc")</f>
      </c>
      <c r="D3048" s="0" t="s">
        <v>25</v>
      </c>
      <c r="E3048" s="0" t="s">
        <v>8162</v>
      </c>
      <c r="F3048" s="16">
        <f>HYPERLINK("https://eosportal.federatedhermes.com/engagements/RW5nYWdlbWVudAppNDE5OTI=", "Enterprise AI workforce impact")</f>
      </c>
      <c r="G3048" s="14" t="s">
        <v>8091</v>
      </c>
      <c r="H3048" s="0" t="s">
        <v>130</v>
      </c>
      <c r="I3048" s="14" t="s">
        <v>131</v>
      </c>
      <c r="J3048" s="0" t="s">
        <v>153</v>
      </c>
      <c r="K3048" s="0" t="s">
        <v>154</v>
      </c>
      <c r="L3048" s="0" t="s">
        <v>268</v>
      </c>
      <c r="M3048" s="0" t="s">
        <v>135</v>
      </c>
      <c r="N3048" s="0" t="s">
        <v>136</v>
      </c>
      <c r="O3048" s="0" t="s">
        <v>137</v>
      </c>
      <c r="Q3048" s="0" t="s">
        <v>141</v>
      </c>
      <c r="R3048" s="0" t="s">
        <v>138</v>
      </c>
      <c r="S3048" s="14">
        <v>1</v>
      </c>
      <c r="T3048" s="0" t="s">
        <v>361</v>
      </c>
      <c r="U3048" s="0" t="s">
        <v>138</v>
      </c>
      <c r="V3048" s="14" t="s">
        <v>138</v>
      </c>
      <c r="W3048" s="0" t="s">
        <v>138</v>
      </c>
      <c r="X3048" s="14" t="s">
        <v>138</v>
      </c>
      <c r="Y3048" s="0" t="s">
        <v>138</v>
      </c>
      <c r="Z3048" s="14" t="s">
        <v>138</v>
      </c>
      <c r="AA3048" s="0" t="s">
        <v>138</v>
      </c>
      <c r="AB3048" s="14" t="s">
        <v>138</v>
      </c>
      <c r="AD3048" s="0" t="s">
        <v>138</v>
      </c>
      <c r="AF3048" s="0">
        <v>0</v>
      </c>
      <c r="AG3048" s="0">
        <v>0</v>
      </c>
      <c r="AH3048" s="0" t="s">
        <v>140</v>
      </c>
      <c r="AI3048" s="0" t="s">
        <v>138</v>
      </c>
      <c r="AK3048" s="0" t="s">
        <v>2588</v>
      </c>
      <c r="AL3048" s="14"/>
      <c r="AN3048" s="14"/>
      <c r="AQ3048" s="0" t="s">
        <v>130</v>
      </c>
      <c r="AR3048" s="0" t="s">
        <v>130</v>
      </c>
      <c r="AS3048" s="0" t="s">
        <v>130</v>
      </c>
      <c r="AT3048" s="0" t="s">
        <v>141</v>
      </c>
      <c r="AU3048" s="0" t="s">
        <v>130</v>
      </c>
      <c r="AV3048" s="0" t="s">
        <v>130</v>
      </c>
      <c r="AW3048" s="0" t="s">
        <v>130</v>
      </c>
      <c r="AX3048" s="0" t="s">
        <v>141</v>
      </c>
      <c r="AY3048" s="0" t="s">
        <v>130</v>
      </c>
      <c r="AZ3048" s="0" t="s">
        <v>130</v>
      </c>
      <c r="BA3048" s="0" t="s">
        <v>130</v>
      </c>
      <c r="BB3048" s="0" t="s">
        <v>130</v>
      </c>
      <c r="BC3048" s="0" t="s">
        <v>130</v>
      </c>
      <c r="BD3048" s="0" t="s">
        <v>130</v>
      </c>
      <c r="BE3048" s="0" t="s">
        <v>130</v>
      </c>
      <c r="BF3048" s="0" t="s">
        <v>130</v>
      </c>
      <c r="BG3048" s="0" t="s">
        <v>130</v>
      </c>
      <c r="BH3048" s="0" t="s">
        <v>130</v>
      </c>
      <c r="BI3048" s="0" t="s">
        <v>130</v>
      </c>
      <c r="BJ3048" s="0" t="s">
        <v>130</v>
      </c>
      <c r="BK3048" s="0" t="s">
        <v>130</v>
      </c>
      <c r="BL3048" s="0" t="s">
        <v>130</v>
      </c>
      <c r="BM3048" s="0" t="s">
        <v>130</v>
      </c>
      <c r="BN3048" s="0" t="s">
        <v>130</v>
      </c>
      <c r="BO3048" s="0" t="s">
        <v>130</v>
      </c>
      <c r="BP3048" s="0" t="s">
        <v>130</v>
      </c>
      <c r="BQ3048" s="0" t="s">
        <v>130</v>
      </c>
      <c r="BR3048" s="0" t="s">
        <v>130</v>
      </c>
      <c r="BS3048" s="0" t="s">
        <v>130</v>
      </c>
      <c r="BT3048" s="0" t="s">
        <v>130</v>
      </c>
      <c r="BU3048" s="0" t="s">
        <v>130</v>
      </c>
      <c r="BV3048" s="0" t="s">
        <v>130</v>
      </c>
      <c r="BW3048" s="0" t="s">
        <v>130</v>
      </c>
      <c r="BX3048" s="0" t="s">
        <v>130</v>
      </c>
      <c r="BY3048" s="0" t="s">
        <v>130</v>
      </c>
      <c r="BZ3048" s="0" t="s">
        <v>130</v>
      </c>
      <c r="CA3048" s="0" t="s">
        <v>130</v>
      </c>
      <c r="CB3048" s="0" t="s">
        <v>130</v>
      </c>
      <c r="CC3048" s="0" t="s">
        <v>130</v>
      </c>
      <c r="CD3048" s="0" t="s">
        <v>130</v>
      </c>
      <c r="CE3048" s="0" t="s">
        <v>130</v>
      </c>
      <c r="CF3048" s="0" t="s">
        <v>130</v>
      </c>
      <c r="CG3048" s="0" t="s">
        <v>130</v>
      </c>
      <c r="CH3048" s="0" t="s">
        <v>130</v>
      </c>
      <c r="CI3048" s="0" t="s">
        <v>130</v>
      </c>
      <c r="CJ3048" s="0" t="s">
        <v>130</v>
      </c>
      <c r="CK3048" s="0" t="s">
        <v>141</v>
      </c>
      <c r="CL3048" s="0" t="s">
        <v>130</v>
      </c>
      <c r="CM3048" s="0" t="s">
        <v>130</v>
      </c>
      <c r="CN3048" s="0" t="s">
        <v>130</v>
      </c>
      <c r="CO3048" s="0" t="s">
        <v>130</v>
      </c>
      <c r="CP3048" s="0" t="s">
        <v>130</v>
      </c>
      <c r="CQ3048" s="0" t="s">
        <v>130</v>
      </c>
      <c r="CR3048" s="0" t="s">
        <v>130</v>
      </c>
      <c r="CS3048" s="0" t="s">
        <v>130</v>
      </c>
      <c r="CT3048" s="0" t="s">
        <v>8181</v>
      </c>
    </row>
    <row r="3049">
      <c r="A3049" s="14">
        <v>101454</v>
      </c>
      <c r="B3049" s="0" t="s">
        <v>1625</v>
      </c>
      <c r="C3049" s="16">
        <f>HYPERLINK("https://eosportal.federatedhermes.com/companies/Q29tcGFueQppNjUwODU=", "Teradyne Inc")</f>
      </c>
      <c r="D3049" s="0" t="s">
        <v>25</v>
      </c>
      <c r="E3049" s="0" t="s">
        <v>8162</v>
      </c>
      <c r="F3049" s="16">
        <f>HYPERLINK("https://eosportal.federatedhermes.com/engagements/RW5nYWdlbWVudAppNDE5OTM=", "Enterprise AI workforce impact")</f>
      </c>
      <c r="G3049" s="14" t="s">
        <v>8091</v>
      </c>
      <c r="H3049" s="0" t="s">
        <v>130</v>
      </c>
      <c r="I3049" s="14" t="s">
        <v>131</v>
      </c>
      <c r="J3049" s="0" t="s">
        <v>153</v>
      </c>
      <c r="K3049" s="0" t="s">
        <v>154</v>
      </c>
      <c r="L3049" s="0" t="s">
        <v>268</v>
      </c>
      <c r="M3049" s="0" t="s">
        <v>135</v>
      </c>
      <c r="N3049" s="0" t="s">
        <v>136</v>
      </c>
      <c r="O3049" s="0" t="s">
        <v>1125</v>
      </c>
      <c r="Q3049" s="0" t="s">
        <v>141</v>
      </c>
      <c r="R3049" s="0" t="s">
        <v>138</v>
      </c>
      <c r="S3049" s="14">
        <v>1</v>
      </c>
      <c r="T3049" s="0" t="s">
        <v>361</v>
      </c>
      <c r="U3049" s="0" t="s">
        <v>138</v>
      </c>
      <c r="V3049" s="14" t="s">
        <v>138</v>
      </c>
      <c r="W3049" s="0" t="s">
        <v>138</v>
      </c>
      <c r="X3049" s="14" t="s">
        <v>138</v>
      </c>
      <c r="Y3049" s="0" t="s">
        <v>138</v>
      </c>
      <c r="Z3049" s="14" t="s">
        <v>138</v>
      </c>
      <c r="AA3049" s="0" t="s">
        <v>138</v>
      </c>
      <c r="AB3049" s="14" t="s">
        <v>138</v>
      </c>
      <c r="AD3049" s="0" t="s">
        <v>138</v>
      </c>
      <c r="AF3049" s="0">
        <v>0</v>
      </c>
      <c r="AG3049" s="0">
        <v>0</v>
      </c>
      <c r="AH3049" s="0" t="s">
        <v>140</v>
      </c>
      <c r="AI3049" s="0" t="s">
        <v>138</v>
      </c>
      <c r="AK3049" s="0" t="s">
        <v>2588</v>
      </c>
      <c r="AL3049" s="14"/>
      <c r="AN3049" s="14"/>
      <c r="AQ3049" s="0" t="s">
        <v>130</v>
      </c>
      <c r="AR3049" s="0" t="s">
        <v>130</v>
      </c>
      <c r="AS3049" s="0" t="s">
        <v>130</v>
      </c>
      <c r="AT3049" s="0" t="s">
        <v>141</v>
      </c>
      <c r="AU3049" s="0" t="s">
        <v>130</v>
      </c>
      <c r="AV3049" s="0" t="s">
        <v>130</v>
      </c>
      <c r="AW3049" s="0" t="s">
        <v>130</v>
      </c>
      <c r="AX3049" s="0" t="s">
        <v>141</v>
      </c>
      <c r="AY3049" s="0" t="s">
        <v>130</v>
      </c>
      <c r="AZ3049" s="0" t="s">
        <v>130</v>
      </c>
      <c r="BA3049" s="0" t="s">
        <v>130</v>
      </c>
      <c r="BB3049" s="0" t="s">
        <v>130</v>
      </c>
      <c r="BC3049" s="0" t="s">
        <v>130</v>
      </c>
      <c r="BD3049" s="0" t="s">
        <v>130</v>
      </c>
      <c r="BE3049" s="0" t="s">
        <v>130</v>
      </c>
      <c r="BF3049" s="0" t="s">
        <v>130</v>
      </c>
      <c r="BG3049" s="0" t="s">
        <v>130</v>
      </c>
      <c r="BH3049" s="0" t="s">
        <v>130</v>
      </c>
      <c r="BI3049" s="0" t="s">
        <v>130</v>
      </c>
      <c r="BJ3049" s="0" t="s">
        <v>130</v>
      </c>
      <c r="BK3049" s="0" t="s">
        <v>130</v>
      </c>
      <c r="BL3049" s="0" t="s">
        <v>130</v>
      </c>
      <c r="BM3049" s="0" t="s">
        <v>130</v>
      </c>
      <c r="BN3049" s="0" t="s">
        <v>130</v>
      </c>
      <c r="BO3049" s="0" t="s">
        <v>130</v>
      </c>
      <c r="BP3049" s="0" t="s">
        <v>130</v>
      </c>
      <c r="BQ3049" s="0" t="s">
        <v>130</v>
      </c>
      <c r="BR3049" s="0" t="s">
        <v>130</v>
      </c>
      <c r="BS3049" s="0" t="s">
        <v>130</v>
      </c>
      <c r="BT3049" s="0" t="s">
        <v>130</v>
      </c>
      <c r="BU3049" s="0" t="s">
        <v>130</v>
      </c>
      <c r="BV3049" s="0" t="s">
        <v>130</v>
      </c>
      <c r="BW3049" s="0" t="s">
        <v>130</v>
      </c>
      <c r="BX3049" s="0" t="s">
        <v>130</v>
      </c>
      <c r="BY3049" s="0" t="s">
        <v>130</v>
      </c>
      <c r="BZ3049" s="0" t="s">
        <v>130</v>
      </c>
      <c r="CA3049" s="0" t="s">
        <v>130</v>
      </c>
      <c r="CB3049" s="0" t="s">
        <v>130</v>
      </c>
      <c r="CC3049" s="0" t="s">
        <v>130</v>
      </c>
      <c r="CD3049" s="0" t="s">
        <v>130</v>
      </c>
      <c r="CE3049" s="0" t="s">
        <v>130</v>
      </c>
      <c r="CF3049" s="0" t="s">
        <v>130</v>
      </c>
      <c r="CG3049" s="0" t="s">
        <v>130</v>
      </c>
      <c r="CH3049" s="0" t="s">
        <v>130</v>
      </c>
      <c r="CI3049" s="0" t="s">
        <v>130</v>
      </c>
      <c r="CJ3049" s="0" t="s">
        <v>130</v>
      </c>
      <c r="CK3049" s="0" t="s">
        <v>141</v>
      </c>
      <c r="CL3049" s="0" t="s">
        <v>130</v>
      </c>
      <c r="CM3049" s="0" t="s">
        <v>130</v>
      </c>
      <c r="CN3049" s="0" t="s">
        <v>130</v>
      </c>
      <c r="CO3049" s="0" t="s">
        <v>130</v>
      </c>
      <c r="CP3049" s="0" t="s">
        <v>130</v>
      </c>
      <c r="CQ3049" s="0" t="s">
        <v>130</v>
      </c>
      <c r="CR3049" s="0" t="s">
        <v>130</v>
      </c>
      <c r="CS3049" s="0" t="s">
        <v>130</v>
      </c>
      <c r="CT3049" s="0" t="s">
        <v>8182</v>
      </c>
    </row>
    <row r="3050">
      <c r="A3050" s="14">
        <v>101616</v>
      </c>
      <c r="B3050" s="0" t="s">
        <v>1818</v>
      </c>
      <c r="C3050" s="16">
        <f>HYPERLINK("https://eosportal.federatedhermes.com/companies/Q29tcGFueQppNjgxNjU=", "Walmart Inc")</f>
      </c>
      <c r="D3050" s="0" t="s">
        <v>25</v>
      </c>
      <c r="E3050" s="0" t="s">
        <v>8183</v>
      </c>
      <c r="F3050" s="16">
        <f>HYPERLINK("https://eosportal.federatedhermes.com/engagements/RW5nYWdlbWVudAppNDIwMTA=", "Disclosure on workforce safety and wellbeing")</f>
      </c>
      <c r="G3050" s="14" t="s">
        <v>8184</v>
      </c>
      <c r="H3050" s="0" t="s">
        <v>141</v>
      </c>
      <c r="I3050" s="14" t="s">
        <v>191</v>
      </c>
      <c r="J3050" s="0" t="s">
        <v>153</v>
      </c>
      <c r="K3050" s="0" t="s">
        <v>154</v>
      </c>
      <c r="L3050" s="0" t="s">
        <v>155</v>
      </c>
      <c r="M3050" s="0" t="s">
        <v>135</v>
      </c>
      <c r="N3050" s="0" t="s">
        <v>136</v>
      </c>
      <c r="O3050" s="0" t="s">
        <v>643</v>
      </c>
      <c r="Q3050" s="0" t="s">
        <v>141</v>
      </c>
      <c r="R3050" s="0" t="s">
        <v>138</v>
      </c>
      <c r="S3050" s="14">
        <v>1</v>
      </c>
      <c r="T3050" s="0" t="s">
        <v>361</v>
      </c>
      <c r="U3050" s="0" t="s">
        <v>138</v>
      </c>
      <c r="V3050" s="14" t="s">
        <v>138</v>
      </c>
      <c r="W3050" s="0" t="s">
        <v>138</v>
      </c>
      <c r="X3050" s="14" t="s">
        <v>138</v>
      </c>
      <c r="Y3050" s="0" t="s">
        <v>138</v>
      </c>
      <c r="Z3050" s="14" t="s">
        <v>138</v>
      </c>
      <c r="AA3050" s="0" t="s">
        <v>138</v>
      </c>
      <c r="AB3050" s="14" t="s">
        <v>138</v>
      </c>
      <c r="AD3050" s="0" t="s">
        <v>138</v>
      </c>
      <c r="AF3050" s="0">
        <v>0</v>
      </c>
      <c r="AG3050" s="0">
        <v>0</v>
      </c>
      <c r="AH3050" s="0" t="s">
        <v>140</v>
      </c>
      <c r="AI3050" s="0" t="s">
        <v>138</v>
      </c>
      <c r="AK3050" s="0" t="s">
        <v>1853</v>
      </c>
      <c r="AL3050" s="14"/>
      <c r="AN3050" s="14"/>
      <c r="AQ3050" s="0" t="s">
        <v>130</v>
      </c>
      <c r="AR3050" s="0" t="s">
        <v>130</v>
      </c>
      <c r="AS3050" s="0" t="s">
        <v>141</v>
      </c>
      <c r="AT3050" s="0" t="s">
        <v>130</v>
      </c>
      <c r="AU3050" s="0" t="s">
        <v>130</v>
      </c>
      <c r="AV3050" s="0" t="s">
        <v>130</v>
      </c>
      <c r="AW3050" s="0" t="s">
        <v>130</v>
      </c>
      <c r="AX3050" s="0" t="s">
        <v>130</v>
      </c>
      <c r="AY3050" s="0" t="s">
        <v>130</v>
      </c>
      <c r="AZ3050" s="0" t="s">
        <v>130</v>
      </c>
      <c r="BA3050" s="0" t="s">
        <v>130</v>
      </c>
      <c r="BB3050" s="0" t="s">
        <v>130</v>
      </c>
      <c r="BC3050" s="0" t="s">
        <v>130</v>
      </c>
      <c r="BD3050" s="0" t="s">
        <v>130</v>
      </c>
      <c r="BE3050" s="0" t="s">
        <v>130</v>
      </c>
      <c r="BF3050" s="0" t="s">
        <v>130</v>
      </c>
      <c r="BG3050" s="0" t="s">
        <v>130</v>
      </c>
      <c r="BH3050" s="0" t="s">
        <v>130</v>
      </c>
      <c r="BI3050" s="0" t="s">
        <v>130</v>
      </c>
      <c r="BJ3050" s="0" t="s">
        <v>130</v>
      </c>
      <c r="BK3050" s="0" t="s">
        <v>130</v>
      </c>
      <c r="BL3050" s="0" t="s">
        <v>130</v>
      </c>
      <c r="BM3050" s="0" t="s">
        <v>130</v>
      </c>
      <c r="BN3050" s="0" t="s">
        <v>130</v>
      </c>
      <c r="BO3050" s="0" t="s">
        <v>130</v>
      </c>
      <c r="BP3050" s="0" t="s">
        <v>130</v>
      </c>
      <c r="BQ3050" s="0" t="s">
        <v>130</v>
      </c>
      <c r="BR3050" s="0" t="s">
        <v>130</v>
      </c>
      <c r="BS3050" s="0" t="s">
        <v>130</v>
      </c>
      <c r="BT3050" s="0" t="s">
        <v>130</v>
      </c>
      <c r="BU3050" s="0" t="s">
        <v>130</v>
      </c>
      <c r="BV3050" s="0" t="s">
        <v>130</v>
      </c>
      <c r="BW3050" s="0" t="s">
        <v>130</v>
      </c>
      <c r="BX3050" s="0" t="s">
        <v>130</v>
      </c>
      <c r="BY3050" s="0" t="s">
        <v>130</v>
      </c>
      <c r="BZ3050" s="0" t="s">
        <v>130</v>
      </c>
      <c r="CA3050" s="0" t="s">
        <v>130</v>
      </c>
      <c r="CB3050" s="0" t="s">
        <v>130</v>
      </c>
      <c r="CC3050" s="0" t="s">
        <v>130</v>
      </c>
      <c r="CD3050" s="0" t="s">
        <v>130</v>
      </c>
      <c r="CE3050" s="0" t="s">
        <v>130</v>
      </c>
      <c r="CF3050" s="0" t="s">
        <v>130</v>
      </c>
      <c r="CG3050" s="0" t="s">
        <v>130</v>
      </c>
      <c r="CH3050" s="0" t="s">
        <v>130</v>
      </c>
      <c r="CI3050" s="0" t="s">
        <v>141</v>
      </c>
      <c r="CJ3050" s="0" t="s">
        <v>130</v>
      </c>
      <c r="CK3050" s="0" t="s">
        <v>130</v>
      </c>
      <c r="CL3050" s="0" t="s">
        <v>130</v>
      </c>
      <c r="CM3050" s="0" t="s">
        <v>130</v>
      </c>
      <c r="CN3050" s="0" t="s">
        <v>130</v>
      </c>
      <c r="CO3050" s="0" t="s">
        <v>130</v>
      </c>
      <c r="CP3050" s="0" t="s">
        <v>130</v>
      </c>
      <c r="CQ3050" s="0" t="s">
        <v>130</v>
      </c>
      <c r="CR3050" s="0" t="s">
        <v>130</v>
      </c>
      <c r="CS3050" s="0" t="s">
        <v>130</v>
      </c>
      <c r="CT3050" s="0" t="s">
        <v>8185</v>
      </c>
    </row>
    <row r="3051">
      <c r="A3051" s="14">
        <v>101616</v>
      </c>
      <c r="B3051" s="0" t="s">
        <v>1818</v>
      </c>
      <c r="C3051" s="16">
        <f>HYPERLINK("https://eosportal.federatedhermes.com/companies/Q29tcGFueQppNjgxNjU=", "Walmart Inc")</f>
      </c>
      <c r="D3051" s="0" t="s">
        <v>25</v>
      </c>
      <c r="E3051" s="0" t="s">
        <v>7991</v>
      </c>
      <c r="F3051" s="16">
        <f>HYPERLINK("https://eosportal.federatedhermes.com/engagements/RW5nYWdlbWVudAppNDIwMTE=", "AI-related workforce impact")</f>
      </c>
      <c r="G3051" s="14" t="s">
        <v>8186</v>
      </c>
      <c r="H3051" s="0" t="s">
        <v>141</v>
      </c>
      <c r="I3051" s="14" t="s">
        <v>191</v>
      </c>
      <c r="J3051" s="0" t="s">
        <v>153</v>
      </c>
      <c r="K3051" s="0" t="s">
        <v>154</v>
      </c>
      <c r="L3051" s="0" t="s">
        <v>268</v>
      </c>
      <c r="M3051" s="0" t="s">
        <v>135</v>
      </c>
      <c r="N3051" s="0" t="s">
        <v>136</v>
      </c>
      <c r="O3051" s="0" t="s">
        <v>643</v>
      </c>
      <c r="Q3051" s="0" t="s">
        <v>141</v>
      </c>
      <c r="R3051" s="0" t="s">
        <v>138</v>
      </c>
      <c r="S3051" s="14">
        <v>2</v>
      </c>
      <c r="T3051" s="0" t="s">
        <v>361</v>
      </c>
      <c r="U3051" s="0" t="s">
        <v>138</v>
      </c>
      <c r="V3051" s="14" t="s">
        <v>138</v>
      </c>
      <c r="W3051" s="0" t="s">
        <v>138</v>
      </c>
      <c r="X3051" s="14" t="s">
        <v>138</v>
      </c>
      <c r="Y3051" s="0" t="s">
        <v>138</v>
      </c>
      <c r="Z3051" s="14" t="s">
        <v>138</v>
      </c>
      <c r="AA3051" s="0" t="s">
        <v>138</v>
      </c>
      <c r="AB3051" s="14" t="s">
        <v>138</v>
      </c>
      <c r="AD3051" s="0" t="s">
        <v>138</v>
      </c>
      <c r="AF3051" s="0">
        <v>0</v>
      </c>
      <c r="AG3051" s="0">
        <v>0</v>
      </c>
      <c r="AH3051" s="0" t="s">
        <v>140</v>
      </c>
      <c r="AI3051" s="0" t="s">
        <v>138</v>
      </c>
      <c r="AK3051" s="0" t="s">
        <v>1853</v>
      </c>
      <c r="AL3051" s="14"/>
      <c r="AN3051" s="14"/>
      <c r="AQ3051" s="0" t="s">
        <v>130</v>
      </c>
      <c r="AR3051" s="0" t="s">
        <v>130</v>
      </c>
      <c r="AS3051" s="0" t="s">
        <v>130</v>
      </c>
      <c r="AT3051" s="0" t="s">
        <v>130</v>
      </c>
      <c r="AU3051" s="0" t="s">
        <v>130</v>
      </c>
      <c r="AV3051" s="0" t="s">
        <v>130</v>
      </c>
      <c r="AW3051" s="0" t="s">
        <v>130</v>
      </c>
      <c r="AX3051" s="0" t="s">
        <v>141</v>
      </c>
      <c r="AY3051" s="0" t="s">
        <v>130</v>
      </c>
      <c r="AZ3051" s="0" t="s">
        <v>130</v>
      </c>
      <c r="BA3051" s="0" t="s">
        <v>130</v>
      </c>
      <c r="BB3051" s="0" t="s">
        <v>130</v>
      </c>
      <c r="BC3051" s="0" t="s">
        <v>130</v>
      </c>
      <c r="BD3051" s="0" t="s">
        <v>130</v>
      </c>
      <c r="BE3051" s="0" t="s">
        <v>130</v>
      </c>
      <c r="BF3051" s="0" t="s">
        <v>130</v>
      </c>
      <c r="BG3051" s="0" t="s">
        <v>130</v>
      </c>
      <c r="BH3051" s="0" t="s">
        <v>130</v>
      </c>
      <c r="BI3051" s="0" t="s">
        <v>130</v>
      </c>
      <c r="BJ3051" s="0" t="s">
        <v>130</v>
      </c>
      <c r="BK3051" s="0" t="s">
        <v>130</v>
      </c>
      <c r="BL3051" s="0" t="s">
        <v>130</v>
      </c>
      <c r="BM3051" s="0" t="s">
        <v>130</v>
      </c>
      <c r="BN3051" s="0" t="s">
        <v>130</v>
      </c>
      <c r="BO3051" s="0" t="s">
        <v>130</v>
      </c>
      <c r="BP3051" s="0" t="s">
        <v>130</v>
      </c>
      <c r="BQ3051" s="0" t="s">
        <v>130</v>
      </c>
      <c r="BR3051" s="0" t="s">
        <v>130</v>
      </c>
      <c r="BS3051" s="0" t="s">
        <v>130</v>
      </c>
      <c r="BT3051" s="0" t="s">
        <v>130</v>
      </c>
      <c r="BU3051" s="0" t="s">
        <v>130</v>
      </c>
      <c r="BV3051" s="0" t="s">
        <v>130</v>
      </c>
      <c r="BW3051" s="0" t="s">
        <v>130</v>
      </c>
      <c r="BX3051" s="0" t="s">
        <v>130</v>
      </c>
      <c r="BY3051" s="0" t="s">
        <v>130</v>
      </c>
      <c r="BZ3051" s="0" t="s">
        <v>130</v>
      </c>
      <c r="CA3051" s="0" t="s">
        <v>130</v>
      </c>
      <c r="CB3051" s="0" t="s">
        <v>130</v>
      </c>
      <c r="CC3051" s="0" t="s">
        <v>130</v>
      </c>
      <c r="CD3051" s="0" t="s">
        <v>130</v>
      </c>
      <c r="CE3051" s="0" t="s">
        <v>130</v>
      </c>
      <c r="CF3051" s="0" t="s">
        <v>130</v>
      </c>
      <c r="CG3051" s="0" t="s">
        <v>130</v>
      </c>
      <c r="CH3051" s="0" t="s">
        <v>130</v>
      </c>
      <c r="CI3051" s="0" t="s">
        <v>130</v>
      </c>
      <c r="CJ3051" s="0" t="s">
        <v>130</v>
      </c>
      <c r="CK3051" s="0" t="s">
        <v>141</v>
      </c>
      <c r="CL3051" s="0" t="s">
        <v>130</v>
      </c>
      <c r="CM3051" s="0" t="s">
        <v>130</v>
      </c>
      <c r="CN3051" s="0" t="s">
        <v>130</v>
      </c>
      <c r="CO3051" s="0" t="s">
        <v>130</v>
      </c>
      <c r="CP3051" s="0" t="s">
        <v>130</v>
      </c>
      <c r="CQ3051" s="0" t="s">
        <v>130</v>
      </c>
      <c r="CR3051" s="0" t="s">
        <v>130</v>
      </c>
      <c r="CS3051" s="0" t="s">
        <v>130</v>
      </c>
      <c r="CT3051" s="0" t="s">
        <v>8187</v>
      </c>
    </row>
    <row r="3052">
      <c r="A3052" s="14">
        <v>173055</v>
      </c>
      <c r="B3052" s="0" t="s">
        <v>3098</v>
      </c>
      <c r="C3052" s="16">
        <f>HYPERLINK("https://eosportal.federatedhermes.com/companies/Q29tcGFueQppNzI2OTc=", "WEG SA")</f>
      </c>
      <c r="D3052" s="0" t="s">
        <v>25</v>
      </c>
      <c r="E3052" s="0" t="s">
        <v>8188</v>
      </c>
      <c r="F3052" s="16">
        <f>HYPERLINK("https://eosportal.federatedhermes.com/engagements/RW5nYWdlbWVudAppNDIwNTg=", "Nature strategy")</f>
      </c>
      <c r="G3052" s="14" t="s">
        <v>8189</v>
      </c>
      <c r="H3052" s="0" t="s">
        <v>130</v>
      </c>
      <c r="I3052" s="14" t="s">
        <v>131</v>
      </c>
      <c r="J3052" s="0" t="s">
        <v>197</v>
      </c>
      <c r="K3052" s="0" t="s">
        <v>337</v>
      </c>
      <c r="L3052" s="0" t="s">
        <v>576</v>
      </c>
      <c r="M3052" s="0" t="s">
        <v>2807</v>
      </c>
      <c r="N3052" s="0" t="s">
        <v>3041</v>
      </c>
      <c r="O3052" s="0" t="s">
        <v>176</v>
      </c>
      <c r="Q3052" s="0" t="s">
        <v>141</v>
      </c>
      <c r="R3052" s="0" t="s">
        <v>138</v>
      </c>
      <c r="S3052" s="14">
        <v>2</v>
      </c>
      <c r="T3052" s="0" t="s">
        <v>361</v>
      </c>
      <c r="U3052" s="0" t="s">
        <v>138</v>
      </c>
      <c r="V3052" s="14" t="s">
        <v>138</v>
      </c>
      <c r="W3052" s="0" t="s">
        <v>138</v>
      </c>
      <c r="X3052" s="14" t="s">
        <v>138</v>
      </c>
      <c r="Y3052" s="0" t="s">
        <v>138</v>
      </c>
      <c r="Z3052" s="14" t="s">
        <v>138</v>
      </c>
      <c r="AA3052" s="0" t="s">
        <v>138</v>
      </c>
      <c r="AB3052" s="14" t="s">
        <v>138</v>
      </c>
      <c r="AD3052" s="0" t="s">
        <v>138</v>
      </c>
      <c r="AF3052" s="0">
        <v>0</v>
      </c>
      <c r="AG3052" s="0">
        <v>0</v>
      </c>
      <c r="AH3052" s="0" t="s">
        <v>140</v>
      </c>
      <c r="AI3052" s="0" t="s">
        <v>138</v>
      </c>
      <c r="AK3052" s="0" t="s">
        <v>3996</v>
      </c>
      <c r="AL3052" s="14"/>
      <c r="AN3052" s="14"/>
      <c r="AQ3052" s="0" t="s">
        <v>130</v>
      </c>
      <c r="AR3052" s="0" t="s">
        <v>130</v>
      </c>
      <c r="AS3052" s="0" t="s">
        <v>130</v>
      </c>
      <c r="AT3052" s="0" t="s">
        <v>130</v>
      </c>
      <c r="AU3052" s="0" t="s">
        <v>130</v>
      </c>
      <c r="AV3052" s="0" t="s">
        <v>141</v>
      </c>
      <c r="AW3052" s="0" t="s">
        <v>130</v>
      </c>
      <c r="AX3052" s="0" t="s">
        <v>130</v>
      </c>
      <c r="AY3052" s="0" t="s">
        <v>130</v>
      </c>
      <c r="AZ3052" s="0" t="s">
        <v>130</v>
      </c>
      <c r="BA3052" s="0" t="s">
        <v>130</v>
      </c>
      <c r="BB3052" s="0" t="s">
        <v>141</v>
      </c>
      <c r="BC3052" s="0" t="s">
        <v>130</v>
      </c>
      <c r="BD3052" s="0" t="s">
        <v>141</v>
      </c>
      <c r="BE3052" s="0" t="s">
        <v>141</v>
      </c>
      <c r="BF3052" s="0" t="s">
        <v>130</v>
      </c>
      <c r="BG3052" s="0" t="s">
        <v>130</v>
      </c>
      <c r="BH3052" s="0" t="s">
        <v>130</v>
      </c>
      <c r="BI3052" s="0" t="s">
        <v>130</v>
      </c>
      <c r="BJ3052" s="0" t="s">
        <v>130</v>
      </c>
      <c r="BK3052" s="0" t="s">
        <v>130</v>
      </c>
      <c r="BL3052" s="0" t="s">
        <v>130</v>
      </c>
      <c r="BM3052" s="0" t="s">
        <v>130</v>
      </c>
      <c r="BN3052" s="0" t="s">
        <v>130</v>
      </c>
      <c r="BO3052" s="0" t="s">
        <v>130</v>
      </c>
      <c r="BP3052" s="0" t="s">
        <v>130</v>
      </c>
      <c r="BQ3052" s="0" t="s">
        <v>130</v>
      </c>
      <c r="BR3052" s="0" t="s">
        <v>130</v>
      </c>
      <c r="BS3052" s="0" t="s">
        <v>130</v>
      </c>
      <c r="BT3052" s="0" t="s">
        <v>130</v>
      </c>
      <c r="BU3052" s="0" t="s">
        <v>130</v>
      </c>
      <c r="BV3052" s="0" t="s">
        <v>130</v>
      </c>
      <c r="BW3052" s="0" t="s">
        <v>130</v>
      </c>
      <c r="BX3052" s="0" t="s">
        <v>130</v>
      </c>
      <c r="BY3052" s="0" t="s">
        <v>130</v>
      </c>
      <c r="BZ3052" s="0" t="s">
        <v>130</v>
      </c>
      <c r="CA3052" s="0" t="s">
        <v>130</v>
      </c>
      <c r="CB3052" s="0" t="s">
        <v>130</v>
      </c>
      <c r="CC3052" s="0" t="s">
        <v>130</v>
      </c>
      <c r="CD3052" s="0" t="s">
        <v>130</v>
      </c>
      <c r="CE3052" s="0" t="s">
        <v>130</v>
      </c>
      <c r="CF3052" s="0" t="s">
        <v>130</v>
      </c>
      <c r="CG3052" s="0" t="s">
        <v>130</v>
      </c>
      <c r="CH3052" s="0" t="s">
        <v>130</v>
      </c>
      <c r="CI3052" s="0" t="s">
        <v>130</v>
      </c>
      <c r="CJ3052" s="0" t="s">
        <v>130</v>
      </c>
      <c r="CK3052" s="0" t="s">
        <v>130</v>
      </c>
      <c r="CL3052" s="0" t="s">
        <v>130</v>
      </c>
      <c r="CM3052" s="0" t="s">
        <v>130</v>
      </c>
      <c r="CN3052" s="0" t="s">
        <v>130</v>
      </c>
      <c r="CO3052" s="0" t="s">
        <v>130</v>
      </c>
      <c r="CP3052" s="0" t="s">
        <v>130</v>
      </c>
      <c r="CQ3052" s="0" t="s">
        <v>130</v>
      </c>
      <c r="CR3052" s="0" t="s">
        <v>130</v>
      </c>
      <c r="CS3052" s="0" t="s">
        <v>130</v>
      </c>
      <c r="CT3052" s="0" t="s">
        <v>8190</v>
      </c>
    </row>
    <row r="3053">
      <c r="A3053" s="14">
        <v>948338</v>
      </c>
      <c r="B3053" s="0" t="s">
        <v>7421</v>
      </c>
      <c r="C3053" s="16">
        <f>HYPERLINK("https://eosportal.federatedhermes.com/companies/Q29tcGFueQppNzk1MTQ=", "Samsung Life Insurance Co Ltd")</f>
      </c>
      <c r="D3053" s="0" t="s">
        <v>25</v>
      </c>
      <c r="E3053" s="0" t="s">
        <v>8191</v>
      </c>
      <c r="F3053" s="16">
        <f>HYPERLINK("https://eosportal.federatedhermes.com/engagements/RW5nYWdlbWVudAppNDIxNjA=", "Financed emissions")</f>
      </c>
      <c r="G3053" s="14" t="s">
        <v>8192</v>
      </c>
      <c r="H3053" s="0" t="s">
        <v>130</v>
      </c>
      <c r="I3053" s="14" t="s">
        <v>131</v>
      </c>
      <c r="J3053" s="0" t="s">
        <v>197</v>
      </c>
      <c r="K3053" s="0" t="s">
        <v>198</v>
      </c>
      <c r="L3053" s="0" t="s">
        <v>216</v>
      </c>
      <c r="M3053" s="0" t="s">
        <v>802</v>
      </c>
      <c r="N3053" s="0" t="s">
        <v>2800</v>
      </c>
      <c r="O3053" s="0" t="s">
        <v>238</v>
      </c>
      <c r="Q3053" s="0" t="s">
        <v>141</v>
      </c>
      <c r="R3053" s="0" t="s">
        <v>138</v>
      </c>
      <c r="S3053" s="14">
        <v>1</v>
      </c>
      <c r="T3053" s="0" t="s">
        <v>361</v>
      </c>
      <c r="U3053" s="0" t="s">
        <v>138</v>
      </c>
      <c r="V3053" s="14" t="s">
        <v>138</v>
      </c>
      <c r="W3053" s="0" t="s">
        <v>138</v>
      </c>
      <c r="X3053" s="14" t="s">
        <v>138</v>
      </c>
      <c r="Y3053" s="0" t="s">
        <v>138</v>
      </c>
      <c r="Z3053" s="14" t="s">
        <v>138</v>
      </c>
      <c r="AA3053" s="0" t="s">
        <v>138</v>
      </c>
      <c r="AB3053" s="14" t="s">
        <v>138</v>
      </c>
      <c r="AD3053" s="0" t="s">
        <v>138</v>
      </c>
      <c r="AF3053" s="0">
        <v>0</v>
      </c>
      <c r="AG3053" s="0">
        <v>0</v>
      </c>
      <c r="AH3053" s="0" t="s">
        <v>140</v>
      </c>
      <c r="AI3053" s="0" t="s">
        <v>138</v>
      </c>
      <c r="AK3053" s="0" t="s">
        <v>2866</v>
      </c>
      <c r="AL3053" s="14"/>
      <c r="AN3053" s="14"/>
      <c r="AQ3053" s="0" t="s">
        <v>130</v>
      </c>
      <c r="AR3053" s="0" t="s">
        <v>130</v>
      </c>
      <c r="AS3053" s="0" t="s">
        <v>130</v>
      </c>
      <c r="AT3053" s="0" t="s">
        <v>130</v>
      </c>
      <c r="AU3053" s="0" t="s">
        <v>130</v>
      </c>
      <c r="AV3053" s="0" t="s">
        <v>130</v>
      </c>
      <c r="AW3053" s="0" t="s">
        <v>130</v>
      </c>
      <c r="AX3053" s="0" t="s">
        <v>130</v>
      </c>
      <c r="AY3053" s="0" t="s">
        <v>130</v>
      </c>
      <c r="AZ3053" s="0" t="s">
        <v>130</v>
      </c>
      <c r="BA3053" s="0" t="s">
        <v>130</v>
      </c>
      <c r="BB3053" s="0" t="s">
        <v>130</v>
      </c>
      <c r="BC3053" s="0" t="s">
        <v>141</v>
      </c>
      <c r="BD3053" s="0" t="s">
        <v>130</v>
      </c>
      <c r="BE3053" s="0" t="s">
        <v>130</v>
      </c>
      <c r="BF3053" s="0" t="s">
        <v>130</v>
      </c>
      <c r="BG3053" s="0" t="s">
        <v>130</v>
      </c>
      <c r="BH3053" s="0" t="s">
        <v>141</v>
      </c>
      <c r="BI3053" s="0" t="s">
        <v>141</v>
      </c>
      <c r="BJ3053" s="0" t="s">
        <v>141</v>
      </c>
      <c r="BK3053" s="0" t="s">
        <v>130</v>
      </c>
      <c r="BL3053" s="0" t="s">
        <v>130</v>
      </c>
      <c r="BM3053" s="0" t="s">
        <v>130</v>
      </c>
      <c r="BN3053" s="0" t="s">
        <v>130</v>
      </c>
      <c r="BO3053" s="0" t="s">
        <v>130</v>
      </c>
      <c r="BP3053" s="0" t="s">
        <v>130</v>
      </c>
      <c r="BQ3053" s="0" t="s">
        <v>130</v>
      </c>
      <c r="BR3053" s="0" t="s">
        <v>130</v>
      </c>
      <c r="BS3053" s="0" t="s">
        <v>130</v>
      </c>
      <c r="BT3053" s="0" t="s">
        <v>130</v>
      </c>
      <c r="BU3053" s="0" t="s">
        <v>130</v>
      </c>
      <c r="BV3053" s="0" t="s">
        <v>141</v>
      </c>
      <c r="BW3053" s="0" t="s">
        <v>141</v>
      </c>
      <c r="BX3053" s="0" t="s">
        <v>130</v>
      </c>
      <c r="BY3053" s="0" t="s">
        <v>130</v>
      </c>
      <c r="BZ3053" s="0" t="s">
        <v>130</v>
      </c>
      <c r="CA3053" s="0" t="s">
        <v>130</v>
      </c>
      <c r="CB3053" s="0" t="s">
        <v>130</v>
      </c>
      <c r="CC3053" s="0" t="s">
        <v>130</v>
      </c>
      <c r="CD3053" s="0" t="s">
        <v>130</v>
      </c>
      <c r="CE3053" s="0" t="s">
        <v>130</v>
      </c>
      <c r="CF3053" s="0" t="s">
        <v>130</v>
      </c>
      <c r="CG3053" s="0" t="s">
        <v>130</v>
      </c>
      <c r="CH3053" s="0" t="s">
        <v>130</v>
      </c>
      <c r="CI3053" s="0" t="s">
        <v>130</v>
      </c>
      <c r="CJ3053" s="0" t="s">
        <v>130</v>
      </c>
      <c r="CK3053" s="0" t="s">
        <v>130</v>
      </c>
      <c r="CL3053" s="0" t="s">
        <v>130</v>
      </c>
      <c r="CM3053" s="0" t="s">
        <v>130</v>
      </c>
      <c r="CN3053" s="0" t="s">
        <v>130</v>
      </c>
      <c r="CO3053" s="0" t="s">
        <v>130</v>
      </c>
      <c r="CP3053" s="0" t="s">
        <v>130</v>
      </c>
      <c r="CQ3053" s="0" t="s">
        <v>130</v>
      </c>
      <c r="CR3053" s="0" t="s">
        <v>130</v>
      </c>
      <c r="CS3053" s="0" t="s">
        <v>130</v>
      </c>
      <c r="CT3053" s="0" t="s">
        <v>8193</v>
      </c>
    </row>
    <row r="3054">
      <c r="A3054" s="14">
        <v>100864</v>
      </c>
      <c r="B3054" s="0" t="s">
        <v>1103</v>
      </c>
      <c r="C3054" s="16">
        <f>HYPERLINK("https://eosportal.federatedhermes.com/companies/Q29tcGFueQppODI1MDM=", "Kroger Co/The")</f>
      </c>
      <c r="D3054" s="0" t="s">
        <v>25</v>
      </c>
      <c r="E3054" s="0" t="s">
        <v>7991</v>
      </c>
      <c r="F3054" s="16">
        <f>HYPERLINK("https://eosportal.federatedhermes.com/engagements/RW5nYWdlbWVudAppNDIyMDg=", "AI-related workforce impact")</f>
      </c>
      <c r="G3054" s="14" t="s">
        <v>8194</v>
      </c>
      <c r="H3054" s="0" t="s">
        <v>130</v>
      </c>
      <c r="I3054" s="14" t="s">
        <v>131</v>
      </c>
      <c r="J3054" s="0" t="s">
        <v>153</v>
      </c>
      <c r="K3054" s="0" t="s">
        <v>154</v>
      </c>
      <c r="L3054" s="0" t="s">
        <v>268</v>
      </c>
      <c r="M3054" s="0" t="s">
        <v>135</v>
      </c>
      <c r="N3054" s="0" t="s">
        <v>136</v>
      </c>
      <c r="O3054" s="0" t="s">
        <v>643</v>
      </c>
      <c r="Q3054" s="0" t="s">
        <v>141</v>
      </c>
      <c r="R3054" s="0" t="s">
        <v>138</v>
      </c>
      <c r="S3054" s="14">
        <v>1</v>
      </c>
      <c r="T3054" s="0" t="s">
        <v>361</v>
      </c>
      <c r="U3054" s="0" t="s">
        <v>138</v>
      </c>
      <c r="V3054" s="14" t="s">
        <v>138</v>
      </c>
      <c r="W3054" s="0" t="s">
        <v>138</v>
      </c>
      <c r="X3054" s="14" t="s">
        <v>138</v>
      </c>
      <c r="Y3054" s="0" t="s">
        <v>138</v>
      </c>
      <c r="Z3054" s="14" t="s">
        <v>138</v>
      </c>
      <c r="AA3054" s="0" t="s">
        <v>138</v>
      </c>
      <c r="AB3054" s="14" t="s">
        <v>138</v>
      </c>
      <c r="AD3054" s="0" t="s">
        <v>138</v>
      </c>
      <c r="AF3054" s="0">
        <v>0</v>
      </c>
      <c r="AG3054" s="0">
        <v>0</v>
      </c>
      <c r="AH3054" s="0" t="s">
        <v>140</v>
      </c>
      <c r="AI3054" s="0" t="s">
        <v>138</v>
      </c>
      <c r="AK3054" s="0" t="s">
        <v>1470</v>
      </c>
      <c r="AL3054" s="14"/>
      <c r="AN3054" s="14"/>
      <c r="AQ3054" s="0" t="s">
        <v>130</v>
      </c>
      <c r="AR3054" s="0" t="s">
        <v>130</v>
      </c>
      <c r="AS3054" s="0" t="s">
        <v>130</v>
      </c>
      <c r="AT3054" s="0" t="s">
        <v>130</v>
      </c>
      <c r="AU3054" s="0" t="s">
        <v>130</v>
      </c>
      <c r="AV3054" s="0" t="s">
        <v>130</v>
      </c>
      <c r="AW3054" s="0" t="s">
        <v>130</v>
      </c>
      <c r="AX3054" s="0" t="s">
        <v>141</v>
      </c>
      <c r="AY3054" s="0" t="s">
        <v>130</v>
      </c>
      <c r="AZ3054" s="0" t="s">
        <v>130</v>
      </c>
      <c r="BA3054" s="0" t="s">
        <v>130</v>
      </c>
      <c r="BB3054" s="0" t="s">
        <v>130</v>
      </c>
      <c r="BC3054" s="0" t="s">
        <v>130</v>
      </c>
      <c r="BD3054" s="0" t="s">
        <v>130</v>
      </c>
      <c r="BE3054" s="0" t="s">
        <v>130</v>
      </c>
      <c r="BF3054" s="0" t="s">
        <v>130</v>
      </c>
      <c r="BG3054" s="0" t="s">
        <v>130</v>
      </c>
      <c r="BH3054" s="0" t="s">
        <v>130</v>
      </c>
      <c r="BI3054" s="0" t="s">
        <v>130</v>
      </c>
      <c r="BJ3054" s="0" t="s">
        <v>130</v>
      </c>
      <c r="BK3054" s="0" t="s">
        <v>130</v>
      </c>
      <c r="BL3054" s="0" t="s">
        <v>130</v>
      </c>
      <c r="BM3054" s="0" t="s">
        <v>130</v>
      </c>
      <c r="BN3054" s="0" t="s">
        <v>130</v>
      </c>
      <c r="BO3054" s="0" t="s">
        <v>130</v>
      </c>
      <c r="BP3054" s="0" t="s">
        <v>130</v>
      </c>
      <c r="BQ3054" s="0" t="s">
        <v>130</v>
      </c>
      <c r="BR3054" s="0" t="s">
        <v>130</v>
      </c>
      <c r="BS3054" s="0" t="s">
        <v>130</v>
      </c>
      <c r="BT3054" s="0" t="s">
        <v>130</v>
      </c>
      <c r="BU3054" s="0" t="s">
        <v>130</v>
      </c>
      <c r="BV3054" s="0" t="s">
        <v>130</v>
      </c>
      <c r="BW3054" s="0" t="s">
        <v>130</v>
      </c>
      <c r="BX3054" s="0" t="s">
        <v>130</v>
      </c>
      <c r="BY3054" s="0" t="s">
        <v>130</v>
      </c>
      <c r="BZ3054" s="0" t="s">
        <v>130</v>
      </c>
      <c r="CA3054" s="0" t="s">
        <v>130</v>
      </c>
      <c r="CB3054" s="0" t="s">
        <v>130</v>
      </c>
      <c r="CC3054" s="0" t="s">
        <v>130</v>
      </c>
      <c r="CD3054" s="0" t="s">
        <v>130</v>
      </c>
      <c r="CE3054" s="0" t="s">
        <v>130</v>
      </c>
      <c r="CF3054" s="0" t="s">
        <v>130</v>
      </c>
      <c r="CG3054" s="0" t="s">
        <v>130</v>
      </c>
      <c r="CH3054" s="0" t="s">
        <v>130</v>
      </c>
      <c r="CI3054" s="0" t="s">
        <v>130</v>
      </c>
      <c r="CJ3054" s="0" t="s">
        <v>130</v>
      </c>
      <c r="CK3054" s="0" t="s">
        <v>141</v>
      </c>
      <c r="CL3054" s="0" t="s">
        <v>130</v>
      </c>
      <c r="CM3054" s="0" t="s">
        <v>130</v>
      </c>
      <c r="CN3054" s="0" t="s">
        <v>130</v>
      </c>
      <c r="CO3054" s="0" t="s">
        <v>130</v>
      </c>
      <c r="CP3054" s="0" t="s">
        <v>130</v>
      </c>
      <c r="CQ3054" s="0" t="s">
        <v>130</v>
      </c>
      <c r="CR3054" s="0" t="s">
        <v>130</v>
      </c>
      <c r="CS3054" s="0" t="s">
        <v>130</v>
      </c>
      <c r="CT3054" s="0" t="s">
        <v>8195</v>
      </c>
    </row>
    <row r="3055">
      <c r="A3055" s="14">
        <v>100976</v>
      </c>
      <c r="B3055" s="0" t="s">
        <v>8196</v>
      </c>
      <c r="C3055" s="16">
        <f>HYPERLINK("https://eosportal.federatedhermes.com/companies/Q29tcGFueQppNTg5OTM=", "CVS Health Corp")</f>
      </c>
      <c r="D3055" s="0" t="s">
        <v>23</v>
      </c>
      <c r="E3055" s="0" t="s">
        <v>8159</v>
      </c>
      <c r="F3055" s="16">
        <f>HYPERLINK("https://eosportal.federatedhermes.com/engagements/RW5nYWdlbWVudAppNDIyNTE=", "Artificial Intelligence Principles")</f>
      </c>
      <c r="G3055" s="14" t="s">
        <v>8160</v>
      </c>
      <c r="H3055" s="0" t="s">
        <v>141</v>
      </c>
      <c r="I3055" s="14" t="s">
        <v>191</v>
      </c>
      <c r="J3055" s="0" t="s">
        <v>153</v>
      </c>
      <c r="K3055" s="0" t="s">
        <v>243</v>
      </c>
      <c r="L3055" s="0" t="s">
        <v>537</v>
      </c>
      <c r="M3055" s="0" t="s">
        <v>135</v>
      </c>
      <c r="N3055" s="0" t="s">
        <v>136</v>
      </c>
      <c r="O3055" s="0" t="s">
        <v>274</v>
      </c>
      <c r="Q3055" s="0" t="s">
        <v>130</v>
      </c>
      <c r="R3055" s="0" t="s">
        <v>141</v>
      </c>
      <c r="S3055" s="14">
        <v>0</v>
      </c>
      <c r="T3055" s="0" t="s">
        <v>361</v>
      </c>
      <c r="U3055" s="0" t="s">
        <v>221</v>
      </c>
      <c r="V3055" s="14" t="s">
        <v>361</v>
      </c>
      <c r="W3055" s="0" t="s">
        <v>223</v>
      </c>
      <c r="X3055" s="14" t="s">
        <v>138</v>
      </c>
      <c r="Y3055" s="0" t="s">
        <v>224</v>
      </c>
      <c r="Z3055" s="14" t="s">
        <v>138</v>
      </c>
      <c r="AA3055" s="0" t="s">
        <v>224</v>
      </c>
      <c r="AB3055" s="14" t="s">
        <v>138</v>
      </c>
      <c r="AC3055" s="0" t="s">
        <v>11</v>
      </c>
      <c r="AD3055" s="0" t="s">
        <v>14</v>
      </c>
      <c r="AE3055" s="0" t="s">
        <v>7914</v>
      </c>
      <c r="AF3055" s="0">
        <v>1</v>
      </c>
      <c r="AG3055" s="0">
        <v>0</v>
      </c>
      <c r="AH3055" s="0" t="s">
        <v>140</v>
      </c>
      <c r="AI3055" s="0" t="s">
        <v>598</v>
      </c>
      <c r="AL3055" s="14"/>
      <c r="AN3055" s="14"/>
      <c r="AQ3055" s="0" t="s">
        <v>130</v>
      </c>
      <c r="AR3055" s="0" t="s">
        <v>130</v>
      </c>
      <c r="AS3055" s="0" t="s">
        <v>130</v>
      </c>
      <c r="AT3055" s="0" t="s">
        <v>130</v>
      </c>
      <c r="AU3055" s="0" t="s">
        <v>130</v>
      </c>
      <c r="AV3055" s="0" t="s">
        <v>130</v>
      </c>
      <c r="AW3055" s="0" t="s">
        <v>130</v>
      </c>
      <c r="AX3055" s="0" t="s">
        <v>130</v>
      </c>
      <c r="AY3055" s="0" t="s">
        <v>130</v>
      </c>
      <c r="AZ3055" s="0" t="s">
        <v>141</v>
      </c>
      <c r="BA3055" s="0" t="s">
        <v>130</v>
      </c>
      <c r="BB3055" s="0" t="s">
        <v>141</v>
      </c>
      <c r="BC3055" s="0" t="s">
        <v>130</v>
      </c>
      <c r="BD3055" s="0" t="s">
        <v>130</v>
      </c>
      <c r="BE3055" s="0" t="s">
        <v>130</v>
      </c>
      <c r="BF3055" s="0" t="s">
        <v>141</v>
      </c>
      <c r="BG3055" s="0" t="s">
        <v>130</v>
      </c>
      <c r="BH3055" s="0" t="s">
        <v>130</v>
      </c>
      <c r="BI3055" s="0" t="s">
        <v>130</v>
      </c>
      <c r="BJ3055" s="0" t="s">
        <v>130</v>
      </c>
      <c r="BK3055" s="0" t="s">
        <v>130</v>
      </c>
      <c r="BL3055" s="0" t="s">
        <v>130</v>
      </c>
      <c r="BM3055" s="0" t="s">
        <v>130</v>
      </c>
      <c r="BN3055" s="0" t="s">
        <v>130</v>
      </c>
      <c r="BO3055" s="0" t="s">
        <v>130</v>
      </c>
      <c r="BP3055" s="0" t="s">
        <v>130</v>
      </c>
      <c r="BQ3055" s="0" t="s">
        <v>130</v>
      </c>
      <c r="BR3055" s="0" t="s">
        <v>130</v>
      </c>
      <c r="BS3055" s="0" t="s">
        <v>130</v>
      </c>
      <c r="BT3055" s="0" t="s">
        <v>130</v>
      </c>
      <c r="BU3055" s="0" t="s">
        <v>130</v>
      </c>
      <c r="BV3055" s="0" t="s">
        <v>130</v>
      </c>
      <c r="BW3055" s="0" t="s">
        <v>130</v>
      </c>
      <c r="BX3055" s="0" t="s">
        <v>130</v>
      </c>
      <c r="BY3055" s="0" t="s">
        <v>130</v>
      </c>
      <c r="BZ3055" s="0" t="s">
        <v>130</v>
      </c>
      <c r="CA3055" s="0" t="s">
        <v>130</v>
      </c>
      <c r="CB3055" s="0" t="s">
        <v>130</v>
      </c>
      <c r="CC3055" s="0" t="s">
        <v>130</v>
      </c>
      <c r="CD3055" s="0" t="s">
        <v>130</v>
      </c>
      <c r="CE3055" s="0" t="s">
        <v>130</v>
      </c>
      <c r="CF3055" s="0" t="s">
        <v>130</v>
      </c>
      <c r="CG3055" s="0" t="s">
        <v>130</v>
      </c>
      <c r="CH3055" s="0" t="s">
        <v>130</v>
      </c>
      <c r="CI3055" s="0" t="s">
        <v>130</v>
      </c>
      <c r="CJ3055" s="0" t="s">
        <v>130</v>
      </c>
      <c r="CK3055" s="0" t="s">
        <v>130</v>
      </c>
      <c r="CL3055" s="0" t="s">
        <v>130</v>
      </c>
      <c r="CM3055" s="0" t="s">
        <v>130</v>
      </c>
      <c r="CN3055" s="0" t="s">
        <v>130</v>
      </c>
      <c r="CO3055" s="0" t="s">
        <v>130</v>
      </c>
      <c r="CP3055" s="0" t="s">
        <v>130</v>
      </c>
      <c r="CQ3055" s="0" t="s">
        <v>130</v>
      </c>
      <c r="CR3055" s="0" t="s">
        <v>130</v>
      </c>
      <c r="CS3055" s="0" t="s">
        <v>130</v>
      </c>
      <c r="CT3055" s="0" t="s">
        <v>8197</v>
      </c>
    </row>
    <row r="3056">
      <c r="A3056" s="14">
        <v>101534</v>
      </c>
      <c r="B3056" s="0" t="s">
        <v>1699</v>
      </c>
      <c r="C3056" s="16">
        <f>HYPERLINK("https://eosportal.federatedhermes.com/companies/Q29tcGFueQppNjM1OTI=", "Unilever PLC")</f>
      </c>
      <c r="D3056" s="0" t="s">
        <v>25</v>
      </c>
      <c r="E3056" s="0" t="s">
        <v>8162</v>
      </c>
      <c r="F3056" s="16">
        <f>HYPERLINK("https://eosportal.federatedhermes.com/engagements/RW5nYWdlbWVudAppNDIyNjE=", "Enterprise AI workforce impact")</f>
      </c>
      <c r="G3056" s="14" t="s">
        <v>8091</v>
      </c>
      <c r="H3056" s="0" t="s">
        <v>141</v>
      </c>
      <c r="I3056" s="14" t="s">
        <v>636</v>
      </c>
      <c r="J3056" s="0" t="s">
        <v>153</v>
      </c>
      <c r="K3056" s="0" t="s">
        <v>154</v>
      </c>
      <c r="L3056" s="0" t="s">
        <v>268</v>
      </c>
      <c r="M3056" s="0" t="s">
        <v>272</v>
      </c>
      <c r="N3056" s="0" t="s">
        <v>273</v>
      </c>
      <c r="O3056" s="0" t="s">
        <v>332</v>
      </c>
      <c r="Q3056" s="0" t="s">
        <v>141</v>
      </c>
      <c r="R3056" s="0" t="s">
        <v>138</v>
      </c>
      <c r="S3056" s="14">
        <v>1</v>
      </c>
      <c r="T3056" s="0" t="s">
        <v>361</v>
      </c>
      <c r="U3056" s="0" t="s">
        <v>138</v>
      </c>
      <c r="V3056" s="14" t="s">
        <v>138</v>
      </c>
      <c r="W3056" s="0" t="s">
        <v>138</v>
      </c>
      <c r="X3056" s="14" t="s">
        <v>138</v>
      </c>
      <c r="Y3056" s="0" t="s">
        <v>138</v>
      </c>
      <c r="Z3056" s="14" t="s">
        <v>138</v>
      </c>
      <c r="AA3056" s="0" t="s">
        <v>138</v>
      </c>
      <c r="AB3056" s="14" t="s">
        <v>138</v>
      </c>
      <c r="AD3056" s="0" t="s">
        <v>138</v>
      </c>
      <c r="AF3056" s="0">
        <v>0</v>
      </c>
      <c r="AG3056" s="0">
        <v>0</v>
      </c>
      <c r="AH3056" s="0" t="s">
        <v>140</v>
      </c>
      <c r="AI3056" s="0" t="s">
        <v>138</v>
      </c>
      <c r="AK3056" s="0" t="s">
        <v>2588</v>
      </c>
      <c r="AL3056" s="14"/>
      <c r="AN3056" s="14"/>
      <c r="AQ3056" s="0" t="s">
        <v>130</v>
      </c>
      <c r="AR3056" s="0" t="s">
        <v>130</v>
      </c>
      <c r="AS3056" s="0" t="s">
        <v>130</v>
      </c>
      <c r="AT3056" s="0" t="s">
        <v>141</v>
      </c>
      <c r="AU3056" s="0" t="s">
        <v>130</v>
      </c>
      <c r="AV3056" s="0" t="s">
        <v>130</v>
      </c>
      <c r="AW3056" s="0" t="s">
        <v>130</v>
      </c>
      <c r="AX3056" s="0" t="s">
        <v>141</v>
      </c>
      <c r="AY3056" s="0" t="s">
        <v>130</v>
      </c>
      <c r="AZ3056" s="0" t="s">
        <v>130</v>
      </c>
      <c r="BA3056" s="0" t="s">
        <v>130</v>
      </c>
      <c r="BB3056" s="0" t="s">
        <v>130</v>
      </c>
      <c r="BC3056" s="0" t="s">
        <v>130</v>
      </c>
      <c r="BD3056" s="0" t="s">
        <v>130</v>
      </c>
      <c r="BE3056" s="0" t="s">
        <v>130</v>
      </c>
      <c r="BF3056" s="0" t="s">
        <v>130</v>
      </c>
      <c r="BG3056" s="0" t="s">
        <v>130</v>
      </c>
      <c r="BH3056" s="0" t="s">
        <v>130</v>
      </c>
      <c r="BI3056" s="0" t="s">
        <v>130</v>
      </c>
      <c r="BJ3056" s="0" t="s">
        <v>130</v>
      </c>
      <c r="BK3056" s="0" t="s">
        <v>130</v>
      </c>
      <c r="BL3056" s="0" t="s">
        <v>130</v>
      </c>
      <c r="BM3056" s="0" t="s">
        <v>130</v>
      </c>
      <c r="BN3056" s="0" t="s">
        <v>130</v>
      </c>
      <c r="BO3056" s="0" t="s">
        <v>130</v>
      </c>
      <c r="BP3056" s="0" t="s">
        <v>130</v>
      </c>
      <c r="BQ3056" s="0" t="s">
        <v>130</v>
      </c>
      <c r="BR3056" s="0" t="s">
        <v>130</v>
      </c>
      <c r="BS3056" s="0" t="s">
        <v>130</v>
      </c>
      <c r="BT3056" s="0" t="s">
        <v>130</v>
      </c>
      <c r="BU3056" s="0" t="s">
        <v>130</v>
      </c>
      <c r="BV3056" s="0" t="s">
        <v>130</v>
      </c>
      <c r="BW3056" s="0" t="s">
        <v>130</v>
      </c>
      <c r="BX3056" s="0" t="s">
        <v>130</v>
      </c>
      <c r="BY3056" s="0" t="s">
        <v>130</v>
      </c>
      <c r="BZ3056" s="0" t="s">
        <v>130</v>
      </c>
      <c r="CA3056" s="0" t="s">
        <v>130</v>
      </c>
      <c r="CB3056" s="0" t="s">
        <v>130</v>
      </c>
      <c r="CC3056" s="0" t="s">
        <v>130</v>
      </c>
      <c r="CD3056" s="0" t="s">
        <v>130</v>
      </c>
      <c r="CE3056" s="0" t="s">
        <v>130</v>
      </c>
      <c r="CF3056" s="0" t="s">
        <v>130</v>
      </c>
      <c r="CG3056" s="0" t="s">
        <v>130</v>
      </c>
      <c r="CH3056" s="0" t="s">
        <v>130</v>
      </c>
      <c r="CI3056" s="0" t="s">
        <v>130</v>
      </c>
      <c r="CJ3056" s="0" t="s">
        <v>130</v>
      </c>
      <c r="CK3056" s="0" t="s">
        <v>141</v>
      </c>
      <c r="CL3056" s="0" t="s">
        <v>130</v>
      </c>
      <c r="CM3056" s="0" t="s">
        <v>130</v>
      </c>
      <c r="CN3056" s="0" t="s">
        <v>130</v>
      </c>
      <c r="CO3056" s="0" t="s">
        <v>130</v>
      </c>
      <c r="CP3056" s="0" t="s">
        <v>130</v>
      </c>
      <c r="CQ3056" s="0" t="s">
        <v>130</v>
      </c>
      <c r="CR3056" s="0" t="s">
        <v>130</v>
      </c>
      <c r="CS3056" s="0" t="s">
        <v>130</v>
      </c>
      <c r="CT3056" s="0" t="s">
        <v>8198</v>
      </c>
    </row>
    <row r="3057">
      <c r="A3057" s="14">
        <v>101466</v>
      </c>
      <c r="B3057" s="0" t="s">
        <v>1628</v>
      </c>
      <c r="C3057" s="16">
        <f>HYPERLINK("https://eosportal.federatedhermes.com/companies/Q29tcGFueQppNzU3MDQ=", "Thermo Fisher Scientific Inc")</f>
      </c>
      <c r="D3057" s="0" t="s">
        <v>25</v>
      </c>
      <c r="E3057" s="0" t="s">
        <v>8162</v>
      </c>
      <c r="F3057" s="16">
        <f>HYPERLINK("https://eosportal.federatedhermes.com/engagements/RW5nYWdlbWVudAppNDIyNjM=", "Enterprise AI workforce impact")</f>
      </c>
      <c r="G3057" s="14" t="s">
        <v>8091</v>
      </c>
      <c r="H3057" s="0" t="s">
        <v>141</v>
      </c>
      <c r="I3057" s="14" t="s">
        <v>636</v>
      </c>
      <c r="J3057" s="0" t="s">
        <v>153</v>
      </c>
      <c r="K3057" s="0" t="s">
        <v>154</v>
      </c>
      <c r="L3057" s="0" t="s">
        <v>268</v>
      </c>
      <c r="M3057" s="0" t="s">
        <v>135</v>
      </c>
      <c r="N3057" s="0" t="s">
        <v>136</v>
      </c>
      <c r="O3057" s="0" t="s">
        <v>274</v>
      </c>
      <c r="Q3057" s="0" t="s">
        <v>141</v>
      </c>
      <c r="R3057" s="0" t="s">
        <v>138</v>
      </c>
      <c r="S3057" s="14">
        <v>1</v>
      </c>
      <c r="T3057" s="0" t="s">
        <v>361</v>
      </c>
      <c r="U3057" s="0" t="s">
        <v>138</v>
      </c>
      <c r="V3057" s="14" t="s">
        <v>138</v>
      </c>
      <c r="W3057" s="0" t="s">
        <v>138</v>
      </c>
      <c r="X3057" s="14" t="s">
        <v>138</v>
      </c>
      <c r="Y3057" s="0" t="s">
        <v>138</v>
      </c>
      <c r="Z3057" s="14" t="s">
        <v>138</v>
      </c>
      <c r="AA3057" s="0" t="s">
        <v>138</v>
      </c>
      <c r="AB3057" s="14" t="s">
        <v>138</v>
      </c>
      <c r="AD3057" s="0" t="s">
        <v>138</v>
      </c>
      <c r="AF3057" s="0">
        <v>0</v>
      </c>
      <c r="AG3057" s="0">
        <v>0</v>
      </c>
      <c r="AH3057" s="0" t="s">
        <v>140</v>
      </c>
      <c r="AI3057" s="0" t="s">
        <v>138</v>
      </c>
      <c r="AK3057" s="0" t="s">
        <v>2588</v>
      </c>
      <c r="AL3057" s="14"/>
      <c r="AN3057" s="14"/>
      <c r="AQ3057" s="0" t="s">
        <v>130</v>
      </c>
      <c r="AR3057" s="0" t="s">
        <v>130</v>
      </c>
      <c r="AS3057" s="0" t="s">
        <v>130</v>
      </c>
      <c r="AT3057" s="0" t="s">
        <v>141</v>
      </c>
      <c r="AU3057" s="0" t="s">
        <v>130</v>
      </c>
      <c r="AV3057" s="0" t="s">
        <v>130</v>
      </c>
      <c r="AW3057" s="0" t="s">
        <v>130</v>
      </c>
      <c r="AX3057" s="0" t="s">
        <v>141</v>
      </c>
      <c r="AY3057" s="0" t="s">
        <v>130</v>
      </c>
      <c r="AZ3057" s="0" t="s">
        <v>130</v>
      </c>
      <c r="BA3057" s="0" t="s">
        <v>130</v>
      </c>
      <c r="BB3057" s="0" t="s">
        <v>130</v>
      </c>
      <c r="BC3057" s="0" t="s">
        <v>130</v>
      </c>
      <c r="BD3057" s="0" t="s">
        <v>130</v>
      </c>
      <c r="BE3057" s="0" t="s">
        <v>130</v>
      </c>
      <c r="BF3057" s="0" t="s">
        <v>130</v>
      </c>
      <c r="BG3057" s="0" t="s">
        <v>130</v>
      </c>
      <c r="BH3057" s="0" t="s">
        <v>130</v>
      </c>
      <c r="BI3057" s="0" t="s">
        <v>130</v>
      </c>
      <c r="BJ3057" s="0" t="s">
        <v>130</v>
      </c>
      <c r="BK3057" s="0" t="s">
        <v>130</v>
      </c>
      <c r="BL3057" s="0" t="s">
        <v>130</v>
      </c>
      <c r="BM3057" s="0" t="s">
        <v>130</v>
      </c>
      <c r="BN3057" s="0" t="s">
        <v>130</v>
      </c>
      <c r="BO3057" s="0" t="s">
        <v>130</v>
      </c>
      <c r="BP3057" s="0" t="s">
        <v>130</v>
      </c>
      <c r="BQ3057" s="0" t="s">
        <v>130</v>
      </c>
      <c r="BR3057" s="0" t="s">
        <v>130</v>
      </c>
      <c r="BS3057" s="0" t="s">
        <v>130</v>
      </c>
      <c r="BT3057" s="0" t="s">
        <v>130</v>
      </c>
      <c r="BU3057" s="0" t="s">
        <v>130</v>
      </c>
      <c r="BV3057" s="0" t="s">
        <v>130</v>
      </c>
      <c r="BW3057" s="0" t="s">
        <v>130</v>
      </c>
      <c r="BX3057" s="0" t="s">
        <v>130</v>
      </c>
      <c r="BY3057" s="0" t="s">
        <v>130</v>
      </c>
      <c r="BZ3057" s="0" t="s">
        <v>130</v>
      </c>
      <c r="CA3057" s="0" t="s">
        <v>130</v>
      </c>
      <c r="CB3057" s="0" t="s">
        <v>130</v>
      </c>
      <c r="CC3057" s="0" t="s">
        <v>130</v>
      </c>
      <c r="CD3057" s="0" t="s">
        <v>130</v>
      </c>
      <c r="CE3057" s="0" t="s">
        <v>130</v>
      </c>
      <c r="CF3057" s="0" t="s">
        <v>130</v>
      </c>
      <c r="CG3057" s="0" t="s">
        <v>130</v>
      </c>
      <c r="CH3057" s="0" t="s">
        <v>130</v>
      </c>
      <c r="CI3057" s="0" t="s">
        <v>130</v>
      </c>
      <c r="CJ3057" s="0" t="s">
        <v>130</v>
      </c>
      <c r="CK3057" s="0" t="s">
        <v>141</v>
      </c>
      <c r="CL3057" s="0" t="s">
        <v>130</v>
      </c>
      <c r="CM3057" s="0" t="s">
        <v>130</v>
      </c>
      <c r="CN3057" s="0" t="s">
        <v>130</v>
      </c>
      <c r="CO3057" s="0" t="s">
        <v>130</v>
      </c>
      <c r="CP3057" s="0" t="s">
        <v>130</v>
      </c>
      <c r="CQ3057" s="0" t="s">
        <v>130</v>
      </c>
      <c r="CR3057" s="0" t="s">
        <v>130</v>
      </c>
      <c r="CS3057" s="0" t="s">
        <v>130</v>
      </c>
      <c r="CT3057" s="0" t="s">
        <v>8199</v>
      </c>
    </row>
    <row r="3058">
      <c r="A3058" s="14">
        <v>60854400</v>
      </c>
      <c r="B3058" s="0" t="s">
        <v>4761</v>
      </c>
      <c r="C3058" s="16">
        <f>HYPERLINK("https://eosportal.federatedhermes.com/companies/Q29tcGFueQppODU0NTA=", "Walt Disney Co/The")</f>
      </c>
      <c r="D3058" s="0" t="s">
        <v>25</v>
      </c>
      <c r="E3058" s="0" t="s">
        <v>2237</v>
      </c>
      <c r="F3058" s="16">
        <f>HYPERLINK("https://eosportal.federatedhermes.com/engagements/RW5nYWdlbWVudAppNDIyNjQ=", "Artificial Intelligence")</f>
      </c>
      <c r="G3058" s="14" t="s">
        <v>8200</v>
      </c>
      <c r="H3058" s="0" t="s">
        <v>141</v>
      </c>
      <c r="I3058" s="14" t="s">
        <v>636</v>
      </c>
      <c r="J3058" s="0" t="s">
        <v>153</v>
      </c>
      <c r="K3058" s="0" t="s">
        <v>243</v>
      </c>
      <c r="L3058" s="0" t="s">
        <v>537</v>
      </c>
      <c r="M3058" s="0" t="s">
        <v>135</v>
      </c>
      <c r="N3058" s="0" t="s">
        <v>136</v>
      </c>
      <c r="O3058" s="0" t="s">
        <v>137</v>
      </c>
      <c r="Q3058" s="0" t="s">
        <v>141</v>
      </c>
      <c r="R3058" s="0" t="s">
        <v>138</v>
      </c>
      <c r="S3058" s="14">
        <v>1</v>
      </c>
      <c r="T3058" s="0" t="s">
        <v>361</v>
      </c>
      <c r="U3058" s="0" t="s">
        <v>138</v>
      </c>
      <c r="V3058" s="14" t="s">
        <v>138</v>
      </c>
      <c r="W3058" s="0" t="s">
        <v>138</v>
      </c>
      <c r="X3058" s="14" t="s">
        <v>138</v>
      </c>
      <c r="Y3058" s="0" t="s">
        <v>138</v>
      </c>
      <c r="Z3058" s="14" t="s">
        <v>138</v>
      </c>
      <c r="AA3058" s="0" t="s">
        <v>138</v>
      </c>
      <c r="AB3058" s="14" t="s">
        <v>138</v>
      </c>
      <c r="AD3058" s="0" t="s">
        <v>138</v>
      </c>
      <c r="AF3058" s="0">
        <v>0</v>
      </c>
      <c r="AG3058" s="0">
        <v>0</v>
      </c>
      <c r="AH3058" s="0" t="s">
        <v>140</v>
      </c>
      <c r="AI3058" s="0" t="s">
        <v>138</v>
      </c>
      <c r="AK3058" s="0" t="s">
        <v>233</v>
      </c>
      <c r="AL3058" s="14"/>
      <c r="AN3058" s="14"/>
      <c r="AQ3058" s="0" t="s">
        <v>130</v>
      </c>
      <c r="AR3058" s="0" t="s">
        <v>130</v>
      </c>
      <c r="AS3058" s="0" t="s">
        <v>130</v>
      </c>
      <c r="AT3058" s="0" t="s">
        <v>130</v>
      </c>
      <c r="AU3058" s="0" t="s">
        <v>130</v>
      </c>
      <c r="AV3058" s="0" t="s">
        <v>130</v>
      </c>
      <c r="AW3058" s="0" t="s">
        <v>130</v>
      </c>
      <c r="AX3058" s="0" t="s">
        <v>130</v>
      </c>
      <c r="AY3058" s="0" t="s">
        <v>130</v>
      </c>
      <c r="AZ3058" s="0" t="s">
        <v>141</v>
      </c>
      <c r="BA3058" s="0" t="s">
        <v>130</v>
      </c>
      <c r="BB3058" s="0" t="s">
        <v>141</v>
      </c>
      <c r="BC3058" s="0" t="s">
        <v>130</v>
      </c>
      <c r="BD3058" s="0" t="s">
        <v>130</v>
      </c>
      <c r="BE3058" s="0" t="s">
        <v>130</v>
      </c>
      <c r="BF3058" s="0" t="s">
        <v>141</v>
      </c>
      <c r="BG3058" s="0" t="s">
        <v>130</v>
      </c>
      <c r="BH3058" s="0" t="s">
        <v>130</v>
      </c>
      <c r="BI3058" s="0" t="s">
        <v>130</v>
      </c>
      <c r="BJ3058" s="0" t="s">
        <v>130</v>
      </c>
      <c r="BK3058" s="0" t="s">
        <v>130</v>
      </c>
      <c r="BL3058" s="0" t="s">
        <v>130</v>
      </c>
      <c r="BM3058" s="0" t="s">
        <v>130</v>
      </c>
      <c r="BN3058" s="0" t="s">
        <v>130</v>
      </c>
      <c r="BO3058" s="0" t="s">
        <v>130</v>
      </c>
      <c r="BP3058" s="0" t="s">
        <v>130</v>
      </c>
      <c r="BQ3058" s="0" t="s">
        <v>130</v>
      </c>
      <c r="BR3058" s="0" t="s">
        <v>130</v>
      </c>
      <c r="BS3058" s="0" t="s">
        <v>130</v>
      </c>
      <c r="BT3058" s="0" t="s">
        <v>130</v>
      </c>
      <c r="BU3058" s="0" t="s">
        <v>130</v>
      </c>
      <c r="BV3058" s="0" t="s">
        <v>130</v>
      </c>
      <c r="BW3058" s="0" t="s">
        <v>130</v>
      </c>
      <c r="BX3058" s="0" t="s">
        <v>130</v>
      </c>
      <c r="BY3058" s="0" t="s">
        <v>130</v>
      </c>
      <c r="BZ3058" s="0" t="s">
        <v>130</v>
      </c>
      <c r="CA3058" s="0" t="s">
        <v>130</v>
      </c>
      <c r="CB3058" s="0" t="s">
        <v>130</v>
      </c>
      <c r="CC3058" s="0" t="s">
        <v>130</v>
      </c>
      <c r="CD3058" s="0" t="s">
        <v>130</v>
      </c>
      <c r="CE3058" s="0" t="s">
        <v>130</v>
      </c>
      <c r="CF3058" s="0" t="s">
        <v>130</v>
      </c>
      <c r="CG3058" s="0" t="s">
        <v>130</v>
      </c>
      <c r="CH3058" s="0" t="s">
        <v>130</v>
      </c>
      <c r="CI3058" s="0" t="s">
        <v>130</v>
      </c>
      <c r="CJ3058" s="0" t="s">
        <v>130</v>
      </c>
      <c r="CK3058" s="0" t="s">
        <v>130</v>
      </c>
      <c r="CL3058" s="0" t="s">
        <v>130</v>
      </c>
      <c r="CM3058" s="0" t="s">
        <v>130</v>
      </c>
      <c r="CN3058" s="0" t="s">
        <v>130</v>
      </c>
      <c r="CO3058" s="0" t="s">
        <v>130</v>
      </c>
      <c r="CP3058" s="0" t="s">
        <v>130</v>
      </c>
      <c r="CQ3058" s="0" t="s">
        <v>130</v>
      </c>
      <c r="CR3058" s="0" t="s">
        <v>130</v>
      </c>
      <c r="CS3058" s="0" t="s">
        <v>130</v>
      </c>
      <c r="CT3058" s="0" t="s">
        <v>8201</v>
      </c>
    </row>
    <row r="3059">
      <c r="A3059" s="14">
        <v>313657</v>
      </c>
      <c r="B3059" s="0" t="s">
        <v>3594</v>
      </c>
      <c r="C3059" s="16">
        <f>HYPERLINK("https://eosportal.federatedhermes.com/companies/Q29tcGFueQppODU4NzU=", "NVIDIA Corp")</f>
      </c>
      <c r="D3059" s="0" t="s">
        <v>25</v>
      </c>
      <c r="E3059" s="0" t="s">
        <v>7991</v>
      </c>
      <c r="F3059" s="16">
        <f>HYPERLINK("https://eosportal.federatedhermes.com/engagements/RW5nYWdlbWVudAppNDIyNjY=", "AI-related workforce impact")</f>
      </c>
      <c r="G3059" s="14" t="s">
        <v>8091</v>
      </c>
      <c r="H3059" s="0" t="s">
        <v>141</v>
      </c>
      <c r="I3059" s="14" t="s">
        <v>191</v>
      </c>
      <c r="J3059" s="0" t="s">
        <v>153</v>
      </c>
      <c r="K3059" s="0" t="s">
        <v>154</v>
      </c>
      <c r="L3059" s="0" t="s">
        <v>268</v>
      </c>
      <c r="M3059" s="0" t="s">
        <v>135</v>
      </c>
      <c r="N3059" s="0" t="s">
        <v>136</v>
      </c>
      <c r="O3059" s="0" t="s">
        <v>1125</v>
      </c>
      <c r="Q3059" s="0" t="s">
        <v>141</v>
      </c>
      <c r="R3059" s="0" t="s">
        <v>138</v>
      </c>
      <c r="S3059" s="14">
        <v>1</v>
      </c>
      <c r="T3059" s="0" t="s">
        <v>361</v>
      </c>
      <c r="U3059" s="0" t="s">
        <v>138</v>
      </c>
      <c r="V3059" s="14" t="s">
        <v>138</v>
      </c>
      <c r="W3059" s="0" t="s">
        <v>138</v>
      </c>
      <c r="X3059" s="14" t="s">
        <v>138</v>
      </c>
      <c r="Y3059" s="0" t="s">
        <v>138</v>
      </c>
      <c r="Z3059" s="14" t="s">
        <v>138</v>
      </c>
      <c r="AA3059" s="0" t="s">
        <v>138</v>
      </c>
      <c r="AB3059" s="14" t="s">
        <v>138</v>
      </c>
      <c r="AD3059" s="0" t="s">
        <v>138</v>
      </c>
      <c r="AF3059" s="0">
        <v>0</v>
      </c>
      <c r="AG3059" s="0">
        <v>0</v>
      </c>
      <c r="AH3059" s="0" t="s">
        <v>140</v>
      </c>
      <c r="AI3059" s="0" t="s">
        <v>138</v>
      </c>
      <c r="AK3059" s="0" t="s">
        <v>3596</v>
      </c>
      <c r="AL3059" s="14"/>
      <c r="AN3059" s="14"/>
      <c r="AQ3059" s="0" t="s">
        <v>130</v>
      </c>
      <c r="AR3059" s="0" t="s">
        <v>130</v>
      </c>
      <c r="AS3059" s="0" t="s">
        <v>130</v>
      </c>
      <c r="AT3059" s="0" t="s">
        <v>141</v>
      </c>
      <c r="AU3059" s="0" t="s">
        <v>130</v>
      </c>
      <c r="AV3059" s="0" t="s">
        <v>130</v>
      </c>
      <c r="AW3059" s="0" t="s">
        <v>130</v>
      </c>
      <c r="AX3059" s="0" t="s">
        <v>141</v>
      </c>
      <c r="AY3059" s="0" t="s">
        <v>130</v>
      </c>
      <c r="AZ3059" s="0" t="s">
        <v>130</v>
      </c>
      <c r="BA3059" s="0" t="s">
        <v>130</v>
      </c>
      <c r="BB3059" s="0" t="s">
        <v>130</v>
      </c>
      <c r="BC3059" s="0" t="s">
        <v>130</v>
      </c>
      <c r="BD3059" s="0" t="s">
        <v>130</v>
      </c>
      <c r="BE3059" s="0" t="s">
        <v>130</v>
      </c>
      <c r="BF3059" s="0" t="s">
        <v>130</v>
      </c>
      <c r="BG3059" s="0" t="s">
        <v>130</v>
      </c>
      <c r="BH3059" s="0" t="s">
        <v>130</v>
      </c>
      <c r="BI3059" s="0" t="s">
        <v>130</v>
      </c>
      <c r="BJ3059" s="0" t="s">
        <v>130</v>
      </c>
      <c r="BK3059" s="0" t="s">
        <v>130</v>
      </c>
      <c r="BL3059" s="0" t="s">
        <v>130</v>
      </c>
      <c r="BM3059" s="0" t="s">
        <v>130</v>
      </c>
      <c r="BN3059" s="0" t="s">
        <v>130</v>
      </c>
      <c r="BO3059" s="0" t="s">
        <v>130</v>
      </c>
      <c r="BP3059" s="0" t="s">
        <v>130</v>
      </c>
      <c r="BQ3059" s="0" t="s">
        <v>130</v>
      </c>
      <c r="BR3059" s="0" t="s">
        <v>130</v>
      </c>
      <c r="BS3059" s="0" t="s">
        <v>130</v>
      </c>
      <c r="BT3059" s="0" t="s">
        <v>130</v>
      </c>
      <c r="BU3059" s="0" t="s">
        <v>130</v>
      </c>
      <c r="BV3059" s="0" t="s">
        <v>130</v>
      </c>
      <c r="BW3059" s="0" t="s">
        <v>130</v>
      </c>
      <c r="BX3059" s="0" t="s">
        <v>130</v>
      </c>
      <c r="BY3059" s="0" t="s">
        <v>130</v>
      </c>
      <c r="BZ3059" s="0" t="s">
        <v>130</v>
      </c>
      <c r="CA3059" s="0" t="s">
        <v>130</v>
      </c>
      <c r="CB3059" s="0" t="s">
        <v>130</v>
      </c>
      <c r="CC3059" s="0" t="s">
        <v>130</v>
      </c>
      <c r="CD3059" s="0" t="s">
        <v>130</v>
      </c>
      <c r="CE3059" s="0" t="s">
        <v>130</v>
      </c>
      <c r="CF3059" s="0" t="s">
        <v>130</v>
      </c>
      <c r="CG3059" s="0" t="s">
        <v>130</v>
      </c>
      <c r="CH3059" s="0" t="s">
        <v>130</v>
      </c>
      <c r="CI3059" s="0" t="s">
        <v>130</v>
      </c>
      <c r="CJ3059" s="0" t="s">
        <v>130</v>
      </c>
      <c r="CK3059" s="0" t="s">
        <v>141</v>
      </c>
      <c r="CL3059" s="0" t="s">
        <v>130</v>
      </c>
      <c r="CM3059" s="0" t="s">
        <v>130</v>
      </c>
      <c r="CN3059" s="0" t="s">
        <v>130</v>
      </c>
      <c r="CO3059" s="0" t="s">
        <v>130</v>
      </c>
      <c r="CP3059" s="0" t="s">
        <v>130</v>
      </c>
      <c r="CQ3059" s="0" t="s">
        <v>130</v>
      </c>
      <c r="CR3059" s="0" t="s">
        <v>130</v>
      </c>
      <c r="CS3059" s="0" t="s">
        <v>130</v>
      </c>
      <c r="CT3059" s="0" t="s">
        <v>8202</v>
      </c>
    </row>
    <row r="3060">
      <c r="A3060" s="14">
        <v>16378307</v>
      </c>
      <c r="B3060" s="0" t="s">
        <v>4202</v>
      </c>
      <c r="C3060" s="16">
        <f>HYPERLINK("https://eosportal.federatedhermes.com/companies/Q29tcGFueQppNzU3MTg=", "ServiceNow Inc")</f>
      </c>
      <c r="D3060" s="0" t="s">
        <v>25</v>
      </c>
      <c r="E3060" s="0" t="s">
        <v>8162</v>
      </c>
      <c r="F3060" s="16">
        <f>HYPERLINK("https://eosportal.federatedhermes.com/engagements/RW5nYWdlbWVudAppNDIyNjc=", "Enterprise AI workforce impact")</f>
      </c>
      <c r="G3060" s="14" t="s">
        <v>8091</v>
      </c>
      <c r="H3060" s="0" t="s">
        <v>141</v>
      </c>
      <c r="I3060" s="14" t="s">
        <v>131</v>
      </c>
      <c r="J3060" s="0" t="s">
        <v>153</v>
      </c>
      <c r="K3060" s="0" t="s">
        <v>154</v>
      </c>
      <c r="L3060" s="0" t="s">
        <v>268</v>
      </c>
      <c r="M3060" s="0" t="s">
        <v>135</v>
      </c>
      <c r="N3060" s="0" t="s">
        <v>136</v>
      </c>
      <c r="O3060" s="0" t="s">
        <v>137</v>
      </c>
      <c r="Q3060" s="0" t="s">
        <v>141</v>
      </c>
      <c r="R3060" s="0" t="s">
        <v>138</v>
      </c>
      <c r="S3060" s="14">
        <v>1</v>
      </c>
      <c r="T3060" s="0" t="s">
        <v>361</v>
      </c>
      <c r="U3060" s="0" t="s">
        <v>138</v>
      </c>
      <c r="V3060" s="14" t="s">
        <v>138</v>
      </c>
      <c r="W3060" s="0" t="s">
        <v>138</v>
      </c>
      <c r="X3060" s="14" t="s">
        <v>138</v>
      </c>
      <c r="Y3060" s="0" t="s">
        <v>138</v>
      </c>
      <c r="Z3060" s="14" t="s">
        <v>138</v>
      </c>
      <c r="AA3060" s="0" t="s">
        <v>138</v>
      </c>
      <c r="AB3060" s="14" t="s">
        <v>138</v>
      </c>
      <c r="AD3060" s="0" t="s">
        <v>138</v>
      </c>
      <c r="AF3060" s="0">
        <v>0</v>
      </c>
      <c r="AG3060" s="0">
        <v>0</v>
      </c>
      <c r="AH3060" s="0" t="s">
        <v>140</v>
      </c>
      <c r="AI3060" s="0" t="s">
        <v>138</v>
      </c>
      <c r="AK3060" s="0" t="s">
        <v>2588</v>
      </c>
      <c r="AL3060" s="14"/>
      <c r="AN3060" s="14"/>
      <c r="AQ3060" s="0" t="s">
        <v>130</v>
      </c>
      <c r="AR3060" s="0" t="s">
        <v>130</v>
      </c>
      <c r="AS3060" s="0" t="s">
        <v>130</v>
      </c>
      <c r="AT3060" s="0" t="s">
        <v>141</v>
      </c>
      <c r="AU3060" s="0" t="s">
        <v>130</v>
      </c>
      <c r="AV3060" s="0" t="s">
        <v>130</v>
      </c>
      <c r="AW3060" s="0" t="s">
        <v>130</v>
      </c>
      <c r="AX3060" s="0" t="s">
        <v>141</v>
      </c>
      <c r="AY3060" s="0" t="s">
        <v>130</v>
      </c>
      <c r="AZ3060" s="0" t="s">
        <v>130</v>
      </c>
      <c r="BA3060" s="0" t="s">
        <v>130</v>
      </c>
      <c r="BB3060" s="0" t="s">
        <v>130</v>
      </c>
      <c r="BC3060" s="0" t="s">
        <v>130</v>
      </c>
      <c r="BD3060" s="0" t="s">
        <v>130</v>
      </c>
      <c r="BE3060" s="0" t="s">
        <v>130</v>
      </c>
      <c r="BF3060" s="0" t="s">
        <v>130</v>
      </c>
      <c r="BG3060" s="0" t="s">
        <v>130</v>
      </c>
      <c r="BH3060" s="0" t="s">
        <v>130</v>
      </c>
      <c r="BI3060" s="0" t="s">
        <v>130</v>
      </c>
      <c r="BJ3060" s="0" t="s">
        <v>130</v>
      </c>
      <c r="BK3060" s="0" t="s">
        <v>130</v>
      </c>
      <c r="BL3060" s="0" t="s">
        <v>130</v>
      </c>
      <c r="BM3060" s="0" t="s">
        <v>130</v>
      </c>
      <c r="BN3060" s="0" t="s">
        <v>130</v>
      </c>
      <c r="BO3060" s="0" t="s">
        <v>130</v>
      </c>
      <c r="BP3060" s="0" t="s">
        <v>130</v>
      </c>
      <c r="BQ3060" s="0" t="s">
        <v>130</v>
      </c>
      <c r="BR3060" s="0" t="s">
        <v>130</v>
      </c>
      <c r="BS3060" s="0" t="s">
        <v>130</v>
      </c>
      <c r="BT3060" s="0" t="s">
        <v>130</v>
      </c>
      <c r="BU3060" s="0" t="s">
        <v>130</v>
      </c>
      <c r="BV3060" s="0" t="s">
        <v>130</v>
      </c>
      <c r="BW3060" s="0" t="s">
        <v>130</v>
      </c>
      <c r="BX3060" s="0" t="s">
        <v>130</v>
      </c>
      <c r="BY3060" s="0" t="s">
        <v>130</v>
      </c>
      <c r="BZ3060" s="0" t="s">
        <v>130</v>
      </c>
      <c r="CA3060" s="0" t="s">
        <v>130</v>
      </c>
      <c r="CB3060" s="0" t="s">
        <v>130</v>
      </c>
      <c r="CC3060" s="0" t="s">
        <v>130</v>
      </c>
      <c r="CD3060" s="0" t="s">
        <v>130</v>
      </c>
      <c r="CE3060" s="0" t="s">
        <v>130</v>
      </c>
      <c r="CF3060" s="0" t="s">
        <v>130</v>
      </c>
      <c r="CG3060" s="0" t="s">
        <v>130</v>
      </c>
      <c r="CH3060" s="0" t="s">
        <v>130</v>
      </c>
      <c r="CI3060" s="0" t="s">
        <v>130</v>
      </c>
      <c r="CJ3060" s="0" t="s">
        <v>130</v>
      </c>
      <c r="CK3060" s="0" t="s">
        <v>141</v>
      </c>
      <c r="CL3060" s="0" t="s">
        <v>130</v>
      </c>
      <c r="CM3060" s="0" t="s">
        <v>130</v>
      </c>
      <c r="CN3060" s="0" t="s">
        <v>130</v>
      </c>
      <c r="CO3060" s="0" t="s">
        <v>130</v>
      </c>
      <c r="CP3060" s="0" t="s">
        <v>130</v>
      </c>
      <c r="CQ3060" s="0" t="s">
        <v>130</v>
      </c>
      <c r="CR3060" s="0" t="s">
        <v>130</v>
      </c>
      <c r="CS3060" s="0" t="s">
        <v>130</v>
      </c>
      <c r="CT3060" s="0" t="s">
        <v>8203</v>
      </c>
    </row>
    <row r="3061">
      <c r="A3061" s="14">
        <v>153737</v>
      </c>
      <c r="B3061" s="0" t="s">
        <v>2939</v>
      </c>
      <c r="C3061" s="16">
        <f>HYPERLINK("https://eosportal.federatedhermes.com/companies/Q29tcGFueQppNDc5OTI=", "Taiwan Semiconductor Manufacturing Co Ltd")</f>
      </c>
      <c r="D3061" s="0" t="s">
        <v>25</v>
      </c>
      <c r="E3061" s="0" t="s">
        <v>8162</v>
      </c>
      <c r="F3061" s="16">
        <f>HYPERLINK("https://eosportal.federatedhermes.com/engagements/RW5nYWdlbWVudAppNDIyNzE=", "Enterprise AI workforce impact")</f>
      </c>
      <c r="G3061" s="14" t="s">
        <v>8091</v>
      </c>
      <c r="H3061" s="0" t="s">
        <v>141</v>
      </c>
      <c r="I3061" s="14" t="s">
        <v>131</v>
      </c>
      <c r="J3061" s="0" t="s">
        <v>153</v>
      </c>
      <c r="K3061" s="0" t="s">
        <v>154</v>
      </c>
      <c r="L3061" s="0" t="s">
        <v>268</v>
      </c>
      <c r="M3061" s="0" t="s">
        <v>802</v>
      </c>
      <c r="N3061" s="0" t="s">
        <v>2941</v>
      </c>
      <c r="O3061" s="0" t="s">
        <v>1125</v>
      </c>
      <c r="Q3061" s="0" t="s">
        <v>141</v>
      </c>
      <c r="R3061" s="0" t="s">
        <v>138</v>
      </c>
      <c r="S3061" s="14">
        <v>1</v>
      </c>
      <c r="T3061" s="0" t="s">
        <v>361</v>
      </c>
      <c r="U3061" s="0" t="s">
        <v>138</v>
      </c>
      <c r="V3061" s="14" t="s">
        <v>138</v>
      </c>
      <c r="W3061" s="0" t="s">
        <v>138</v>
      </c>
      <c r="X3061" s="14" t="s">
        <v>138</v>
      </c>
      <c r="Y3061" s="0" t="s">
        <v>138</v>
      </c>
      <c r="Z3061" s="14" t="s">
        <v>138</v>
      </c>
      <c r="AA3061" s="0" t="s">
        <v>138</v>
      </c>
      <c r="AB3061" s="14" t="s">
        <v>138</v>
      </c>
      <c r="AD3061" s="0" t="s">
        <v>138</v>
      </c>
      <c r="AF3061" s="0">
        <v>0</v>
      </c>
      <c r="AG3061" s="0">
        <v>0</v>
      </c>
      <c r="AH3061" s="0" t="s">
        <v>140</v>
      </c>
      <c r="AI3061" s="0" t="s">
        <v>138</v>
      </c>
      <c r="AK3061" s="0" t="s">
        <v>2588</v>
      </c>
      <c r="AL3061" s="14"/>
      <c r="AN3061" s="14"/>
      <c r="AQ3061" s="0" t="s">
        <v>130</v>
      </c>
      <c r="AR3061" s="0" t="s">
        <v>130</v>
      </c>
      <c r="AS3061" s="0" t="s">
        <v>130</v>
      </c>
      <c r="AT3061" s="0" t="s">
        <v>141</v>
      </c>
      <c r="AU3061" s="0" t="s">
        <v>130</v>
      </c>
      <c r="AV3061" s="0" t="s">
        <v>130</v>
      </c>
      <c r="AW3061" s="0" t="s">
        <v>130</v>
      </c>
      <c r="AX3061" s="0" t="s">
        <v>141</v>
      </c>
      <c r="AY3061" s="0" t="s">
        <v>130</v>
      </c>
      <c r="AZ3061" s="0" t="s">
        <v>130</v>
      </c>
      <c r="BA3061" s="0" t="s">
        <v>130</v>
      </c>
      <c r="BB3061" s="0" t="s">
        <v>130</v>
      </c>
      <c r="BC3061" s="0" t="s">
        <v>130</v>
      </c>
      <c r="BD3061" s="0" t="s">
        <v>130</v>
      </c>
      <c r="BE3061" s="0" t="s">
        <v>130</v>
      </c>
      <c r="BF3061" s="0" t="s">
        <v>130</v>
      </c>
      <c r="BG3061" s="0" t="s">
        <v>130</v>
      </c>
      <c r="BH3061" s="0" t="s">
        <v>130</v>
      </c>
      <c r="BI3061" s="0" t="s">
        <v>130</v>
      </c>
      <c r="BJ3061" s="0" t="s">
        <v>130</v>
      </c>
      <c r="BK3061" s="0" t="s">
        <v>130</v>
      </c>
      <c r="BL3061" s="0" t="s">
        <v>130</v>
      </c>
      <c r="BM3061" s="0" t="s">
        <v>130</v>
      </c>
      <c r="BN3061" s="0" t="s">
        <v>130</v>
      </c>
      <c r="BO3061" s="0" t="s">
        <v>130</v>
      </c>
      <c r="BP3061" s="0" t="s">
        <v>130</v>
      </c>
      <c r="BQ3061" s="0" t="s">
        <v>130</v>
      </c>
      <c r="BR3061" s="0" t="s">
        <v>130</v>
      </c>
      <c r="BS3061" s="0" t="s">
        <v>130</v>
      </c>
      <c r="BT3061" s="0" t="s">
        <v>130</v>
      </c>
      <c r="BU3061" s="0" t="s">
        <v>130</v>
      </c>
      <c r="BV3061" s="0" t="s">
        <v>130</v>
      </c>
      <c r="BW3061" s="0" t="s">
        <v>130</v>
      </c>
      <c r="BX3061" s="0" t="s">
        <v>130</v>
      </c>
      <c r="BY3061" s="0" t="s">
        <v>130</v>
      </c>
      <c r="BZ3061" s="0" t="s">
        <v>130</v>
      </c>
      <c r="CA3061" s="0" t="s">
        <v>130</v>
      </c>
      <c r="CB3061" s="0" t="s">
        <v>130</v>
      </c>
      <c r="CC3061" s="0" t="s">
        <v>130</v>
      </c>
      <c r="CD3061" s="0" t="s">
        <v>130</v>
      </c>
      <c r="CE3061" s="0" t="s">
        <v>130</v>
      </c>
      <c r="CF3061" s="0" t="s">
        <v>130</v>
      </c>
      <c r="CG3061" s="0" t="s">
        <v>130</v>
      </c>
      <c r="CH3061" s="0" t="s">
        <v>130</v>
      </c>
      <c r="CI3061" s="0" t="s">
        <v>130</v>
      </c>
      <c r="CJ3061" s="0" t="s">
        <v>130</v>
      </c>
      <c r="CK3061" s="0" t="s">
        <v>141</v>
      </c>
      <c r="CL3061" s="0" t="s">
        <v>130</v>
      </c>
      <c r="CM3061" s="0" t="s">
        <v>130</v>
      </c>
      <c r="CN3061" s="0" t="s">
        <v>130</v>
      </c>
      <c r="CO3061" s="0" t="s">
        <v>130</v>
      </c>
      <c r="CP3061" s="0" t="s">
        <v>130</v>
      </c>
      <c r="CQ3061" s="0" t="s">
        <v>130</v>
      </c>
      <c r="CR3061" s="0" t="s">
        <v>130</v>
      </c>
      <c r="CS3061" s="0" t="s">
        <v>130</v>
      </c>
      <c r="CT3061" s="0" t="s">
        <v>8204</v>
      </c>
    </row>
    <row r="3062">
      <c r="A3062" s="14">
        <v>100315</v>
      </c>
      <c r="B3062" s="0" t="s">
        <v>539</v>
      </c>
      <c r="C3062" s="16">
        <f>HYPERLINK("https://eosportal.federatedhermes.com/companies/Q29tcGFueQppNzcwNTA=", "Chevron Corp")</f>
      </c>
      <c r="D3062" s="0" t="s">
        <v>25</v>
      </c>
      <c r="E3062" s="0" t="s">
        <v>8104</v>
      </c>
      <c r="F3062" s="16">
        <f>HYPERLINK("https://eosportal.federatedhermes.com/engagements/RW5nYWdlbWVudAppNDIyNzI=", "Hazardous Chemicals Management")</f>
      </c>
      <c r="G3062" s="14" t="s">
        <v>8205</v>
      </c>
      <c r="H3062" s="0" t="s">
        <v>141</v>
      </c>
      <c r="I3062" s="14" t="s">
        <v>191</v>
      </c>
      <c r="J3062" s="0" t="s">
        <v>197</v>
      </c>
      <c r="K3062" s="0" t="s">
        <v>348</v>
      </c>
      <c r="L3062" s="0" t="s">
        <v>650</v>
      </c>
      <c r="M3062" s="0" t="s">
        <v>135</v>
      </c>
      <c r="N3062" s="0" t="s">
        <v>136</v>
      </c>
      <c r="O3062" s="0" t="s">
        <v>542</v>
      </c>
      <c r="Q3062" s="0" t="s">
        <v>141</v>
      </c>
      <c r="R3062" s="0" t="s">
        <v>138</v>
      </c>
      <c r="S3062" s="14">
        <v>1</v>
      </c>
      <c r="T3062" s="0" t="s">
        <v>361</v>
      </c>
      <c r="U3062" s="0" t="s">
        <v>138</v>
      </c>
      <c r="V3062" s="14" t="s">
        <v>138</v>
      </c>
      <c r="W3062" s="0" t="s">
        <v>138</v>
      </c>
      <c r="X3062" s="14" t="s">
        <v>138</v>
      </c>
      <c r="Y3062" s="0" t="s">
        <v>138</v>
      </c>
      <c r="Z3062" s="14" t="s">
        <v>138</v>
      </c>
      <c r="AA3062" s="0" t="s">
        <v>138</v>
      </c>
      <c r="AB3062" s="14" t="s">
        <v>138</v>
      </c>
      <c r="AD3062" s="0" t="s">
        <v>138</v>
      </c>
      <c r="AF3062" s="0">
        <v>0</v>
      </c>
      <c r="AG3062" s="0">
        <v>0</v>
      </c>
      <c r="AH3062" s="0" t="s">
        <v>140</v>
      </c>
      <c r="AI3062" s="0" t="s">
        <v>138</v>
      </c>
      <c r="AK3062" s="0" t="s">
        <v>714</v>
      </c>
      <c r="AL3062" s="14"/>
      <c r="AN3062" s="14"/>
      <c r="AQ3062" s="0" t="s">
        <v>130</v>
      </c>
      <c r="AR3062" s="0" t="s">
        <v>130</v>
      </c>
      <c r="AS3062" s="0" t="s">
        <v>141</v>
      </c>
      <c r="AT3062" s="0" t="s">
        <v>130</v>
      </c>
      <c r="AU3062" s="0" t="s">
        <v>130</v>
      </c>
      <c r="AV3062" s="0" t="s">
        <v>141</v>
      </c>
      <c r="AW3062" s="0" t="s">
        <v>130</v>
      </c>
      <c r="AX3062" s="0" t="s">
        <v>130</v>
      </c>
      <c r="AY3062" s="0" t="s">
        <v>130</v>
      </c>
      <c r="AZ3062" s="0" t="s">
        <v>130</v>
      </c>
      <c r="BA3062" s="0" t="s">
        <v>130</v>
      </c>
      <c r="BB3062" s="0" t="s">
        <v>141</v>
      </c>
      <c r="BC3062" s="0" t="s">
        <v>130</v>
      </c>
      <c r="BD3062" s="0" t="s">
        <v>130</v>
      </c>
      <c r="BE3062" s="0" t="s">
        <v>130</v>
      </c>
      <c r="BF3062" s="0" t="s">
        <v>130</v>
      </c>
      <c r="BG3062" s="0" t="s">
        <v>130</v>
      </c>
      <c r="BH3062" s="0" t="s">
        <v>130</v>
      </c>
      <c r="BI3062" s="0" t="s">
        <v>130</v>
      </c>
      <c r="BJ3062" s="0" t="s">
        <v>130</v>
      </c>
      <c r="BK3062" s="0" t="s">
        <v>130</v>
      </c>
      <c r="BL3062" s="0" t="s">
        <v>130</v>
      </c>
      <c r="BM3062" s="0" t="s">
        <v>130</v>
      </c>
      <c r="BN3062" s="0" t="s">
        <v>130</v>
      </c>
      <c r="BO3062" s="0" t="s">
        <v>130</v>
      </c>
      <c r="BP3062" s="0" t="s">
        <v>130</v>
      </c>
      <c r="BQ3062" s="0" t="s">
        <v>130</v>
      </c>
      <c r="BR3062" s="0" t="s">
        <v>130</v>
      </c>
      <c r="BS3062" s="0" t="s">
        <v>130</v>
      </c>
      <c r="BT3062" s="0" t="s">
        <v>130</v>
      </c>
      <c r="BU3062" s="0" t="s">
        <v>130</v>
      </c>
      <c r="BV3062" s="0" t="s">
        <v>130</v>
      </c>
      <c r="BW3062" s="0" t="s">
        <v>130</v>
      </c>
      <c r="BX3062" s="0" t="s">
        <v>130</v>
      </c>
      <c r="BY3062" s="0" t="s">
        <v>130</v>
      </c>
      <c r="BZ3062" s="0" t="s">
        <v>130</v>
      </c>
      <c r="CA3062" s="0" t="s">
        <v>130</v>
      </c>
      <c r="CB3062" s="0" t="s">
        <v>130</v>
      </c>
      <c r="CC3062" s="0" t="s">
        <v>130</v>
      </c>
      <c r="CD3062" s="0" t="s">
        <v>130</v>
      </c>
      <c r="CE3062" s="0" t="s">
        <v>130</v>
      </c>
      <c r="CF3062" s="0" t="s">
        <v>130</v>
      </c>
      <c r="CG3062" s="0" t="s">
        <v>130</v>
      </c>
      <c r="CH3062" s="0" t="s">
        <v>130</v>
      </c>
      <c r="CI3062" s="0" t="s">
        <v>130</v>
      </c>
      <c r="CJ3062" s="0" t="s">
        <v>130</v>
      </c>
      <c r="CK3062" s="0" t="s">
        <v>130</v>
      </c>
      <c r="CL3062" s="0" t="s">
        <v>130</v>
      </c>
      <c r="CM3062" s="0" t="s">
        <v>130</v>
      </c>
      <c r="CN3062" s="0" t="s">
        <v>130</v>
      </c>
      <c r="CO3062" s="0" t="s">
        <v>130</v>
      </c>
      <c r="CP3062" s="0" t="s">
        <v>130</v>
      </c>
      <c r="CQ3062" s="0" t="s">
        <v>130</v>
      </c>
      <c r="CR3062" s="0" t="s">
        <v>130</v>
      </c>
      <c r="CS3062" s="0" t="s">
        <v>130</v>
      </c>
      <c r="CT3062" s="0" t="s">
        <v>8206</v>
      </c>
    </row>
    <row r="3063">
      <c r="A3063" s="14">
        <v>100546</v>
      </c>
      <c r="B3063" s="0" t="s">
        <v>776</v>
      </c>
      <c r="C3063" s="16">
        <f>HYPERLINK("https://eosportal.federatedhermes.com/companies/Q29tcGFueQppNzU3MjY=", "Exxon Mobil Corp")</f>
      </c>
      <c r="D3063" s="0" t="s">
        <v>25</v>
      </c>
      <c r="E3063" s="0" t="s">
        <v>8104</v>
      </c>
      <c r="F3063" s="16">
        <f>HYPERLINK("https://eosportal.federatedhermes.com/engagements/RW5nYWdlbWVudAppNDIyNzM=", "Hazardous Chemicals Management")</f>
      </c>
      <c r="G3063" s="14" t="s">
        <v>8205</v>
      </c>
      <c r="H3063" s="0" t="s">
        <v>141</v>
      </c>
      <c r="I3063" s="14" t="s">
        <v>191</v>
      </c>
      <c r="J3063" s="0" t="s">
        <v>197</v>
      </c>
      <c r="K3063" s="0" t="s">
        <v>348</v>
      </c>
      <c r="L3063" s="0" t="s">
        <v>650</v>
      </c>
      <c r="M3063" s="0" t="s">
        <v>135</v>
      </c>
      <c r="N3063" s="0" t="s">
        <v>136</v>
      </c>
      <c r="O3063" s="0" t="s">
        <v>542</v>
      </c>
      <c r="Q3063" s="0" t="s">
        <v>141</v>
      </c>
      <c r="R3063" s="0" t="s">
        <v>138</v>
      </c>
      <c r="S3063" s="14">
        <v>1</v>
      </c>
      <c r="T3063" s="0" t="s">
        <v>361</v>
      </c>
      <c r="U3063" s="0" t="s">
        <v>138</v>
      </c>
      <c r="V3063" s="14" t="s">
        <v>138</v>
      </c>
      <c r="W3063" s="0" t="s">
        <v>138</v>
      </c>
      <c r="X3063" s="14" t="s">
        <v>138</v>
      </c>
      <c r="Y3063" s="0" t="s">
        <v>138</v>
      </c>
      <c r="Z3063" s="14" t="s">
        <v>138</v>
      </c>
      <c r="AA3063" s="0" t="s">
        <v>138</v>
      </c>
      <c r="AB3063" s="14" t="s">
        <v>138</v>
      </c>
      <c r="AD3063" s="0" t="s">
        <v>138</v>
      </c>
      <c r="AF3063" s="0">
        <v>0</v>
      </c>
      <c r="AG3063" s="0">
        <v>0</v>
      </c>
      <c r="AH3063" s="0" t="s">
        <v>140</v>
      </c>
      <c r="AI3063" s="0" t="s">
        <v>138</v>
      </c>
      <c r="AK3063" s="0" t="s">
        <v>714</v>
      </c>
      <c r="AL3063" s="14"/>
      <c r="AN3063" s="14"/>
      <c r="AQ3063" s="0" t="s">
        <v>130</v>
      </c>
      <c r="AR3063" s="0" t="s">
        <v>130</v>
      </c>
      <c r="AS3063" s="0" t="s">
        <v>141</v>
      </c>
      <c r="AT3063" s="0" t="s">
        <v>130</v>
      </c>
      <c r="AU3063" s="0" t="s">
        <v>130</v>
      </c>
      <c r="AV3063" s="0" t="s">
        <v>141</v>
      </c>
      <c r="AW3063" s="0" t="s">
        <v>130</v>
      </c>
      <c r="AX3063" s="0" t="s">
        <v>130</v>
      </c>
      <c r="AY3063" s="0" t="s">
        <v>130</v>
      </c>
      <c r="AZ3063" s="0" t="s">
        <v>130</v>
      </c>
      <c r="BA3063" s="0" t="s">
        <v>130</v>
      </c>
      <c r="BB3063" s="0" t="s">
        <v>141</v>
      </c>
      <c r="BC3063" s="0" t="s">
        <v>130</v>
      </c>
      <c r="BD3063" s="0" t="s">
        <v>130</v>
      </c>
      <c r="BE3063" s="0" t="s">
        <v>130</v>
      </c>
      <c r="BF3063" s="0" t="s">
        <v>130</v>
      </c>
      <c r="BG3063" s="0" t="s">
        <v>130</v>
      </c>
      <c r="BH3063" s="0" t="s">
        <v>130</v>
      </c>
      <c r="BI3063" s="0" t="s">
        <v>130</v>
      </c>
      <c r="BJ3063" s="0" t="s">
        <v>130</v>
      </c>
      <c r="BK3063" s="0" t="s">
        <v>130</v>
      </c>
      <c r="BL3063" s="0" t="s">
        <v>130</v>
      </c>
      <c r="BM3063" s="0" t="s">
        <v>130</v>
      </c>
      <c r="BN3063" s="0" t="s">
        <v>130</v>
      </c>
      <c r="BO3063" s="0" t="s">
        <v>130</v>
      </c>
      <c r="BP3063" s="0" t="s">
        <v>130</v>
      </c>
      <c r="BQ3063" s="0" t="s">
        <v>130</v>
      </c>
      <c r="BR3063" s="0" t="s">
        <v>130</v>
      </c>
      <c r="BS3063" s="0" t="s">
        <v>130</v>
      </c>
      <c r="BT3063" s="0" t="s">
        <v>130</v>
      </c>
      <c r="BU3063" s="0" t="s">
        <v>130</v>
      </c>
      <c r="BV3063" s="0" t="s">
        <v>130</v>
      </c>
      <c r="BW3063" s="0" t="s">
        <v>130</v>
      </c>
      <c r="BX3063" s="0" t="s">
        <v>130</v>
      </c>
      <c r="BY3063" s="0" t="s">
        <v>130</v>
      </c>
      <c r="BZ3063" s="0" t="s">
        <v>130</v>
      </c>
      <c r="CA3063" s="0" t="s">
        <v>130</v>
      </c>
      <c r="CB3063" s="0" t="s">
        <v>130</v>
      </c>
      <c r="CC3063" s="0" t="s">
        <v>130</v>
      </c>
      <c r="CD3063" s="0" t="s">
        <v>130</v>
      </c>
      <c r="CE3063" s="0" t="s">
        <v>130</v>
      </c>
      <c r="CF3063" s="0" t="s">
        <v>130</v>
      </c>
      <c r="CG3063" s="0" t="s">
        <v>130</v>
      </c>
      <c r="CH3063" s="0" t="s">
        <v>130</v>
      </c>
      <c r="CI3063" s="0" t="s">
        <v>130</v>
      </c>
      <c r="CJ3063" s="0" t="s">
        <v>130</v>
      </c>
      <c r="CK3063" s="0" t="s">
        <v>130</v>
      </c>
      <c r="CL3063" s="0" t="s">
        <v>130</v>
      </c>
      <c r="CM3063" s="0" t="s">
        <v>130</v>
      </c>
      <c r="CN3063" s="0" t="s">
        <v>130</v>
      </c>
      <c r="CO3063" s="0" t="s">
        <v>130</v>
      </c>
      <c r="CP3063" s="0" t="s">
        <v>130</v>
      </c>
      <c r="CQ3063" s="0" t="s">
        <v>130</v>
      </c>
      <c r="CR3063" s="0" t="s">
        <v>130</v>
      </c>
      <c r="CS3063" s="0" t="s">
        <v>130</v>
      </c>
      <c r="CT3063" s="0" t="s">
        <v>8207</v>
      </c>
    </row>
    <row r="3064">
      <c r="A3064" s="14">
        <v>8502156</v>
      </c>
      <c r="B3064" s="0" t="s">
        <v>3910</v>
      </c>
      <c r="C3064" s="16">
        <f>HYPERLINK("https://eosportal.federatedhermes.com/companies/Q29tcGFueQppODYyODc=", "NRG Energy Inc")</f>
      </c>
      <c r="D3064" s="0" t="s">
        <v>25</v>
      </c>
      <c r="E3064" s="0" t="s">
        <v>8177</v>
      </c>
      <c r="F3064" s="16">
        <f>HYPERLINK("https://eosportal.federatedhermes.com/engagements/RW5nYWdlbWVudAppNDIyNzQ=", "AI-related environmental/social opportunities and risks")</f>
      </c>
      <c r="G3064" s="14" t="s">
        <v>8178</v>
      </c>
      <c r="H3064" s="0" t="s">
        <v>141</v>
      </c>
      <c r="I3064" s="14" t="s">
        <v>191</v>
      </c>
      <c r="J3064" s="0" t="s">
        <v>197</v>
      </c>
      <c r="K3064" s="0" t="s">
        <v>198</v>
      </c>
      <c r="L3064" s="0" t="s">
        <v>220</v>
      </c>
      <c r="M3064" s="0" t="s">
        <v>135</v>
      </c>
      <c r="N3064" s="0" t="s">
        <v>136</v>
      </c>
      <c r="O3064" s="0" t="s">
        <v>192</v>
      </c>
      <c r="Q3064" s="0" t="s">
        <v>141</v>
      </c>
      <c r="R3064" s="0" t="s">
        <v>138</v>
      </c>
      <c r="S3064" s="14">
        <v>1</v>
      </c>
      <c r="T3064" s="0" t="s">
        <v>361</v>
      </c>
      <c r="U3064" s="0" t="s">
        <v>138</v>
      </c>
      <c r="V3064" s="14" t="s">
        <v>138</v>
      </c>
      <c r="W3064" s="0" t="s">
        <v>138</v>
      </c>
      <c r="X3064" s="14" t="s">
        <v>138</v>
      </c>
      <c r="Y3064" s="0" t="s">
        <v>138</v>
      </c>
      <c r="Z3064" s="14" t="s">
        <v>138</v>
      </c>
      <c r="AA3064" s="0" t="s">
        <v>138</v>
      </c>
      <c r="AB3064" s="14" t="s">
        <v>138</v>
      </c>
      <c r="AD3064" s="0" t="s">
        <v>138</v>
      </c>
      <c r="AF3064" s="0">
        <v>0</v>
      </c>
      <c r="AG3064" s="0">
        <v>0</v>
      </c>
      <c r="AH3064" s="0" t="s">
        <v>140</v>
      </c>
      <c r="AI3064" s="0" t="s">
        <v>138</v>
      </c>
      <c r="AK3064" s="0" t="s">
        <v>749</v>
      </c>
      <c r="AL3064" s="14"/>
      <c r="AN3064" s="14"/>
      <c r="AQ3064" s="0" t="s">
        <v>130</v>
      </c>
      <c r="AR3064" s="0" t="s">
        <v>130</v>
      </c>
      <c r="AS3064" s="0" t="s">
        <v>130</v>
      </c>
      <c r="AT3064" s="0" t="s">
        <v>130</v>
      </c>
      <c r="AU3064" s="0" t="s">
        <v>130</v>
      </c>
      <c r="AV3064" s="0" t="s">
        <v>130</v>
      </c>
      <c r="AW3064" s="0" t="s">
        <v>141</v>
      </c>
      <c r="AX3064" s="0" t="s">
        <v>130</v>
      </c>
      <c r="AY3064" s="0" t="s">
        <v>130</v>
      </c>
      <c r="AZ3064" s="0" t="s">
        <v>130</v>
      </c>
      <c r="BA3064" s="0" t="s">
        <v>130</v>
      </c>
      <c r="BB3064" s="0" t="s">
        <v>130</v>
      </c>
      <c r="BC3064" s="0" t="s">
        <v>130</v>
      </c>
      <c r="BD3064" s="0" t="s">
        <v>130</v>
      </c>
      <c r="BE3064" s="0" t="s">
        <v>130</v>
      </c>
      <c r="BF3064" s="0" t="s">
        <v>130</v>
      </c>
      <c r="BG3064" s="0" t="s">
        <v>130</v>
      </c>
      <c r="BH3064" s="0" t="s">
        <v>130</v>
      </c>
      <c r="BI3064" s="0" t="s">
        <v>130</v>
      </c>
      <c r="BJ3064" s="0" t="s">
        <v>130</v>
      </c>
      <c r="BK3064" s="0" t="s">
        <v>130</v>
      </c>
      <c r="BL3064" s="0" t="s">
        <v>130</v>
      </c>
      <c r="BM3064" s="0" t="s">
        <v>130</v>
      </c>
      <c r="BN3064" s="0" t="s">
        <v>130</v>
      </c>
      <c r="BO3064" s="0" t="s">
        <v>130</v>
      </c>
      <c r="BP3064" s="0" t="s">
        <v>130</v>
      </c>
      <c r="BQ3064" s="0" t="s">
        <v>130</v>
      </c>
      <c r="BR3064" s="0" t="s">
        <v>130</v>
      </c>
      <c r="BS3064" s="0" t="s">
        <v>130</v>
      </c>
      <c r="BT3064" s="0" t="s">
        <v>130</v>
      </c>
      <c r="BU3064" s="0" t="s">
        <v>130</v>
      </c>
      <c r="BV3064" s="0" t="s">
        <v>130</v>
      </c>
      <c r="BW3064" s="0" t="s">
        <v>130</v>
      </c>
      <c r="BX3064" s="0" t="s">
        <v>130</v>
      </c>
      <c r="BY3064" s="0" t="s">
        <v>130</v>
      </c>
      <c r="BZ3064" s="0" t="s">
        <v>130</v>
      </c>
      <c r="CA3064" s="0" t="s">
        <v>130</v>
      </c>
      <c r="CB3064" s="0" t="s">
        <v>130</v>
      </c>
      <c r="CC3064" s="0" t="s">
        <v>130</v>
      </c>
      <c r="CD3064" s="0" t="s">
        <v>130</v>
      </c>
      <c r="CE3064" s="0" t="s">
        <v>130</v>
      </c>
      <c r="CF3064" s="0" t="s">
        <v>130</v>
      </c>
      <c r="CG3064" s="0" t="s">
        <v>130</v>
      </c>
      <c r="CH3064" s="0" t="s">
        <v>130</v>
      </c>
      <c r="CI3064" s="0" t="s">
        <v>130</v>
      </c>
      <c r="CJ3064" s="0" t="s">
        <v>130</v>
      </c>
      <c r="CK3064" s="0" t="s">
        <v>130</v>
      </c>
      <c r="CL3064" s="0" t="s">
        <v>130</v>
      </c>
      <c r="CM3064" s="0" t="s">
        <v>130</v>
      </c>
      <c r="CN3064" s="0" t="s">
        <v>130</v>
      </c>
      <c r="CO3064" s="0" t="s">
        <v>130</v>
      </c>
      <c r="CP3064" s="0" t="s">
        <v>130</v>
      </c>
      <c r="CQ3064" s="0" t="s">
        <v>130</v>
      </c>
      <c r="CR3064" s="0" t="s">
        <v>130</v>
      </c>
      <c r="CS3064" s="0" t="s">
        <v>130</v>
      </c>
      <c r="CT3064" s="0" t="s">
        <v>8208</v>
      </c>
    </row>
    <row r="3065">
      <c r="A3065" s="14">
        <v>51257766</v>
      </c>
      <c r="B3065" s="0" t="s">
        <v>4538</v>
      </c>
      <c r="C3065" s="16">
        <f>HYPERLINK("https://eosportal.federatedhermes.com/companies/Q29tcGFueQppNTg5NzM=", "Vistra Corp")</f>
      </c>
      <c r="D3065" s="0" t="s">
        <v>25</v>
      </c>
      <c r="E3065" s="0" t="s">
        <v>8177</v>
      </c>
      <c r="F3065" s="16">
        <f>HYPERLINK("https://eosportal.federatedhermes.com/engagements/RW5nYWdlbWVudAppNDIyNzU=", "AI-related environmental/social opportunities and risks")</f>
      </c>
      <c r="G3065" s="14" t="s">
        <v>8209</v>
      </c>
      <c r="H3065" s="0" t="s">
        <v>141</v>
      </c>
      <c r="I3065" s="14" t="s">
        <v>131</v>
      </c>
      <c r="J3065" s="0" t="s">
        <v>197</v>
      </c>
      <c r="K3065" s="0" t="s">
        <v>198</v>
      </c>
      <c r="L3065" s="0" t="s">
        <v>220</v>
      </c>
      <c r="M3065" s="0" t="s">
        <v>135</v>
      </c>
      <c r="N3065" s="0" t="s">
        <v>136</v>
      </c>
      <c r="O3065" s="0" t="s">
        <v>192</v>
      </c>
      <c r="Q3065" s="0" t="s">
        <v>141</v>
      </c>
      <c r="R3065" s="0" t="s">
        <v>138</v>
      </c>
      <c r="S3065" s="14">
        <v>1</v>
      </c>
      <c r="T3065" s="0" t="s">
        <v>361</v>
      </c>
      <c r="U3065" s="0" t="s">
        <v>138</v>
      </c>
      <c r="V3065" s="14" t="s">
        <v>138</v>
      </c>
      <c r="W3065" s="0" t="s">
        <v>138</v>
      </c>
      <c r="X3065" s="14" t="s">
        <v>138</v>
      </c>
      <c r="Y3065" s="0" t="s">
        <v>138</v>
      </c>
      <c r="Z3065" s="14" t="s">
        <v>138</v>
      </c>
      <c r="AA3065" s="0" t="s">
        <v>138</v>
      </c>
      <c r="AB3065" s="14" t="s">
        <v>138</v>
      </c>
      <c r="AD3065" s="0" t="s">
        <v>138</v>
      </c>
      <c r="AF3065" s="0">
        <v>0</v>
      </c>
      <c r="AG3065" s="0">
        <v>0</v>
      </c>
      <c r="AH3065" s="0" t="s">
        <v>140</v>
      </c>
      <c r="AI3065" s="0" t="s">
        <v>138</v>
      </c>
      <c r="AK3065" s="0" t="s">
        <v>749</v>
      </c>
      <c r="AL3065" s="14"/>
      <c r="AN3065" s="14"/>
      <c r="AQ3065" s="0" t="s">
        <v>130</v>
      </c>
      <c r="AR3065" s="0" t="s">
        <v>130</v>
      </c>
      <c r="AS3065" s="0" t="s">
        <v>130</v>
      </c>
      <c r="AT3065" s="0" t="s">
        <v>130</v>
      </c>
      <c r="AU3065" s="0" t="s">
        <v>130</v>
      </c>
      <c r="AV3065" s="0" t="s">
        <v>130</v>
      </c>
      <c r="AW3065" s="0" t="s">
        <v>141</v>
      </c>
      <c r="AX3065" s="0" t="s">
        <v>130</v>
      </c>
      <c r="AY3065" s="0" t="s">
        <v>130</v>
      </c>
      <c r="AZ3065" s="0" t="s">
        <v>130</v>
      </c>
      <c r="BA3065" s="0" t="s">
        <v>130</v>
      </c>
      <c r="BB3065" s="0" t="s">
        <v>130</v>
      </c>
      <c r="BC3065" s="0" t="s">
        <v>130</v>
      </c>
      <c r="BD3065" s="0" t="s">
        <v>130</v>
      </c>
      <c r="BE3065" s="0" t="s">
        <v>130</v>
      </c>
      <c r="BF3065" s="0" t="s">
        <v>130</v>
      </c>
      <c r="BG3065" s="0" t="s">
        <v>130</v>
      </c>
      <c r="BH3065" s="0" t="s">
        <v>130</v>
      </c>
      <c r="BI3065" s="0" t="s">
        <v>130</v>
      </c>
      <c r="BJ3065" s="0" t="s">
        <v>130</v>
      </c>
      <c r="BK3065" s="0" t="s">
        <v>130</v>
      </c>
      <c r="BL3065" s="0" t="s">
        <v>130</v>
      </c>
      <c r="BM3065" s="0" t="s">
        <v>130</v>
      </c>
      <c r="BN3065" s="0" t="s">
        <v>130</v>
      </c>
      <c r="BO3065" s="0" t="s">
        <v>130</v>
      </c>
      <c r="BP3065" s="0" t="s">
        <v>130</v>
      </c>
      <c r="BQ3065" s="0" t="s">
        <v>130</v>
      </c>
      <c r="BR3065" s="0" t="s">
        <v>130</v>
      </c>
      <c r="BS3065" s="0" t="s">
        <v>130</v>
      </c>
      <c r="BT3065" s="0" t="s">
        <v>130</v>
      </c>
      <c r="BU3065" s="0" t="s">
        <v>130</v>
      </c>
      <c r="BV3065" s="0" t="s">
        <v>130</v>
      </c>
      <c r="BW3065" s="0" t="s">
        <v>130</v>
      </c>
      <c r="BX3065" s="0" t="s">
        <v>130</v>
      </c>
      <c r="BY3065" s="0" t="s">
        <v>130</v>
      </c>
      <c r="BZ3065" s="0" t="s">
        <v>130</v>
      </c>
      <c r="CA3065" s="0" t="s">
        <v>130</v>
      </c>
      <c r="CB3065" s="0" t="s">
        <v>130</v>
      </c>
      <c r="CC3065" s="0" t="s">
        <v>130</v>
      </c>
      <c r="CD3065" s="0" t="s">
        <v>130</v>
      </c>
      <c r="CE3065" s="0" t="s">
        <v>130</v>
      </c>
      <c r="CF3065" s="0" t="s">
        <v>130</v>
      </c>
      <c r="CG3065" s="0" t="s">
        <v>130</v>
      </c>
      <c r="CH3065" s="0" t="s">
        <v>130</v>
      </c>
      <c r="CI3065" s="0" t="s">
        <v>130</v>
      </c>
      <c r="CJ3065" s="0" t="s">
        <v>130</v>
      </c>
      <c r="CK3065" s="0" t="s">
        <v>130</v>
      </c>
      <c r="CL3065" s="0" t="s">
        <v>130</v>
      </c>
      <c r="CM3065" s="0" t="s">
        <v>130</v>
      </c>
      <c r="CN3065" s="0" t="s">
        <v>130</v>
      </c>
      <c r="CO3065" s="0" t="s">
        <v>130</v>
      </c>
      <c r="CP3065" s="0" t="s">
        <v>130</v>
      </c>
      <c r="CQ3065" s="0" t="s">
        <v>130</v>
      </c>
      <c r="CR3065" s="0" t="s">
        <v>130</v>
      </c>
      <c r="CS3065" s="0" t="s">
        <v>130</v>
      </c>
      <c r="CT3065" s="0" t="s">
        <v>8210</v>
      </c>
    </row>
    <row r="3066">
      <c r="A3066" s="14">
        <v>100060</v>
      </c>
      <c r="B3066" s="0" t="s">
        <v>188</v>
      </c>
      <c r="C3066" s="16">
        <f>HYPERLINK("https://eosportal.federatedhermes.com/companies/Q29tcGFueQppNjI0OTY=", "American Electric Power Co Inc")</f>
      </c>
      <c r="D3066" s="0" t="s">
        <v>25</v>
      </c>
      <c r="E3066" s="0" t="s">
        <v>8177</v>
      </c>
      <c r="F3066" s="16">
        <f>HYPERLINK("https://eosportal.federatedhermes.com/engagements/RW5nYWdlbWVudAppNDIyNzg=", "AI-related environmental/social opportunities and risks")</f>
      </c>
      <c r="G3066" s="14" t="s">
        <v>8211</v>
      </c>
      <c r="H3066" s="0" t="s">
        <v>141</v>
      </c>
      <c r="I3066" s="14" t="s">
        <v>191</v>
      </c>
      <c r="J3066" s="0" t="s">
        <v>197</v>
      </c>
      <c r="K3066" s="0" t="s">
        <v>198</v>
      </c>
      <c r="L3066" s="0" t="s">
        <v>220</v>
      </c>
      <c r="M3066" s="0" t="s">
        <v>135</v>
      </c>
      <c r="N3066" s="0" t="s">
        <v>136</v>
      </c>
      <c r="O3066" s="0" t="s">
        <v>192</v>
      </c>
      <c r="Q3066" s="0" t="s">
        <v>141</v>
      </c>
      <c r="R3066" s="0" t="s">
        <v>138</v>
      </c>
      <c r="S3066" s="14">
        <v>2</v>
      </c>
      <c r="T3066" s="0" t="s">
        <v>361</v>
      </c>
      <c r="U3066" s="0" t="s">
        <v>138</v>
      </c>
      <c r="V3066" s="14" t="s">
        <v>138</v>
      </c>
      <c r="W3066" s="0" t="s">
        <v>138</v>
      </c>
      <c r="X3066" s="14" t="s">
        <v>138</v>
      </c>
      <c r="Y3066" s="0" t="s">
        <v>138</v>
      </c>
      <c r="Z3066" s="14" t="s">
        <v>138</v>
      </c>
      <c r="AA3066" s="0" t="s">
        <v>138</v>
      </c>
      <c r="AB3066" s="14" t="s">
        <v>138</v>
      </c>
      <c r="AD3066" s="0" t="s">
        <v>138</v>
      </c>
      <c r="AF3066" s="0">
        <v>0</v>
      </c>
      <c r="AG3066" s="0">
        <v>0</v>
      </c>
      <c r="AH3066" s="0" t="s">
        <v>140</v>
      </c>
      <c r="AI3066" s="0" t="s">
        <v>138</v>
      </c>
      <c r="AK3066" s="0" t="s">
        <v>233</v>
      </c>
      <c r="AL3066" s="14"/>
      <c r="AN3066" s="14"/>
      <c r="AQ3066" s="0" t="s">
        <v>130</v>
      </c>
      <c r="AR3066" s="0" t="s">
        <v>130</v>
      </c>
      <c r="AS3066" s="0" t="s">
        <v>130</v>
      </c>
      <c r="AT3066" s="0" t="s">
        <v>130</v>
      </c>
      <c r="AU3066" s="0" t="s">
        <v>130</v>
      </c>
      <c r="AV3066" s="0" t="s">
        <v>130</v>
      </c>
      <c r="AW3066" s="0" t="s">
        <v>141</v>
      </c>
      <c r="AX3066" s="0" t="s">
        <v>130</v>
      </c>
      <c r="AY3066" s="0" t="s">
        <v>130</v>
      </c>
      <c r="AZ3066" s="0" t="s">
        <v>130</v>
      </c>
      <c r="BA3066" s="0" t="s">
        <v>130</v>
      </c>
      <c r="BB3066" s="0" t="s">
        <v>130</v>
      </c>
      <c r="BC3066" s="0" t="s">
        <v>130</v>
      </c>
      <c r="BD3066" s="0" t="s">
        <v>130</v>
      </c>
      <c r="BE3066" s="0" t="s">
        <v>130</v>
      </c>
      <c r="BF3066" s="0" t="s">
        <v>130</v>
      </c>
      <c r="BG3066" s="0" t="s">
        <v>130</v>
      </c>
      <c r="BH3066" s="0" t="s">
        <v>130</v>
      </c>
      <c r="BI3066" s="0" t="s">
        <v>130</v>
      </c>
      <c r="BJ3066" s="0" t="s">
        <v>130</v>
      </c>
      <c r="BK3066" s="0" t="s">
        <v>130</v>
      </c>
      <c r="BL3066" s="0" t="s">
        <v>130</v>
      </c>
      <c r="BM3066" s="0" t="s">
        <v>130</v>
      </c>
      <c r="BN3066" s="0" t="s">
        <v>130</v>
      </c>
      <c r="BO3066" s="0" t="s">
        <v>130</v>
      </c>
      <c r="BP3066" s="0" t="s">
        <v>130</v>
      </c>
      <c r="BQ3066" s="0" t="s">
        <v>130</v>
      </c>
      <c r="BR3066" s="0" t="s">
        <v>130</v>
      </c>
      <c r="BS3066" s="0" t="s">
        <v>130</v>
      </c>
      <c r="BT3066" s="0" t="s">
        <v>130</v>
      </c>
      <c r="BU3066" s="0" t="s">
        <v>130</v>
      </c>
      <c r="BV3066" s="0" t="s">
        <v>130</v>
      </c>
      <c r="BW3066" s="0" t="s">
        <v>130</v>
      </c>
      <c r="BX3066" s="0" t="s">
        <v>130</v>
      </c>
      <c r="BY3066" s="0" t="s">
        <v>130</v>
      </c>
      <c r="BZ3066" s="0" t="s">
        <v>130</v>
      </c>
      <c r="CA3066" s="0" t="s">
        <v>130</v>
      </c>
      <c r="CB3066" s="0" t="s">
        <v>130</v>
      </c>
      <c r="CC3066" s="0" t="s">
        <v>130</v>
      </c>
      <c r="CD3066" s="0" t="s">
        <v>130</v>
      </c>
      <c r="CE3066" s="0" t="s">
        <v>130</v>
      </c>
      <c r="CF3066" s="0" t="s">
        <v>130</v>
      </c>
      <c r="CG3066" s="0" t="s">
        <v>130</v>
      </c>
      <c r="CH3066" s="0" t="s">
        <v>130</v>
      </c>
      <c r="CI3066" s="0" t="s">
        <v>130</v>
      </c>
      <c r="CJ3066" s="0" t="s">
        <v>130</v>
      </c>
      <c r="CK3066" s="0" t="s">
        <v>130</v>
      </c>
      <c r="CL3066" s="0" t="s">
        <v>130</v>
      </c>
      <c r="CM3066" s="0" t="s">
        <v>130</v>
      </c>
      <c r="CN3066" s="0" t="s">
        <v>130</v>
      </c>
      <c r="CO3066" s="0" t="s">
        <v>130</v>
      </c>
      <c r="CP3066" s="0" t="s">
        <v>130</v>
      </c>
      <c r="CQ3066" s="0" t="s">
        <v>130</v>
      </c>
      <c r="CR3066" s="0" t="s">
        <v>130</v>
      </c>
      <c r="CS3066" s="0" t="s">
        <v>130</v>
      </c>
      <c r="CT3066" s="0" t="s">
        <v>8212</v>
      </c>
    </row>
    <row r="3067">
      <c r="A3067" s="14">
        <v>115518</v>
      </c>
      <c r="B3067" s="0" t="s">
        <v>2451</v>
      </c>
      <c r="C3067" s="16">
        <f>HYPERLINK("https://eosportal.federatedhermes.com/companies/Q29tcGFueQppNjMxNjU=", "Schneider Electric SE")</f>
      </c>
      <c r="D3067" s="0" t="s">
        <v>25</v>
      </c>
      <c r="E3067" s="0" t="s">
        <v>8162</v>
      </c>
      <c r="F3067" s="16">
        <f>HYPERLINK("https://eosportal.federatedhermes.com/engagements/RW5nYWdlbWVudAppNDIyNzk=", "Enterprise AI workforce impact")</f>
      </c>
      <c r="G3067" s="14" t="s">
        <v>8091</v>
      </c>
      <c r="H3067" s="0" t="s">
        <v>141</v>
      </c>
      <c r="I3067" s="14" t="s">
        <v>131</v>
      </c>
      <c r="J3067" s="0" t="s">
        <v>153</v>
      </c>
      <c r="K3067" s="0" t="s">
        <v>154</v>
      </c>
      <c r="L3067" s="0" t="s">
        <v>268</v>
      </c>
      <c r="M3067" s="0" t="s">
        <v>378</v>
      </c>
      <c r="N3067" s="0" t="s">
        <v>1646</v>
      </c>
      <c r="O3067" s="0" t="s">
        <v>176</v>
      </c>
      <c r="Q3067" s="0" t="s">
        <v>141</v>
      </c>
      <c r="R3067" s="0" t="s">
        <v>138</v>
      </c>
      <c r="S3067" s="14">
        <v>1</v>
      </c>
      <c r="T3067" s="0" t="s">
        <v>361</v>
      </c>
      <c r="U3067" s="0" t="s">
        <v>138</v>
      </c>
      <c r="V3067" s="14" t="s">
        <v>138</v>
      </c>
      <c r="W3067" s="0" t="s">
        <v>138</v>
      </c>
      <c r="X3067" s="14" t="s">
        <v>138</v>
      </c>
      <c r="Y3067" s="0" t="s">
        <v>138</v>
      </c>
      <c r="Z3067" s="14" t="s">
        <v>138</v>
      </c>
      <c r="AA3067" s="0" t="s">
        <v>138</v>
      </c>
      <c r="AB3067" s="14" t="s">
        <v>138</v>
      </c>
      <c r="AD3067" s="0" t="s">
        <v>138</v>
      </c>
      <c r="AF3067" s="0">
        <v>0</v>
      </c>
      <c r="AG3067" s="0">
        <v>0</v>
      </c>
      <c r="AH3067" s="0" t="s">
        <v>140</v>
      </c>
      <c r="AI3067" s="0" t="s">
        <v>138</v>
      </c>
      <c r="AK3067" s="0" t="s">
        <v>2588</v>
      </c>
      <c r="AL3067" s="14"/>
      <c r="AN3067" s="14"/>
      <c r="AQ3067" s="0" t="s">
        <v>130</v>
      </c>
      <c r="AR3067" s="0" t="s">
        <v>130</v>
      </c>
      <c r="AS3067" s="0" t="s">
        <v>130</v>
      </c>
      <c r="AT3067" s="0" t="s">
        <v>141</v>
      </c>
      <c r="AU3067" s="0" t="s">
        <v>130</v>
      </c>
      <c r="AV3067" s="0" t="s">
        <v>130</v>
      </c>
      <c r="AW3067" s="0" t="s">
        <v>130</v>
      </c>
      <c r="AX3067" s="0" t="s">
        <v>141</v>
      </c>
      <c r="AY3067" s="0" t="s">
        <v>130</v>
      </c>
      <c r="AZ3067" s="0" t="s">
        <v>130</v>
      </c>
      <c r="BA3067" s="0" t="s">
        <v>130</v>
      </c>
      <c r="BB3067" s="0" t="s">
        <v>130</v>
      </c>
      <c r="BC3067" s="0" t="s">
        <v>130</v>
      </c>
      <c r="BD3067" s="0" t="s">
        <v>130</v>
      </c>
      <c r="BE3067" s="0" t="s">
        <v>130</v>
      </c>
      <c r="BF3067" s="0" t="s">
        <v>130</v>
      </c>
      <c r="BG3067" s="0" t="s">
        <v>130</v>
      </c>
      <c r="BH3067" s="0" t="s">
        <v>130</v>
      </c>
      <c r="BI3067" s="0" t="s">
        <v>130</v>
      </c>
      <c r="BJ3067" s="0" t="s">
        <v>130</v>
      </c>
      <c r="BK3067" s="0" t="s">
        <v>130</v>
      </c>
      <c r="BL3067" s="0" t="s">
        <v>130</v>
      </c>
      <c r="BM3067" s="0" t="s">
        <v>130</v>
      </c>
      <c r="BN3067" s="0" t="s">
        <v>130</v>
      </c>
      <c r="BO3067" s="0" t="s">
        <v>130</v>
      </c>
      <c r="BP3067" s="0" t="s">
        <v>130</v>
      </c>
      <c r="BQ3067" s="0" t="s">
        <v>130</v>
      </c>
      <c r="BR3067" s="0" t="s">
        <v>130</v>
      </c>
      <c r="BS3067" s="0" t="s">
        <v>130</v>
      </c>
      <c r="BT3067" s="0" t="s">
        <v>130</v>
      </c>
      <c r="BU3067" s="0" t="s">
        <v>130</v>
      </c>
      <c r="BV3067" s="0" t="s">
        <v>130</v>
      </c>
      <c r="BW3067" s="0" t="s">
        <v>130</v>
      </c>
      <c r="BX3067" s="0" t="s">
        <v>130</v>
      </c>
      <c r="BY3067" s="0" t="s">
        <v>130</v>
      </c>
      <c r="BZ3067" s="0" t="s">
        <v>130</v>
      </c>
      <c r="CA3067" s="0" t="s">
        <v>130</v>
      </c>
      <c r="CB3067" s="0" t="s">
        <v>130</v>
      </c>
      <c r="CC3067" s="0" t="s">
        <v>130</v>
      </c>
      <c r="CD3067" s="0" t="s">
        <v>130</v>
      </c>
      <c r="CE3067" s="0" t="s">
        <v>130</v>
      </c>
      <c r="CF3067" s="0" t="s">
        <v>130</v>
      </c>
      <c r="CG3067" s="0" t="s">
        <v>130</v>
      </c>
      <c r="CH3067" s="0" t="s">
        <v>130</v>
      </c>
      <c r="CI3067" s="0" t="s">
        <v>130</v>
      </c>
      <c r="CJ3067" s="0" t="s">
        <v>130</v>
      </c>
      <c r="CK3067" s="0" t="s">
        <v>141</v>
      </c>
      <c r="CL3067" s="0" t="s">
        <v>130</v>
      </c>
      <c r="CM3067" s="0" t="s">
        <v>130</v>
      </c>
      <c r="CN3067" s="0" t="s">
        <v>130</v>
      </c>
      <c r="CO3067" s="0" t="s">
        <v>130</v>
      </c>
      <c r="CP3067" s="0" t="s">
        <v>130</v>
      </c>
      <c r="CQ3067" s="0" t="s">
        <v>130</v>
      </c>
      <c r="CR3067" s="0" t="s">
        <v>130</v>
      </c>
      <c r="CS3067" s="0" t="s">
        <v>130</v>
      </c>
      <c r="CT3067" s="0" t="s">
        <v>8213</v>
      </c>
    </row>
    <row r="3068">
      <c r="A3068" s="14">
        <v>108620</v>
      </c>
      <c r="B3068" s="0" t="s">
        <v>2194</v>
      </c>
      <c r="C3068" s="16">
        <f>HYPERLINK("https://eosportal.federatedhermes.com/companies/Q29tcGFueQppNzU3MjE=", "Canadian Imperial Bank of Commerce")</f>
      </c>
      <c r="D3068" s="0" t="s">
        <v>23</v>
      </c>
      <c r="E3068" s="0" t="s">
        <v>5278</v>
      </c>
      <c r="F3068" s="16">
        <f>HYPERLINK("https://eosportal.federatedhermes.com/engagements/RW5nYWdlbWVudAppNDIyOTU=", "Pay gap reporting")</f>
      </c>
      <c r="G3068" s="14" t="s">
        <v>8214</v>
      </c>
      <c r="H3068" s="0" t="s">
        <v>141</v>
      </c>
      <c r="I3068" s="14" t="s">
        <v>191</v>
      </c>
      <c r="J3068" s="0" t="s">
        <v>153</v>
      </c>
      <c r="K3068" s="0" t="s">
        <v>154</v>
      </c>
      <c r="L3068" s="0" t="s">
        <v>268</v>
      </c>
      <c r="M3068" s="0" t="s">
        <v>135</v>
      </c>
      <c r="N3068" s="0" t="s">
        <v>1678</v>
      </c>
      <c r="O3068" s="0" t="s">
        <v>238</v>
      </c>
      <c r="Q3068" s="0" t="s">
        <v>141</v>
      </c>
      <c r="R3068" s="0" t="s">
        <v>141</v>
      </c>
      <c r="S3068" s="14">
        <v>2</v>
      </c>
      <c r="T3068" s="0" t="s">
        <v>361</v>
      </c>
      <c r="U3068" s="0" t="s">
        <v>221</v>
      </c>
      <c r="V3068" s="14" t="s">
        <v>361</v>
      </c>
      <c r="W3068" s="0" t="s">
        <v>223</v>
      </c>
      <c r="X3068" s="14" t="s">
        <v>138</v>
      </c>
      <c r="Y3068" s="0" t="s">
        <v>224</v>
      </c>
      <c r="Z3068" s="14" t="s">
        <v>138</v>
      </c>
      <c r="AA3068" s="0" t="s">
        <v>224</v>
      </c>
      <c r="AB3068" s="14" t="s">
        <v>138</v>
      </c>
      <c r="AC3068" s="0" t="s">
        <v>11</v>
      </c>
      <c r="AD3068" s="0" t="s">
        <v>14</v>
      </c>
      <c r="AE3068" s="0" t="s">
        <v>7914</v>
      </c>
      <c r="AF3068" s="0">
        <v>1</v>
      </c>
      <c r="AG3068" s="0">
        <v>0</v>
      </c>
      <c r="AH3068" s="0" t="s">
        <v>140</v>
      </c>
      <c r="AI3068" s="0" t="s">
        <v>598</v>
      </c>
      <c r="AK3068" s="0" t="s">
        <v>1950</v>
      </c>
      <c r="AL3068" s="14"/>
      <c r="AN3068" s="14"/>
      <c r="AQ3068" s="0" t="s">
        <v>130</v>
      </c>
      <c r="AR3068" s="0" t="s">
        <v>130</v>
      </c>
      <c r="AS3068" s="0" t="s">
        <v>141</v>
      </c>
      <c r="AT3068" s="0" t="s">
        <v>141</v>
      </c>
      <c r="AU3068" s="0" t="s">
        <v>141</v>
      </c>
      <c r="AV3068" s="0" t="s">
        <v>130</v>
      </c>
      <c r="AW3068" s="0" t="s">
        <v>130</v>
      </c>
      <c r="AX3068" s="0" t="s">
        <v>141</v>
      </c>
      <c r="AY3068" s="0" t="s">
        <v>130</v>
      </c>
      <c r="AZ3068" s="0" t="s">
        <v>141</v>
      </c>
      <c r="BA3068" s="0" t="s">
        <v>130</v>
      </c>
      <c r="BB3068" s="0" t="s">
        <v>130</v>
      </c>
      <c r="BC3068" s="0" t="s">
        <v>130</v>
      </c>
      <c r="BD3068" s="0" t="s">
        <v>130</v>
      </c>
      <c r="BE3068" s="0" t="s">
        <v>130</v>
      </c>
      <c r="BF3068" s="0" t="s">
        <v>141</v>
      </c>
      <c r="BG3068" s="0" t="s">
        <v>130</v>
      </c>
      <c r="BH3068" s="0" t="s">
        <v>130</v>
      </c>
      <c r="BI3068" s="0" t="s">
        <v>130</v>
      </c>
      <c r="BJ3068" s="0" t="s">
        <v>130</v>
      </c>
      <c r="BK3068" s="0" t="s">
        <v>130</v>
      </c>
      <c r="BL3068" s="0" t="s">
        <v>130</v>
      </c>
      <c r="BM3068" s="0" t="s">
        <v>130</v>
      </c>
      <c r="BN3068" s="0" t="s">
        <v>130</v>
      </c>
      <c r="BO3068" s="0" t="s">
        <v>130</v>
      </c>
      <c r="BP3068" s="0" t="s">
        <v>130</v>
      </c>
      <c r="BQ3068" s="0" t="s">
        <v>130</v>
      </c>
      <c r="BR3068" s="0" t="s">
        <v>130</v>
      </c>
      <c r="BS3068" s="0" t="s">
        <v>130</v>
      </c>
      <c r="BT3068" s="0" t="s">
        <v>130</v>
      </c>
      <c r="BU3068" s="0" t="s">
        <v>130</v>
      </c>
      <c r="BV3068" s="0" t="s">
        <v>130</v>
      </c>
      <c r="BW3068" s="0" t="s">
        <v>130</v>
      </c>
      <c r="BX3068" s="0" t="s">
        <v>130</v>
      </c>
      <c r="BY3068" s="0" t="s">
        <v>130</v>
      </c>
      <c r="BZ3068" s="0" t="s">
        <v>130</v>
      </c>
      <c r="CA3068" s="0" t="s">
        <v>130</v>
      </c>
      <c r="CB3068" s="0" t="s">
        <v>130</v>
      </c>
      <c r="CC3068" s="0" t="s">
        <v>130</v>
      </c>
      <c r="CD3068" s="0" t="s">
        <v>130</v>
      </c>
      <c r="CE3068" s="0" t="s">
        <v>130</v>
      </c>
      <c r="CF3068" s="0" t="s">
        <v>130</v>
      </c>
      <c r="CG3068" s="0" t="s">
        <v>130</v>
      </c>
      <c r="CH3068" s="0" t="s">
        <v>130</v>
      </c>
      <c r="CI3068" s="0" t="s">
        <v>130</v>
      </c>
      <c r="CJ3068" s="0" t="s">
        <v>130</v>
      </c>
      <c r="CK3068" s="0" t="s">
        <v>141</v>
      </c>
      <c r="CL3068" s="0" t="s">
        <v>130</v>
      </c>
      <c r="CM3068" s="0" t="s">
        <v>130</v>
      </c>
      <c r="CN3068" s="0" t="s">
        <v>130</v>
      </c>
      <c r="CO3068" s="0" t="s">
        <v>130</v>
      </c>
      <c r="CP3068" s="0" t="s">
        <v>130</v>
      </c>
      <c r="CQ3068" s="0" t="s">
        <v>130</v>
      </c>
      <c r="CR3068" s="0" t="s">
        <v>130</v>
      </c>
      <c r="CS3068" s="0" t="s">
        <v>130</v>
      </c>
      <c r="CT3068" s="0" t="s">
        <v>8215</v>
      </c>
    </row>
    <row r="3069">
      <c r="A3069" s="14">
        <v>108620</v>
      </c>
      <c r="B3069" s="0" t="s">
        <v>2194</v>
      </c>
      <c r="C3069" s="16">
        <f>HYPERLINK("https://eosportal.federatedhermes.com/companies/Q29tcGFueQppNzU3MjE=", "Canadian Imperial Bank of Commerce")</f>
      </c>
      <c r="D3069" s="0" t="s">
        <v>23</v>
      </c>
      <c r="E3069" s="0" t="s">
        <v>8216</v>
      </c>
      <c r="F3069" s="16">
        <f>HYPERLINK("https://eosportal.federatedhermes.com/engagements/RW5nYWdlbWVudAppNDIyOTY=", "Workforce disclosure metrics")</f>
      </c>
      <c r="G3069" s="14" t="s">
        <v>8217</v>
      </c>
      <c r="H3069" s="0" t="s">
        <v>141</v>
      </c>
      <c r="I3069" s="14" t="s">
        <v>191</v>
      </c>
      <c r="J3069" s="0" t="s">
        <v>153</v>
      </c>
      <c r="K3069" s="0" t="s">
        <v>154</v>
      </c>
      <c r="L3069" s="0" t="s">
        <v>268</v>
      </c>
      <c r="M3069" s="0" t="s">
        <v>135</v>
      </c>
      <c r="N3069" s="0" t="s">
        <v>1678</v>
      </c>
      <c r="O3069" s="0" t="s">
        <v>238</v>
      </c>
      <c r="Q3069" s="0" t="s">
        <v>141</v>
      </c>
      <c r="R3069" s="0" t="s">
        <v>130</v>
      </c>
      <c r="S3069" s="14">
        <v>2</v>
      </c>
      <c r="T3069" s="0" t="s">
        <v>2428</v>
      </c>
      <c r="U3069" s="0" t="s">
        <v>221</v>
      </c>
      <c r="V3069" s="14" t="s">
        <v>2428</v>
      </c>
      <c r="W3069" s="0" t="s">
        <v>223</v>
      </c>
      <c r="X3069" s="14" t="s">
        <v>138</v>
      </c>
      <c r="Y3069" s="0" t="s">
        <v>224</v>
      </c>
      <c r="Z3069" s="14" t="s">
        <v>138</v>
      </c>
      <c r="AA3069" s="0" t="s">
        <v>224</v>
      </c>
      <c r="AB3069" s="14" t="s">
        <v>138</v>
      </c>
      <c r="AD3069" s="0" t="s">
        <v>14</v>
      </c>
      <c r="AF3069" s="0">
        <v>0</v>
      </c>
      <c r="AG3069" s="0">
        <v>0</v>
      </c>
      <c r="AH3069" s="0" t="s">
        <v>140</v>
      </c>
      <c r="AI3069" s="0" t="s">
        <v>598</v>
      </c>
      <c r="AK3069" s="0" t="s">
        <v>1950</v>
      </c>
      <c r="AL3069" s="14"/>
      <c r="AN3069" s="14"/>
      <c r="AQ3069" s="0" t="s">
        <v>130</v>
      </c>
      <c r="AR3069" s="0" t="s">
        <v>130</v>
      </c>
      <c r="AS3069" s="0" t="s">
        <v>141</v>
      </c>
      <c r="AT3069" s="0" t="s">
        <v>141</v>
      </c>
      <c r="AU3069" s="0" t="s">
        <v>141</v>
      </c>
      <c r="AV3069" s="0" t="s">
        <v>130</v>
      </c>
      <c r="AW3069" s="0" t="s">
        <v>130</v>
      </c>
      <c r="AX3069" s="0" t="s">
        <v>141</v>
      </c>
      <c r="AY3069" s="0" t="s">
        <v>130</v>
      </c>
      <c r="AZ3069" s="0" t="s">
        <v>141</v>
      </c>
      <c r="BA3069" s="0" t="s">
        <v>130</v>
      </c>
      <c r="BB3069" s="0" t="s">
        <v>130</v>
      </c>
      <c r="BC3069" s="0" t="s">
        <v>130</v>
      </c>
      <c r="BD3069" s="0" t="s">
        <v>130</v>
      </c>
      <c r="BE3069" s="0" t="s">
        <v>130</v>
      </c>
      <c r="BF3069" s="0" t="s">
        <v>141</v>
      </c>
      <c r="BG3069" s="0" t="s">
        <v>130</v>
      </c>
      <c r="BH3069" s="0" t="s">
        <v>130</v>
      </c>
      <c r="BI3069" s="0" t="s">
        <v>130</v>
      </c>
      <c r="BJ3069" s="0" t="s">
        <v>130</v>
      </c>
      <c r="BK3069" s="0" t="s">
        <v>130</v>
      </c>
      <c r="BL3069" s="0" t="s">
        <v>130</v>
      </c>
      <c r="BM3069" s="0" t="s">
        <v>130</v>
      </c>
      <c r="BN3069" s="0" t="s">
        <v>130</v>
      </c>
      <c r="BO3069" s="0" t="s">
        <v>130</v>
      </c>
      <c r="BP3069" s="0" t="s">
        <v>130</v>
      </c>
      <c r="BQ3069" s="0" t="s">
        <v>130</v>
      </c>
      <c r="BR3069" s="0" t="s">
        <v>130</v>
      </c>
      <c r="BS3069" s="0" t="s">
        <v>130</v>
      </c>
      <c r="BT3069" s="0" t="s">
        <v>130</v>
      </c>
      <c r="BU3069" s="0" t="s">
        <v>130</v>
      </c>
      <c r="BV3069" s="0" t="s">
        <v>130</v>
      </c>
      <c r="BW3069" s="0" t="s">
        <v>130</v>
      </c>
      <c r="BX3069" s="0" t="s">
        <v>130</v>
      </c>
      <c r="BY3069" s="0" t="s">
        <v>130</v>
      </c>
      <c r="BZ3069" s="0" t="s">
        <v>130</v>
      </c>
      <c r="CA3069" s="0" t="s">
        <v>130</v>
      </c>
      <c r="CB3069" s="0" t="s">
        <v>130</v>
      </c>
      <c r="CC3069" s="0" t="s">
        <v>130</v>
      </c>
      <c r="CD3069" s="0" t="s">
        <v>130</v>
      </c>
      <c r="CE3069" s="0" t="s">
        <v>130</v>
      </c>
      <c r="CF3069" s="0" t="s">
        <v>130</v>
      </c>
      <c r="CG3069" s="0" t="s">
        <v>130</v>
      </c>
      <c r="CH3069" s="0" t="s">
        <v>130</v>
      </c>
      <c r="CI3069" s="0" t="s">
        <v>130</v>
      </c>
      <c r="CJ3069" s="0" t="s">
        <v>130</v>
      </c>
      <c r="CK3069" s="0" t="s">
        <v>141</v>
      </c>
      <c r="CL3069" s="0" t="s">
        <v>130</v>
      </c>
      <c r="CM3069" s="0" t="s">
        <v>130</v>
      </c>
      <c r="CN3069" s="0" t="s">
        <v>130</v>
      </c>
      <c r="CO3069" s="0" t="s">
        <v>130</v>
      </c>
      <c r="CP3069" s="0" t="s">
        <v>130</v>
      </c>
      <c r="CQ3069" s="0" t="s">
        <v>130</v>
      </c>
      <c r="CR3069" s="0" t="s">
        <v>130</v>
      </c>
      <c r="CS3069" s="0" t="s">
        <v>130</v>
      </c>
      <c r="CT3069" s="0" t="s">
        <v>8218</v>
      </c>
    </row>
    <row r="3070">
      <c r="A3070" s="14">
        <v>11092218</v>
      </c>
      <c r="B3070" s="0" t="s">
        <v>3976</v>
      </c>
      <c r="C3070" s="16">
        <f>HYPERLINK("https://eosportal.federatedhermes.com/companies/Q29tcGFueQppNjI1MDE=", "Meta Platforms Inc")</f>
      </c>
      <c r="D3070" s="0" t="s">
        <v>23</v>
      </c>
      <c r="E3070" s="0" t="s">
        <v>8153</v>
      </c>
      <c r="F3070" s="16">
        <f>HYPERLINK("https://eosportal.federatedhermes.com/engagements/RW5nYWdlbWVudAppNDIyOTc=", "Independent board evaluation")</f>
      </c>
      <c r="G3070" s="14" t="s">
        <v>8154</v>
      </c>
      <c r="H3070" s="0" t="s">
        <v>141</v>
      </c>
      <c r="I3070" s="14" t="s">
        <v>191</v>
      </c>
      <c r="J3070" s="0" t="s">
        <v>145</v>
      </c>
      <c r="K3070" s="0" t="s">
        <v>164</v>
      </c>
      <c r="L3070" s="0" t="s">
        <v>970</v>
      </c>
      <c r="M3070" s="0" t="s">
        <v>135</v>
      </c>
      <c r="N3070" s="0" t="s">
        <v>136</v>
      </c>
      <c r="O3070" s="0" t="s">
        <v>137</v>
      </c>
      <c r="Q3070" s="0" t="s">
        <v>130</v>
      </c>
      <c r="R3070" s="0" t="s">
        <v>130</v>
      </c>
      <c r="S3070" s="14">
        <v>0</v>
      </c>
      <c r="T3070" s="0" t="s">
        <v>4412</v>
      </c>
      <c r="U3070" s="0" t="s">
        <v>221</v>
      </c>
      <c r="V3070" s="14" t="s">
        <v>4412</v>
      </c>
      <c r="W3070" s="0" t="s">
        <v>223</v>
      </c>
      <c r="X3070" s="14" t="s">
        <v>138</v>
      </c>
      <c r="Y3070" s="0" t="s">
        <v>224</v>
      </c>
      <c r="Z3070" s="14" t="s">
        <v>138</v>
      </c>
      <c r="AA3070" s="0" t="s">
        <v>224</v>
      </c>
      <c r="AB3070" s="14" t="s">
        <v>138</v>
      </c>
      <c r="AD3070" s="0" t="s">
        <v>14</v>
      </c>
      <c r="AF3070" s="0">
        <v>0</v>
      </c>
      <c r="AG3070" s="0">
        <v>0</v>
      </c>
      <c r="AH3070" s="0" t="s">
        <v>140</v>
      </c>
      <c r="AI3070" s="0" t="s">
        <v>598</v>
      </c>
      <c r="AL3070" s="14"/>
      <c r="AN3070" s="14"/>
      <c r="AQ3070" s="0" t="s">
        <v>130</v>
      </c>
      <c r="AR3070" s="0" t="s">
        <v>130</v>
      </c>
      <c r="AS3070" s="0" t="s">
        <v>130</v>
      </c>
      <c r="AT3070" s="0" t="s">
        <v>130</v>
      </c>
      <c r="AU3070" s="0" t="s">
        <v>130</v>
      </c>
      <c r="AV3070" s="0" t="s">
        <v>130</v>
      </c>
      <c r="AW3070" s="0" t="s">
        <v>130</v>
      </c>
      <c r="AX3070" s="0" t="s">
        <v>130</v>
      </c>
      <c r="AY3070" s="0" t="s">
        <v>130</v>
      </c>
      <c r="AZ3070" s="0" t="s">
        <v>130</v>
      </c>
      <c r="BA3070" s="0" t="s">
        <v>130</v>
      </c>
      <c r="BB3070" s="0" t="s">
        <v>130</v>
      </c>
      <c r="BC3070" s="0" t="s">
        <v>130</v>
      </c>
      <c r="BD3070" s="0" t="s">
        <v>130</v>
      </c>
      <c r="BE3070" s="0" t="s">
        <v>130</v>
      </c>
      <c r="BF3070" s="0" t="s">
        <v>130</v>
      </c>
      <c r="BG3070" s="0" t="s">
        <v>130</v>
      </c>
      <c r="BH3070" s="0" t="s">
        <v>130</v>
      </c>
      <c r="BI3070" s="0" t="s">
        <v>130</v>
      </c>
      <c r="BJ3070" s="0" t="s">
        <v>130</v>
      </c>
      <c r="BK3070" s="0" t="s">
        <v>130</v>
      </c>
      <c r="BL3070" s="0" t="s">
        <v>130</v>
      </c>
      <c r="BM3070" s="0" t="s">
        <v>130</v>
      </c>
      <c r="BN3070" s="0" t="s">
        <v>130</v>
      </c>
      <c r="BO3070" s="0" t="s">
        <v>130</v>
      </c>
      <c r="BP3070" s="0" t="s">
        <v>130</v>
      </c>
      <c r="BQ3070" s="0" t="s">
        <v>130</v>
      </c>
      <c r="BR3070" s="0" t="s">
        <v>130</v>
      </c>
      <c r="BS3070" s="0" t="s">
        <v>130</v>
      </c>
      <c r="BT3070" s="0" t="s">
        <v>130</v>
      </c>
      <c r="BU3070" s="0" t="s">
        <v>130</v>
      </c>
      <c r="BV3070" s="0" t="s">
        <v>130</v>
      </c>
      <c r="BW3070" s="0" t="s">
        <v>130</v>
      </c>
      <c r="BX3070" s="0" t="s">
        <v>130</v>
      </c>
      <c r="BY3070" s="0" t="s">
        <v>130</v>
      </c>
      <c r="BZ3070" s="0" t="s">
        <v>130</v>
      </c>
      <c r="CA3070" s="0" t="s">
        <v>130</v>
      </c>
      <c r="CB3070" s="0" t="s">
        <v>130</v>
      </c>
      <c r="CC3070" s="0" t="s">
        <v>130</v>
      </c>
      <c r="CD3070" s="0" t="s">
        <v>130</v>
      </c>
      <c r="CE3070" s="0" t="s">
        <v>130</v>
      </c>
      <c r="CF3070" s="0" t="s">
        <v>130</v>
      </c>
      <c r="CG3070" s="0" t="s">
        <v>130</v>
      </c>
      <c r="CH3070" s="0" t="s">
        <v>130</v>
      </c>
      <c r="CI3070" s="0" t="s">
        <v>130</v>
      </c>
      <c r="CJ3070" s="0" t="s">
        <v>130</v>
      </c>
      <c r="CK3070" s="0" t="s">
        <v>130</v>
      </c>
      <c r="CL3070" s="0" t="s">
        <v>130</v>
      </c>
      <c r="CM3070" s="0" t="s">
        <v>130</v>
      </c>
      <c r="CN3070" s="0" t="s">
        <v>130</v>
      </c>
      <c r="CO3070" s="0" t="s">
        <v>130</v>
      </c>
      <c r="CP3070" s="0" t="s">
        <v>130</v>
      </c>
      <c r="CQ3070" s="0" t="s">
        <v>130</v>
      </c>
      <c r="CR3070" s="0" t="s">
        <v>130</v>
      </c>
      <c r="CS3070" s="0" t="s">
        <v>130</v>
      </c>
      <c r="CT3070" s="0" t="s">
        <v>8219</v>
      </c>
    </row>
    <row r="3071">
      <c r="A3071" s="14">
        <v>46946968</v>
      </c>
      <c r="B3071" s="0" t="s">
        <v>4663</v>
      </c>
      <c r="C3071" s="16">
        <f>HYPERLINK("https://eosportal.federatedhermes.com/companies/Q29tcGFueQppNTE1MjI=", "Alphabet Inc")</f>
      </c>
      <c r="D3071" s="0" t="s">
        <v>23</v>
      </c>
      <c r="E3071" s="0" t="s">
        <v>8220</v>
      </c>
      <c r="F3071" s="16">
        <f>HYPERLINK("https://eosportal.federatedhermes.com/engagements/RW5nYWdlbWVudAppNDIyOTg=", "Enhanced HRIA Transparency")</f>
      </c>
      <c r="G3071" s="14" t="s">
        <v>8221</v>
      </c>
      <c r="H3071" s="0" t="s">
        <v>141</v>
      </c>
      <c r="I3071" s="14" t="s">
        <v>191</v>
      </c>
      <c r="J3071" s="0" t="s">
        <v>153</v>
      </c>
      <c r="K3071" s="0" t="s">
        <v>243</v>
      </c>
      <c r="L3071" s="0" t="s">
        <v>537</v>
      </c>
      <c r="M3071" s="0" t="s">
        <v>135</v>
      </c>
      <c r="N3071" s="0" t="s">
        <v>136</v>
      </c>
      <c r="O3071" s="0" t="s">
        <v>137</v>
      </c>
      <c r="Q3071" s="0" t="s">
        <v>141</v>
      </c>
      <c r="R3071" s="0" t="s">
        <v>141</v>
      </c>
      <c r="S3071" s="14">
        <v>2</v>
      </c>
      <c r="T3071" s="0" t="s">
        <v>361</v>
      </c>
      <c r="U3071" s="0" t="s">
        <v>221</v>
      </c>
      <c r="V3071" s="14" t="s">
        <v>361</v>
      </c>
      <c r="W3071" s="0" t="s">
        <v>221</v>
      </c>
      <c r="X3071" s="14" t="s">
        <v>361</v>
      </c>
      <c r="Y3071" s="0" t="s">
        <v>223</v>
      </c>
      <c r="Z3071" s="14" t="s">
        <v>138</v>
      </c>
      <c r="AA3071" s="0" t="s">
        <v>224</v>
      </c>
      <c r="AB3071" s="14" t="s">
        <v>138</v>
      </c>
      <c r="AC3071" s="0" t="s">
        <v>7928</v>
      </c>
      <c r="AD3071" s="0" t="s">
        <v>17</v>
      </c>
      <c r="AE3071" s="0" t="s">
        <v>7929</v>
      </c>
      <c r="AF3071" s="0">
        <v>2</v>
      </c>
      <c r="AG3071" s="0">
        <v>0</v>
      </c>
      <c r="AH3071" s="0" t="s">
        <v>140</v>
      </c>
      <c r="AI3071" s="0" t="s">
        <v>598</v>
      </c>
      <c r="AK3071" s="0" t="s">
        <v>4274</v>
      </c>
      <c r="AL3071" s="14"/>
      <c r="AN3071" s="14"/>
      <c r="AQ3071" s="0" t="s">
        <v>130</v>
      </c>
      <c r="AR3071" s="0" t="s">
        <v>130</v>
      </c>
      <c r="AS3071" s="0" t="s">
        <v>130</v>
      </c>
      <c r="AT3071" s="0" t="s">
        <v>130</v>
      </c>
      <c r="AU3071" s="0" t="s">
        <v>130</v>
      </c>
      <c r="AV3071" s="0" t="s">
        <v>130</v>
      </c>
      <c r="AW3071" s="0" t="s">
        <v>130</v>
      </c>
      <c r="AX3071" s="0" t="s">
        <v>130</v>
      </c>
      <c r="AY3071" s="0" t="s">
        <v>130</v>
      </c>
      <c r="AZ3071" s="0" t="s">
        <v>141</v>
      </c>
      <c r="BA3071" s="0" t="s">
        <v>130</v>
      </c>
      <c r="BB3071" s="0" t="s">
        <v>141</v>
      </c>
      <c r="BC3071" s="0" t="s">
        <v>130</v>
      </c>
      <c r="BD3071" s="0" t="s">
        <v>130</v>
      </c>
      <c r="BE3071" s="0" t="s">
        <v>130</v>
      </c>
      <c r="BF3071" s="0" t="s">
        <v>141</v>
      </c>
      <c r="BG3071" s="0" t="s">
        <v>130</v>
      </c>
      <c r="BH3071" s="0" t="s">
        <v>130</v>
      </c>
      <c r="BI3071" s="0" t="s">
        <v>130</v>
      </c>
      <c r="BJ3071" s="0" t="s">
        <v>130</v>
      </c>
      <c r="BK3071" s="0" t="s">
        <v>130</v>
      </c>
      <c r="BL3071" s="0" t="s">
        <v>130</v>
      </c>
      <c r="BM3071" s="0" t="s">
        <v>130</v>
      </c>
      <c r="BN3071" s="0" t="s">
        <v>130</v>
      </c>
      <c r="BO3071" s="0" t="s">
        <v>130</v>
      </c>
      <c r="BP3071" s="0" t="s">
        <v>130</v>
      </c>
      <c r="BQ3071" s="0" t="s">
        <v>130</v>
      </c>
      <c r="BR3071" s="0" t="s">
        <v>130</v>
      </c>
      <c r="BS3071" s="0" t="s">
        <v>130</v>
      </c>
      <c r="BT3071" s="0" t="s">
        <v>130</v>
      </c>
      <c r="BU3071" s="0" t="s">
        <v>130</v>
      </c>
      <c r="BV3071" s="0" t="s">
        <v>130</v>
      </c>
      <c r="BW3071" s="0" t="s">
        <v>130</v>
      </c>
      <c r="BX3071" s="0" t="s">
        <v>130</v>
      </c>
      <c r="BY3071" s="0" t="s">
        <v>130</v>
      </c>
      <c r="BZ3071" s="0" t="s">
        <v>130</v>
      </c>
      <c r="CA3071" s="0" t="s">
        <v>130</v>
      </c>
      <c r="CB3071" s="0" t="s">
        <v>130</v>
      </c>
      <c r="CC3071" s="0" t="s">
        <v>130</v>
      </c>
      <c r="CD3071" s="0" t="s">
        <v>130</v>
      </c>
      <c r="CE3071" s="0" t="s">
        <v>130</v>
      </c>
      <c r="CF3071" s="0" t="s">
        <v>130</v>
      </c>
      <c r="CG3071" s="0" t="s">
        <v>130</v>
      </c>
      <c r="CH3071" s="0" t="s">
        <v>130</v>
      </c>
      <c r="CI3071" s="0" t="s">
        <v>130</v>
      </c>
      <c r="CJ3071" s="0" t="s">
        <v>130</v>
      </c>
      <c r="CK3071" s="0" t="s">
        <v>130</v>
      </c>
      <c r="CL3071" s="0" t="s">
        <v>130</v>
      </c>
      <c r="CM3071" s="0" t="s">
        <v>130</v>
      </c>
      <c r="CN3071" s="0" t="s">
        <v>130</v>
      </c>
      <c r="CO3071" s="0" t="s">
        <v>130</v>
      </c>
      <c r="CP3071" s="0" t="s">
        <v>130</v>
      </c>
      <c r="CQ3071" s="0" t="s">
        <v>130</v>
      </c>
      <c r="CR3071" s="0" t="s">
        <v>130</v>
      </c>
      <c r="CS3071" s="0" t="s">
        <v>130</v>
      </c>
      <c r="CT3071" s="0" t="s">
        <v>8222</v>
      </c>
    </row>
    <row r="3072">
      <c r="A3072" s="14">
        <v>101752</v>
      </c>
      <c r="B3072" s="0" t="s">
        <v>1938</v>
      </c>
      <c r="C3072" s="16">
        <f>HYPERLINK("https://eosportal.federatedhermes.com/companies/Q29tcGFueQppNzM3NzA=", "Oracle Corp")</f>
      </c>
      <c r="D3072" s="0" t="s">
        <v>23</v>
      </c>
      <c r="E3072" s="0" t="s">
        <v>7444</v>
      </c>
      <c r="F3072" s="16">
        <f>HYPERLINK("https://eosportal.federatedhermes.com/engagements/RW5nYWdlbWVudAppNDIzMTI=", "Independent Board Evaluation")</f>
      </c>
      <c r="G3072" s="14" t="s">
        <v>8223</v>
      </c>
      <c r="H3072" s="0" t="s">
        <v>141</v>
      </c>
      <c r="I3072" s="14" t="s">
        <v>131</v>
      </c>
      <c r="J3072" s="0" t="s">
        <v>145</v>
      </c>
      <c r="K3072" s="0" t="s">
        <v>164</v>
      </c>
      <c r="L3072" s="0" t="s">
        <v>970</v>
      </c>
      <c r="M3072" s="0" t="s">
        <v>135</v>
      </c>
      <c r="N3072" s="0" t="s">
        <v>136</v>
      </c>
      <c r="O3072" s="0" t="s">
        <v>137</v>
      </c>
      <c r="Q3072" s="0" t="s">
        <v>130</v>
      </c>
      <c r="R3072" s="0" t="s">
        <v>141</v>
      </c>
      <c r="S3072" s="14">
        <v>0</v>
      </c>
      <c r="T3072" s="0" t="s">
        <v>361</v>
      </c>
      <c r="U3072" s="0" t="s">
        <v>221</v>
      </c>
      <c r="V3072" s="14" t="s">
        <v>361</v>
      </c>
      <c r="W3072" s="0" t="s">
        <v>223</v>
      </c>
      <c r="X3072" s="14" t="s">
        <v>138</v>
      </c>
      <c r="Y3072" s="0" t="s">
        <v>224</v>
      </c>
      <c r="Z3072" s="14" t="s">
        <v>138</v>
      </c>
      <c r="AA3072" s="0" t="s">
        <v>224</v>
      </c>
      <c r="AB3072" s="14" t="s">
        <v>138</v>
      </c>
      <c r="AC3072" s="0" t="s">
        <v>11</v>
      </c>
      <c r="AD3072" s="0" t="s">
        <v>14</v>
      </c>
      <c r="AE3072" s="0" t="s">
        <v>7914</v>
      </c>
      <c r="AF3072" s="0">
        <v>1</v>
      </c>
      <c r="AG3072" s="0">
        <v>0</v>
      </c>
      <c r="AH3072" s="0" t="s">
        <v>140</v>
      </c>
      <c r="AI3072" s="0" t="s">
        <v>598</v>
      </c>
      <c r="AL3072" s="14"/>
      <c r="AN3072" s="14"/>
      <c r="AQ3072" s="0" t="s">
        <v>130</v>
      </c>
      <c r="AR3072" s="0" t="s">
        <v>130</v>
      </c>
      <c r="AS3072" s="0" t="s">
        <v>130</v>
      </c>
      <c r="AT3072" s="0" t="s">
        <v>130</v>
      </c>
      <c r="AU3072" s="0" t="s">
        <v>130</v>
      </c>
      <c r="AV3072" s="0" t="s">
        <v>130</v>
      </c>
      <c r="AW3072" s="0" t="s">
        <v>130</v>
      </c>
      <c r="AX3072" s="0" t="s">
        <v>130</v>
      </c>
      <c r="AY3072" s="0" t="s">
        <v>130</v>
      </c>
      <c r="AZ3072" s="0" t="s">
        <v>130</v>
      </c>
      <c r="BA3072" s="0" t="s">
        <v>130</v>
      </c>
      <c r="BB3072" s="0" t="s">
        <v>130</v>
      </c>
      <c r="BC3072" s="0" t="s">
        <v>130</v>
      </c>
      <c r="BD3072" s="0" t="s">
        <v>130</v>
      </c>
      <c r="BE3072" s="0" t="s">
        <v>130</v>
      </c>
      <c r="BF3072" s="0" t="s">
        <v>130</v>
      </c>
      <c r="BG3072" s="0" t="s">
        <v>130</v>
      </c>
      <c r="BH3072" s="0" t="s">
        <v>130</v>
      </c>
      <c r="BI3072" s="0" t="s">
        <v>130</v>
      </c>
      <c r="BJ3072" s="0" t="s">
        <v>130</v>
      </c>
      <c r="BK3072" s="0" t="s">
        <v>130</v>
      </c>
      <c r="BL3072" s="0" t="s">
        <v>130</v>
      </c>
      <c r="BM3072" s="0" t="s">
        <v>130</v>
      </c>
      <c r="BN3072" s="0" t="s">
        <v>130</v>
      </c>
      <c r="BO3072" s="0" t="s">
        <v>130</v>
      </c>
      <c r="BP3072" s="0" t="s">
        <v>130</v>
      </c>
      <c r="BQ3072" s="0" t="s">
        <v>130</v>
      </c>
      <c r="BR3072" s="0" t="s">
        <v>130</v>
      </c>
      <c r="BS3072" s="0" t="s">
        <v>130</v>
      </c>
      <c r="BT3072" s="0" t="s">
        <v>130</v>
      </c>
      <c r="BU3072" s="0" t="s">
        <v>130</v>
      </c>
      <c r="BV3072" s="0" t="s">
        <v>130</v>
      </c>
      <c r="BW3072" s="0" t="s">
        <v>130</v>
      </c>
      <c r="BX3072" s="0" t="s">
        <v>130</v>
      </c>
      <c r="BY3072" s="0" t="s">
        <v>130</v>
      </c>
      <c r="BZ3072" s="0" t="s">
        <v>130</v>
      </c>
      <c r="CA3072" s="0" t="s">
        <v>130</v>
      </c>
      <c r="CB3072" s="0" t="s">
        <v>130</v>
      </c>
      <c r="CC3072" s="0" t="s">
        <v>130</v>
      </c>
      <c r="CD3072" s="0" t="s">
        <v>130</v>
      </c>
      <c r="CE3072" s="0" t="s">
        <v>130</v>
      </c>
      <c r="CF3072" s="0" t="s">
        <v>130</v>
      </c>
      <c r="CG3072" s="0" t="s">
        <v>130</v>
      </c>
      <c r="CH3072" s="0" t="s">
        <v>130</v>
      </c>
      <c r="CI3072" s="0" t="s">
        <v>130</v>
      </c>
      <c r="CJ3072" s="0" t="s">
        <v>130</v>
      </c>
      <c r="CK3072" s="0" t="s">
        <v>130</v>
      </c>
      <c r="CL3072" s="0" t="s">
        <v>130</v>
      </c>
      <c r="CM3072" s="0" t="s">
        <v>130</v>
      </c>
      <c r="CN3072" s="0" t="s">
        <v>130</v>
      </c>
      <c r="CO3072" s="0" t="s">
        <v>130</v>
      </c>
      <c r="CP3072" s="0" t="s">
        <v>130</v>
      </c>
      <c r="CQ3072" s="0" t="s">
        <v>130</v>
      </c>
      <c r="CR3072" s="0" t="s">
        <v>130</v>
      </c>
      <c r="CS3072" s="0" t="s">
        <v>130</v>
      </c>
      <c r="CT3072" s="0" t="s">
        <v>8224</v>
      </c>
    </row>
    <row r="3073">
      <c r="A3073" s="14">
        <v>108445</v>
      </c>
      <c r="B3073" s="0" t="s">
        <v>2234</v>
      </c>
      <c r="C3073" s="16">
        <f>HYPERLINK("https://eosportal.federatedhermes.com/companies/Q29tcGFueQppNjQzNzE=", "Bank of Nova Scotia/The")</f>
      </c>
      <c r="D3073" s="0" t="s">
        <v>23</v>
      </c>
      <c r="E3073" s="0" t="s">
        <v>8216</v>
      </c>
      <c r="F3073" s="16">
        <f>HYPERLINK("https://eosportal.federatedhermes.com/engagements/RW5nYWdlbWVudAppNDIzMTQ=", "Workforce disclosure metrics")</f>
      </c>
      <c r="G3073" s="14" t="s">
        <v>8225</v>
      </c>
      <c r="H3073" s="0" t="s">
        <v>141</v>
      </c>
      <c r="I3073" s="14" t="s">
        <v>131</v>
      </c>
      <c r="J3073" s="0" t="s">
        <v>153</v>
      </c>
      <c r="K3073" s="0" t="s">
        <v>154</v>
      </c>
      <c r="L3073" s="0" t="s">
        <v>268</v>
      </c>
      <c r="M3073" s="0" t="s">
        <v>135</v>
      </c>
      <c r="N3073" s="0" t="s">
        <v>1678</v>
      </c>
      <c r="O3073" s="0" t="s">
        <v>238</v>
      </c>
      <c r="Q3073" s="0" t="s">
        <v>141</v>
      </c>
      <c r="R3073" s="0" t="s">
        <v>141</v>
      </c>
      <c r="S3073" s="14">
        <v>1</v>
      </c>
      <c r="T3073" s="0" t="s">
        <v>361</v>
      </c>
      <c r="U3073" s="0" t="s">
        <v>221</v>
      </c>
      <c r="V3073" s="14" t="s">
        <v>361</v>
      </c>
      <c r="W3073" s="0" t="s">
        <v>223</v>
      </c>
      <c r="X3073" s="14" t="s">
        <v>138</v>
      </c>
      <c r="Y3073" s="0" t="s">
        <v>224</v>
      </c>
      <c r="Z3073" s="14" t="s">
        <v>138</v>
      </c>
      <c r="AA3073" s="0" t="s">
        <v>224</v>
      </c>
      <c r="AB3073" s="14" t="s">
        <v>138</v>
      </c>
      <c r="AC3073" s="0" t="s">
        <v>11</v>
      </c>
      <c r="AD3073" s="0" t="s">
        <v>14</v>
      </c>
      <c r="AE3073" s="0" t="s">
        <v>7914</v>
      </c>
      <c r="AF3073" s="0">
        <v>1</v>
      </c>
      <c r="AG3073" s="0">
        <v>0</v>
      </c>
      <c r="AH3073" s="0" t="s">
        <v>140</v>
      </c>
      <c r="AI3073" s="0" t="s">
        <v>598</v>
      </c>
      <c r="AK3073" s="0" t="s">
        <v>2241</v>
      </c>
      <c r="AL3073" s="14"/>
      <c r="AN3073" s="14"/>
      <c r="AQ3073" s="0" t="s">
        <v>130</v>
      </c>
      <c r="AR3073" s="0" t="s">
        <v>130</v>
      </c>
      <c r="AS3073" s="0" t="s">
        <v>141</v>
      </c>
      <c r="AT3073" s="0" t="s">
        <v>141</v>
      </c>
      <c r="AU3073" s="0" t="s">
        <v>141</v>
      </c>
      <c r="AV3073" s="0" t="s">
        <v>130</v>
      </c>
      <c r="AW3073" s="0" t="s">
        <v>130</v>
      </c>
      <c r="AX3073" s="0" t="s">
        <v>141</v>
      </c>
      <c r="AY3073" s="0" t="s">
        <v>130</v>
      </c>
      <c r="AZ3073" s="0" t="s">
        <v>141</v>
      </c>
      <c r="BA3073" s="0" t="s">
        <v>130</v>
      </c>
      <c r="BB3073" s="0" t="s">
        <v>130</v>
      </c>
      <c r="BC3073" s="0" t="s">
        <v>130</v>
      </c>
      <c r="BD3073" s="0" t="s">
        <v>130</v>
      </c>
      <c r="BE3073" s="0" t="s">
        <v>130</v>
      </c>
      <c r="BF3073" s="0" t="s">
        <v>141</v>
      </c>
      <c r="BG3073" s="0" t="s">
        <v>130</v>
      </c>
      <c r="BH3073" s="0" t="s">
        <v>130</v>
      </c>
      <c r="BI3073" s="0" t="s">
        <v>130</v>
      </c>
      <c r="BJ3073" s="0" t="s">
        <v>130</v>
      </c>
      <c r="BK3073" s="0" t="s">
        <v>130</v>
      </c>
      <c r="BL3073" s="0" t="s">
        <v>130</v>
      </c>
      <c r="BM3073" s="0" t="s">
        <v>130</v>
      </c>
      <c r="BN3073" s="0" t="s">
        <v>130</v>
      </c>
      <c r="BO3073" s="0" t="s">
        <v>130</v>
      </c>
      <c r="BP3073" s="0" t="s">
        <v>130</v>
      </c>
      <c r="BQ3073" s="0" t="s">
        <v>130</v>
      </c>
      <c r="BR3073" s="0" t="s">
        <v>130</v>
      </c>
      <c r="BS3073" s="0" t="s">
        <v>130</v>
      </c>
      <c r="BT3073" s="0" t="s">
        <v>130</v>
      </c>
      <c r="BU3073" s="0" t="s">
        <v>130</v>
      </c>
      <c r="BV3073" s="0" t="s">
        <v>130</v>
      </c>
      <c r="BW3073" s="0" t="s">
        <v>130</v>
      </c>
      <c r="BX3073" s="0" t="s">
        <v>130</v>
      </c>
      <c r="BY3073" s="0" t="s">
        <v>130</v>
      </c>
      <c r="BZ3073" s="0" t="s">
        <v>130</v>
      </c>
      <c r="CA3073" s="0" t="s">
        <v>130</v>
      </c>
      <c r="CB3073" s="0" t="s">
        <v>130</v>
      </c>
      <c r="CC3073" s="0" t="s">
        <v>130</v>
      </c>
      <c r="CD3073" s="0" t="s">
        <v>130</v>
      </c>
      <c r="CE3073" s="0" t="s">
        <v>130</v>
      </c>
      <c r="CF3073" s="0" t="s">
        <v>130</v>
      </c>
      <c r="CG3073" s="0" t="s">
        <v>130</v>
      </c>
      <c r="CH3073" s="0" t="s">
        <v>130</v>
      </c>
      <c r="CI3073" s="0" t="s">
        <v>130</v>
      </c>
      <c r="CJ3073" s="0" t="s">
        <v>130</v>
      </c>
      <c r="CK3073" s="0" t="s">
        <v>141</v>
      </c>
      <c r="CL3073" s="0" t="s">
        <v>130</v>
      </c>
      <c r="CM3073" s="0" t="s">
        <v>130</v>
      </c>
      <c r="CN3073" s="0" t="s">
        <v>130</v>
      </c>
      <c r="CO3073" s="0" t="s">
        <v>130</v>
      </c>
      <c r="CP3073" s="0" t="s">
        <v>130</v>
      </c>
      <c r="CQ3073" s="0" t="s">
        <v>130</v>
      </c>
      <c r="CR3073" s="0" t="s">
        <v>130</v>
      </c>
      <c r="CS3073" s="0" t="s">
        <v>130</v>
      </c>
      <c r="CT3073" s="0" t="s">
        <v>8226</v>
      </c>
    </row>
    <row r="3074">
      <c r="A3074" s="14">
        <v>101650</v>
      </c>
      <c r="B3074" s="0" t="s">
        <v>1765</v>
      </c>
      <c r="C3074" s="16">
        <f>HYPERLINK("https://eosportal.federatedhermes.com/companies/Q29tcGFueQppNzU3MDM=", "Westpac Banking Corp")</f>
      </c>
      <c r="D3074" s="0" t="s">
        <v>23</v>
      </c>
      <c r="E3074" s="0" t="s">
        <v>8227</v>
      </c>
      <c r="F3074" s="16">
        <f>HYPERLINK("https://eosportal.federatedhermes.com/engagements/RW5nYWdlbWVudAppNDIzMTc=", "Responsible AI governance")</f>
      </c>
      <c r="G3074" s="14" t="s">
        <v>8228</v>
      </c>
      <c r="H3074" s="0" t="s">
        <v>141</v>
      </c>
      <c r="I3074" s="14" t="s">
        <v>191</v>
      </c>
      <c r="J3074" s="0" t="s">
        <v>153</v>
      </c>
      <c r="K3074" s="0" t="s">
        <v>243</v>
      </c>
      <c r="L3074" s="0" t="s">
        <v>537</v>
      </c>
      <c r="M3074" s="0" t="s">
        <v>371</v>
      </c>
      <c r="N3074" s="0" t="s">
        <v>372</v>
      </c>
      <c r="O3074" s="0" t="s">
        <v>238</v>
      </c>
      <c r="Q3074" s="0" t="s">
        <v>141</v>
      </c>
      <c r="R3074" s="0" t="s">
        <v>141</v>
      </c>
      <c r="S3074" s="14">
        <v>1</v>
      </c>
      <c r="T3074" s="0" t="s">
        <v>361</v>
      </c>
      <c r="U3074" s="0" t="s">
        <v>221</v>
      </c>
      <c r="V3074" s="14" t="s">
        <v>361</v>
      </c>
      <c r="W3074" s="0" t="s">
        <v>223</v>
      </c>
      <c r="X3074" s="14" t="s">
        <v>138</v>
      </c>
      <c r="Y3074" s="0" t="s">
        <v>224</v>
      </c>
      <c r="Z3074" s="14" t="s">
        <v>138</v>
      </c>
      <c r="AA3074" s="0" t="s">
        <v>224</v>
      </c>
      <c r="AB3074" s="14" t="s">
        <v>138</v>
      </c>
      <c r="AC3074" s="0" t="s">
        <v>11</v>
      </c>
      <c r="AD3074" s="0" t="s">
        <v>14</v>
      </c>
      <c r="AE3074" s="0" t="s">
        <v>7914</v>
      </c>
      <c r="AF3074" s="0">
        <v>1</v>
      </c>
      <c r="AG3074" s="0">
        <v>0</v>
      </c>
      <c r="AH3074" s="0" t="s">
        <v>140</v>
      </c>
      <c r="AI3074" s="0" t="s">
        <v>598</v>
      </c>
      <c r="AK3074" s="0" t="s">
        <v>1151</v>
      </c>
      <c r="AL3074" s="14"/>
      <c r="AN3074" s="14"/>
      <c r="AQ3074" s="0" t="s">
        <v>130</v>
      </c>
      <c r="AR3074" s="0" t="s">
        <v>130</v>
      </c>
      <c r="AS3074" s="0" t="s">
        <v>130</v>
      </c>
      <c r="AT3074" s="0" t="s">
        <v>130</v>
      </c>
      <c r="AU3074" s="0" t="s">
        <v>130</v>
      </c>
      <c r="AV3074" s="0" t="s">
        <v>130</v>
      </c>
      <c r="AW3074" s="0" t="s">
        <v>130</v>
      </c>
      <c r="AX3074" s="0" t="s">
        <v>130</v>
      </c>
      <c r="AY3074" s="0" t="s">
        <v>130</v>
      </c>
      <c r="AZ3074" s="0" t="s">
        <v>141</v>
      </c>
      <c r="BA3074" s="0" t="s">
        <v>130</v>
      </c>
      <c r="BB3074" s="0" t="s">
        <v>130</v>
      </c>
      <c r="BC3074" s="0" t="s">
        <v>130</v>
      </c>
      <c r="BD3074" s="0" t="s">
        <v>130</v>
      </c>
      <c r="BE3074" s="0" t="s">
        <v>130</v>
      </c>
      <c r="BF3074" s="0" t="s">
        <v>141</v>
      </c>
      <c r="BG3074" s="0" t="s">
        <v>130</v>
      </c>
      <c r="BH3074" s="0" t="s">
        <v>130</v>
      </c>
      <c r="BI3074" s="0" t="s">
        <v>130</v>
      </c>
      <c r="BJ3074" s="0" t="s">
        <v>130</v>
      </c>
      <c r="BK3074" s="0" t="s">
        <v>130</v>
      </c>
      <c r="BL3074" s="0" t="s">
        <v>130</v>
      </c>
      <c r="BM3074" s="0" t="s">
        <v>130</v>
      </c>
      <c r="BN3074" s="0" t="s">
        <v>130</v>
      </c>
      <c r="BO3074" s="0" t="s">
        <v>130</v>
      </c>
      <c r="BP3074" s="0" t="s">
        <v>130</v>
      </c>
      <c r="BQ3074" s="0" t="s">
        <v>130</v>
      </c>
      <c r="BR3074" s="0" t="s">
        <v>130</v>
      </c>
      <c r="BS3074" s="0" t="s">
        <v>130</v>
      </c>
      <c r="BT3074" s="0" t="s">
        <v>130</v>
      </c>
      <c r="BU3074" s="0" t="s">
        <v>130</v>
      </c>
      <c r="BV3074" s="0" t="s">
        <v>130</v>
      </c>
      <c r="BW3074" s="0" t="s">
        <v>130</v>
      </c>
      <c r="BX3074" s="0" t="s">
        <v>130</v>
      </c>
      <c r="BY3074" s="0" t="s">
        <v>130</v>
      </c>
      <c r="BZ3074" s="0" t="s">
        <v>130</v>
      </c>
      <c r="CA3074" s="0" t="s">
        <v>130</v>
      </c>
      <c r="CB3074" s="0" t="s">
        <v>130</v>
      </c>
      <c r="CC3074" s="0" t="s">
        <v>130</v>
      </c>
      <c r="CD3074" s="0" t="s">
        <v>130</v>
      </c>
      <c r="CE3074" s="0" t="s">
        <v>130</v>
      </c>
      <c r="CF3074" s="0" t="s">
        <v>130</v>
      </c>
      <c r="CG3074" s="0" t="s">
        <v>130</v>
      </c>
      <c r="CH3074" s="0" t="s">
        <v>130</v>
      </c>
      <c r="CI3074" s="0" t="s">
        <v>130</v>
      </c>
      <c r="CJ3074" s="0" t="s">
        <v>130</v>
      </c>
      <c r="CK3074" s="0" t="s">
        <v>130</v>
      </c>
      <c r="CL3074" s="0" t="s">
        <v>130</v>
      </c>
      <c r="CM3074" s="0" t="s">
        <v>130</v>
      </c>
      <c r="CN3074" s="0" t="s">
        <v>130</v>
      </c>
      <c r="CO3074" s="0" t="s">
        <v>130</v>
      </c>
      <c r="CP3074" s="0" t="s">
        <v>130</v>
      </c>
      <c r="CQ3074" s="0" t="s">
        <v>130</v>
      </c>
      <c r="CR3074" s="0" t="s">
        <v>130</v>
      </c>
      <c r="CS3074" s="0" t="s">
        <v>130</v>
      </c>
      <c r="CT3074" s="0" t="s">
        <v>8229</v>
      </c>
    </row>
    <row r="3075">
      <c r="A3075" s="14">
        <v>101254</v>
      </c>
      <c r="B3075" s="0" t="s">
        <v>1531</v>
      </c>
      <c r="C3075" s="16">
        <f>HYPERLINK("https://eosportal.federatedhermes.com/companies/Q29tcGFueQppNTg5NjY=", "Repsol SA")</f>
      </c>
      <c r="D3075" s="0" t="s">
        <v>23</v>
      </c>
      <c r="E3075" s="0" t="s">
        <v>7364</v>
      </c>
      <c r="F3075" s="16">
        <f>HYPERLINK("https://eosportal.federatedhermes.com/engagements/RW5nYWdlbWVudAppNDIzMTk=", "Succession Planning")</f>
      </c>
      <c r="G3075" s="14" t="s">
        <v>8230</v>
      </c>
      <c r="H3075" s="0" t="s">
        <v>141</v>
      </c>
      <c r="I3075" s="14" t="s">
        <v>191</v>
      </c>
      <c r="J3075" s="0" t="s">
        <v>145</v>
      </c>
      <c r="K3075" s="0" t="s">
        <v>164</v>
      </c>
      <c r="L3075" s="0" t="s">
        <v>277</v>
      </c>
      <c r="M3075" s="0" t="s">
        <v>378</v>
      </c>
      <c r="N3075" s="0" t="s">
        <v>379</v>
      </c>
      <c r="O3075" s="0" t="s">
        <v>542</v>
      </c>
      <c r="Q3075" s="0" t="s">
        <v>141</v>
      </c>
      <c r="R3075" s="0" t="s">
        <v>141</v>
      </c>
      <c r="S3075" s="14">
        <v>1</v>
      </c>
      <c r="T3075" s="0" t="s">
        <v>361</v>
      </c>
      <c r="U3075" s="0" t="s">
        <v>221</v>
      </c>
      <c r="V3075" s="14" t="s">
        <v>361</v>
      </c>
      <c r="W3075" s="0" t="s">
        <v>223</v>
      </c>
      <c r="X3075" s="14" t="s">
        <v>138</v>
      </c>
      <c r="Y3075" s="0" t="s">
        <v>224</v>
      </c>
      <c r="Z3075" s="14" t="s">
        <v>138</v>
      </c>
      <c r="AA3075" s="0" t="s">
        <v>224</v>
      </c>
      <c r="AB3075" s="14" t="s">
        <v>138</v>
      </c>
      <c r="AC3075" s="0" t="s">
        <v>11</v>
      </c>
      <c r="AD3075" s="0" t="s">
        <v>14</v>
      </c>
      <c r="AE3075" s="0" t="s">
        <v>7914</v>
      </c>
      <c r="AF3075" s="0">
        <v>1</v>
      </c>
      <c r="AG3075" s="0">
        <v>0</v>
      </c>
      <c r="AH3075" s="0" t="s">
        <v>140</v>
      </c>
      <c r="AI3075" s="0" t="s">
        <v>598</v>
      </c>
      <c r="AK3075" s="0" t="s">
        <v>149</v>
      </c>
      <c r="AL3075" s="14"/>
      <c r="AN3075" s="14"/>
      <c r="AQ3075" s="0" t="s">
        <v>130</v>
      </c>
      <c r="AR3075" s="0" t="s">
        <v>130</v>
      </c>
      <c r="AS3075" s="0" t="s">
        <v>130</v>
      </c>
      <c r="AT3075" s="0" t="s">
        <v>130</v>
      </c>
      <c r="AU3075" s="0" t="s">
        <v>130</v>
      </c>
      <c r="AV3075" s="0" t="s">
        <v>130</v>
      </c>
      <c r="AW3075" s="0" t="s">
        <v>130</v>
      </c>
      <c r="AX3075" s="0" t="s">
        <v>130</v>
      </c>
      <c r="AY3075" s="0" t="s">
        <v>130</v>
      </c>
      <c r="AZ3075" s="0" t="s">
        <v>130</v>
      </c>
      <c r="BA3075" s="0" t="s">
        <v>130</v>
      </c>
      <c r="BB3075" s="0" t="s">
        <v>130</v>
      </c>
      <c r="BC3075" s="0" t="s">
        <v>130</v>
      </c>
      <c r="BD3075" s="0" t="s">
        <v>130</v>
      </c>
      <c r="BE3075" s="0" t="s">
        <v>130</v>
      </c>
      <c r="BF3075" s="0" t="s">
        <v>130</v>
      </c>
      <c r="BG3075" s="0" t="s">
        <v>130</v>
      </c>
      <c r="BH3075" s="0" t="s">
        <v>130</v>
      </c>
      <c r="BI3075" s="0" t="s">
        <v>130</v>
      </c>
      <c r="BJ3075" s="0" t="s">
        <v>130</v>
      </c>
      <c r="BK3075" s="0" t="s">
        <v>130</v>
      </c>
      <c r="BL3075" s="0" t="s">
        <v>130</v>
      </c>
      <c r="BM3075" s="0" t="s">
        <v>130</v>
      </c>
      <c r="BN3075" s="0" t="s">
        <v>130</v>
      </c>
      <c r="BO3075" s="0" t="s">
        <v>130</v>
      </c>
      <c r="BP3075" s="0" t="s">
        <v>130</v>
      </c>
      <c r="BQ3075" s="0" t="s">
        <v>130</v>
      </c>
      <c r="BR3075" s="0" t="s">
        <v>130</v>
      </c>
      <c r="BS3075" s="0" t="s">
        <v>130</v>
      </c>
      <c r="BT3075" s="0" t="s">
        <v>130</v>
      </c>
      <c r="BU3075" s="0" t="s">
        <v>130</v>
      </c>
      <c r="BV3075" s="0" t="s">
        <v>130</v>
      </c>
      <c r="BW3075" s="0" t="s">
        <v>130</v>
      </c>
      <c r="BX3075" s="0" t="s">
        <v>130</v>
      </c>
      <c r="BY3075" s="0" t="s">
        <v>130</v>
      </c>
      <c r="BZ3075" s="0" t="s">
        <v>130</v>
      </c>
      <c r="CA3075" s="0" t="s">
        <v>130</v>
      </c>
      <c r="CB3075" s="0" t="s">
        <v>130</v>
      </c>
      <c r="CC3075" s="0" t="s">
        <v>130</v>
      </c>
      <c r="CD3075" s="0" t="s">
        <v>130</v>
      </c>
      <c r="CE3075" s="0" t="s">
        <v>130</v>
      </c>
      <c r="CF3075" s="0" t="s">
        <v>130</v>
      </c>
      <c r="CG3075" s="0" t="s">
        <v>130</v>
      </c>
      <c r="CH3075" s="0" t="s">
        <v>130</v>
      </c>
      <c r="CI3075" s="0" t="s">
        <v>130</v>
      </c>
      <c r="CJ3075" s="0" t="s">
        <v>130</v>
      </c>
      <c r="CK3075" s="0" t="s">
        <v>130</v>
      </c>
      <c r="CL3075" s="0" t="s">
        <v>130</v>
      </c>
      <c r="CM3075" s="0" t="s">
        <v>130</v>
      </c>
      <c r="CN3075" s="0" t="s">
        <v>130</v>
      </c>
      <c r="CO3075" s="0" t="s">
        <v>130</v>
      </c>
      <c r="CP3075" s="0" t="s">
        <v>130</v>
      </c>
      <c r="CQ3075" s="0" t="s">
        <v>130</v>
      </c>
      <c r="CR3075" s="0" t="s">
        <v>130</v>
      </c>
      <c r="CS3075" s="0" t="s">
        <v>130</v>
      </c>
      <c r="CT3075" s="0" t="s">
        <v>8231</v>
      </c>
    </row>
    <row r="3076">
      <c r="A3076" s="14">
        <v>9293317</v>
      </c>
      <c r="B3076" s="0" t="s">
        <v>4038</v>
      </c>
      <c r="C3076" s="16">
        <f>HYPERLINK("https://eosportal.federatedhermes.com/companies/Q29tcGFueQppODU3MTI=", "Link REIT")</f>
      </c>
      <c r="D3076" s="0" t="s">
        <v>25</v>
      </c>
      <c r="E3076" s="0" t="s">
        <v>8232</v>
      </c>
      <c r="F3076" s="16">
        <f>HYPERLINK("https://eosportal.federatedhermes.com/engagements/RW5nYWdlbWVudAppNDIzMjU=", "Climate resilience")</f>
      </c>
      <c r="G3076" s="14" t="s">
        <v>8233</v>
      </c>
      <c r="H3076" s="0" t="s">
        <v>141</v>
      </c>
      <c r="I3076" s="14" t="s">
        <v>636</v>
      </c>
      <c r="J3076" s="0" t="s">
        <v>197</v>
      </c>
      <c r="K3076" s="0" t="s">
        <v>198</v>
      </c>
      <c r="L3076" s="0" t="s">
        <v>682</v>
      </c>
      <c r="M3076" s="0" t="s">
        <v>802</v>
      </c>
      <c r="N3076" s="0" t="s">
        <v>803</v>
      </c>
      <c r="O3076" s="0" t="s">
        <v>238</v>
      </c>
      <c r="Q3076" s="0" t="s">
        <v>141</v>
      </c>
      <c r="R3076" s="0" t="s">
        <v>138</v>
      </c>
      <c r="S3076" s="14">
        <v>1</v>
      </c>
      <c r="T3076" s="0" t="s">
        <v>2842</v>
      </c>
      <c r="U3076" s="0" t="s">
        <v>138</v>
      </c>
      <c r="V3076" s="14" t="s">
        <v>138</v>
      </c>
      <c r="W3076" s="0" t="s">
        <v>138</v>
      </c>
      <c r="X3076" s="14" t="s">
        <v>138</v>
      </c>
      <c r="Y3076" s="0" t="s">
        <v>138</v>
      </c>
      <c r="Z3076" s="14" t="s">
        <v>138</v>
      </c>
      <c r="AA3076" s="0" t="s">
        <v>138</v>
      </c>
      <c r="AB3076" s="14" t="s">
        <v>138</v>
      </c>
      <c r="AD3076" s="0" t="s">
        <v>138</v>
      </c>
      <c r="AF3076" s="0">
        <v>0</v>
      </c>
      <c r="AG3076" s="0">
        <v>0</v>
      </c>
      <c r="AH3076" s="0" t="s">
        <v>140</v>
      </c>
      <c r="AI3076" s="0" t="s">
        <v>138</v>
      </c>
      <c r="AK3076" s="0" t="s">
        <v>1853</v>
      </c>
      <c r="AL3076" s="14"/>
      <c r="AN3076" s="14"/>
      <c r="AQ3076" s="0" t="s">
        <v>130</v>
      </c>
      <c r="AR3076" s="0" t="s">
        <v>130</v>
      </c>
      <c r="AS3076" s="0" t="s">
        <v>130</v>
      </c>
      <c r="AT3076" s="0" t="s">
        <v>130</v>
      </c>
      <c r="AU3076" s="0" t="s">
        <v>130</v>
      </c>
      <c r="AV3076" s="0" t="s">
        <v>130</v>
      </c>
      <c r="AW3076" s="0" t="s">
        <v>130</v>
      </c>
      <c r="AX3076" s="0" t="s">
        <v>130</v>
      </c>
      <c r="AY3076" s="0" t="s">
        <v>130</v>
      </c>
      <c r="AZ3076" s="0" t="s">
        <v>130</v>
      </c>
      <c r="BA3076" s="0" t="s">
        <v>130</v>
      </c>
      <c r="BB3076" s="0" t="s">
        <v>130</v>
      </c>
      <c r="BC3076" s="0" t="s">
        <v>141</v>
      </c>
      <c r="BD3076" s="0" t="s">
        <v>130</v>
      </c>
      <c r="BE3076" s="0" t="s">
        <v>130</v>
      </c>
      <c r="BF3076" s="0" t="s">
        <v>130</v>
      </c>
      <c r="BG3076" s="0" t="s">
        <v>130</v>
      </c>
      <c r="BH3076" s="0" t="s">
        <v>130</v>
      </c>
      <c r="BI3076" s="0" t="s">
        <v>130</v>
      </c>
      <c r="BJ3076" s="0" t="s">
        <v>130</v>
      </c>
      <c r="BK3076" s="0" t="s">
        <v>130</v>
      </c>
      <c r="BL3076" s="0" t="s">
        <v>130</v>
      </c>
      <c r="BM3076" s="0" t="s">
        <v>130</v>
      </c>
      <c r="BN3076" s="0" t="s">
        <v>130</v>
      </c>
      <c r="BO3076" s="0" t="s">
        <v>130</v>
      </c>
      <c r="BP3076" s="0" t="s">
        <v>130</v>
      </c>
      <c r="BQ3076" s="0" t="s">
        <v>130</v>
      </c>
      <c r="BR3076" s="0" t="s">
        <v>130</v>
      </c>
      <c r="BS3076" s="0" t="s">
        <v>130</v>
      </c>
      <c r="BT3076" s="0" t="s">
        <v>130</v>
      </c>
      <c r="BU3076" s="0" t="s">
        <v>130</v>
      </c>
      <c r="BV3076" s="0" t="s">
        <v>130</v>
      </c>
      <c r="BW3076" s="0" t="s">
        <v>130</v>
      </c>
      <c r="BX3076" s="0" t="s">
        <v>130</v>
      </c>
      <c r="BY3076" s="0" t="s">
        <v>130</v>
      </c>
      <c r="BZ3076" s="0" t="s">
        <v>130</v>
      </c>
      <c r="CA3076" s="0" t="s">
        <v>130</v>
      </c>
      <c r="CB3076" s="0" t="s">
        <v>130</v>
      </c>
      <c r="CC3076" s="0" t="s">
        <v>130</v>
      </c>
      <c r="CD3076" s="0" t="s">
        <v>130</v>
      </c>
      <c r="CE3076" s="0" t="s">
        <v>130</v>
      </c>
      <c r="CF3076" s="0" t="s">
        <v>130</v>
      </c>
      <c r="CG3076" s="0" t="s">
        <v>130</v>
      </c>
      <c r="CH3076" s="0" t="s">
        <v>130</v>
      </c>
      <c r="CI3076" s="0" t="s">
        <v>130</v>
      </c>
      <c r="CJ3076" s="0" t="s">
        <v>130</v>
      </c>
      <c r="CK3076" s="0" t="s">
        <v>130</v>
      </c>
      <c r="CL3076" s="0" t="s">
        <v>130</v>
      </c>
      <c r="CM3076" s="0" t="s">
        <v>130</v>
      </c>
      <c r="CN3076" s="0" t="s">
        <v>130</v>
      </c>
      <c r="CO3076" s="0" t="s">
        <v>130</v>
      </c>
      <c r="CP3076" s="0" t="s">
        <v>130</v>
      </c>
      <c r="CQ3076" s="0" t="s">
        <v>130</v>
      </c>
      <c r="CR3076" s="0" t="s">
        <v>130</v>
      </c>
      <c r="CS3076" s="0" t="s">
        <v>130</v>
      </c>
      <c r="CT3076" s="0" t="s">
        <v>8234</v>
      </c>
    </row>
    <row r="3077">
      <c r="A3077" s="14">
        <v>100864</v>
      </c>
      <c r="B3077" s="0" t="s">
        <v>1103</v>
      </c>
      <c r="C3077" s="16">
        <f>HYPERLINK("https://eosportal.federatedhermes.com/companies/Q29tcGFueQppODI1MDM=", "Kroger Co/The")</f>
      </c>
      <c r="D3077" s="0" t="s">
        <v>25</v>
      </c>
      <c r="E3077" s="0" t="s">
        <v>276</v>
      </c>
      <c r="F3077" s="16">
        <f>HYPERLINK("https://eosportal.federatedhermes.com/engagements/RW5nYWdlbWVudAppNDIzMjY=", "Succession planning")</f>
      </c>
      <c r="G3077" s="14" t="s">
        <v>8235</v>
      </c>
      <c r="H3077" s="0" t="s">
        <v>130</v>
      </c>
      <c r="I3077" s="14" t="s">
        <v>131</v>
      </c>
      <c r="J3077" s="0" t="s">
        <v>153</v>
      </c>
      <c r="K3077" s="0" t="s">
        <v>154</v>
      </c>
      <c r="L3077" s="0" t="s">
        <v>268</v>
      </c>
      <c r="M3077" s="0" t="s">
        <v>135</v>
      </c>
      <c r="N3077" s="0" t="s">
        <v>136</v>
      </c>
      <c r="O3077" s="0" t="s">
        <v>643</v>
      </c>
      <c r="Q3077" s="0" t="s">
        <v>141</v>
      </c>
      <c r="R3077" s="0" t="s">
        <v>138</v>
      </c>
      <c r="S3077" s="14">
        <v>1</v>
      </c>
      <c r="T3077" s="0" t="s">
        <v>361</v>
      </c>
      <c r="U3077" s="0" t="s">
        <v>138</v>
      </c>
      <c r="V3077" s="14" t="s">
        <v>138</v>
      </c>
      <c r="W3077" s="0" t="s">
        <v>138</v>
      </c>
      <c r="X3077" s="14" t="s">
        <v>138</v>
      </c>
      <c r="Y3077" s="0" t="s">
        <v>138</v>
      </c>
      <c r="Z3077" s="14" t="s">
        <v>138</v>
      </c>
      <c r="AA3077" s="0" t="s">
        <v>138</v>
      </c>
      <c r="AB3077" s="14" t="s">
        <v>138</v>
      </c>
      <c r="AD3077" s="0" t="s">
        <v>138</v>
      </c>
      <c r="AF3077" s="0">
        <v>0</v>
      </c>
      <c r="AG3077" s="0">
        <v>0</v>
      </c>
      <c r="AH3077" s="0" t="s">
        <v>140</v>
      </c>
      <c r="AI3077" s="0" t="s">
        <v>138</v>
      </c>
      <c r="AK3077" s="0" t="s">
        <v>587</v>
      </c>
      <c r="AL3077" s="14"/>
      <c r="AN3077" s="14"/>
      <c r="AQ3077" s="0" t="s">
        <v>130</v>
      </c>
      <c r="AR3077" s="0" t="s">
        <v>130</v>
      </c>
      <c r="AS3077" s="0" t="s">
        <v>130</v>
      </c>
      <c r="AT3077" s="0" t="s">
        <v>130</v>
      </c>
      <c r="AU3077" s="0" t="s">
        <v>130</v>
      </c>
      <c r="AV3077" s="0" t="s">
        <v>130</v>
      </c>
      <c r="AW3077" s="0" t="s">
        <v>130</v>
      </c>
      <c r="AX3077" s="0" t="s">
        <v>130</v>
      </c>
      <c r="AY3077" s="0" t="s">
        <v>130</v>
      </c>
      <c r="AZ3077" s="0" t="s">
        <v>130</v>
      </c>
      <c r="BA3077" s="0" t="s">
        <v>130</v>
      </c>
      <c r="BB3077" s="0" t="s">
        <v>130</v>
      </c>
      <c r="BC3077" s="0" t="s">
        <v>130</v>
      </c>
      <c r="BD3077" s="0" t="s">
        <v>130</v>
      </c>
      <c r="BE3077" s="0" t="s">
        <v>130</v>
      </c>
      <c r="BF3077" s="0" t="s">
        <v>130</v>
      </c>
      <c r="BG3077" s="0" t="s">
        <v>130</v>
      </c>
      <c r="BH3077" s="0" t="s">
        <v>130</v>
      </c>
      <c r="BI3077" s="0" t="s">
        <v>130</v>
      </c>
      <c r="BJ3077" s="0" t="s">
        <v>130</v>
      </c>
      <c r="BK3077" s="0" t="s">
        <v>130</v>
      </c>
      <c r="BL3077" s="0" t="s">
        <v>130</v>
      </c>
      <c r="BM3077" s="0" t="s">
        <v>130</v>
      </c>
      <c r="BN3077" s="0" t="s">
        <v>130</v>
      </c>
      <c r="BO3077" s="0" t="s">
        <v>130</v>
      </c>
      <c r="BP3077" s="0" t="s">
        <v>130</v>
      </c>
      <c r="BQ3077" s="0" t="s">
        <v>130</v>
      </c>
      <c r="BR3077" s="0" t="s">
        <v>130</v>
      </c>
      <c r="BS3077" s="0" t="s">
        <v>130</v>
      </c>
      <c r="BT3077" s="0" t="s">
        <v>130</v>
      </c>
      <c r="BU3077" s="0" t="s">
        <v>130</v>
      </c>
      <c r="BV3077" s="0" t="s">
        <v>130</v>
      </c>
      <c r="BW3077" s="0" t="s">
        <v>130</v>
      </c>
      <c r="BX3077" s="0" t="s">
        <v>130</v>
      </c>
      <c r="BY3077" s="0" t="s">
        <v>130</v>
      </c>
      <c r="BZ3077" s="0" t="s">
        <v>130</v>
      </c>
      <c r="CA3077" s="0" t="s">
        <v>130</v>
      </c>
      <c r="CB3077" s="0" t="s">
        <v>130</v>
      </c>
      <c r="CC3077" s="0" t="s">
        <v>130</v>
      </c>
      <c r="CD3077" s="0" t="s">
        <v>130</v>
      </c>
      <c r="CE3077" s="0" t="s">
        <v>130</v>
      </c>
      <c r="CF3077" s="0" t="s">
        <v>130</v>
      </c>
      <c r="CG3077" s="0" t="s">
        <v>130</v>
      </c>
      <c r="CH3077" s="0" t="s">
        <v>130</v>
      </c>
      <c r="CI3077" s="0" t="s">
        <v>130</v>
      </c>
      <c r="CJ3077" s="0" t="s">
        <v>130</v>
      </c>
      <c r="CK3077" s="0" t="s">
        <v>141</v>
      </c>
      <c r="CL3077" s="0" t="s">
        <v>130</v>
      </c>
      <c r="CM3077" s="0" t="s">
        <v>130</v>
      </c>
      <c r="CN3077" s="0" t="s">
        <v>130</v>
      </c>
      <c r="CO3077" s="0" t="s">
        <v>130</v>
      </c>
      <c r="CP3077" s="0" t="s">
        <v>130</v>
      </c>
      <c r="CQ3077" s="0" t="s">
        <v>130</v>
      </c>
      <c r="CR3077" s="0" t="s">
        <v>130</v>
      </c>
      <c r="CS3077" s="0" t="s">
        <v>130</v>
      </c>
      <c r="CT3077" s="0" t="s">
        <v>8236</v>
      </c>
    </row>
    <row r="3078">
      <c r="A3078" s="14">
        <v>117241</v>
      </c>
      <c r="B3078" s="0" t="s">
        <v>2823</v>
      </c>
      <c r="C3078" s="16">
        <f>HYPERLINK("https://eosportal.federatedhermes.com/companies/Q29tcGFueQppNzE1NTM=", "Astra International Tbk PT")</f>
      </c>
      <c r="D3078" s="0" t="s">
        <v>23</v>
      </c>
      <c r="E3078" s="0" t="s">
        <v>8237</v>
      </c>
      <c r="F3078" s="16">
        <f>HYPERLINK("https://eosportal.federatedhermes.com/engagements/RW5nYWdlbWVudAppNDIzMzg=", "Scope 3 disclosure")</f>
      </c>
      <c r="G3078" s="14" t="s">
        <v>8238</v>
      </c>
      <c r="H3078" s="0" t="s">
        <v>130</v>
      </c>
      <c r="I3078" s="14" t="s">
        <v>319</v>
      </c>
      <c r="J3078" s="0" t="s">
        <v>197</v>
      </c>
      <c r="K3078" s="0" t="s">
        <v>198</v>
      </c>
      <c r="L3078" s="0" t="s">
        <v>199</v>
      </c>
      <c r="M3078" s="0" t="s">
        <v>2807</v>
      </c>
      <c r="N3078" s="0" t="s">
        <v>2826</v>
      </c>
      <c r="O3078" s="0" t="s">
        <v>176</v>
      </c>
      <c r="Q3078" s="0" t="s">
        <v>141</v>
      </c>
      <c r="R3078" s="0" t="s">
        <v>141</v>
      </c>
      <c r="S3078" s="14">
        <v>1</v>
      </c>
      <c r="T3078" s="0" t="s">
        <v>446</v>
      </c>
      <c r="U3078" s="0" t="s">
        <v>221</v>
      </c>
      <c r="V3078" s="14" t="s">
        <v>446</v>
      </c>
      <c r="W3078" s="0" t="s">
        <v>221</v>
      </c>
      <c r="X3078" s="14" t="s">
        <v>449</v>
      </c>
      <c r="Y3078" s="0" t="s">
        <v>221</v>
      </c>
      <c r="Z3078" s="14" t="s">
        <v>361</v>
      </c>
      <c r="AA3078" s="0" t="s">
        <v>223</v>
      </c>
      <c r="AB3078" s="14" t="s">
        <v>138</v>
      </c>
      <c r="AC3078" s="0" t="s">
        <v>17</v>
      </c>
      <c r="AD3078" s="0" t="s">
        <v>20</v>
      </c>
      <c r="AE3078" s="0" t="s">
        <v>2266</v>
      </c>
      <c r="AF3078" s="0">
        <v>1</v>
      </c>
      <c r="AG3078" s="0">
        <v>0</v>
      </c>
      <c r="AH3078" s="0" t="s">
        <v>140</v>
      </c>
      <c r="AI3078" s="0" t="s">
        <v>598</v>
      </c>
      <c r="AK3078" s="0" t="s">
        <v>344</v>
      </c>
      <c r="AL3078" s="14"/>
      <c r="AN3078" s="14"/>
      <c r="AQ3078" s="0" t="s">
        <v>130</v>
      </c>
      <c r="AR3078" s="0" t="s">
        <v>130</v>
      </c>
      <c r="AS3078" s="0" t="s">
        <v>130</v>
      </c>
      <c r="AT3078" s="0" t="s">
        <v>130</v>
      </c>
      <c r="AU3078" s="0" t="s">
        <v>130</v>
      </c>
      <c r="AV3078" s="0" t="s">
        <v>130</v>
      </c>
      <c r="AW3078" s="0" t="s">
        <v>130</v>
      </c>
      <c r="AX3078" s="0" t="s">
        <v>130</v>
      </c>
      <c r="AY3078" s="0" t="s">
        <v>130</v>
      </c>
      <c r="AZ3078" s="0" t="s">
        <v>130</v>
      </c>
      <c r="BA3078" s="0" t="s">
        <v>130</v>
      </c>
      <c r="BB3078" s="0" t="s">
        <v>141</v>
      </c>
      <c r="BC3078" s="0" t="s">
        <v>141</v>
      </c>
      <c r="BD3078" s="0" t="s">
        <v>130</v>
      </c>
      <c r="BE3078" s="0" t="s">
        <v>130</v>
      </c>
      <c r="BF3078" s="0" t="s">
        <v>130</v>
      </c>
      <c r="BG3078" s="0" t="s">
        <v>130</v>
      </c>
      <c r="BH3078" s="0" t="s">
        <v>130</v>
      </c>
      <c r="BI3078" s="0" t="s">
        <v>130</v>
      </c>
      <c r="BJ3078" s="0" t="s">
        <v>130</v>
      </c>
      <c r="BK3078" s="0" t="s">
        <v>130</v>
      </c>
      <c r="BL3078" s="0" t="s">
        <v>130</v>
      </c>
      <c r="BM3078" s="0" t="s">
        <v>130</v>
      </c>
      <c r="BN3078" s="0" t="s">
        <v>130</v>
      </c>
      <c r="BO3078" s="0" t="s">
        <v>130</v>
      </c>
      <c r="BP3078" s="0" t="s">
        <v>130</v>
      </c>
      <c r="BQ3078" s="0" t="s">
        <v>130</v>
      </c>
      <c r="BR3078" s="0" t="s">
        <v>130</v>
      </c>
      <c r="BS3078" s="0" t="s">
        <v>130</v>
      </c>
      <c r="BT3078" s="0" t="s">
        <v>130</v>
      </c>
      <c r="BU3078" s="0" t="s">
        <v>130</v>
      </c>
      <c r="BV3078" s="0" t="s">
        <v>130</v>
      </c>
      <c r="BW3078" s="0" t="s">
        <v>130</v>
      </c>
      <c r="BX3078" s="0" t="s">
        <v>130</v>
      </c>
      <c r="BY3078" s="0" t="s">
        <v>130</v>
      </c>
      <c r="BZ3078" s="0" t="s">
        <v>130</v>
      </c>
      <c r="CA3078" s="0" t="s">
        <v>130</v>
      </c>
      <c r="CB3078" s="0" t="s">
        <v>130</v>
      </c>
      <c r="CC3078" s="0" t="s">
        <v>130</v>
      </c>
      <c r="CD3078" s="0" t="s">
        <v>130</v>
      </c>
      <c r="CE3078" s="0" t="s">
        <v>130</v>
      </c>
      <c r="CF3078" s="0" t="s">
        <v>130</v>
      </c>
      <c r="CG3078" s="0" t="s">
        <v>130</v>
      </c>
      <c r="CH3078" s="0" t="s">
        <v>130</v>
      </c>
      <c r="CI3078" s="0" t="s">
        <v>130</v>
      </c>
      <c r="CJ3078" s="0" t="s">
        <v>130</v>
      </c>
      <c r="CK3078" s="0" t="s">
        <v>130</v>
      </c>
      <c r="CL3078" s="0" t="s">
        <v>130</v>
      </c>
      <c r="CM3078" s="0" t="s">
        <v>130</v>
      </c>
      <c r="CN3078" s="0" t="s">
        <v>130</v>
      </c>
      <c r="CO3078" s="0" t="s">
        <v>130</v>
      </c>
      <c r="CP3078" s="0" t="s">
        <v>130</v>
      </c>
      <c r="CQ3078" s="0" t="s">
        <v>130</v>
      </c>
      <c r="CR3078" s="0" t="s">
        <v>130</v>
      </c>
      <c r="CS3078" s="0" t="s">
        <v>130</v>
      </c>
      <c r="CT3078" s="0" t="s">
        <v>8239</v>
      </c>
    </row>
    <row r="3079">
      <c r="A3079" s="14">
        <v>328683</v>
      </c>
      <c r="B3079" s="0" t="s">
        <v>3664</v>
      </c>
      <c r="C3079" s="16">
        <f>HYPERLINK("https://eosportal.federatedhermes.com/companies/Q29tcGFueQppNTg5MjI=", "Mercedes-Benz Group AG")</f>
      </c>
      <c r="D3079" s="0" t="s">
        <v>23</v>
      </c>
      <c r="E3079" s="0" t="s">
        <v>5534</v>
      </c>
      <c r="F3079" s="16">
        <f>HYPERLINK("https://eosportal.federatedhermes.com/engagements/RW5nYWdlbWVudAppNDIzMzk=", "Whistleblowing Reporting")</f>
      </c>
      <c r="G3079" s="14" t="s">
        <v>8240</v>
      </c>
      <c r="H3079" s="0" t="s">
        <v>141</v>
      </c>
      <c r="I3079" s="14" t="s">
        <v>1645</v>
      </c>
      <c r="J3079" s="0" t="s">
        <v>132</v>
      </c>
      <c r="K3079" s="0" t="s">
        <v>260</v>
      </c>
      <c r="L3079" s="0" t="s">
        <v>261</v>
      </c>
      <c r="M3079" s="0" t="s">
        <v>378</v>
      </c>
      <c r="N3079" s="0" t="s">
        <v>2485</v>
      </c>
      <c r="O3079" s="0" t="s">
        <v>425</v>
      </c>
      <c r="Q3079" s="0" t="s">
        <v>141</v>
      </c>
      <c r="R3079" s="0" t="s">
        <v>141</v>
      </c>
      <c r="S3079" s="14">
        <v>1</v>
      </c>
      <c r="T3079" s="0" t="s">
        <v>361</v>
      </c>
      <c r="U3079" s="0" t="s">
        <v>221</v>
      </c>
      <c r="V3079" s="14" t="s">
        <v>361</v>
      </c>
      <c r="W3079" s="0" t="s">
        <v>223</v>
      </c>
      <c r="X3079" s="14" t="s">
        <v>138</v>
      </c>
      <c r="Y3079" s="0" t="s">
        <v>221</v>
      </c>
      <c r="Z3079" s="14" t="s">
        <v>361</v>
      </c>
      <c r="AA3079" s="0" t="s">
        <v>223</v>
      </c>
      <c r="AB3079" s="14" t="s">
        <v>138</v>
      </c>
      <c r="AC3079" s="0" t="s">
        <v>8241</v>
      </c>
      <c r="AD3079" s="0" t="s">
        <v>20</v>
      </c>
      <c r="AE3079" s="0" t="s">
        <v>7914</v>
      </c>
      <c r="AF3079" s="0">
        <v>2</v>
      </c>
      <c r="AG3079" s="0">
        <v>0</v>
      </c>
      <c r="AH3079" s="0" t="s">
        <v>140</v>
      </c>
      <c r="AI3079" s="0" t="s">
        <v>598</v>
      </c>
      <c r="AK3079" s="0" t="s">
        <v>2523</v>
      </c>
      <c r="AL3079" s="14"/>
      <c r="AN3079" s="14"/>
      <c r="AQ3079" s="0" t="s">
        <v>130</v>
      </c>
      <c r="AR3079" s="0" t="s">
        <v>130</v>
      </c>
      <c r="AS3079" s="0" t="s">
        <v>130</v>
      </c>
      <c r="AT3079" s="0" t="s">
        <v>130</v>
      </c>
      <c r="AU3079" s="0" t="s">
        <v>130</v>
      </c>
      <c r="AV3079" s="0" t="s">
        <v>130</v>
      </c>
      <c r="AW3079" s="0" t="s">
        <v>130</v>
      </c>
      <c r="AX3079" s="0" t="s">
        <v>130</v>
      </c>
      <c r="AY3079" s="0" t="s">
        <v>130</v>
      </c>
      <c r="AZ3079" s="0" t="s">
        <v>130</v>
      </c>
      <c r="BA3079" s="0" t="s">
        <v>130</v>
      </c>
      <c r="BB3079" s="0" t="s">
        <v>130</v>
      </c>
      <c r="BC3079" s="0" t="s">
        <v>130</v>
      </c>
      <c r="BD3079" s="0" t="s">
        <v>130</v>
      </c>
      <c r="BE3079" s="0" t="s">
        <v>130</v>
      </c>
      <c r="BF3079" s="0" t="s">
        <v>130</v>
      </c>
      <c r="BG3079" s="0" t="s">
        <v>130</v>
      </c>
      <c r="BH3079" s="0" t="s">
        <v>130</v>
      </c>
      <c r="BI3079" s="0" t="s">
        <v>130</v>
      </c>
      <c r="BJ3079" s="0" t="s">
        <v>130</v>
      </c>
      <c r="BK3079" s="0" t="s">
        <v>130</v>
      </c>
      <c r="BL3079" s="0" t="s">
        <v>130</v>
      </c>
      <c r="BM3079" s="0" t="s">
        <v>130</v>
      </c>
      <c r="BN3079" s="0" t="s">
        <v>130</v>
      </c>
      <c r="BO3079" s="0" t="s">
        <v>130</v>
      </c>
      <c r="BP3079" s="0" t="s">
        <v>130</v>
      </c>
      <c r="BQ3079" s="0" t="s">
        <v>130</v>
      </c>
      <c r="BR3079" s="0" t="s">
        <v>130</v>
      </c>
      <c r="BS3079" s="0" t="s">
        <v>130</v>
      </c>
      <c r="BT3079" s="0" t="s">
        <v>130</v>
      </c>
      <c r="BU3079" s="0" t="s">
        <v>130</v>
      </c>
      <c r="BV3079" s="0" t="s">
        <v>130</v>
      </c>
      <c r="BW3079" s="0" t="s">
        <v>130</v>
      </c>
      <c r="BX3079" s="0" t="s">
        <v>130</v>
      </c>
      <c r="BY3079" s="0" t="s">
        <v>130</v>
      </c>
      <c r="BZ3079" s="0" t="s">
        <v>130</v>
      </c>
      <c r="CA3079" s="0" t="s">
        <v>130</v>
      </c>
      <c r="CB3079" s="0" t="s">
        <v>130</v>
      </c>
      <c r="CC3079" s="0" t="s">
        <v>130</v>
      </c>
      <c r="CD3079" s="0" t="s">
        <v>130</v>
      </c>
      <c r="CE3079" s="0" t="s">
        <v>130</v>
      </c>
      <c r="CF3079" s="0" t="s">
        <v>130</v>
      </c>
      <c r="CG3079" s="0" t="s">
        <v>130</v>
      </c>
      <c r="CH3079" s="0" t="s">
        <v>130</v>
      </c>
      <c r="CI3079" s="0" t="s">
        <v>130</v>
      </c>
      <c r="CJ3079" s="0" t="s">
        <v>130</v>
      </c>
      <c r="CK3079" s="0" t="s">
        <v>130</v>
      </c>
      <c r="CL3079" s="0" t="s">
        <v>130</v>
      </c>
      <c r="CM3079" s="0" t="s">
        <v>130</v>
      </c>
      <c r="CN3079" s="0" t="s">
        <v>130</v>
      </c>
      <c r="CO3079" s="0" t="s">
        <v>130</v>
      </c>
      <c r="CP3079" s="0" t="s">
        <v>130</v>
      </c>
      <c r="CQ3079" s="0" t="s">
        <v>130</v>
      </c>
      <c r="CR3079" s="0" t="s">
        <v>130</v>
      </c>
      <c r="CS3079" s="0" t="s">
        <v>130</v>
      </c>
      <c r="CT3079" s="0" t="s">
        <v>8242</v>
      </c>
    </row>
    <row r="3080">
      <c r="A3080" s="14">
        <v>328683</v>
      </c>
      <c r="B3080" s="0" t="s">
        <v>3664</v>
      </c>
      <c r="C3080" s="16">
        <f>HYPERLINK("https://eosportal.federatedhermes.com/companies/Q29tcGFueQppNTg5MjI=", "Mercedes-Benz Group AG")</f>
      </c>
      <c r="D3080" s="0" t="s">
        <v>23</v>
      </c>
      <c r="E3080" s="0" t="s">
        <v>5534</v>
      </c>
      <c r="F3080" s="16">
        <f>HYPERLINK("https://eosportal.federatedhermes.com/engagements/RW5nYWdlbWVudAppNDIzMzk=", "Whistleblowing Reporting")</f>
      </c>
      <c r="G3080" s="14" t="s">
        <v>8240</v>
      </c>
      <c r="H3080" s="0" t="s">
        <v>141</v>
      </c>
      <c r="I3080" s="14" t="s">
        <v>1645</v>
      </c>
      <c r="J3080" s="0" t="s">
        <v>132</v>
      </c>
      <c r="K3080" s="0" t="s">
        <v>260</v>
      </c>
      <c r="L3080" s="0" t="s">
        <v>261</v>
      </c>
      <c r="M3080" s="0" t="s">
        <v>378</v>
      </c>
      <c r="N3080" s="0" t="s">
        <v>2485</v>
      </c>
      <c r="O3080" s="0" t="s">
        <v>425</v>
      </c>
      <c r="Q3080" s="0" t="s">
        <v>141</v>
      </c>
      <c r="R3080" s="0" t="s">
        <v>141</v>
      </c>
      <c r="S3080" s="14">
        <v>1</v>
      </c>
      <c r="T3080" s="0" t="s">
        <v>361</v>
      </c>
      <c r="U3080" s="0" t="s">
        <v>221</v>
      </c>
      <c r="V3080" s="14" t="s">
        <v>361</v>
      </c>
      <c r="W3080" s="0" t="s">
        <v>223</v>
      </c>
      <c r="X3080" s="14" t="s">
        <v>138</v>
      </c>
      <c r="Y3080" s="0" t="s">
        <v>221</v>
      </c>
      <c r="Z3080" s="14" t="s">
        <v>361</v>
      </c>
      <c r="AA3080" s="0" t="s">
        <v>223</v>
      </c>
      <c r="AB3080" s="14" t="s">
        <v>138</v>
      </c>
      <c r="AC3080" s="0" t="s">
        <v>8241</v>
      </c>
      <c r="AD3080" s="0" t="s">
        <v>20</v>
      </c>
      <c r="AE3080" s="0" t="s">
        <v>7960</v>
      </c>
      <c r="AF3080" s="0">
        <v>2</v>
      </c>
      <c r="AG3080" s="0">
        <v>0</v>
      </c>
      <c r="AH3080" s="0" t="s">
        <v>140</v>
      </c>
      <c r="AI3080" s="0" t="s">
        <v>598</v>
      </c>
      <c r="AK3080" s="0" t="s">
        <v>2523</v>
      </c>
      <c r="AL3080" s="14"/>
      <c r="AN3080" s="14"/>
      <c r="AQ3080" s="0" t="s">
        <v>130</v>
      </c>
      <c r="AR3080" s="0" t="s">
        <v>130</v>
      </c>
      <c r="AS3080" s="0" t="s">
        <v>130</v>
      </c>
      <c r="AT3080" s="0" t="s">
        <v>130</v>
      </c>
      <c r="AU3080" s="0" t="s">
        <v>130</v>
      </c>
      <c r="AV3080" s="0" t="s">
        <v>130</v>
      </c>
      <c r="AW3080" s="0" t="s">
        <v>130</v>
      </c>
      <c r="AX3080" s="0" t="s">
        <v>130</v>
      </c>
      <c r="AY3080" s="0" t="s">
        <v>130</v>
      </c>
      <c r="AZ3080" s="0" t="s">
        <v>130</v>
      </c>
      <c r="BA3080" s="0" t="s">
        <v>130</v>
      </c>
      <c r="BB3080" s="0" t="s">
        <v>130</v>
      </c>
      <c r="BC3080" s="0" t="s">
        <v>130</v>
      </c>
      <c r="BD3080" s="0" t="s">
        <v>130</v>
      </c>
      <c r="BE3080" s="0" t="s">
        <v>130</v>
      </c>
      <c r="BF3080" s="0" t="s">
        <v>130</v>
      </c>
      <c r="BG3080" s="0" t="s">
        <v>130</v>
      </c>
      <c r="BH3080" s="0" t="s">
        <v>130</v>
      </c>
      <c r="BI3080" s="0" t="s">
        <v>130</v>
      </c>
      <c r="BJ3080" s="0" t="s">
        <v>130</v>
      </c>
      <c r="BK3080" s="0" t="s">
        <v>130</v>
      </c>
      <c r="BL3080" s="0" t="s">
        <v>130</v>
      </c>
      <c r="BM3080" s="0" t="s">
        <v>130</v>
      </c>
      <c r="BN3080" s="0" t="s">
        <v>130</v>
      </c>
      <c r="BO3080" s="0" t="s">
        <v>130</v>
      </c>
      <c r="BP3080" s="0" t="s">
        <v>130</v>
      </c>
      <c r="BQ3080" s="0" t="s">
        <v>130</v>
      </c>
      <c r="BR3080" s="0" t="s">
        <v>130</v>
      </c>
      <c r="BS3080" s="0" t="s">
        <v>130</v>
      </c>
      <c r="BT3080" s="0" t="s">
        <v>130</v>
      </c>
      <c r="BU3080" s="0" t="s">
        <v>130</v>
      </c>
      <c r="BV3080" s="0" t="s">
        <v>130</v>
      </c>
      <c r="BW3080" s="0" t="s">
        <v>130</v>
      </c>
      <c r="BX3080" s="0" t="s">
        <v>130</v>
      </c>
      <c r="BY3080" s="0" t="s">
        <v>130</v>
      </c>
      <c r="BZ3080" s="0" t="s">
        <v>130</v>
      </c>
      <c r="CA3080" s="0" t="s">
        <v>130</v>
      </c>
      <c r="CB3080" s="0" t="s">
        <v>130</v>
      </c>
      <c r="CC3080" s="0" t="s">
        <v>130</v>
      </c>
      <c r="CD3080" s="0" t="s">
        <v>130</v>
      </c>
      <c r="CE3080" s="0" t="s">
        <v>130</v>
      </c>
      <c r="CF3080" s="0" t="s">
        <v>130</v>
      </c>
      <c r="CG3080" s="0" t="s">
        <v>130</v>
      </c>
      <c r="CH3080" s="0" t="s">
        <v>130</v>
      </c>
      <c r="CI3080" s="0" t="s">
        <v>130</v>
      </c>
      <c r="CJ3080" s="0" t="s">
        <v>130</v>
      </c>
      <c r="CK3080" s="0" t="s">
        <v>130</v>
      </c>
      <c r="CL3080" s="0" t="s">
        <v>130</v>
      </c>
      <c r="CM3080" s="0" t="s">
        <v>130</v>
      </c>
      <c r="CN3080" s="0" t="s">
        <v>130</v>
      </c>
      <c r="CO3080" s="0" t="s">
        <v>130</v>
      </c>
      <c r="CP3080" s="0" t="s">
        <v>130</v>
      </c>
      <c r="CQ3080" s="0" t="s">
        <v>130</v>
      </c>
      <c r="CR3080" s="0" t="s">
        <v>130</v>
      </c>
      <c r="CS3080" s="0" t="s">
        <v>130</v>
      </c>
      <c r="CT3080" s="0" t="s">
        <v>8242</v>
      </c>
    </row>
    <row r="3081">
      <c r="A3081" s="14">
        <v>328683</v>
      </c>
      <c r="B3081" s="0" t="s">
        <v>3664</v>
      </c>
      <c r="C3081" s="16">
        <f>HYPERLINK("https://eosportal.federatedhermes.com/companies/Q29tcGFueQppNTg5MjI=", "Mercedes-Benz Group AG")</f>
      </c>
      <c r="D3081" s="0" t="s">
        <v>23</v>
      </c>
      <c r="E3081" s="0" t="s">
        <v>8243</v>
      </c>
      <c r="F3081" s="16">
        <f>HYPERLINK("https://eosportal.federatedhermes.com/engagements/RW5nYWdlbWVudAppNDIzNDA=", "Board skills assessment")</f>
      </c>
      <c r="G3081" s="14" t="s">
        <v>8244</v>
      </c>
      <c r="H3081" s="0" t="s">
        <v>141</v>
      </c>
      <c r="I3081" s="14" t="s">
        <v>1645</v>
      </c>
      <c r="J3081" s="0" t="s">
        <v>145</v>
      </c>
      <c r="K3081" s="0" t="s">
        <v>164</v>
      </c>
      <c r="L3081" s="0" t="s">
        <v>165</v>
      </c>
      <c r="M3081" s="0" t="s">
        <v>378</v>
      </c>
      <c r="N3081" s="0" t="s">
        <v>2485</v>
      </c>
      <c r="O3081" s="0" t="s">
        <v>425</v>
      </c>
      <c r="Q3081" s="0" t="s">
        <v>141</v>
      </c>
      <c r="R3081" s="0" t="s">
        <v>141</v>
      </c>
      <c r="S3081" s="14">
        <v>1</v>
      </c>
      <c r="T3081" s="0" t="s">
        <v>361</v>
      </c>
      <c r="U3081" s="0" t="s">
        <v>221</v>
      </c>
      <c r="V3081" s="14" t="s">
        <v>361</v>
      </c>
      <c r="W3081" s="0" t="s">
        <v>221</v>
      </c>
      <c r="X3081" s="14" t="s">
        <v>361</v>
      </c>
      <c r="Y3081" s="0" t="s">
        <v>221</v>
      </c>
      <c r="Z3081" s="14" t="s">
        <v>361</v>
      </c>
      <c r="AA3081" s="0" t="s">
        <v>223</v>
      </c>
      <c r="AB3081" s="14" t="s">
        <v>138</v>
      </c>
      <c r="AC3081" s="0" t="s">
        <v>7959</v>
      </c>
      <c r="AD3081" s="0" t="s">
        <v>20</v>
      </c>
      <c r="AE3081" s="0" t="s">
        <v>7960</v>
      </c>
      <c r="AF3081" s="0">
        <v>3</v>
      </c>
      <c r="AG3081" s="0">
        <v>0</v>
      </c>
      <c r="AH3081" s="0" t="s">
        <v>140</v>
      </c>
      <c r="AI3081" s="0" t="s">
        <v>598</v>
      </c>
      <c r="AK3081" s="0" t="s">
        <v>2523</v>
      </c>
      <c r="AL3081" s="14"/>
      <c r="AN3081" s="14"/>
      <c r="AQ3081" s="0" t="s">
        <v>130</v>
      </c>
      <c r="AR3081" s="0" t="s">
        <v>130</v>
      </c>
      <c r="AS3081" s="0" t="s">
        <v>130</v>
      </c>
      <c r="AT3081" s="0" t="s">
        <v>130</v>
      </c>
      <c r="AU3081" s="0" t="s">
        <v>130</v>
      </c>
      <c r="AV3081" s="0" t="s">
        <v>130</v>
      </c>
      <c r="AW3081" s="0" t="s">
        <v>130</v>
      </c>
      <c r="AX3081" s="0" t="s">
        <v>130</v>
      </c>
      <c r="AY3081" s="0" t="s">
        <v>130</v>
      </c>
      <c r="AZ3081" s="0" t="s">
        <v>130</v>
      </c>
      <c r="BA3081" s="0" t="s">
        <v>130</v>
      </c>
      <c r="BB3081" s="0" t="s">
        <v>130</v>
      </c>
      <c r="BC3081" s="0" t="s">
        <v>130</v>
      </c>
      <c r="BD3081" s="0" t="s">
        <v>130</v>
      </c>
      <c r="BE3081" s="0" t="s">
        <v>130</v>
      </c>
      <c r="BF3081" s="0" t="s">
        <v>130</v>
      </c>
      <c r="BG3081" s="0" t="s">
        <v>130</v>
      </c>
      <c r="BH3081" s="0" t="s">
        <v>130</v>
      </c>
      <c r="BI3081" s="0" t="s">
        <v>130</v>
      </c>
      <c r="BJ3081" s="0" t="s">
        <v>130</v>
      </c>
      <c r="BK3081" s="0" t="s">
        <v>130</v>
      </c>
      <c r="BL3081" s="0" t="s">
        <v>130</v>
      </c>
      <c r="BM3081" s="0" t="s">
        <v>130</v>
      </c>
      <c r="BN3081" s="0" t="s">
        <v>130</v>
      </c>
      <c r="BO3081" s="0" t="s">
        <v>130</v>
      </c>
      <c r="BP3081" s="0" t="s">
        <v>130</v>
      </c>
      <c r="BQ3081" s="0" t="s">
        <v>130</v>
      </c>
      <c r="BR3081" s="0" t="s">
        <v>130</v>
      </c>
      <c r="BS3081" s="0" t="s">
        <v>130</v>
      </c>
      <c r="BT3081" s="0" t="s">
        <v>130</v>
      </c>
      <c r="BU3081" s="0" t="s">
        <v>130</v>
      </c>
      <c r="BV3081" s="0" t="s">
        <v>130</v>
      </c>
      <c r="BW3081" s="0" t="s">
        <v>130</v>
      </c>
      <c r="BX3081" s="0" t="s">
        <v>130</v>
      </c>
      <c r="BY3081" s="0" t="s">
        <v>130</v>
      </c>
      <c r="BZ3081" s="0" t="s">
        <v>130</v>
      </c>
      <c r="CA3081" s="0" t="s">
        <v>130</v>
      </c>
      <c r="CB3081" s="0" t="s">
        <v>130</v>
      </c>
      <c r="CC3081" s="0" t="s">
        <v>130</v>
      </c>
      <c r="CD3081" s="0" t="s">
        <v>130</v>
      </c>
      <c r="CE3081" s="0" t="s">
        <v>130</v>
      </c>
      <c r="CF3081" s="0" t="s">
        <v>130</v>
      </c>
      <c r="CG3081" s="0" t="s">
        <v>130</v>
      </c>
      <c r="CH3081" s="0" t="s">
        <v>130</v>
      </c>
      <c r="CI3081" s="0" t="s">
        <v>130</v>
      </c>
      <c r="CJ3081" s="0" t="s">
        <v>130</v>
      </c>
      <c r="CK3081" s="0" t="s">
        <v>130</v>
      </c>
      <c r="CL3081" s="0" t="s">
        <v>130</v>
      </c>
      <c r="CM3081" s="0" t="s">
        <v>130</v>
      </c>
      <c r="CN3081" s="0" t="s">
        <v>130</v>
      </c>
      <c r="CO3081" s="0" t="s">
        <v>130</v>
      </c>
      <c r="CP3081" s="0" t="s">
        <v>130</v>
      </c>
      <c r="CQ3081" s="0" t="s">
        <v>130</v>
      </c>
      <c r="CR3081" s="0" t="s">
        <v>130</v>
      </c>
      <c r="CS3081" s="0" t="s">
        <v>130</v>
      </c>
      <c r="CT3081" s="0" t="s">
        <v>8245</v>
      </c>
    </row>
    <row r="3082">
      <c r="A3082" s="14">
        <v>115230</v>
      </c>
      <c r="B3082" s="0" t="s">
        <v>2352</v>
      </c>
      <c r="C3082" s="16">
        <f>HYPERLINK("https://eosportal.federatedhermes.com/companies/Q29tcGFueQppNjI0OTg=", "Air Liquide SA")</f>
      </c>
      <c r="D3082" s="0" t="s">
        <v>23</v>
      </c>
      <c r="E3082" s="0" t="s">
        <v>8246</v>
      </c>
      <c r="F3082" s="16">
        <f>HYPERLINK("https://eosportal.federatedhermes.com/engagements/RW5nYWdlbWVudAppNDIzNDI=", "Renewable Energy Use")</f>
      </c>
      <c r="G3082" s="14" t="s">
        <v>8247</v>
      </c>
      <c r="H3082" s="0" t="s">
        <v>141</v>
      </c>
      <c r="I3082" s="14" t="s">
        <v>1645</v>
      </c>
      <c r="J3082" s="0" t="s">
        <v>197</v>
      </c>
      <c r="K3082" s="0" t="s">
        <v>198</v>
      </c>
      <c r="L3082" s="0" t="s">
        <v>216</v>
      </c>
      <c r="M3082" s="0" t="s">
        <v>378</v>
      </c>
      <c r="N3082" s="0" t="s">
        <v>1646</v>
      </c>
      <c r="O3082" s="0" t="s">
        <v>706</v>
      </c>
      <c r="Q3082" s="0" t="s">
        <v>141</v>
      </c>
      <c r="R3082" s="0" t="s">
        <v>141</v>
      </c>
      <c r="S3082" s="14">
        <v>1</v>
      </c>
      <c r="T3082" s="0" t="s">
        <v>2842</v>
      </c>
      <c r="U3082" s="0" t="s">
        <v>221</v>
      </c>
      <c r="V3082" s="14" t="s">
        <v>2842</v>
      </c>
      <c r="W3082" s="0" t="s">
        <v>221</v>
      </c>
      <c r="X3082" s="14" t="s">
        <v>361</v>
      </c>
      <c r="Y3082" s="0" t="s">
        <v>223</v>
      </c>
      <c r="Z3082" s="14" t="s">
        <v>138</v>
      </c>
      <c r="AA3082" s="0" t="s">
        <v>224</v>
      </c>
      <c r="AB3082" s="14" t="s">
        <v>138</v>
      </c>
      <c r="AC3082" s="0" t="s">
        <v>14</v>
      </c>
      <c r="AD3082" s="0" t="s">
        <v>17</v>
      </c>
      <c r="AE3082" s="0" t="s">
        <v>5508</v>
      </c>
      <c r="AF3082" s="0">
        <v>1</v>
      </c>
      <c r="AG3082" s="0">
        <v>0</v>
      </c>
      <c r="AH3082" s="0" t="s">
        <v>140</v>
      </c>
      <c r="AI3082" s="0" t="s">
        <v>598</v>
      </c>
      <c r="AK3082" s="0" t="s">
        <v>226</v>
      </c>
      <c r="AL3082" s="14"/>
      <c r="AN3082" s="14"/>
      <c r="AQ3082" s="0" t="s">
        <v>130</v>
      </c>
      <c r="AR3082" s="0" t="s">
        <v>130</v>
      </c>
      <c r="AS3082" s="0" t="s">
        <v>130</v>
      </c>
      <c r="AT3082" s="0" t="s">
        <v>130</v>
      </c>
      <c r="AU3082" s="0" t="s">
        <v>130</v>
      </c>
      <c r="AV3082" s="0" t="s">
        <v>130</v>
      </c>
      <c r="AW3082" s="0" t="s">
        <v>141</v>
      </c>
      <c r="AX3082" s="0" t="s">
        <v>130</v>
      </c>
      <c r="AY3082" s="0" t="s">
        <v>130</v>
      </c>
      <c r="AZ3082" s="0" t="s">
        <v>130</v>
      </c>
      <c r="BA3082" s="0" t="s">
        <v>130</v>
      </c>
      <c r="BB3082" s="0" t="s">
        <v>130</v>
      </c>
      <c r="BC3082" s="0" t="s">
        <v>141</v>
      </c>
      <c r="BD3082" s="0" t="s">
        <v>130</v>
      </c>
      <c r="BE3082" s="0" t="s">
        <v>130</v>
      </c>
      <c r="BF3082" s="0" t="s">
        <v>130</v>
      </c>
      <c r="BG3082" s="0" t="s">
        <v>130</v>
      </c>
      <c r="BH3082" s="0" t="s">
        <v>141</v>
      </c>
      <c r="BI3082" s="0" t="s">
        <v>141</v>
      </c>
      <c r="BJ3082" s="0" t="s">
        <v>141</v>
      </c>
      <c r="BK3082" s="0" t="s">
        <v>141</v>
      </c>
      <c r="BL3082" s="0" t="s">
        <v>130</v>
      </c>
      <c r="BM3082" s="0" t="s">
        <v>130</v>
      </c>
      <c r="BN3082" s="0" t="s">
        <v>130</v>
      </c>
      <c r="BO3082" s="0" t="s">
        <v>130</v>
      </c>
      <c r="BP3082" s="0" t="s">
        <v>130</v>
      </c>
      <c r="BQ3082" s="0" t="s">
        <v>130</v>
      </c>
      <c r="BR3082" s="0" t="s">
        <v>130</v>
      </c>
      <c r="BS3082" s="0" t="s">
        <v>130</v>
      </c>
      <c r="BT3082" s="0" t="s">
        <v>130</v>
      </c>
      <c r="BU3082" s="0" t="s">
        <v>130</v>
      </c>
      <c r="BV3082" s="0" t="s">
        <v>141</v>
      </c>
      <c r="BW3082" s="0" t="s">
        <v>141</v>
      </c>
      <c r="BX3082" s="0" t="s">
        <v>130</v>
      </c>
      <c r="BY3082" s="0" t="s">
        <v>130</v>
      </c>
      <c r="BZ3082" s="0" t="s">
        <v>130</v>
      </c>
      <c r="CA3082" s="0" t="s">
        <v>130</v>
      </c>
      <c r="CB3082" s="0" t="s">
        <v>130</v>
      </c>
      <c r="CC3082" s="0" t="s">
        <v>130</v>
      </c>
      <c r="CD3082" s="0" t="s">
        <v>130</v>
      </c>
      <c r="CE3082" s="0" t="s">
        <v>130</v>
      </c>
      <c r="CF3082" s="0" t="s">
        <v>130</v>
      </c>
      <c r="CG3082" s="0" t="s">
        <v>130</v>
      </c>
      <c r="CH3082" s="0" t="s">
        <v>130</v>
      </c>
      <c r="CI3082" s="0" t="s">
        <v>130</v>
      </c>
      <c r="CJ3082" s="0" t="s">
        <v>130</v>
      </c>
      <c r="CK3082" s="0" t="s">
        <v>130</v>
      </c>
      <c r="CL3082" s="0" t="s">
        <v>130</v>
      </c>
      <c r="CM3082" s="0" t="s">
        <v>130</v>
      </c>
      <c r="CN3082" s="0" t="s">
        <v>130</v>
      </c>
      <c r="CO3082" s="0" t="s">
        <v>130</v>
      </c>
      <c r="CP3082" s="0" t="s">
        <v>130</v>
      </c>
      <c r="CQ3082" s="0" t="s">
        <v>130</v>
      </c>
      <c r="CR3082" s="0" t="s">
        <v>130</v>
      </c>
      <c r="CS3082" s="0" t="s">
        <v>130</v>
      </c>
      <c r="CT3082" s="0" t="s">
        <v>8248</v>
      </c>
    </row>
    <row r="3083">
      <c r="A3083" s="14">
        <v>101365</v>
      </c>
      <c r="B3083" s="0" t="s">
        <v>1493</v>
      </c>
      <c r="C3083" s="16">
        <f>HYPERLINK("https://eosportal.federatedhermes.com/companies/Q29tcGFueQppNTQ1MjA=", "Sony Group Corp")</f>
      </c>
      <c r="D3083" s="0" t="s">
        <v>23</v>
      </c>
      <c r="E3083" s="0" t="s">
        <v>5025</v>
      </c>
      <c r="F3083" s="16">
        <f>HYPERLINK("https://eosportal.federatedhermes.com/engagements/RW5nYWdlbWVudAppNDIzNjA=", "Minimum shareholding")</f>
      </c>
      <c r="G3083" s="14" t="s">
        <v>8249</v>
      </c>
      <c r="H3083" s="0" t="s">
        <v>141</v>
      </c>
      <c r="I3083" s="14" t="s">
        <v>191</v>
      </c>
      <c r="J3083" s="0" t="s">
        <v>145</v>
      </c>
      <c r="K3083" s="0" t="s">
        <v>146</v>
      </c>
      <c r="L3083" s="0" t="s">
        <v>147</v>
      </c>
      <c r="M3083" s="0" t="s">
        <v>802</v>
      </c>
      <c r="N3083" s="0" t="s">
        <v>952</v>
      </c>
      <c r="O3083" s="0" t="s">
        <v>1125</v>
      </c>
      <c r="Q3083" s="0" t="s">
        <v>141</v>
      </c>
      <c r="R3083" s="0" t="s">
        <v>130</v>
      </c>
      <c r="S3083" s="14">
        <v>1</v>
      </c>
      <c r="T3083" s="0" t="s">
        <v>360</v>
      </c>
      <c r="U3083" s="0" t="s">
        <v>221</v>
      </c>
      <c r="V3083" s="14" t="s">
        <v>360</v>
      </c>
      <c r="W3083" s="0" t="s">
        <v>221</v>
      </c>
      <c r="X3083" s="14" t="s">
        <v>360</v>
      </c>
      <c r="Y3083" s="0" t="s">
        <v>223</v>
      </c>
      <c r="Z3083" s="14" t="s">
        <v>138</v>
      </c>
      <c r="AA3083" s="0" t="s">
        <v>224</v>
      </c>
      <c r="AB3083" s="14" t="s">
        <v>138</v>
      </c>
      <c r="AD3083" s="0" t="s">
        <v>17</v>
      </c>
      <c r="AF3083" s="0">
        <v>0</v>
      </c>
      <c r="AG3083" s="0">
        <v>0</v>
      </c>
      <c r="AH3083" s="0" t="s">
        <v>140</v>
      </c>
      <c r="AI3083" s="0" t="s">
        <v>598</v>
      </c>
      <c r="AK3083" s="0" t="s">
        <v>1196</v>
      </c>
      <c r="AL3083" s="14"/>
      <c r="AN3083" s="14"/>
      <c r="AQ3083" s="0" t="s">
        <v>130</v>
      </c>
      <c r="AR3083" s="0" t="s">
        <v>130</v>
      </c>
      <c r="AS3083" s="0" t="s">
        <v>130</v>
      </c>
      <c r="AT3083" s="0" t="s">
        <v>130</v>
      </c>
      <c r="AU3083" s="0" t="s">
        <v>130</v>
      </c>
      <c r="AV3083" s="0" t="s">
        <v>130</v>
      </c>
      <c r="AW3083" s="0" t="s">
        <v>130</v>
      </c>
      <c r="AX3083" s="0" t="s">
        <v>130</v>
      </c>
      <c r="AY3083" s="0" t="s">
        <v>130</v>
      </c>
      <c r="AZ3083" s="0" t="s">
        <v>130</v>
      </c>
      <c r="BA3083" s="0" t="s">
        <v>130</v>
      </c>
      <c r="BB3083" s="0" t="s">
        <v>130</v>
      </c>
      <c r="BC3083" s="0" t="s">
        <v>130</v>
      </c>
      <c r="BD3083" s="0" t="s">
        <v>130</v>
      </c>
      <c r="BE3083" s="0" t="s">
        <v>130</v>
      </c>
      <c r="BF3083" s="0" t="s">
        <v>130</v>
      </c>
      <c r="BG3083" s="0" t="s">
        <v>130</v>
      </c>
      <c r="BH3083" s="0" t="s">
        <v>130</v>
      </c>
      <c r="BI3083" s="0" t="s">
        <v>130</v>
      </c>
      <c r="BJ3083" s="0" t="s">
        <v>130</v>
      </c>
      <c r="BK3083" s="0" t="s">
        <v>130</v>
      </c>
      <c r="BL3083" s="0" t="s">
        <v>130</v>
      </c>
      <c r="BM3083" s="0" t="s">
        <v>130</v>
      </c>
      <c r="BN3083" s="0" t="s">
        <v>130</v>
      </c>
      <c r="BO3083" s="0" t="s">
        <v>130</v>
      </c>
      <c r="BP3083" s="0" t="s">
        <v>130</v>
      </c>
      <c r="BQ3083" s="0" t="s">
        <v>130</v>
      </c>
      <c r="BR3083" s="0" t="s">
        <v>130</v>
      </c>
      <c r="BS3083" s="0" t="s">
        <v>130</v>
      </c>
      <c r="BT3083" s="0" t="s">
        <v>130</v>
      </c>
      <c r="BU3083" s="0" t="s">
        <v>130</v>
      </c>
      <c r="BV3083" s="0" t="s">
        <v>130</v>
      </c>
      <c r="BW3083" s="0" t="s">
        <v>130</v>
      </c>
      <c r="BX3083" s="0" t="s">
        <v>130</v>
      </c>
      <c r="BY3083" s="0" t="s">
        <v>130</v>
      </c>
      <c r="BZ3083" s="0" t="s">
        <v>130</v>
      </c>
      <c r="CA3083" s="0" t="s">
        <v>130</v>
      </c>
      <c r="CB3083" s="0" t="s">
        <v>130</v>
      </c>
      <c r="CC3083" s="0" t="s">
        <v>130</v>
      </c>
      <c r="CD3083" s="0" t="s">
        <v>130</v>
      </c>
      <c r="CE3083" s="0" t="s">
        <v>130</v>
      </c>
      <c r="CF3083" s="0" t="s">
        <v>130</v>
      </c>
      <c r="CG3083" s="0" t="s">
        <v>130</v>
      </c>
      <c r="CH3083" s="0" t="s">
        <v>130</v>
      </c>
      <c r="CI3083" s="0" t="s">
        <v>130</v>
      </c>
      <c r="CJ3083" s="0" t="s">
        <v>130</v>
      </c>
      <c r="CK3083" s="0" t="s">
        <v>130</v>
      </c>
      <c r="CL3083" s="0" t="s">
        <v>130</v>
      </c>
      <c r="CM3083" s="0" t="s">
        <v>130</v>
      </c>
      <c r="CN3083" s="0" t="s">
        <v>130</v>
      </c>
      <c r="CO3083" s="0" t="s">
        <v>130</v>
      </c>
      <c r="CP3083" s="0" t="s">
        <v>130</v>
      </c>
      <c r="CQ3083" s="0" t="s">
        <v>130</v>
      </c>
      <c r="CR3083" s="0" t="s">
        <v>130</v>
      </c>
      <c r="CS3083" s="0" t="s">
        <v>130</v>
      </c>
      <c r="CT3083" s="0" t="s">
        <v>8250</v>
      </c>
    </row>
    <row r="3084">
      <c r="A3084" s="14">
        <v>115679</v>
      </c>
      <c r="B3084" s="0" t="s">
        <v>2603</v>
      </c>
      <c r="C3084" s="16">
        <f>HYPERLINK("https://eosportal.federatedhermes.com/companies/Q29tcGFueQppNTg5NzU=", "Bayer AG")</f>
      </c>
      <c r="D3084" s="0" t="s">
        <v>23</v>
      </c>
      <c r="E3084" s="0" t="s">
        <v>8251</v>
      </c>
      <c r="F3084" s="16">
        <f>HYPERLINK("https://eosportal.federatedhermes.com/engagements/RW5nYWdlbWVudAppNDIzNjI=", "Disclosure of PFAS in company's products")</f>
      </c>
      <c r="G3084" s="14" t="s">
        <v>8252</v>
      </c>
      <c r="H3084" s="0" t="s">
        <v>141</v>
      </c>
      <c r="I3084" s="14" t="s">
        <v>1645</v>
      </c>
      <c r="J3084" s="0" t="s">
        <v>197</v>
      </c>
      <c r="K3084" s="0" t="s">
        <v>348</v>
      </c>
      <c r="L3084" s="0" t="s">
        <v>650</v>
      </c>
      <c r="M3084" s="0" t="s">
        <v>378</v>
      </c>
      <c r="N3084" s="0" t="s">
        <v>2485</v>
      </c>
      <c r="O3084" s="0" t="s">
        <v>274</v>
      </c>
      <c r="Q3084" s="0" t="s">
        <v>130</v>
      </c>
      <c r="R3084" s="0" t="s">
        <v>130</v>
      </c>
      <c r="S3084" s="14">
        <v>0</v>
      </c>
      <c r="T3084" s="0" t="s">
        <v>2842</v>
      </c>
      <c r="U3084" s="0" t="s">
        <v>221</v>
      </c>
      <c r="V3084" s="14" t="s">
        <v>2842</v>
      </c>
      <c r="W3084" s="0" t="s">
        <v>223</v>
      </c>
      <c r="X3084" s="14" t="s">
        <v>138</v>
      </c>
      <c r="Y3084" s="0" t="s">
        <v>224</v>
      </c>
      <c r="Z3084" s="14" t="s">
        <v>138</v>
      </c>
      <c r="AA3084" s="0" t="s">
        <v>224</v>
      </c>
      <c r="AB3084" s="14" t="s">
        <v>138</v>
      </c>
      <c r="AD3084" s="0" t="s">
        <v>14</v>
      </c>
      <c r="AF3084" s="0">
        <v>0</v>
      </c>
      <c r="AG3084" s="0">
        <v>0</v>
      </c>
      <c r="AH3084" s="0" t="s">
        <v>140</v>
      </c>
      <c r="AI3084" s="0" t="s">
        <v>479</v>
      </c>
      <c r="AL3084" s="14"/>
      <c r="AN3084" s="14"/>
      <c r="AQ3084" s="0" t="s">
        <v>130</v>
      </c>
      <c r="AR3084" s="0" t="s">
        <v>130</v>
      </c>
      <c r="AS3084" s="0" t="s">
        <v>141</v>
      </c>
      <c r="AT3084" s="0" t="s">
        <v>130</v>
      </c>
      <c r="AU3084" s="0" t="s">
        <v>130</v>
      </c>
      <c r="AV3084" s="0" t="s">
        <v>141</v>
      </c>
      <c r="AW3084" s="0" t="s">
        <v>130</v>
      </c>
      <c r="AX3084" s="0" t="s">
        <v>130</v>
      </c>
      <c r="AY3084" s="0" t="s">
        <v>130</v>
      </c>
      <c r="AZ3084" s="0" t="s">
        <v>130</v>
      </c>
      <c r="BA3084" s="0" t="s">
        <v>130</v>
      </c>
      <c r="BB3084" s="0" t="s">
        <v>141</v>
      </c>
      <c r="BC3084" s="0" t="s">
        <v>130</v>
      </c>
      <c r="BD3084" s="0" t="s">
        <v>141</v>
      </c>
      <c r="BE3084" s="0" t="s">
        <v>130</v>
      </c>
      <c r="BF3084" s="0" t="s">
        <v>130</v>
      </c>
      <c r="BG3084" s="0" t="s">
        <v>130</v>
      </c>
      <c r="BH3084" s="0" t="s">
        <v>130</v>
      </c>
      <c r="BI3084" s="0" t="s">
        <v>130</v>
      </c>
      <c r="BJ3084" s="0" t="s">
        <v>130</v>
      </c>
      <c r="BK3084" s="0" t="s">
        <v>130</v>
      </c>
      <c r="BL3084" s="0" t="s">
        <v>130</v>
      </c>
      <c r="BM3084" s="0" t="s">
        <v>130</v>
      </c>
      <c r="BN3084" s="0" t="s">
        <v>130</v>
      </c>
      <c r="BO3084" s="0" t="s">
        <v>130</v>
      </c>
      <c r="BP3084" s="0" t="s">
        <v>130</v>
      </c>
      <c r="BQ3084" s="0" t="s">
        <v>130</v>
      </c>
      <c r="BR3084" s="0" t="s">
        <v>130</v>
      </c>
      <c r="BS3084" s="0" t="s">
        <v>130</v>
      </c>
      <c r="BT3084" s="0" t="s">
        <v>130</v>
      </c>
      <c r="BU3084" s="0" t="s">
        <v>130</v>
      </c>
      <c r="BV3084" s="0" t="s">
        <v>130</v>
      </c>
      <c r="BW3084" s="0" t="s">
        <v>130</v>
      </c>
      <c r="BX3084" s="0" t="s">
        <v>130</v>
      </c>
      <c r="BY3084" s="0" t="s">
        <v>130</v>
      </c>
      <c r="BZ3084" s="0" t="s">
        <v>130</v>
      </c>
      <c r="CA3084" s="0" t="s">
        <v>130</v>
      </c>
      <c r="CB3084" s="0" t="s">
        <v>130</v>
      </c>
      <c r="CC3084" s="0" t="s">
        <v>130</v>
      </c>
      <c r="CD3084" s="0" t="s">
        <v>130</v>
      </c>
      <c r="CE3084" s="0" t="s">
        <v>130</v>
      </c>
      <c r="CF3084" s="0" t="s">
        <v>130</v>
      </c>
      <c r="CG3084" s="0" t="s">
        <v>130</v>
      </c>
      <c r="CH3084" s="0" t="s">
        <v>130</v>
      </c>
      <c r="CI3084" s="0" t="s">
        <v>130</v>
      </c>
      <c r="CJ3084" s="0" t="s">
        <v>130</v>
      </c>
      <c r="CK3084" s="0" t="s">
        <v>130</v>
      </c>
      <c r="CL3084" s="0" t="s">
        <v>130</v>
      </c>
      <c r="CM3084" s="0" t="s">
        <v>130</v>
      </c>
      <c r="CN3084" s="0" t="s">
        <v>130</v>
      </c>
      <c r="CO3084" s="0" t="s">
        <v>130</v>
      </c>
      <c r="CP3084" s="0" t="s">
        <v>130</v>
      </c>
      <c r="CQ3084" s="0" t="s">
        <v>130</v>
      </c>
      <c r="CR3084" s="0" t="s">
        <v>130</v>
      </c>
      <c r="CS3084" s="0" t="s">
        <v>130</v>
      </c>
      <c r="CT3084" s="0" t="s">
        <v>8253</v>
      </c>
    </row>
    <row r="3085">
      <c r="A3085" s="14">
        <v>115643</v>
      </c>
      <c r="B3085" s="0" t="s">
        <v>2552</v>
      </c>
      <c r="C3085" s="16">
        <f>HYPERLINK("https://eosportal.federatedhermes.com/companies/Q29tcGFueQppNjk2MzA=", "Koninklijke Ahold Delhaize NV")</f>
      </c>
      <c r="D3085" s="0" t="s">
        <v>23</v>
      </c>
      <c r="E3085" s="0" t="s">
        <v>8254</v>
      </c>
      <c r="F3085" s="16">
        <f>HYPERLINK("https://eosportal.federatedhermes.com/engagements/RW5nYWdlbWVudAppNDIzNzA=", "Plastics / Packaging target")</f>
      </c>
      <c r="G3085" s="14" t="s">
        <v>8255</v>
      </c>
      <c r="H3085" s="0" t="s">
        <v>141</v>
      </c>
      <c r="I3085" s="14" t="s">
        <v>1645</v>
      </c>
      <c r="J3085" s="0" t="s">
        <v>197</v>
      </c>
      <c r="K3085" s="0" t="s">
        <v>348</v>
      </c>
      <c r="L3085" s="0" t="s">
        <v>349</v>
      </c>
      <c r="M3085" s="0" t="s">
        <v>378</v>
      </c>
      <c r="N3085" s="0" t="s">
        <v>2554</v>
      </c>
      <c r="O3085" s="0" t="s">
        <v>643</v>
      </c>
      <c r="Q3085" s="0" t="s">
        <v>141</v>
      </c>
      <c r="R3085" s="0" t="s">
        <v>141</v>
      </c>
      <c r="S3085" s="14">
        <v>2</v>
      </c>
      <c r="T3085" s="0" t="s">
        <v>361</v>
      </c>
      <c r="U3085" s="0" t="s">
        <v>221</v>
      </c>
      <c r="V3085" s="14" t="s">
        <v>361</v>
      </c>
      <c r="W3085" s="0" t="s">
        <v>223</v>
      </c>
      <c r="X3085" s="14" t="s">
        <v>138</v>
      </c>
      <c r="Y3085" s="0" t="s">
        <v>224</v>
      </c>
      <c r="Z3085" s="14" t="s">
        <v>138</v>
      </c>
      <c r="AA3085" s="0" t="s">
        <v>224</v>
      </c>
      <c r="AB3085" s="14" t="s">
        <v>138</v>
      </c>
      <c r="AC3085" s="0" t="s">
        <v>11</v>
      </c>
      <c r="AD3085" s="0" t="s">
        <v>14</v>
      </c>
      <c r="AE3085" s="0" t="s">
        <v>7914</v>
      </c>
      <c r="AF3085" s="0">
        <v>1</v>
      </c>
      <c r="AG3085" s="0">
        <v>0</v>
      </c>
      <c r="AH3085" s="0" t="s">
        <v>140</v>
      </c>
      <c r="AI3085" s="0" t="s">
        <v>598</v>
      </c>
      <c r="AK3085" s="0" t="s">
        <v>2569</v>
      </c>
      <c r="AL3085" s="14"/>
      <c r="AN3085" s="14"/>
      <c r="AQ3085" s="0" t="s">
        <v>130</v>
      </c>
      <c r="AR3085" s="0" t="s">
        <v>130</v>
      </c>
      <c r="AS3085" s="0" t="s">
        <v>130</v>
      </c>
      <c r="AT3085" s="0" t="s">
        <v>130</v>
      </c>
      <c r="AU3085" s="0" t="s">
        <v>130</v>
      </c>
      <c r="AV3085" s="0" t="s">
        <v>130</v>
      </c>
      <c r="AW3085" s="0" t="s">
        <v>130</v>
      </c>
      <c r="AX3085" s="0" t="s">
        <v>130</v>
      </c>
      <c r="AY3085" s="0" t="s">
        <v>130</v>
      </c>
      <c r="AZ3085" s="0" t="s">
        <v>130</v>
      </c>
      <c r="BA3085" s="0" t="s">
        <v>141</v>
      </c>
      <c r="BB3085" s="0" t="s">
        <v>141</v>
      </c>
      <c r="BC3085" s="0" t="s">
        <v>130</v>
      </c>
      <c r="BD3085" s="0" t="s">
        <v>130</v>
      </c>
      <c r="BE3085" s="0" t="s">
        <v>130</v>
      </c>
      <c r="BF3085" s="0" t="s">
        <v>130</v>
      </c>
      <c r="BG3085" s="0" t="s">
        <v>130</v>
      </c>
      <c r="BH3085" s="0" t="s">
        <v>130</v>
      </c>
      <c r="BI3085" s="0" t="s">
        <v>130</v>
      </c>
      <c r="BJ3085" s="0" t="s">
        <v>130</v>
      </c>
      <c r="BK3085" s="0" t="s">
        <v>130</v>
      </c>
      <c r="BL3085" s="0" t="s">
        <v>130</v>
      </c>
      <c r="BM3085" s="0" t="s">
        <v>130</v>
      </c>
      <c r="BN3085" s="0" t="s">
        <v>130</v>
      </c>
      <c r="BO3085" s="0" t="s">
        <v>130</v>
      </c>
      <c r="BP3085" s="0" t="s">
        <v>130</v>
      </c>
      <c r="BQ3085" s="0" t="s">
        <v>130</v>
      </c>
      <c r="BR3085" s="0" t="s">
        <v>130</v>
      </c>
      <c r="BS3085" s="0" t="s">
        <v>130</v>
      </c>
      <c r="BT3085" s="0" t="s">
        <v>130</v>
      </c>
      <c r="BU3085" s="0" t="s">
        <v>130</v>
      </c>
      <c r="BV3085" s="0" t="s">
        <v>130</v>
      </c>
      <c r="BW3085" s="0" t="s">
        <v>130</v>
      </c>
      <c r="BX3085" s="0" t="s">
        <v>130</v>
      </c>
      <c r="BY3085" s="0" t="s">
        <v>130</v>
      </c>
      <c r="BZ3085" s="0" t="s">
        <v>130</v>
      </c>
      <c r="CA3085" s="0" t="s">
        <v>130</v>
      </c>
      <c r="CB3085" s="0" t="s">
        <v>130</v>
      </c>
      <c r="CC3085" s="0" t="s">
        <v>130</v>
      </c>
      <c r="CD3085" s="0" t="s">
        <v>141</v>
      </c>
      <c r="CE3085" s="0" t="s">
        <v>130</v>
      </c>
      <c r="CF3085" s="0" t="s">
        <v>130</v>
      </c>
      <c r="CG3085" s="0" t="s">
        <v>130</v>
      </c>
      <c r="CH3085" s="0" t="s">
        <v>130</v>
      </c>
      <c r="CI3085" s="0" t="s">
        <v>130</v>
      </c>
      <c r="CJ3085" s="0" t="s">
        <v>130</v>
      </c>
      <c r="CK3085" s="0" t="s">
        <v>130</v>
      </c>
      <c r="CL3085" s="0" t="s">
        <v>130</v>
      </c>
      <c r="CM3085" s="0" t="s">
        <v>130</v>
      </c>
      <c r="CN3085" s="0" t="s">
        <v>130</v>
      </c>
      <c r="CO3085" s="0" t="s">
        <v>130</v>
      </c>
      <c r="CP3085" s="0" t="s">
        <v>130</v>
      </c>
      <c r="CQ3085" s="0" t="s">
        <v>130</v>
      </c>
      <c r="CR3085" s="0" t="s">
        <v>130</v>
      </c>
      <c r="CS3085" s="0" t="s">
        <v>130</v>
      </c>
      <c r="CT3085" s="0" t="s">
        <v>8256</v>
      </c>
    </row>
    <row r="3086">
      <c r="A3086" s="14">
        <v>115643</v>
      </c>
      <c r="B3086" s="0" t="s">
        <v>2552</v>
      </c>
      <c r="C3086" s="16">
        <f>HYPERLINK("https://eosportal.federatedhermes.com/companies/Q29tcGFueQppNjk2MzA=", "Koninklijke Ahold Delhaize NV")</f>
      </c>
      <c r="D3086" s="0" t="s">
        <v>23</v>
      </c>
      <c r="E3086" s="0" t="s">
        <v>8257</v>
      </c>
      <c r="F3086" s="16">
        <f>HYPERLINK("https://eosportal.federatedhermes.com/engagements/RW5nYWdlbWVudAppNDIzNzE=", "Water target")</f>
      </c>
      <c r="G3086" s="14" t="s">
        <v>8258</v>
      </c>
      <c r="H3086" s="0" t="s">
        <v>141</v>
      </c>
      <c r="I3086" s="14" t="s">
        <v>1645</v>
      </c>
      <c r="J3086" s="0" t="s">
        <v>197</v>
      </c>
      <c r="K3086" s="0" t="s">
        <v>337</v>
      </c>
      <c r="L3086" s="0" t="s">
        <v>338</v>
      </c>
      <c r="M3086" s="0" t="s">
        <v>378</v>
      </c>
      <c r="N3086" s="0" t="s">
        <v>2554</v>
      </c>
      <c r="O3086" s="0" t="s">
        <v>643</v>
      </c>
      <c r="Q3086" s="0" t="s">
        <v>141</v>
      </c>
      <c r="R3086" s="0" t="s">
        <v>130</v>
      </c>
      <c r="S3086" s="14">
        <v>2</v>
      </c>
      <c r="T3086" s="0" t="s">
        <v>4412</v>
      </c>
      <c r="U3086" s="0" t="s">
        <v>221</v>
      </c>
      <c r="V3086" s="14" t="s">
        <v>4412</v>
      </c>
      <c r="W3086" s="0" t="s">
        <v>223</v>
      </c>
      <c r="X3086" s="14" t="s">
        <v>138</v>
      </c>
      <c r="Y3086" s="0" t="s">
        <v>224</v>
      </c>
      <c r="Z3086" s="14" t="s">
        <v>138</v>
      </c>
      <c r="AA3086" s="0" t="s">
        <v>224</v>
      </c>
      <c r="AB3086" s="14" t="s">
        <v>138</v>
      </c>
      <c r="AD3086" s="0" t="s">
        <v>14</v>
      </c>
      <c r="AF3086" s="0">
        <v>0</v>
      </c>
      <c r="AG3086" s="0">
        <v>0</v>
      </c>
      <c r="AH3086" s="0" t="s">
        <v>140</v>
      </c>
      <c r="AI3086" s="0" t="s">
        <v>598</v>
      </c>
      <c r="AK3086" s="0" t="s">
        <v>2569</v>
      </c>
      <c r="AL3086" s="14"/>
      <c r="AN3086" s="14"/>
      <c r="AQ3086" s="0" t="s">
        <v>130</v>
      </c>
      <c r="AR3086" s="0" t="s">
        <v>130</v>
      </c>
      <c r="AS3086" s="0" t="s">
        <v>130</v>
      </c>
      <c r="AT3086" s="0" t="s">
        <v>130</v>
      </c>
      <c r="AU3086" s="0" t="s">
        <v>130</v>
      </c>
      <c r="AV3086" s="0" t="s">
        <v>141</v>
      </c>
      <c r="AW3086" s="0" t="s">
        <v>130</v>
      </c>
      <c r="AX3086" s="0" t="s">
        <v>130</v>
      </c>
      <c r="AY3086" s="0" t="s">
        <v>130</v>
      </c>
      <c r="AZ3086" s="0" t="s">
        <v>130</v>
      </c>
      <c r="BA3086" s="0" t="s">
        <v>130</v>
      </c>
      <c r="BB3086" s="0" t="s">
        <v>130</v>
      </c>
      <c r="BC3086" s="0" t="s">
        <v>130</v>
      </c>
      <c r="BD3086" s="0" t="s">
        <v>130</v>
      </c>
      <c r="BE3086" s="0" t="s">
        <v>130</v>
      </c>
      <c r="BF3086" s="0" t="s">
        <v>130</v>
      </c>
      <c r="BG3086" s="0" t="s">
        <v>130</v>
      </c>
      <c r="BH3086" s="0" t="s">
        <v>130</v>
      </c>
      <c r="BI3086" s="0" t="s">
        <v>130</v>
      </c>
      <c r="BJ3086" s="0" t="s">
        <v>130</v>
      </c>
      <c r="BK3086" s="0" t="s">
        <v>130</v>
      </c>
      <c r="BL3086" s="0" t="s">
        <v>130</v>
      </c>
      <c r="BM3086" s="0" t="s">
        <v>130</v>
      </c>
      <c r="BN3086" s="0" t="s">
        <v>130</v>
      </c>
      <c r="BO3086" s="0" t="s">
        <v>130</v>
      </c>
      <c r="BP3086" s="0" t="s">
        <v>130</v>
      </c>
      <c r="BQ3086" s="0" t="s">
        <v>130</v>
      </c>
      <c r="BR3086" s="0" t="s">
        <v>130</v>
      </c>
      <c r="BS3086" s="0" t="s">
        <v>130</v>
      </c>
      <c r="BT3086" s="0" t="s">
        <v>130</v>
      </c>
      <c r="BU3086" s="0" t="s">
        <v>130</v>
      </c>
      <c r="BV3086" s="0" t="s">
        <v>130</v>
      </c>
      <c r="BW3086" s="0" t="s">
        <v>130</v>
      </c>
      <c r="BX3086" s="0" t="s">
        <v>141</v>
      </c>
      <c r="BY3086" s="0" t="s">
        <v>130</v>
      </c>
      <c r="BZ3086" s="0" t="s">
        <v>130</v>
      </c>
      <c r="CA3086" s="0" t="s">
        <v>130</v>
      </c>
      <c r="CB3086" s="0" t="s">
        <v>130</v>
      </c>
      <c r="CC3086" s="0" t="s">
        <v>130</v>
      </c>
      <c r="CD3086" s="0" t="s">
        <v>130</v>
      </c>
      <c r="CE3086" s="0" t="s">
        <v>130</v>
      </c>
      <c r="CF3086" s="0" t="s">
        <v>130</v>
      </c>
      <c r="CG3086" s="0" t="s">
        <v>130</v>
      </c>
      <c r="CH3086" s="0" t="s">
        <v>130</v>
      </c>
      <c r="CI3086" s="0" t="s">
        <v>130</v>
      </c>
      <c r="CJ3086" s="0" t="s">
        <v>130</v>
      </c>
      <c r="CK3086" s="0" t="s">
        <v>130</v>
      </c>
      <c r="CL3086" s="0" t="s">
        <v>130</v>
      </c>
      <c r="CM3086" s="0" t="s">
        <v>130</v>
      </c>
      <c r="CN3086" s="0" t="s">
        <v>130</v>
      </c>
      <c r="CO3086" s="0" t="s">
        <v>130</v>
      </c>
      <c r="CP3086" s="0" t="s">
        <v>130</v>
      </c>
      <c r="CQ3086" s="0" t="s">
        <v>130</v>
      </c>
      <c r="CR3086" s="0" t="s">
        <v>130</v>
      </c>
      <c r="CS3086" s="0" t="s">
        <v>130</v>
      </c>
      <c r="CT3086" s="0" t="s">
        <v>8259</v>
      </c>
    </row>
    <row r="3087">
      <c r="A3087" s="14">
        <v>101758</v>
      </c>
      <c r="B3087" s="0" t="s">
        <v>1952</v>
      </c>
      <c r="C3087" s="16">
        <f>HYPERLINK("https://eosportal.federatedhermes.com/companies/Q29tcGFueQppNTg5MzI=", "Costco Wholesale Corp")</f>
      </c>
      <c r="D3087" s="0" t="s">
        <v>25</v>
      </c>
      <c r="E3087" s="0" t="s">
        <v>6363</v>
      </c>
      <c r="F3087" s="16">
        <f>HYPERLINK("https://eosportal.federatedhermes.com/engagements/RW5nYWdlbWVudAppNDI0OTg=", "Employee Sentiment Reporting")</f>
      </c>
      <c r="G3087" s="14" t="s">
        <v>8260</v>
      </c>
      <c r="H3087" s="0" t="s">
        <v>141</v>
      </c>
      <c r="I3087" s="14" t="s">
        <v>636</v>
      </c>
      <c r="J3087" s="0" t="s">
        <v>153</v>
      </c>
      <c r="K3087" s="0" t="s">
        <v>154</v>
      </c>
      <c r="L3087" s="0" t="s">
        <v>306</v>
      </c>
      <c r="M3087" s="0" t="s">
        <v>135</v>
      </c>
      <c r="N3087" s="0" t="s">
        <v>136</v>
      </c>
      <c r="O3087" s="0" t="s">
        <v>643</v>
      </c>
      <c r="Q3087" s="0" t="s">
        <v>130</v>
      </c>
      <c r="R3087" s="0" t="s">
        <v>138</v>
      </c>
      <c r="S3087" s="14">
        <v>0</v>
      </c>
      <c r="T3087" s="0" t="s">
        <v>8261</v>
      </c>
      <c r="U3087" s="0" t="s">
        <v>138</v>
      </c>
      <c r="V3087" s="14" t="s">
        <v>138</v>
      </c>
      <c r="W3087" s="0" t="s">
        <v>138</v>
      </c>
      <c r="X3087" s="14" t="s">
        <v>138</v>
      </c>
      <c r="Y3087" s="0" t="s">
        <v>138</v>
      </c>
      <c r="Z3087" s="14" t="s">
        <v>138</v>
      </c>
      <c r="AA3087" s="0" t="s">
        <v>138</v>
      </c>
      <c r="AB3087" s="14" t="s">
        <v>138</v>
      </c>
      <c r="AD3087" s="0" t="s">
        <v>138</v>
      </c>
      <c r="AF3087" s="0">
        <v>0</v>
      </c>
      <c r="AG3087" s="0">
        <v>0</v>
      </c>
      <c r="AH3087" s="0" t="s">
        <v>140</v>
      </c>
      <c r="AI3087" s="0" t="s">
        <v>138</v>
      </c>
      <c r="AL3087" s="14"/>
      <c r="AN3087" s="14"/>
      <c r="AQ3087" s="0" t="s">
        <v>130</v>
      </c>
      <c r="AR3087" s="0" t="s">
        <v>130</v>
      </c>
      <c r="AS3087" s="0" t="s">
        <v>130</v>
      </c>
      <c r="AT3087" s="0" t="s">
        <v>130</v>
      </c>
      <c r="AU3087" s="0" t="s">
        <v>130</v>
      </c>
      <c r="AV3087" s="0" t="s">
        <v>130</v>
      </c>
      <c r="AW3087" s="0" t="s">
        <v>130</v>
      </c>
      <c r="AX3087" s="0" t="s">
        <v>141</v>
      </c>
      <c r="AY3087" s="0" t="s">
        <v>130</v>
      </c>
      <c r="AZ3087" s="0" t="s">
        <v>141</v>
      </c>
      <c r="BA3087" s="0" t="s">
        <v>130</v>
      </c>
      <c r="BB3087" s="0" t="s">
        <v>130</v>
      </c>
      <c r="BC3087" s="0" t="s">
        <v>130</v>
      </c>
      <c r="BD3087" s="0" t="s">
        <v>130</v>
      </c>
      <c r="BE3087" s="0" t="s">
        <v>130</v>
      </c>
      <c r="BF3087" s="0" t="s">
        <v>130</v>
      </c>
      <c r="BG3087" s="0" t="s">
        <v>130</v>
      </c>
      <c r="BH3087" s="0" t="s">
        <v>130</v>
      </c>
      <c r="BI3087" s="0" t="s">
        <v>130</v>
      </c>
      <c r="BJ3087" s="0" t="s">
        <v>130</v>
      </c>
      <c r="BK3087" s="0" t="s">
        <v>130</v>
      </c>
      <c r="BL3087" s="0" t="s">
        <v>130</v>
      </c>
      <c r="BM3087" s="0" t="s">
        <v>130</v>
      </c>
      <c r="BN3087" s="0" t="s">
        <v>130</v>
      </c>
      <c r="BO3087" s="0" t="s">
        <v>130</v>
      </c>
      <c r="BP3087" s="0" t="s">
        <v>130</v>
      </c>
      <c r="BQ3087" s="0" t="s">
        <v>130</v>
      </c>
      <c r="BR3087" s="0" t="s">
        <v>130</v>
      </c>
      <c r="BS3087" s="0" t="s">
        <v>130</v>
      </c>
      <c r="BT3087" s="0" t="s">
        <v>130</v>
      </c>
      <c r="BU3087" s="0" t="s">
        <v>130</v>
      </c>
      <c r="BV3087" s="0" t="s">
        <v>130</v>
      </c>
      <c r="BW3087" s="0" t="s">
        <v>130</v>
      </c>
      <c r="BX3087" s="0" t="s">
        <v>130</v>
      </c>
      <c r="BY3087" s="0" t="s">
        <v>130</v>
      </c>
      <c r="BZ3087" s="0" t="s">
        <v>130</v>
      </c>
      <c r="CA3087" s="0" t="s">
        <v>130</v>
      </c>
      <c r="CB3087" s="0" t="s">
        <v>130</v>
      </c>
      <c r="CC3087" s="0" t="s">
        <v>130</v>
      </c>
      <c r="CD3087" s="0" t="s">
        <v>130</v>
      </c>
      <c r="CE3087" s="0" t="s">
        <v>130</v>
      </c>
      <c r="CF3087" s="0" t="s">
        <v>130</v>
      </c>
      <c r="CG3087" s="0" t="s">
        <v>130</v>
      </c>
      <c r="CH3087" s="0" t="s">
        <v>130</v>
      </c>
      <c r="CI3087" s="0" t="s">
        <v>130</v>
      </c>
      <c r="CJ3087" s="0" t="s">
        <v>130</v>
      </c>
      <c r="CK3087" s="0" t="s">
        <v>130</v>
      </c>
      <c r="CL3087" s="0" t="s">
        <v>130</v>
      </c>
      <c r="CM3087" s="0" t="s">
        <v>130</v>
      </c>
      <c r="CN3087" s="0" t="s">
        <v>130</v>
      </c>
      <c r="CO3087" s="0" t="s">
        <v>130</v>
      </c>
      <c r="CP3087" s="0" t="s">
        <v>130</v>
      </c>
      <c r="CQ3087" s="0" t="s">
        <v>130</v>
      </c>
      <c r="CR3087" s="0" t="s">
        <v>130</v>
      </c>
      <c r="CS3087" s="0" t="s">
        <v>130</v>
      </c>
      <c r="CT3087" s="0" t="s">
        <v>8262</v>
      </c>
    </row>
    <row r="3088">
      <c r="A3088" s="14">
        <v>115682</v>
      </c>
      <c r="B3088" s="0" t="s">
        <v>2620</v>
      </c>
      <c r="C3088" s="16">
        <f>HYPERLINK("https://eosportal.federatedhermes.com/companies/Q29tcGFueQppNTMxNDc=", "Bayerische Motoren Werke AG (BMW)")</f>
      </c>
      <c r="D3088" s="0" t="s">
        <v>25</v>
      </c>
      <c r="E3088" s="0" t="s">
        <v>8263</v>
      </c>
      <c r="F3088" s="16">
        <f>HYPERLINK("https://eosportal.federatedhermes.com/engagements/RW5nYWdlbWVudAppNDI3NTM=", "Board level responsibility for climate")</f>
      </c>
      <c r="G3088" s="14" t="s">
        <v>8264</v>
      </c>
      <c r="H3088" s="0" t="s">
        <v>141</v>
      </c>
      <c r="I3088" s="14" t="s">
        <v>1645</v>
      </c>
      <c r="J3088" s="0" t="s">
        <v>197</v>
      </c>
      <c r="K3088" s="0" t="s">
        <v>198</v>
      </c>
      <c r="L3088" s="0" t="s">
        <v>199</v>
      </c>
      <c r="M3088" s="0" t="s">
        <v>378</v>
      </c>
      <c r="N3088" s="0" t="s">
        <v>2485</v>
      </c>
      <c r="O3088" s="0" t="s">
        <v>425</v>
      </c>
      <c r="Q3088" s="0" t="s">
        <v>130</v>
      </c>
      <c r="R3088" s="0" t="s">
        <v>138</v>
      </c>
      <c r="S3088" s="14">
        <v>0</v>
      </c>
      <c r="T3088" s="0" t="s">
        <v>8261</v>
      </c>
      <c r="U3088" s="0" t="s">
        <v>138</v>
      </c>
      <c r="V3088" s="14" t="s">
        <v>138</v>
      </c>
      <c r="W3088" s="0" t="s">
        <v>138</v>
      </c>
      <c r="X3088" s="14" t="s">
        <v>138</v>
      </c>
      <c r="Y3088" s="0" t="s">
        <v>138</v>
      </c>
      <c r="Z3088" s="14" t="s">
        <v>138</v>
      </c>
      <c r="AA3088" s="0" t="s">
        <v>138</v>
      </c>
      <c r="AB3088" s="14" t="s">
        <v>138</v>
      </c>
      <c r="AD3088" s="0" t="s">
        <v>138</v>
      </c>
      <c r="AF3088" s="0">
        <v>0</v>
      </c>
      <c r="AG3088" s="0">
        <v>0</v>
      </c>
      <c r="AH3088" s="0" t="s">
        <v>140</v>
      </c>
      <c r="AI3088" s="0" t="s">
        <v>138</v>
      </c>
      <c r="AL3088" s="14"/>
      <c r="AN3088" s="14"/>
      <c r="AQ3088" s="0" t="s">
        <v>130</v>
      </c>
      <c r="AR3088" s="0" t="s">
        <v>130</v>
      </c>
      <c r="AS3088" s="0" t="s">
        <v>130</v>
      </c>
      <c r="AT3088" s="0" t="s">
        <v>130</v>
      </c>
      <c r="AU3088" s="0" t="s">
        <v>130</v>
      </c>
      <c r="AV3088" s="0" t="s">
        <v>130</v>
      </c>
      <c r="AW3088" s="0" t="s">
        <v>130</v>
      </c>
      <c r="AX3088" s="0" t="s">
        <v>130</v>
      </c>
      <c r="AY3088" s="0" t="s">
        <v>130</v>
      </c>
      <c r="AZ3088" s="0" t="s">
        <v>130</v>
      </c>
      <c r="BA3088" s="0" t="s">
        <v>130</v>
      </c>
      <c r="BB3088" s="0" t="s">
        <v>141</v>
      </c>
      <c r="BC3088" s="0" t="s">
        <v>141</v>
      </c>
      <c r="BD3088" s="0" t="s">
        <v>130</v>
      </c>
      <c r="BE3088" s="0" t="s">
        <v>130</v>
      </c>
      <c r="BF3088" s="0" t="s">
        <v>130</v>
      </c>
      <c r="BG3088" s="0" t="s">
        <v>130</v>
      </c>
      <c r="BH3088" s="0" t="s">
        <v>130</v>
      </c>
      <c r="BI3088" s="0" t="s">
        <v>130</v>
      </c>
      <c r="BJ3088" s="0" t="s">
        <v>130</v>
      </c>
      <c r="BK3088" s="0" t="s">
        <v>130</v>
      </c>
      <c r="BL3088" s="0" t="s">
        <v>130</v>
      </c>
      <c r="BM3088" s="0" t="s">
        <v>130</v>
      </c>
      <c r="BN3088" s="0" t="s">
        <v>130</v>
      </c>
      <c r="BO3088" s="0" t="s">
        <v>130</v>
      </c>
      <c r="BP3088" s="0" t="s">
        <v>130</v>
      </c>
      <c r="BQ3088" s="0" t="s">
        <v>130</v>
      </c>
      <c r="BR3088" s="0" t="s">
        <v>130</v>
      </c>
      <c r="BS3088" s="0" t="s">
        <v>130</v>
      </c>
      <c r="BT3088" s="0" t="s">
        <v>130</v>
      </c>
      <c r="BU3088" s="0" t="s">
        <v>130</v>
      </c>
      <c r="BV3088" s="0" t="s">
        <v>130</v>
      </c>
      <c r="BW3088" s="0" t="s">
        <v>130</v>
      </c>
      <c r="BX3088" s="0" t="s">
        <v>130</v>
      </c>
      <c r="BY3088" s="0" t="s">
        <v>130</v>
      </c>
      <c r="BZ3088" s="0" t="s">
        <v>130</v>
      </c>
      <c r="CA3088" s="0" t="s">
        <v>130</v>
      </c>
      <c r="CB3088" s="0" t="s">
        <v>130</v>
      </c>
      <c r="CC3088" s="0" t="s">
        <v>130</v>
      </c>
      <c r="CD3088" s="0" t="s">
        <v>130</v>
      </c>
      <c r="CE3088" s="0" t="s">
        <v>130</v>
      </c>
      <c r="CF3088" s="0" t="s">
        <v>130</v>
      </c>
      <c r="CG3088" s="0" t="s">
        <v>130</v>
      </c>
      <c r="CH3088" s="0" t="s">
        <v>130</v>
      </c>
      <c r="CI3088" s="0" t="s">
        <v>130</v>
      </c>
      <c r="CJ3088" s="0" t="s">
        <v>130</v>
      </c>
      <c r="CK3088" s="0" t="s">
        <v>130</v>
      </c>
      <c r="CL3088" s="0" t="s">
        <v>130</v>
      </c>
      <c r="CM3088" s="0" t="s">
        <v>130</v>
      </c>
      <c r="CN3088" s="0" t="s">
        <v>130</v>
      </c>
      <c r="CO3088" s="0" t="s">
        <v>130</v>
      </c>
      <c r="CP3088" s="0" t="s">
        <v>130</v>
      </c>
      <c r="CQ3088" s="0" t="s">
        <v>130</v>
      </c>
      <c r="CR3088" s="0" t="s">
        <v>130</v>
      </c>
      <c r="CS3088" s="0" t="s">
        <v>130</v>
      </c>
      <c r="CT3088" s="0" t="s">
        <v>8265</v>
      </c>
    </row>
    <row r="3091">
      <c r="A3091" s="1" t="s">
        <v>8266</v>
      </c>
    </row>
    <row r="3092">
      <c r="A3092" s="1" t="s">
        <v>6</v>
      </c>
    </row>
  </sheetData>
  <headerFooter/>
  <tableParts>
    <tablePart r:id="rId1"/>
  </tableParts>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313"/>
  <sheetViews>
    <sheetView workbookViewId="0"/>
  </sheetViews>
  <sheetFormatPr defaultRowHeight="15"/>
  <cols>
    <col min="1" max="1" width="79.57142639160156" customWidth="1" style="19"/>
    <col min="2" max="2" width="19.285715103149414" customWidth="1"/>
    <col min="3" max="3" width="9.140625" customWidth="1"/>
    <col min="4" max="4" width="38.42856979370117" customWidth="1"/>
    <col min="5" max="5" width="18.85714340209961" customWidth="1"/>
    <col min="6" max="6" width="29.85714340209961" customWidth="1"/>
    <col min="7" max="7" width="17.571428298950195" customWidth="1"/>
    <col min="8" max="8" width="9.140625" customWidth="1"/>
  </cols>
  <sheetData>
    <row r="1">
      <c r="A1" s="17" t="s">
        <v>8267</v>
      </c>
    </row>
    <row r="2">
      <c r="A2" s="15" t="s">
        <v>8268</v>
      </c>
      <c r="B2" s="15" t="s">
        <v>272</v>
      </c>
      <c r="C2" s="15" t="s">
        <v>378</v>
      </c>
      <c r="D2" s="15" t="s">
        <v>2807</v>
      </c>
      <c r="E2" s="15" t="s">
        <v>802</v>
      </c>
      <c r="F2" s="15" t="s">
        <v>371</v>
      </c>
      <c r="G2" s="15" t="s">
        <v>135</v>
      </c>
      <c r="H2" s="15" t="s">
        <v>8269</v>
      </c>
    </row>
    <row r="3">
      <c r="A3" s="19" t="s">
        <v>197</v>
      </c>
      <c r="B3" s="0">
        <v>18</v>
      </c>
      <c r="C3" s="0">
        <v>142</v>
      </c>
      <c r="D3" s="0">
        <v>34</v>
      </c>
      <c r="E3" s="0">
        <v>50</v>
      </c>
      <c r="F3" s="0">
        <v>22</v>
      </c>
      <c r="G3" s="0">
        <v>147</v>
      </c>
      <c r="H3" s="0">
        <v>413</v>
      </c>
    </row>
    <row r="4">
      <c r="A4" s="19" t="s">
        <v>153</v>
      </c>
      <c r="B4" s="0">
        <v>22</v>
      </c>
      <c r="C4" s="0">
        <v>54</v>
      </c>
      <c r="D4" s="0">
        <v>18</v>
      </c>
      <c r="E4" s="0">
        <v>37</v>
      </c>
      <c r="F4" s="0">
        <v>4</v>
      </c>
      <c r="G4" s="0">
        <v>166</v>
      </c>
      <c r="H4" s="0">
        <v>301</v>
      </c>
    </row>
    <row r="5">
      <c r="A5" s="19" t="s">
        <v>145</v>
      </c>
      <c r="B5" s="0">
        <v>5</v>
      </c>
      <c r="C5" s="0">
        <v>43</v>
      </c>
      <c r="D5" s="0">
        <v>20</v>
      </c>
      <c r="E5" s="0">
        <v>60</v>
      </c>
      <c r="F5" s="0">
        <v>17</v>
      </c>
      <c r="G5" s="0">
        <v>32</v>
      </c>
      <c r="H5" s="0">
        <v>177</v>
      </c>
    </row>
    <row r="6">
      <c r="A6" s="19" t="s">
        <v>132</v>
      </c>
      <c r="B6" s="0">
        <v>5</v>
      </c>
      <c r="C6" s="0">
        <v>22</v>
      </c>
      <c r="D6" s="0">
        <v>5</v>
      </c>
      <c r="E6" s="0">
        <v>14</v>
      </c>
      <c r="F6" s="0">
        <v>2</v>
      </c>
      <c r="G6" s="0">
        <v>33</v>
      </c>
      <c r="H6" s="0">
        <v>81</v>
      </c>
    </row>
    <row r="7">
      <c r="A7" s="19" t="s">
        <v>8270</v>
      </c>
      <c r="B7" s="0">
        <v>50</v>
      </c>
      <c r="C7" s="0">
        <v>261</v>
      </c>
      <c r="D7" s="0">
        <v>77</v>
      </c>
      <c r="E7" s="0">
        <v>161</v>
      </c>
      <c r="F7" s="0">
        <v>45</v>
      </c>
      <c r="G7" s="0">
        <v>378</v>
      </c>
      <c r="H7" s="0">
        <v>972</v>
      </c>
    </row>
    <row r="8">
      <c r="A8" s="17" t="s">
        <v>8271</v>
      </c>
    </row>
    <row r="9">
      <c r="A9" s="15" t="s">
        <v>8268</v>
      </c>
      <c r="B9" s="15" t="s">
        <v>272</v>
      </c>
      <c r="C9" s="15" t="s">
        <v>378</v>
      </c>
      <c r="D9" s="15" t="s">
        <v>2807</v>
      </c>
      <c r="E9" s="15" t="s">
        <v>802</v>
      </c>
      <c r="F9" s="15" t="s">
        <v>371</v>
      </c>
      <c r="G9" s="15" t="s">
        <v>135</v>
      </c>
      <c r="H9" s="15" t="s">
        <v>8269</v>
      </c>
    </row>
    <row r="10">
      <c r="A10" s="19" t="s">
        <v>197</v>
      </c>
      <c r="B10" s="0">
        <v>12</v>
      </c>
      <c r="C10" s="0">
        <v>71</v>
      </c>
      <c r="D10" s="0">
        <v>16</v>
      </c>
      <c r="E10" s="0">
        <v>18</v>
      </c>
      <c r="F10" s="0">
        <v>13</v>
      </c>
      <c r="G10" s="0">
        <v>81</v>
      </c>
      <c r="H10" s="0">
        <v>211</v>
      </c>
    </row>
    <row r="11">
      <c r="A11" s="19" t="s">
        <v>153</v>
      </c>
      <c r="B11" s="0">
        <v>9</v>
      </c>
      <c r="C11" s="0">
        <v>13</v>
      </c>
      <c r="D11" s="0">
        <v>7</v>
      </c>
      <c r="E11" s="0">
        <v>8</v>
      </c>
      <c r="F11" s="0">
        <v>2</v>
      </c>
      <c r="G11" s="0">
        <v>72</v>
      </c>
      <c r="H11" s="0">
        <v>111</v>
      </c>
    </row>
    <row r="12">
      <c r="A12" s="19" t="s">
        <v>145</v>
      </c>
      <c r="B12" s="0">
        <v>1</v>
      </c>
      <c r="C12" s="0">
        <v>11</v>
      </c>
      <c r="D12" s="0">
        <v>6</v>
      </c>
      <c r="E12" s="0">
        <v>11</v>
      </c>
      <c r="F12" s="0">
        <v>2</v>
      </c>
      <c r="G12" s="0">
        <v>5</v>
      </c>
      <c r="H12" s="0">
        <v>36</v>
      </c>
    </row>
    <row r="13">
      <c r="A13" s="19" t="s">
        <v>132</v>
      </c>
      <c r="B13" s="0">
        <v>1</v>
      </c>
      <c r="C13" s="0">
        <v>3</v>
      </c>
      <c r="D13" s="0">
        <v>3</v>
      </c>
      <c r="E13" s="0">
        <v>3</v>
      </c>
      <c r="F13" s="0">
        <v>0</v>
      </c>
      <c r="G13" s="0">
        <v>6</v>
      </c>
      <c r="H13" s="0">
        <v>16</v>
      </c>
    </row>
    <row r="14">
      <c r="A14" s="19" t="s">
        <v>8270</v>
      </c>
      <c r="B14" s="0">
        <v>23</v>
      </c>
      <c r="C14" s="0">
        <v>98</v>
      </c>
      <c r="D14" s="0">
        <v>32</v>
      </c>
      <c r="E14" s="0">
        <v>40</v>
      </c>
      <c r="F14" s="0">
        <v>17</v>
      </c>
      <c r="G14" s="0">
        <v>164</v>
      </c>
      <c r="H14" s="0">
        <v>374</v>
      </c>
    </row>
    <row r="15">
      <c r="A15" s="17" t="s">
        <v>8272</v>
      </c>
    </row>
    <row r="16">
      <c r="A16" s="15" t="s">
        <v>8268</v>
      </c>
      <c r="B16" s="15" t="s">
        <v>272</v>
      </c>
      <c r="C16" s="15" t="s">
        <v>378</v>
      </c>
      <c r="D16" s="15" t="s">
        <v>2807</v>
      </c>
      <c r="E16" s="15" t="s">
        <v>802</v>
      </c>
      <c r="F16" s="15" t="s">
        <v>371</v>
      </c>
      <c r="G16" s="15" t="s">
        <v>135</v>
      </c>
      <c r="H16" s="15" t="s">
        <v>8269</v>
      </c>
    </row>
    <row r="17">
      <c r="A17" s="19" t="s">
        <v>197</v>
      </c>
      <c r="B17" s="0">
        <v>5</v>
      </c>
      <c r="C17" s="0">
        <v>22</v>
      </c>
      <c r="D17" s="0">
        <v>6</v>
      </c>
      <c r="E17" s="0">
        <v>5</v>
      </c>
      <c r="F17" s="0">
        <v>2</v>
      </c>
      <c r="G17" s="0">
        <v>23</v>
      </c>
      <c r="H17" s="0">
        <v>63</v>
      </c>
    </row>
    <row r="18">
      <c r="A18" s="19" t="s">
        <v>153</v>
      </c>
      <c r="B18" s="0">
        <v>1</v>
      </c>
      <c r="C18" s="0">
        <v>5</v>
      </c>
      <c r="D18" s="0">
        <v>1</v>
      </c>
      <c r="E18" s="0">
        <v>3</v>
      </c>
      <c r="F18" s="0">
        <v>1</v>
      </c>
      <c r="G18" s="0">
        <v>24</v>
      </c>
      <c r="H18" s="0">
        <v>35</v>
      </c>
    </row>
    <row r="19">
      <c r="A19" s="19" t="s">
        <v>145</v>
      </c>
      <c r="B19" s="0">
        <v>1</v>
      </c>
      <c r="C19" s="0">
        <v>5</v>
      </c>
      <c r="D19" s="0">
        <v>1</v>
      </c>
      <c r="E19" s="0">
        <v>2</v>
      </c>
      <c r="F19" s="0">
        <v>1</v>
      </c>
      <c r="G19" s="0">
        <v>2</v>
      </c>
      <c r="H19" s="0">
        <v>12</v>
      </c>
    </row>
    <row r="20">
      <c r="A20" s="19" t="s">
        <v>132</v>
      </c>
      <c r="B20" s="0">
        <v>0</v>
      </c>
      <c r="C20" s="0">
        <v>3</v>
      </c>
      <c r="D20" s="0">
        <v>0</v>
      </c>
      <c r="E20" s="0">
        <v>0</v>
      </c>
      <c r="F20" s="0">
        <v>0</v>
      </c>
      <c r="G20" s="0">
        <v>3</v>
      </c>
      <c r="H20" s="0">
        <v>6</v>
      </c>
    </row>
    <row r="21">
      <c r="A21" s="19" t="s">
        <v>8270</v>
      </c>
      <c r="B21" s="0">
        <v>7</v>
      </c>
      <c r="C21" s="0">
        <v>35</v>
      </c>
      <c r="D21" s="0">
        <v>8</v>
      </c>
      <c r="E21" s="0">
        <v>10</v>
      </c>
      <c r="F21" s="0">
        <v>4</v>
      </c>
      <c r="G21" s="0">
        <v>52</v>
      </c>
      <c r="H21" s="0">
        <v>116</v>
      </c>
    </row>
    <row r="22">
      <c r="A22" s="17" t="s">
        <v>8273</v>
      </c>
    </row>
    <row r="23">
      <c r="A23" s="15" t="s">
        <v>39</v>
      </c>
      <c r="B23" s="15" t="s">
        <v>272</v>
      </c>
      <c r="C23" s="15" t="s">
        <v>378</v>
      </c>
      <c r="D23" s="15" t="s">
        <v>2807</v>
      </c>
      <c r="E23" s="15" t="s">
        <v>802</v>
      </c>
      <c r="F23" s="15" t="s">
        <v>371</v>
      </c>
      <c r="G23" s="15" t="s">
        <v>135</v>
      </c>
      <c r="H23" s="15" t="s">
        <v>8269</v>
      </c>
    </row>
    <row r="24">
      <c r="A24" s="19" t="s">
        <v>348</v>
      </c>
      <c r="B24" s="0">
        <v>2</v>
      </c>
      <c r="C24" s="0">
        <v>26</v>
      </c>
      <c r="D24" s="0">
        <v>0</v>
      </c>
      <c r="E24" s="0">
        <v>8</v>
      </c>
      <c r="F24" s="0">
        <v>0</v>
      </c>
      <c r="G24" s="0">
        <v>26</v>
      </c>
      <c r="H24" s="0">
        <v>62</v>
      </c>
    </row>
    <row r="25">
      <c r="A25" s="19" t="s">
        <v>198</v>
      </c>
      <c r="B25" s="0">
        <v>11</v>
      </c>
      <c r="C25" s="0">
        <v>87</v>
      </c>
      <c r="D25" s="0">
        <v>30</v>
      </c>
      <c r="E25" s="0">
        <v>35</v>
      </c>
      <c r="F25" s="0">
        <v>15</v>
      </c>
      <c r="G25" s="0">
        <v>102</v>
      </c>
      <c r="H25" s="0">
        <v>280</v>
      </c>
    </row>
    <row r="26">
      <c r="A26" s="19" t="s">
        <v>337</v>
      </c>
      <c r="B26" s="0">
        <v>5</v>
      </c>
      <c r="C26" s="0">
        <v>29</v>
      </c>
      <c r="D26" s="0">
        <v>4</v>
      </c>
      <c r="E26" s="0">
        <v>7</v>
      </c>
      <c r="F26" s="0">
        <v>7</v>
      </c>
      <c r="G26" s="0">
        <v>19</v>
      </c>
      <c r="H26" s="0">
        <v>71</v>
      </c>
    </row>
    <row r="27">
      <c r="A27" s="19" t="s">
        <v>8270</v>
      </c>
      <c r="B27" s="0">
        <v>18</v>
      </c>
      <c r="C27" s="0">
        <v>142</v>
      </c>
      <c r="D27" s="0">
        <v>34</v>
      </c>
      <c r="E27" s="0">
        <v>50</v>
      </c>
      <c r="F27" s="0">
        <v>22</v>
      </c>
      <c r="G27" s="0">
        <v>147</v>
      </c>
      <c r="H27" s="0">
        <v>413</v>
      </c>
    </row>
    <row r="28">
      <c r="A28" s="17" t="s">
        <v>8274</v>
      </c>
    </row>
    <row r="29">
      <c r="A29" s="15" t="s">
        <v>39</v>
      </c>
      <c r="B29" s="15" t="s">
        <v>272</v>
      </c>
      <c r="C29" s="15" t="s">
        <v>378</v>
      </c>
      <c r="D29" s="15" t="s">
        <v>2807</v>
      </c>
      <c r="E29" s="15" t="s">
        <v>802</v>
      </c>
      <c r="F29" s="15" t="s">
        <v>371</v>
      </c>
      <c r="G29" s="15" t="s">
        <v>135</v>
      </c>
      <c r="H29" s="15" t="s">
        <v>8269</v>
      </c>
    </row>
    <row r="30">
      <c r="A30" s="19" t="s">
        <v>243</v>
      </c>
      <c r="B30" s="0">
        <v>14</v>
      </c>
      <c r="C30" s="0">
        <v>20</v>
      </c>
      <c r="D30" s="0">
        <v>13</v>
      </c>
      <c r="E30" s="0">
        <v>21</v>
      </c>
      <c r="F30" s="0">
        <v>2</v>
      </c>
      <c r="G30" s="0">
        <v>87</v>
      </c>
      <c r="H30" s="0">
        <v>157</v>
      </c>
    </row>
    <row r="31">
      <c r="A31" s="19" t="s">
        <v>154</v>
      </c>
      <c r="B31" s="0">
        <v>4</v>
      </c>
      <c r="C31" s="0">
        <v>24</v>
      </c>
      <c r="D31" s="0">
        <v>5</v>
      </c>
      <c r="E31" s="0">
        <v>14</v>
      </c>
      <c r="F31" s="0">
        <v>2</v>
      </c>
      <c r="G31" s="0">
        <v>74</v>
      </c>
      <c r="H31" s="0">
        <v>123</v>
      </c>
    </row>
    <row r="32">
      <c r="A32" s="19" t="s">
        <v>185</v>
      </c>
      <c r="B32" s="0">
        <v>4</v>
      </c>
      <c r="C32" s="0">
        <v>10</v>
      </c>
      <c r="D32" s="0">
        <v>0</v>
      </c>
      <c r="E32" s="0">
        <v>2</v>
      </c>
      <c r="F32" s="0">
        <v>0</v>
      </c>
      <c r="G32" s="0">
        <v>5</v>
      </c>
      <c r="H32" s="0">
        <v>21</v>
      </c>
    </row>
    <row r="33">
      <c r="A33" s="19" t="s">
        <v>8270</v>
      </c>
      <c r="B33" s="0">
        <v>22</v>
      </c>
      <c r="C33" s="0">
        <v>54</v>
      </c>
      <c r="D33" s="0">
        <v>18</v>
      </c>
      <c r="E33" s="0">
        <v>37</v>
      </c>
      <c r="F33" s="0">
        <v>4</v>
      </c>
      <c r="G33" s="0">
        <v>166</v>
      </c>
      <c r="H33" s="0">
        <v>301</v>
      </c>
    </row>
    <row r="34">
      <c r="A34" s="17" t="s">
        <v>8275</v>
      </c>
    </row>
    <row r="35">
      <c r="A35" s="15" t="s">
        <v>39</v>
      </c>
      <c r="B35" s="15" t="s">
        <v>272</v>
      </c>
      <c r="C35" s="15" t="s">
        <v>378</v>
      </c>
      <c r="D35" s="15" t="s">
        <v>2807</v>
      </c>
      <c r="E35" s="15" t="s">
        <v>802</v>
      </c>
      <c r="F35" s="15" t="s">
        <v>371</v>
      </c>
      <c r="G35" s="15" t="s">
        <v>135</v>
      </c>
      <c r="H35" s="15" t="s">
        <v>8269</v>
      </c>
    </row>
    <row r="36">
      <c r="A36" s="19" t="s">
        <v>164</v>
      </c>
      <c r="B36" s="0">
        <v>2</v>
      </c>
      <c r="C36" s="0">
        <v>19</v>
      </c>
      <c r="D36" s="0">
        <v>11</v>
      </c>
      <c r="E36" s="0">
        <v>39</v>
      </c>
      <c r="F36" s="0">
        <v>6</v>
      </c>
      <c r="G36" s="0">
        <v>11</v>
      </c>
      <c r="H36" s="0">
        <v>88</v>
      </c>
    </row>
    <row r="37">
      <c r="A37" s="19" t="s">
        <v>146</v>
      </c>
      <c r="B37" s="0">
        <v>3</v>
      </c>
      <c r="C37" s="0">
        <v>22</v>
      </c>
      <c r="D37" s="0">
        <v>1</v>
      </c>
      <c r="E37" s="0">
        <v>7</v>
      </c>
      <c r="F37" s="0">
        <v>11</v>
      </c>
      <c r="G37" s="0">
        <v>17</v>
      </c>
      <c r="H37" s="0">
        <v>61</v>
      </c>
    </row>
    <row r="38">
      <c r="A38" s="19" t="s">
        <v>400</v>
      </c>
      <c r="B38" s="0">
        <v>0</v>
      </c>
      <c r="C38" s="0">
        <v>2</v>
      </c>
      <c r="D38" s="0">
        <v>8</v>
      </c>
      <c r="E38" s="0">
        <v>14</v>
      </c>
      <c r="F38" s="0">
        <v>0</v>
      </c>
      <c r="G38" s="0">
        <v>4</v>
      </c>
      <c r="H38" s="0">
        <v>28</v>
      </c>
    </row>
    <row r="39">
      <c r="A39" s="19" t="s">
        <v>8270</v>
      </c>
      <c r="B39" s="0">
        <v>5</v>
      </c>
      <c r="C39" s="0">
        <v>43</v>
      </c>
      <c r="D39" s="0">
        <v>20</v>
      </c>
      <c r="E39" s="0">
        <v>60</v>
      </c>
      <c r="F39" s="0">
        <v>17</v>
      </c>
      <c r="G39" s="0">
        <v>32</v>
      </c>
      <c r="H39" s="0">
        <v>177</v>
      </c>
    </row>
    <row r="40">
      <c r="A40" s="17" t="s">
        <v>8276</v>
      </c>
    </row>
    <row r="41">
      <c r="A41" s="15" t="s">
        <v>39</v>
      </c>
      <c r="B41" s="15" t="s">
        <v>272</v>
      </c>
      <c r="C41" s="15" t="s">
        <v>378</v>
      </c>
      <c r="D41" s="15" t="s">
        <v>2807</v>
      </c>
      <c r="E41" s="15" t="s">
        <v>802</v>
      </c>
      <c r="F41" s="15" t="s">
        <v>371</v>
      </c>
      <c r="G41" s="15" t="s">
        <v>135</v>
      </c>
      <c r="H41" s="15" t="s">
        <v>8269</v>
      </c>
    </row>
    <row r="42">
      <c r="A42" s="19" t="s">
        <v>170</v>
      </c>
      <c r="B42" s="0">
        <v>0</v>
      </c>
      <c r="C42" s="0">
        <v>6</v>
      </c>
      <c r="D42" s="0">
        <v>2</v>
      </c>
      <c r="E42" s="0">
        <v>3</v>
      </c>
      <c r="F42" s="0">
        <v>1</v>
      </c>
      <c r="G42" s="0">
        <v>14</v>
      </c>
      <c r="H42" s="0">
        <v>26</v>
      </c>
    </row>
    <row r="43">
      <c r="A43" s="19" t="s">
        <v>133</v>
      </c>
      <c r="B43" s="0">
        <v>2</v>
      </c>
      <c r="C43" s="0">
        <v>9</v>
      </c>
      <c r="D43" s="0">
        <v>1</v>
      </c>
      <c r="E43" s="0">
        <v>5</v>
      </c>
      <c r="F43" s="0">
        <v>0</v>
      </c>
      <c r="G43" s="0">
        <v>10</v>
      </c>
      <c r="H43" s="0">
        <v>27</v>
      </c>
    </row>
    <row r="44">
      <c r="A44" s="19" t="s">
        <v>260</v>
      </c>
      <c r="B44" s="0">
        <v>3</v>
      </c>
      <c r="C44" s="0">
        <v>7</v>
      </c>
      <c r="D44" s="0">
        <v>2</v>
      </c>
      <c r="E44" s="0">
        <v>6</v>
      </c>
      <c r="F44" s="0">
        <v>1</v>
      </c>
      <c r="G44" s="0">
        <v>9</v>
      </c>
      <c r="H44" s="0">
        <v>28</v>
      </c>
    </row>
    <row r="45">
      <c r="A45" s="19" t="s">
        <v>8270</v>
      </c>
      <c r="B45" s="0">
        <v>5</v>
      </c>
      <c r="C45" s="0">
        <v>22</v>
      </c>
      <c r="D45" s="0">
        <v>5</v>
      </c>
      <c r="E45" s="0">
        <v>14</v>
      </c>
      <c r="F45" s="0">
        <v>2</v>
      </c>
      <c r="G45" s="0">
        <v>33</v>
      </c>
      <c r="H45" s="0">
        <v>81</v>
      </c>
    </row>
    <row r="46">
      <c r="A46" s="17" t="s">
        <v>8277</v>
      </c>
    </row>
    <row r="47">
      <c r="A47" s="15" t="s">
        <v>39</v>
      </c>
      <c r="B47" s="15" t="s">
        <v>272</v>
      </c>
      <c r="C47" s="15" t="s">
        <v>378</v>
      </c>
      <c r="D47" s="15" t="s">
        <v>2807</v>
      </c>
      <c r="E47" s="15" t="s">
        <v>802</v>
      </c>
      <c r="F47" s="15" t="s">
        <v>371</v>
      </c>
      <c r="G47" s="15" t="s">
        <v>135</v>
      </c>
      <c r="H47" s="15" t="s">
        <v>8269</v>
      </c>
    </row>
    <row r="48">
      <c r="A48" s="19" t="s">
        <v>348</v>
      </c>
      <c r="B48" s="0">
        <v>2</v>
      </c>
      <c r="C48" s="0">
        <v>10</v>
      </c>
      <c r="D48" s="0">
        <v>0</v>
      </c>
      <c r="E48" s="0">
        <v>2</v>
      </c>
      <c r="F48" s="0">
        <v>0</v>
      </c>
      <c r="G48" s="0">
        <v>5</v>
      </c>
      <c r="H48" s="0">
        <v>19</v>
      </c>
    </row>
    <row r="49">
      <c r="A49" s="19" t="s">
        <v>198</v>
      </c>
      <c r="B49" s="0">
        <v>8</v>
      </c>
      <c r="C49" s="0">
        <v>44</v>
      </c>
      <c r="D49" s="0">
        <v>15</v>
      </c>
      <c r="E49" s="0">
        <v>13</v>
      </c>
      <c r="F49" s="0">
        <v>9</v>
      </c>
      <c r="G49" s="0">
        <v>65</v>
      </c>
      <c r="H49" s="0">
        <v>154</v>
      </c>
    </row>
    <row r="50">
      <c r="A50" s="19" t="s">
        <v>337</v>
      </c>
      <c r="B50" s="0">
        <v>2</v>
      </c>
      <c r="C50" s="0">
        <v>17</v>
      </c>
      <c r="D50" s="0">
        <v>1</v>
      </c>
      <c r="E50" s="0">
        <v>3</v>
      </c>
      <c r="F50" s="0">
        <v>4</v>
      </c>
      <c r="G50" s="0">
        <v>11</v>
      </c>
      <c r="H50" s="0">
        <v>38</v>
      </c>
    </row>
    <row r="51">
      <c r="A51" s="19" t="s">
        <v>8270</v>
      </c>
      <c r="B51" s="0">
        <v>12</v>
      </c>
      <c r="C51" s="0">
        <v>71</v>
      </c>
      <c r="D51" s="0">
        <v>16</v>
      </c>
      <c r="E51" s="0">
        <v>18</v>
      </c>
      <c r="F51" s="0">
        <v>13</v>
      </c>
      <c r="G51" s="0">
        <v>81</v>
      </c>
      <c r="H51" s="0">
        <v>211</v>
      </c>
    </row>
    <row r="52">
      <c r="A52" s="17" t="s">
        <v>8278</v>
      </c>
    </row>
    <row r="53">
      <c r="A53" s="15" t="s">
        <v>39</v>
      </c>
      <c r="B53" s="15" t="s">
        <v>272</v>
      </c>
      <c r="C53" s="15" t="s">
        <v>378</v>
      </c>
      <c r="D53" s="15" t="s">
        <v>2807</v>
      </c>
      <c r="E53" s="15" t="s">
        <v>802</v>
      </c>
      <c r="F53" s="15" t="s">
        <v>371</v>
      </c>
      <c r="G53" s="15" t="s">
        <v>135</v>
      </c>
      <c r="H53" s="15" t="s">
        <v>8269</v>
      </c>
    </row>
    <row r="54">
      <c r="A54" s="19" t="s">
        <v>243</v>
      </c>
      <c r="B54" s="0">
        <v>6</v>
      </c>
      <c r="C54" s="0">
        <v>6</v>
      </c>
      <c r="D54" s="0">
        <v>6</v>
      </c>
      <c r="E54" s="0">
        <v>6</v>
      </c>
      <c r="F54" s="0">
        <v>2</v>
      </c>
      <c r="G54" s="0">
        <v>38</v>
      </c>
      <c r="H54" s="0">
        <v>64</v>
      </c>
    </row>
    <row r="55">
      <c r="A55" s="19" t="s">
        <v>154</v>
      </c>
      <c r="B55" s="0">
        <v>1</v>
      </c>
      <c r="C55" s="0">
        <v>5</v>
      </c>
      <c r="D55" s="0">
        <v>1</v>
      </c>
      <c r="E55" s="0">
        <v>2</v>
      </c>
      <c r="F55" s="0">
        <v>0</v>
      </c>
      <c r="G55" s="0">
        <v>33</v>
      </c>
      <c r="H55" s="0">
        <v>42</v>
      </c>
    </row>
    <row r="56">
      <c r="A56" s="19" t="s">
        <v>185</v>
      </c>
      <c r="B56" s="0">
        <v>2</v>
      </c>
      <c r="C56" s="0">
        <v>2</v>
      </c>
      <c r="D56" s="0">
        <v>0</v>
      </c>
      <c r="E56" s="0">
        <v>0</v>
      </c>
      <c r="F56" s="0">
        <v>0</v>
      </c>
      <c r="G56" s="0">
        <v>1</v>
      </c>
      <c r="H56" s="0">
        <v>5</v>
      </c>
    </row>
    <row r="57">
      <c r="A57" s="19" t="s">
        <v>8270</v>
      </c>
      <c r="B57" s="0">
        <v>9</v>
      </c>
      <c r="C57" s="0">
        <v>13</v>
      </c>
      <c r="D57" s="0">
        <v>7</v>
      </c>
      <c r="E57" s="0">
        <v>8</v>
      </c>
      <c r="F57" s="0">
        <v>2</v>
      </c>
      <c r="G57" s="0">
        <v>72</v>
      </c>
      <c r="H57" s="0">
        <v>111</v>
      </c>
    </row>
    <row r="58">
      <c r="A58" s="17" t="s">
        <v>8279</v>
      </c>
    </row>
    <row r="59">
      <c r="A59" s="15" t="s">
        <v>39</v>
      </c>
      <c r="B59" s="15" t="s">
        <v>272</v>
      </c>
      <c r="C59" s="15" t="s">
        <v>378</v>
      </c>
      <c r="D59" s="15" t="s">
        <v>2807</v>
      </c>
      <c r="E59" s="15" t="s">
        <v>802</v>
      </c>
      <c r="F59" s="15" t="s">
        <v>371</v>
      </c>
      <c r="G59" s="15" t="s">
        <v>135</v>
      </c>
      <c r="H59" s="15" t="s">
        <v>8269</v>
      </c>
    </row>
    <row r="60">
      <c r="A60" s="19" t="s">
        <v>164</v>
      </c>
      <c r="B60" s="0">
        <v>0</v>
      </c>
      <c r="C60" s="0">
        <v>6</v>
      </c>
      <c r="D60" s="0">
        <v>2</v>
      </c>
      <c r="E60" s="0">
        <v>6</v>
      </c>
      <c r="F60" s="0">
        <v>1</v>
      </c>
      <c r="G60" s="0">
        <v>2</v>
      </c>
      <c r="H60" s="0">
        <v>17</v>
      </c>
    </row>
    <row r="61">
      <c r="A61" s="19" t="s">
        <v>146</v>
      </c>
      <c r="B61" s="0">
        <v>1</v>
      </c>
      <c r="C61" s="0">
        <v>5</v>
      </c>
      <c r="D61" s="0">
        <v>0</v>
      </c>
      <c r="E61" s="0">
        <v>2</v>
      </c>
      <c r="F61" s="0">
        <v>1</v>
      </c>
      <c r="G61" s="0">
        <v>3</v>
      </c>
      <c r="H61" s="0">
        <v>12</v>
      </c>
    </row>
    <row r="62">
      <c r="A62" s="19" t="s">
        <v>400</v>
      </c>
      <c r="B62" s="0">
        <v>0</v>
      </c>
      <c r="C62" s="0">
        <v>0</v>
      </c>
      <c r="D62" s="0">
        <v>4</v>
      </c>
      <c r="E62" s="0">
        <v>3</v>
      </c>
      <c r="F62" s="0">
        <v>0</v>
      </c>
      <c r="G62" s="0">
        <v>0</v>
      </c>
      <c r="H62" s="0">
        <v>7</v>
      </c>
    </row>
    <row r="63">
      <c r="A63" s="19" t="s">
        <v>8270</v>
      </c>
      <c r="B63" s="0">
        <v>1</v>
      </c>
      <c r="C63" s="0">
        <v>11</v>
      </c>
      <c r="D63" s="0">
        <v>6</v>
      </c>
      <c r="E63" s="0">
        <v>11</v>
      </c>
      <c r="F63" s="0">
        <v>2</v>
      </c>
      <c r="G63" s="0">
        <v>5</v>
      </c>
      <c r="H63" s="0">
        <v>36</v>
      </c>
    </row>
    <row r="64">
      <c r="A64" s="17" t="s">
        <v>8280</v>
      </c>
    </row>
    <row r="65">
      <c r="A65" s="15" t="s">
        <v>39</v>
      </c>
      <c r="B65" s="15" t="s">
        <v>272</v>
      </c>
      <c r="C65" s="15" t="s">
        <v>378</v>
      </c>
      <c r="D65" s="15" t="s">
        <v>2807</v>
      </c>
      <c r="E65" s="15" t="s">
        <v>802</v>
      </c>
      <c r="F65" s="15" t="s">
        <v>371</v>
      </c>
      <c r="G65" s="15" t="s">
        <v>135</v>
      </c>
      <c r="H65" s="15" t="s">
        <v>8269</v>
      </c>
    </row>
    <row r="66">
      <c r="A66" s="19" t="s">
        <v>170</v>
      </c>
      <c r="B66" s="0">
        <v>0</v>
      </c>
      <c r="C66" s="0">
        <v>1</v>
      </c>
      <c r="D66" s="0">
        <v>2</v>
      </c>
      <c r="E66" s="0">
        <v>0</v>
      </c>
      <c r="F66" s="0">
        <v>0</v>
      </c>
      <c r="G66" s="0">
        <v>2</v>
      </c>
      <c r="H66" s="0">
        <v>5</v>
      </c>
    </row>
    <row r="67">
      <c r="A67" s="19" t="s">
        <v>133</v>
      </c>
      <c r="B67" s="0">
        <v>1</v>
      </c>
      <c r="C67" s="0">
        <v>1</v>
      </c>
      <c r="D67" s="0">
        <v>0</v>
      </c>
      <c r="E67" s="0">
        <v>2</v>
      </c>
      <c r="F67" s="0">
        <v>0</v>
      </c>
      <c r="G67" s="0">
        <v>1</v>
      </c>
      <c r="H67" s="0">
        <v>5</v>
      </c>
    </row>
    <row r="68">
      <c r="A68" s="19" t="s">
        <v>260</v>
      </c>
      <c r="B68" s="0">
        <v>0</v>
      </c>
      <c r="C68" s="0">
        <v>1</v>
      </c>
      <c r="D68" s="0">
        <v>1</v>
      </c>
      <c r="E68" s="0">
        <v>1</v>
      </c>
      <c r="F68" s="0">
        <v>0</v>
      </c>
      <c r="G68" s="0">
        <v>3</v>
      </c>
      <c r="H68" s="0">
        <v>6</v>
      </c>
    </row>
    <row r="69">
      <c r="A69" s="19" t="s">
        <v>8270</v>
      </c>
      <c r="B69" s="0">
        <v>1</v>
      </c>
      <c r="C69" s="0">
        <v>3</v>
      </c>
      <c r="D69" s="0">
        <v>3</v>
      </c>
      <c r="E69" s="0">
        <v>3</v>
      </c>
      <c r="F69" s="0">
        <v>0</v>
      </c>
      <c r="G69" s="0">
        <v>6</v>
      </c>
      <c r="H69" s="0">
        <v>16</v>
      </c>
    </row>
    <row r="70">
      <c r="A70" s="17" t="s">
        <v>8281</v>
      </c>
    </row>
    <row r="71">
      <c r="A71" s="15" t="s">
        <v>39</v>
      </c>
      <c r="B71" s="15" t="s">
        <v>272</v>
      </c>
      <c r="C71" s="15" t="s">
        <v>378</v>
      </c>
      <c r="D71" s="15" t="s">
        <v>2807</v>
      </c>
      <c r="E71" s="15" t="s">
        <v>802</v>
      </c>
      <c r="F71" s="15" t="s">
        <v>371</v>
      </c>
      <c r="G71" s="15" t="s">
        <v>135</v>
      </c>
      <c r="H71" s="15" t="s">
        <v>8269</v>
      </c>
    </row>
    <row r="72">
      <c r="A72" s="19" t="s">
        <v>348</v>
      </c>
      <c r="B72" s="0">
        <v>2</v>
      </c>
      <c r="C72" s="0">
        <v>3</v>
      </c>
      <c r="D72" s="0">
        <v>0</v>
      </c>
      <c r="E72" s="0">
        <v>0</v>
      </c>
      <c r="F72" s="0">
        <v>0</v>
      </c>
      <c r="G72" s="0">
        <v>1</v>
      </c>
      <c r="H72" s="0">
        <v>6</v>
      </c>
    </row>
    <row r="73">
      <c r="A73" s="19" t="s">
        <v>198</v>
      </c>
      <c r="B73" s="0">
        <v>2</v>
      </c>
      <c r="C73" s="0">
        <v>13</v>
      </c>
      <c r="D73" s="0">
        <v>4</v>
      </c>
      <c r="E73" s="0">
        <v>5</v>
      </c>
      <c r="F73" s="0">
        <v>2</v>
      </c>
      <c r="G73" s="0">
        <v>19</v>
      </c>
      <c r="H73" s="0">
        <v>45</v>
      </c>
    </row>
    <row r="74">
      <c r="A74" s="19" t="s">
        <v>337</v>
      </c>
      <c r="B74" s="0">
        <v>1</v>
      </c>
      <c r="C74" s="0">
        <v>6</v>
      </c>
      <c r="D74" s="0">
        <v>2</v>
      </c>
      <c r="E74" s="0">
        <v>0</v>
      </c>
      <c r="F74" s="0">
        <v>0</v>
      </c>
      <c r="G74" s="0">
        <v>3</v>
      </c>
      <c r="H74" s="0">
        <v>12</v>
      </c>
    </row>
    <row r="75">
      <c r="A75" s="19" t="s">
        <v>8270</v>
      </c>
      <c r="B75" s="0">
        <v>5</v>
      </c>
      <c r="C75" s="0">
        <v>22</v>
      </c>
      <c r="D75" s="0">
        <v>6</v>
      </c>
      <c r="E75" s="0">
        <v>5</v>
      </c>
      <c r="F75" s="0">
        <v>2</v>
      </c>
      <c r="G75" s="0">
        <v>23</v>
      </c>
      <c r="H75" s="0">
        <v>63</v>
      </c>
    </row>
    <row r="76">
      <c r="A76" s="17" t="s">
        <v>8282</v>
      </c>
    </row>
    <row r="77">
      <c r="A77" s="15" t="s">
        <v>39</v>
      </c>
      <c r="B77" s="15" t="s">
        <v>272</v>
      </c>
      <c r="C77" s="15" t="s">
        <v>378</v>
      </c>
      <c r="D77" s="15" t="s">
        <v>2807</v>
      </c>
      <c r="E77" s="15" t="s">
        <v>802</v>
      </c>
      <c r="F77" s="15" t="s">
        <v>371</v>
      </c>
      <c r="G77" s="15" t="s">
        <v>135</v>
      </c>
      <c r="H77" s="15" t="s">
        <v>8269</v>
      </c>
    </row>
    <row r="78">
      <c r="A78" s="19" t="s">
        <v>243</v>
      </c>
      <c r="B78" s="0">
        <v>0</v>
      </c>
      <c r="C78" s="0">
        <v>1</v>
      </c>
      <c r="D78" s="0">
        <v>1</v>
      </c>
      <c r="E78" s="0">
        <v>2</v>
      </c>
      <c r="F78" s="0">
        <v>1</v>
      </c>
      <c r="G78" s="0">
        <v>12</v>
      </c>
      <c r="H78" s="0">
        <v>17</v>
      </c>
    </row>
    <row r="79">
      <c r="A79" s="19" t="s">
        <v>154</v>
      </c>
      <c r="B79" s="0">
        <v>0</v>
      </c>
      <c r="C79" s="0">
        <v>3</v>
      </c>
      <c r="D79" s="0">
        <v>0</v>
      </c>
      <c r="E79" s="0">
        <v>1</v>
      </c>
      <c r="F79" s="0">
        <v>0</v>
      </c>
      <c r="G79" s="0">
        <v>12</v>
      </c>
      <c r="H79" s="0">
        <v>16</v>
      </c>
    </row>
    <row r="80">
      <c r="A80" s="19" t="s">
        <v>185</v>
      </c>
      <c r="B80" s="0">
        <v>1</v>
      </c>
      <c r="C80" s="0">
        <v>1</v>
      </c>
      <c r="D80" s="0">
        <v>0</v>
      </c>
      <c r="E80" s="0">
        <v>0</v>
      </c>
      <c r="F80" s="0">
        <v>0</v>
      </c>
      <c r="G80" s="0">
        <v>0</v>
      </c>
      <c r="H80" s="0">
        <v>2</v>
      </c>
    </row>
    <row r="81">
      <c r="A81" s="19" t="s">
        <v>8270</v>
      </c>
      <c r="B81" s="0">
        <v>1</v>
      </c>
      <c r="C81" s="0">
        <v>5</v>
      </c>
      <c r="D81" s="0">
        <v>1</v>
      </c>
      <c r="E81" s="0">
        <v>3</v>
      </c>
      <c r="F81" s="0">
        <v>1</v>
      </c>
      <c r="G81" s="0">
        <v>24</v>
      </c>
      <c r="H81" s="0">
        <v>35</v>
      </c>
    </row>
    <row r="82">
      <c r="A82" s="17" t="s">
        <v>8283</v>
      </c>
    </row>
    <row r="83">
      <c r="A83" s="15" t="s">
        <v>39</v>
      </c>
      <c r="B83" s="15" t="s">
        <v>272</v>
      </c>
      <c r="C83" s="15" t="s">
        <v>378</v>
      </c>
      <c r="D83" s="15" t="s">
        <v>2807</v>
      </c>
      <c r="E83" s="15" t="s">
        <v>802</v>
      </c>
      <c r="F83" s="15" t="s">
        <v>371</v>
      </c>
      <c r="G83" s="15" t="s">
        <v>135</v>
      </c>
      <c r="H83" s="15" t="s">
        <v>8269</v>
      </c>
    </row>
    <row r="84">
      <c r="A84" s="19" t="s">
        <v>164</v>
      </c>
      <c r="B84" s="0">
        <v>0</v>
      </c>
      <c r="C84" s="0">
        <v>4</v>
      </c>
      <c r="D84" s="0">
        <v>0</v>
      </c>
      <c r="E84" s="0">
        <v>0</v>
      </c>
      <c r="F84" s="0">
        <v>0</v>
      </c>
      <c r="G84" s="0">
        <v>1</v>
      </c>
      <c r="H84" s="0">
        <v>5</v>
      </c>
    </row>
    <row r="85">
      <c r="A85" s="19" t="s">
        <v>146</v>
      </c>
      <c r="B85" s="0">
        <v>1</v>
      </c>
      <c r="C85" s="0">
        <v>1</v>
      </c>
      <c r="D85" s="0">
        <v>0</v>
      </c>
      <c r="E85" s="0">
        <v>1</v>
      </c>
      <c r="F85" s="0">
        <v>1</v>
      </c>
      <c r="G85" s="0">
        <v>1</v>
      </c>
      <c r="H85" s="0">
        <v>5</v>
      </c>
    </row>
    <row r="86">
      <c r="A86" s="19" t="s">
        <v>400</v>
      </c>
      <c r="B86" s="0">
        <v>0</v>
      </c>
      <c r="C86" s="0">
        <v>0</v>
      </c>
      <c r="D86" s="0">
        <v>1</v>
      </c>
      <c r="E86" s="0">
        <v>1</v>
      </c>
      <c r="F86" s="0">
        <v>0</v>
      </c>
      <c r="G86" s="0">
        <v>0</v>
      </c>
      <c r="H86" s="0">
        <v>2</v>
      </c>
    </row>
    <row r="87">
      <c r="A87" s="19" t="s">
        <v>8270</v>
      </c>
      <c r="B87" s="0">
        <v>1</v>
      </c>
      <c r="C87" s="0">
        <v>5</v>
      </c>
      <c r="D87" s="0">
        <v>1</v>
      </c>
      <c r="E87" s="0">
        <v>2</v>
      </c>
      <c r="F87" s="0">
        <v>1</v>
      </c>
      <c r="G87" s="0">
        <v>2</v>
      </c>
      <c r="H87" s="0">
        <v>12</v>
      </c>
    </row>
    <row r="88">
      <c r="A88" s="17" t="s">
        <v>8284</v>
      </c>
    </row>
    <row r="89">
      <c r="A89" s="15" t="s">
        <v>39</v>
      </c>
      <c r="B89" s="15" t="s">
        <v>272</v>
      </c>
      <c r="C89" s="15" t="s">
        <v>378</v>
      </c>
      <c r="D89" s="15" t="s">
        <v>2807</v>
      </c>
      <c r="E89" s="15" t="s">
        <v>802</v>
      </c>
      <c r="F89" s="15" t="s">
        <v>371</v>
      </c>
      <c r="G89" s="15" t="s">
        <v>135</v>
      </c>
      <c r="H89" s="15" t="s">
        <v>8269</v>
      </c>
    </row>
    <row r="90">
      <c r="A90" s="19" t="s">
        <v>170</v>
      </c>
      <c r="B90" s="0">
        <v>0</v>
      </c>
      <c r="C90" s="0">
        <v>1</v>
      </c>
      <c r="D90" s="0">
        <v>0</v>
      </c>
      <c r="E90" s="0">
        <v>0</v>
      </c>
      <c r="F90" s="0">
        <v>0</v>
      </c>
      <c r="G90" s="0">
        <v>1</v>
      </c>
      <c r="H90" s="0">
        <v>2</v>
      </c>
    </row>
    <row r="91">
      <c r="A91" s="19" t="s">
        <v>133</v>
      </c>
      <c r="B91" s="0">
        <v>0</v>
      </c>
      <c r="C91" s="0">
        <v>1</v>
      </c>
      <c r="D91" s="0">
        <v>0</v>
      </c>
      <c r="E91" s="0">
        <v>0</v>
      </c>
      <c r="F91" s="0">
        <v>0</v>
      </c>
      <c r="G91" s="0">
        <v>0</v>
      </c>
      <c r="H91" s="0">
        <v>1</v>
      </c>
    </row>
    <row r="92">
      <c r="A92" s="19" t="s">
        <v>260</v>
      </c>
      <c r="B92" s="0">
        <v>0</v>
      </c>
      <c r="C92" s="0">
        <v>1</v>
      </c>
      <c r="D92" s="0">
        <v>0</v>
      </c>
      <c r="E92" s="0">
        <v>0</v>
      </c>
      <c r="F92" s="0">
        <v>0</v>
      </c>
      <c r="G92" s="0">
        <v>2</v>
      </c>
      <c r="H92" s="0">
        <v>3</v>
      </c>
    </row>
    <row r="93">
      <c r="A93" s="19" t="s">
        <v>8270</v>
      </c>
      <c r="B93" s="0">
        <v>0</v>
      </c>
      <c r="C93" s="0">
        <v>3</v>
      </c>
      <c r="D93" s="0">
        <v>0</v>
      </c>
      <c r="E93" s="0">
        <v>0</v>
      </c>
      <c r="F93" s="0">
        <v>0</v>
      </c>
      <c r="G93" s="0">
        <v>3</v>
      </c>
      <c r="H93" s="0">
        <v>6</v>
      </c>
    </row>
    <row r="94">
      <c r="A94" s="17" t="s">
        <v>8285</v>
      </c>
    </row>
    <row r="95">
      <c r="A95" s="15" t="s">
        <v>8286</v>
      </c>
      <c r="B95" s="15" t="s">
        <v>272</v>
      </c>
      <c r="C95" s="15" t="s">
        <v>378</v>
      </c>
      <c r="D95" s="15" t="s">
        <v>2807</v>
      </c>
      <c r="E95" s="15" t="s">
        <v>802</v>
      </c>
      <c r="F95" s="15" t="s">
        <v>371</v>
      </c>
      <c r="G95" s="15" t="s">
        <v>135</v>
      </c>
      <c r="H95" s="15" t="s">
        <v>8269</v>
      </c>
    </row>
    <row r="96">
      <c r="A96" s="19" t="s">
        <v>349</v>
      </c>
      <c r="B96" s="0">
        <v>2</v>
      </c>
      <c r="C96" s="0">
        <v>11</v>
      </c>
      <c r="D96" s="0">
        <v>0</v>
      </c>
      <c r="E96" s="0">
        <v>0</v>
      </c>
      <c r="F96" s="0">
        <v>0</v>
      </c>
      <c r="G96" s="0">
        <v>7</v>
      </c>
      <c r="H96" s="0">
        <v>20</v>
      </c>
    </row>
    <row r="97">
      <c r="A97" s="19" t="s">
        <v>650</v>
      </c>
      <c r="B97" s="0">
        <v>0</v>
      </c>
      <c r="C97" s="0">
        <v>15</v>
      </c>
      <c r="D97" s="0">
        <v>0</v>
      </c>
      <c r="E97" s="0">
        <v>8</v>
      </c>
      <c r="F97" s="0">
        <v>0</v>
      </c>
      <c r="G97" s="0">
        <v>19</v>
      </c>
      <c r="H97" s="0">
        <v>42</v>
      </c>
    </row>
    <row r="98">
      <c r="A98" s="19" t="s">
        <v>8270</v>
      </c>
      <c r="B98" s="0">
        <v>2</v>
      </c>
      <c r="C98" s="0">
        <v>26</v>
      </c>
      <c r="D98" s="0">
        <v>0</v>
      </c>
      <c r="E98" s="0">
        <v>8</v>
      </c>
      <c r="F98" s="0">
        <v>0</v>
      </c>
      <c r="G98" s="0">
        <v>26</v>
      </c>
      <c r="H98" s="0">
        <v>62</v>
      </c>
    </row>
    <row r="99">
      <c r="A99" s="17" t="s">
        <v>8287</v>
      </c>
    </row>
    <row r="100">
      <c r="A100" s="15" t="s">
        <v>8286</v>
      </c>
      <c r="B100" s="15" t="s">
        <v>272</v>
      </c>
      <c r="C100" s="15" t="s">
        <v>378</v>
      </c>
      <c r="D100" s="15" t="s">
        <v>2807</v>
      </c>
      <c r="E100" s="15" t="s">
        <v>802</v>
      </c>
      <c r="F100" s="15" t="s">
        <v>371</v>
      </c>
      <c r="G100" s="15" t="s">
        <v>135</v>
      </c>
      <c r="H100" s="15" t="s">
        <v>8269</v>
      </c>
    </row>
    <row r="101">
      <c r="A101" s="19" t="s">
        <v>220</v>
      </c>
      <c r="B101" s="0">
        <v>3</v>
      </c>
      <c r="C101" s="0">
        <v>5</v>
      </c>
      <c r="D101" s="0">
        <v>2</v>
      </c>
      <c r="E101" s="0">
        <v>2</v>
      </c>
      <c r="F101" s="0">
        <v>0</v>
      </c>
      <c r="G101" s="0">
        <v>56</v>
      </c>
      <c r="H101" s="0">
        <v>68</v>
      </c>
    </row>
    <row r="102">
      <c r="A102" s="19" t="s">
        <v>216</v>
      </c>
      <c r="B102" s="0">
        <v>3</v>
      </c>
      <c r="C102" s="0">
        <v>37</v>
      </c>
      <c r="D102" s="0">
        <v>14</v>
      </c>
      <c r="E102" s="0">
        <v>15</v>
      </c>
      <c r="F102" s="0">
        <v>7</v>
      </c>
      <c r="G102" s="0">
        <v>16</v>
      </c>
      <c r="H102" s="0">
        <v>92</v>
      </c>
    </row>
    <row r="103">
      <c r="A103" s="19" t="s">
        <v>199</v>
      </c>
      <c r="B103" s="0">
        <v>5</v>
      </c>
      <c r="C103" s="0">
        <v>43</v>
      </c>
      <c r="D103" s="0">
        <v>14</v>
      </c>
      <c r="E103" s="0">
        <v>16</v>
      </c>
      <c r="F103" s="0">
        <v>8</v>
      </c>
      <c r="G103" s="0">
        <v>26</v>
      </c>
      <c r="H103" s="0">
        <v>112</v>
      </c>
    </row>
    <row r="104">
      <c r="A104" s="19" t="s">
        <v>682</v>
      </c>
      <c r="B104" s="0">
        <v>0</v>
      </c>
      <c r="C104" s="0">
        <v>2</v>
      </c>
      <c r="D104" s="0">
        <v>0</v>
      </c>
      <c r="E104" s="0">
        <v>2</v>
      </c>
      <c r="F104" s="0">
        <v>0</v>
      </c>
      <c r="G104" s="0">
        <v>4</v>
      </c>
      <c r="H104" s="0">
        <v>8</v>
      </c>
    </row>
    <row r="105">
      <c r="A105" s="19" t="s">
        <v>8270</v>
      </c>
      <c r="B105" s="0">
        <v>11</v>
      </c>
      <c r="C105" s="0">
        <v>87</v>
      </c>
      <c r="D105" s="0">
        <v>30</v>
      </c>
      <c r="E105" s="0">
        <v>35</v>
      </c>
      <c r="F105" s="0">
        <v>15</v>
      </c>
      <c r="G105" s="0">
        <v>102</v>
      </c>
      <c r="H105" s="0">
        <v>280</v>
      </c>
    </row>
    <row r="106">
      <c r="A106" s="17" t="s">
        <v>8288</v>
      </c>
    </row>
    <row r="107">
      <c r="A107" s="15" t="s">
        <v>8286</v>
      </c>
      <c r="B107" s="15" t="s">
        <v>272</v>
      </c>
      <c r="C107" s="15" t="s">
        <v>378</v>
      </c>
      <c r="D107" s="15" t="s">
        <v>2807</v>
      </c>
      <c r="E107" s="15" t="s">
        <v>802</v>
      </c>
      <c r="F107" s="15" t="s">
        <v>371</v>
      </c>
      <c r="G107" s="15" t="s">
        <v>135</v>
      </c>
      <c r="H107" s="15" t="s">
        <v>8269</v>
      </c>
    </row>
    <row r="108">
      <c r="A108" s="19" t="s">
        <v>1222</v>
      </c>
      <c r="B108" s="0">
        <v>0</v>
      </c>
      <c r="C108" s="0">
        <v>1</v>
      </c>
      <c r="D108" s="0">
        <v>0</v>
      </c>
      <c r="E108" s="0">
        <v>0</v>
      </c>
      <c r="F108" s="0">
        <v>0</v>
      </c>
      <c r="G108" s="0">
        <v>1</v>
      </c>
      <c r="H108" s="0">
        <v>2</v>
      </c>
    </row>
    <row r="109">
      <c r="A109" s="19" t="s">
        <v>576</v>
      </c>
      <c r="B109" s="0">
        <v>3</v>
      </c>
      <c r="C109" s="0">
        <v>24</v>
      </c>
      <c r="D109" s="0">
        <v>3</v>
      </c>
      <c r="E109" s="0">
        <v>6</v>
      </c>
      <c r="F109" s="0">
        <v>5</v>
      </c>
      <c r="G109" s="0">
        <v>16</v>
      </c>
      <c r="H109" s="0">
        <v>57</v>
      </c>
    </row>
    <row r="110">
      <c r="A110" s="19" t="s">
        <v>338</v>
      </c>
      <c r="B110" s="0">
        <v>2</v>
      </c>
      <c r="C110" s="0">
        <v>4</v>
      </c>
      <c r="D110" s="0">
        <v>1</v>
      </c>
      <c r="E110" s="0">
        <v>1</v>
      </c>
      <c r="F110" s="0">
        <v>2</v>
      </c>
      <c r="G110" s="0">
        <v>2</v>
      </c>
      <c r="H110" s="0">
        <v>12</v>
      </c>
    </row>
    <row r="111">
      <c r="A111" s="19" t="s">
        <v>8270</v>
      </c>
      <c r="B111" s="0">
        <v>5</v>
      </c>
      <c r="C111" s="0">
        <v>29</v>
      </c>
      <c r="D111" s="0">
        <v>4</v>
      </c>
      <c r="E111" s="0">
        <v>7</v>
      </c>
      <c r="F111" s="0">
        <v>7</v>
      </c>
      <c r="G111" s="0">
        <v>19</v>
      </c>
      <c r="H111" s="0">
        <v>71</v>
      </c>
    </row>
    <row r="112">
      <c r="A112" s="17" t="s">
        <v>8289</v>
      </c>
    </row>
    <row r="113">
      <c r="A113" s="15" t="s">
        <v>8286</v>
      </c>
      <c r="B113" s="15" t="s">
        <v>272</v>
      </c>
      <c r="C113" s="15" t="s">
        <v>378</v>
      </c>
      <c r="D113" s="15" t="s">
        <v>2807</v>
      </c>
      <c r="E113" s="15" t="s">
        <v>802</v>
      </c>
      <c r="F113" s="15" t="s">
        <v>371</v>
      </c>
      <c r="G113" s="15" t="s">
        <v>135</v>
      </c>
      <c r="H113" s="15" t="s">
        <v>8269</v>
      </c>
    </row>
    <row r="114">
      <c r="A114" s="19" t="s">
        <v>292</v>
      </c>
      <c r="B114" s="0">
        <v>1</v>
      </c>
      <c r="C114" s="0">
        <v>2</v>
      </c>
      <c r="D114" s="0">
        <v>3</v>
      </c>
      <c r="E114" s="0">
        <v>0</v>
      </c>
      <c r="F114" s="0">
        <v>0</v>
      </c>
      <c r="G114" s="0">
        <v>7</v>
      </c>
      <c r="H114" s="0">
        <v>13</v>
      </c>
    </row>
    <row r="115">
      <c r="A115" s="19" t="s">
        <v>537</v>
      </c>
      <c r="B115" s="0">
        <v>4</v>
      </c>
      <c r="C115" s="0">
        <v>4</v>
      </c>
      <c r="D115" s="0">
        <v>7</v>
      </c>
      <c r="E115" s="0">
        <v>3</v>
      </c>
      <c r="F115" s="0">
        <v>1</v>
      </c>
      <c r="G115" s="0">
        <v>34</v>
      </c>
      <c r="H115" s="0">
        <v>53</v>
      </c>
    </row>
    <row r="116">
      <c r="A116" s="19" t="s">
        <v>456</v>
      </c>
      <c r="B116" s="0">
        <v>2</v>
      </c>
      <c r="C116" s="0">
        <v>5</v>
      </c>
      <c r="D116" s="0">
        <v>0</v>
      </c>
      <c r="E116" s="0">
        <v>5</v>
      </c>
      <c r="F116" s="0">
        <v>0</v>
      </c>
      <c r="G116" s="0">
        <v>7</v>
      </c>
      <c r="H116" s="0">
        <v>19</v>
      </c>
    </row>
    <row r="117">
      <c r="A117" s="19" t="s">
        <v>571</v>
      </c>
      <c r="B117" s="0">
        <v>2</v>
      </c>
      <c r="C117" s="0">
        <v>2</v>
      </c>
      <c r="D117" s="0">
        <v>0</v>
      </c>
      <c r="E117" s="0">
        <v>3</v>
      </c>
      <c r="F117" s="0">
        <v>1</v>
      </c>
      <c r="G117" s="0">
        <v>12</v>
      </c>
      <c r="H117" s="0">
        <v>20</v>
      </c>
    </row>
    <row r="118">
      <c r="A118" s="19" t="s">
        <v>244</v>
      </c>
      <c r="B118" s="0">
        <v>5</v>
      </c>
      <c r="C118" s="0">
        <v>7</v>
      </c>
      <c r="D118" s="0">
        <v>3</v>
      </c>
      <c r="E118" s="0">
        <v>10</v>
      </c>
      <c r="F118" s="0">
        <v>0</v>
      </c>
      <c r="G118" s="0">
        <v>27</v>
      </c>
      <c r="H118" s="0">
        <v>52</v>
      </c>
    </row>
    <row r="119">
      <c r="A119" s="19" t="s">
        <v>8270</v>
      </c>
      <c r="B119" s="0">
        <v>14</v>
      </c>
      <c r="C119" s="0">
        <v>20</v>
      </c>
      <c r="D119" s="0">
        <v>13</v>
      </c>
      <c r="E119" s="0">
        <v>21</v>
      </c>
      <c r="F119" s="0">
        <v>2</v>
      </c>
      <c r="G119" s="0">
        <v>87</v>
      </c>
      <c r="H119" s="0">
        <v>157</v>
      </c>
    </row>
    <row r="120">
      <c r="A120" s="17" t="s">
        <v>8290</v>
      </c>
    </row>
    <row r="121">
      <c r="A121" s="15" t="s">
        <v>8286</v>
      </c>
      <c r="B121" s="15" t="s">
        <v>272</v>
      </c>
      <c r="C121" s="15" t="s">
        <v>378</v>
      </c>
      <c r="D121" s="15" t="s">
        <v>2807</v>
      </c>
      <c r="E121" s="15" t="s">
        <v>802</v>
      </c>
      <c r="F121" s="15" t="s">
        <v>371</v>
      </c>
      <c r="G121" s="15" t="s">
        <v>135</v>
      </c>
      <c r="H121" s="15" t="s">
        <v>8269</v>
      </c>
    </row>
    <row r="122">
      <c r="A122" s="19" t="s">
        <v>268</v>
      </c>
      <c r="B122" s="0">
        <v>2</v>
      </c>
      <c r="C122" s="0">
        <v>19</v>
      </c>
      <c r="D122" s="0">
        <v>4</v>
      </c>
      <c r="E122" s="0">
        <v>12</v>
      </c>
      <c r="F122" s="0">
        <v>0</v>
      </c>
      <c r="G122" s="0">
        <v>46</v>
      </c>
      <c r="H122" s="0">
        <v>83</v>
      </c>
    </row>
    <row r="123">
      <c r="A123" s="19" t="s">
        <v>306</v>
      </c>
      <c r="B123" s="0">
        <v>1</v>
      </c>
      <c r="C123" s="0">
        <v>3</v>
      </c>
      <c r="D123" s="0">
        <v>0</v>
      </c>
      <c r="E123" s="0">
        <v>2</v>
      </c>
      <c r="F123" s="0">
        <v>0</v>
      </c>
      <c r="G123" s="0">
        <v>17</v>
      </c>
      <c r="H123" s="0">
        <v>23</v>
      </c>
    </row>
    <row r="124">
      <c r="A124" s="19" t="s">
        <v>155</v>
      </c>
      <c r="B124" s="0">
        <v>1</v>
      </c>
      <c r="C124" s="0">
        <v>2</v>
      </c>
      <c r="D124" s="0">
        <v>1</v>
      </c>
      <c r="E124" s="0">
        <v>0</v>
      </c>
      <c r="F124" s="0">
        <v>2</v>
      </c>
      <c r="G124" s="0">
        <v>11</v>
      </c>
      <c r="H124" s="0">
        <v>17</v>
      </c>
    </row>
    <row r="125">
      <c r="A125" s="19" t="s">
        <v>8270</v>
      </c>
      <c r="B125" s="0">
        <v>4</v>
      </c>
      <c r="C125" s="0">
        <v>24</v>
      </c>
      <c r="D125" s="0">
        <v>5</v>
      </c>
      <c r="E125" s="0">
        <v>14</v>
      </c>
      <c r="F125" s="0">
        <v>2</v>
      </c>
      <c r="G125" s="0">
        <v>74</v>
      </c>
      <c r="H125" s="0">
        <v>123</v>
      </c>
    </row>
    <row r="126">
      <c r="A126" s="17" t="s">
        <v>8291</v>
      </c>
    </row>
    <row r="127">
      <c r="A127" s="15" t="s">
        <v>8286</v>
      </c>
      <c r="B127" s="15" t="s">
        <v>272</v>
      </c>
      <c r="C127" s="15" t="s">
        <v>378</v>
      </c>
      <c r="D127" s="15" t="s">
        <v>2807</v>
      </c>
      <c r="E127" s="15" t="s">
        <v>802</v>
      </c>
      <c r="F127" s="15" t="s">
        <v>371</v>
      </c>
      <c r="G127" s="15" t="s">
        <v>135</v>
      </c>
      <c r="H127" s="15" t="s">
        <v>8269</v>
      </c>
    </row>
    <row r="128">
      <c r="A128" s="19" t="s">
        <v>871</v>
      </c>
      <c r="B128" s="0">
        <v>0</v>
      </c>
      <c r="C128" s="0">
        <v>2</v>
      </c>
      <c r="D128" s="0">
        <v>0</v>
      </c>
      <c r="E128" s="0">
        <v>0</v>
      </c>
      <c r="F128" s="0">
        <v>0</v>
      </c>
      <c r="G128" s="0">
        <v>0</v>
      </c>
      <c r="H128" s="0">
        <v>2</v>
      </c>
    </row>
    <row r="129">
      <c r="A129" s="19" t="s">
        <v>186</v>
      </c>
      <c r="B129" s="0">
        <v>3</v>
      </c>
      <c r="C129" s="0">
        <v>5</v>
      </c>
      <c r="D129" s="0">
        <v>0</v>
      </c>
      <c r="E129" s="0">
        <v>2</v>
      </c>
      <c r="F129" s="0">
        <v>0</v>
      </c>
      <c r="G129" s="0">
        <v>2</v>
      </c>
      <c r="H129" s="0">
        <v>12</v>
      </c>
    </row>
    <row r="130">
      <c r="A130" s="19" t="s">
        <v>548</v>
      </c>
      <c r="B130" s="0">
        <v>1</v>
      </c>
      <c r="C130" s="0">
        <v>0</v>
      </c>
      <c r="D130" s="0">
        <v>0</v>
      </c>
      <c r="E130" s="0">
        <v>0</v>
      </c>
      <c r="F130" s="0">
        <v>0</v>
      </c>
      <c r="G130" s="0">
        <v>2</v>
      </c>
      <c r="H130" s="0">
        <v>3</v>
      </c>
    </row>
    <row r="131">
      <c r="A131" s="19" t="s">
        <v>626</v>
      </c>
      <c r="B131" s="0">
        <v>0</v>
      </c>
      <c r="C131" s="0">
        <v>3</v>
      </c>
      <c r="D131" s="0">
        <v>0</v>
      </c>
      <c r="E131" s="0">
        <v>0</v>
      </c>
      <c r="F131" s="0">
        <v>0</v>
      </c>
      <c r="G131" s="0">
        <v>1</v>
      </c>
      <c r="H131" s="0">
        <v>4</v>
      </c>
    </row>
    <row r="132">
      <c r="A132" s="19" t="s">
        <v>8270</v>
      </c>
      <c r="B132" s="0">
        <v>4</v>
      </c>
      <c r="C132" s="0">
        <v>10</v>
      </c>
      <c r="D132" s="0">
        <v>0</v>
      </c>
      <c r="E132" s="0">
        <v>2</v>
      </c>
      <c r="F132" s="0">
        <v>0</v>
      </c>
      <c r="G132" s="0">
        <v>5</v>
      </c>
      <c r="H132" s="0">
        <v>21</v>
      </c>
    </row>
    <row r="133">
      <c r="A133" s="17" t="s">
        <v>8292</v>
      </c>
    </row>
    <row r="134">
      <c r="A134" s="15" t="s">
        <v>8286</v>
      </c>
      <c r="B134" s="15" t="s">
        <v>272</v>
      </c>
      <c r="C134" s="15" t="s">
        <v>378</v>
      </c>
      <c r="D134" s="15" t="s">
        <v>2807</v>
      </c>
      <c r="E134" s="15" t="s">
        <v>802</v>
      </c>
      <c r="F134" s="15" t="s">
        <v>371</v>
      </c>
      <c r="G134" s="15" t="s">
        <v>135</v>
      </c>
      <c r="H134" s="15" t="s">
        <v>8269</v>
      </c>
    </row>
    <row r="135">
      <c r="A135" s="19" t="s">
        <v>970</v>
      </c>
      <c r="B135" s="0">
        <v>1</v>
      </c>
      <c r="C135" s="0">
        <v>5</v>
      </c>
      <c r="D135" s="0">
        <v>1</v>
      </c>
      <c r="E135" s="0">
        <v>5</v>
      </c>
      <c r="F135" s="0">
        <v>3</v>
      </c>
      <c r="G135" s="0">
        <v>2</v>
      </c>
      <c r="H135" s="0">
        <v>17</v>
      </c>
    </row>
    <row r="136">
      <c r="A136" s="19" t="s">
        <v>165</v>
      </c>
      <c r="B136" s="0">
        <v>1</v>
      </c>
      <c r="C136" s="0">
        <v>11</v>
      </c>
      <c r="D136" s="0">
        <v>8</v>
      </c>
      <c r="E136" s="0">
        <v>32</v>
      </c>
      <c r="F136" s="0">
        <v>3</v>
      </c>
      <c r="G136" s="0">
        <v>5</v>
      </c>
      <c r="H136" s="0">
        <v>60</v>
      </c>
    </row>
    <row r="137">
      <c r="A137" s="19" t="s">
        <v>277</v>
      </c>
      <c r="B137" s="0">
        <v>0</v>
      </c>
      <c r="C137" s="0">
        <v>3</v>
      </c>
      <c r="D137" s="0">
        <v>2</v>
      </c>
      <c r="E137" s="0">
        <v>2</v>
      </c>
      <c r="F137" s="0">
        <v>0</v>
      </c>
      <c r="G137" s="0">
        <v>4</v>
      </c>
      <c r="H137" s="0">
        <v>11</v>
      </c>
    </row>
    <row r="138">
      <c r="A138" s="19" t="s">
        <v>8270</v>
      </c>
      <c r="B138" s="0">
        <v>2</v>
      </c>
      <c r="C138" s="0">
        <v>19</v>
      </c>
      <c r="D138" s="0">
        <v>11</v>
      </c>
      <c r="E138" s="0">
        <v>39</v>
      </c>
      <c r="F138" s="0">
        <v>6</v>
      </c>
      <c r="G138" s="0">
        <v>11</v>
      </c>
      <c r="H138" s="0">
        <v>88</v>
      </c>
    </row>
    <row r="139">
      <c r="A139" s="17" t="s">
        <v>8293</v>
      </c>
    </row>
    <row r="140">
      <c r="A140" s="15" t="s">
        <v>8286</v>
      </c>
      <c r="B140" s="15" t="s">
        <v>272</v>
      </c>
      <c r="C140" s="15" t="s">
        <v>378</v>
      </c>
      <c r="D140" s="15" t="s">
        <v>2807</v>
      </c>
      <c r="E140" s="15" t="s">
        <v>802</v>
      </c>
      <c r="F140" s="15" t="s">
        <v>371</v>
      </c>
      <c r="G140" s="15" t="s">
        <v>135</v>
      </c>
      <c r="H140" s="15" t="s">
        <v>8269</v>
      </c>
    </row>
    <row r="141">
      <c r="A141" s="19" t="s">
        <v>147</v>
      </c>
      <c r="B141" s="0">
        <v>3</v>
      </c>
      <c r="C141" s="0">
        <v>21</v>
      </c>
      <c r="D141" s="0">
        <v>1</v>
      </c>
      <c r="E141" s="0">
        <v>7</v>
      </c>
      <c r="F141" s="0">
        <v>11</v>
      </c>
      <c r="G141" s="0">
        <v>14</v>
      </c>
      <c r="H141" s="0">
        <v>57</v>
      </c>
    </row>
    <row r="142">
      <c r="A142" s="19" t="s">
        <v>500</v>
      </c>
      <c r="B142" s="0">
        <v>0</v>
      </c>
      <c r="C142" s="0">
        <v>1</v>
      </c>
      <c r="D142" s="0">
        <v>0</v>
      </c>
      <c r="E142" s="0">
        <v>0</v>
      </c>
      <c r="F142" s="0">
        <v>0</v>
      </c>
      <c r="G142" s="0">
        <v>3</v>
      </c>
      <c r="H142" s="0">
        <v>4</v>
      </c>
    </row>
    <row r="143">
      <c r="A143" s="19" t="s">
        <v>8270</v>
      </c>
      <c r="B143" s="0">
        <v>3</v>
      </c>
      <c r="C143" s="0">
        <v>22</v>
      </c>
      <c r="D143" s="0">
        <v>1</v>
      </c>
      <c r="E143" s="0">
        <v>7</v>
      </c>
      <c r="F143" s="0">
        <v>11</v>
      </c>
      <c r="G143" s="0">
        <v>17</v>
      </c>
      <c r="H143" s="0">
        <v>61</v>
      </c>
    </row>
    <row r="144">
      <c r="A144" s="17" t="s">
        <v>8294</v>
      </c>
    </row>
    <row r="145">
      <c r="A145" s="15" t="s">
        <v>8286</v>
      </c>
      <c r="B145" s="15" t="s">
        <v>272</v>
      </c>
      <c r="C145" s="15" t="s">
        <v>378</v>
      </c>
      <c r="D145" s="15" t="s">
        <v>2807</v>
      </c>
      <c r="E145" s="15" t="s">
        <v>802</v>
      </c>
      <c r="F145" s="15" t="s">
        <v>371</v>
      </c>
      <c r="G145" s="15" t="s">
        <v>135</v>
      </c>
      <c r="H145" s="15" t="s">
        <v>8269</v>
      </c>
    </row>
    <row r="146">
      <c r="A146" s="19" t="s">
        <v>401</v>
      </c>
      <c r="B146" s="0">
        <v>0</v>
      </c>
      <c r="C146" s="0">
        <v>0</v>
      </c>
      <c r="D146" s="0">
        <v>4</v>
      </c>
      <c r="E146" s="0">
        <v>6</v>
      </c>
      <c r="F146" s="0">
        <v>0</v>
      </c>
      <c r="G146" s="0">
        <v>1</v>
      </c>
      <c r="H146" s="0">
        <v>11</v>
      </c>
    </row>
    <row r="147">
      <c r="A147" s="19" t="s">
        <v>8295</v>
      </c>
      <c r="B147" s="0">
        <v>0</v>
      </c>
      <c r="C147" s="0">
        <v>0</v>
      </c>
      <c r="D147" s="0">
        <v>0</v>
      </c>
      <c r="E147" s="0">
        <v>0</v>
      </c>
      <c r="F147" s="0">
        <v>0</v>
      </c>
      <c r="G147" s="0">
        <v>0</v>
      </c>
      <c r="H147" s="0">
        <v>0</v>
      </c>
    </row>
    <row r="148">
      <c r="A148" s="19" t="s">
        <v>507</v>
      </c>
      <c r="B148" s="0">
        <v>0</v>
      </c>
      <c r="C148" s="0">
        <v>2</v>
      </c>
      <c r="D148" s="0">
        <v>4</v>
      </c>
      <c r="E148" s="0">
        <v>8</v>
      </c>
      <c r="F148" s="0">
        <v>0</v>
      </c>
      <c r="G148" s="0">
        <v>3</v>
      </c>
      <c r="H148" s="0">
        <v>17</v>
      </c>
    </row>
    <row r="149">
      <c r="A149" s="19" t="s">
        <v>8270</v>
      </c>
      <c r="B149" s="0">
        <v>0</v>
      </c>
      <c r="C149" s="0">
        <v>2</v>
      </c>
      <c r="D149" s="0">
        <v>8</v>
      </c>
      <c r="E149" s="0">
        <v>14</v>
      </c>
      <c r="F149" s="0">
        <v>0</v>
      </c>
      <c r="G149" s="0">
        <v>4</v>
      </c>
      <c r="H149" s="0">
        <v>28</v>
      </c>
    </row>
    <row r="150">
      <c r="A150" s="17" t="s">
        <v>8296</v>
      </c>
    </row>
    <row r="151">
      <c r="A151" s="15" t="s">
        <v>8286</v>
      </c>
      <c r="B151" s="15" t="s">
        <v>272</v>
      </c>
      <c r="C151" s="15" t="s">
        <v>378</v>
      </c>
      <c r="D151" s="15" t="s">
        <v>2807</v>
      </c>
      <c r="E151" s="15" t="s">
        <v>802</v>
      </c>
      <c r="F151" s="15" t="s">
        <v>371</v>
      </c>
      <c r="G151" s="15" t="s">
        <v>135</v>
      </c>
      <c r="H151" s="15" t="s">
        <v>8269</v>
      </c>
    </row>
    <row r="152">
      <c r="A152" s="19" t="s">
        <v>310</v>
      </c>
      <c r="B152" s="0">
        <v>0</v>
      </c>
      <c r="C152" s="0">
        <v>2</v>
      </c>
      <c r="D152" s="0">
        <v>0</v>
      </c>
      <c r="E152" s="0">
        <v>1</v>
      </c>
      <c r="F152" s="0">
        <v>1</v>
      </c>
      <c r="G152" s="0">
        <v>5</v>
      </c>
      <c r="H152" s="0">
        <v>9</v>
      </c>
    </row>
    <row r="153">
      <c r="A153" s="19" t="s">
        <v>171</v>
      </c>
      <c r="B153" s="0">
        <v>0</v>
      </c>
      <c r="C153" s="0">
        <v>4</v>
      </c>
      <c r="D153" s="0">
        <v>2</v>
      </c>
      <c r="E153" s="0">
        <v>2</v>
      </c>
      <c r="F153" s="0">
        <v>0</v>
      </c>
      <c r="G153" s="0">
        <v>9</v>
      </c>
      <c r="H153" s="0">
        <v>17</v>
      </c>
    </row>
    <row r="154">
      <c r="A154" s="19" t="s">
        <v>8270</v>
      </c>
      <c r="B154" s="0">
        <v>0</v>
      </c>
      <c r="C154" s="0">
        <v>6</v>
      </c>
      <c r="D154" s="0">
        <v>2</v>
      </c>
      <c r="E154" s="0">
        <v>3</v>
      </c>
      <c r="F154" s="0">
        <v>1</v>
      </c>
      <c r="G154" s="0">
        <v>14</v>
      </c>
      <c r="H154" s="0">
        <v>26</v>
      </c>
    </row>
    <row r="155">
      <c r="A155" s="17" t="s">
        <v>8297</v>
      </c>
    </row>
    <row r="156">
      <c r="A156" s="15" t="s">
        <v>8286</v>
      </c>
      <c r="B156" s="15" t="s">
        <v>272</v>
      </c>
      <c r="C156" s="15" t="s">
        <v>378</v>
      </c>
      <c r="D156" s="15" t="s">
        <v>2807</v>
      </c>
      <c r="E156" s="15" t="s">
        <v>802</v>
      </c>
      <c r="F156" s="15" t="s">
        <v>371</v>
      </c>
      <c r="G156" s="15" t="s">
        <v>135</v>
      </c>
      <c r="H156" s="15" t="s">
        <v>8269</v>
      </c>
    </row>
    <row r="157">
      <c r="A157" s="19" t="s">
        <v>134</v>
      </c>
      <c r="B157" s="0">
        <v>0</v>
      </c>
      <c r="C157" s="0">
        <v>1</v>
      </c>
      <c r="D157" s="0">
        <v>0</v>
      </c>
      <c r="E157" s="0">
        <v>0</v>
      </c>
      <c r="F157" s="0">
        <v>0</v>
      </c>
      <c r="G157" s="0">
        <v>1</v>
      </c>
      <c r="H157" s="0">
        <v>2</v>
      </c>
    </row>
    <row r="158">
      <c r="A158" s="19" t="s">
        <v>753</v>
      </c>
      <c r="B158" s="0">
        <v>0</v>
      </c>
      <c r="C158" s="0">
        <v>0</v>
      </c>
      <c r="D158" s="0">
        <v>0</v>
      </c>
      <c r="E158" s="0">
        <v>2</v>
      </c>
      <c r="F158" s="0">
        <v>0</v>
      </c>
      <c r="G158" s="0">
        <v>0</v>
      </c>
      <c r="H158" s="0">
        <v>2</v>
      </c>
    </row>
    <row r="159">
      <c r="A159" s="19" t="s">
        <v>160</v>
      </c>
      <c r="B159" s="0">
        <v>2</v>
      </c>
      <c r="C159" s="0">
        <v>8</v>
      </c>
      <c r="D159" s="0">
        <v>1</v>
      </c>
      <c r="E159" s="0">
        <v>3</v>
      </c>
      <c r="F159" s="0">
        <v>0</v>
      </c>
      <c r="G159" s="0">
        <v>9</v>
      </c>
      <c r="H159" s="0">
        <v>23</v>
      </c>
    </row>
    <row r="160">
      <c r="A160" s="19" t="s">
        <v>8270</v>
      </c>
      <c r="B160" s="0">
        <v>2</v>
      </c>
      <c r="C160" s="0">
        <v>9</v>
      </c>
      <c r="D160" s="0">
        <v>1</v>
      </c>
      <c r="E160" s="0">
        <v>5</v>
      </c>
      <c r="F160" s="0">
        <v>0</v>
      </c>
      <c r="G160" s="0">
        <v>10</v>
      </c>
      <c r="H160" s="0">
        <v>27</v>
      </c>
    </row>
    <row r="161">
      <c r="A161" s="17" t="s">
        <v>8298</v>
      </c>
    </row>
    <row r="162">
      <c r="A162" s="15" t="s">
        <v>8286</v>
      </c>
      <c r="B162" s="15" t="s">
        <v>272</v>
      </c>
      <c r="C162" s="15" t="s">
        <v>378</v>
      </c>
      <c r="D162" s="15" t="s">
        <v>2807</v>
      </c>
      <c r="E162" s="15" t="s">
        <v>802</v>
      </c>
      <c r="F162" s="15" t="s">
        <v>371</v>
      </c>
      <c r="G162" s="15" t="s">
        <v>135</v>
      </c>
      <c r="H162" s="15" t="s">
        <v>8269</v>
      </c>
    </row>
    <row r="163">
      <c r="A163" s="19" t="s">
        <v>743</v>
      </c>
      <c r="B163" s="0">
        <v>1</v>
      </c>
      <c r="C163" s="0">
        <v>1</v>
      </c>
      <c r="D163" s="0">
        <v>1</v>
      </c>
      <c r="E163" s="0">
        <v>2</v>
      </c>
      <c r="F163" s="0">
        <v>0</v>
      </c>
      <c r="G163" s="0">
        <v>4</v>
      </c>
      <c r="H163" s="0">
        <v>9</v>
      </c>
    </row>
    <row r="164">
      <c r="A164" s="19" t="s">
        <v>261</v>
      </c>
      <c r="B164" s="0">
        <v>2</v>
      </c>
      <c r="C164" s="0">
        <v>6</v>
      </c>
      <c r="D164" s="0">
        <v>1</v>
      </c>
      <c r="E164" s="0">
        <v>4</v>
      </c>
      <c r="F164" s="0">
        <v>1</v>
      </c>
      <c r="G164" s="0">
        <v>5</v>
      </c>
      <c r="H164" s="0">
        <v>19</v>
      </c>
    </row>
    <row r="165">
      <c r="A165" s="19" t="s">
        <v>8270</v>
      </c>
      <c r="B165" s="0">
        <v>3</v>
      </c>
      <c r="C165" s="0">
        <v>7</v>
      </c>
      <c r="D165" s="0">
        <v>2</v>
      </c>
      <c r="E165" s="0">
        <v>6</v>
      </c>
      <c r="F165" s="0">
        <v>1</v>
      </c>
      <c r="G165" s="0">
        <v>9</v>
      </c>
      <c r="H165" s="0">
        <v>28</v>
      </c>
    </row>
    <row r="166">
      <c r="A166" s="17" t="s">
        <v>8299</v>
      </c>
    </row>
    <row r="167">
      <c r="A167" s="15" t="s">
        <v>8286</v>
      </c>
      <c r="B167" s="15" t="s">
        <v>272</v>
      </c>
      <c r="C167" s="15" t="s">
        <v>378</v>
      </c>
      <c r="D167" s="15" t="s">
        <v>2807</v>
      </c>
      <c r="E167" s="15" t="s">
        <v>802</v>
      </c>
      <c r="F167" s="15" t="s">
        <v>371</v>
      </c>
      <c r="G167" s="15" t="s">
        <v>135</v>
      </c>
      <c r="H167" s="15" t="s">
        <v>8269</v>
      </c>
    </row>
    <row r="168">
      <c r="A168" s="19" t="s">
        <v>349</v>
      </c>
      <c r="B168" s="0">
        <v>2</v>
      </c>
      <c r="C168" s="0">
        <v>6</v>
      </c>
      <c r="D168" s="0">
        <v>0</v>
      </c>
      <c r="E168" s="0">
        <v>0</v>
      </c>
      <c r="F168" s="0">
        <v>0</v>
      </c>
      <c r="G168" s="0">
        <v>3</v>
      </c>
      <c r="H168" s="0">
        <v>11</v>
      </c>
    </row>
    <row r="169">
      <c r="A169" s="19" t="s">
        <v>650</v>
      </c>
      <c r="B169" s="0">
        <v>0</v>
      </c>
      <c r="C169" s="0">
        <v>4</v>
      </c>
      <c r="D169" s="0">
        <v>0</v>
      </c>
      <c r="E169" s="0">
        <v>2</v>
      </c>
      <c r="F169" s="0">
        <v>0</v>
      </c>
      <c r="G169" s="0">
        <v>2</v>
      </c>
      <c r="H169" s="0">
        <v>8</v>
      </c>
    </row>
    <row r="170">
      <c r="A170" s="19" t="s">
        <v>8270</v>
      </c>
      <c r="B170" s="0">
        <v>2</v>
      </c>
      <c r="C170" s="0">
        <v>10</v>
      </c>
      <c r="D170" s="0">
        <v>0</v>
      </c>
      <c r="E170" s="0">
        <v>2</v>
      </c>
      <c r="F170" s="0">
        <v>0</v>
      </c>
      <c r="G170" s="0">
        <v>5</v>
      </c>
      <c r="H170" s="0">
        <v>19</v>
      </c>
    </row>
    <row r="171">
      <c r="A171" s="17" t="s">
        <v>8300</v>
      </c>
    </row>
    <row r="172">
      <c r="A172" s="15" t="s">
        <v>8286</v>
      </c>
      <c r="B172" s="15" t="s">
        <v>272</v>
      </c>
      <c r="C172" s="15" t="s">
        <v>378</v>
      </c>
      <c r="D172" s="15" t="s">
        <v>2807</v>
      </c>
      <c r="E172" s="15" t="s">
        <v>802</v>
      </c>
      <c r="F172" s="15" t="s">
        <v>371</v>
      </c>
      <c r="G172" s="15" t="s">
        <v>135</v>
      </c>
      <c r="H172" s="15" t="s">
        <v>8269</v>
      </c>
    </row>
    <row r="173">
      <c r="A173" s="19" t="s">
        <v>220</v>
      </c>
      <c r="B173" s="0">
        <v>3</v>
      </c>
      <c r="C173" s="0">
        <v>3</v>
      </c>
      <c r="D173" s="0">
        <v>1</v>
      </c>
      <c r="E173" s="0">
        <v>1</v>
      </c>
      <c r="F173" s="0">
        <v>0</v>
      </c>
      <c r="G173" s="0">
        <v>47</v>
      </c>
      <c r="H173" s="0">
        <v>55</v>
      </c>
    </row>
    <row r="174">
      <c r="A174" s="19" t="s">
        <v>216</v>
      </c>
      <c r="B174" s="0">
        <v>3</v>
      </c>
      <c r="C174" s="0">
        <v>19</v>
      </c>
      <c r="D174" s="0">
        <v>8</v>
      </c>
      <c r="E174" s="0">
        <v>4</v>
      </c>
      <c r="F174" s="0">
        <v>5</v>
      </c>
      <c r="G174" s="0">
        <v>3</v>
      </c>
      <c r="H174" s="0">
        <v>42</v>
      </c>
    </row>
    <row r="175">
      <c r="A175" s="19" t="s">
        <v>199</v>
      </c>
      <c r="B175" s="0">
        <v>2</v>
      </c>
      <c r="C175" s="0">
        <v>21</v>
      </c>
      <c r="D175" s="0">
        <v>6</v>
      </c>
      <c r="E175" s="0">
        <v>8</v>
      </c>
      <c r="F175" s="0">
        <v>4</v>
      </c>
      <c r="G175" s="0">
        <v>14</v>
      </c>
      <c r="H175" s="0">
        <v>55</v>
      </c>
    </row>
    <row r="176">
      <c r="A176" s="19" t="s">
        <v>682</v>
      </c>
      <c r="B176" s="0">
        <v>0</v>
      </c>
      <c r="C176" s="0">
        <v>1</v>
      </c>
      <c r="D176" s="0">
        <v>0</v>
      </c>
      <c r="E176" s="0">
        <v>0</v>
      </c>
      <c r="F176" s="0">
        <v>0</v>
      </c>
      <c r="G176" s="0">
        <v>1</v>
      </c>
      <c r="H176" s="0">
        <v>2</v>
      </c>
    </row>
    <row r="177">
      <c r="A177" s="19" t="s">
        <v>8270</v>
      </c>
      <c r="B177" s="0">
        <v>8</v>
      </c>
      <c r="C177" s="0">
        <v>44</v>
      </c>
      <c r="D177" s="0">
        <v>15</v>
      </c>
      <c r="E177" s="0">
        <v>13</v>
      </c>
      <c r="F177" s="0">
        <v>9</v>
      </c>
      <c r="G177" s="0">
        <v>65</v>
      </c>
      <c r="H177" s="0">
        <v>154</v>
      </c>
    </row>
    <row r="178">
      <c r="A178" s="17" t="s">
        <v>8301</v>
      </c>
    </row>
    <row r="179">
      <c r="A179" s="15" t="s">
        <v>8286</v>
      </c>
      <c r="B179" s="15" t="s">
        <v>272</v>
      </c>
      <c r="C179" s="15" t="s">
        <v>378</v>
      </c>
      <c r="D179" s="15" t="s">
        <v>2807</v>
      </c>
      <c r="E179" s="15" t="s">
        <v>802</v>
      </c>
      <c r="F179" s="15" t="s">
        <v>371</v>
      </c>
      <c r="G179" s="15" t="s">
        <v>135</v>
      </c>
      <c r="H179" s="15" t="s">
        <v>8269</v>
      </c>
    </row>
    <row r="180">
      <c r="A180" s="19" t="s">
        <v>1222</v>
      </c>
      <c r="B180" s="0">
        <v>0</v>
      </c>
      <c r="C180" s="0">
        <v>0</v>
      </c>
      <c r="D180" s="0">
        <v>0</v>
      </c>
      <c r="E180" s="0">
        <v>0</v>
      </c>
      <c r="F180" s="0">
        <v>0</v>
      </c>
      <c r="G180" s="0">
        <v>1</v>
      </c>
      <c r="H180" s="0">
        <v>1</v>
      </c>
    </row>
    <row r="181">
      <c r="A181" s="19" t="s">
        <v>576</v>
      </c>
      <c r="B181" s="0">
        <v>2</v>
      </c>
      <c r="C181" s="0">
        <v>16</v>
      </c>
      <c r="D181" s="0">
        <v>1</v>
      </c>
      <c r="E181" s="0">
        <v>3</v>
      </c>
      <c r="F181" s="0">
        <v>4</v>
      </c>
      <c r="G181" s="0">
        <v>9</v>
      </c>
      <c r="H181" s="0">
        <v>35</v>
      </c>
    </row>
    <row r="182">
      <c r="A182" s="19" t="s">
        <v>338</v>
      </c>
      <c r="B182" s="0">
        <v>0</v>
      </c>
      <c r="C182" s="0">
        <v>1</v>
      </c>
      <c r="D182" s="0">
        <v>0</v>
      </c>
      <c r="E182" s="0">
        <v>0</v>
      </c>
      <c r="F182" s="0">
        <v>0</v>
      </c>
      <c r="G182" s="0">
        <v>1</v>
      </c>
      <c r="H182" s="0">
        <v>2</v>
      </c>
    </row>
    <row r="183">
      <c r="A183" s="19" t="s">
        <v>8270</v>
      </c>
      <c r="B183" s="0">
        <v>2</v>
      </c>
      <c r="C183" s="0">
        <v>17</v>
      </c>
      <c r="D183" s="0">
        <v>1</v>
      </c>
      <c r="E183" s="0">
        <v>3</v>
      </c>
      <c r="F183" s="0">
        <v>4</v>
      </c>
      <c r="G183" s="0">
        <v>11</v>
      </c>
      <c r="H183" s="0">
        <v>38</v>
      </c>
    </row>
    <row r="184">
      <c r="A184" s="17" t="s">
        <v>8302</v>
      </c>
    </row>
    <row r="185">
      <c r="A185" s="15" t="s">
        <v>8286</v>
      </c>
      <c r="B185" s="15" t="s">
        <v>272</v>
      </c>
      <c r="C185" s="15" t="s">
        <v>378</v>
      </c>
      <c r="D185" s="15" t="s">
        <v>2807</v>
      </c>
      <c r="E185" s="15" t="s">
        <v>802</v>
      </c>
      <c r="F185" s="15" t="s">
        <v>371</v>
      </c>
      <c r="G185" s="15" t="s">
        <v>135</v>
      </c>
      <c r="H185" s="15" t="s">
        <v>8269</v>
      </c>
    </row>
    <row r="186">
      <c r="A186" s="19" t="s">
        <v>292</v>
      </c>
      <c r="B186" s="0">
        <v>0</v>
      </c>
      <c r="C186" s="0">
        <v>0</v>
      </c>
      <c r="D186" s="0">
        <v>1</v>
      </c>
      <c r="E186" s="0">
        <v>0</v>
      </c>
      <c r="F186" s="0">
        <v>0</v>
      </c>
      <c r="G186" s="0">
        <v>3</v>
      </c>
      <c r="H186" s="0">
        <v>4</v>
      </c>
    </row>
    <row r="187">
      <c r="A187" s="19" t="s">
        <v>537</v>
      </c>
      <c r="B187" s="0">
        <v>3</v>
      </c>
      <c r="C187" s="0">
        <v>0</v>
      </c>
      <c r="D187" s="0">
        <v>3</v>
      </c>
      <c r="E187" s="0">
        <v>1</v>
      </c>
      <c r="F187" s="0">
        <v>1</v>
      </c>
      <c r="G187" s="0">
        <v>13</v>
      </c>
      <c r="H187" s="0">
        <v>21</v>
      </c>
    </row>
    <row r="188">
      <c r="A188" s="19" t="s">
        <v>456</v>
      </c>
      <c r="B188" s="0">
        <v>0</v>
      </c>
      <c r="C188" s="0">
        <v>2</v>
      </c>
      <c r="D188" s="0">
        <v>0</v>
      </c>
      <c r="E188" s="0">
        <v>0</v>
      </c>
      <c r="F188" s="0">
        <v>0</v>
      </c>
      <c r="G188" s="0">
        <v>1</v>
      </c>
      <c r="H188" s="0">
        <v>3</v>
      </c>
    </row>
    <row r="189">
      <c r="A189" s="19" t="s">
        <v>571</v>
      </c>
      <c r="B189" s="0">
        <v>1</v>
      </c>
      <c r="C189" s="0">
        <v>1</v>
      </c>
      <c r="D189" s="0">
        <v>0</v>
      </c>
      <c r="E189" s="0">
        <v>2</v>
      </c>
      <c r="F189" s="0">
        <v>1</v>
      </c>
      <c r="G189" s="0">
        <v>8</v>
      </c>
      <c r="H189" s="0">
        <v>13</v>
      </c>
    </row>
    <row r="190">
      <c r="A190" s="19" t="s">
        <v>244</v>
      </c>
      <c r="B190" s="0">
        <v>2</v>
      </c>
      <c r="C190" s="0">
        <v>3</v>
      </c>
      <c r="D190" s="0">
        <v>2</v>
      </c>
      <c r="E190" s="0">
        <v>3</v>
      </c>
      <c r="F190" s="0">
        <v>0</v>
      </c>
      <c r="G190" s="0">
        <v>13</v>
      </c>
      <c r="H190" s="0">
        <v>23</v>
      </c>
    </row>
    <row r="191">
      <c r="A191" s="19" t="s">
        <v>8270</v>
      </c>
      <c r="B191" s="0">
        <v>6</v>
      </c>
      <c r="C191" s="0">
        <v>6</v>
      </c>
      <c r="D191" s="0">
        <v>6</v>
      </c>
      <c r="E191" s="0">
        <v>6</v>
      </c>
      <c r="F191" s="0">
        <v>2</v>
      </c>
      <c r="G191" s="0">
        <v>38</v>
      </c>
      <c r="H191" s="0">
        <v>64</v>
      </c>
    </row>
    <row r="192">
      <c r="A192" s="17" t="s">
        <v>8303</v>
      </c>
    </row>
    <row r="193">
      <c r="A193" s="15" t="s">
        <v>8286</v>
      </c>
      <c r="B193" s="15" t="s">
        <v>272</v>
      </c>
      <c r="C193" s="15" t="s">
        <v>378</v>
      </c>
      <c r="D193" s="15" t="s">
        <v>2807</v>
      </c>
      <c r="E193" s="15" t="s">
        <v>802</v>
      </c>
      <c r="F193" s="15" t="s">
        <v>371</v>
      </c>
      <c r="G193" s="15" t="s">
        <v>135</v>
      </c>
      <c r="H193" s="15" t="s">
        <v>8269</v>
      </c>
    </row>
    <row r="194">
      <c r="A194" s="19" t="s">
        <v>268</v>
      </c>
      <c r="B194" s="0">
        <v>1</v>
      </c>
      <c r="C194" s="0">
        <v>4</v>
      </c>
      <c r="D194" s="0">
        <v>0</v>
      </c>
      <c r="E194" s="0">
        <v>2</v>
      </c>
      <c r="F194" s="0">
        <v>0</v>
      </c>
      <c r="G194" s="0">
        <v>18</v>
      </c>
      <c r="H194" s="0">
        <v>25</v>
      </c>
    </row>
    <row r="195">
      <c r="A195" s="19" t="s">
        <v>306</v>
      </c>
      <c r="B195" s="0">
        <v>0</v>
      </c>
      <c r="C195" s="0">
        <v>1</v>
      </c>
      <c r="D195" s="0">
        <v>0</v>
      </c>
      <c r="E195" s="0">
        <v>0</v>
      </c>
      <c r="F195" s="0">
        <v>0</v>
      </c>
      <c r="G195" s="0">
        <v>7</v>
      </c>
      <c r="H195" s="0">
        <v>8</v>
      </c>
    </row>
    <row r="196">
      <c r="A196" s="19" t="s">
        <v>155</v>
      </c>
      <c r="B196" s="0">
        <v>0</v>
      </c>
      <c r="C196" s="0">
        <v>0</v>
      </c>
      <c r="D196" s="0">
        <v>1</v>
      </c>
      <c r="E196" s="0">
        <v>0</v>
      </c>
      <c r="F196" s="0">
        <v>0</v>
      </c>
      <c r="G196" s="0">
        <v>8</v>
      </c>
      <c r="H196" s="0">
        <v>9</v>
      </c>
    </row>
    <row r="197">
      <c r="A197" s="19" t="s">
        <v>8270</v>
      </c>
      <c r="B197" s="0">
        <v>1</v>
      </c>
      <c r="C197" s="0">
        <v>5</v>
      </c>
      <c r="D197" s="0">
        <v>1</v>
      </c>
      <c r="E197" s="0">
        <v>2</v>
      </c>
      <c r="F197" s="0">
        <v>0</v>
      </c>
      <c r="G197" s="0">
        <v>33</v>
      </c>
      <c r="H197" s="0">
        <v>42</v>
      </c>
    </row>
    <row r="198">
      <c r="A198" s="17" t="s">
        <v>8304</v>
      </c>
    </row>
    <row r="199">
      <c r="A199" s="15" t="s">
        <v>8286</v>
      </c>
      <c r="B199" s="15" t="s">
        <v>272</v>
      </c>
      <c r="C199" s="15" t="s">
        <v>378</v>
      </c>
      <c r="D199" s="15" t="s">
        <v>2807</v>
      </c>
      <c r="E199" s="15" t="s">
        <v>802</v>
      </c>
      <c r="F199" s="15" t="s">
        <v>371</v>
      </c>
      <c r="G199" s="15" t="s">
        <v>135</v>
      </c>
      <c r="H199" s="15" t="s">
        <v>8269</v>
      </c>
    </row>
    <row r="200">
      <c r="A200" s="19" t="s">
        <v>871</v>
      </c>
      <c r="B200" s="0">
        <v>0</v>
      </c>
      <c r="C200" s="0">
        <v>1</v>
      </c>
      <c r="D200" s="0">
        <v>0</v>
      </c>
      <c r="E200" s="0">
        <v>0</v>
      </c>
      <c r="F200" s="0">
        <v>0</v>
      </c>
      <c r="G200" s="0">
        <v>0</v>
      </c>
      <c r="H200" s="0">
        <v>1</v>
      </c>
    </row>
    <row r="201">
      <c r="A201" s="19" t="s">
        <v>186</v>
      </c>
      <c r="B201" s="0">
        <v>1</v>
      </c>
      <c r="C201" s="0">
        <v>0</v>
      </c>
      <c r="D201" s="0">
        <v>0</v>
      </c>
      <c r="E201" s="0">
        <v>0</v>
      </c>
      <c r="F201" s="0">
        <v>0</v>
      </c>
      <c r="G201" s="0">
        <v>0</v>
      </c>
      <c r="H201" s="0">
        <v>1</v>
      </c>
    </row>
    <row r="202">
      <c r="A202" s="19" t="s">
        <v>548</v>
      </c>
      <c r="B202" s="0">
        <v>1</v>
      </c>
      <c r="C202" s="0">
        <v>0</v>
      </c>
      <c r="D202" s="0">
        <v>0</v>
      </c>
      <c r="E202" s="0">
        <v>0</v>
      </c>
      <c r="F202" s="0">
        <v>0</v>
      </c>
      <c r="G202" s="0">
        <v>1</v>
      </c>
      <c r="H202" s="0">
        <v>2</v>
      </c>
    </row>
    <row r="203">
      <c r="A203" s="19" t="s">
        <v>626</v>
      </c>
      <c r="B203" s="0">
        <v>0</v>
      </c>
      <c r="C203" s="0">
        <v>1</v>
      </c>
      <c r="D203" s="0">
        <v>0</v>
      </c>
      <c r="E203" s="0">
        <v>0</v>
      </c>
      <c r="F203" s="0">
        <v>0</v>
      </c>
      <c r="G203" s="0">
        <v>0</v>
      </c>
      <c r="H203" s="0">
        <v>1</v>
      </c>
    </row>
    <row r="204">
      <c r="A204" s="19" t="s">
        <v>8270</v>
      </c>
      <c r="B204" s="0">
        <v>2</v>
      </c>
      <c r="C204" s="0">
        <v>2</v>
      </c>
      <c r="D204" s="0">
        <v>0</v>
      </c>
      <c r="E204" s="0">
        <v>0</v>
      </c>
      <c r="F204" s="0">
        <v>0</v>
      </c>
      <c r="G204" s="0">
        <v>1</v>
      </c>
      <c r="H204" s="0">
        <v>5</v>
      </c>
    </row>
    <row r="205">
      <c r="A205" s="17" t="s">
        <v>8305</v>
      </c>
    </row>
    <row r="206">
      <c r="A206" s="15" t="s">
        <v>8286</v>
      </c>
      <c r="B206" s="15" t="s">
        <v>272</v>
      </c>
      <c r="C206" s="15" t="s">
        <v>378</v>
      </c>
      <c r="D206" s="15" t="s">
        <v>2807</v>
      </c>
      <c r="E206" s="15" t="s">
        <v>802</v>
      </c>
      <c r="F206" s="15" t="s">
        <v>371</v>
      </c>
      <c r="G206" s="15" t="s">
        <v>135</v>
      </c>
      <c r="H206" s="15" t="s">
        <v>8269</v>
      </c>
    </row>
    <row r="207">
      <c r="A207" s="19" t="s">
        <v>970</v>
      </c>
      <c r="B207" s="0">
        <v>0</v>
      </c>
      <c r="C207" s="0">
        <v>1</v>
      </c>
      <c r="D207" s="0">
        <v>1</v>
      </c>
      <c r="E207" s="0">
        <v>1</v>
      </c>
      <c r="F207" s="0">
        <v>1</v>
      </c>
      <c r="G207" s="0">
        <v>1</v>
      </c>
      <c r="H207" s="0">
        <v>5</v>
      </c>
    </row>
    <row r="208">
      <c r="A208" s="19" t="s">
        <v>165</v>
      </c>
      <c r="B208" s="0">
        <v>0</v>
      </c>
      <c r="C208" s="0">
        <v>3</v>
      </c>
      <c r="D208" s="0">
        <v>1</v>
      </c>
      <c r="E208" s="0">
        <v>4</v>
      </c>
      <c r="F208" s="0">
        <v>0</v>
      </c>
      <c r="G208" s="0">
        <v>1</v>
      </c>
      <c r="H208" s="0">
        <v>9</v>
      </c>
    </row>
    <row r="209">
      <c r="A209" s="19" t="s">
        <v>277</v>
      </c>
      <c r="B209" s="0">
        <v>0</v>
      </c>
      <c r="C209" s="0">
        <v>2</v>
      </c>
      <c r="D209" s="0">
        <v>0</v>
      </c>
      <c r="E209" s="0">
        <v>1</v>
      </c>
      <c r="F209" s="0">
        <v>0</v>
      </c>
      <c r="G209" s="0">
        <v>0</v>
      </c>
      <c r="H209" s="0">
        <v>3</v>
      </c>
    </row>
    <row r="210">
      <c r="A210" s="19" t="s">
        <v>8270</v>
      </c>
      <c r="B210" s="0">
        <v>0</v>
      </c>
      <c r="C210" s="0">
        <v>6</v>
      </c>
      <c r="D210" s="0">
        <v>2</v>
      </c>
      <c r="E210" s="0">
        <v>6</v>
      </c>
      <c r="F210" s="0">
        <v>1</v>
      </c>
      <c r="G210" s="0">
        <v>2</v>
      </c>
      <c r="H210" s="0">
        <v>17</v>
      </c>
    </row>
    <row r="211">
      <c r="A211" s="17" t="s">
        <v>8306</v>
      </c>
    </row>
    <row r="212">
      <c r="A212" s="15" t="s">
        <v>8286</v>
      </c>
      <c r="B212" s="15" t="s">
        <v>272</v>
      </c>
      <c r="C212" s="15" t="s">
        <v>378</v>
      </c>
      <c r="D212" s="15" t="s">
        <v>2807</v>
      </c>
      <c r="E212" s="15" t="s">
        <v>802</v>
      </c>
      <c r="F212" s="15" t="s">
        <v>371</v>
      </c>
      <c r="G212" s="15" t="s">
        <v>135</v>
      </c>
      <c r="H212" s="15" t="s">
        <v>8269</v>
      </c>
    </row>
    <row r="213">
      <c r="A213" s="19" t="s">
        <v>147</v>
      </c>
      <c r="B213" s="0">
        <v>1</v>
      </c>
      <c r="C213" s="0">
        <v>5</v>
      </c>
      <c r="D213" s="0">
        <v>0</v>
      </c>
      <c r="E213" s="0">
        <v>2</v>
      </c>
      <c r="F213" s="0">
        <v>1</v>
      </c>
      <c r="G213" s="0">
        <v>3</v>
      </c>
      <c r="H213" s="0">
        <v>12</v>
      </c>
    </row>
    <row r="214">
      <c r="A214" s="19" t="s">
        <v>500</v>
      </c>
      <c r="B214" s="0">
        <v>0</v>
      </c>
      <c r="C214" s="0">
        <v>0</v>
      </c>
      <c r="D214" s="0">
        <v>0</v>
      </c>
      <c r="E214" s="0">
        <v>0</v>
      </c>
      <c r="F214" s="0">
        <v>0</v>
      </c>
      <c r="G214" s="0">
        <v>0</v>
      </c>
      <c r="H214" s="0">
        <v>0</v>
      </c>
    </row>
    <row r="215">
      <c r="A215" s="19" t="s">
        <v>8270</v>
      </c>
      <c r="B215" s="0">
        <v>1</v>
      </c>
      <c r="C215" s="0">
        <v>5</v>
      </c>
      <c r="D215" s="0">
        <v>0</v>
      </c>
      <c r="E215" s="0">
        <v>2</v>
      </c>
      <c r="F215" s="0">
        <v>1</v>
      </c>
      <c r="G215" s="0">
        <v>3</v>
      </c>
      <c r="H215" s="0">
        <v>12</v>
      </c>
    </row>
    <row r="216">
      <c r="A216" s="17" t="s">
        <v>8307</v>
      </c>
    </row>
    <row r="217">
      <c r="A217" s="15" t="s">
        <v>8286</v>
      </c>
      <c r="B217" s="15" t="s">
        <v>272</v>
      </c>
      <c r="C217" s="15" t="s">
        <v>378</v>
      </c>
      <c r="D217" s="15" t="s">
        <v>2807</v>
      </c>
      <c r="E217" s="15" t="s">
        <v>802</v>
      </c>
      <c r="F217" s="15" t="s">
        <v>371</v>
      </c>
      <c r="G217" s="15" t="s">
        <v>135</v>
      </c>
      <c r="H217" s="15" t="s">
        <v>8269</v>
      </c>
    </row>
    <row r="218">
      <c r="A218" s="19" t="s">
        <v>401</v>
      </c>
      <c r="B218" s="0">
        <v>0</v>
      </c>
      <c r="C218" s="0">
        <v>0</v>
      </c>
      <c r="D218" s="0">
        <v>3</v>
      </c>
      <c r="E218" s="0">
        <v>2</v>
      </c>
      <c r="F218" s="0">
        <v>0</v>
      </c>
      <c r="G218" s="0">
        <v>0</v>
      </c>
      <c r="H218" s="0">
        <v>5</v>
      </c>
    </row>
    <row r="219">
      <c r="A219" s="19" t="s">
        <v>8295</v>
      </c>
      <c r="B219" s="0">
        <v>0</v>
      </c>
      <c r="C219" s="0">
        <v>0</v>
      </c>
      <c r="D219" s="0">
        <v>0</v>
      </c>
      <c r="E219" s="0">
        <v>0</v>
      </c>
      <c r="F219" s="0">
        <v>0</v>
      </c>
      <c r="G219" s="0">
        <v>0</v>
      </c>
      <c r="H219" s="0">
        <v>0</v>
      </c>
    </row>
    <row r="220">
      <c r="A220" s="19" t="s">
        <v>507</v>
      </c>
      <c r="B220" s="0">
        <v>0</v>
      </c>
      <c r="C220" s="0">
        <v>0</v>
      </c>
      <c r="D220" s="0">
        <v>1</v>
      </c>
      <c r="E220" s="0">
        <v>1</v>
      </c>
      <c r="F220" s="0">
        <v>0</v>
      </c>
      <c r="G220" s="0">
        <v>0</v>
      </c>
      <c r="H220" s="0">
        <v>2</v>
      </c>
    </row>
    <row r="221">
      <c r="A221" s="19" t="s">
        <v>8270</v>
      </c>
      <c r="B221" s="0">
        <v>0</v>
      </c>
      <c r="C221" s="0">
        <v>0</v>
      </c>
      <c r="D221" s="0">
        <v>4</v>
      </c>
      <c r="E221" s="0">
        <v>3</v>
      </c>
      <c r="F221" s="0">
        <v>0</v>
      </c>
      <c r="G221" s="0">
        <v>0</v>
      </c>
      <c r="H221" s="0">
        <v>7</v>
      </c>
    </row>
    <row r="222">
      <c r="A222" s="17" t="s">
        <v>8308</v>
      </c>
    </row>
    <row r="223">
      <c r="A223" s="15" t="s">
        <v>8286</v>
      </c>
      <c r="B223" s="15" t="s">
        <v>272</v>
      </c>
      <c r="C223" s="15" t="s">
        <v>378</v>
      </c>
      <c r="D223" s="15" t="s">
        <v>2807</v>
      </c>
      <c r="E223" s="15" t="s">
        <v>802</v>
      </c>
      <c r="F223" s="15" t="s">
        <v>371</v>
      </c>
      <c r="G223" s="15" t="s">
        <v>135</v>
      </c>
      <c r="H223" s="15" t="s">
        <v>8269</v>
      </c>
    </row>
    <row r="224">
      <c r="A224" s="19" t="s">
        <v>310</v>
      </c>
      <c r="B224" s="0">
        <v>0</v>
      </c>
      <c r="C224" s="0">
        <v>0</v>
      </c>
      <c r="D224" s="0">
        <v>0</v>
      </c>
      <c r="E224" s="0">
        <v>0</v>
      </c>
      <c r="F224" s="0">
        <v>0</v>
      </c>
      <c r="G224" s="0">
        <v>1</v>
      </c>
      <c r="H224" s="0">
        <v>1</v>
      </c>
    </row>
    <row r="225">
      <c r="A225" s="19" t="s">
        <v>171</v>
      </c>
      <c r="B225" s="0">
        <v>0</v>
      </c>
      <c r="C225" s="0">
        <v>1</v>
      </c>
      <c r="D225" s="0">
        <v>2</v>
      </c>
      <c r="E225" s="0">
        <v>0</v>
      </c>
      <c r="F225" s="0">
        <v>0</v>
      </c>
      <c r="G225" s="0">
        <v>1</v>
      </c>
      <c r="H225" s="0">
        <v>4</v>
      </c>
    </row>
    <row r="226">
      <c r="A226" s="19" t="s">
        <v>8270</v>
      </c>
      <c r="B226" s="0">
        <v>0</v>
      </c>
      <c r="C226" s="0">
        <v>1</v>
      </c>
      <c r="D226" s="0">
        <v>2</v>
      </c>
      <c r="E226" s="0">
        <v>0</v>
      </c>
      <c r="F226" s="0">
        <v>0</v>
      </c>
      <c r="G226" s="0">
        <v>2</v>
      </c>
      <c r="H226" s="0">
        <v>5</v>
      </c>
    </row>
    <row r="227">
      <c r="A227" s="17" t="s">
        <v>8309</v>
      </c>
    </row>
    <row r="228">
      <c r="A228" s="15" t="s">
        <v>8286</v>
      </c>
      <c r="B228" s="15" t="s">
        <v>272</v>
      </c>
      <c r="C228" s="15" t="s">
        <v>378</v>
      </c>
      <c r="D228" s="15" t="s">
        <v>2807</v>
      </c>
      <c r="E228" s="15" t="s">
        <v>802</v>
      </c>
      <c r="F228" s="15" t="s">
        <v>371</v>
      </c>
      <c r="G228" s="15" t="s">
        <v>135</v>
      </c>
      <c r="H228" s="15" t="s">
        <v>8269</v>
      </c>
    </row>
    <row r="229">
      <c r="A229" s="19" t="s">
        <v>134</v>
      </c>
      <c r="B229" s="0">
        <v>0</v>
      </c>
      <c r="C229" s="0">
        <v>0</v>
      </c>
      <c r="D229" s="0">
        <v>0</v>
      </c>
      <c r="E229" s="0">
        <v>0</v>
      </c>
      <c r="F229" s="0">
        <v>0</v>
      </c>
      <c r="G229" s="0">
        <v>0</v>
      </c>
      <c r="H229" s="0">
        <v>0</v>
      </c>
    </row>
    <row r="230">
      <c r="A230" s="19" t="s">
        <v>753</v>
      </c>
      <c r="B230" s="0">
        <v>0</v>
      </c>
      <c r="C230" s="0">
        <v>0</v>
      </c>
      <c r="D230" s="0">
        <v>0</v>
      </c>
      <c r="E230" s="0">
        <v>2</v>
      </c>
      <c r="F230" s="0">
        <v>0</v>
      </c>
      <c r="G230" s="0">
        <v>0</v>
      </c>
      <c r="H230" s="0">
        <v>2</v>
      </c>
    </row>
    <row r="231">
      <c r="A231" s="19" t="s">
        <v>160</v>
      </c>
      <c r="B231" s="0">
        <v>1</v>
      </c>
      <c r="C231" s="0">
        <v>1</v>
      </c>
      <c r="D231" s="0">
        <v>0</v>
      </c>
      <c r="E231" s="0">
        <v>0</v>
      </c>
      <c r="F231" s="0">
        <v>0</v>
      </c>
      <c r="G231" s="0">
        <v>1</v>
      </c>
      <c r="H231" s="0">
        <v>3</v>
      </c>
    </row>
    <row r="232">
      <c r="A232" s="19" t="s">
        <v>8270</v>
      </c>
      <c r="B232" s="0">
        <v>1</v>
      </c>
      <c r="C232" s="0">
        <v>1</v>
      </c>
      <c r="D232" s="0">
        <v>0</v>
      </c>
      <c r="E232" s="0">
        <v>2</v>
      </c>
      <c r="F232" s="0">
        <v>0</v>
      </c>
      <c r="G232" s="0">
        <v>1</v>
      </c>
      <c r="H232" s="0">
        <v>5</v>
      </c>
    </row>
    <row r="233">
      <c r="A233" s="17" t="s">
        <v>8310</v>
      </c>
    </row>
    <row r="234">
      <c r="A234" s="15" t="s">
        <v>8286</v>
      </c>
      <c r="B234" s="15" t="s">
        <v>272</v>
      </c>
      <c r="C234" s="15" t="s">
        <v>378</v>
      </c>
      <c r="D234" s="15" t="s">
        <v>2807</v>
      </c>
      <c r="E234" s="15" t="s">
        <v>802</v>
      </c>
      <c r="F234" s="15" t="s">
        <v>371</v>
      </c>
      <c r="G234" s="15" t="s">
        <v>135</v>
      </c>
      <c r="H234" s="15" t="s">
        <v>8269</v>
      </c>
    </row>
    <row r="235">
      <c r="A235" s="19" t="s">
        <v>743</v>
      </c>
      <c r="B235" s="0">
        <v>0</v>
      </c>
      <c r="C235" s="0">
        <v>0</v>
      </c>
      <c r="D235" s="0">
        <v>0</v>
      </c>
      <c r="E235" s="0">
        <v>0</v>
      </c>
      <c r="F235" s="0">
        <v>0</v>
      </c>
      <c r="G235" s="0">
        <v>1</v>
      </c>
      <c r="H235" s="0">
        <v>1</v>
      </c>
    </row>
    <row r="236">
      <c r="A236" s="19" t="s">
        <v>261</v>
      </c>
      <c r="B236" s="0">
        <v>0</v>
      </c>
      <c r="C236" s="0">
        <v>1</v>
      </c>
      <c r="D236" s="0">
        <v>1</v>
      </c>
      <c r="E236" s="0">
        <v>1</v>
      </c>
      <c r="F236" s="0">
        <v>0</v>
      </c>
      <c r="G236" s="0">
        <v>2</v>
      </c>
      <c r="H236" s="0">
        <v>5</v>
      </c>
    </row>
    <row r="237">
      <c r="A237" s="19" t="s">
        <v>8270</v>
      </c>
      <c r="B237" s="0">
        <v>0</v>
      </c>
      <c r="C237" s="0">
        <v>1</v>
      </c>
      <c r="D237" s="0">
        <v>1</v>
      </c>
      <c r="E237" s="0">
        <v>1</v>
      </c>
      <c r="F237" s="0">
        <v>0</v>
      </c>
      <c r="G237" s="0">
        <v>3</v>
      </c>
      <c r="H237" s="0">
        <v>6</v>
      </c>
    </row>
    <row r="238">
      <c r="A238" s="17" t="s">
        <v>8311</v>
      </c>
    </row>
    <row r="239">
      <c r="A239" s="15" t="s">
        <v>8286</v>
      </c>
      <c r="B239" s="15" t="s">
        <v>272</v>
      </c>
      <c r="C239" s="15" t="s">
        <v>378</v>
      </c>
      <c r="D239" s="15" t="s">
        <v>2807</v>
      </c>
      <c r="E239" s="15" t="s">
        <v>802</v>
      </c>
      <c r="F239" s="15" t="s">
        <v>371</v>
      </c>
      <c r="G239" s="15" t="s">
        <v>135</v>
      </c>
      <c r="H239" s="15" t="s">
        <v>8269</v>
      </c>
    </row>
    <row r="240">
      <c r="A240" s="19" t="s">
        <v>349</v>
      </c>
      <c r="B240" s="0">
        <v>2</v>
      </c>
      <c r="C240" s="0">
        <v>3</v>
      </c>
      <c r="D240" s="0">
        <v>0</v>
      </c>
      <c r="E240" s="0">
        <v>0</v>
      </c>
      <c r="F240" s="0">
        <v>0</v>
      </c>
      <c r="G240" s="0">
        <v>1</v>
      </c>
      <c r="H240" s="0">
        <v>6</v>
      </c>
    </row>
    <row r="241">
      <c r="A241" s="19" t="s">
        <v>650</v>
      </c>
      <c r="B241" s="0">
        <v>0</v>
      </c>
      <c r="C241" s="0">
        <v>0</v>
      </c>
      <c r="D241" s="0">
        <v>0</v>
      </c>
      <c r="E241" s="0">
        <v>0</v>
      </c>
      <c r="F241" s="0">
        <v>0</v>
      </c>
      <c r="G241" s="0">
        <v>0</v>
      </c>
      <c r="H241" s="0">
        <v>0</v>
      </c>
    </row>
    <row r="242">
      <c r="A242" s="19" t="s">
        <v>8270</v>
      </c>
      <c r="B242" s="0">
        <v>2</v>
      </c>
      <c r="C242" s="0">
        <v>3</v>
      </c>
      <c r="D242" s="0">
        <v>0</v>
      </c>
      <c r="E242" s="0">
        <v>0</v>
      </c>
      <c r="F242" s="0">
        <v>0</v>
      </c>
      <c r="G242" s="0">
        <v>1</v>
      </c>
      <c r="H242" s="0">
        <v>6</v>
      </c>
    </row>
    <row r="243">
      <c r="A243" s="17" t="s">
        <v>8312</v>
      </c>
    </row>
    <row r="244">
      <c r="A244" s="15" t="s">
        <v>8286</v>
      </c>
      <c r="B244" s="15" t="s">
        <v>272</v>
      </c>
      <c r="C244" s="15" t="s">
        <v>378</v>
      </c>
      <c r="D244" s="15" t="s">
        <v>2807</v>
      </c>
      <c r="E244" s="15" t="s">
        <v>802</v>
      </c>
      <c r="F244" s="15" t="s">
        <v>371</v>
      </c>
      <c r="G244" s="15" t="s">
        <v>135</v>
      </c>
      <c r="H244" s="15" t="s">
        <v>8269</v>
      </c>
    </row>
    <row r="245">
      <c r="A245" s="19" t="s">
        <v>220</v>
      </c>
      <c r="B245" s="0">
        <v>1</v>
      </c>
      <c r="C245" s="0">
        <v>1</v>
      </c>
      <c r="D245" s="0">
        <v>0</v>
      </c>
      <c r="E245" s="0">
        <v>0</v>
      </c>
      <c r="F245" s="0">
        <v>0</v>
      </c>
      <c r="G245" s="0">
        <v>14</v>
      </c>
      <c r="H245" s="0">
        <v>16</v>
      </c>
    </row>
    <row r="246">
      <c r="A246" s="19" t="s">
        <v>216</v>
      </c>
      <c r="B246" s="0">
        <v>0</v>
      </c>
      <c r="C246" s="0">
        <v>5</v>
      </c>
      <c r="D246" s="0">
        <v>1</v>
      </c>
      <c r="E246" s="0">
        <v>2</v>
      </c>
      <c r="F246" s="0">
        <v>2</v>
      </c>
      <c r="G246" s="0">
        <v>1</v>
      </c>
      <c r="H246" s="0">
        <v>11</v>
      </c>
    </row>
    <row r="247">
      <c r="A247" s="19" t="s">
        <v>199</v>
      </c>
      <c r="B247" s="0">
        <v>1</v>
      </c>
      <c r="C247" s="0">
        <v>6</v>
      </c>
      <c r="D247" s="0">
        <v>3</v>
      </c>
      <c r="E247" s="0">
        <v>2</v>
      </c>
      <c r="F247" s="0">
        <v>0</v>
      </c>
      <c r="G247" s="0">
        <v>4</v>
      </c>
      <c r="H247" s="0">
        <v>16</v>
      </c>
    </row>
    <row r="248">
      <c r="A248" s="19" t="s">
        <v>682</v>
      </c>
      <c r="B248" s="0">
        <v>0</v>
      </c>
      <c r="C248" s="0">
        <v>1</v>
      </c>
      <c r="D248" s="0">
        <v>0</v>
      </c>
      <c r="E248" s="0">
        <v>1</v>
      </c>
      <c r="F248" s="0">
        <v>0</v>
      </c>
      <c r="G248" s="0">
        <v>0</v>
      </c>
      <c r="H248" s="0">
        <v>2</v>
      </c>
    </row>
    <row r="249">
      <c r="A249" s="19" t="s">
        <v>8270</v>
      </c>
      <c r="B249" s="0">
        <v>2</v>
      </c>
      <c r="C249" s="0">
        <v>13</v>
      </c>
      <c r="D249" s="0">
        <v>4</v>
      </c>
      <c r="E249" s="0">
        <v>5</v>
      </c>
      <c r="F249" s="0">
        <v>2</v>
      </c>
      <c r="G249" s="0">
        <v>19</v>
      </c>
      <c r="H249" s="0">
        <v>45</v>
      </c>
    </row>
    <row r="250">
      <c r="A250" s="17" t="s">
        <v>8313</v>
      </c>
    </row>
    <row r="251">
      <c r="A251" s="15" t="s">
        <v>8286</v>
      </c>
      <c r="B251" s="15" t="s">
        <v>272</v>
      </c>
      <c r="C251" s="15" t="s">
        <v>378</v>
      </c>
      <c r="D251" s="15" t="s">
        <v>2807</v>
      </c>
      <c r="E251" s="15" t="s">
        <v>802</v>
      </c>
      <c r="F251" s="15" t="s">
        <v>371</v>
      </c>
      <c r="G251" s="15" t="s">
        <v>135</v>
      </c>
      <c r="H251" s="15" t="s">
        <v>8269</v>
      </c>
    </row>
    <row r="252">
      <c r="A252" s="19" t="s">
        <v>1222</v>
      </c>
      <c r="B252" s="0">
        <v>0</v>
      </c>
      <c r="C252" s="0">
        <v>0</v>
      </c>
      <c r="D252" s="0">
        <v>0</v>
      </c>
      <c r="E252" s="0">
        <v>0</v>
      </c>
      <c r="F252" s="0">
        <v>0</v>
      </c>
      <c r="G252" s="0">
        <v>0</v>
      </c>
      <c r="H252" s="0">
        <v>0</v>
      </c>
    </row>
    <row r="253">
      <c r="A253" s="19" t="s">
        <v>576</v>
      </c>
      <c r="B253" s="0">
        <v>1</v>
      </c>
      <c r="C253" s="0">
        <v>6</v>
      </c>
      <c r="D253" s="0">
        <v>2</v>
      </c>
      <c r="E253" s="0">
        <v>0</v>
      </c>
      <c r="F253" s="0">
        <v>0</v>
      </c>
      <c r="G253" s="0">
        <v>3</v>
      </c>
      <c r="H253" s="0">
        <v>12</v>
      </c>
    </row>
    <row r="254">
      <c r="A254" s="19" t="s">
        <v>338</v>
      </c>
      <c r="B254" s="0">
        <v>0</v>
      </c>
      <c r="C254" s="0">
        <v>0</v>
      </c>
      <c r="D254" s="0">
        <v>0</v>
      </c>
      <c r="E254" s="0">
        <v>0</v>
      </c>
      <c r="F254" s="0">
        <v>0</v>
      </c>
      <c r="G254" s="0">
        <v>0</v>
      </c>
      <c r="H254" s="0">
        <v>0</v>
      </c>
    </row>
    <row r="255">
      <c r="A255" s="19" t="s">
        <v>8270</v>
      </c>
      <c r="B255" s="0">
        <v>1</v>
      </c>
      <c r="C255" s="0">
        <v>6</v>
      </c>
      <c r="D255" s="0">
        <v>2</v>
      </c>
      <c r="E255" s="0">
        <v>0</v>
      </c>
      <c r="F255" s="0">
        <v>0</v>
      </c>
      <c r="G255" s="0">
        <v>3</v>
      </c>
      <c r="H255" s="0">
        <v>12</v>
      </c>
    </row>
    <row r="256">
      <c r="A256" s="17" t="s">
        <v>8314</v>
      </c>
    </row>
    <row r="257">
      <c r="A257" s="15" t="s">
        <v>8286</v>
      </c>
      <c r="B257" s="15" t="s">
        <v>272</v>
      </c>
      <c r="C257" s="15" t="s">
        <v>378</v>
      </c>
      <c r="D257" s="15" t="s">
        <v>2807</v>
      </c>
      <c r="E257" s="15" t="s">
        <v>802</v>
      </c>
      <c r="F257" s="15" t="s">
        <v>371</v>
      </c>
      <c r="G257" s="15" t="s">
        <v>135</v>
      </c>
      <c r="H257" s="15" t="s">
        <v>8269</v>
      </c>
    </row>
    <row r="258">
      <c r="A258" s="19" t="s">
        <v>292</v>
      </c>
      <c r="B258" s="0">
        <v>0</v>
      </c>
      <c r="C258" s="0">
        <v>0</v>
      </c>
      <c r="D258" s="0">
        <v>1</v>
      </c>
      <c r="E258" s="0">
        <v>0</v>
      </c>
      <c r="F258" s="0">
        <v>0</v>
      </c>
      <c r="G258" s="0">
        <v>0</v>
      </c>
      <c r="H258" s="0">
        <v>1</v>
      </c>
    </row>
    <row r="259">
      <c r="A259" s="19" t="s">
        <v>537</v>
      </c>
      <c r="B259" s="0">
        <v>0</v>
      </c>
      <c r="C259" s="0">
        <v>0</v>
      </c>
      <c r="D259" s="0">
        <v>0</v>
      </c>
      <c r="E259" s="0">
        <v>1</v>
      </c>
      <c r="F259" s="0">
        <v>1</v>
      </c>
      <c r="G259" s="0">
        <v>7</v>
      </c>
      <c r="H259" s="0">
        <v>9</v>
      </c>
    </row>
    <row r="260">
      <c r="A260" s="19" t="s">
        <v>456</v>
      </c>
      <c r="B260" s="0">
        <v>0</v>
      </c>
      <c r="C260" s="0">
        <v>0</v>
      </c>
      <c r="D260" s="0">
        <v>0</v>
      </c>
      <c r="E260" s="0">
        <v>0</v>
      </c>
      <c r="F260" s="0">
        <v>0</v>
      </c>
      <c r="G260" s="0">
        <v>1</v>
      </c>
      <c r="H260" s="0">
        <v>1</v>
      </c>
    </row>
    <row r="261">
      <c r="A261" s="19" t="s">
        <v>571</v>
      </c>
      <c r="B261" s="0">
        <v>0</v>
      </c>
      <c r="C261" s="0">
        <v>0</v>
      </c>
      <c r="D261" s="0">
        <v>0</v>
      </c>
      <c r="E261" s="0">
        <v>1</v>
      </c>
      <c r="F261" s="0">
        <v>0</v>
      </c>
      <c r="G261" s="0">
        <v>4</v>
      </c>
      <c r="H261" s="0">
        <v>5</v>
      </c>
    </row>
    <row r="262">
      <c r="A262" s="19" t="s">
        <v>244</v>
      </c>
      <c r="B262" s="0">
        <v>0</v>
      </c>
      <c r="C262" s="0">
        <v>1</v>
      </c>
      <c r="D262" s="0">
        <v>0</v>
      </c>
      <c r="E262" s="0">
        <v>0</v>
      </c>
      <c r="F262" s="0">
        <v>0</v>
      </c>
      <c r="G262" s="0">
        <v>0</v>
      </c>
      <c r="H262" s="0">
        <v>1</v>
      </c>
    </row>
    <row r="263">
      <c r="A263" s="19" t="s">
        <v>8270</v>
      </c>
      <c r="B263" s="0">
        <v>0</v>
      </c>
      <c r="C263" s="0">
        <v>1</v>
      </c>
      <c r="D263" s="0">
        <v>1</v>
      </c>
      <c r="E263" s="0">
        <v>2</v>
      </c>
      <c r="F263" s="0">
        <v>1</v>
      </c>
      <c r="G263" s="0">
        <v>12</v>
      </c>
      <c r="H263" s="0">
        <v>17</v>
      </c>
    </row>
    <row r="264">
      <c r="A264" s="17" t="s">
        <v>8315</v>
      </c>
    </row>
    <row r="265">
      <c r="A265" s="15" t="s">
        <v>8286</v>
      </c>
      <c r="B265" s="15" t="s">
        <v>272</v>
      </c>
      <c r="C265" s="15" t="s">
        <v>378</v>
      </c>
      <c r="D265" s="15" t="s">
        <v>2807</v>
      </c>
      <c r="E265" s="15" t="s">
        <v>802</v>
      </c>
      <c r="F265" s="15" t="s">
        <v>371</v>
      </c>
      <c r="G265" s="15" t="s">
        <v>135</v>
      </c>
      <c r="H265" s="15" t="s">
        <v>8269</v>
      </c>
    </row>
    <row r="266">
      <c r="A266" s="19" t="s">
        <v>268</v>
      </c>
      <c r="B266" s="0">
        <v>0</v>
      </c>
      <c r="C266" s="0">
        <v>1</v>
      </c>
      <c r="D266" s="0">
        <v>0</v>
      </c>
      <c r="E266" s="0">
        <v>0</v>
      </c>
      <c r="F266" s="0">
        <v>0</v>
      </c>
      <c r="G266" s="0">
        <v>10</v>
      </c>
      <c r="H266" s="0">
        <v>11</v>
      </c>
    </row>
    <row r="267">
      <c r="A267" s="19" t="s">
        <v>306</v>
      </c>
      <c r="B267" s="0">
        <v>0</v>
      </c>
      <c r="C267" s="0">
        <v>1</v>
      </c>
      <c r="D267" s="0">
        <v>0</v>
      </c>
      <c r="E267" s="0">
        <v>0</v>
      </c>
      <c r="F267" s="0">
        <v>0</v>
      </c>
      <c r="G267" s="0">
        <v>1</v>
      </c>
      <c r="H267" s="0">
        <v>2</v>
      </c>
    </row>
    <row r="268">
      <c r="A268" s="19" t="s">
        <v>155</v>
      </c>
      <c r="B268" s="0">
        <v>0</v>
      </c>
      <c r="C268" s="0">
        <v>1</v>
      </c>
      <c r="D268" s="0">
        <v>0</v>
      </c>
      <c r="E268" s="0">
        <v>1</v>
      </c>
      <c r="F268" s="0">
        <v>0</v>
      </c>
      <c r="G268" s="0">
        <v>1</v>
      </c>
      <c r="H268" s="0">
        <v>3</v>
      </c>
    </row>
    <row r="269">
      <c r="A269" s="19" t="s">
        <v>8270</v>
      </c>
      <c r="B269" s="0">
        <v>0</v>
      </c>
      <c r="C269" s="0">
        <v>3</v>
      </c>
      <c r="D269" s="0">
        <v>0</v>
      </c>
      <c r="E269" s="0">
        <v>1</v>
      </c>
      <c r="F269" s="0">
        <v>0</v>
      </c>
      <c r="G269" s="0">
        <v>12</v>
      </c>
      <c r="H269" s="0">
        <v>16</v>
      </c>
    </row>
    <row r="270">
      <c r="A270" s="17" t="s">
        <v>8316</v>
      </c>
    </row>
    <row r="271">
      <c r="A271" s="15" t="s">
        <v>8286</v>
      </c>
      <c r="B271" s="15" t="s">
        <v>272</v>
      </c>
      <c r="C271" s="15" t="s">
        <v>378</v>
      </c>
      <c r="D271" s="15" t="s">
        <v>2807</v>
      </c>
      <c r="E271" s="15" t="s">
        <v>802</v>
      </c>
      <c r="F271" s="15" t="s">
        <v>371</v>
      </c>
      <c r="G271" s="15" t="s">
        <v>135</v>
      </c>
      <c r="H271" s="15" t="s">
        <v>8269</v>
      </c>
    </row>
    <row r="272">
      <c r="A272" s="19" t="s">
        <v>871</v>
      </c>
      <c r="B272" s="0">
        <v>0</v>
      </c>
      <c r="C272" s="0">
        <v>0</v>
      </c>
      <c r="D272" s="0">
        <v>0</v>
      </c>
      <c r="E272" s="0">
        <v>0</v>
      </c>
      <c r="F272" s="0">
        <v>0</v>
      </c>
      <c r="G272" s="0">
        <v>0</v>
      </c>
      <c r="H272" s="0">
        <v>0</v>
      </c>
    </row>
    <row r="273">
      <c r="A273" s="19" t="s">
        <v>186</v>
      </c>
      <c r="B273" s="0">
        <v>1</v>
      </c>
      <c r="C273" s="0">
        <v>1</v>
      </c>
      <c r="D273" s="0">
        <v>0</v>
      </c>
      <c r="E273" s="0">
        <v>0</v>
      </c>
      <c r="F273" s="0">
        <v>0</v>
      </c>
      <c r="G273" s="0">
        <v>0</v>
      </c>
      <c r="H273" s="0">
        <v>2</v>
      </c>
    </row>
    <row r="274">
      <c r="A274" s="19" t="s">
        <v>548</v>
      </c>
      <c r="B274" s="0">
        <v>0</v>
      </c>
      <c r="C274" s="0">
        <v>0</v>
      </c>
      <c r="D274" s="0">
        <v>0</v>
      </c>
      <c r="E274" s="0">
        <v>0</v>
      </c>
      <c r="F274" s="0">
        <v>0</v>
      </c>
      <c r="G274" s="0">
        <v>0</v>
      </c>
      <c r="H274" s="0">
        <v>0</v>
      </c>
    </row>
    <row r="275">
      <c r="A275" s="19" t="s">
        <v>626</v>
      </c>
      <c r="B275" s="0">
        <v>0</v>
      </c>
      <c r="C275" s="0">
        <v>0</v>
      </c>
      <c r="D275" s="0">
        <v>0</v>
      </c>
      <c r="E275" s="0">
        <v>0</v>
      </c>
      <c r="F275" s="0">
        <v>0</v>
      </c>
      <c r="G275" s="0">
        <v>0</v>
      </c>
      <c r="H275" s="0">
        <v>0</v>
      </c>
    </row>
    <row r="276">
      <c r="A276" s="19" t="s">
        <v>8270</v>
      </c>
      <c r="B276" s="0">
        <v>1</v>
      </c>
      <c r="C276" s="0">
        <v>1</v>
      </c>
      <c r="D276" s="0">
        <v>0</v>
      </c>
      <c r="E276" s="0">
        <v>0</v>
      </c>
      <c r="F276" s="0">
        <v>0</v>
      </c>
      <c r="G276" s="0">
        <v>0</v>
      </c>
      <c r="H276" s="0">
        <v>2</v>
      </c>
    </row>
    <row r="277">
      <c r="A277" s="17" t="s">
        <v>8317</v>
      </c>
    </row>
    <row r="278">
      <c r="A278" s="15" t="s">
        <v>8286</v>
      </c>
      <c r="B278" s="15" t="s">
        <v>272</v>
      </c>
      <c r="C278" s="15" t="s">
        <v>378</v>
      </c>
      <c r="D278" s="15" t="s">
        <v>2807</v>
      </c>
      <c r="E278" s="15" t="s">
        <v>802</v>
      </c>
      <c r="F278" s="15" t="s">
        <v>371</v>
      </c>
      <c r="G278" s="15" t="s">
        <v>135</v>
      </c>
      <c r="H278" s="15" t="s">
        <v>8269</v>
      </c>
    </row>
    <row r="279">
      <c r="A279" s="19" t="s">
        <v>970</v>
      </c>
      <c r="B279" s="0">
        <v>0</v>
      </c>
      <c r="C279" s="0">
        <v>1</v>
      </c>
      <c r="D279" s="0">
        <v>0</v>
      </c>
      <c r="E279" s="0">
        <v>0</v>
      </c>
      <c r="F279" s="0">
        <v>0</v>
      </c>
      <c r="G279" s="0">
        <v>1</v>
      </c>
      <c r="H279" s="0">
        <v>2</v>
      </c>
    </row>
    <row r="280">
      <c r="A280" s="19" t="s">
        <v>165</v>
      </c>
      <c r="B280" s="0">
        <v>0</v>
      </c>
      <c r="C280" s="0">
        <v>2</v>
      </c>
      <c r="D280" s="0">
        <v>0</v>
      </c>
      <c r="E280" s="0">
        <v>0</v>
      </c>
      <c r="F280" s="0">
        <v>0</v>
      </c>
      <c r="G280" s="0">
        <v>0</v>
      </c>
      <c r="H280" s="0">
        <v>2</v>
      </c>
    </row>
    <row r="281">
      <c r="A281" s="19" t="s">
        <v>277</v>
      </c>
      <c r="B281" s="0">
        <v>0</v>
      </c>
      <c r="C281" s="0">
        <v>1</v>
      </c>
      <c r="D281" s="0">
        <v>0</v>
      </c>
      <c r="E281" s="0">
        <v>0</v>
      </c>
      <c r="F281" s="0">
        <v>0</v>
      </c>
      <c r="G281" s="0">
        <v>0</v>
      </c>
      <c r="H281" s="0">
        <v>1</v>
      </c>
    </row>
    <row r="282">
      <c r="A282" s="19" t="s">
        <v>8270</v>
      </c>
      <c r="B282" s="0">
        <v>0</v>
      </c>
      <c r="C282" s="0">
        <v>4</v>
      </c>
      <c r="D282" s="0">
        <v>0</v>
      </c>
      <c r="E282" s="0">
        <v>0</v>
      </c>
      <c r="F282" s="0">
        <v>0</v>
      </c>
      <c r="G282" s="0">
        <v>1</v>
      </c>
      <c r="H282" s="0">
        <v>5</v>
      </c>
    </row>
    <row r="283">
      <c r="A283" s="17" t="s">
        <v>8318</v>
      </c>
    </row>
    <row r="284">
      <c r="A284" s="15" t="s">
        <v>8286</v>
      </c>
      <c r="B284" s="15" t="s">
        <v>272</v>
      </c>
      <c r="C284" s="15" t="s">
        <v>378</v>
      </c>
      <c r="D284" s="15" t="s">
        <v>2807</v>
      </c>
      <c r="E284" s="15" t="s">
        <v>802</v>
      </c>
      <c r="F284" s="15" t="s">
        <v>371</v>
      </c>
      <c r="G284" s="15" t="s">
        <v>135</v>
      </c>
      <c r="H284" s="15" t="s">
        <v>8269</v>
      </c>
    </row>
    <row r="285">
      <c r="A285" s="19" t="s">
        <v>147</v>
      </c>
      <c r="B285" s="0">
        <v>1</v>
      </c>
      <c r="C285" s="0">
        <v>1</v>
      </c>
      <c r="D285" s="0">
        <v>0</v>
      </c>
      <c r="E285" s="0">
        <v>1</v>
      </c>
      <c r="F285" s="0">
        <v>1</v>
      </c>
      <c r="G285" s="0">
        <v>1</v>
      </c>
      <c r="H285" s="0">
        <v>5</v>
      </c>
    </row>
    <row r="286">
      <c r="A286" s="19" t="s">
        <v>500</v>
      </c>
      <c r="B286" s="0">
        <v>0</v>
      </c>
      <c r="C286" s="0">
        <v>0</v>
      </c>
      <c r="D286" s="0">
        <v>0</v>
      </c>
      <c r="E286" s="0">
        <v>0</v>
      </c>
      <c r="F286" s="0">
        <v>0</v>
      </c>
      <c r="G286" s="0">
        <v>0</v>
      </c>
      <c r="H286" s="0">
        <v>0</v>
      </c>
    </row>
    <row r="287">
      <c r="A287" s="19" t="s">
        <v>8270</v>
      </c>
      <c r="B287" s="0">
        <v>1</v>
      </c>
      <c r="C287" s="0">
        <v>1</v>
      </c>
      <c r="D287" s="0">
        <v>0</v>
      </c>
      <c r="E287" s="0">
        <v>1</v>
      </c>
      <c r="F287" s="0">
        <v>1</v>
      </c>
      <c r="G287" s="0">
        <v>1</v>
      </c>
      <c r="H287" s="0">
        <v>5</v>
      </c>
    </row>
    <row r="288">
      <c r="A288" s="17" t="s">
        <v>8319</v>
      </c>
    </row>
    <row r="289">
      <c r="A289" s="15" t="s">
        <v>8286</v>
      </c>
      <c r="B289" s="15" t="s">
        <v>272</v>
      </c>
      <c r="C289" s="15" t="s">
        <v>378</v>
      </c>
      <c r="D289" s="15" t="s">
        <v>2807</v>
      </c>
      <c r="E289" s="15" t="s">
        <v>802</v>
      </c>
      <c r="F289" s="15" t="s">
        <v>371</v>
      </c>
      <c r="G289" s="15" t="s">
        <v>135</v>
      </c>
      <c r="H289" s="15" t="s">
        <v>8269</v>
      </c>
    </row>
    <row r="290">
      <c r="A290" s="19" t="s">
        <v>401</v>
      </c>
      <c r="B290" s="0">
        <v>0</v>
      </c>
      <c r="C290" s="0">
        <v>0</v>
      </c>
      <c r="D290" s="0">
        <v>1</v>
      </c>
      <c r="E290" s="0">
        <v>0</v>
      </c>
      <c r="F290" s="0">
        <v>0</v>
      </c>
      <c r="G290" s="0">
        <v>0</v>
      </c>
      <c r="H290" s="0">
        <v>1</v>
      </c>
    </row>
    <row r="291">
      <c r="A291" s="19" t="s">
        <v>8295</v>
      </c>
      <c r="B291" s="0">
        <v>0</v>
      </c>
      <c r="C291" s="0">
        <v>0</v>
      </c>
      <c r="D291" s="0">
        <v>0</v>
      </c>
      <c r="E291" s="0">
        <v>0</v>
      </c>
      <c r="F291" s="0">
        <v>0</v>
      </c>
      <c r="G291" s="0">
        <v>0</v>
      </c>
      <c r="H291" s="0">
        <v>0</v>
      </c>
    </row>
    <row r="292">
      <c r="A292" s="19" t="s">
        <v>507</v>
      </c>
      <c r="B292" s="0">
        <v>0</v>
      </c>
      <c r="C292" s="0">
        <v>0</v>
      </c>
      <c r="D292" s="0">
        <v>0</v>
      </c>
      <c r="E292" s="0">
        <v>1</v>
      </c>
      <c r="F292" s="0">
        <v>0</v>
      </c>
      <c r="G292" s="0">
        <v>0</v>
      </c>
      <c r="H292" s="0">
        <v>1</v>
      </c>
    </row>
    <row r="293">
      <c r="A293" s="19" t="s">
        <v>8270</v>
      </c>
      <c r="B293" s="0">
        <v>0</v>
      </c>
      <c r="C293" s="0">
        <v>0</v>
      </c>
      <c r="D293" s="0">
        <v>1</v>
      </c>
      <c r="E293" s="0">
        <v>1</v>
      </c>
      <c r="F293" s="0">
        <v>0</v>
      </c>
      <c r="G293" s="0">
        <v>0</v>
      </c>
      <c r="H293" s="0">
        <v>2</v>
      </c>
    </row>
    <row r="294">
      <c r="A294" s="17" t="s">
        <v>8320</v>
      </c>
    </row>
    <row r="295">
      <c r="A295" s="15" t="s">
        <v>8286</v>
      </c>
      <c r="B295" s="15" t="s">
        <v>272</v>
      </c>
      <c r="C295" s="15" t="s">
        <v>378</v>
      </c>
      <c r="D295" s="15" t="s">
        <v>2807</v>
      </c>
      <c r="E295" s="15" t="s">
        <v>802</v>
      </c>
      <c r="F295" s="15" t="s">
        <v>371</v>
      </c>
      <c r="G295" s="15" t="s">
        <v>135</v>
      </c>
      <c r="H295" s="15" t="s">
        <v>8269</v>
      </c>
    </row>
    <row r="296">
      <c r="A296" s="19" t="s">
        <v>310</v>
      </c>
      <c r="B296" s="0">
        <v>0</v>
      </c>
      <c r="C296" s="0">
        <v>0</v>
      </c>
      <c r="D296" s="0">
        <v>0</v>
      </c>
      <c r="E296" s="0">
        <v>0</v>
      </c>
      <c r="F296" s="0">
        <v>0</v>
      </c>
      <c r="G296" s="0">
        <v>0</v>
      </c>
      <c r="H296" s="0">
        <v>0</v>
      </c>
    </row>
    <row r="297">
      <c r="A297" s="19" t="s">
        <v>171</v>
      </c>
      <c r="B297" s="0">
        <v>0</v>
      </c>
      <c r="C297" s="0">
        <v>1</v>
      </c>
      <c r="D297" s="0">
        <v>0</v>
      </c>
      <c r="E297" s="0">
        <v>0</v>
      </c>
      <c r="F297" s="0">
        <v>0</v>
      </c>
      <c r="G297" s="0">
        <v>1</v>
      </c>
      <c r="H297" s="0">
        <v>2</v>
      </c>
    </row>
    <row r="298">
      <c r="A298" s="19" t="s">
        <v>8270</v>
      </c>
      <c r="B298" s="0">
        <v>0</v>
      </c>
      <c r="C298" s="0">
        <v>1</v>
      </c>
      <c r="D298" s="0">
        <v>0</v>
      </c>
      <c r="E298" s="0">
        <v>0</v>
      </c>
      <c r="F298" s="0">
        <v>0</v>
      </c>
      <c r="G298" s="0">
        <v>1</v>
      </c>
      <c r="H298" s="0">
        <v>2</v>
      </c>
    </row>
    <row r="299">
      <c r="A299" s="17" t="s">
        <v>8321</v>
      </c>
    </row>
    <row r="300">
      <c r="A300" s="15" t="s">
        <v>8286</v>
      </c>
      <c r="B300" s="15" t="s">
        <v>272</v>
      </c>
      <c r="C300" s="15" t="s">
        <v>378</v>
      </c>
      <c r="D300" s="15" t="s">
        <v>2807</v>
      </c>
      <c r="E300" s="15" t="s">
        <v>802</v>
      </c>
      <c r="F300" s="15" t="s">
        <v>371</v>
      </c>
      <c r="G300" s="15" t="s">
        <v>135</v>
      </c>
      <c r="H300" s="15" t="s">
        <v>8269</v>
      </c>
    </row>
    <row r="301">
      <c r="A301" s="19" t="s">
        <v>134</v>
      </c>
      <c r="B301" s="0">
        <v>0</v>
      </c>
      <c r="C301" s="0">
        <v>0</v>
      </c>
      <c r="D301" s="0">
        <v>0</v>
      </c>
      <c r="E301" s="0">
        <v>0</v>
      </c>
      <c r="F301" s="0">
        <v>0</v>
      </c>
      <c r="G301" s="0">
        <v>0</v>
      </c>
      <c r="H301" s="0">
        <v>0</v>
      </c>
    </row>
    <row r="302">
      <c r="A302" s="19" t="s">
        <v>753</v>
      </c>
      <c r="B302" s="0">
        <v>0</v>
      </c>
      <c r="C302" s="0">
        <v>0</v>
      </c>
      <c r="D302" s="0">
        <v>0</v>
      </c>
      <c r="E302" s="0">
        <v>0</v>
      </c>
      <c r="F302" s="0">
        <v>0</v>
      </c>
      <c r="G302" s="0">
        <v>0</v>
      </c>
      <c r="H302" s="0">
        <v>0</v>
      </c>
    </row>
    <row r="303">
      <c r="A303" s="19" t="s">
        <v>160</v>
      </c>
      <c r="B303" s="0">
        <v>0</v>
      </c>
      <c r="C303" s="0">
        <v>1</v>
      </c>
      <c r="D303" s="0">
        <v>0</v>
      </c>
      <c r="E303" s="0">
        <v>0</v>
      </c>
      <c r="F303" s="0">
        <v>0</v>
      </c>
      <c r="G303" s="0">
        <v>0</v>
      </c>
      <c r="H303" s="0">
        <v>1</v>
      </c>
    </row>
    <row r="304">
      <c r="A304" s="19" t="s">
        <v>8270</v>
      </c>
      <c r="B304" s="0">
        <v>0</v>
      </c>
      <c r="C304" s="0">
        <v>1</v>
      </c>
      <c r="D304" s="0">
        <v>0</v>
      </c>
      <c r="E304" s="0">
        <v>0</v>
      </c>
      <c r="F304" s="0">
        <v>0</v>
      </c>
      <c r="G304" s="0">
        <v>0</v>
      </c>
      <c r="H304" s="0">
        <v>1</v>
      </c>
    </row>
    <row r="305">
      <c r="A305" s="17" t="s">
        <v>8322</v>
      </c>
    </row>
    <row r="306">
      <c r="A306" s="15" t="s">
        <v>8286</v>
      </c>
      <c r="B306" s="15" t="s">
        <v>272</v>
      </c>
      <c r="C306" s="15" t="s">
        <v>378</v>
      </c>
      <c r="D306" s="15" t="s">
        <v>2807</v>
      </c>
      <c r="E306" s="15" t="s">
        <v>802</v>
      </c>
      <c r="F306" s="15" t="s">
        <v>371</v>
      </c>
      <c r="G306" s="15" t="s">
        <v>135</v>
      </c>
      <c r="H306" s="15" t="s">
        <v>8269</v>
      </c>
    </row>
    <row r="307">
      <c r="A307" s="19" t="s">
        <v>743</v>
      </c>
      <c r="B307" s="0">
        <v>0</v>
      </c>
      <c r="C307" s="0">
        <v>0</v>
      </c>
      <c r="D307" s="0">
        <v>0</v>
      </c>
      <c r="E307" s="0">
        <v>0</v>
      </c>
      <c r="F307" s="0">
        <v>0</v>
      </c>
      <c r="G307" s="0">
        <v>0</v>
      </c>
      <c r="H307" s="0">
        <v>0</v>
      </c>
    </row>
    <row r="308">
      <c r="A308" s="19" t="s">
        <v>261</v>
      </c>
      <c r="B308" s="0">
        <v>0</v>
      </c>
      <c r="C308" s="0">
        <v>1</v>
      </c>
      <c r="D308" s="0">
        <v>0</v>
      </c>
      <c r="E308" s="0">
        <v>0</v>
      </c>
      <c r="F308" s="0">
        <v>0</v>
      </c>
      <c r="G308" s="0">
        <v>2</v>
      </c>
      <c r="H308" s="0">
        <v>3</v>
      </c>
    </row>
    <row r="309">
      <c r="A309" s="19" t="s">
        <v>8270</v>
      </c>
      <c r="B309" s="0">
        <v>0</v>
      </c>
      <c r="C309" s="0">
        <v>1</v>
      </c>
      <c r="D309" s="0">
        <v>0</v>
      </c>
      <c r="E309" s="0">
        <v>0</v>
      </c>
      <c r="F309" s="0">
        <v>0</v>
      </c>
      <c r="G309" s="0">
        <v>2</v>
      </c>
      <c r="H309" s="0">
        <v>3</v>
      </c>
    </row>
    <row r="312">
      <c r="A312" s="19" t="s">
        <v>8266</v>
      </c>
    </row>
    <row r="313">
      <c r="A313" s="19" t="s">
        <v>6</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363"/>
  <sheetViews>
    <sheetView workbookViewId="0"/>
  </sheetViews>
  <sheetFormatPr defaultRowHeight="15"/>
  <cols>
    <col min="1" max="1" width="79.57142639160156" customWidth="1" style="19"/>
    <col min="2" max="2" width="19.285715103149414" customWidth="1"/>
    <col min="3" max="3" width="9.857142448425293" customWidth="1"/>
    <col min="4" max="4" width="38.42856979370117" customWidth="1"/>
    <col min="5" max="5" width="18.85714340209961" customWidth="1"/>
    <col min="6" max="6" width="29.85714340209961" customWidth="1"/>
    <col min="7" max="7" width="17.571428298950195" customWidth="1"/>
    <col min="8" max="8" width="9.857142448425293" customWidth="1"/>
  </cols>
  <sheetData>
    <row r="1">
      <c r="A1" s="17" t="s">
        <v>8267</v>
      </c>
    </row>
    <row r="2">
      <c r="A2" s="15" t="s">
        <v>8268</v>
      </c>
      <c r="B2" s="15" t="s">
        <v>272</v>
      </c>
      <c r="C2" s="15" t="s">
        <v>378</v>
      </c>
      <c r="D2" s="15" t="s">
        <v>2807</v>
      </c>
      <c r="E2" s="15" t="s">
        <v>802</v>
      </c>
      <c r="F2" s="15" t="s">
        <v>371</v>
      </c>
      <c r="G2" s="15" t="s">
        <v>135</v>
      </c>
      <c r="H2" s="15" t="s">
        <v>8269</v>
      </c>
    </row>
    <row r="3">
      <c r="A3" s="19" t="s">
        <v>197</v>
      </c>
      <c r="B3" s="18">
        <v>0.36</v>
      </c>
      <c r="C3" s="18">
        <v>0.544061302681992</v>
      </c>
      <c r="D3" s="18">
        <v>0.441558441558442</v>
      </c>
      <c r="E3" s="18">
        <v>0.31055900621118</v>
      </c>
      <c r="F3" s="18">
        <v>0.488888888888889</v>
      </c>
      <c r="G3" s="18">
        <v>0.388888888888889</v>
      </c>
      <c r="H3" s="18">
        <v>0.424897119341564</v>
      </c>
    </row>
    <row r="4">
      <c r="A4" s="19" t="s">
        <v>153</v>
      </c>
      <c r="B4" s="18">
        <v>0.44</v>
      </c>
      <c r="C4" s="18">
        <v>0.206896551724138</v>
      </c>
      <c r="D4" s="18">
        <v>0.233766233766234</v>
      </c>
      <c r="E4" s="18">
        <v>0.229813664596273</v>
      </c>
      <c r="F4" s="18">
        <v>0.0888888888888889</v>
      </c>
      <c r="G4" s="18">
        <v>0.439153439153439</v>
      </c>
      <c r="H4" s="18">
        <v>0.309670781893004</v>
      </c>
    </row>
    <row r="5">
      <c r="A5" s="19" t="s">
        <v>145</v>
      </c>
      <c r="B5" s="18">
        <v>0.1</v>
      </c>
      <c r="C5" s="18">
        <v>0.164750957854406</v>
      </c>
      <c r="D5" s="18">
        <v>0.25974025974026</v>
      </c>
      <c r="E5" s="18">
        <v>0.372670807453416</v>
      </c>
      <c r="F5" s="18">
        <v>0.377777777777778</v>
      </c>
      <c r="G5" s="18">
        <v>0.0846560846560846</v>
      </c>
      <c r="H5" s="18">
        <v>0.182098765432099</v>
      </c>
    </row>
    <row r="6">
      <c r="A6" s="19" t="s">
        <v>132</v>
      </c>
      <c r="B6" s="18">
        <v>0.1</v>
      </c>
      <c r="C6" s="18">
        <v>0.0842911877394636</v>
      </c>
      <c r="D6" s="18">
        <v>0.0649350649350649</v>
      </c>
      <c r="E6" s="18">
        <v>0.0869565217391304</v>
      </c>
      <c r="F6" s="18">
        <v>0.0444444444444444</v>
      </c>
      <c r="G6" s="18">
        <v>0.0873015873015873</v>
      </c>
      <c r="H6" s="18">
        <v>0.0833333333333333</v>
      </c>
    </row>
    <row r="7">
      <c r="A7" s="19" t="s">
        <v>8270</v>
      </c>
      <c r="B7" s="18">
        <v>1</v>
      </c>
      <c r="C7" s="18">
        <v>1</v>
      </c>
      <c r="D7" s="18">
        <v>1</v>
      </c>
      <c r="E7" s="18">
        <v>1</v>
      </c>
      <c r="F7" s="18">
        <v>1</v>
      </c>
      <c r="G7" s="18">
        <v>1</v>
      </c>
      <c r="H7" s="18">
        <v>1</v>
      </c>
    </row>
    <row r="8">
      <c r="B8" s="18"/>
      <c r="C8" s="18"/>
      <c r="D8" s="18"/>
      <c r="E8" s="18"/>
      <c r="F8" s="18"/>
      <c r="G8" s="18"/>
      <c r="H8" s="18"/>
    </row>
    <row r="9">
      <c r="A9" s="17" t="s">
        <v>8271</v>
      </c>
    </row>
    <row r="10">
      <c r="A10" s="15" t="s">
        <v>8268</v>
      </c>
      <c r="B10" s="15" t="s">
        <v>272</v>
      </c>
      <c r="C10" s="15" t="s">
        <v>378</v>
      </c>
      <c r="D10" s="15" t="s">
        <v>2807</v>
      </c>
      <c r="E10" s="15" t="s">
        <v>802</v>
      </c>
      <c r="F10" s="15" t="s">
        <v>371</v>
      </c>
      <c r="G10" s="15" t="s">
        <v>135</v>
      </c>
      <c r="H10" s="15" t="s">
        <v>8269</v>
      </c>
    </row>
    <row r="11">
      <c r="A11" s="19" t="s">
        <v>197</v>
      </c>
      <c r="B11" s="18">
        <v>0.521739130434783</v>
      </c>
      <c r="C11" s="18">
        <v>0.724489795918367</v>
      </c>
      <c r="D11" s="18">
        <v>0.5</v>
      </c>
      <c r="E11" s="18">
        <v>0.45</v>
      </c>
      <c r="F11" s="18">
        <v>0.764705882352941</v>
      </c>
      <c r="G11" s="18">
        <v>0.49390243902439</v>
      </c>
      <c r="H11" s="18">
        <v>0.564171122994652</v>
      </c>
    </row>
    <row r="12">
      <c r="A12" s="19" t="s">
        <v>153</v>
      </c>
      <c r="B12" s="18">
        <v>0.391304347826087</v>
      </c>
      <c r="C12" s="18">
        <v>0.13265306122449</v>
      </c>
      <c r="D12" s="18">
        <v>0.21875</v>
      </c>
      <c r="E12" s="18">
        <v>0.2</v>
      </c>
      <c r="F12" s="18">
        <v>0.117647058823529</v>
      </c>
      <c r="G12" s="18">
        <v>0.439024390243902</v>
      </c>
      <c r="H12" s="18">
        <v>0.296791443850267</v>
      </c>
    </row>
    <row r="13">
      <c r="A13" s="19" t="s">
        <v>145</v>
      </c>
      <c r="B13" s="18">
        <v>0.0434782608695652</v>
      </c>
      <c r="C13" s="18">
        <v>0.112244897959184</v>
      </c>
      <c r="D13" s="18">
        <v>0.1875</v>
      </c>
      <c r="E13" s="18">
        <v>0.275</v>
      </c>
      <c r="F13" s="18">
        <v>0.117647058823529</v>
      </c>
      <c r="G13" s="18">
        <v>0.0304878048780488</v>
      </c>
      <c r="H13" s="18">
        <v>0.0962566844919786</v>
      </c>
    </row>
    <row r="14">
      <c r="A14" s="19" t="s">
        <v>132</v>
      </c>
      <c r="B14" s="18">
        <v>0.0434782608695652</v>
      </c>
      <c r="C14" s="18">
        <v>0.0306122448979592</v>
      </c>
      <c r="D14" s="18">
        <v>0.09375</v>
      </c>
      <c r="E14" s="18">
        <v>0.075</v>
      </c>
      <c r="F14" s="18">
        <v>0</v>
      </c>
      <c r="G14" s="18">
        <v>0.0365853658536585</v>
      </c>
      <c r="H14" s="18">
        <v>0.0427807486631016</v>
      </c>
    </row>
    <row r="15">
      <c r="A15" s="19" t="s">
        <v>8270</v>
      </c>
      <c r="B15" s="18">
        <v>1</v>
      </c>
      <c r="C15" s="18">
        <v>1</v>
      </c>
      <c r="D15" s="18">
        <v>1</v>
      </c>
      <c r="E15" s="18">
        <v>1</v>
      </c>
      <c r="F15" s="18">
        <v>1</v>
      </c>
      <c r="G15" s="18">
        <v>1</v>
      </c>
      <c r="H15" s="18">
        <v>1</v>
      </c>
    </row>
    <row r="16">
      <c r="B16" s="18"/>
      <c r="C16" s="18"/>
      <c r="D16" s="18"/>
      <c r="E16" s="18"/>
      <c r="F16" s="18"/>
      <c r="G16" s="18"/>
      <c r="H16" s="18"/>
    </row>
    <row r="17">
      <c r="A17" s="17" t="s">
        <v>8272</v>
      </c>
    </row>
    <row r="18">
      <c r="A18" s="15" t="s">
        <v>8268</v>
      </c>
      <c r="B18" s="15" t="s">
        <v>272</v>
      </c>
      <c r="C18" s="15" t="s">
        <v>378</v>
      </c>
      <c r="D18" s="15" t="s">
        <v>2807</v>
      </c>
      <c r="E18" s="15" t="s">
        <v>802</v>
      </c>
      <c r="F18" s="15" t="s">
        <v>371</v>
      </c>
      <c r="G18" s="15" t="s">
        <v>135</v>
      </c>
      <c r="H18" s="15" t="s">
        <v>8269</v>
      </c>
    </row>
    <row r="19">
      <c r="A19" s="19" t="s">
        <v>197</v>
      </c>
      <c r="B19" s="18">
        <v>0.714285714285714</v>
      </c>
      <c r="C19" s="18">
        <v>0.628571428571429</v>
      </c>
      <c r="D19" s="18">
        <v>0.75</v>
      </c>
      <c r="E19" s="18">
        <v>0.5</v>
      </c>
      <c r="F19" s="18">
        <v>0.5</v>
      </c>
      <c r="G19" s="18">
        <v>0.442307692307692</v>
      </c>
      <c r="H19" s="18">
        <v>0.543103448275862</v>
      </c>
    </row>
    <row r="20">
      <c r="A20" s="19" t="s">
        <v>153</v>
      </c>
      <c r="B20" s="18">
        <v>0.142857142857143</v>
      </c>
      <c r="C20" s="18">
        <v>0.142857142857143</v>
      </c>
      <c r="D20" s="18">
        <v>0.125</v>
      </c>
      <c r="E20" s="18">
        <v>0.3</v>
      </c>
      <c r="F20" s="18">
        <v>0.25</v>
      </c>
      <c r="G20" s="18">
        <v>0.461538461538462</v>
      </c>
      <c r="H20" s="18">
        <v>0.301724137931034</v>
      </c>
    </row>
    <row r="21">
      <c r="A21" s="19" t="s">
        <v>145</v>
      </c>
      <c r="B21" s="18">
        <v>0.142857142857143</v>
      </c>
      <c r="C21" s="18">
        <v>0.142857142857143</v>
      </c>
      <c r="D21" s="18">
        <v>0.125</v>
      </c>
      <c r="E21" s="18">
        <v>0.2</v>
      </c>
      <c r="F21" s="18">
        <v>0.25</v>
      </c>
      <c r="G21" s="18">
        <v>0.0384615384615385</v>
      </c>
      <c r="H21" s="18">
        <v>0.103448275862069</v>
      </c>
    </row>
    <row r="22">
      <c r="A22" s="19" t="s">
        <v>132</v>
      </c>
      <c r="B22" s="18">
        <v>0</v>
      </c>
      <c r="C22" s="18">
        <v>0.0857142857142857</v>
      </c>
      <c r="D22" s="18">
        <v>0</v>
      </c>
      <c r="E22" s="18">
        <v>0</v>
      </c>
      <c r="F22" s="18">
        <v>0</v>
      </c>
      <c r="G22" s="18">
        <v>0.0576923076923077</v>
      </c>
      <c r="H22" s="18">
        <v>0.0517241379310345</v>
      </c>
    </row>
    <row r="23">
      <c r="A23" s="19" t="s">
        <v>8270</v>
      </c>
      <c r="B23" s="18">
        <v>1</v>
      </c>
      <c r="C23" s="18">
        <v>1</v>
      </c>
      <c r="D23" s="18">
        <v>1</v>
      </c>
      <c r="E23" s="18">
        <v>1</v>
      </c>
      <c r="F23" s="18">
        <v>1</v>
      </c>
      <c r="G23" s="18">
        <v>1</v>
      </c>
      <c r="H23" s="18">
        <v>1</v>
      </c>
    </row>
    <row r="24">
      <c r="B24" s="18"/>
      <c r="C24" s="18"/>
      <c r="D24" s="18"/>
      <c r="E24" s="18"/>
      <c r="F24" s="18"/>
      <c r="G24" s="18"/>
      <c r="H24" s="18"/>
    </row>
    <row r="25">
      <c r="A25" s="17" t="s">
        <v>8273</v>
      </c>
    </row>
    <row r="26">
      <c r="A26" s="15" t="s">
        <v>39</v>
      </c>
      <c r="B26" s="15" t="s">
        <v>272</v>
      </c>
      <c r="C26" s="15" t="s">
        <v>378</v>
      </c>
      <c r="D26" s="15" t="s">
        <v>2807</v>
      </c>
      <c r="E26" s="15" t="s">
        <v>802</v>
      </c>
      <c r="F26" s="15" t="s">
        <v>371</v>
      </c>
      <c r="G26" s="15" t="s">
        <v>135</v>
      </c>
      <c r="H26" s="15" t="s">
        <v>8269</v>
      </c>
    </row>
    <row r="27">
      <c r="A27" s="19" t="s">
        <v>348</v>
      </c>
      <c r="B27" s="18">
        <v>0.111111111111111</v>
      </c>
      <c r="C27" s="18">
        <v>0.183098591549296</v>
      </c>
      <c r="D27" s="18">
        <v>0</v>
      </c>
      <c r="E27" s="18">
        <v>0.16</v>
      </c>
      <c r="F27" s="18">
        <v>0</v>
      </c>
      <c r="G27" s="18">
        <v>0.17687074829932</v>
      </c>
      <c r="H27" s="18">
        <v>0.150121065375303</v>
      </c>
    </row>
    <row r="28">
      <c r="A28" s="19" t="s">
        <v>198</v>
      </c>
      <c r="B28" s="18">
        <v>0.611111111111111</v>
      </c>
      <c r="C28" s="18">
        <v>0.612676056338028</v>
      </c>
      <c r="D28" s="18">
        <v>0.882352941176471</v>
      </c>
      <c r="E28" s="18">
        <v>0.7</v>
      </c>
      <c r="F28" s="18">
        <v>0.681818181818182</v>
      </c>
      <c r="G28" s="18">
        <v>0.693877551020408</v>
      </c>
      <c r="H28" s="18">
        <v>0.677966101694915</v>
      </c>
    </row>
    <row r="29">
      <c r="A29" s="19" t="s">
        <v>337</v>
      </c>
      <c r="B29" s="18">
        <v>0.277777777777778</v>
      </c>
      <c r="C29" s="18">
        <v>0.204225352112676</v>
      </c>
      <c r="D29" s="18">
        <v>0.117647058823529</v>
      </c>
      <c r="E29" s="18">
        <v>0.14</v>
      </c>
      <c r="F29" s="18">
        <v>0.318181818181818</v>
      </c>
      <c r="G29" s="18">
        <v>0.129251700680272</v>
      </c>
      <c r="H29" s="18">
        <v>0.171912832929782</v>
      </c>
    </row>
    <row r="30">
      <c r="A30" s="19" t="s">
        <v>8270</v>
      </c>
      <c r="B30" s="18">
        <v>1</v>
      </c>
      <c r="C30" s="18">
        <v>1</v>
      </c>
      <c r="D30" s="18">
        <v>1</v>
      </c>
      <c r="E30" s="18">
        <v>1</v>
      </c>
      <c r="F30" s="18">
        <v>1</v>
      </c>
      <c r="G30" s="18">
        <v>1</v>
      </c>
      <c r="H30" s="18">
        <v>1</v>
      </c>
    </row>
    <row r="31">
      <c r="B31" s="18"/>
      <c r="C31" s="18"/>
      <c r="D31" s="18"/>
      <c r="E31" s="18"/>
      <c r="F31" s="18"/>
      <c r="G31" s="18"/>
      <c r="H31" s="18"/>
    </row>
    <row r="32">
      <c r="A32" s="17" t="s">
        <v>8274</v>
      </c>
    </row>
    <row r="33">
      <c r="A33" s="15" t="s">
        <v>39</v>
      </c>
      <c r="B33" s="15" t="s">
        <v>272</v>
      </c>
      <c r="C33" s="15" t="s">
        <v>378</v>
      </c>
      <c r="D33" s="15" t="s">
        <v>2807</v>
      </c>
      <c r="E33" s="15" t="s">
        <v>802</v>
      </c>
      <c r="F33" s="15" t="s">
        <v>371</v>
      </c>
      <c r="G33" s="15" t="s">
        <v>135</v>
      </c>
      <c r="H33" s="15" t="s">
        <v>8269</v>
      </c>
    </row>
    <row r="34">
      <c r="A34" s="19" t="s">
        <v>243</v>
      </c>
      <c r="B34" s="18">
        <v>0.636363636363636</v>
      </c>
      <c r="C34" s="18">
        <v>0.37037037037037</v>
      </c>
      <c r="D34" s="18">
        <v>0.722222222222222</v>
      </c>
      <c r="E34" s="18">
        <v>0.567567567567568</v>
      </c>
      <c r="F34" s="18">
        <v>0.5</v>
      </c>
      <c r="G34" s="18">
        <v>0.524096385542169</v>
      </c>
      <c r="H34" s="18">
        <v>0.521594684385382</v>
      </c>
    </row>
    <row r="35">
      <c r="A35" s="19" t="s">
        <v>154</v>
      </c>
      <c r="B35" s="18">
        <v>0.181818181818182</v>
      </c>
      <c r="C35" s="18">
        <v>0.444444444444444</v>
      </c>
      <c r="D35" s="18">
        <v>0.277777777777778</v>
      </c>
      <c r="E35" s="18">
        <v>0.378378378378378</v>
      </c>
      <c r="F35" s="18">
        <v>0.5</v>
      </c>
      <c r="G35" s="18">
        <v>0.44578313253012</v>
      </c>
      <c r="H35" s="18">
        <v>0.408637873754153</v>
      </c>
    </row>
    <row r="36">
      <c r="A36" s="19" t="s">
        <v>185</v>
      </c>
      <c r="B36" s="18">
        <v>0.181818181818182</v>
      </c>
      <c r="C36" s="18">
        <v>0.185185185185185</v>
      </c>
      <c r="D36" s="18">
        <v>0</v>
      </c>
      <c r="E36" s="18">
        <v>0.0540540540540541</v>
      </c>
      <c r="F36" s="18">
        <v>0</v>
      </c>
      <c r="G36" s="18">
        <v>0.0301204819277108</v>
      </c>
      <c r="H36" s="18">
        <v>0.0697674418604651</v>
      </c>
    </row>
    <row r="37">
      <c r="A37" s="19" t="s">
        <v>8270</v>
      </c>
      <c r="B37" s="18">
        <v>1</v>
      </c>
      <c r="C37" s="18">
        <v>1</v>
      </c>
      <c r="D37" s="18">
        <v>1</v>
      </c>
      <c r="E37" s="18">
        <v>1</v>
      </c>
      <c r="F37" s="18">
        <v>1</v>
      </c>
      <c r="G37" s="18">
        <v>1</v>
      </c>
      <c r="H37" s="18">
        <v>1</v>
      </c>
    </row>
    <row r="38">
      <c r="B38" s="18"/>
      <c r="C38" s="18"/>
      <c r="D38" s="18"/>
      <c r="E38" s="18"/>
      <c r="F38" s="18"/>
      <c r="G38" s="18"/>
      <c r="H38" s="18"/>
    </row>
    <row r="39">
      <c r="A39" s="17" t="s">
        <v>8275</v>
      </c>
    </row>
    <row r="40">
      <c r="A40" s="15" t="s">
        <v>39</v>
      </c>
      <c r="B40" s="15" t="s">
        <v>272</v>
      </c>
      <c r="C40" s="15" t="s">
        <v>378</v>
      </c>
      <c r="D40" s="15" t="s">
        <v>2807</v>
      </c>
      <c r="E40" s="15" t="s">
        <v>802</v>
      </c>
      <c r="F40" s="15" t="s">
        <v>371</v>
      </c>
      <c r="G40" s="15" t="s">
        <v>135</v>
      </c>
      <c r="H40" s="15" t="s">
        <v>8269</v>
      </c>
    </row>
    <row r="41">
      <c r="A41" s="19" t="s">
        <v>164</v>
      </c>
      <c r="B41" s="18">
        <v>0.4</v>
      </c>
      <c r="C41" s="18">
        <v>0.441860465116279</v>
      </c>
      <c r="D41" s="18">
        <v>0.55</v>
      </c>
      <c r="E41" s="18">
        <v>0.65</v>
      </c>
      <c r="F41" s="18">
        <v>0.352941176470588</v>
      </c>
      <c r="G41" s="18">
        <v>0.34375</v>
      </c>
      <c r="H41" s="18">
        <v>0.497175141242938</v>
      </c>
    </row>
    <row r="42">
      <c r="A42" s="19" t="s">
        <v>146</v>
      </c>
      <c r="B42" s="18">
        <v>0.6</v>
      </c>
      <c r="C42" s="18">
        <v>0.511627906976744</v>
      </c>
      <c r="D42" s="18">
        <v>0.05</v>
      </c>
      <c r="E42" s="18">
        <v>0.116666666666667</v>
      </c>
      <c r="F42" s="18">
        <v>0.647058823529412</v>
      </c>
      <c r="G42" s="18">
        <v>0.53125</v>
      </c>
      <c r="H42" s="18">
        <v>0.344632768361582</v>
      </c>
    </row>
    <row r="43">
      <c r="A43" s="19" t="s">
        <v>400</v>
      </c>
      <c r="B43" s="18">
        <v>0</v>
      </c>
      <c r="C43" s="18">
        <v>0.0465116279069767</v>
      </c>
      <c r="D43" s="18">
        <v>0.4</v>
      </c>
      <c r="E43" s="18">
        <v>0.233333333333333</v>
      </c>
      <c r="F43" s="18">
        <v>0</v>
      </c>
      <c r="G43" s="18">
        <v>0.125</v>
      </c>
      <c r="H43" s="18">
        <v>0.15819209039548</v>
      </c>
    </row>
    <row r="44">
      <c r="A44" s="19" t="s">
        <v>8270</v>
      </c>
      <c r="B44" s="18">
        <v>1</v>
      </c>
      <c r="C44" s="18">
        <v>1</v>
      </c>
      <c r="D44" s="18">
        <v>1</v>
      </c>
      <c r="E44" s="18">
        <v>1</v>
      </c>
      <c r="F44" s="18">
        <v>1</v>
      </c>
      <c r="G44" s="18">
        <v>1</v>
      </c>
      <c r="H44" s="18">
        <v>1</v>
      </c>
    </row>
    <row r="45">
      <c r="B45" s="18"/>
      <c r="C45" s="18"/>
      <c r="D45" s="18"/>
      <c r="E45" s="18"/>
      <c r="F45" s="18"/>
      <c r="G45" s="18"/>
      <c r="H45" s="18"/>
    </row>
    <row r="46">
      <c r="A46" s="17" t="s">
        <v>8276</v>
      </c>
    </row>
    <row r="47">
      <c r="A47" s="15" t="s">
        <v>39</v>
      </c>
      <c r="B47" s="15" t="s">
        <v>272</v>
      </c>
      <c r="C47" s="15" t="s">
        <v>378</v>
      </c>
      <c r="D47" s="15" t="s">
        <v>2807</v>
      </c>
      <c r="E47" s="15" t="s">
        <v>802</v>
      </c>
      <c r="F47" s="15" t="s">
        <v>371</v>
      </c>
      <c r="G47" s="15" t="s">
        <v>135</v>
      </c>
      <c r="H47" s="15" t="s">
        <v>8269</v>
      </c>
    </row>
    <row r="48">
      <c r="A48" s="19" t="s">
        <v>170</v>
      </c>
      <c r="B48" s="18">
        <v>0</v>
      </c>
      <c r="C48" s="18">
        <v>0.272727272727273</v>
      </c>
      <c r="D48" s="18">
        <v>0.4</v>
      </c>
      <c r="E48" s="18">
        <v>0.214285714285714</v>
      </c>
      <c r="F48" s="18">
        <v>0.5</v>
      </c>
      <c r="G48" s="18">
        <v>0.424242424242424</v>
      </c>
      <c r="H48" s="18">
        <v>0.320987654320988</v>
      </c>
    </row>
    <row r="49">
      <c r="A49" s="19" t="s">
        <v>133</v>
      </c>
      <c r="B49" s="18">
        <v>0.4</v>
      </c>
      <c r="C49" s="18">
        <v>0.409090909090909</v>
      </c>
      <c r="D49" s="18">
        <v>0.2</v>
      </c>
      <c r="E49" s="18">
        <v>0.357142857142857</v>
      </c>
      <c r="F49" s="18">
        <v>0</v>
      </c>
      <c r="G49" s="18">
        <v>0.303030303030303</v>
      </c>
      <c r="H49" s="18">
        <v>0.333333333333333</v>
      </c>
    </row>
    <row r="50">
      <c r="A50" s="19" t="s">
        <v>260</v>
      </c>
      <c r="B50" s="18">
        <v>0.6</v>
      </c>
      <c r="C50" s="18">
        <v>0.318181818181818</v>
      </c>
      <c r="D50" s="18">
        <v>0.4</v>
      </c>
      <c r="E50" s="18">
        <v>0.428571428571429</v>
      </c>
      <c r="F50" s="18">
        <v>0.5</v>
      </c>
      <c r="G50" s="18">
        <v>0.272727272727273</v>
      </c>
      <c r="H50" s="18">
        <v>0.345679012345679</v>
      </c>
    </row>
    <row r="51">
      <c r="A51" s="19" t="s">
        <v>8270</v>
      </c>
      <c r="B51" s="18">
        <v>1</v>
      </c>
      <c r="C51" s="18">
        <v>1</v>
      </c>
      <c r="D51" s="18">
        <v>1</v>
      </c>
      <c r="E51" s="18">
        <v>1</v>
      </c>
      <c r="F51" s="18">
        <v>1</v>
      </c>
      <c r="G51" s="18">
        <v>1</v>
      </c>
      <c r="H51" s="18">
        <v>1</v>
      </c>
    </row>
    <row r="52">
      <c r="B52" s="18"/>
      <c r="C52" s="18"/>
      <c r="D52" s="18"/>
      <c r="E52" s="18"/>
      <c r="F52" s="18"/>
      <c r="G52" s="18"/>
      <c r="H52" s="18"/>
    </row>
    <row r="53">
      <c r="A53" s="17" t="s">
        <v>8277</v>
      </c>
    </row>
    <row r="54">
      <c r="A54" s="15" t="s">
        <v>39</v>
      </c>
      <c r="B54" s="15" t="s">
        <v>272</v>
      </c>
      <c r="C54" s="15" t="s">
        <v>378</v>
      </c>
      <c r="D54" s="15" t="s">
        <v>2807</v>
      </c>
      <c r="E54" s="15" t="s">
        <v>802</v>
      </c>
      <c r="F54" s="15" t="s">
        <v>371</v>
      </c>
      <c r="G54" s="15" t="s">
        <v>135</v>
      </c>
      <c r="H54" s="15" t="s">
        <v>8269</v>
      </c>
    </row>
    <row r="55">
      <c r="A55" s="19" t="s">
        <v>348</v>
      </c>
      <c r="B55" s="18">
        <v>0.166666666666667</v>
      </c>
      <c r="C55" s="18">
        <v>0.140845070422535</v>
      </c>
      <c r="D55" s="18">
        <v>0</v>
      </c>
      <c r="E55" s="18">
        <v>0.111111111111111</v>
      </c>
      <c r="F55" s="18">
        <v>0</v>
      </c>
      <c r="G55" s="18">
        <v>0.0617283950617284</v>
      </c>
      <c r="H55" s="18">
        <v>0.0900473933649289</v>
      </c>
    </row>
    <row r="56">
      <c r="A56" s="19" t="s">
        <v>198</v>
      </c>
      <c r="B56" s="18">
        <v>0.666666666666667</v>
      </c>
      <c r="C56" s="18">
        <v>0.619718309859155</v>
      </c>
      <c r="D56" s="18">
        <v>0.9375</v>
      </c>
      <c r="E56" s="18">
        <v>0.722222222222222</v>
      </c>
      <c r="F56" s="18">
        <v>0.692307692307692</v>
      </c>
      <c r="G56" s="18">
        <v>0.802469135802469</v>
      </c>
      <c r="H56" s="18">
        <v>0.729857819905213</v>
      </c>
    </row>
    <row r="57">
      <c r="A57" s="19" t="s">
        <v>337</v>
      </c>
      <c r="B57" s="18">
        <v>0.166666666666667</v>
      </c>
      <c r="C57" s="18">
        <v>0.23943661971831</v>
      </c>
      <c r="D57" s="18">
        <v>0.0625</v>
      </c>
      <c r="E57" s="18">
        <v>0.166666666666667</v>
      </c>
      <c r="F57" s="18">
        <v>0.307692307692308</v>
      </c>
      <c r="G57" s="18">
        <v>0.135802469135802</v>
      </c>
      <c r="H57" s="18">
        <v>0.180094786729858</v>
      </c>
    </row>
    <row r="58">
      <c r="A58" s="19" t="s">
        <v>8270</v>
      </c>
      <c r="B58" s="18">
        <v>1</v>
      </c>
      <c r="C58" s="18">
        <v>1</v>
      </c>
      <c r="D58" s="18">
        <v>1</v>
      </c>
      <c r="E58" s="18">
        <v>1</v>
      </c>
      <c r="F58" s="18">
        <v>1</v>
      </c>
      <c r="G58" s="18">
        <v>1</v>
      </c>
      <c r="H58" s="18">
        <v>1</v>
      </c>
    </row>
    <row r="59">
      <c r="B59" s="18"/>
      <c r="C59" s="18"/>
      <c r="D59" s="18"/>
      <c r="E59" s="18"/>
      <c r="F59" s="18"/>
      <c r="G59" s="18"/>
      <c r="H59" s="18"/>
    </row>
    <row r="60">
      <c r="A60" s="17" t="s">
        <v>8278</v>
      </c>
    </row>
    <row r="61">
      <c r="A61" s="15" t="s">
        <v>39</v>
      </c>
      <c r="B61" s="15" t="s">
        <v>272</v>
      </c>
      <c r="C61" s="15" t="s">
        <v>378</v>
      </c>
      <c r="D61" s="15" t="s">
        <v>2807</v>
      </c>
      <c r="E61" s="15" t="s">
        <v>802</v>
      </c>
      <c r="F61" s="15" t="s">
        <v>371</v>
      </c>
      <c r="G61" s="15" t="s">
        <v>135</v>
      </c>
      <c r="H61" s="15" t="s">
        <v>8269</v>
      </c>
    </row>
    <row r="62">
      <c r="A62" s="19" t="s">
        <v>243</v>
      </c>
      <c r="B62" s="18">
        <v>0.666666666666667</v>
      </c>
      <c r="C62" s="18">
        <v>0.461538461538462</v>
      </c>
      <c r="D62" s="18">
        <v>0.857142857142857</v>
      </c>
      <c r="E62" s="18">
        <v>0.75</v>
      </c>
      <c r="F62" s="18">
        <v>1</v>
      </c>
      <c r="G62" s="18">
        <v>0.527777777777778</v>
      </c>
      <c r="H62" s="18">
        <v>0.576576576576576</v>
      </c>
    </row>
    <row r="63">
      <c r="A63" s="19" t="s">
        <v>154</v>
      </c>
      <c r="B63" s="18">
        <v>0.111111111111111</v>
      </c>
      <c r="C63" s="18">
        <v>0.384615384615385</v>
      </c>
      <c r="D63" s="18">
        <v>0.142857142857143</v>
      </c>
      <c r="E63" s="18">
        <v>0.25</v>
      </c>
      <c r="F63" s="18">
        <v>0</v>
      </c>
      <c r="G63" s="18">
        <v>0.458333333333333</v>
      </c>
      <c r="H63" s="18">
        <v>0.378378378378378</v>
      </c>
    </row>
    <row r="64">
      <c r="A64" s="19" t="s">
        <v>185</v>
      </c>
      <c r="B64" s="18">
        <v>0.222222222222222</v>
      </c>
      <c r="C64" s="18">
        <v>0.153846153846154</v>
      </c>
      <c r="D64" s="18">
        <v>0</v>
      </c>
      <c r="E64" s="18">
        <v>0</v>
      </c>
      <c r="F64" s="18">
        <v>0</v>
      </c>
      <c r="G64" s="18">
        <v>0.0138888888888889</v>
      </c>
      <c r="H64" s="18">
        <v>0.045045045045045</v>
      </c>
    </row>
    <row r="65">
      <c r="A65" s="19" t="s">
        <v>8270</v>
      </c>
      <c r="B65" s="18">
        <v>1</v>
      </c>
      <c r="C65" s="18">
        <v>1</v>
      </c>
      <c r="D65" s="18">
        <v>1</v>
      </c>
      <c r="E65" s="18">
        <v>1</v>
      </c>
      <c r="F65" s="18">
        <v>1</v>
      </c>
      <c r="G65" s="18">
        <v>1</v>
      </c>
      <c r="H65" s="18">
        <v>1</v>
      </c>
    </row>
    <row r="66">
      <c r="B66" s="18"/>
      <c r="C66" s="18"/>
      <c r="D66" s="18"/>
      <c r="E66" s="18"/>
      <c r="F66" s="18"/>
      <c r="G66" s="18"/>
      <c r="H66" s="18"/>
    </row>
    <row r="67">
      <c r="A67" s="17" t="s">
        <v>8279</v>
      </c>
    </row>
    <row r="68">
      <c r="A68" s="15" t="s">
        <v>39</v>
      </c>
      <c r="B68" s="15" t="s">
        <v>272</v>
      </c>
      <c r="C68" s="15" t="s">
        <v>378</v>
      </c>
      <c r="D68" s="15" t="s">
        <v>2807</v>
      </c>
      <c r="E68" s="15" t="s">
        <v>802</v>
      </c>
      <c r="F68" s="15" t="s">
        <v>371</v>
      </c>
      <c r="G68" s="15" t="s">
        <v>135</v>
      </c>
      <c r="H68" s="15" t="s">
        <v>8269</v>
      </c>
    </row>
    <row r="69">
      <c r="A69" s="19" t="s">
        <v>164</v>
      </c>
      <c r="B69" s="18">
        <v>0</v>
      </c>
      <c r="C69" s="18">
        <v>0.545454545454545</v>
      </c>
      <c r="D69" s="18">
        <v>0.333333333333333</v>
      </c>
      <c r="E69" s="18">
        <v>0.545454545454545</v>
      </c>
      <c r="F69" s="18">
        <v>0.5</v>
      </c>
      <c r="G69" s="18">
        <v>0.4</v>
      </c>
      <c r="H69" s="18">
        <v>0.472222222222222</v>
      </c>
    </row>
    <row r="70">
      <c r="A70" s="19" t="s">
        <v>146</v>
      </c>
      <c r="B70" s="18">
        <v>1</v>
      </c>
      <c r="C70" s="18">
        <v>0.454545454545454</v>
      </c>
      <c r="D70" s="18">
        <v>0</v>
      </c>
      <c r="E70" s="18">
        <v>0.181818181818182</v>
      </c>
      <c r="F70" s="18">
        <v>0.5</v>
      </c>
      <c r="G70" s="18">
        <v>0.6</v>
      </c>
      <c r="H70" s="18">
        <v>0.333333333333333</v>
      </c>
    </row>
    <row r="71">
      <c r="A71" s="19" t="s">
        <v>400</v>
      </c>
      <c r="B71" s="18">
        <v>0</v>
      </c>
      <c r="C71" s="18">
        <v>0</v>
      </c>
      <c r="D71" s="18">
        <v>0.666666666666667</v>
      </c>
      <c r="E71" s="18">
        <v>0.272727272727273</v>
      </c>
      <c r="F71" s="18">
        <v>0</v>
      </c>
      <c r="G71" s="18">
        <v>0</v>
      </c>
      <c r="H71" s="18">
        <v>0.194444444444444</v>
      </c>
    </row>
    <row r="72">
      <c r="A72" s="19" t="s">
        <v>8270</v>
      </c>
      <c r="B72" s="18">
        <v>1</v>
      </c>
      <c r="C72" s="18">
        <v>1</v>
      </c>
      <c r="D72" s="18">
        <v>1</v>
      </c>
      <c r="E72" s="18">
        <v>1</v>
      </c>
      <c r="F72" s="18">
        <v>1</v>
      </c>
      <c r="G72" s="18">
        <v>1</v>
      </c>
      <c r="H72" s="18">
        <v>1</v>
      </c>
    </row>
    <row r="73">
      <c r="B73" s="18"/>
      <c r="C73" s="18"/>
      <c r="D73" s="18"/>
      <c r="E73" s="18"/>
      <c r="F73" s="18"/>
      <c r="G73" s="18"/>
      <c r="H73" s="18"/>
    </row>
    <row r="74">
      <c r="A74" s="17" t="s">
        <v>8280</v>
      </c>
    </row>
    <row r="75">
      <c r="A75" s="15" t="s">
        <v>39</v>
      </c>
      <c r="B75" s="15" t="s">
        <v>272</v>
      </c>
      <c r="C75" s="15" t="s">
        <v>378</v>
      </c>
      <c r="D75" s="15" t="s">
        <v>2807</v>
      </c>
      <c r="E75" s="15" t="s">
        <v>802</v>
      </c>
      <c r="F75" s="15" t="s">
        <v>371</v>
      </c>
      <c r="G75" s="15" t="s">
        <v>135</v>
      </c>
      <c r="H75" s="15" t="s">
        <v>8269</v>
      </c>
    </row>
    <row r="76">
      <c r="A76" s="19" t="s">
        <v>170</v>
      </c>
      <c r="B76" s="18">
        <v>0</v>
      </c>
      <c r="C76" s="18">
        <v>0.333333333333333</v>
      </c>
      <c r="D76" s="18">
        <v>0.666666666666667</v>
      </c>
      <c r="E76" s="18">
        <v>0</v>
      </c>
      <c r="F76" s="18">
        <v>0</v>
      </c>
      <c r="G76" s="18">
        <v>0.333333333333333</v>
      </c>
      <c r="H76" s="18">
        <v>0.3125</v>
      </c>
    </row>
    <row r="77">
      <c r="A77" s="19" t="s">
        <v>133</v>
      </c>
      <c r="B77" s="18">
        <v>1</v>
      </c>
      <c r="C77" s="18">
        <v>0.333333333333333</v>
      </c>
      <c r="D77" s="18">
        <v>0</v>
      </c>
      <c r="E77" s="18">
        <v>0.666666666666667</v>
      </c>
      <c r="F77" s="18">
        <v>0</v>
      </c>
      <c r="G77" s="18">
        <v>0.166666666666667</v>
      </c>
      <c r="H77" s="18">
        <v>0.3125</v>
      </c>
    </row>
    <row r="78">
      <c r="A78" s="19" t="s">
        <v>260</v>
      </c>
      <c r="B78" s="18">
        <v>0</v>
      </c>
      <c r="C78" s="18">
        <v>0.333333333333333</v>
      </c>
      <c r="D78" s="18">
        <v>0.333333333333333</v>
      </c>
      <c r="E78" s="18">
        <v>0.333333333333333</v>
      </c>
      <c r="F78" s="18">
        <v>0</v>
      </c>
      <c r="G78" s="18">
        <v>0.5</v>
      </c>
      <c r="H78" s="18">
        <v>0.375</v>
      </c>
    </row>
    <row r="79">
      <c r="A79" s="19" t="s">
        <v>8270</v>
      </c>
      <c r="B79" s="18">
        <v>1</v>
      </c>
      <c r="C79" s="18">
        <v>1</v>
      </c>
      <c r="D79" s="18">
        <v>1</v>
      </c>
      <c r="E79" s="18">
        <v>1</v>
      </c>
      <c r="F79" s="18">
        <v>1</v>
      </c>
      <c r="G79" s="18">
        <v>1</v>
      </c>
      <c r="H79" s="18">
        <v>1</v>
      </c>
    </row>
    <row r="80">
      <c r="B80" s="18"/>
      <c r="C80" s="18"/>
      <c r="D80" s="18"/>
      <c r="E80" s="18"/>
      <c r="F80" s="18"/>
      <c r="G80" s="18"/>
      <c r="H80" s="18"/>
    </row>
    <row r="81">
      <c r="A81" s="17" t="s">
        <v>8281</v>
      </c>
    </row>
    <row r="82">
      <c r="A82" s="15" t="s">
        <v>39</v>
      </c>
      <c r="B82" s="15" t="s">
        <v>272</v>
      </c>
      <c r="C82" s="15" t="s">
        <v>378</v>
      </c>
      <c r="D82" s="15" t="s">
        <v>2807</v>
      </c>
      <c r="E82" s="15" t="s">
        <v>802</v>
      </c>
      <c r="F82" s="15" t="s">
        <v>371</v>
      </c>
      <c r="G82" s="15" t="s">
        <v>135</v>
      </c>
      <c r="H82" s="15" t="s">
        <v>8269</v>
      </c>
    </row>
    <row r="83">
      <c r="A83" s="19" t="s">
        <v>348</v>
      </c>
      <c r="B83" s="18">
        <v>0.4</v>
      </c>
      <c r="C83" s="18">
        <v>0.136363636363636</v>
      </c>
      <c r="D83" s="18">
        <v>0</v>
      </c>
      <c r="E83" s="18">
        <v>0</v>
      </c>
      <c r="F83" s="18">
        <v>0</v>
      </c>
      <c r="G83" s="18">
        <v>0.0434782608695652</v>
      </c>
      <c r="H83" s="18">
        <v>0.0952380952380952</v>
      </c>
    </row>
    <row r="84">
      <c r="A84" s="19" t="s">
        <v>198</v>
      </c>
      <c r="B84" s="18">
        <v>0.4</v>
      </c>
      <c r="C84" s="18">
        <v>0.590909090909091</v>
      </c>
      <c r="D84" s="18">
        <v>0.666666666666667</v>
      </c>
      <c r="E84" s="18">
        <v>1</v>
      </c>
      <c r="F84" s="18">
        <v>1</v>
      </c>
      <c r="G84" s="18">
        <v>0.826086956521739</v>
      </c>
      <c r="H84" s="18">
        <v>0.714285714285714</v>
      </c>
    </row>
    <row r="85">
      <c r="A85" s="19" t="s">
        <v>337</v>
      </c>
      <c r="B85" s="18">
        <v>0.2</v>
      </c>
      <c r="C85" s="18">
        <v>0.272727272727273</v>
      </c>
      <c r="D85" s="18">
        <v>0.333333333333333</v>
      </c>
      <c r="E85" s="18">
        <v>0</v>
      </c>
      <c r="F85" s="18">
        <v>0</v>
      </c>
      <c r="G85" s="18">
        <v>0.130434782608696</v>
      </c>
      <c r="H85" s="18">
        <v>0.19047619047619</v>
      </c>
    </row>
    <row r="86">
      <c r="A86" s="19" t="s">
        <v>8270</v>
      </c>
      <c r="B86" s="18">
        <v>1</v>
      </c>
      <c r="C86" s="18">
        <v>1</v>
      </c>
      <c r="D86" s="18">
        <v>1</v>
      </c>
      <c r="E86" s="18">
        <v>1</v>
      </c>
      <c r="F86" s="18">
        <v>1</v>
      </c>
      <c r="G86" s="18">
        <v>1</v>
      </c>
      <c r="H86" s="18">
        <v>1</v>
      </c>
    </row>
    <row r="87">
      <c r="B87" s="18"/>
      <c r="C87" s="18"/>
      <c r="D87" s="18"/>
      <c r="E87" s="18"/>
      <c r="F87" s="18"/>
      <c r="G87" s="18"/>
      <c r="H87" s="18"/>
    </row>
    <row r="88">
      <c r="A88" s="17" t="s">
        <v>8282</v>
      </c>
    </row>
    <row r="89">
      <c r="A89" s="15" t="s">
        <v>39</v>
      </c>
      <c r="B89" s="15" t="s">
        <v>272</v>
      </c>
      <c r="C89" s="15" t="s">
        <v>378</v>
      </c>
      <c r="D89" s="15" t="s">
        <v>2807</v>
      </c>
      <c r="E89" s="15" t="s">
        <v>802</v>
      </c>
      <c r="F89" s="15" t="s">
        <v>371</v>
      </c>
      <c r="G89" s="15" t="s">
        <v>135</v>
      </c>
      <c r="H89" s="15" t="s">
        <v>8269</v>
      </c>
    </row>
    <row r="90">
      <c r="A90" s="19" t="s">
        <v>243</v>
      </c>
      <c r="B90" s="18">
        <v>0</v>
      </c>
      <c r="C90" s="18">
        <v>0.2</v>
      </c>
      <c r="D90" s="18">
        <v>1</v>
      </c>
      <c r="E90" s="18">
        <v>0.666666666666667</v>
      </c>
      <c r="F90" s="18">
        <v>1</v>
      </c>
      <c r="G90" s="18">
        <v>0.5</v>
      </c>
      <c r="H90" s="18">
        <v>0.485714285714286</v>
      </c>
    </row>
    <row r="91">
      <c r="A91" s="19" t="s">
        <v>154</v>
      </c>
      <c r="B91" s="18">
        <v>0</v>
      </c>
      <c r="C91" s="18">
        <v>0.6</v>
      </c>
      <c r="D91" s="18">
        <v>0</v>
      </c>
      <c r="E91" s="18">
        <v>0.333333333333333</v>
      </c>
      <c r="F91" s="18">
        <v>0</v>
      </c>
      <c r="G91" s="18">
        <v>0.5</v>
      </c>
      <c r="H91" s="18">
        <v>0.457142857142857</v>
      </c>
    </row>
    <row r="92">
      <c r="A92" s="19" t="s">
        <v>185</v>
      </c>
      <c r="B92" s="18">
        <v>1</v>
      </c>
      <c r="C92" s="18">
        <v>0.2</v>
      </c>
      <c r="D92" s="18">
        <v>0</v>
      </c>
      <c r="E92" s="18">
        <v>0</v>
      </c>
      <c r="F92" s="18">
        <v>0</v>
      </c>
      <c r="G92" s="18">
        <v>0</v>
      </c>
      <c r="H92" s="18">
        <v>0.0571428571428571</v>
      </c>
    </row>
    <row r="93">
      <c r="A93" s="19" t="s">
        <v>8270</v>
      </c>
      <c r="B93" s="18">
        <v>1</v>
      </c>
      <c r="C93" s="18">
        <v>1</v>
      </c>
      <c r="D93" s="18">
        <v>1</v>
      </c>
      <c r="E93" s="18">
        <v>1</v>
      </c>
      <c r="F93" s="18">
        <v>1</v>
      </c>
      <c r="G93" s="18">
        <v>1</v>
      </c>
      <c r="H93" s="18">
        <v>1</v>
      </c>
    </row>
    <row r="94">
      <c r="B94" s="18"/>
      <c r="C94" s="18"/>
      <c r="D94" s="18"/>
      <c r="E94" s="18"/>
      <c r="F94" s="18"/>
      <c r="G94" s="18"/>
      <c r="H94" s="18"/>
    </row>
    <row r="95">
      <c r="A95" s="17" t="s">
        <v>8283</v>
      </c>
    </row>
    <row r="96">
      <c r="A96" s="15" t="s">
        <v>39</v>
      </c>
      <c r="B96" s="15" t="s">
        <v>272</v>
      </c>
      <c r="C96" s="15" t="s">
        <v>378</v>
      </c>
      <c r="D96" s="15" t="s">
        <v>2807</v>
      </c>
      <c r="E96" s="15" t="s">
        <v>802</v>
      </c>
      <c r="F96" s="15" t="s">
        <v>371</v>
      </c>
      <c r="G96" s="15" t="s">
        <v>135</v>
      </c>
      <c r="H96" s="15" t="s">
        <v>8269</v>
      </c>
    </row>
    <row r="97">
      <c r="A97" s="19" t="s">
        <v>164</v>
      </c>
      <c r="B97" s="18">
        <v>0</v>
      </c>
      <c r="C97" s="18">
        <v>0.8</v>
      </c>
      <c r="D97" s="18">
        <v>0</v>
      </c>
      <c r="E97" s="18">
        <v>0</v>
      </c>
      <c r="F97" s="18">
        <v>0</v>
      </c>
      <c r="G97" s="18">
        <v>0.5</v>
      </c>
      <c r="H97" s="18">
        <v>0.416666666666667</v>
      </c>
    </row>
    <row r="98">
      <c r="A98" s="19" t="s">
        <v>146</v>
      </c>
      <c r="B98" s="18">
        <v>1</v>
      </c>
      <c r="C98" s="18">
        <v>0.2</v>
      </c>
      <c r="D98" s="18">
        <v>0</v>
      </c>
      <c r="E98" s="18">
        <v>0.5</v>
      </c>
      <c r="F98" s="18">
        <v>1</v>
      </c>
      <c r="G98" s="18">
        <v>0.5</v>
      </c>
      <c r="H98" s="18">
        <v>0.416666666666667</v>
      </c>
    </row>
    <row r="99">
      <c r="A99" s="19" t="s">
        <v>400</v>
      </c>
      <c r="B99" s="18">
        <v>0</v>
      </c>
      <c r="C99" s="18">
        <v>0</v>
      </c>
      <c r="D99" s="18">
        <v>1</v>
      </c>
      <c r="E99" s="18">
        <v>0.5</v>
      </c>
      <c r="F99" s="18">
        <v>0</v>
      </c>
      <c r="G99" s="18">
        <v>0</v>
      </c>
      <c r="H99" s="18">
        <v>0.166666666666667</v>
      </c>
    </row>
    <row r="100">
      <c r="A100" s="19" t="s">
        <v>8270</v>
      </c>
      <c r="B100" s="18">
        <v>1</v>
      </c>
      <c r="C100" s="18">
        <v>1</v>
      </c>
      <c r="D100" s="18">
        <v>1</v>
      </c>
      <c r="E100" s="18">
        <v>1</v>
      </c>
      <c r="F100" s="18">
        <v>1</v>
      </c>
      <c r="G100" s="18">
        <v>1</v>
      </c>
      <c r="H100" s="18">
        <v>1</v>
      </c>
    </row>
    <row r="101">
      <c r="B101" s="18"/>
      <c r="C101" s="18"/>
      <c r="D101" s="18"/>
      <c r="E101" s="18"/>
      <c r="F101" s="18"/>
      <c r="G101" s="18"/>
      <c r="H101" s="18"/>
    </row>
    <row r="102">
      <c r="A102" s="17" t="s">
        <v>8284</v>
      </c>
    </row>
    <row r="103">
      <c r="A103" s="15" t="s">
        <v>39</v>
      </c>
      <c r="B103" s="15" t="s">
        <v>272</v>
      </c>
      <c r="C103" s="15" t="s">
        <v>378</v>
      </c>
      <c r="D103" s="15" t="s">
        <v>2807</v>
      </c>
      <c r="E103" s="15" t="s">
        <v>802</v>
      </c>
      <c r="F103" s="15" t="s">
        <v>371</v>
      </c>
      <c r="G103" s="15" t="s">
        <v>135</v>
      </c>
      <c r="H103" s="15" t="s">
        <v>8269</v>
      </c>
    </row>
    <row r="104">
      <c r="A104" s="19" t="s">
        <v>170</v>
      </c>
      <c r="B104" s="18">
        <v>0</v>
      </c>
      <c r="C104" s="18">
        <v>0.333333333333333</v>
      </c>
      <c r="D104" s="18">
        <v>0</v>
      </c>
      <c r="E104" s="18">
        <v>0</v>
      </c>
      <c r="F104" s="18">
        <v>0</v>
      </c>
      <c r="G104" s="18">
        <v>0.333333333333333</v>
      </c>
      <c r="H104" s="18">
        <v>0.333333333333333</v>
      </c>
    </row>
    <row r="105">
      <c r="A105" s="19" t="s">
        <v>133</v>
      </c>
      <c r="B105" s="18">
        <v>0</v>
      </c>
      <c r="C105" s="18">
        <v>0.333333333333333</v>
      </c>
      <c r="D105" s="18">
        <v>0</v>
      </c>
      <c r="E105" s="18">
        <v>0</v>
      </c>
      <c r="F105" s="18">
        <v>0</v>
      </c>
      <c r="G105" s="18">
        <v>0</v>
      </c>
      <c r="H105" s="18">
        <v>0.166666666666667</v>
      </c>
    </row>
    <row r="106">
      <c r="A106" s="19" t="s">
        <v>260</v>
      </c>
      <c r="B106" s="18">
        <v>0</v>
      </c>
      <c r="C106" s="18">
        <v>0.333333333333333</v>
      </c>
      <c r="D106" s="18">
        <v>0</v>
      </c>
      <c r="E106" s="18">
        <v>0</v>
      </c>
      <c r="F106" s="18">
        <v>0</v>
      </c>
      <c r="G106" s="18">
        <v>0.666666666666667</v>
      </c>
      <c r="H106" s="18">
        <v>0.5</v>
      </c>
    </row>
    <row r="107">
      <c r="A107" s="19" t="s">
        <v>8270</v>
      </c>
      <c r="B107" s="18">
        <v>1</v>
      </c>
      <c r="C107" s="18">
        <v>1</v>
      </c>
      <c r="D107" s="18">
        <v>1</v>
      </c>
      <c r="E107" s="18">
        <v>1</v>
      </c>
      <c r="F107" s="18">
        <v>1</v>
      </c>
      <c r="G107" s="18">
        <v>1</v>
      </c>
      <c r="H107" s="18">
        <v>1</v>
      </c>
    </row>
    <row r="108">
      <c r="B108" s="18"/>
      <c r="C108" s="18"/>
      <c r="D108" s="18"/>
      <c r="E108" s="18"/>
      <c r="F108" s="18"/>
      <c r="G108" s="18"/>
      <c r="H108" s="18"/>
    </row>
    <row r="109">
      <c r="A109" s="17" t="s">
        <v>8285</v>
      </c>
    </row>
    <row r="110">
      <c r="A110" s="15" t="s">
        <v>8286</v>
      </c>
      <c r="B110" s="15" t="s">
        <v>272</v>
      </c>
      <c r="C110" s="15" t="s">
        <v>378</v>
      </c>
      <c r="D110" s="15" t="s">
        <v>2807</v>
      </c>
      <c r="E110" s="15" t="s">
        <v>802</v>
      </c>
      <c r="F110" s="15" t="s">
        <v>371</v>
      </c>
      <c r="G110" s="15" t="s">
        <v>135</v>
      </c>
      <c r="H110" s="15" t="s">
        <v>8269</v>
      </c>
    </row>
    <row r="111">
      <c r="A111" s="19" t="s">
        <v>349</v>
      </c>
      <c r="B111" s="18">
        <v>1</v>
      </c>
      <c r="C111" s="18">
        <v>0.423076923076923</v>
      </c>
      <c r="D111" s="18">
        <v>0</v>
      </c>
      <c r="E111" s="18">
        <v>0</v>
      </c>
      <c r="F111" s="18">
        <v>0</v>
      </c>
      <c r="G111" s="18">
        <v>0.269230769230769</v>
      </c>
      <c r="H111" s="18">
        <v>0.32258064516129</v>
      </c>
    </row>
    <row r="112">
      <c r="A112" s="19" t="s">
        <v>650</v>
      </c>
      <c r="B112" s="18">
        <v>0</v>
      </c>
      <c r="C112" s="18">
        <v>0.576923076923077</v>
      </c>
      <c r="D112" s="18">
        <v>0</v>
      </c>
      <c r="E112" s="18">
        <v>1</v>
      </c>
      <c r="F112" s="18">
        <v>0</v>
      </c>
      <c r="G112" s="18">
        <v>0.730769230769231</v>
      </c>
      <c r="H112" s="18">
        <v>0.67741935483871</v>
      </c>
    </row>
    <row r="113">
      <c r="A113" s="19" t="s">
        <v>8270</v>
      </c>
      <c r="B113" s="18">
        <v>1</v>
      </c>
      <c r="C113" s="18">
        <v>1</v>
      </c>
      <c r="D113" s="18">
        <v>1</v>
      </c>
      <c r="E113" s="18">
        <v>1</v>
      </c>
      <c r="F113" s="18">
        <v>1</v>
      </c>
      <c r="G113" s="18">
        <v>1</v>
      </c>
      <c r="H113" s="18">
        <v>1</v>
      </c>
    </row>
    <row r="114">
      <c r="B114" s="18"/>
      <c r="C114" s="18"/>
      <c r="D114" s="18"/>
      <c r="E114" s="18"/>
      <c r="F114" s="18"/>
      <c r="G114" s="18"/>
      <c r="H114" s="18"/>
    </row>
    <row r="115">
      <c r="A115" s="17" t="s">
        <v>8287</v>
      </c>
    </row>
    <row r="116">
      <c r="A116" s="15" t="s">
        <v>8286</v>
      </c>
      <c r="B116" s="15" t="s">
        <v>272</v>
      </c>
      <c r="C116" s="15" t="s">
        <v>378</v>
      </c>
      <c r="D116" s="15" t="s">
        <v>2807</v>
      </c>
      <c r="E116" s="15" t="s">
        <v>802</v>
      </c>
      <c r="F116" s="15" t="s">
        <v>371</v>
      </c>
      <c r="G116" s="15" t="s">
        <v>135</v>
      </c>
      <c r="H116" s="15" t="s">
        <v>8269</v>
      </c>
    </row>
    <row r="117">
      <c r="A117" s="19" t="s">
        <v>220</v>
      </c>
      <c r="B117" s="18">
        <v>0.272727272727273</v>
      </c>
      <c r="C117" s="18">
        <v>0.0574712643678161</v>
      </c>
      <c r="D117" s="18">
        <v>0.0666666666666667</v>
      </c>
      <c r="E117" s="18">
        <v>0.0571428571428571</v>
      </c>
      <c r="F117" s="18">
        <v>0</v>
      </c>
      <c r="G117" s="18">
        <v>0.549019607843137</v>
      </c>
      <c r="H117" s="18">
        <v>0.242857142857143</v>
      </c>
    </row>
    <row r="118">
      <c r="A118" s="19" t="s">
        <v>216</v>
      </c>
      <c r="B118" s="18">
        <v>0.272727272727273</v>
      </c>
      <c r="C118" s="18">
        <v>0.425287356321839</v>
      </c>
      <c r="D118" s="18">
        <v>0.466666666666667</v>
      </c>
      <c r="E118" s="18">
        <v>0.428571428571429</v>
      </c>
      <c r="F118" s="18">
        <v>0.466666666666667</v>
      </c>
      <c r="G118" s="18">
        <v>0.156862745098039</v>
      </c>
      <c r="H118" s="18">
        <v>0.328571428571429</v>
      </c>
    </row>
    <row r="119">
      <c r="A119" s="19" t="s">
        <v>199</v>
      </c>
      <c r="B119" s="18">
        <v>0.454545454545454</v>
      </c>
      <c r="C119" s="18">
        <v>0.494252873563218</v>
      </c>
      <c r="D119" s="18">
        <v>0.466666666666667</v>
      </c>
      <c r="E119" s="18">
        <v>0.457142857142857</v>
      </c>
      <c r="F119" s="18">
        <v>0.533333333333333</v>
      </c>
      <c r="G119" s="18">
        <v>0.254901960784314</v>
      </c>
      <c r="H119" s="18">
        <v>0.4</v>
      </c>
    </row>
    <row r="120">
      <c r="A120" s="19" t="s">
        <v>682</v>
      </c>
      <c r="B120" s="18">
        <v>0</v>
      </c>
      <c r="C120" s="18">
        <v>0.0229885057471264</v>
      </c>
      <c r="D120" s="18">
        <v>0</v>
      </c>
      <c r="E120" s="18">
        <v>0.0571428571428571</v>
      </c>
      <c r="F120" s="18">
        <v>0</v>
      </c>
      <c r="G120" s="18">
        <v>0.0392156862745098</v>
      </c>
      <c r="H120" s="18">
        <v>0.0285714285714286</v>
      </c>
    </row>
    <row r="121">
      <c r="A121" s="19" t="s">
        <v>8270</v>
      </c>
      <c r="B121" s="18">
        <v>1</v>
      </c>
      <c r="C121" s="18">
        <v>1</v>
      </c>
      <c r="D121" s="18">
        <v>1</v>
      </c>
      <c r="E121" s="18">
        <v>1</v>
      </c>
      <c r="F121" s="18">
        <v>1</v>
      </c>
      <c r="G121" s="18">
        <v>1</v>
      </c>
      <c r="H121" s="18">
        <v>1</v>
      </c>
    </row>
    <row r="122">
      <c r="B122" s="18"/>
      <c r="C122" s="18"/>
      <c r="D122" s="18"/>
      <c r="E122" s="18"/>
      <c r="F122" s="18"/>
      <c r="G122" s="18"/>
      <c r="H122" s="18"/>
    </row>
    <row r="123">
      <c r="A123" s="17" t="s">
        <v>8288</v>
      </c>
    </row>
    <row r="124">
      <c r="A124" s="15" t="s">
        <v>8286</v>
      </c>
      <c r="B124" s="15" t="s">
        <v>272</v>
      </c>
      <c r="C124" s="15" t="s">
        <v>378</v>
      </c>
      <c r="D124" s="15" t="s">
        <v>2807</v>
      </c>
      <c r="E124" s="15" t="s">
        <v>802</v>
      </c>
      <c r="F124" s="15" t="s">
        <v>371</v>
      </c>
      <c r="G124" s="15" t="s">
        <v>135</v>
      </c>
      <c r="H124" s="15" t="s">
        <v>8269</v>
      </c>
    </row>
    <row r="125">
      <c r="A125" s="19" t="s">
        <v>1222</v>
      </c>
      <c r="B125" s="18">
        <v>0</v>
      </c>
      <c r="C125" s="18">
        <v>0.0344827586206897</v>
      </c>
      <c r="D125" s="18">
        <v>0</v>
      </c>
      <c r="E125" s="18">
        <v>0</v>
      </c>
      <c r="F125" s="18">
        <v>0</v>
      </c>
      <c r="G125" s="18">
        <v>0.0526315789473684</v>
      </c>
      <c r="H125" s="18">
        <v>0.028169014084507</v>
      </c>
    </row>
    <row r="126">
      <c r="A126" s="19" t="s">
        <v>576</v>
      </c>
      <c r="B126" s="18">
        <v>0.6</v>
      </c>
      <c r="C126" s="18">
        <v>0.827586206896552</v>
      </c>
      <c r="D126" s="18">
        <v>0.75</v>
      </c>
      <c r="E126" s="18">
        <v>0.857142857142857</v>
      </c>
      <c r="F126" s="18">
        <v>0.714285714285714</v>
      </c>
      <c r="G126" s="18">
        <v>0.842105263157895</v>
      </c>
      <c r="H126" s="18">
        <v>0.802816901408451</v>
      </c>
    </row>
    <row r="127">
      <c r="A127" s="19" t="s">
        <v>338</v>
      </c>
      <c r="B127" s="18">
        <v>0.4</v>
      </c>
      <c r="C127" s="18">
        <v>0.137931034482759</v>
      </c>
      <c r="D127" s="18">
        <v>0.25</v>
      </c>
      <c r="E127" s="18">
        <v>0.142857142857143</v>
      </c>
      <c r="F127" s="18">
        <v>0.285714285714286</v>
      </c>
      <c r="G127" s="18">
        <v>0.105263157894737</v>
      </c>
      <c r="H127" s="18">
        <v>0.169014084507042</v>
      </c>
    </row>
    <row r="128">
      <c r="A128" s="19" t="s">
        <v>8270</v>
      </c>
      <c r="B128" s="18">
        <v>1</v>
      </c>
      <c r="C128" s="18">
        <v>1</v>
      </c>
      <c r="D128" s="18">
        <v>1</v>
      </c>
      <c r="E128" s="18">
        <v>1</v>
      </c>
      <c r="F128" s="18">
        <v>1</v>
      </c>
      <c r="G128" s="18">
        <v>1</v>
      </c>
      <c r="H128" s="18">
        <v>1</v>
      </c>
    </row>
    <row r="129">
      <c r="B129" s="18"/>
      <c r="C129" s="18"/>
      <c r="D129" s="18"/>
      <c r="E129" s="18"/>
      <c r="F129" s="18"/>
      <c r="G129" s="18"/>
      <c r="H129" s="18"/>
    </row>
    <row r="130">
      <c r="A130" s="17" t="s">
        <v>8289</v>
      </c>
    </row>
    <row r="131">
      <c r="A131" s="15" t="s">
        <v>8286</v>
      </c>
      <c r="B131" s="15" t="s">
        <v>272</v>
      </c>
      <c r="C131" s="15" t="s">
        <v>378</v>
      </c>
      <c r="D131" s="15" t="s">
        <v>2807</v>
      </c>
      <c r="E131" s="15" t="s">
        <v>802</v>
      </c>
      <c r="F131" s="15" t="s">
        <v>371</v>
      </c>
      <c r="G131" s="15" t="s">
        <v>135</v>
      </c>
      <c r="H131" s="15" t="s">
        <v>8269</v>
      </c>
    </row>
    <row r="132">
      <c r="A132" s="19" t="s">
        <v>292</v>
      </c>
      <c r="B132" s="18">
        <v>0.0714285714285714</v>
      </c>
      <c r="C132" s="18">
        <v>0.1</v>
      </c>
      <c r="D132" s="18">
        <v>0.230769230769231</v>
      </c>
      <c r="E132" s="18">
        <v>0</v>
      </c>
      <c r="F132" s="18">
        <v>0</v>
      </c>
      <c r="G132" s="18">
        <v>0.0804597701149425</v>
      </c>
      <c r="H132" s="18">
        <v>0.0828025477707006</v>
      </c>
    </row>
    <row r="133">
      <c r="A133" s="19" t="s">
        <v>537</v>
      </c>
      <c r="B133" s="18">
        <v>0.285714285714286</v>
      </c>
      <c r="C133" s="18">
        <v>0.2</v>
      </c>
      <c r="D133" s="18">
        <v>0.538461538461538</v>
      </c>
      <c r="E133" s="18">
        <v>0.142857142857143</v>
      </c>
      <c r="F133" s="18">
        <v>0.5</v>
      </c>
      <c r="G133" s="18">
        <v>0.390804597701149</v>
      </c>
      <c r="H133" s="18">
        <v>0.337579617834395</v>
      </c>
    </row>
    <row r="134">
      <c r="A134" s="19" t="s">
        <v>456</v>
      </c>
      <c r="B134" s="18">
        <v>0.142857142857143</v>
      </c>
      <c r="C134" s="18">
        <v>0.25</v>
      </c>
      <c r="D134" s="18">
        <v>0</v>
      </c>
      <c r="E134" s="18">
        <v>0.238095238095238</v>
      </c>
      <c r="F134" s="18">
        <v>0</v>
      </c>
      <c r="G134" s="18">
        <v>0.0804597701149425</v>
      </c>
      <c r="H134" s="18">
        <v>0.121019108280255</v>
      </c>
    </row>
    <row r="135">
      <c r="A135" s="19" t="s">
        <v>571</v>
      </c>
      <c r="B135" s="18">
        <v>0.142857142857143</v>
      </c>
      <c r="C135" s="18">
        <v>0.1</v>
      </c>
      <c r="D135" s="18">
        <v>0</v>
      </c>
      <c r="E135" s="18">
        <v>0.142857142857143</v>
      </c>
      <c r="F135" s="18">
        <v>0.5</v>
      </c>
      <c r="G135" s="18">
        <v>0.137931034482759</v>
      </c>
      <c r="H135" s="18">
        <v>0.127388535031847</v>
      </c>
    </row>
    <row r="136">
      <c r="A136" s="19" t="s">
        <v>244</v>
      </c>
      <c r="B136" s="18">
        <v>0.357142857142857</v>
      </c>
      <c r="C136" s="18">
        <v>0.35</v>
      </c>
      <c r="D136" s="18">
        <v>0.230769230769231</v>
      </c>
      <c r="E136" s="18">
        <v>0.476190476190476</v>
      </c>
      <c r="F136" s="18">
        <v>0</v>
      </c>
      <c r="G136" s="18">
        <v>0.310344827586207</v>
      </c>
      <c r="H136" s="18">
        <v>0.331210191082802</v>
      </c>
    </row>
    <row r="137">
      <c r="A137" s="19" t="s">
        <v>8270</v>
      </c>
      <c r="B137" s="18">
        <v>1</v>
      </c>
      <c r="C137" s="18">
        <v>1</v>
      </c>
      <c r="D137" s="18">
        <v>1</v>
      </c>
      <c r="E137" s="18">
        <v>1</v>
      </c>
      <c r="F137" s="18">
        <v>1</v>
      </c>
      <c r="G137" s="18">
        <v>1</v>
      </c>
      <c r="H137" s="18">
        <v>1</v>
      </c>
    </row>
    <row r="138">
      <c r="B138" s="18"/>
      <c r="C138" s="18"/>
      <c r="D138" s="18"/>
      <c r="E138" s="18"/>
      <c r="F138" s="18"/>
      <c r="G138" s="18"/>
      <c r="H138" s="18"/>
    </row>
    <row r="139">
      <c r="A139" s="17" t="s">
        <v>8290</v>
      </c>
    </row>
    <row r="140">
      <c r="A140" s="15" t="s">
        <v>8286</v>
      </c>
      <c r="B140" s="15" t="s">
        <v>272</v>
      </c>
      <c r="C140" s="15" t="s">
        <v>378</v>
      </c>
      <c r="D140" s="15" t="s">
        <v>2807</v>
      </c>
      <c r="E140" s="15" t="s">
        <v>802</v>
      </c>
      <c r="F140" s="15" t="s">
        <v>371</v>
      </c>
      <c r="G140" s="15" t="s">
        <v>135</v>
      </c>
      <c r="H140" s="15" t="s">
        <v>8269</v>
      </c>
    </row>
    <row r="141">
      <c r="A141" s="19" t="s">
        <v>268</v>
      </c>
      <c r="B141" s="18">
        <v>0.5</v>
      </c>
      <c r="C141" s="18">
        <v>0.791666666666666</v>
      </c>
      <c r="D141" s="18">
        <v>0.8</v>
      </c>
      <c r="E141" s="18">
        <v>0.857142857142857</v>
      </c>
      <c r="F141" s="18">
        <v>0</v>
      </c>
      <c r="G141" s="18">
        <v>0.621621621621622</v>
      </c>
      <c r="H141" s="18">
        <v>0.67479674796748</v>
      </c>
    </row>
    <row r="142">
      <c r="A142" s="19" t="s">
        <v>306</v>
      </c>
      <c r="B142" s="18">
        <v>0.25</v>
      </c>
      <c r="C142" s="18">
        <v>0.125</v>
      </c>
      <c r="D142" s="18">
        <v>0</v>
      </c>
      <c r="E142" s="18">
        <v>0.142857142857143</v>
      </c>
      <c r="F142" s="18">
        <v>0</v>
      </c>
      <c r="G142" s="18">
        <v>0.22972972972973</v>
      </c>
      <c r="H142" s="18">
        <v>0.186991869918699</v>
      </c>
    </row>
    <row r="143">
      <c r="A143" s="19" t="s">
        <v>155</v>
      </c>
      <c r="B143" s="18">
        <v>0.25</v>
      </c>
      <c r="C143" s="18">
        <v>0.0833333333333333</v>
      </c>
      <c r="D143" s="18">
        <v>0.2</v>
      </c>
      <c r="E143" s="18">
        <v>0</v>
      </c>
      <c r="F143" s="18">
        <v>1</v>
      </c>
      <c r="G143" s="18">
        <v>0.148648648648649</v>
      </c>
      <c r="H143" s="18">
        <v>0.138211382113821</v>
      </c>
    </row>
    <row r="144">
      <c r="A144" s="19" t="s">
        <v>8270</v>
      </c>
      <c r="B144" s="18">
        <v>1</v>
      </c>
      <c r="C144" s="18">
        <v>1</v>
      </c>
      <c r="D144" s="18">
        <v>1</v>
      </c>
      <c r="E144" s="18">
        <v>1</v>
      </c>
      <c r="F144" s="18">
        <v>1</v>
      </c>
      <c r="G144" s="18">
        <v>1</v>
      </c>
      <c r="H144" s="18">
        <v>1</v>
      </c>
    </row>
    <row r="145">
      <c r="B145" s="18"/>
      <c r="C145" s="18"/>
      <c r="D145" s="18"/>
      <c r="E145" s="18"/>
      <c r="F145" s="18"/>
      <c r="G145" s="18"/>
      <c r="H145" s="18"/>
    </row>
    <row r="146">
      <c r="A146" s="17" t="s">
        <v>8291</v>
      </c>
    </row>
    <row r="147">
      <c r="A147" s="15" t="s">
        <v>8286</v>
      </c>
      <c r="B147" s="15" t="s">
        <v>272</v>
      </c>
      <c r="C147" s="15" t="s">
        <v>378</v>
      </c>
      <c r="D147" s="15" t="s">
        <v>2807</v>
      </c>
      <c r="E147" s="15" t="s">
        <v>802</v>
      </c>
      <c r="F147" s="15" t="s">
        <v>371</v>
      </c>
      <c r="G147" s="15" t="s">
        <v>135</v>
      </c>
      <c r="H147" s="15" t="s">
        <v>8269</v>
      </c>
    </row>
    <row r="148">
      <c r="A148" s="19" t="s">
        <v>871</v>
      </c>
      <c r="B148" s="18">
        <v>0</v>
      </c>
      <c r="C148" s="18">
        <v>0.2</v>
      </c>
      <c r="D148" s="18">
        <v>0</v>
      </c>
      <c r="E148" s="18">
        <v>0</v>
      </c>
      <c r="F148" s="18">
        <v>0</v>
      </c>
      <c r="G148" s="18">
        <v>0</v>
      </c>
      <c r="H148" s="18">
        <v>0.0952380952380952</v>
      </c>
    </row>
    <row r="149">
      <c r="A149" s="19" t="s">
        <v>186</v>
      </c>
      <c r="B149" s="18">
        <v>0.75</v>
      </c>
      <c r="C149" s="18">
        <v>0.5</v>
      </c>
      <c r="D149" s="18">
        <v>0</v>
      </c>
      <c r="E149" s="18">
        <v>1</v>
      </c>
      <c r="F149" s="18">
        <v>0</v>
      </c>
      <c r="G149" s="18">
        <v>0.4</v>
      </c>
      <c r="H149" s="18">
        <v>0.571428571428571</v>
      </c>
    </row>
    <row r="150">
      <c r="A150" s="19" t="s">
        <v>548</v>
      </c>
      <c r="B150" s="18">
        <v>0.25</v>
      </c>
      <c r="C150" s="18">
        <v>0</v>
      </c>
      <c r="D150" s="18">
        <v>0</v>
      </c>
      <c r="E150" s="18">
        <v>0</v>
      </c>
      <c r="F150" s="18">
        <v>0</v>
      </c>
      <c r="G150" s="18">
        <v>0.4</v>
      </c>
      <c r="H150" s="18">
        <v>0.142857142857143</v>
      </c>
    </row>
    <row r="151">
      <c r="A151" s="19" t="s">
        <v>626</v>
      </c>
      <c r="B151" s="18">
        <v>0</v>
      </c>
      <c r="C151" s="18">
        <v>0.3</v>
      </c>
      <c r="D151" s="18">
        <v>0</v>
      </c>
      <c r="E151" s="18">
        <v>0</v>
      </c>
      <c r="F151" s="18">
        <v>0</v>
      </c>
      <c r="G151" s="18">
        <v>0.2</v>
      </c>
      <c r="H151" s="18">
        <v>0.19047619047619</v>
      </c>
    </row>
    <row r="152">
      <c r="A152" s="19" t="s">
        <v>8270</v>
      </c>
      <c r="B152" s="18">
        <v>1</v>
      </c>
      <c r="C152" s="18">
        <v>1</v>
      </c>
      <c r="D152" s="18">
        <v>1</v>
      </c>
      <c r="E152" s="18">
        <v>1</v>
      </c>
      <c r="F152" s="18">
        <v>1</v>
      </c>
      <c r="G152" s="18">
        <v>1</v>
      </c>
      <c r="H152" s="18">
        <v>1</v>
      </c>
    </row>
    <row r="153">
      <c r="B153" s="18"/>
      <c r="C153" s="18"/>
      <c r="D153" s="18"/>
      <c r="E153" s="18"/>
      <c r="F153" s="18"/>
      <c r="G153" s="18"/>
      <c r="H153" s="18"/>
    </row>
    <row r="154">
      <c r="A154" s="17" t="s">
        <v>8292</v>
      </c>
    </row>
    <row r="155">
      <c r="A155" s="15" t="s">
        <v>8286</v>
      </c>
      <c r="B155" s="15" t="s">
        <v>272</v>
      </c>
      <c r="C155" s="15" t="s">
        <v>378</v>
      </c>
      <c r="D155" s="15" t="s">
        <v>2807</v>
      </c>
      <c r="E155" s="15" t="s">
        <v>802</v>
      </c>
      <c r="F155" s="15" t="s">
        <v>371</v>
      </c>
      <c r="G155" s="15" t="s">
        <v>135</v>
      </c>
      <c r="H155" s="15" t="s">
        <v>8269</v>
      </c>
    </row>
    <row r="156">
      <c r="A156" s="19" t="s">
        <v>970</v>
      </c>
      <c r="B156" s="18">
        <v>0.5</v>
      </c>
      <c r="C156" s="18">
        <v>0.263157894736842</v>
      </c>
      <c r="D156" s="18">
        <v>0.0909090909090909</v>
      </c>
      <c r="E156" s="18">
        <v>0.128205128205128</v>
      </c>
      <c r="F156" s="18">
        <v>0.5</v>
      </c>
      <c r="G156" s="18">
        <v>0.181818181818182</v>
      </c>
      <c r="H156" s="18">
        <v>0.193181818181818</v>
      </c>
    </row>
    <row r="157">
      <c r="A157" s="19" t="s">
        <v>165</v>
      </c>
      <c r="B157" s="18">
        <v>0.5</v>
      </c>
      <c r="C157" s="18">
        <v>0.578947368421053</v>
      </c>
      <c r="D157" s="18">
        <v>0.727272727272727</v>
      </c>
      <c r="E157" s="18">
        <v>0.82051282051282</v>
      </c>
      <c r="F157" s="18">
        <v>0.5</v>
      </c>
      <c r="G157" s="18">
        <v>0.454545454545454</v>
      </c>
      <c r="H157" s="18">
        <v>0.681818181818182</v>
      </c>
    </row>
    <row r="158">
      <c r="A158" s="19" t="s">
        <v>277</v>
      </c>
      <c r="B158" s="18">
        <v>0</v>
      </c>
      <c r="C158" s="18">
        <v>0.157894736842105</v>
      </c>
      <c r="D158" s="18">
        <v>0.181818181818182</v>
      </c>
      <c r="E158" s="18">
        <v>0.0512820512820513</v>
      </c>
      <c r="F158" s="18">
        <v>0</v>
      </c>
      <c r="G158" s="18">
        <v>0.363636363636364</v>
      </c>
      <c r="H158" s="18">
        <v>0.125</v>
      </c>
    </row>
    <row r="159">
      <c r="A159" s="19" t="s">
        <v>8270</v>
      </c>
      <c r="B159" s="18">
        <v>1</v>
      </c>
      <c r="C159" s="18">
        <v>1</v>
      </c>
      <c r="D159" s="18">
        <v>1</v>
      </c>
      <c r="E159" s="18">
        <v>1</v>
      </c>
      <c r="F159" s="18">
        <v>1</v>
      </c>
      <c r="G159" s="18">
        <v>1</v>
      </c>
      <c r="H159" s="18">
        <v>1</v>
      </c>
    </row>
    <row r="160">
      <c r="B160" s="18"/>
      <c r="C160" s="18"/>
      <c r="D160" s="18"/>
      <c r="E160" s="18"/>
      <c r="F160" s="18"/>
      <c r="G160" s="18"/>
      <c r="H160" s="18"/>
    </row>
    <row r="161">
      <c r="A161" s="17" t="s">
        <v>8293</v>
      </c>
    </row>
    <row r="162">
      <c r="A162" s="15" t="s">
        <v>8286</v>
      </c>
      <c r="B162" s="15" t="s">
        <v>272</v>
      </c>
      <c r="C162" s="15" t="s">
        <v>378</v>
      </c>
      <c r="D162" s="15" t="s">
        <v>2807</v>
      </c>
      <c r="E162" s="15" t="s">
        <v>802</v>
      </c>
      <c r="F162" s="15" t="s">
        <v>371</v>
      </c>
      <c r="G162" s="15" t="s">
        <v>135</v>
      </c>
      <c r="H162" s="15" t="s">
        <v>8269</v>
      </c>
    </row>
    <row r="163">
      <c r="A163" s="19" t="s">
        <v>147</v>
      </c>
      <c r="B163" s="18">
        <v>1</v>
      </c>
      <c r="C163" s="18">
        <v>0.954545454545454</v>
      </c>
      <c r="D163" s="18">
        <v>1</v>
      </c>
      <c r="E163" s="18">
        <v>1</v>
      </c>
      <c r="F163" s="18">
        <v>1</v>
      </c>
      <c r="G163" s="18">
        <v>0.823529411764706</v>
      </c>
      <c r="H163" s="18">
        <v>0.934426229508197</v>
      </c>
    </row>
    <row r="164">
      <c r="A164" s="19" t="s">
        <v>500</v>
      </c>
      <c r="B164" s="18">
        <v>0</v>
      </c>
      <c r="C164" s="18">
        <v>0.0454545454545455</v>
      </c>
      <c r="D164" s="18">
        <v>0</v>
      </c>
      <c r="E164" s="18">
        <v>0</v>
      </c>
      <c r="F164" s="18">
        <v>0</v>
      </c>
      <c r="G164" s="18">
        <v>0.176470588235294</v>
      </c>
      <c r="H164" s="18">
        <v>0.0655737704918033</v>
      </c>
    </row>
    <row r="165">
      <c r="A165" s="19" t="s">
        <v>8270</v>
      </c>
      <c r="B165" s="18">
        <v>1</v>
      </c>
      <c r="C165" s="18">
        <v>1</v>
      </c>
      <c r="D165" s="18">
        <v>1</v>
      </c>
      <c r="E165" s="18">
        <v>1</v>
      </c>
      <c r="F165" s="18">
        <v>1</v>
      </c>
      <c r="G165" s="18">
        <v>1</v>
      </c>
      <c r="H165" s="18">
        <v>1</v>
      </c>
    </row>
    <row r="166">
      <c r="B166" s="18"/>
      <c r="C166" s="18"/>
      <c r="D166" s="18"/>
      <c r="E166" s="18"/>
      <c r="F166" s="18"/>
      <c r="G166" s="18"/>
      <c r="H166" s="18"/>
    </row>
    <row r="167">
      <c r="A167" s="17" t="s">
        <v>8294</v>
      </c>
    </row>
    <row r="168">
      <c r="A168" s="15" t="s">
        <v>8286</v>
      </c>
      <c r="B168" s="15" t="s">
        <v>272</v>
      </c>
      <c r="C168" s="15" t="s">
        <v>378</v>
      </c>
      <c r="D168" s="15" t="s">
        <v>2807</v>
      </c>
      <c r="E168" s="15" t="s">
        <v>802</v>
      </c>
      <c r="F168" s="15" t="s">
        <v>371</v>
      </c>
      <c r="G168" s="15" t="s">
        <v>135</v>
      </c>
      <c r="H168" s="15" t="s">
        <v>8269</v>
      </c>
    </row>
    <row r="169">
      <c r="A169" s="19" t="s">
        <v>401</v>
      </c>
      <c r="B169" s="18">
        <v>0</v>
      </c>
      <c r="C169" s="18">
        <v>0</v>
      </c>
      <c r="D169" s="18">
        <v>0.5</v>
      </c>
      <c r="E169" s="18">
        <v>0.428571428571429</v>
      </c>
      <c r="F169" s="18">
        <v>0</v>
      </c>
      <c r="G169" s="18">
        <v>0.25</v>
      </c>
      <c r="H169" s="18">
        <v>0.392857142857143</v>
      </c>
    </row>
    <row r="170">
      <c r="A170" s="19" t="s">
        <v>8295</v>
      </c>
      <c r="B170" s="18">
        <v>0</v>
      </c>
      <c r="C170" s="18">
        <v>0</v>
      </c>
      <c r="D170" s="18">
        <v>0</v>
      </c>
      <c r="E170" s="18">
        <v>0</v>
      </c>
      <c r="F170" s="18">
        <v>0</v>
      </c>
      <c r="G170" s="18">
        <v>0</v>
      </c>
      <c r="H170" s="18">
        <v>0</v>
      </c>
    </row>
    <row r="171">
      <c r="A171" s="19" t="s">
        <v>507</v>
      </c>
      <c r="B171" s="18">
        <v>0</v>
      </c>
      <c r="C171" s="18">
        <v>1</v>
      </c>
      <c r="D171" s="18">
        <v>0.5</v>
      </c>
      <c r="E171" s="18">
        <v>0.571428571428571</v>
      </c>
      <c r="F171" s="18">
        <v>0</v>
      </c>
      <c r="G171" s="18">
        <v>0.75</v>
      </c>
      <c r="H171" s="18">
        <v>0.607142857142857</v>
      </c>
    </row>
    <row r="172">
      <c r="A172" s="19" t="s">
        <v>8270</v>
      </c>
      <c r="B172" s="18">
        <v>1</v>
      </c>
      <c r="C172" s="18">
        <v>1</v>
      </c>
      <c r="D172" s="18">
        <v>1</v>
      </c>
      <c r="E172" s="18">
        <v>1</v>
      </c>
      <c r="F172" s="18">
        <v>1</v>
      </c>
      <c r="G172" s="18">
        <v>1</v>
      </c>
      <c r="H172" s="18">
        <v>1</v>
      </c>
    </row>
    <row r="173">
      <c r="B173" s="18"/>
      <c r="C173" s="18"/>
      <c r="D173" s="18"/>
      <c r="E173" s="18"/>
      <c r="F173" s="18"/>
      <c r="G173" s="18"/>
      <c r="H173" s="18"/>
    </row>
    <row r="174">
      <c r="A174" s="17" t="s">
        <v>8296</v>
      </c>
    </row>
    <row r="175">
      <c r="A175" s="15" t="s">
        <v>8286</v>
      </c>
      <c r="B175" s="15" t="s">
        <v>272</v>
      </c>
      <c r="C175" s="15" t="s">
        <v>378</v>
      </c>
      <c r="D175" s="15" t="s">
        <v>2807</v>
      </c>
      <c r="E175" s="15" t="s">
        <v>802</v>
      </c>
      <c r="F175" s="15" t="s">
        <v>371</v>
      </c>
      <c r="G175" s="15" t="s">
        <v>135</v>
      </c>
      <c r="H175" s="15" t="s">
        <v>8269</v>
      </c>
    </row>
    <row r="176">
      <c r="A176" s="19" t="s">
        <v>310</v>
      </c>
      <c r="B176" s="18">
        <v>0</v>
      </c>
      <c r="C176" s="18">
        <v>0.333333333333333</v>
      </c>
      <c r="D176" s="18">
        <v>0</v>
      </c>
      <c r="E176" s="18">
        <v>0.333333333333333</v>
      </c>
      <c r="F176" s="18">
        <v>1</v>
      </c>
      <c r="G176" s="18">
        <v>0.357142857142857</v>
      </c>
      <c r="H176" s="18">
        <v>0.346153846153846</v>
      </c>
    </row>
    <row r="177">
      <c r="A177" s="19" t="s">
        <v>171</v>
      </c>
      <c r="B177" s="18">
        <v>0</v>
      </c>
      <c r="C177" s="18">
        <v>0.666666666666667</v>
      </c>
      <c r="D177" s="18">
        <v>1</v>
      </c>
      <c r="E177" s="18">
        <v>0.666666666666667</v>
      </c>
      <c r="F177" s="18">
        <v>0</v>
      </c>
      <c r="G177" s="18">
        <v>0.642857142857143</v>
      </c>
      <c r="H177" s="18">
        <v>0.653846153846154</v>
      </c>
    </row>
    <row r="178">
      <c r="A178" s="19" t="s">
        <v>8270</v>
      </c>
      <c r="B178" s="18">
        <v>1</v>
      </c>
      <c r="C178" s="18">
        <v>1</v>
      </c>
      <c r="D178" s="18">
        <v>1</v>
      </c>
      <c r="E178" s="18">
        <v>1</v>
      </c>
      <c r="F178" s="18">
        <v>1</v>
      </c>
      <c r="G178" s="18">
        <v>1</v>
      </c>
      <c r="H178" s="18">
        <v>1</v>
      </c>
    </row>
    <row r="179">
      <c r="B179" s="18"/>
      <c r="C179" s="18"/>
      <c r="D179" s="18"/>
      <c r="E179" s="18"/>
      <c r="F179" s="18"/>
      <c r="G179" s="18"/>
      <c r="H179" s="18"/>
    </row>
    <row r="180">
      <c r="A180" s="17" t="s">
        <v>8297</v>
      </c>
    </row>
    <row r="181">
      <c r="A181" s="15" t="s">
        <v>8286</v>
      </c>
      <c r="B181" s="15" t="s">
        <v>272</v>
      </c>
      <c r="C181" s="15" t="s">
        <v>378</v>
      </c>
      <c r="D181" s="15" t="s">
        <v>2807</v>
      </c>
      <c r="E181" s="15" t="s">
        <v>802</v>
      </c>
      <c r="F181" s="15" t="s">
        <v>371</v>
      </c>
      <c r="G181" s="15" t="s">
        <v>135</v>
      </c>
      <c r="H181" s="15" t="s">
        <v>8269</v>
      </c>
    </row>
    <row r="182">
      <c r="A182" s="19" t="s">
        <v>134</v>
      </c>
      <c r="B182" s="18">
        <v>0</v>
      </c>
      <c r="C182" s="18">
        <v>0.111111111111111</v>
      </c>
      <c r="D182" s="18">
        <v>0</v>
      </c>
      <c r="E182" s="18">
        <v>0</v>
      </c>
      <c r="F182" s="18">
        <v>0</v>
      </c>
      <c r="G182" s="18">
        <v>0.1</v>
      </c>
      <c r="H182" s="18">
        <v>0.0740740740740741</v>
      </c>
    </row>
    <row r="183">
      <c r="A183" s="19" t="s">
        <v>753</v>
      </c>
      <c r="B183" s="18">
        <v>0</v>
      </c>
      <c r="C183" s="18">
        <v>0</v>
      </c>
      <c r="D183" s="18">
        <v>0</v>
      </c>
      <c r="E183" s="18">
        <v>0.4</v>
      </c>
      <c r="F183" s="18">
        <v>0</v>
      </c>
      <c r="G183" s="18">
        <v>0</v>
      </c>
      <c r="H183" s="18">
        <v>0.0740740740740741</v>
      </c>
    </row>
    <row r="184">
      <c r="A184" s="19" t="s">
        <v>160</v>
      </c>
      <c r="B184" s="18">
        <v>1</v>
      </c>
      <c r="C184" s="18">
        <v>0.888888888888889</v>
      </c>
      <c r="D184" s="18">
        <v>1</v>
      </c>
      <c r="E184" s="18">
        <v>0.6</v>
      </c>
      <c r="F184" s="18">
        <v>0</v>
      </c>
      <c r="G184" s="18">
        <v>0.9</v>
      </c>
      <c r="H184" s="18">
        <v>0.851851851851852</v>
      </c>
    </row>
    <row r="185">
      <c r="A185" s="19" t="s">
        <v>8270</v>
      </c>
      <c r="B185" s="18">
        <v>1</v>
      </c>
      <c r="C185" s="18">
        <v>1</v>
      </c>
      <c r="D185" s="18">
        <v>1</v>
      </c>
      <c r="E185" s="18">
        <v>1</v>
      </c>
      <c r="F185" s="18">
        <v>1</v>
      </c>
      <c r="G185" s="18">
        <v>1</v>
      </c>
      <c r="H185" s="18">
        <v>1</v>
      </c>
    </row>
    <row r="186">
      <c r="B186" s="18"/>
      <c r="C186" s="18"/>
      <c r="D186" s="18"/>
      <c r="E186" s="18"/>
      <c r="F186" s="18"/>
      <c r="G186" s="18"/>
      <c r="H186" s="18"/>
    </row>
    <row r="187">
      <c r="A187" s="17" t="s">
        <v>8298</v>
      </c>
    </row>
    <row r="188">
      <c r="A188" s="15" t="s">
        <v>8286</v>
      </c>
      <c r="B188" s="15" t="s">
        <v>272</v>
      </c>
      <c r="C188" s="15" t="s">
        <v>378</v>
      </c>
      <c r="D188" s="15" t="s">
        <v>2807</v>
      </c>
      <c r="E188" s="15" t="s">
        <v>802</v>
      </c>
      <c r="F188" s="15" t="s">
        <v>371</v>
      </c>
      <c r="G188" s="15" t="s">
        <v>135</v>
      </c>
      <c r="H188" s="15" t="s">
        <v>8269</v>
      </c>
    </row>
    <row r="189">
      <c r="A189" s="19" t="s">
        <v>743</v>
      </c>
      <c r="B189" s="18">
        <v>0.333333333333333</v>
      </c>
      <c r="C189" s="18">
        <v>0.142857142857143</v>
      </c>
      <c r="D189" s="18">
        <v>0.5</v>
      </c>
      <c r="E189" s="18">
        <v>0.333333333333333</v>
      </c>
      <c r="F189" s="18">
        <v>0</v>
      </c>
      <c r="G189" s="18">
        <v>0.444444444444444</v>
      </c>
      <c r="H189" s="18">
        <v>0.321428571428571</v>
      </c>
    </row>
    <row r="190">
      <c r="A190" s="19" t="s">
        <v>261</v>
      </c>
      <c r="B190" s="18">
        <v>0.666666666666667</v>
      </c>
      <c r="C190" s="18">
        <v>0.857142857142857</v>
      </c>
      <c r="D190" s="18">
        <v>0.5</v>
      </c>
      <c r="E190" s="18">
        <v>0.666666666666667</v>
      </c>
      <c r="F190" s="18">
        <v>1</v>
      </c>
      <c r="G190" s="18">
        <v>0.555555555555556</v>
      </c>
      <c r="H190" s="18">
        <v>0.678571428571429</v>
      </c>
    </row>
    <row r="191">
      <c r="A191" s="19" t="s">
        <v>8270</v>
      </c>
      <c r="B191" s="18">
        <v>1</v>
      </c>
      <c r="C191" s="18">
        <v>1</v>
      </c>
      <c r="D191" s="18">
        <v>1</v>
      </c>
      <c r="E191" s="18">
        <v>1</v>
      </c>
      <c r="F191" s="18">
        <v>1</v>
      </c>
      <c r="G191" s="18">
        <v>1</v>
      </c>
      <c r="H191" s="18">
        <v>1</v>
      </c>
    </row>
    <row r="192">
      <c r="B192" s="18"/>
      <c r="C192" s="18"/>
      <c r="D192" s="18"/>
      <c r="E192" s="18"/>
      <c r="F192" s="18"/>
      <c r="G192" s="18"/>
      <c r="H192" s="18"/>
    </row>
    <row r="193">
      <c r="A193" s="17" t="s">
        <v>8299</v>
      </c>
    </row>
    <row r="194">
      <c r="A194" s="15" t="s">
        <v>8286</v>
      </c>
      <c r="B194" s="15" t="s">
        <v>272</v>
      </c>
      <c r="C194" s="15" t="s">
        <v>378</v>
      </c>
      <c r="D194" s="15" t="s">
        <v>2807</v>
      </c>
      <c r="E194" s="15" t="s">
        <v>802</v>
      </c>
      <c r="F194" s="15" t="s">
        <v>371</v>
      </c>
      <c r="G194" s="15" t="s">
        <v>135</v>
      </c>
      <c r="H194" s="15" t="s">
        <v>8269</v>
      </c>
    </row>
    <row r="195">
      <c r="A195" s="19" t="s">
        <v>349</v>
      </c>
      <c r="B195" s="18">
        <v>1</v>
      </c>
      <c r="C195" s="18">
        <v>0.6</v>
      </c>
      <c r="D195" s="18">
        <v>0</v>
      </c>
      <c r="E195" s="18">
        <v>0</v>
      </c>
      <c r="F195" s="18">
        <v>0</v>
      </c>
      <c r="G195" s="18">
        <v>0.6</v>
      </c>
      <c r="H195" s="18">
        <v>0.578947368421053</v>
      </c>
    </row>
    <row r="196">
      <c r="A196" s="19" t="s">
        <v>650</v>
      </c>
      <c r="B196" s="18">
        <v>0</v>
      </c>
      <c r="C196" s="18">
        <v>0.4</v>
      </c>
      <c r="D196" s="18">
        <v>0</v>
      </c>
      <c r="E196" s="18">
        <v>1</v>
      </c>
      <c r="F196" s="18">
        <v>0</v>
      </c>
      <c r="G196" s="18">
        <v>0.4</v>
      </c>
      <c r="H196" s="18">
        <v>0.421052631578947</v>
      </c>
    </row>
    <row r="197">
      <c r="A197" s="19" t="s">
        <v>8270</v>
      </c>
      <c r="B197" s="18">
        <v>1</v>
      </c>
      <c r="C197" s="18">
        <v>1</v>
      </c>
      <c r="D197" s="18">
        <v>1</v>
      </c>
      <c r="E197" s="18">
        <v>1</v>
      </c>
      <c r="F197" s="18">
        <v>1</v>
      </c>
      <c r="G197" s="18">
        <v>1</v>
      </c>
      <c r="H197" s="18">
        <v>1</v>
      </c>
    </row>
    <row r="198">
      <c r="B198" s="18"/>
      <c r="C198" s="18"/>
      <c r="D198" s="18"/>
      <c r="E198" s="18"/>
      <c r="F198" s="18"/>
      <c r="G198" s="18"/>
      <c r="H198" s="18"/>
    </row>
    <row r="199">
      <c r="A199" s="17" t="s">
        <v>8300</v>
      </c>
    </row>
    <row r="200">
      <c r="A200" s="15" t="s">
        <v>8286</v>
      </c>
      <c r="B200" s="15" t="s">
        <v>272</v>
      </c>
      <c r="C200" s="15" t="s">
        <v>378</v>
      </c>
      <c r="D200" s="15" t="s">
        <v>2807</v>
      </c>
      <c r="E200" s="15" t="s">
        <v>802</v>
      </c>
      <c r="F200" s="15" t="s">
        <v>371</v>
      </c>
      <c r="G200" s="15" t="s">
        <v>135</v>
      </c>
      <c r="H200" s="15" t="s">
        <v>8269</v>
      </c>
    </row>
    <row r="201">
      <c r="A201" s="19" t="s">
        <v>220</v>
      </c>
      <c r="B201" s="18">
        <v>0.375</v>
      </c>
      <c r="C201" s="18">
        <v>0.0681818181818182</v>
      </c>
      <c r="D201" s="18">
        <v>0.0666666666666667</v>
      </c>
      <c r="E201" s="18">
        <v>0.0769230769230769</v>
      </c>
      <c r="F201" s="18">
        <v>0</v>
      </c>
      <c r="G201" s="18">
        <v>0.723076923076923</v>
      </c>
      <c r="H201" s="18">
        <v>0.357142857142857</v>
      </c>
    </row>
    <row r="202">
      <c r="A202" s="19" t="s">
        <v>216</v>
      </c>
      <c r="B202" s="18">
        <v>0.375</v>
      </c>
      <c r="C202" s="18">
        <v>0.431818181818182</v>
      </c>
      <c r="D202" s="18">
        <v>0.533333333333333</v>
      </c>
      <c r="E202" s="18">
        <v>0.307692307692308</v>
      </c>
      <c r="F202" s="18">
        <v>0.555555555555556</v>
      </c>
      <c r="G202" s="18">
        <v>0.0461538461538462</v>
      </c>
      <c r="H202" s="18">
        <v>0.272727272727273</v>
      </c>
    </row>
    <row r="203">
      <c r="A203" s="19" t="s">
        <v>199</v>
      </c>
      <c r="B203" s="18">
        <v>0.25</v>
      </c>
      <c r="C203" s="18">
        <v>0.477272727272727</v>
      </c>
      <c r="D203" s="18">
        <v>0.4</v>
      </c>
      <c r="E203" s="18">
        <v>0.615384615384615</v>
      </c>
      <c r="F203" s="18">
        <v>0.444444444444444</v>
      </c>
      <c r="G203" s="18">
        <v>0.215384615384615</v>
      </c>
      <c r="H203" s="18">
        <v>0.357142857142857</v>
      </c>
    </row>
    <row r="204">
      <c r="A204" s="19" t="s">
        <v>682</v>
      </c>
      <c r="B204" s="18">
        <v>0</v>
      </c>
      <c r="C204" s="18">
        <v>0.0227272727272727</v>
      </c>
      <c r="D204" s="18">
        <v>0</v>
      </c>
      <c r="E204" s="18">
        <v>0</v>
      </c>
      <c r="F204" s="18">
        <v>0</v>
      </c>
      <c r="G204" s="18">
        <v>0.0153846153846154</v>
      </c>
      <c r="H204" s="18">
        <v>0.012987012987013</v>
      </c>
    </row>
    <row r="205">
      <c r="A205" s="19" t="s">
        <v>8270</v>
      </c>
      <c r="B205" s="18">
        <v>1</v>
      </c>
      <c r="C205" s="18">
        <v>1</v>
      </c>
      <c r="D205" s="18">
        <v>1</v>
      </c>
      <c r="E205" s="18">
        <v>1</v>
      </c>
      <c r="F205" s="18">
        <v>1</v>
      </c>
      <c r="G205" s="18">
        <v>1</v>
      </c>
      <c r="H205" s="18">
        <v>1</v>
      </c>
    </row>
    <row r="206">
      <c r="B206" s="18"/>
      <c r="C206" s="18"/>
      <c r="D206" s="18"/>
      <c r="E206" s="18"/>
      <c r="F206" s="18"/>
      <c r="G206" s="18"/>
      <c r="H206" s="18"/>
    </row>
    <row r="207">
      <c r="A207" s="17" t="s">
        <v>8301</v>
      </c>
    </row>
    <row r="208">
      <c r="A208" s="15" t="s">
        <v>8286</v>
      </c>
      <c r="B208" s="15" t="s">
        <v>272</v>
      </c>
      <c r="C208" s="15" t="s">
        <v>378</v>
      </c>
      <c r="D208" s="15" t="s">
        <v>2807</v>
      </c>
      <c r="E208" s="15" t="s">
        <v>802</v>
      </c>
      <c r="F208" s="15" t="s">
        <v>371</v>
      </c>
      <c r="G208" s="15" t="s">
        <v>135</v>
      </c>
      <c r="H208" s="15" t="s">
        <v>8269</v>
      </c>
    </row>
    <row r="209">
      <c r="A209" s="19" t="s">
        <v>1222</v>
      </c>
      <c r="B209" s="18">
        <v>0</v>
      </c>
      <c r="C209" s="18">
        <v>0</v>
      </c>
      <c r="D209" s="18">
        <v>0</v>
      </c>
      <c r="E209" s="18">
        <v>0</v>
      </c>
      <c r="F209" s="18">
        <v>0</v>
      </c>
      <c r="G209" s="18">
        <v>0.0909090909090909</v>
      </c>
      <c r="H209" s="18">
        <v>0.0263157894736842</v>
      </c>
    </row>
    <row r="210">
      <c r="A210" s="19" t="s">
        <v>576</v>
      </c>
      <c r="B210" s="18">
        <v>1</v>
      </c>
      <c r="C210" s="18">
        <v>0.941176470588235</v>
      </c>
      <c r="D210" s="18">
        <v>1</v>
      </c>
      <c r="E210" s="18">
        <v>1</v>
      </c>
      <c r="F210" s="18">
        <v>1</v>
      </c>
      <c r="G210" s="18">
        <v>0.818181818181818</v>
      </c>
      <c r="H210" s="18">
        <v>0.921052631578947</v>
      </c>
    </row>
    <row r="211">
      <c r="A211" s="19" t="s">
        <v>338</v>
      </c>
      <c r="B211" s="18">
        <v>0</v>
      </c>
      <c r="C211" s="18">
        <v>0.0588235294117647</v>
      </c>
      <c r="D211" s="18">
        <v>0</v>
      </c>
      <c r="E211" s="18">
        <v>0</v>
      </c>
      <c r="F211" s="18">
        <v>0</v>
      </c>
      <c r="G211" s="18">
        <v>0.0909090909090909</v>
      </c>
      <c r="H211" s="18">
        <v>0.0526315789473684</v>
      </c>
    </row>
    <row r="212">
      <c r="A212" s="19" t="s">
        <v>8270</v>
      </c>
      <c r="B212" s="18">
        <v>1</v>
      </c>
      <c r="C212" s="18">
        <v>1</v>
      </c>
      <c r="D212" s="18">
        <v>1</v>
      </c>
      <c r="E212" s="18">
        <v>1</v>
      </c>
      <c r="F212" s="18">
        <v>1</v>
      </c>
      <c r="G212" s="18">
        <v>1</v>
      </c>
      <c r="H212" s="18">
        <v>1</v>
      </c>
    </row>
    <row r="213">
      <c r="B213" s="18"/>
      <c r="C213" s="18"/>
      <c r="D213" s="18"/>
      <c r="E213" s="18"/>
      <c r="F213" s="18"/>
      <c r="G213" s="18"/>
      <c r="H213" s="18"/>
    </row>
    <row r="214">
      <c r="A214" s="17" t="s">
        <v>8302</v>
      </c>
    </row>
    <row r="215">
      <c r="A215" s="15" t="s">
        <v>8286</v>
      </c>
      <c r="B215" s="15" t="s">
        <v>272</v>
      </c>
      <c r="C215" s="15" t="s">
        <v>378</v>
      </c>
      <c r="D215" s="15" t="s">
        <v>2807</v>
      </c>
      <c r="E215" s="15" t="s">
        <v>802</v>
      </c>
      <c r="F215" s="15" t="s">
        <v>371</v>
      </c>
      <c r="G215" s="15" t="s">
        <v>135</v>
      </c>
      <c r="H215" s="15" t="s">
        <v>8269</v>
      </c>
    </row>
    <row r="216">
      <c r="A216" s="19" t="s">
        <v>292</v>
      </c>
      <c r="B216" s="18">
        <v>0</v>
      </c>
      <c r="C216" s="18">
        <v>0</v>
      </c>
      <c r="D216" s="18">
        <v>0.166666666666667</v>
      </c>
      <c r="E216" s="18">
        <v>0</v>
      </c>
      <c r="F216" s="18">
        <v>0</v>
      </c>
      <c r="G216" s="18">
        <v>0.0789473684210526</v>
      </c>
      <c r="H216" s="18">
        <v>0.0625</v>
      </c>
    </row>
    <row r="217">
      <c r="A217" s="19" t="s">
        <v>537</v>
      </c>
      <c r="B217" s="18">
        <v>0.5</v>
      </c>
      <c r="C217" s="18">
        <v>0</v>
      </c>
      <c r="D217" s="18">
        <v>0.5</v>
      </c>
      <c r="E217" s="18">
        <v>0.166666666666667</v>
      </c>
      <c r="F217" s="18">
        <v>0.5</v>
      </c>
      <c r="G217" s="18">
        <v>0.342105263157895</v>
      </c>
      <c r="H217" s="18">
        <v>0.328125</v>
      </c>
    </row>
    <row r="218">
      <c r="A218" s="19" t="s">
        <v>456</v>
      </c>
      <c r="B218" s="18">
        <v>0</v>
      </c>
      <c r="C218" s="18">
        <v>0.333333333333333</v>
      </c>
      <c r="D218" s="18">
        <v>0</v>
      </c>
      <c r="E218" s="18">
        <v>0</v>
      </c>
      <c r="F218" s="18">
        <v>0</v>
      </c>
      <c r="G218" s="18">
        <v>0.0263157894736842</v>
      </c>
      <c r="H218" s="18">
        <v>0.046875</v>
      </c>
    </row>
    <row r="219">
      <c r="A219" s="19" t="s">
        <v>571</v>
      </c>
      <c r="B219" s="18">
        <v>0.166666666666667</v>
      </c>
      <c r="C219" s="18">
        <v>0.166666666666667</v>
      </c>
      <c r="D219" s="18">
        <v>0</v>
      </c>
      <c r="E219" s="18">
        <v>0.333333333333333</v>
      </c>
      <c r="F219" s="18">
        <v>0.5</v>
      </c>
      <c r="G219" s="18">
        <v>0.210526315789474</v>
      </c>
      <c r="H219" s="18">
        <v>0.203125</v>
      </c>
    </row>
    <row r="220">
      <c r="A220" s="19" t="s">
        <v>244</v>
      </c>
      <c r="B220" s="18">
        <v>0.333333333333333</v>
      </c>
      <c r="C220" s="18">
        <v>0.5</v>
      </c>
      <c r="D220" s="18">
        <v>0.333333333333333</v>
      </c>
      <c r="E220" s="18">
        <v>0.5</v>
      </c>
      <c r="F220" s="18">
        <v>0</v>
      </c>
      <c r="G220" s="18">
        <v>0.342105263157895</v>
      </c>
      <c r="H220" s="18">
        <v>0.359375</v>
      </c>
    </row>
    <row r="221">
      <c r="A221" s="19" t="s">
        <v>8270</v>
      </c>
      <c r="B221" s="18">
        <v>1</v>
      </c>
      <c r="C221" s="18">
        <v>1</v>
      </c>
      <c r="D221" s="18">
        <v>1</v>
      </c>
      <c r="E221" s="18">
        <v>1</v>
      </c>
      <c r="F221" s="18">
        <v>1</v>
      </c>
      <c r="G221" s="18">
        <v>1</v>
      </c>
      <c r="H221" s="18">
        <v>1</v>
      </c>
    </row>
    <row r="222">
      <c r="B222" s="18"/>
      <c r="C222" s="18"/>
      <c r="D222" s="18"/>
      <c r="E222" s="18"/>
      <c r="F222" s="18"/>
      <c r="G222" s="18"/>
      <c r="H222" s="18"/>
    </row>
    <row r="223">
      <c r="A223" s="17" t="s">
        <v>8303</v>
      </c>
    </row>
    <row r="224">
      <c r="A224" s="15" t="s">
        <v>8286</v>
      </c>
      <c r="B224" s="15" t="s">
        <v>272</v>
      </c>
      <c r="C224" s="15" t="s">
        <v>378</v>
      </c>
      <c r="D224" s="15" t="s">
        <v>2807</v>
      </c>
      <c r="E224" s="15" t="s">
        <v>802</v>
      </c>
      <c r="F224" s="15" t="s">
        <v>371</v>
      </c>
      <c r="G224" s="15" t="s">
        <v>135</v>
      </c>
      <c r="H224" s="15" t="s">
        <v>8269</v>
      </c>
    </row>
    <row r="225">
      <c r="A225" s="19" t="s">
        <v>268</v>
      </c>
      <c r="B225" s="18">
        <v>1</v>
      </c>
      <c r="C225" s="18">
        <v>0.8</v>
      </c>
      <c r="D225" s="18">
        <v>0</v>
      </c>
      <c r="E225" s="18">
        <v>1</v>
      </c>
      <c r="F225" s="18">
        <v>0</v>
      </c>
      <c r="G225" s="18">
        <v>0.545454545454545</v>
      </c>
      <c r="H225" s="18">
        <v>0.595238095238095</v>
      </c>
    </row>
    <row r="226">
      <c r="A226" s="19" t="s">
        <v>306</v>
      </c>
      <c r="B226" s="18">
        <v>0</v>
      </c>
      <c r="C226" s="18">
        <v>0.2</v>
      </c>
      <c r="D226" s="18">
        <v>0</v>
      </c>
      <c r="E226" s="18">
        <v>0</v>
      </c>
      <c r="F226" s="18">
        <v>0</v>
      </c>
      <c r="G226" s="18">
        <v>0.212121212121212</v>
      </c>
      <c r="H226" s="18">
        <v>0.19047619047619</v>
      </c>
    </row>
    <row r="227">
      <c r="A227" s="19" t="s">
        <v>155</v>
      </c>
      <c r="B227" s="18">
        <v>0</v>
      </c>
      <c r="C227" s="18">
        <v>0</v>
      </c>
      <c r="D227" s="18">
        <v>1</v>
      </c>
      <c r="E227" s="18">
        <v>0</v>
      </c>
      <c r="F227" s="18">
        <v>0</v>
      </c>
      <c r="G227" s="18">
        <v>0.242424242424242</v>
      </c>
      <c r="H227" s="18">
        <v>0.214285714285714</v>
      </c>
    </row>
    <row r="228">
      <c r="A228" s="19" t="s">
        <v>8270</v>
      </c>
      <c r="B228" s="18">
        <v>1</v>
      </c>
      <c r="C228" s="18">
        <v>1</v>
      </c>
      <c r="D228" s="18">
        <v>1</v>
      </c>
      <c r="E228" s="18">
        <v>1</v>
      </c>
      <c r="F228" s="18">
        <v>1</v>
      </c>
      <c r="G228" s="18">
        <v>1</v>
      </c>
      <c r="H228" s="18">
        <v>1</v>
      </c>
    </row>
    <row r="229">
      <c r="B229" s="18"/>
      <c r="C229" s="18"/>
      <c r="D229" s="18"/>
      <c r="E229" s="18"/>
      <c r="F229" s="18"/>
      <c r="G229" s="18"/>
      <c r="H229" s="18"/>
    </row>
    <row r="230">
      <c r="A230" s="17" t="s">
        <v>8304</v>
      </c>
    </row>
    <row r="231">
      <c r="A231" s="15" t="s">
        <v>8286</v>
      </c>
      <c r="B231" s="15" t="s">
        <v>272</v>
      </c>
      <c r="C231" s="15" t="s">
        <v>378</v>
      </c>
      <c r="D231" s="15" t="s">
        <v>2807</v>
      </c>
      <c r="E231" s="15" t="s">
        <v>802</v>
      </c>
      <c r="F231" s="15" t="s">
        <v>371</v>
      </c>
      <c r="G231" s="15" t="s">
        <v>135</v>
      </c>
      <c r="H231" s="15" t="s">
        <v>8269</v>
      </c>
    </row>
    <row r="232">
      <c r="A232" s="19" t="s">
        <v>871</v>
      </c>
      <c r="B232" s="18">
        <v>0</v>
      </c>
      <c r="C232" s="18">
        <v>0.5</v>
      </c>
      <c r="D232" s="18">
        <v>0</v>
      </c>
      <c r="E232" s="18">
        <v>0</v>
      </c>
      <c r="F232" s="18">
        <v>0</v>
      </c>
      <c r="G232" s="18">
        <v>0</v>
      </c>
      <c r="H232" s="18">
        <v>0.2</v>
      </c>
    </row>
    <row r="233">
      <c r="A233" s="19" t="s">
        <v>186</v>
      </c>
      <c r="B233" s="18">
        <v>0.5</v>
      </c>
      <c r="C233" s="18">
        <v>0</v>
      </c>
      <c r="D233" s="18">
        <v>0</v>
      </c>
      <c r="E233" s="18">
        <v>0</v>
      </c>
      <c r="F233" s="18">
        <v>0</v>
      </c>
      <c r="G233" s="18">
        <v>0</v>
      </c>
      <c r="H233" s="18">
        <v>0.2</v>
      </c>
    </row>
    <row r="234">
      <c r="A234" s="19" t="s">
        <v>548</v>
      </c>
      <c r="B234" s="18">
        <v>0.5</v>
      </c>
      <c r="C234" s="18">
        <v>0</v>
      </c>
      <c r="D234" s="18">
        <v>0</v>
      </c>
      <c r="E234" s="18">
        <v>0</v>
      </c>
      <c r="F234" s="18">
        <v>0</v>
      </c>
      <c r="G234" s="18">
        <v>1</v>
      </c>
      <c r="H234" s="18">
        <v>0.4</v>
      </c>
    </row>
    <row r="235">
      <c r="A235" s="19" t="s">
        <v>626</v>
      </c>
      <c r="B235" s="18">
        <v>0</v>
      </c>
      <c r="C235" s="18">
        <v>0.5</v>
      </c>
      <c r="D235" s="18">
        <v>0</v>
      </c>
      <c r="E235" s="18">
        <v>0</v>
      </c>
      <c r="F235" s="18">
        <v>0</v>
      </c>
      <c r="G235" s="18">
        <v>0</v>
      </c>
      <c r="H235" s="18">
        <v>0.2</v>
      </c>
    </row>
    <row r="236">
      <c r="A236" s="19" t="s">
        <v>8270</v>
      </c>
      <c r="B236" s="18">
        <v>1</v>
      </c>
      <c r="C236" s="18">
        <v>1</v>
      </c>
      <c r="D236" s="18">
        <v>1</v>
      </c>
      <c r="E236" s="18">
        <v>1</v>
      </c>
      <c r="F236" s="18">
        <v>1</v>
      </c>
      <c r="G236" s="18">
        <v>1</v>
      </c>
      <c r="H236" s="18">
        <v>1</v>
      </c>
    </row>
    <row r="237">
      <c r="B237" s="18"/>
      <c r="C237" s="18"/>
      <c r="D237" s="18"/>
      <c r="E237" s="18"/>
      <c r="F237" s="18"/>
      <c r="G237" s="18"/>
      <c r="H237" s="18"/>
    </row>
    <row r="238">
      <c r="A238" s="17" t="s">
        <v>8305</v>
      </c>
    </row>
    <row r="239">
      <c r="A239" s="15" t="s">
        <v>8286</v>
      </c>
      <c r="B239" s="15" t="s">
        <v>272</v>
      </c>
      <c r="C239" s="15" t="s">
        <v>378</v>
      </c>
      <c r="D239" s="15" t="s">
        <v>2807</v>
      </c>
      <c r="E239" s="15" t="s">
        <v>802</v>
      </c>
      <c r="F239" s="15" t="s">
        <v>371</v>
      </c>
      <c r="G239" s="15" t="s">
        <v>135</v>
      </c>
      <c r="H239" s="15" t="s">
        <v>8269</v>
      </c>
    </row>
    <row r="240">
      <c r="A240" s="19" t="s">
        <v>970</v>
      </c>
      <c r="B240" s="18">
        <v>0</v>
      </c>
      <c r="C240" s="18">
        <v>0.166666666666667</v>
      </c>
      <c r="D240" s="18">
        <v>0.5</v>
      </c>
      <c r="E240" s="18">
        <v>0.166666666666667</v>
      </c>
      <c r="F240" s="18">
        <v>1</v>
      </c>
      <c r="G240" s="18">
        <v>0.5</v>
      </c>
      <c r="H240" s="18">
        <v>0.294117647058824</v>
      </c>
    </row>
    <row r="241">
      <c r="A241" s="19" t="s">
        <v>165</v>
      </c>
      <c r="B241" s="18">
        <v>0</v>
      </c>
      <c r="C241" s="18">
        <v>0.5</v>
      </c>
      <c r="D241" s="18">
        <v>0.5</v>
      </c>
      <c r="E241" s="18">
        <v>0.666666666666667</v>
      </c>
      <c r="F241" s="18">
        <v>0</v>
      </c>
      <c r="G241" s="18">
        <v>0.5</v>
      </c>
      <c r="H241" s="18">
        <v>0.529411764705882</v>
      </c>
    </row>
    <row r="242">
      <c r="A242" s="19" t="s">
        <v>277</v>
      </c>
      <c r="B242" s="18">
        <v>0</v>
      </c>
      <c r="C242" s="18">
        <v>0.333333333333333</v>
      </c>
      <c r="D242" s="18">
        <v>0</v>
      </c>
      <c r="E242" s="18">
        <v>0.166666666666667</v>
      </c>
      <c r="F242" s="18">
        <v>0</v>
      </c>
      <c r="G242" s="18">
        <v>0</v>
      </c>
      <c r="H242" s="18">
        <v>0.176470588235294</v>
      </c>
    </row>
    <row r="243">
      <c r="A243" s="19" t="s">
        <v>8270</v>
      </c>
      <c r="B243" s="18">
        <v>1</v>
      </c>
      <c r="C243" s="18">
        <v>1</v>
      </c>
      <c r="D243" s="18">
        <v>1</v>
      </c>
      <c r="E243" s="18">
        <v>1</v>
      </c>
      <c r="F243" s="18">
        <v>1</v>
      </c>
      <c r="G243" s="18">
        <v>1</v>
      </c>
      <c r="H243" s="18">
        <v>1</v>
      </c>
    </row>
    <row r="244">
      <c r="B244" s="18"/>
      <c r="C244" s="18"/>
      <c r="D244" s="18"/>
      <c r="E244" s="18"/>
      <c r="F244" s="18"/>
      <c r="G244" s="18"/>
      <c r="H244" s="18"/>
    </row>
    <row r="245">
      <c r="A245" s="17" t="s">
        <v>8306</v>
      </c>
    </row>
    <row r="246">
      <c r="A246" s="15" t="s">
        <v>8286</v>
      </c>
      <c r="B246" s="15" t="s">
        <v>272</v>
      </c>
      <c r="C246" s="15" t="s">
        <v>378</v>
      </c>
      <c r="D246" s="15" t="s">
        <v>2807</v>
      </c>
      <c r="E246" s="15" t="s">
        <v>802</v>
      </c>
      <c r="F246" s="15" t="s">
        <v>371</v>
      </c>
      <c r="G246" s="15" t="s">
        <v>135</v>
      </c>
      <c r="H246" s="15" t="s">
        <v>8269</v>
      </c>
    </row>
    <row r="247">
      <c r="A247" s="19" t="s">
        <v>147</v>
      </c>
      <c r="B247" s="18">
        <v>1</v>
      </c>
      <c r="C247" s="18">
        <v>1</v>
      </c>
      <c r="D247" s="18">
        <v>0</v>
      </c>
      <c r="E247" s="18">
        <v>1</v>
      </c>
      <c r="F247" s="18">
        <v>1</v>
      </c>
      <c r="G247" s="18">
        <v>1</v>
      </c>
      <c r="H247" s="18">
        <v>1</v>
      </c>
    </row>
    <row r="248">
      <c r="A248" s="19" t="s">
        <v>500</v>
      </c>
      <c r="B248" s="18">
        <v>0</v>
      </c>
      <c r="C248" s="18">
        <v>0</v>
      </c>
      <c r="D248" s="18">
        <v>0</v>
      </c>
      <c r="E248" s="18">
        <v>0</v>
      </c>
      <c r="F248" s="18">
        <v>0</v>
      </c>
      <c r="G248" s="18">
        <v>0</v>
      </c>
      <c r="H248" s="18">
        <v>0</v>
      </c>
    </row>
    <row r="249">
      <c r="A249" s="19" t="s">
        <v>8270</v>
      </c>
      <c r="B249" s="18">
        <v>1</v>
      </c>
      <c r="C249" s="18">
        <v>1</v>
      </c>
      <c r="D249" s="18">
        <v>1</v>
      </c>
      <c r="E249" s="18">
        <v>1</v>
      </c>
      <c r="F249" s="18">
        <v>1</v>
      </c>
      <c r="G249" s="18">
        <v>1</v>
      </c>
      <c r="H249" s="18">
        <v>1</v>
      </c>
    </row>
    <row r="250">
      <c r="B250" s="18"/>
      <c r="C250" s="18"/>
      <c r="D250" s="18"/>
      <c r="E250" s="18"/>
      <c r="F250" s="18"/>
      <c r="G250" s="18"/>
      <c r="H250" s="18"/>
    </row>
    <row r="251">
      <c r="A251" s="17" t="s">
        <v>8307</v>
      </c>
    </row>
    <row r="252">
      <c r="A252" s="15" t="s">
        <v>8286</v>
      </c>
      <c r="B252" s="15" t="s">
        <v>272</v>
      </c>
      <c r="C252" s="15" t="s">
        <v>378</v>
      </c>
      <c r="D252" s="15" t="s">
        <v>2807</v>
      </c>
      <c r="E252" s="15" t="s">
        <v>802</v>
      </c>
      <c r="F252" s="15" t="s">
        <v>371</v>
      </c>
      <c r="G252" s="15" t="s">
        <v>135</v>
      </c>
      <c r="H252" s="15" t="s">
        <v>8269</v>
      </c>
    </row>
    <row r="253">
      <c r="A253" s="19" t="s">
        <v>401</v>
      </c>
      <c r="B253" s="18">
        <v>0</v>
      </c>
      <c r="C253" s="18">
        <v>0</v>
      </c>
      <c r="D253" s="18">
        <v>0.75</v>
      </c>
      <c r="E253" s="18">
        <v>0.666666666666667</v>
      </c>
      <c r="F253" s="18">
        <v>0</v>
      </c>
      <c r="G253" s="18">
        <v>0</v>
      </c>
      <c r="H253" s="18">
        <v>0.714285714285714</v>
      </c>
    </row>
    <row r="254">
      <c r="A254" s="19" t="s">
        <v>8295</v>
      </c>
      <c r="B254" s="18">
        <v>0</v>
      </c>
      <c r="C254" s="18">
        <v>0</v>
      </c>
      <c r="D254" s="18">
        <v>0</v>
      </c>
      <c r="E254" s="18">
        <v>0</v>
      </c>
      <c r="F254" s="18">
        <v>0</v>
      </c>
      <c r="G254" s="18">
        <v>0</v>
      </c>
      <c r="H254" s="18">
        <v>0</v>
      </c>
    </row>
    <row r="255">
      <c r="A255" s="19" t="s">
        <v>507</v>
      </c>
      <c r="B255" s="18">
        <v>0</v>
      </c>
      <c r="C255" s="18">
        <v>0</v>
      </c>
      <c r="D255" s="18">
        <v>0.25</v>
      </c>
      <c r="E255" s="18">
        <v>0.333333333333333</v>
      </c>
      <c r="F255" s="18">
        <v>0</v>
      </c>
      <c r="G255" s="18">
        <v>0</v>
      </c>
      <c r="H255" s="18">
        <v>0.285714285714286</v>
      </c>
    </row>
    <row r="256">
      <c r="A256" s="19" t="s">
        <v>8270</v>
      </c>
      <c r="B256" s="18">
        <v>1</v>
      </c>
      <c r="C256" s="18">
        <v>1</v>
      </c>
      <c r="D256" s="18">
        <v>1</v>
      </c>
      <c r="E256" s="18">
        <v>1</v>
      </c>
      <c r="F256" s="18">
        <v>1</v>
      </c>
      <c r="G256" s="18">
        <v>1</v>
      </c>
      <c r="H256" s="18">
        <v>1</v>
      </c>
    </row>
    <row r="257">
      <c r="B257" s="18"/>
      <c r="C257" s="18"/>
      <c r="D257" s="18"/>
      <c r="E257" s="18"/>
      <c r="F257" s="18"/>
      <c r="G257" s="18"/>
      <c r="H257" s="18"/>
    </row>
    <row r="258">
      <c r="A258" s="17" t="s">
        <v>8308</v>
      </c>
    </row>
    <row r="259">
      <c r="A259" s="15" t="s">
        <v>8286</v>
      </c>
      <c r="B259" s="15" t="s">
        <v>272</v>
      </c>
      <c r="C259" s="15" t="s">
        <v>378</v>
      </c>
      <c r="D259" s="15" t="s">
        <v>2807</v>
      </c>
      <c r="E259" s="15" t="s">
        <v>802</v>
      </c>
      <c r="F259" s="15" t="s">
        <v>371</v>
      </c>
      <c r="G259" s="15" t="s">
        <v>135</v>
      </c>
      <c r="H259" s="15" t="s">
        <v>8269</v>
      </c>
    </row>
    <row r="260">
      <c r="A260" s="19" t="s">
        <v>310</v>
      </c>
      <c r="B260" s="18">
        <v>0</v>
      </c>
      <c r="C260" s="18">
        <v>0</v>
      </c>
      <c r="D260" s="18">
        <v>0</v>
      </c>
      <c r="E260" s="18">
        <v>0</v>
      </c>
      <c r="F260" s="18">
        <v>0</v>
      </c>
      <c r="G260" s="18">
        <v>0.5</v>
      </c>
      <c r="H260" s="18">
        <v>0.2</v>
      </c>
    </row>
    <row r="261">
      <c r="A261" s="19" t="s">
        <v>171</v>
      </c>
      <c r="B261" s="18">
        <v>0</v>
      </c>
      <c r="C261" s="18">
        <v>1</v>
      </c>
      <c r="D261" s="18">
        <v>1</v>
      </c>
      <c r="E261" s="18">
        <v>0</v>
      </c>
      <c r="F261" s="18">
        <v>0</v>
      </c>
      <c r="G261" s="18">
        <v>0.5</v>
      </c>
      <c r="H261" s="18">
        <v>0.8</v>
      </c>
    </row>
    <row r="262">
      <c r="A262" s="19" t="s">
        <v>8270</v>
      </c>
      <c r="B262" s="18">
        <v>1</v>
      </c>
      <c r="C262" s="18">
        <v>1</v>
      </c>
      <c r="D262" s="18">
        <v>1</v>
      </c>
      <c r="E262" s="18">
        <v>1</v>
      </c>
      <c r="F262" s="18">
        <v>1</v>
      </c>
      <c r="G262" s="18">
        <v>1</v>
      </c>
      <c r="H262" s="18">
        <v>1</v>
      </c>
    </row>
    <row r="263">
      <c r="B263" s="18"/>
      <c r="C263" s="18"/>
      <c r="D263" s="18"/>
      <c r="E263" s="18"/>
      <c r="F263" s="18"/>
      <c r="G263" s="18"/>
      <c r="H263" s="18"/>
    </row>
    <row r="264">
      <c r="A264" s="17" t="s">
        <v>8309</v>
      </c>
    </row>
    <row r="265">
      <c r="A265" s="15" t="s">
        <v>8286</v>
      </c>
      <c r="B265" s="15" t="s">
        <v>272</v>
      </c>
      <c r="C265" s="15" t="s">
        <v>378</v>
      </c>
      <c r="D265" s="15" t="s">
        <v>2807</v>
      </c>
      <c r="E265" s="15" t="s">
        <v>802</v>
      </c>
      <c r="F265" s="15" t="s">
        <v>371</v>
      </c>
      <c r="G265" s="15" t="s">
        <v>135</v>
      </c>
      <c r="H265" s="15" t="s">
        <v>8269</v>
      </c>
    </row>
    <row r="266">
      <c r="A266" s="19" t="s">
        <v>134</v>
      </c>
      <c r="B266" s="18">
        <v>0</v>
      </c>
      <c r="C266" s="18">
        <v>0</v>
      </c>
      <c r="D266" s="18">
        <v>0</v>
      </c>
      <c r="E266" s="18">
        <v>0</v>
      </c>
      <c r="F266" s="18">
        <v>0</v>
      </c>
      <c r="G266" s="18">
        <v>0</v>
      </c>
      <c r="H266" s="18">
        <v>0</v>
      </c>
    </row>
    <row r="267">
      <c r="A267" s="19" t="s">
        <v>753</v>
      </c>
      <c r="B267" s="18">
        <v>0</v>
      </c>
      <c r="C267" s="18">
        <v>0</v>
      </c>
      <c r="D267" s="18">
        <v>0</v>
      </c>
      <c r="E267" s="18">
        <v>1</v>
      </c>
      <c r="F267" s="18">
        <v>0</v>
      </c>
      <c r="G267" s="18">
        <v>0</v>
      </c>
      <c r="H267" s="18">
        <v>0.4</v>
      </c>
    </row>
    <row r="268">
      <c r="A268" s="19" t="s">
        <v>160</v>
      </c>
      <c r="B268" s="18">
        <v>1</v>
      </c>
      <c r="C268" s="18">
        <v>1</v>
      </c>
      <c r="D268" s="18">
        <v>0</v>
      </c>
      <c r="E268" s="18">
        <v>0</v>
      </c>
      <c r="F268" s="18">
        <v>0</v>
      </c>
      <c r="G268" s="18">
        <v>1</v>
      </c>
      <c r="H268" s="18">
        <v>0.6</v>
      </c>
    </row>
    <row r="269">
      <c r="A269" s="19" t="s">
        <v>8270</v>
      </c>
      <c r="B269" s="18">
        <v>1</v>
      </c>
      <c r="C269" s="18">
        <v>1</v>
      </c>
      <c r="D269" s="18">
        <v>1</v>
      </c>
      <c r="E269" s="18">
        <v>1</v>
      </c>
      <c r="F269" s="18">
        <v>1</v>
      </c>
      <c r="G269" s="18">
        <v>1</v>
      </c>
      <c r="H269" s="18">
        <v>1</v>
      </c>
    </row>
    <row r="270">
      <c r="B270" s="18"/>
      <c r="C270" s="18"/>
      <c r="D270" s="18"/>
      <c r="E270" s="18"/>
      <c r="F270" s="18"/>
      <c r="G270" s="18"/>
      <c r="H270" s="18"/>
    </row>
    <row r="271">
      <c r="A271" s="17" t="s">
        <v>8310</v>
      </c>
    </row>
    <row r="272">
      <c r="A272" s="15" t="s">
        <v>8286</v>
      </c>
      <c r="B272" s="15" t="s">
        <v>272</v>
      </c>
      <c r="C272" s="15" t="s">
        <v>378</v>
      </c>
      <c r="D272" s="15" t="s">
        <v>2807</v>
      </c>
      <c r="E272" s="15" t="s">
        <v>802</v>
      </c>
      <c r="F272" s="15" t="s">
        <v>371</v>
      </c>
      <c r="G272" s="15" t="s">
        <v>135</v>
      </c>
      <c r="H272" s="15" t="s">
        <v>8269</v>
      </c>
    </row>
    <row r="273">
      <c r="A273" s="19" t="s">
        <v>743</v>
      </c>
      <c r="B273" s="18">
        <v>0</v>
      </c>
      <c r="C273" s="18">
        <v>0</v>
      </c>
      <c r="D273" s="18">
        <v>0</v>
      </c>
      <c r="E273" s="18">
        <v>0</v>
      </c>
      <c r="F273" s="18">
        <v>0</v>
      </c>
      <c r="G273" s="18">
        <v>0.333333333333333</v>
      </c>
      <c r="H273" s="18">
        <v>0.166666666666667</v>
      </c>
    </row>
    <row r="274">
      <c r="A274" s="19" t="s">
        <v>261</v>
      </c>
      <c r="B274" s="18">
        <v>0</v>
      </c>
      <c r="C274" s="18">
        <v>1</v>
      </c>
      <c r="D274" s="18">
        <v>1</v>
      </c>
      <c r="E274" s="18">
        <v>1</v>
      </c>
      <c r="F274" s="18">
        <v>0</v>
      </c>
      <c r="G274" s="18">
        <v>0.666666666666667</v>
      </c>
      <c r="H274" s="18">
        <v>0.833333333333334</v>
      </c>
    </row>
    <row r="275">
      <c r="A275" s="19" t="s">
        <v>8270</v>
      </c>
      <c r="B275" s="18">
        <v>1</v>
      </c>
      <c r="C275" s="18">
        <v>1</v>
      </c>
      <c r="D275" s="18">
        <v>1</v>
      </c>
      <c r="E275" s="18">
        <v>1</v>
      </c>
      <c r="F275" s="18">
        <v>1</v>
      </c>
      <c r="G275" s="18">
        <v>1</v>
      </c>
      <c r="H275" s="18">
        <v>1</v>
      </c>
    </row>
    <row r="276">
      <c r="B276" s="18"/>
      <c r="C276" s="18"/>
      <c r="D276" s="18"/>
      <c r="E276" s="18"/>
      <c r="F276" s="18"/>
      <c r="G276" s="18"/>
      <c r="H276" s="18"/>
    </row>
    <row r="277">
      <c r="A277" s="17" t="s">
        <v>8311</v>
      </c>
    </row>
    <row r="278">
      <c r="A278" s="15" t="s">
        <v>8286</v>
      </c>
      <c r="B278" s="15" t="s">
        <v>272</v>
      </c>
      <c r="C278" s="15" t="s">
        <v>378</v>
      </c>
      <c r="D278" s="15" t="s">
        <v>2807</v>
      </c>
      <c r="E278" s="15" t="s">
        <v>802</v>
      </c>
      <c r="F278" s="15" t="s">
        <v>371</v>
      </c>
      <c r="G278" s="15" t="s">
        <v>135</v>
      </c>
      <c r="H278" s="15" t="s">
        <v>8269</v>
      </c>
    </row>
    <row r="279">
      <c r="A279" s="19" t="s">
        <v>349</v>
      </c>
      <c r="B279" s="18">
        <v>1</v>
      </c>
      <c r="C279" s="18">
        <v>1</v>
      </c>
      <c r="D279" s="18">
        <v>0</v>
      </c>
      <c r="E279" s="18">
        <v>0</v>
      </c>
      <c r="F279" s="18">
        <v>0</v>
      </c>
      <c r="G279" s="18">
        <v>1</v>
      </c>
      <c r="H279" s="18">
        <v>1</v>
      </c>
    </row>
    <row r="280">
      <c r="A280" s="19" t="s">
        <v>650</v>
      </c>
      <c r="B280" s="18">
        <v>0</v>
      </c>
      <c r="C280" s="18">
        <v>0</v>
      </c>
      <c r="D280" s="18">
        <v>0</v>
      </c>
      <c r="E280" s="18">
        <v>0</v>
      </c>
      <c r="F280" s="18">
        <v>0</v>
      </c>
      <c r="G280" s="18">
        <v>0</v>
      </c>
      <c r="H280" s="18">
        <v>0</v>
      </c>
    </row>
    <row r="281">
      <c r="A281" s="19" t="s">
        <v>8270</v>
      </c>
      <c r="B281" s="18">
        <v>1</v>
      </c>
      <c r="C281" s="18">
        <v>1</v>
      </c>
      <c r="D281" s="18">
        <v>1</v>
      </c>
      <c r="E281" s="18">
        <v>1</v>
      </c>
      <c r="F281" s="18">
        <v>1</v>
      </c>
      <c r="G281" s="18">
        <v>1</v>
      </c>
      <c r="H281" s="18">
        <v>1</v>
      </c>
    </row>
    <row r="282">
      <c r="B282" s="18"/>
      <c r="C282" s="18"/>
      <c r="D282" s="18"/>
      <c r="E282" s="18"/>
      <c r="F282" s="18"/>
      <c r="G282" s="18"/>
      <c r="H282" s="18"/>
    </row>
    <row r="283">
      <c r="A283" s="17" t="s">
        <v>8312</v>
      </c>
    </row>
    <row r="284">
      <c r="A284" s="15" t="s">
        <v>8286</v>
      </c>
      <c r="B284" s="15" t="s">
        <v>272</v>
      </c>
      <c r="C284" s="15" t="s">
        <v>378</v>
      </c>
      <c r="D284" s="15" t="s">
        <v>2807</v>
      </c>
      <c r="E284" s="15" t="s">
        <v>802</v>
      </c>
      <c r="F284" s="15" t="s">
        <v>371</v>
      </c>
      <c r="G284" s="15" t="s">
        <v>135</v>
      </c>
      <c r="H284" s="15" t="s">
        <v>8269</v>
      </c>
    </row>
    <row r="285">
      <c r="A285" s="19" t="s">
        <v>220</v>
      </c>
      <c r="B285" s="18">
        <v>0.5</v>
      </c>
      <c r="C285" s="18">
        <v>0.0769230769230769</v>
      </c>
      <c r="D285" s="18">
        <v>0</v>
      </c>
      <c r="E285" s="18">
        <v>0</v>
      </c>
      <c r="F285" s="18">
        <v>0</v>
      </c>
      <c r="G285" s="18">
        <v>0.736842105263158</v>
      </c>
      <c r="H285" s="18">
        <v>0.355555555555556</v>
      </c>
    </row>
    <row r="286">
      <c r="A286" s="19" t="s">
        <v>216</v>
      </c>
      <c r="B286" s="18">
        <v>0</v>
      </c>
      <c r="C286" s="18">
        <v>0.384615384615385</v>
      </c>
      <c r="D286" s="18">
        <v>0.25</v>
      </c>
      <c r="E286" s="18">
        <v>0.4</v>
      </c>
      <c r="F286" s="18">
        <v>1</v>
      </c>
      <c r="G286" s="18">
        <v>0.0526315789473684</v>
      </c>
      <c r="H286" s="18">
        <v>0.244444444444444</v>
      </c>
    </row>
    <row r="287">
      <c r="A287" s="19" t="s">
        <v>199</v>
      </c>
      <c r="B287" s="18">
        <v>0.5</v>
      </c>
      <c r="C287" s="18">
        <v>0.461538461538462</v>
      </c>
      <c r="D287" s="18">
        <v>0.75</v>
      </c>
      <c r="E287" s="18">
        <v>0.4</v>
      </c>
      <c r="F287" s="18">
        <v>0</v>
      </c>
      <c r="G287" s="18">
        <v>0.210526315789474</v>
      </c>
      <c r="H287" s="18">
        <v>0.355555555555556</v>
      </c>
    </row>
    <row r="288">
      <c r="A288" s="19" t="s">
        <v>682</v>
      </c>
      <c r="B288" s="18">
        <v>0</v>
      </c>
      <c r="C288" s="18">
        <v>0.0769230769230769</v>
      </c>
      <c r="D288" s="18">
        <v>0</v>
      </c>
      <c r="E288" s="18">
        <v>0.2</v>
      </c>
      <c r="F288" s="18">
        <v>0</v>
      </c>
      <c r="G288" s="18">
        <v>0</v>
      </c>
      <c r="H288" s="18">
        <v>0.0444444444444444</v>
      </c>
    </row>
    <row r="289">
      <c r="A289" s="19" t="s">
        <v>8270</v>
      </c>
      <c r="B289" s="18">
        <v>1</v>
      </c>
      <c r="C289" s="18">
        <v>1</v>
      </c>
      <c r="D289" s="18">
        <v>1</v>
      </c>
      <c r="E289" s="18">
        <v>1</v>
      </c>
      <c r="F289" s="18">
        <v>1</v>
      </c>
      <c r="G289" s="18">
        <v>1</v>
      </c>
      <c r="H289" s="18">
        <v>1</v>
      </c>
    </row>
    <row r="290">
      <c r="B290" s="18"/>
      <c r="C290" s="18"/>
      <c r="D290" s="18"/>
      <c r="E290" s="18"/>
      <c r="F290" s="18"/>
      <c r="G290" s="18"/>
      <c r="H290" s="18"/>
    </row>
    <row r="291">
      <c r="A291" s="17" t="s">
        <v>8313</v>
      </c>
    </row>
    <row r="292">
      <c r="A292" s="15" t="s">
        <v>8286</v>
      </c>
      <c r="B292" s="15" t="s">
        <v>272</v>
      </c>
      <c r="C292" s="15" t="s">
        <v>378</v>
      </c>
      <c r="D292" s="15" t="s">
        <v>2807</v>
      </c>
      <c r="E292" s="15" t="s">
        <v>802</v>
      </c>
      <c r="F292" s="15" t="s">
        <v>371</v>
      </c>
      <c r="G292" s="15" t="s">
        <v>135</v>
      </c>
      <c r="H292" s="15" t="s">
        <v>8269</v>
      </c>
    </row>
    <row r="293">
      <c r="A293" s="19" t="s">
        <v>1222</v>
      </c>
      <c r="B293" s="18">
        <v>0</v>
      </c>
      <c r="C293" s="18">
        <v>0</v>
      </c>
      <c r="D293" s="18">
        <v>0</v>
      </c>
      <c r="E293" s="18">
        <v>0</v>
      </c>
      <c r="F293" s="18">
        <v>0</v>
      </c>
      <c r="G293" s="18">
        <v>0</v>
      </c>
      <c r="H293" s="18">
        <v>0</v>
      </c>
    </row>
    <row r="294">
      <c r="A294" s="19" t="s">
        <v>576</v>
      </c>
      <c r="B294" s="18">
        <v>1</v>
      </c>
      <c r="C294" s="18">
        <v>1</v>
      </c>
      <c r="D294" s="18">
        <v>1</v>
      </c>
      <c r="E294" s="18">
        <v>0</v>
      </c>
      <c r="F294" s="18">
        <v>0</v>
      </c>
      <c r="G294" s="18">
        <v>1</v>
      </c>
      <c r="H294" s="18">
        <v>1</v>
      </c>
    </row>
    <row r="295">
      <c r="A295" s="19" t="s">
        <v>338</v>
      </c>
      <c r="B295" s="18">
        <v>0</v>
      </c>
      <c r="C295" s="18">
        <v>0</v>
      </c>
      <c r="D295" s="18">
        <v>0</v>
      </c>
      <c r="E295" s="18">
        <v>0</v>
      </c>
      <c r="F295" s="18">
        <v>0</v>
      </c>
      <c r="G295" s="18">
        <v>0</v>
      </c>
      <c r="H295" s="18">
        <v>0</v>
      </c>
    </row>
    <row r="296">
      <c r="A296" s="19" t="s">
        <v>8270</v>
      </c>
      <c r="B296" s="18">
        <v>1</v>
      </c>
      <c r="C296" s="18">
        <v>1</v>
      </c>
      <c r="D296" s="18">
        <v>1</v>
      </c>
      <c r="E296" s="18">
        <v>1</v>
      </c>
      <c r="F296" s="18">
        <v>1</v>
      </c>
      <c r="G296" s="18">
        <v>1</v>
      </c>
      <c r="H296" s="18">
        <v>1</v>
      </c>
    </row>
    <row r="297">
      <c r="B297" s="18"/>
      <c r="C297" s="18"/>
      <c r="D297" s="18"/>
      <c r="E297" s="18"/>
      <c r="F297" s="18"/>
      <c r="G297" s="18"/>
      <c r="H297" s="18"/>
    </row>
    <row r="298">
      <c r="A298" s="17" t="s">
        <v>8314</v>
      </c>
    </row>
    <row r="299">
      <c r="A299" s="15" t="s">
        <v>8286</v>
      </c>
      <c r="B299" s="15" t="s">
        <v>272</v>
      </c>
      <c r="C299" s="15" t="s">
        <v>378</v>
      </c>
      <c r="D299" s="15" t="s">
        <v>2807</v>
      </c>
      <c r="E299" s="15" t="s">
        <v>802</v>
      </c>
      <c r="F299" s="15" t="s">
        <v>371</v>
      </c>
      <c r="G299" s="15" t="s">
        <v>135</v>
      </c>
      <c r="H299" s="15" t="s">
        <v>8269</v>
      </c>
    </row>
    <row r="300">
      <c r="A300" s="19" t="s">
        <v>292</v>
      </c>
      <c r="B300" s="18">
        <v>0</v>
      </c>
      <c r="C300" s="18">
        <v>0</v>
      </c>
      <c r="D300" s="18">
        <v>1</v>
      </c>
      <c r="E300" s="18">
        <v>0</v>
      </c>
      <c r="F300" s="18">
        <v>0</v>
      </c>
      <c r="G300" s="18">
        <v>0</v>
      </c>
      <c r="H300" s="18">
        <v>0.0588235294117647</v>
      </c>
    </row>
    <row r="301">
      <c r="A301" s="19" t="s">
        <v>537</v>
      </c>
      <c r="B301" s="18">
        <v>0</v>
      </c>
      <c r="C301" s="18">
        <v>0</v>
      </c>
      <c r="D301" s="18">
        <v>0</v>
      </c>
      <c r="E301" s="18">
        <v>0.5</v>
      </c>
      <c r="F301" s="18">
        <v>1</v>
      </c>
      <c r="G301" s="18">
        <v>0.583333333333333</v>
      </c>
      <c r="H301" s="18">
        <v>0.529411764705882</v>
      </c>
    </row>
    <row r="302">
      <c r="A302" s="19" t="s">
        <v>456</v>
      </c>
      <c r="B302" s="18">
        <v>0</v>
      </c>
      <c r="C302" s="18">
        <v>0</v>
      </c>
      <c r="D302" s="18">
        <v>0</v>
      </c>
      <c r="E302" s="18">
        <v>0</v>
      </c>
      <c r="F302" s="18">
        <v>0</v>
      </c>
      <c r="G302" s="18">
        <v>0.0833333333333333</v>
      </c>
      <c r="H302" s="18">
        <v>0.0588235294117647</v>
      </c>
    </row>
    <row r="303">
      <c r="A303" s="19" t="s">
        <v>571</v>
      </c>
      <c r="B303" s="18">
        <v>0</v>
      </c>
      <c r="C303" s="18">
        <v>0</v>
      </c>
      <c r="D303" s="18">
        <v>0</v>
      </c>
      <c r="E303" s="18">
        <v>0.5</v>
      </c>
      <c r="F303" s="18">
        <v>0</v>
      </c>
      <c r="G303" s="18">
        <v>0.333333333333333</v>
      </c>
      <c r="H303" s="18">
        <v>0.294117647058824</v>
      </c>
    </row>
    <row r="304">
      <c r="A304" s="19" t="s">
        <v>244</v>
      </c>
      <c r="B304" s="18">
        <v>0</v>
      </c>
      <c r="C304" s="18">
        <v>1</v>
      </c>
      <c r="D304" s="18">
        <v>0</v>
      </c>
      <c r="E304" s="18">
        <v>0</v>
      </c>
      <c r="F304" s="18">
        <v>0</v>
      </c>
      <c r="G304" s="18">
        <v>0</v>
      </c>
      <c r="H304" s="18">
        <v>0.0588235294117647</v>
      </c>
    </row>
    <row r="305">
      <c r="A305" s="19" t="s">
        <v>8270</v>
      </c>
      <c r="B305" s="18">
        <v>1</v>
      </c>
      <c r="C305" s="18">
        <v>1</v>
      </c>
      <c r="D305" s="18">
        <v>1</v>
      </c>
      <c r="E305" s="18">
        <v>1</v>
      </c>
      <c r="F305" s="18">
        <v>1</v>
      </c>
      <c r="G305" s="18">
        <v>1</v>
      </c>
      <c r="H305" s="18">
        <v>1</v>
      </c>
    </row>
    <row r="306">
      <c r="B306" s="18"/>
      <c r="C306" s="18"/>
      <c r="D306" s="18"/>
      <c r="E306" s="18"/>
      <c r="F306" s="18"/>
      <c r="G306" s="18"/>
      <c r="H306" s="18"/>
    </row>
    <row r="307">
      <c r="A307" s="17" t="s">
        <v>8315</v>
      </c>
    </row>
    <row r="308">
      <c r="A308" s="15" t="s">
        <v>8286</v>
      </c>
      <c r="B308" s="15" t="s">
        <v>272</v>
      </c>
      <c r="C308" s="15" t="s">
        <v>378</v>
      </c>
      <c r="D308" s="15" t="s">
        <v>2807</v>
      </c>
      <c r="E308" s="15" t="s">
        <v>802</v>
      </c>
      <c r="F308" s="15" t="s">
        <v>371</v>
      </c>
      <c r="G308" s="15" t="s">
        <v>135</v>
      </c>
      <c r="H308" s="15" t="s">
        <v>8269</v>
      </c>
    </row>
    <row r="309">
      <c r="A309" s="19" t="s">
        <v>268</v>
      </c>
      <c r="B309" s="18">
        <v>0</v>
      </c>
      <c r="C309" s="18">
        <v>0.333333333333333</v>
      </c>
      <c r="D309" s="18">
        <v>0</v>
      </c>
      <c r="E309" s="18">
        <v>0</v>
      </c>
      <c r="F309" s="18">
        <v>0</v>
      </c>
      <c r="G309" s="18">
        <v>0.833333333333334</v>
      </c>
      <c r="H309" s="18">
        <v>0.6875</v>
      </c>
    </row>
    <row r="310">
      <c r="A310" s="19" t="s">
        <v>306</v>
      </c>
      <c r="B310" s="18">
        <v>0</v>
      </c>
      <c r="C310" s="18">
        <v>0.333333333333333</v>
      </c>
      <c r="D310" s="18">
        <v>0</v>
      </c>
      <c r="E310" s="18">
        <v>0</v>
      </c>
      <c r="F310" s="18">
        <v>0</v>
      </c>
      <c r="G310" s="18">
        <v>0.0833333333333333</v>
      </c>
      <c r="H310" s="18">
        <v>0.125</v>
      </c>
    </row>
    <row r="311">
      <c r="A311" s="19" t="s">
        <v>155</v>
      </c>
      <c r="B311" s="18">
        <v>0</v>
      </c>
      <c r="C311" s="18">
        <v>0.333333333333333</v>
      </c>
      <c r="D311" s="18">
        <v>0</v>
      </c>
      <c r="E311" s="18">
        <v>1</v>
      </c>
      <c r="F311" s="18">
        <v>0</v>
      </c>
      <c r="G311" s="18">
        <v>0.0833333333333333</v>
      </c>
      <c r="H311" s="18">
        <v>0.1875</v>
      </c>
    </row>
    <row r="312">
      <c r="A312" s="19" t="s">
        <v>8270</v>
      </c>
      <c r="B312" s="18">
        <v>1</v>
      </c>
      <c r="C312" s="18">
        <v>1</v>
      </c>
      <c r="D312" s="18">
        <v>1</v>
      </c>
      <c r="E312" s="18">
        <v>1</v>
      </c>
      <c r="F312" s="18">
        <v>1</v>
      </c>
      <c r="G312" s="18">
        <v>1</v>
      </c>
      <c r="H312" s="18">
        <v>1</v>
      </c>
    </row>
    <row r="313">
      <c r="B313" s="18"/>
      <c r="C313" s="18"/>
      <c r="D313" s="18"/>
      <c r="E313" s="18"/>
      <c r="F313" s="18"/>
      <c r="G313" s="18"/>
      <c r="H313" s="18"/>
    </row>
    <row r="314">
      <c r="A314" s="17" t="s">
        <v>8316</v>
      </c>
    </row>
    <row r="315">
      <c r="A315" s="15" t="s">
        <v>8286</v>
      </c>
      <c r="B315" s="15" t="s">
        <v>272</v>
      </c>
      <c r="C315" s="15" t="s">
        <v>378</v>
      </c>
      <c r="D315" s="15" t="s">
        <v>2807</v>
      </c>
      <c r="E315" s="15" t="s">
        <v>802</v>
      </c>
      <c r="F315" s="15" t="s">
        <v>371</v>
      </c>
      <c r="G315" s="15" t="s">
        <v>135</v>
      </c>
      <c r="H315" s="15" t="s">
        <v>8269</v>
      </c>
    </row>
    <row r="316">
      <c r="A316" s="19" t="s">
        <v>871</v>
      </c>
      <c r="B316" s="18">
        <v>0</v>
      </c>
      <c r="C316" s="18">
        <v>0</v>
      </c>
      <c r="D316" s="18">
        <v>0</v>
      </c>
      <c r="E316" s="18">
        <v>0</v>
      </c>
      <c r="F316" s="18">
        <v>0</v>
      </c>
      <c r="G316" s="18">
        <v>0</v>
      </c>
      <c r="H316" s="18">
        <v>0</v>
      </c>
    </row>
    <row r="317">
      <c r="A317" s="19" t="s">
        <v>186</v>
      </c>
      <c r="B317" s="18">
        <v>1</v>
      </c>
      <c r="C317" s="18">
        <v>1</v>
      </c>
      <c r="D317" s="18">
        <v>0</v>
      </c>
      <c r="E317" s="18">
        <v>0</v>
      </c>
      <c r="F317" s="18">
        <v>0</v>
      </c>
      <c r="G317" s="18">
        <v>0</v>
      </c>
      <c r="H317" s="18">
        <v>1</v>
      </c>
    </row>
    <row r="318">
      <c r="A318" s="19" t="s">
        <v>548</v>
      </c>
      <c r="B318" s="18">
        <v>0</v>
      </c>
      <c r="C318" s="18">
        <v>0</v>
      </c>
      <c r="D318" s="18">
        <v>0</v>
      </c>
      <c r="E318" s="18">
        <v>0</v>
      </c>
      <c r="F318" s="18">
        <v>0</v>
      </c>
      <c r="G318" s="18">
        <v>0</v>
      </c>
      <c r="H318" s="18">
        <v>0</v>
      </c>
    </row>
    <row r="319">
      <c r="A319" s="19" t="s">
        <v>626</v>
      </c>
      <c r="B319" s="18">
        <v>0</v>
      </c>
      <c r="C319" s="18">
        <v>0</v>
      </c>
      <c r="D319" s="18">
        <v>0</v>
      </c>
      <c r="E319" s="18">
        <v>0</v>
      </c>
      <c r="F319" s="18">
        <v>0</v>
      </c>
      <c r="G319" s="18">
        <v>0</v>
      </c>
      <c r="H319" s="18">
        <v>0</v>
      </c>
    </row>
    <row r="320">
      <c r="A320" s="19" t="s">
        <v>8270</v>
      </c>
      <c r="B320" s="18">
        <v>1</v>
      </c>
      <c r="C320" s="18">
        <v>1</v>
      </c>
      <c r="D320" s="18">
        <v>1</v>
      </c>
      <c r="E320" s="18">
        <v>1</v>
      </c>
      <c r="F320" s="18">
        <v>1</v>
      </c>
      <c r="G320" s="18">
        <v>1</v>
      </c>
      <c r="H320" s="18">
        <v>1</v>
      </c>
    </row>
    <row r="321">
      <c r="B321" s="18"/>
      <c r="C321" s="18"/>
      <c r="D321" s="18"/>
      <c r="E321" s="18"/>
      <c r="F321" s="18"/>
      <c r="G321" s="18"/>
      <c r="H321" s="18"/>
    </row>
    <row r="322">
      <c r="A322" s="17" t="s">
        <v>8317</v>
      </c>
    </row>
    <row r="323">
      <c r="A323" s="15" t="s">
        <v>8286</v>
      </c>
      <c r="B323" s="15" t="s">
        <v>272</v>
      </c>
      <c r="C323" s="15" t="s">
        <v>378</v>
      </c>
      <c r="D323" s="15" t="s">
        <v>2807</v>
      </c>
      <c r="E323" s="15" t="s">
        <v>802</v>
      </c>
      <c r="F323" s="15" t="s">
        <v>371</v>
      </c>
      <c r="G323" s="15" t="s">
        <v>135</v>
      </c>
      <c r="H323" s="15" t="s">
        <v>8269</v>
      </c>
    </row>
    <row r="324">
      <c r="A324" s="19" t="s">
        <v>970</v>
      </c>
      <c r="B324" s="18">
        <v>0</v>
      </c>
      <c r="C324" s="18">
        <v>0.25</v>
      </c>
      <c r="D324" s="18">
        <v>0</v>
      </c>
      <c r="E324" s="18">
        <v>0</v>
      </c>
      <c r="F324" s="18">
        <v>0</v>
      </c>
      <c r="G324" s="18">
        <v>1</v>
      </c>
      <c r="H324" s="18">
        <v>0.4</v>
      </c>
    </row>
    <row r="325">
      <c r="A325" s="19" t="s">
        <v>165</v>
      </c>
      <c r="B325" s="18">
        <v>0</v>
      </c>
      <c r="C325" s="18">
        <v>0.5</v>
      </c>
      <c r="D325" s="18">
        <v>0</v>
      </c>
      <c r="E325" s="18">
        <v>0</v>
      </c>
      <c r="F325" s="18">
        <v>0</v>
      </c>
      <c r="G325" s="18">
        <v>0</v>
      </c>
      <c r="H325" s="18">
        <v>0.4</v>
      </c>
    </row>
    <row r="326">
      <c r="A326" s="19" t="s">
        <v>277</v>
      </c>
      <c r="B326" s="18">
        <v>0</v>
      </c>
      <c r="C326" s="18">
        <v>0.25</v>
      </c>
      <c r="D326" s="18">
        <v>0</v>
      </c>
      <c r="E326" s="18">
        <v>0</v>
      </c>
      <c r="F326" s="18">
        <v>0</v>
      </c>
      <c r="G326" s="18">
        <v>0</v>
      </c>
      <c r="H326" s="18">
        <v>0.2</v>
      </c>
    </row>
    <row r="327">
      <c r="A327" s="19" t="s">
        <v>8270</v>
      </c>
      <c r="B327" s="18">
        <v>1</v>
      </c>
      <c r="C327" s="18">
        <v>1</v>
      </c>
      <c r="D327" s="18">
        <v>1</v>
      </c>
      <c r="E327" s="18">
        <v>1</v>
      </c>
      <c r="F327" s="18">
        <v>1</v>
      </c>
      <c r="G327" s="18">
        <v>1</v>
      </c>
      <c r="H327" s="18">
        <v>1</v>
      </c>
    </row>
    <row r="328">
      <c r="B328" s="18"/>
      <c r="C328" s="18"/>
      <c r="D328" s="18"/>
      <c r="E328" s="18"/>
      <c r="F328" s="18"/>
      <c r="G328" s="18"/>
      <c r="H328" s="18"/>
    </row>
    <row r="329">
      <c r="A329" s="17" t="s">
        <v>8318</v>
      </c>
    </row>
    <row r="330">
      <c r="A330" s="15" t="s">
        <v>8286</v>
      </c>
      <c r="B330" s="15" t="s">
        <v>272</v>
      </c>
      <c r="C330" s="15" t="s">
        <v>378</v>
      </c>
      <c r="D330" s="15" t="s">
        <v>2807</v>
      </c>
      <c r="E330" s="15" t="s">
        <v>802</v>
      </c>
      <c r="F330" s="15" t="s">
        <v>371</v>
      </c>
      <c r="G330" s="15" t="s">
        <v>135</v>
      </c>
      <c r="H330" s="15" t="s">
        <v>8269</v>
      </c>
    </row>
    <row r="331">
      <c r="A331" s="19" t="s">
        <v>147</v>
      </c>
      <c r="B331" s="18">
        <v>1</v>
      </c>
      <c r="C331" s="18">
        <v>1</v>
      </c>
      <c r="D331" s="18">
        <v>0</v>
      </c>
      <c r="E331" s="18">
        <v>1</v>
      </c>
      <c r="F331" s="18">
        <v>1</v>
      </c>
      <c r="G331" s="18">
        <v>1</v>
      </c>
      <c r="H331" s="18">
        <v>1</v>
      </c>
    </row>
    <row r="332">
      <c r="A332" s="19" t="s">
        <v>500</v>
      </c>
      <c r="B332" s="18">
        <v>0</v>
      </c>
      <c r="C332" s="18">
        <v>0</v>
      </c>
      <c r="D332" s="18">
        <v>0</v>
      </c>
      <c r="E332" s="18">
        <v>0</v>
      </c>
      <c r="F332" s="18">
        <v>0</v>
      </c>
      <c r="G332" s="18">
        <v>0</v>
      </c>
      <c r="H332" s="18">
        <v>0</v>
      </c>
    </row>
    <row r="333">
      <c r="A333" s="19" t="s">
        <v>8270</v>
      </c>
      <c r="B333" s="18">
        <v>1</v>
      </c>
      <c r="C333" s="18">
        <v>1</v>
      </c>
      <c r="D333" s="18">
        <v>1</v>
      </c>
      <c r="E333" s="18">
        <v>1</v>
      </c>
      <c r="F333" s="18">
        <v>1</v>
      </c>
      <c r="G333" s="18">
        <v>1</v>
      </c>
      <c r="H333" s="18">
        <v>1</v>
      </c>
    </row>
    <row r="334">
      <c r="B334" s="18"/>
      <c r="C334" s="18"/>
      <c r="D334" s="18"/>
      <c r="E334" s="18"/>
      <c r="F334" s="18"/>
      <c r="G334" s="18"/>
      <c r="H334" s="18"/>
    </row>
    <row r="335">
      <c r="A335" s="17" t="s">
        <v>8319</v>
      </c>
    </row>
    <row r="336">
      <c r="A336" s="15" t="s">
        <v>8286</v>
      </c>
      <c r="B336" s="15" t="s">
        <v>272</v>
      </c>
      <c r="C336" s="15" t="s">
        <v>378</v>
      </c>
      <c r="D336" s="15" t="s">
        <v>2807</v>
      </c>
      <c r="E336" s="15" t="s">
        <v>802</v>
      </c>
      <c r="F336" s="15" t="s">
        <v>371</v>
      </c>
      <c r="G336" s="15" t="s">
        <v>135</v>
      </c>
      <c r="H336" s="15" t="s">
        <v>8269</v>
      </c>
    </row>
    <row r="337">
      <c r="A337" s="19" t="s">
        <v>401</v>
      </c>
      <c r="B337" s="18">
        <v>0</v>
      </c>
      <c r="C337" s="18">
        <v>0</v>
      </c>
      <c r="D337" s="18">
        <v>1</v>
      </c>
      <c r="E337" s="18">
        <v>0</v>
      </c>
      <c r="F337" s="18">
        <v>0</v>
      </c>
      <c r="G337" s="18">
        <v>0</v>
      </c>
      <c r="H337" s="18">
        <v>0.5</v>
      </c>
    </row>
    <row r="338">
      <c r="A338" s="19" t="s">
        <v>8295</v>
      </c>
      <c r="B338" s="18">
        <v>0</v>
      </c>
      <c r="C338" s="18">
        <v>0</v>
      </c>
      <c r="D338" s="18">
        <v>0</v>
      </c>
      <c r="E338" s="18">
        <v>0</v>
      </c>
      <c r="F338" s="18">
        <v>0</v>
      </c>
      <c r="G338" s="18">
        <v>0</v>
      </c>
      <c r="H338" s="18">
        <v>0</v>
      </c>
    </row>
    <row r="339">
      <c r="A339" s="19" t="s">
        <v>507</v>
      </c>
      <c r="B339" s="18">
        <v>0</v>
      </c>
      <c r="C339" s="18">
        <v>0</v>
      </c>
      <c r="D339" s="18">
        <v>0</v>
      </c>
      <c r="E339" s="18">
        <v>1</v>
      </c>
      <c r="F339" s="18">
        <v>0</v>
      </c>
      <c r="G339" s="18">
        <v>0</v>
      </c>
      <c r="H339" s="18">
        <v>0.5</v>
      </c>
    </row>
    <row r="340">
      <c r="A340" s="19" t="s">
        <v>8270</v>
      </c>
      <c r="B340" s="18">
        <v>1</v>
      </c>
      <c r="C340" s="18">
        <v>1</v>
      </c>
      <c r="D340" s="18">
        <v>1</v>
      </c>
      <c r="E340" s="18">
        <v>1</v>
      </c>
      <c r="F340" s="18">
        <v>1</v>
      </c>
      <c r="G340" s="18">
        <v>1</v>
      </c>
      <c r="H340" s="18">
        <v>1</v>
      </c>
    </row>
    <row r="341">
      <c r="B341" s="18"/>
      <c r="C341" s="18"/>
      <c r="D341" s="18"/>
      <c r="E341" s="18"/>
      <c r="F341" s="18"/>
      <c r="G341" s="18"/>
      <c r="H341" s="18"/>
    </row>
    <row r="342">
      <c r="A342" s="17" t="s">
        <v>8320</v>
      </c>
    </row>
    <row r="343">
      <c r="A343" s="15" t="s">
        <v>8286</v>
      </c>
      <c r="B343" s="15" t="s">
        <v>272</v>
      </c>
      <c r="C343" s="15" t="s">
        <v>378</v>
      </c>
      <c r="D343" s="15" t="s">
        <v>2807</v>
      </c>
      <c r="E343" s="15" t="s">
        <v>802</v>
      </c>
      <c r="F343" s="15" t="s">
        <v>371</v>
      </c>
      <c r="G343" s="15" t="s">
        <v>135</v>
      </c>
      <c r="H343" s="15" t="s">
        <v>8269</v>
      </c>
    </row>
    <row r="344">
      <c r="A344" s="19" t="s">
        <v>310</v>
      </c>
      <c r="B344" s="18">
        <v>0</v>
      </c>
      <c r="C344" s="18">
        <v>0</v>
      </c>
      <c r="D344" s="18">
        <v>0</v>
      </c>
      <c r="E344" s="18">
        <v>0</v>
      </c>
      <c r="F344" s="18">
        <v>0</v>
      </c>
      <c r="G344" s="18">
        <v>0</v>
      </c>
      <c r="H344" s="18">
        <v>0</v>
      </c>
    </row>
    <row r="345">
      <c r="A345" s="19" t="s">
        <v>171</v>
      </c>
      <c r="B345" s="18">
        <v>0</v>
      </c>
      <c r="C345" s="18">
        <v>1</v>
      </c>
      <c r="D345" s="18">
        <v>0</v>
      </c>
      <c r="E345" s="18">
        <v>0</v>
      </c>
      <c r="F345" s="18">
        <v>0</v>
      </c>
      <c r="G345" s="18">
        <v>1</v>
      </c>
      <c r="H345" s="18">
        <v>1</v>
      </c>
    </row>
    <row r="346">
      <c r="A346" s="19" t="s">
        <v>8270</v>
      </c>
      <c r="B346" s="18">
        <v>1</v>
      </c>
      <c r="C346" s="18">
        <v>1</v>
      </c>
      <c r="D346" s="18">
        <v>1</v>
      </c>
      <c r="E346" s="18">
        <v>1</v>
      </c>
      <c r="F346" s="18">
        <v>1</v>
      </c>
      <c r="G346" s="18">
        <v>1</v>
      </c>
      <c r="H346" s="18">
        <v>1</v>
      </c>
    </row>
    <row r="347">
      <c r="B347" s="18"/>
      <c r="C347" s="18"/>
      <c r="D347" s="18"/>
      <c r="E347" s="18"/>
      <c r="F347" s="18"/>
      <c r="G347" s="18"/>
      <c r="H347" s="18"/>
    </row>
    <row r="348">
      <c r="A348" s="17" t="s">
        <v>8321</v>
      </c>
    </row>
    <row r="349">
      <c r="A349" s="15" t="s">
        <v>8286</v>
      </c>
      <c r="B349" s="15" t="s">
        <v>272</v>
      </c>
      <c r="C349" s="15" t="s">
        <v>378</v>
      </c>
      <c r="D349" s="15" t="s">
        <v>2807</v>
      </c>
      <c r="E349" s="15" t="s">
        <v>802</v>
      </c>
      <c r="F349" s="15" t="s">
        <v>371</v>
      </c>
      <c r="G349" s="15" t="s">
        <v>135</v>
      </c>
      <c r="H349" s="15" t="s">
        <v>8269</v>
      </c>
    </row>
    <row r="350">
      <c r="A350" s="19" t="s">
        <v>134</v>
      </c>
      <c r="B350" s="18">
        <v>0</v>
      </c>
      <c r="C350" s="18">
        <v>0</v>
      </c>
      <c r="D350" s="18">
        <v>0</v>
      </c>
      <c r="E350" s="18">
        <v>0</v>
      </c>
      <c r="F350" s="18">
        <v>0</v>
      </c>
      <c r="G350" s="18">
        <v>0</v>
      </c>
      <c r="H350" s="18">
        <v>0</v>
      </c>
    </row>
    <row r="351">
      <c r="A351" s="19" t="s">
        <v>753</v>
      </c>
      <c r="B351" s="18">
        <v>0</v>
      </c>
      <c r="C351" s="18">
        <v>0</v>
      </c>
      <c r="D351" s="18">
        <v>0</v>
      </c>
      <c r="E351" s="18">
        <v>0</v>
      </c>
      <c r="F351" s="18">
        <v>0</v>
      </c>
      <c r="G351" s="18">
        <v>0</v>
      </c>
      <c r="H351" s="18">
        <v>0</v>
      </c>
    </row>
    <row r="352">
      <c r="A352" s="19" t="s">
        <v>160</v>
      </c>
      <c r="B352" s="18">
        <v>0</v>
      </c>
      <c r="C352" s="18">
        <v>1</v>
      </c>
      <c r="D352" s="18">
        <v>0</v>
      </c>
      <c r="E352" s="18">
        <v>0</v>
      </c>
      <c r="F352" s="18">
        <v>0</v>
      </c>
      <c r="G352" s="18">
        <v>0</v>
      </c>
      <c r="H352" s="18">
        <v>1</v>
      </c>
    </row>
    <row r="353">
      <c r="A353" s="19" t="s">
        <v>8270</v>
      </c>
      <c r="B353" s="18">
        <v>1</v>
      </c>
      <c r="C353" s="18">
        <v>1</v>
      </c>
      <c r="D353" s="18">
        <v>1</v>
      </c>
      <c r="E353" s="18">
        <v>1</v>
      </c>
      <c r="F353" s="18">
        <v>1</v>
      </c>
      <c r="G353" s="18">
        <v>1</v>
      </c>
      <c r="H353" s="18">
        <v>1</v>
      </c>
    </row>
    <row r="354">
      <c r="B354" s="18"/>
      <c r="C354" s="18"/>
      <c r="D354" s="18"/>
      <c r="E354" s="18"/>
      <c r="F354" s="18"/>
      <c r="G354" s="18"/>
      <c r="H354" s="18"/>
    </row>
    <row r="355">
      <c r="A355" s="17" t="s">
        <v>8322</v>
      </c>
    </row>
    <row r="356">
      <c r="A356" s="15" t="s">
        <v>8286</v>
      </c>
      <c r="B356" s="15" t="s">
        <v>272</v>
      </c>
      <c r="C356" s="15" t="s">
        <v>378</v>
      </c>
      <c r="D356" s="15" t="s">
        <v>2807</v>
      </c>
      <c r="E356" s="15" t="s">
        <v>802</v>
      </c>
      <c r="F356" s="15" t="s">
        <v>371</v>
      </c>
      <c r="G356" s="15" t="s">
        <v>135</v>
      </c>
      <c r="H356" s="15" t="s">
        <v>8269</v>
      </c>
    </row>
    <row r="357">
      <c r="A357" s="19" t="s">
        <v>743</v>
      </c>
      <c r="B357" s="18">
        <v>0</v>
      </c>
      <c r="C357" s="18">
        <v>0</v>
      </c>
      <c r="D357" s="18">
        <v>0</v>
      </c>
      <c r="E357" s="18">
        <v>0</v>
      </c>
      <c r="F357" s="18">
        <v>0</v>
      </c>
      <c r="G357" s="18">
        <v>0</v>
      </c>
      <c r="H357" s="18">
        <v>0</v>
      </c>
    </row>
    <row r="358">
      <c r="A358" s="19" t="s">
        <v>261</v>
      </c>
      <c r="B358" s="18">
        <v>0</v>
      </c>
      <c r="C358" s="18">
        <v>1</v>
      </c>
      <c r="D358" s="18">
        <v>0</v>
      </c>
      <c r="E358" s="18">
        <v>0</v>
      </c>
      <c r="F358" s="18">
        <v>0</v>
      </c>
      <c r="G358" s="18">
        <v>1</v>
      </c>
      <c r="H358" s="18">
        <v>1</v>
      </c>
    </row>
    <row r="359">
      <c r="A359" s="19" t="s">
        <v>8270</v>
      </c>
      <c r="B359" s="18">
        <v>1</v>
      </c>
      <c r="C359" s="18">
        <v>1</v>
      </c>
      <c r="D359" s="18">
        <v>1</v>
      </c>
      <c r="E359" s="18">
        <v>1</v>
      </c>
      <c r="F359" s="18">
        <v>1</v>
      </c>
      <c r="G359" s="18">
        <v>1</v>
      </c>
      <c r="H359" s="18">
        <v>1</v>
      </c>
    </row>
    <row r="360">
      <c r="B360" s="18"/>
      <c r="C360" s="18"/>
      <c r="D360" s="18"/>
      <c r="E360" s="18"/>
      <c r="F360" s="18"/>
      <c r="G360" s="18"/>
      <c r="H360" s="18"/>
    </row>
    <row r="362">
      <c r="A362" s="19" t="s">
        <v>8266</v>
      </c>
    </row>
    <row r="363">
      <c r="A363" s="19" t="s">
        <v>6</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I73"/>
  <sheetViews>
    <sheetView workbookViewId="0"/>
  </sheetViews>
  <sheetFormatPr defaultRowHeight="15"/>
  <cols>
    <col min="1" max="1" width="67.71428680419922" customWidth="1" style="19"/>
    <col min="2" max="2" width="34.71428680419922" customWidth="1"/>
    <col min="3" max="3" width="19.285715103149414" customWidth="1"/>
    <col min="4" max="4" width="19" customWidth="1"/>
    <col min="5" max="5" width="38.42856979370117" customWidth="1"/>
    <col min="6" max="6" width="18.85714340209961" customWidth="1"/>
    <col min="7" max="7" width="29.85714340209961" customWidth="1"/>
    <col min="8" max="8" width="19" customWidth="1"/>
    <col min="9" max="9" width="19" customWidth="1"/>
  </cols>
  <sheetData>
    <row r="1">
      <c r="A1" s="17" t="s">
        <v>8323</v>
      </c>
    </row>
    <row r="2">
      <c r="A2" s="15" t="s">
        <v>8324</v>
      </c>
      <c r="B2" s="15" t="s">
        <v>8268</v>
      </c>
      <c r="C2" s="15" t="s">
        <v>272</v>
      </c>
      <c r="D2" s="15" t="s">
        <v>378</v>
      </c>
      <c r="E2" s="15" t="s">
        <v>2807</v>
      </c>
      <c r="F2" s="15" t="s">
        <v>802</v>
      </c>
      <c r="G2" s="15" t="s">
        <v>371</v>
      </c>
      <c r="H2" s="15" t="s">
        <v>135</v>
      </c>
      <c r="I2" s="15" t="s">
        <v>8269</v>
      </c>
    </row>
    <row r="3">
      <c r="A3" s="19" t="s">
        <v>8325</v>
      </c>
      <c r="B3" s="0" t="s">
        <v>8326</v>
      </c>
      <c r="C3" s="0">
        <v>15</v>
      </c>
      <c r="D3" s="0">
        <v>63</v>
      </c>
      <c r="E3" s="0">
        <v>23</v>
      </c>
      <c r="F3" s="0">
        <v>39</v>
      </c>
      <c r="G3" s="0">
        <v>14</v>
      </c>
      <c r="H3" s="0">
        <v>123</v>
      </c>
      <c r="I3" s="0">
        <v>277</v>
      </c>
    </row>
    <row r="4">
      <c r="A4" s="19" t="s">
        <v>8327</v>
      </c>
      <c r="B4" s="0" t="s">
        <v>8326</v>
      </c>
      <c r="C4" s="0">
        <v>11</v>
      </c>
      <c r="D4" s="0">
        <v>39</v>
      </c>
      <c r="E4" s="0">
        <v>16</v>
      </c>
      <c r="F4" s="0">
        <v>20</v>
      </c>
      <c r="G4" s="0">
        <v>5</v>
      </c>
      <c r="H4" s="0">
        <v>75</v>
      </c>
      <c r="I4" s="0">
        <v>166</v>
      </c>
    </row>
    <row r="5">
      <c r="A5" s="19" t="s">
        <v>8328</v>
      </c>
      <c r="B5" s="0" t="s">
        <v>8326</v>
      </c>
      <c r="C5" s="0">
        <v>5</v>
      </c>
      <c r="D5" s="0">
        <v>26</v>
      </c>
      <c r="E5" s="0">
        <v>7</v>
      </c>
      <c r="F5" s="0">
        <v>6</v>
      </c>
      <c r="G5" s="0">
        <v>3</v>
      </c>
      <c r="H5" s="0">
        <v>37</v>
      </c>
      <c r="I5" s="0">
        <v>84</v>
      </c>
    </row>
    <row r="6">
      <c r="A6" s="19" t="s">
        <v>8329</v>
      </c>
      <c r="B6" s="0" t="s">
        <v>8326</v>
      </c>
      <c r="C6" s="0">
        <v>26</v>
      </c>
      <c r="D6" s="0">
        <v>108</v>
      </c>
      <c r="E6" s="0">
        <v>34</v>
      </c>
      <c r="F6" s="0">
        <v>57</v>
      </c>
      <c r="G6" s="0">
        <v>22</v>
      </c>
      <c r="H6" s="0">
        <v>183</v>
      </c>
      <c r="I6" s="0">
        <v>430</v>
      </c>
    </row>
    <row r="7">
      <c r="A7" s="19" t="s">
        <v>8330</v>
      </c>
      <c r="B7" s="0" t="s">
        <v>8326</v>
      </c>
      <c r="C7" s="0">
        <v>19</v>
      </c>
      <c r="D7" s="0">
        <v>77</v>
      </c>
      <c r="E7" s="0">
        <v>27</v>
      </c>
      <c r="F7" s="0">
        <v>35</v>
      </c>
      <c r="G7" s="0">
        <v>12</v>
      </c>
      <c r="H7" s="0">
        <v>117</v>
      </c>
      <c r="I7" s="0">
        <v>287</v>
      </c>
    </row>
    <row r="8">
      <c r="A8" s="19" t="s">
        <v>8331</v>
      </c>
      <c r="B8" s="0" t="s">
        <v>8326</v>
      </c>
      <c r="C8" s="0">
        <v>11</v>
      </c>
      <c r="D8" s="0">
        <v>50</v>
      </c>
      <c r="E8" s="0">
        <v>9</v>
      </c>
      <c r="F8" s="0">
        <v>9</v>
      </c>
      <c r="G8" s="0">
        <v>8</v>
      </c>
      <c r="H8" s="0">
        <v>52</v>
      </c>
      <c r="I8" s="0">
        <v>139</v>
      </c>
    </row>
    <row r="9">
      <c r="A9" s="19" t="s">
        <v>8332</v>
      </c>
      <c r="B9" s="0" t="s">
        <v>8326</v>
      </c>
      <c r="C9" s="20">
        <v>121878938.68</v>
      </c>
      <c r="D9" s="20">
        <v>442754945.06</v>
      </c>
      <c r="E9" s="20">
        <v>75576622.71</v>
      </c>
      <c r="F9" s="20">
        <v>252295288.52</v>
      </c>
      <c r="G9" s="20">
        <v>24993681.08</v>
      </c>
      <c r="H9" s="20">
        <v>742752847.29</v>
      </c>
      <c r="I9" s="20">
        <v>1660252323.34</v>
      </c>
    </row>
    <row r="10">
      <c r="A10" s="19" t="s">
        <v>8333</v>
      </c>
      <c r="B10" s="0" t="s">
        <v>8326</v>
      </c>
      <c r="C10" s="20">
        <v>47593586.8</v>
      </c>
      <c r="D10" s="20">
        <v>233102104.02</v>
      </c>
      <c r="E10" s="20">
        <v>64200708.64</v>
      </c>
      <c r="F10" s="20">
        <v>122943820.09</v>
      </c>
      <c r="G10" s="20">
        <v>17326999.9</v>
      </c>
      <c r="H10" s="20">
        <v>471744815.85</v>
      </c>
      <c r="I10" s="20">
        <v>956912035.3</v>
      </c>
    </row>
    <row r="11">
      <c r="A11" s="19" t="s">
        <v>8334</v>
      </c>
      <c r="B11" s="0" t="s">
        <v>8326</v>
      </c>
      <c r="C11" s="20">
        <v>11970941.55</v>
      </c>
      <c r="D11" s="20">
        <v>150578277.62</v>
      </c>
      <c r="E11" s="20">
        <v>19227645.9</v>
      </c>
      <c r="F11" s="20">
        <v>20278097.35</v>
      </c>
      <c r="G11" s="20">
        <v>11431319.01</v>
      </c>
      <c r="H11" s="20">
        <v>187971440.25</v>
      </c>
      <c r="I11" s="20">
        <v>401457721.68</v>
      </c>
    </row>
    <row r="12">
      <c r="A12" s="19" t="s">
        <v>8335</v>
      </c>
      <c r="B12" s="0" t="s">
        <v>8326</v>
      </c>
      <c r="C12" s="20">
        <v>304853911.73</v>
      </c>
      <c r="D12" s="20">
        <v>1233991417.91</v>
      </c>
      <c r="E12" s="20">
        <v>345461303.15</v>
      </c>
      <c r="F12" s="20">
        <v>829285788.15</v>
      </c>
      <c r="G12" s="20">
        <v>99404131.54</v>
      </c>
      <c r="H12" s="20">
        <v>1943253001.02</v>
      </c>
      <c r="I12" s="20">
        <v>4756249553.5</v>
      </c>
    </row>
    <row r="13">
      <c r="A13" s="19" t="s">
        <v>8336</v>
      </c>
      <c r="B13" s="0" t="s">
        <v>8326</v>
      </c>
      <c r="C13" s="18">
        <v>0.3997945704168774</v>
      </c>
      <c r="D13" s="18">
        <v>0.3587990472493642</v>
      </c>
      <c r="E13" s="18">
        <v>0.21877015463345392</v>
      </c>
      <c r="F13" s="18">
        <v>0.3042320176290845</v>
      </c>
      <c r="G13" s="18">
        <v>0.2514350328581926</v>
      </c>
      <c r="H13" s="18">
        <v>0.3822213818273453</v>
      </c>
      <c r="I13" s="18">
        <v>0.34906753833348875</v>
      </c>
    </row>
    <row r="14">
      <c r="A14" s="19" t="s">
        <v>8337</v>
      </c>
      <c r="B14" s="0" t="s">
        <v>8326</v>
      </c>
      <c r="C14" s="18">
        <v>0.1561193245968653</v>
      </c>
      <c r="D14" s="18">
        <v>0.18890091181898405</v>
      </c>
      <c r="E14" s="18">
        <v>0.18584052122365766</v>
      </c>
      <c r="F14" s="18">
        <v>0.14825265529301715</v>
      </c>
      <c r="G14" s="18">
        <v>0.17430864926401626</v>
      </c>
      <c r="H14" s="18">
        <v>0.2427603691348396</v>
      </c>
      <c r="I14" s="18">
        <v>0.20119045994881268</v>
      </c>
    </row>
    <row r="15">
      <c r="A15" s="19" t="s">
        <v>8338</v>
      </c>
      <c r="B15" s="0" t="s">
        <v>8326</v>
      </c>
      <c r="C15" s="18">
        <v>0.039267797096867514</v>
      </c>
      <c r="D15" s="18">
        <v>0.1220253848078077</v>
      </c>
      <c r="E15" s="18">
        <v>0.05565788620802868</v>
      </c>
      <c r="F15" s="18">
        <v>0.024452483859921315</v>
      </c>
      <c r="G15" s="18">
        <v>0.1149984294707113</v>
      </c>
      <c r="H15" s="18">
        <v>0.0967302971621992</v>
      </c>
      <c r="I15" s="18">
        <v>0.08440636202206374</v>
      </c>
    </row>
    <row r="16">
      <c r="A16" s="17" t="s">
        <v>8325</v>
      </c>
    </row>
    <row r="17">
      <c r="A17" s="15" t="s">
        <v>8324</v>
      </c>
      <c r="B17" s="15" t="s">
        <v>8268</v>
      </c>
      <c r="C17" s="15" t="s">
        <v>272</v>
      </c>
      <c r="D17" s="15" t="s">
        <v>378</v>
      </c>
      <c r="E17" s="15" t="s">
        <v>2807</v>
      </c>
      <c r="F17" s="15" t="s">
        <v>802</v>
      </c>
      <c r="G17" s="15" t="s">
        <v>371</v>
      </c>
      <c r="H17" s="15" t="s">
        <v>135</v>
      </c>
      <c r="I17" s="15" t="s">
        <v>8269</v>
      </c>
    </row>
    <row r="18">
      <c r="A18" s="19" t="s">
        <v>8339</v>
      </c>
      <c r="B18" s="0" t="s">
        <v>197</v>
      </c>
      <c r="C18" s="0">
        <v>10</v>
      </c>
      <c r="D18" s="0">
        <v>47</v>
      </c>
      <c r="E18" s="0">
        <v>16</v>
      </c>
      <c r="F18" s="0">
        <v>25</v>
      </c>
      <c r="G18" s="0">
        <v>8</v>
      </c>
      <c r="H18" s="0">
        <v>70</v>
      </c>
      <c r="I18" s="0">
        <v>176</v>
      </c>
    </row>
    <row r="19">
      <c r="A19" s="19" t="s">
        <v>8339</v>
      </c>
      <c r="B19" s="0" t="s">
        <v>153</v>
      </c>
      <c r="C19" s="0">
        <v>12</v>
      </c>
      <c r="D19" s="0">
        <v>33</v>
      </c>
      <c r="E19" s="0">
        <v>9</v>
      </c>
      <c r="F19" s="0">
        <v>23</v>
      </c>
      <c r="G19" s="0">
        <v>2</v>
      </c>
      <c r="H19" s="0">
        <v>83</v>
      </c>
      <c r="I19" s="0">
        <v>162</v>
      </c>
    </row>
    <row r="20">
      <c r="A20" s="19" t="s">
        <v>8339</v>
      </c>
      <c r="B20" s="0" t="s">
        <v>145</v>
      </c>
      <c r="C20" s="0">
        <v>5</v>
      </c>
      <c r="D20" s="0">
        <v>23</v>
      </c>
      <c r="E20" s="0">
        <v>10</v>
      </c>
      <c r="F20" s="0">
        <v>24</v>
      </c>
      <c r="G20" s="0">
        <v>12</v>
      </c>
      <c r="H20" s="0">
        <v>26</v>
      </c>
      <c r="I20" s="0">
        <v>100</v>
      </c>
    </row>
    <row r="21">
      <c r="A21" s="19" t="s">
        <v>8339</v>
      </c>
      <c r="B21" s="0" t="s">
        <v>132</v>
      </c>
      <c r="C21" s="0">
        <v>3</v>
      </c>
      <c r="D21" s="0">
        <v>17</v>
      </c>
      <c r="E21" s="0">
        <v>4</v>
      </c>
      <c r="F21" s="0">
        <v>11</v>
      </c>
      <c r="G21" s="0">
        <v>2</v>
      </c>
      <c r="H21" s="0">
        <v>28</v>
      </c>
      <c r="I21" s="0">
        <v>65</v>
      </c>
    </row>
    <row r="22">
      <c r="A22" s="19" t="s">
        <v>8340</v>
      </c>
      <c r="B22" s="0" t="s">
        <v>197</v>
      </c>
      <c r="C22" s="0">
        <v>11</v>
      </c>
      <c r="D22" s="0">
        <v>74</v>
      </c>
      <c r="E22" s="0">
        <v>21</v>
      </c>
      <c r="F22" s="0">
        <v>28</v>
      </c>
      <c r="G22" s="0">
        <v>8</v>
      </c>
      <c r="H22" s="0">
        <v>88</v>
      </c>
      <c r="I22" s="0">
        <v>230</v>
      </c>
    </row>
    <row r="23">
      <c r="A23" s="19" t="s">
        <v>8340</v>
      </c>
      <c r="B23" s="0" t="s">
        <v>153</v>
      </c>
      <c r="C23" s="0">
        <v>16</v>
      </c>
      <c r="D23" s="0">
        <v>40</v>
      </c>
      <c r="E23" s="0">
        <v>13</v>
      </c>
      <c r="F23" s="0">
        <v>30</v>
      </c>
      <c r="G23" s="0">
        <v>3</v>
      </c>
      <c r="H23" s="0">
        <v>115</v>
      </c>
      <c r="I23" s="0">
        <v>217</v>
      </c>
    </row>
    <row r="24">
      <c r="A24" s="19" t="s">
        <v>8340</v>
      </c>
      <c r="B24" s="0" t="s">
        <v>145</v>
      </c>
      <c r="C24" s="0">
        <v>7</v>
      </c>
      <c r="D24" s="0">
        <v>29</v>
      </c>
      <c r="E24" s="0">
        <v>16</v>
      </c>
      <c r="F24" s="0">
        <v>31</v>
      </c>
      <c r="G24" s="0">
        <v>18</v>
      </c>
      <c r="H24" s="0">
        <v>28</v>
      </c>
      <c r="I24" s="0">
        <v>129</v>
      </c>
    </row>
    <row r="25">
      <c r="A25" s="19" t="s">
        <v>8340</v>
      </c>
      <c r="B25" s="0" t="s">
        <v>132</v>
      </c>
      <c r="C25" s="0">
        <v>4</v>
      </c>
      <c r="D25" s="0">
        <v>21</v>
      </c>
      <c r="E25" s="0">
        <v>8</v>
      </c>
      <c r="F25" s="0">
        <v>12</v>
      </c>
      <c r="G25" s="0">
        <v>2</v>
      </c>
      <c r="H25" s="0">
        <v>38</v>
      </c>
      <c r="I25" s="0">
        <v>85</v>
      </c>
    </row>
    <row r="26">
      <c r="A26" s="19" t="s">
        <v>8332</v>
      </c>
      <c r="B26" s="0" t="s">
        <v>197</v>
      </c>
      <c r="C26" s="20">
        <v>56815931.4</v>
      </c>
      <c r="D26" s="20">
        <v>287737453.59</v>
      </c>
      <c r="E26" s="20">
        <v>23176970.99</v>
      </c>
      <c r="F26" s="20">
        <v>177008453.99</v>
      </c>
      <c r="G26" s="20">
        <v>21651051.2</v>
      </c>
      <c r="H26" s="20">
        <v>505344649.95</v>
      </c>
      <c r="I26" s="20">
        <v>1071734511.12</v>
      </c>
    </row>
    <row r="27">
      <c r="A27" s="19" t="s">
        <v>8332</v>
      </c>
      <c r="B27" s="0" t="s">
        <v>153</v>
      </c>
      <c r="C27" s="20">
        <v>100850959.72</v>
      </c>
      <c r="D27" s="20">
        <v>274430863.19</v>
      </c>
      <c r="E27" s="20">
        <v>48724143.57</v>
      </c>
      <c r="F27" s="20">
        <v>193628433.74</v>
      </c>
      <c r="G27" s="20">
        <v>10613863.04</v>
      </c>
      <c r="H27" s="20">
        <v>486338085.81</v>
      </c>
      <c r="I27" s="20">
        <v>1114586349.07</v>
      </c>
    </row>
    <row r="28">
      <c r="A28" s="19" t="s">
        <v>8332</v>
      </c>
      <c r="B28" s="0" t="s">
        <v>145</v>
      </c>
      <c r="C28" s="20">
        <v>28781550.62</v>
      </c>
      <c r="D28" s="20">
        <v>225872437.45</v>
      </c>
      <c r="E28" s="20">
        <v>23664741.69</v>
      </c>
      <c r="F28" s="20">
        <v>195909066.86</v>
      </c>
      <c r="G28" s="20">
        <v>22958472.72</v>
      </c>
      <c r="H28" s="20">
        <v>182371294.78</v>
      </c>
      <c r="I28" s="20">
        <v>679557564.12</v>
      </c>
    </row>
    <row r="29">
      <c r="A29" s="19" t="s">
        <v>8332</v>
      </c>
      <c r="B29" s="0" t="s">
        <v>132</v>
      </c>
      <c r="C29" s="20">
        <v>26731762.61</v>
      </c>
      <c r="D29" s="20">
        <v>117343417.61</v>
      </c>
      <c r="E29" s="20">
        <v>16692959.26</v>
      </c>
      <c r="F29" s="20">
        <v>140659022.33</v>
      </c>
      <c r="G29" s="20">
        <v>7105230.43</v>
      </c>
      <c r="H29" s="20">
        <v>226240607.32</v>
      </c>
      <c r="I29" s="20">
        <v>534772999.56</v>
      </c>
    </row>
    <row r="30">
      <c r="A30" s="19" t="s">
        <v>8336</v>
      </c>
      <c r="B30" s="0" t="s">
        <v>197</v>
      </c>
      <c r="C30" s="18">
        <v>0.18637100989643907</v>
      </c>
      <c r="D30" s="18">
        <v>0.23317621939165367</v>
      </c>
      <c r="E30" s="18">
        <v>0.06708991941692674</v>
      </c>
      <c r="F30" s="18">
        <v>0.213446867797984</v>
      </c>
      <c r="G30" s="18">
        <v>0.21780836334038756</v>
      </c>
      <c r="H30" s="18">
        <v>0.2600508784418437</v>
      </c>
      <c r="I30" s="18">
        <v>0.2253318500353579</v>
      </c>
    </row>
    <row r="31">
      <c r="A31" s="19" t="s">
        <v>8336</v>
      </c>
      <c r="B31" s="0" t="s">
        <v>153</v>
      </c>
      <c r="C31" s="18">
        <v>0.33081733853335193</v>
      </c>
      <c r="D31" s="18">
        <v>0.22239284585528238</v>
      </c>
      <c r="E31" s="18">
        <v>0.1410408144869525</v>
      </c>
      <c r="F31" s="18">
        <v>0.2334881852635545</v>
      </c>
      <c r="G31" s="18">
        <v>0.10677486816258742</v>
      </c>
      <c r="H31" s="18">
        <v>0.25027008091829755</v>
      </c>
      <c r="I31" s="18">
        <v>0.23434143573265723</v>
      </c>
    </row>
    <row r="32">
      <c r="A32" s="19" t="s">
        <v>8336</v>
      </c>
      <c r="B32" s="0" t="s">
        <v>145</v>
      </c>
      <c r="C32" s="18">
        <v>0.09441096050455458</v>
      </c>
      <c r="D32" s="18">
        <v>0.18304214613790268</v>
      </c>
      <c r="E32" s="18">
        <v>0.0685018596126951</v>
      </c>
      <c r="F32" s="18">
        <v>0.23623830247596656</v>
      </c>
      <c r="G32" s="18">
        <v>0.23096095065989847</v>
      </c>
      <c r="H32" s="18">
        <v>0.09384845652330118</v>
      </c>
      <c r="I32" s="18">
        <v>0.14287676802406873</v>
      </c>
    </row>
    <row r="33">
      <c r="A33" s="19" t="s">
        <v>8336</v>
      </c>
      <c r="B33" s="0" t="s">
        <v>132</v>
      </c>
      <c r="C33" s="18">
        <v>0.08768712350876941</v>
      </c>
      <c r="D33" s="18">
        <v>0.09509257188250422</v>
      </c>
      <c r="E33" s="18">
        <v>0.048320778934686885</v>
      </c>
      <c r="F33" s="18">
        <v>0.16961465436877574</v>
      </c>
      <c r="G33" s="18">
        <v>0.07147822047155927</v>
      </c>
      <c r="H33" s="18">
        <v>0.11642365003488886</v>
      </c>
      <c r="I33" s="18">
        <v>0.11243585803156071</v>
      </c>
    </row>
    <row r="34">
      <c r="A34" s="17" t="s">
        <v>8327</v>
      </c>
    </row>
    <row r="35">
      <c r="A35" s="15" t="s">
        <v>8324</v>
      </c>
      <c r="B35" s="15" t="s">
        <v>8268</v>
      </c>
      <c r="C35" s="15" t="s">
        <v>272</v>
      </c>
      <c r="D35" s="15" t="s">
        <v>378</v>
      </c>
      <c r="E35" s="15" t="s">
        <v>2807</v>
      </c>
      <c r="F35" s="15" t="s">
        <v>802</v>
      </c>
      <c r="G35" s="15" t="s">
        <v>371</v>
      </c>
      <c r="H35" s="15" t="s">
        <v>135</v>
      </c>
      <c r="I35" s="15" t="s">
        <v>8269</v>
      </c>
    </row>
    <row r="36">
      <c r="A36" s="19" t="s">
        <v>8339</v>
      </c>
      <c r="B36" s="0" t="s">
        <v>197</v>
      </c>
      <c r="C36" s="0">
        <v>9</v>
      </c>
      <c r="D36" s="0">
        <v>34</v>
      </c>
      <c r="E36" s="0">
        <v>11</v>
      </c>
      <c r="F36" s="0">
        <v>14</v>
      </c>
      <c r="G36" s="0">
        <v>4</v>
      </c>
      <c r="H36" s="0">
        <v>44</v>
      </c>
      <c r="I36" s="0">
        <v>116</v>
      </c>
    </row>
    <row r="37">
      <c r="A37" s="19" t="s">
        <v>8339</v>
      </c>
      <c r="B37" s="0" t="s">
        <v>153</v>
      </c>
      <c r="C37" s="0">
        <v>8</v>
      </c>
      <c r="D37" s="0">
        <v>12</v>
      </c>
      <c r="E37" s="0">
        <v>5</v>
      </c>
      <c r="F37" s="0">
        <v>8</v>
      </c>
      <c r="G37" s="0">
        <v>2</v>
      </c>
      <c r="H37" s="0">
        <v>49</v>
      </c>
      <c r="I37" s="0">
        <v>84</v>
      </c>
    </row>
    <row r="38">
      <c r="A38" s="19" t="s">
        <v>8339</v>
      </c>
      <c r="B38" s="0" t="s">
        <v>145</v>
      </c>
      <c r="C38" s="0">
        <v>1</v>
      </c>
      <c r="D38" s="0">
        <v>10</v>
      </c>
      <c r="E38" s="0">
        <v>4</v>
      </c>
      <c r="F38" s="0">
        <v>8</v>
      </c>
      <c r="G38" s="0">
        <v>2</v>
      </c>
      <c r="H38" s="0">
        <v>5</v>
      </c>
      <c r="I38" s="0">
        <v>30</v>
      </c>
    </row>
    <row r="39">
      <c r="A39" s="19" t="s">
        <v>8339</v>
      </c>
      <c r="B39" s="0" t="s">
        <v>132</v>
      </c>
      <c r="C39" s="0">
        <v>1</v>
      </c>
      <c r="D39" s="0">
        <v>3</v>
      </c>
      <c r="E39" s="0">
        <v>3</v>
      </c>
      <c r="F39" s="0">
        <v>3</v>
      </c>
      <c r="G39" s="0">
        <v>0</v>
      </c>
      <c r="H39" s="0">
        <v>6</v>
      </c>
      <c r="I39" s="0">
        <v>16</v>
      </c>
    </row>
    <row r="40">
      <c r="A40" s="19" t="s">
        <v>8340</v>
      </c>
      <c r="B40" s="0" t="s">
        <v>197</v>
      </c>
      <c r="C40" s="0">
        <v>16</v>
      </c>
      <c r="D40" s="0">
        <v>71</v>
      </c>
      <c r="E40" s="0">
        <v>15</v>
      </c>
      <c r="F40" s="0">
        <v>23</v>
      </c>
      <c r="G40" s="0">
        <v>9</v>
      </c>
      <c r="H40" s="0">
        <v>74</v>
      </c>
      <c r="I40" s="0">
        <v>208</v>
      </c>
    </row>
    <row r="41">
      <c r="A41" s="19" t="s">
        <v>8340</v>
      </c>
      <c r="B41" s="0" t="s">
        <v>153</v>
      </c>
      <c r="C41" s="0">
        <v>16</v>
      </c>
      <c r="D41" s="0">
        <v>28</v>
      </c>
      <c r="E41" s="0">
        <v>10</v>
      </c>
      <c r="F41" s="0">
        <v>15</v>
      </c>
      <c r="G41" s="0">
        <v>5</v>
      </c>
      <c r="H41" s="0">
        <v>77</v>
      </c>
      <c r="I41" s="0">
        <v>151</v>
      </c>
    </row>
    <row r="42">
      <c r="A42" s="19" t="s">
        <v>8340</v>
      </c>
      <c r="B42" s="0" t="s">
        <v>145</v>
      </c>
      <c r="C42" s="0">
        <v>2</v>
      </c>
      <c r="D42" s="0">
        <v>25</v>
      </c>
      <c r="E42" s="0">
        <v>10</v>
      </c>
      <c r="F42" s="0">
        <v>17</v>
      </c>
      <c r="G42" s="0">
        <v>4</v>
      </c>
      <c r="H42" s="0">
        <v>8</v>
      </c>
      <c r="I42" s="0">
        <v>66</v>
      </c>
    </row>
    <row r="43">
      <c r="A43" s="19" t="s">
        <v>8340</v>
      </c>
      <c r="B43" s="0" t="s">
        <v>132</v>
      </c>
      <c r="C43" s="0">
        <v>2</v>
      </c>
      <c r="D43" s="0">
        <v>5</v>
      </c>
      <c r="E43" s="0">
        <v>8</v>
      </c>
      <c r="F43" s="0">
        <v>4</v>
      </c>
      <c r="G43" s="0">
        <v>0</v>
      </c>
      <c r="H43" s="0">
        <v>13</v>
      </c>
      <c r="I43" s="0">
        <v>32</v>
      </c>
    </row>
    <row r="44">
      <c r="A44" s="19" t="s">
        <v>8333</v>
      </c>
      <c r="B44" s="0" t="s">
        <v>197</v>
      </c>
      <c r="C44" s="20">
        <v>36356097.56</v>
      </c>
      <c r="D44" s="20">
        <v>167267548.3</v>
      </c>
      <c r="E44" s="20">
        <v>13067907.09</v>
      </c>
      <c r="F44" s="20">
        <v>84789081.4</v>
      </c>
      <c r="G44" s="20">
        <v>16509543.93</v>
      </c>
      <c r="H44" s="20">
        <v>283530791.97</v>
      </c>
      <c r="I44" s="20">
        <v>601520970.25</v>
      </c>
    </row>
    <row r="45">
      <c r="A45" s="19" t="s">
        <v>8333</v>
      </c>
      <c r="B45" s="0" t="s">
        <v>153</v>
      </c>
      <c r="C45" s="20">
        <v>26565607.84</v>
      </c>
      <c r="D45" s="20">
        <v>60551917.48</v>
      </c>
      <c r="E45" s="20">
        <v>43666331.18</v>
      </c>
      <c r="F45" s="20">
        <v>46815471.35</v>
      </c>
      <c r="G45" s="20">
        <v>10613863.04</v>
      </c>
      <c r="H45" s="20">
        <v>335186220.94</v>
      </c>
      <c r="I45" s="20">
        <v>523399411.83</v>
      </c>
    </row>
    <row r="46">
      <c r="A46" s="19" t="s">
        <v>8333</v>
      </c>
      <c r="B46" s="0" t="s">
        <v>145</v>
      </c>
      <c r="C46" s="20">
        <v>1688271.71</v>
      </c>
      <c r="D46" s="20">
        <v>80900798.54</v>
      </c>
      <c r="E46" s="20">
        <v>18210418.26</v>
      </c>
      <c r="F46" s="20">
        <v>65996839.07</v>
      </c>
      <c r="G46" s="20">
        <v>5062666.97</v>
      </c>
      <c r="H46" s="20">
        <v>32448000.11</v>
      </c>
      <c r="I46" s="20">
        <v>204306994.66</v>
      </c>
    </row>
    <row r="47">
      <c r="A47" s="19" t="s">
        <v>8333</v>
      </c>
      <c r="B47" s="0" t="s">
        <v>132</v>
      </c>
      <c r="C47" s="20">
        <v>2459535.43</v>
      </c>
      <c r="D47" s="20">
        <v>48665677.08</v>
      </c>
      <c r="E47" s="20">
        <v>3274969.87</v>
      </c>
      <c r="F47" s="20">
        <v>13583631.46</v>
      </c>
      <c r="G47" s="20">
        <v>0</v>
      </c>
      <c r="H47" s="20">
        <v>130907400.77</v>
      </c>
      <c r="I47" s="20">
        <v>198891214.61</v>
      </c>
    </row>
    <row r="48">
      <c r="A48" s="19" t="s">
        <v>8337</v>
      </c>
      <c r="B48" s="0" t="s">
        <v>197</v>
      </c>
      <c r="C48" s="18">
        <v>0.11925744155187193</v>
      </c>
      <c r="D48" s="18">
        <v>0.13555000940225298</v>
      </c>
      <c r="E48" s="18">
        <v>0.037827412132252304</v>
      </c>
      <c r="F48" s="18">
        <v>0.10224349990266984</v>
      </c>
      <c r="G48" s="18">
        <v>0.1660850879558924</v>
      </c>
      <c r="H48" s="18">
        <v>0.14590523818626638</v>
      </c>
      <c r="I48" s="18">
        <v>0.12646959825885426</v>
      </c>
    </row>
    <row r="49">
      <c r="A49" s="19" t="s">
        <v>8337</v>
      </c>
      <c r="B49" s="0" t="s">
        <v>153</v>
      </c>
      <c r="C49" s="18">
        <v>0.0871420927133399</v>
      </c>
      <c r="D49" s="18">
        <v>0.049069966452891724</v>
      </c>
      <c r="E49" s="18">
        <v>0.12640006501984388</v>
      </c>
      <c r="F49" s="18">
        <v>0.05645275973490105</v>
      </c>
      <c r="G49" s="18">
        <v>0.10677486816258742</v>
      </c>
      <c r="H49" s="18">
        <v>0.17248717524895785</v>
      </c>
      <c r="I49" s="18">
        <v>0.11004456472323745</v>
      </c>
    </row>
    <row r="50">
      <c r="A50" s="19" t="s">
        <v>8337</v>
      </c>
      <c r="B50" s="0" t="s">
        <v>145</v>
      </c>
      <c r="C50" s="18">
        <v>0.005537969647229758</v>
      </c>
      <c r="D50" s="18">
        <v>0.06556026027881211</v>
      </c>
      <c r="E50" s="18">
        <v>0.052713337482238935</v>
      </c>
      <c r="F50" s="18">
        <v>0.07958274458944736</v>
      </c>
      <c r="G50" s="18">
        <v>0.050930146378903716</v>
      </c>
      <c r="H50" s="18">
        <v>0.016697774346916366</v>
      </c>
      <c r="I50" s="18">
        <v>0.04295548254183926</v>
      </c>
    </row>
    <row r="51">
      <c r="A51" s="19" t="s">
        <v>8337</v>
      </c>
      <c r="B51" s="0" t="s">
        <v>132</v>
      </c>
      <c r="C51" s="18">
        <v>0.00806791494339865</v>
      </c>
      <c r="D51" s="18">
        <v>0.03943761388748117</v>
      </c>
      <c r="E51" s="18">
        <v>0.009479990494269635</v>
      </c>
      <c r="F51" s="18">
        <v>0.016379915891604563</v>
      </c>
      <c r="G51" s="18">
        <v>0</v>
      </c>
      <c r="H51" s="18">
        <v>0.06736508354871322</v>
      </c>
      <c r="I51" s="18">
        <v>0.04181681645859838</v>
      </c>
    </row>
    <row r="52">
      <c r="A52" s="17" t="s">
        <v>8328</v>
      </c>
    </row>
    <row r="53">
      <c r="A53" s="15" t="s">
        <v>8324</v>
      </c>
      <c r="B53" s="15" t="s">
        <v>8268</v>
      </c>
      <c r="C53" s="15" t="s">
        <v>272</v>
      </c>
      <c r="D53" s="15" t="s">
        <v>378</v>
      </c>
      <c r="E53" s="15" t="s">
        <v>2807</v>
      </c>
      <c r="F53" s="15" t="s">
        <v>802</v>
      </c>
      <c r="G53" s="15" t="s">
        <v>371</v>
      </c>
      <c r="H53" s="15" t="s">
        <v>135</v>
      </c>
      <c r="I53" s="15" t="s">
        <v>8269</v>
      </c>
    </row>
    <row r="54">
      <c r="A54" s="19" t="s">
        <v>8339</v>
      </c>
      <c r="B54" s="0" t="s">
        <v>197</v>
      </c>
      <c r="C54" s="0">
        <v>5</v>
      </c>
      <c r="D54" s="0">
        <v>17</v>
      </c>
      <c r="E54" s="0">
        <v>6</v>
      </c>
      <c r="F54" s="0">
        <v>3</v>
      </c>
      <c r="G54" s="0">
        <v>1</v>
      </c>
      <c r="H54" s="0">
        <v>20</v>
      </c>
      <c r="I54" s="0">
        <v>52</v>
      </c>
    </row>
    <row r="55">
      <c r="A55" s="19" t="s">
        <v>8339</v>
      </c>
      <c r="B55" s="0" t="s">
        <v>153</v>
      </c>
      <c r="C55" s="0">
        <v>1</v>
      </c>
      <c r="D55" s="0">
        <v>5</v>
      </c>
      <c r="E55" s="0">
        <v>1</v>
      </c>
      <c r="F55" s="0">
        <v>3</v>
      </c>
      <c r="G55" s="0">
        <v>1</v>
      </c>
      <c r="H55" s="0">
        <v>18</v>
      </c>
      <c r="I55" s="0">
        <v>29</v>
      </c>
    </row>
    <row r="56">
      <c r="A56" s="19" t="s">
        <v>8339</v>
      </c>
      <c r="B56" s="0" t="s">
        <v>145</v>
      </c>
      <c r="C56" s="0">
        <v>1</v>
      </c>
      <c r="D56" s="0">
        <v>5</v>
      </c>
      <c r="E56" s="0">
        <v>1</v>
      </c>
      <c r="F56" s="0">
        <v>2</v>
      </c>
      <c r="G56" s="0">
        <v>1</v>
      </c>
      <c r="H56" s="0">
        <v>2</v>
      </c>
      <c r="I56" s="0">
        <v>12</v>
      </c>
    </row>
    <row r="57">
      <c r="A57" s="19" t="s">
        <v>8339</v>
      </c>
      <c r="B57" s="0" t="s">
        <v>132</v>
      </c>
      <c r="C57" s="0">
        <v>0</v>
      </c>
      <c r="D57" s="0">
        <v>3</v>
      </c>
      <c r="E57" s="0">
        <v>0</v>
      </c>
      <c r="F57" s="0">
        <v>0</v>
      </c>
      <c r="G57" s="0">
        <v>0</v>
      </c>
      <c r="H57" s="0">
        <v>3</v>
      </c>
      <c r="I57" s="0">
        <v>6</v>
      </c>
    </row>
    <row r="58">
      <c r="A58" s="19" t="s">
        <v>8340</v>
      </c>
      <c r="B58" s="0" t="s">
        <v>197</v>
      </c>
      <c r="C58" s="0">
        <v>11</v>
      </c>
      <c r="D58" s="0">
        <v>39</v>
      </c>
      <c r="E58" s="0">
        <v>7</v>
      </c>
      <c r="F58" s="0">
        <v>2</v>
      </c>
      <c r="G58" s="0">
        <v>4</v>
      </c>
      <c r="H58" s="0">
        <v>29</v>
      </c>
      <c r="I58" s="0">
        <v>92</v>
      </c>
    </row>
    <row r="59">
      <c r="A59" s="19" t="s">
        <v>8340</v>
      </c>
      <c r="B59" s="0" t="s">
        <v>153</v>
      </c>
      <c r="C59" s="0">
        <v>1</v>
      </c>
      <c r="D59" s="0">
        <v>6</v>
      </c>
      <c r="E59" s="0">
        <v>1</v>
      </c>
      <c r="F59" s="0">
        <v>7</v>
      </c>
      <c r="G59" s="0">
        <v>1</v>
      </c>
      <c r="H59" s="0">
        <v>26</v>
      </c>
      <c r="I59" s="0">
        <v>42</v>
      </c>
    </row>
    <row r="60">
      <c r="A60" s="19" t="s">
        <v>8340</v>
      </c>
      <c r="B60" s="0" t="s">
        <v>145</v>
      </c>
      <c r="C60" s="0">
        <v>2</v>
      </c>
      <c r="D60" s="0">
        <v>7</v>
      </c>
      <c r="E60" s="0">
        <v>2</v>
      </c>
      <c r="F60" s="0">
        <v>3</v>
      </c>
      <c r="G60" s="0">
        <v>3</v>
      </c>
      <c r="H60" s="0">
        <v>3</v>
      </c>
      <c r="I60" s="0">
        <v>20</v>
      </c>
    </row>
    <row r="61">
      <c r="A61" s="19" t="s">
        <v>8340</v>
      </c>
      <c r="B61" s="0" t="s">
        <v>132</v>
      </c>
      <c r="C61" s="0">
        <v>0</v>
      </c>
      <c r="D61" s="0">
        <v>5</v>
      </c>
      <c r="E61" s="0">
        <v>0</v>
      </c>
      <c r="F61" s="0">
        <v>0</v>
      </c>
      <c r="G61" s="0">
        <v>0</v>
      </c>
      <c r="H61" s="0">
        <v>6</v>
      </c>
      <c r="I61" s="0">
        <v>11</v>
      </c>
    </row>
    <row r="62">
      <c r="A62" s="19" t="s">
        <v>8334</v>
      </c>
      <c r="B62" s="0" t="s">
        <v>197</v>
      </c>
      <c r="C62" s="20">
        <v>11970941.55</v>
      </c>
      <c r="D62" s="20">
        <v>72981927.62</v>
      </c>
      <c r="E62" s="20">
        <v>5809656.51</v>
      </c>
      <c r="F62" s="20">
        <v>2499994.54</v>
      </c>
      <c r="G62" s="20">
        <v>6368652.04</v>
      </c>
      <c r="H62" s="20">
        <v>92245202.66</v>
      </c>
      <c r="I62" s="20">
        <v>191876374.92</v>
      </c>
    </row>
    <row r="63">
      <c r="A63" s="19" t="s">
        <v>8334</v>
      </c>
      <c r="B63" s="0" t="s">
        <v>153</v>
      </c>
      <c r="C63" s="20">
        <v>5104545.18</v>
      </c>
      <c r="D63" s="20">
        <v>27037360.77</v>
      </c>
      <c r="E63" s="20">
        <v>4309425.45</v>
      </c>
      <c r="F63" s="20">
        <v>16176396.96</v>
      </c>
      <c r="G63" s="20">
        <v>4245211</v>
      </c>
      <c r="H63" s="20">
        <v>96099132.92</v>
      </c>
      <c r="I63" s="20">
        <v>152972072.28</v>
      </c>
    </row>
    <row r="64">
      <c r="A64" s="19" t="s">
        <v>8334</v>
      </c>
      <c r="B64" s="0" t="s">
        <v>145</v>
      </c>
      <c r="C64" s="20">
        <v>1688271.71</v>
      </c>
      <c r="D64" s="20">
        <v>60978824.1</v>
      </c>
      <c r="E64" s="20">
        <v>13417989.39</v>
      </c>
      <c r="F64" s="20">
        <v>17308709.22</v>
      </c>
      <c r="G64" s="20">
        <v>817455.97</v>
      </c>
      <c r="H64" s="20">
        <v>4425958.17</v>
      </c>
      <c r="I64" s="20">
        <v>98637208.56</v>
      </c>
    </row>
    <row r="65">
      <c r="A65" s="19" t="s">
        <v>8334</v>
      </c>
      <c r="B65" s="0" t="s">
        <v>132</v>
      </c>
      <c r="C65" s="20">
        <v>0</v>
      </c>
      <c r="D65" s="20">
        <v>15501494.01</v>
      </c>
      <c r="E65" s="20">
        <v>0</v>
      </c>
      <c r="F65" s="20">
        <v>0</v>
      </c>
      <c r="G65" s="20">
        <v>0</v>
      </c>
      <c r="H65" s="20">
        <v>18312281.17</v>
      </c>
      <c r="I65" s="20">
        <v>33813775.18</v>
      </c>
    </row>
    <row r="66">
      <c r="A66" s="19" t="s">
        <v>8338</v>
      </c>
      <c r="B66" s="0" t="s">
        <v>197</v>
      </c>
      <c r="C66" s="18">
        <v>0.039267797096867514</v>
      </c>
      <c r="D66" s="18">
        <v>0.05914297827419969</v>
      </c>
      <c r="E66" s="18">
        <v>0.01681709776761143</v>
      </c>
      <c r="F66" s="18">
        <v>0.003014635697034042</v>
      </c>
      <c r="G66" s="18">
        <v>0.06406828309180759</v>
      </c>
      <c r="H66" s="18">
        <v>0.0474694764971834</v>
      </c>
      <c r="I66" s="18">
        <v>0.04034194857980132</v>
      </c>
    </row>
    <row r="67">
      <c r="A67" s="19" t="s">
        <v>8338</v>
      </c>
      <c r="B67" s="0" t="s">
        <v>153</v>
      </c>
      <c r="C67" s="18">
        <v>0.016744233823448335</v>
      </c>
      <c r="D67" s="18">
        <v>0.021910493361285227</v>
      </c>
      <c r="E67" s="18">
        <v>0.012474408597158678</v>
      </c>
      <c r="F67" s="18">
        <v>0.019506420092025065</v>
      </c>
      <c r="G67" s="18">
        <v>0.042706585070779846</v>
      </c>
      <c r="H67" s="18">
        <v>0.04945271298670746</v>
      </c>
      <c r="I67" s="18">
        <v>0.032162330962518956</v>
      </c>
    </row>
    <row r="68">
      <c r="A68" s="19" t="s">
        <v>8338</v>
      </c>
      <c r="B68" s="0" t="s">
        <v>145</v>
      </c>
      <c r="C68" s="18">
        <v>0.005537969647229758</v>
      </c>
      <c r="D68" s="18">
        <v>0.0494159223597189</v>
      </c>
      <c r="E68" s="18">
        <v>0.03884078844041726</v>
      </c>
      <c r="F68" s="18">
        <v>0.020871826657747117</v>
      </c>
      <c r="G68" s="18">
        <v>0.008223561308123873</v>
      </c>
      <c r="H68" s="18">
        <v>0.002277602642412926</v>
      </c>
      <c r="I68" s="18">
        <v>0.020738442642778375</v>
      </c>
    </row>
    <row r="69">
      <c r="A69" s="19" t="s">
        <v>8338</v>
      </c>
      <c r="B69" s="0" t="s">
        <v>132</v>
      </c>
      <c r="C69" s="18">
        <v>0</v>
      </c>
      <c r="D69" s="18">
        <v>0.012562076028255317</v>
      </c>
      <c r="E69" s="18">
        <v>0</v>
      </c>
      <c r="F69" s="18">
        <v>0</v>
      </c>
      <c r="G69" s="18">
        <v>0</v>
      </c>
      <c r="H69" s="18">
        <v>0.00942351879059907</v>
      </c>
      <c r="I69" s="18">
        <v>0.007109335790658277</v>
      </c>
    </row>
    <row r="72">
      <c r="A72" s="19" t="s">
        <v>8266</v>
      </c>
    </row>
    <row r="73">
      <c r="A73" s="19" t="s">
        <v>6</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L16"/>
  <sheetViews>
    <sheetView workbookViewId="0"/>
  </sheetViews>
  <sheetFormatPr defaultRowHeight="15"/>
  <cols>
    <col min="1" max="1" width="40.71428680419922" customWidth="1" style="19"/>
    <col min="2" max="2" width="34.85714340209961" customWidth="1"/>
    <col min="3" max="3" width="30.285715103149414" customWidth="1"/>
    <col min="4" max="4" width="21" customWidth="1"/>
    <col min="5" max="5" width="17.14285659790039" customWidth="1"/>
    <col min="6" max="6" width="14" customWidth="1"/>
    <col min="7" max="7" width="9.142857551574707" customWidth="1"/>
    <col min="8" max="8" width="9.142857551574707" customWidth="1"/>
    <col min="9" max="9" width="9.142857551574707" customWidth="1"/>
    <col min="10" max="10" width="11.857142448425293" customWidth="1"/>
    <col min="11" max="11" width="16" customWidth="1"/>
    <col min="12" max="12" width="35.28571319580078" customWidth="1"/>
  </cols>
  <sheetData>
    <row r="1" s="21" customFormat="1">
      <c r="A1" s="21" t="s">
        <v>8268</v>
      </c>
      <c r="B1" s="21" t="s">
        <v>8341</v>
      </c>
      <c r="C1" s="21" t="s">
        <v>8342</v>
      </c>
      <c r="D1" s="21" t="s">
        <v>8343</v>
      </c>
      <c r="E1" s="21" t="s">
        <v>8344</v>
      </c>
      <c r="F1" s="21" t="s">
        <v>8345</v>
      </c>
      <c r="G1" s="21" t="s">
        <v>14</v>
      </c>
      <c r="H1" s="21" t="s">
        <v>17</v>
      </c>
      <c r="I1" s="21" t="s">
        <v>20</v>
      </c>
      <c r="J1" s="21" t="s">
        <v>221</v>
      </c>
      <c r="K1" s="21" t="s">
        <v>1255</v>
      </c>
      <c r="L1" s="21" t="s">
        <v>8346</v>
      </c>
    </row>
    <row r="2">
      <c r="A2" s="19" t="s">
        <v>197</v>
      </c>
      <c r="B2" s="0">
        <v>349</v>
      </c>
      <c r="C2" s="0">
        <v>211</v>
      </c>
      <c r="D2" s="0">
        <v>286</v>
      </c>
      <c r="E2" s="0">
        <v>63</v>
      </c>
      <c r="F2" s="18">
        <v>0.18051576614379883</v>
      </c>
      <c r="G2" s="0">
        <v>54</v>
      </c>
      <c r="H2" s="0">
        <v>161</v>
      </c>
      <c r="I2" s="0">
        <v>111</v>
      </c>
      <c r="J2" s="0">
        <v>20</v>
      </c>
      <c r="K2" s="0">
        <v>3</v>
      </c>
      <c r="L2" s="18">
        <v>0.5216741405082213</v>
      </c>
    </row>
    <row r="3">
      <c r="A3" s="19" t="s">
        <v>153</v>
      </c>
      <c r="B3" s="0">
        <v>208</v>
      </c>
      <c r="C3" s="0">
        <v>111</v>
      </c>
      <c r="D3" s="0">
        <v>173</v>
      </c>
      <c r="E3" s="0">
        <v>35</v>
      </c>
      <c r="F3" s="18">
        <v>0.16826923191547394</v>
      </c>
      <c r="G3" s="0">
        <v>47</v>
      </c>
      <c r="H3" s="0">
        <v>88</v>
      </c>
      <c r="I3" s="0">
        <v>61</v>
      </c>
      <c r="J3" s="0">
        <v>8</v>
      </c>
      <c r="K3" s="0">
        <v>4</v>
      </c>
      <c r="L3" s="18">
        <v>0.3109118086696562</v>
      </c>
    </row>
    <row r="4">
      <c r="A4" s="19" t="s">
        <v>145</v>
      </c>
      <c r="B4" s="0">
        <v>81</v>
      </c>
      <c r="C4" s="0">
        <v>36</v>
      </c>
      <c r="D4" s="0">
        <v>69</v>
      </c>
      <c r="E4" s="0">
        <v>12</v>
      </c>
      <c r="F4" s="18">
        <v>0.14814814925193787</v>
      </c>
      <c r="G4" s="0">
        <v>23</v>
      </c>
      <c r="H4" s="0">
        <v>27</v>
      </c>
      <c r="I4" s="0">
        <v>26</v>
      </c>
      <c r="J4" s="0">
        <v>5</v>
      </c>
      <c r="K4" s="0">
        <v>0</v>
      </c>
      <c r="L4" s="18">
        <v>0.1210762331838565</v>
      </c>
    </row>
    <row r="5">
      <c r="A5" s="19" t="s">
        <v>132</v>
      </c>
      <c r="B5" s="0">
        <v>31</v>
      </c>
      <c r="C5" s="0">
        <v>16</v>
      </c>
      <c r="D5" s="0">
        <v>25</v>
      </c>
      <c r="E5" s="0">
        <v>6</v>
      </c>
      <c r="F5" s="18">
        <v>0.19354838132858276</v>
      </c>
      <c r="G5" s="0">
        <v>7</v>
      </c>
      <c r="H5" s="0">
        <v>12</v>
      </c>
      <c r="I5" s="0">
        <v>8</v>
      </c>
      <c r="J5" s="0">
        <v>4</v>
      </c>
      <c r="K5" s="0">
        <v>0</v>
      </c>
      <c r="L5" s="18">
        <v>0.04633781763826607</v>
      </c>
    </row>
    <row r="6">
      <c r="A6" s="19" t="s">
        <v>8347</v>
      </c>
      <c r="B6" s="0">
        <v>669</v>
      </c>
      <c r="C6" s="0">
        <v>374</v>
      </c>
      <c r="D6" s="0">
        <v>553</v>
      </c>
      <c r="E6" s="0">
        <v>116</v>
      </c>
      <c r="F6" s="18">
        <v>0.17339312406576982</v>
      </c>
      <c r="G6" s="0">
        <v>131</v>
      </c>
      <c r="H6" s="0">
        <v>288</v>
      </c>
      <c r="I6" s="0">
        <v>206</v>
      </c>
      <c r="J6" s="0">
        <v>37</v>
      </c>
      <c r="K6" s="0">
        <v>7</v>
      </c>
      <c r="L6" s="18"/>
    </row>
    <row r="7" s="22" customFormat="1">
      <c r="A7" s="23" t="s">
        <v>8348</v>
      </c>
      <c r="B7" s="22" t="s">
        <v>140</v>
      </c>
      <c r="C7" s="22">
        <v>0.5590433482810164</v>
      </c>
      <c r="D7" s="22">
        <v>0.8266068759342302</v>
      </c>
      <c r="E7" s="22">
        <v>0.17339312406576982</v>
      </c>
      <c r="F7" s="22" t="s">
        <v>140</v>
      </c>
      <c r="G7" s="22">
        <v>0.19581464872944693</v>
      </c>
      <c r="H7" s="22">
        <v>0.4304932735426009</v>
      </c>
      <c r="I7" s="22">
        <v>0.30792227204783257</v>
      </c>
      <c r="J7" s="22">
        <v>0.05530642750373692</v>
      </c>
      <c r="K7" s="22">
        <v>0.01046337817638266</v>
      </c>
      <c r="L7" s="22"/>
    </row>
    <row r="10">
      <c r="A10" s="19" t="s">
        <v>8349</v>
      </c>
      <c r="B10" s="0" t="s">
        <v>8350</v>
      </c>
    </row>
    <row r="11">
      <c r="A11" s="19" t="s">
        <v>8351</v>
      </c>
      <c r="B11" s="0" t="s">
        <v>8352</v>
      </c>
    </row>
    <row r="12">
      <c r="A12" s="19" t="s">
        <v>8353</v>
      </c>
      <c r="B12" s="0" t="s">
        <v>8354</v>
      </c>
    </row>
    <row r="15">
      <c r="A15" s="19" t="s">
        <v>8266</v>
      </c>
    </row>
    <row r="16">
      <c r="A16" s="19" t="s">
        <v>6</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9"/>
  <sheetViews>
    <sheetView workbookViewId="0"/>
  </sheetViews>
  <sheetFormatPr defaultRowHeight="15"/>
  <cols>
    <col min="1" max="1" width="18.571428298950195" customWidth="1"/>
    <col min="2" max="2" width="36" customWidth="1"/>
    <col min="3" max="3" width="9.140625" customWidth="1"/>
    <col min="4" max="4" width="12.428571701049805" customWidth="1"/>
  </cols>
  <sheetData>
    <row r="1">
      <c r="A1" s="2" t="s">
        <v>8355</v>
      </c>
    </row>
    <row r="2">
      <c r="A2" s="1" t="s">
        <v>8356</v>
      </c>
      <c r="B2" s="0" t="s">
        <v>8</v>
      </c>
    </row>
    <row r="3">
      <c r="A3" s="1" t="s">
        <v>8357</v>
      </c>
      <c r="B3" s="0" t="s">
        <v>8358</v>
      </c>
      <c r="C3" s="1" t="s">
        <v>8359</v>
      </c>
      <c r="D3" s="0" t="s">
        <v>8360</v>
      </c>
    </row>
    <row r="4">
      <c r="A4" s="1" t="s">
        <v>8361</v>
      </c>
      <c r="B4" s="0" t="s">
        <v>8362</v>
      </c>
    </row>
    <row r="5">
      <c r="A5" s="1" t="s">
        <v>8363</v>
      </c>
      <c r="B5" s="0" t="s">
        <v>8364</v>
      </c>
    </row>
    <row r="6">
      <c r="A6" s="1" t="s">
        <v>8365</v>
      </c>
      <c r="B6" s="0" t="s">
        <v>130</v>
      </c>
    </row>
    <row r="7">
      <c r="A7" s="1" t="s">
        <v>8366</v>
      </c>
      <c r="B7" s="0" t="s">
        <v>8367</v>
      </c>
    </row>
    <row r="8">
      <c r="A8" s="1" t="s">
        <v>8368</v>
      </c>
      <c r="B8" s="0" t="s">
        <v>8369</v>
      </c>
    </row>
    <row r="9">
      <c r="A9" s="1" t="s">
        <v>8370</v>
      </c>
      <c r="B9" s="0" t="s">
        <v>8369</v>
      </c>
    </row>
  </sheetData>
  <mergeCells>
    <mergeCell ref="A1:D1"/>
  </mergeCells>
  <headerFooter/>
</worksheet>
</file>